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2" yWindow="6744" windowWidth="23064" windowHeight="2952" tabRatio="693" activeTab="2"/>
  </bookViews>
  <sheets>
    <sheet name="Титульный" sheetId="6" r:id="rId1"/>
    <sheet name="1 городские нп (УЭС)" sheetId="13" r:id="rId2"/>
    <sheet name="2 не городские нп (УЭС)" sheetId="16" r:id="rId3"/>
    <sheet name="3 Организационные" sheetId="7" state="hidden" r:id="rId4"/>
    <sheet name="ЗАМЕНА Организационные меропри" sheetId="3" state="hidden" r:id="rId5"/>
    <sheet name="Организационные мероприятия" sheetId="4" state="hidden" r:id="rId6"/>
    <sheet name="Лист1" sheetId="17" r:id="rId7"/>
  </sheets>
  <externalReferences>
    <externalReference r:id="rId8"/>
  </externalReferences>
  <definedNames>
    <definedName name="_xlnm._FilterDatabase" localSheetId="1" hidden="1">'1 городские нп (УЭС)'!$BH$7:$BI$7</definedName>
    <definedName name="_xlnm._FilterDatabase" localSheetId="2" hidden="1">'2 не городские нп (УЭС)'!$A$9:$D$9</definedName>
    <definedName name="_xlnm._FilterDatabase" localSheetId="6" hidden="1">Лист1!$E$12:$E$52</definedName>
    <definedName name="_xlnm._FilterDatabase" localSheetId="5" hidden="1">'Организационные мероприятия'!$A$11:$DU$65</definedName>
    <definedName name="logic">[1]TEHSHEET!$F$2:$F$3</definedName>
    <definedName name="MO_LIST_5">[1]REESTR_MO!$B$9</definedName>
    <definedName name="MONTH">[1]TEHSHEET!$D$2:$D$14</definedName>
    <definedName name="MR_LIST">[1]REESTR_MO!$E$2:$E$35</definedName>
    <definedName name="YEAR">[1]TEHSHEET!$E$2:$E$6</definedName>
    <definedName name="Z_0C6F55BF_C854_46A8_BA5F_C1ED47DD7181_.wvu.FilterData" localSheetId="1" hidden="1">'1 городские нп (УЭС)'!$A$8:$D$8</definedName>
    <definedName name="Z_0C6F55BF_C854_46A8_BA5F_C1ED47DD7181_.wvu.FilterData" localSheetId="2" hidden="1">'2 не городские нп (УЭС)'!$A$9:$D$9</definedName>
    <definedName name="Z_0CB0DA52_F445_4927_9AA2_C71984857A40_.wvu.FilterData" localSheetId="1" hidden="1">'1 городские нп (УЭС)'!$A$8:$D$8</definedName>
    <definedName name="Z_0CB0DA52_F445_4927_9AA2_C71984857A40_.wvu.FilterData" localSheetId="2" hidden="1">'2 не городские нп (УЭС)'!$A$9:$D$9</definedName>
    <definedName name="Z_0CB0DA52_F445_4927_9AA2_C71984857A40_.wvu.FilterData" localSheetId="5" hidden="1">'Организационные мероприятия'!$A$11:$DU$65</definedName>
    <definedName name="Z_0CB0DA52_F445_4927_9AA2_C71984857A40_.wvu.Rows" localSheetId="1" hidden="1">'1 городские нп (УЭС)'!$1:$5,'1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</definedName>
    <definedName name="Z_0CB0DA52_F445_4927_9AA2_C71984857A40_.wvu.Rows" localSheetId="2" hidden="1">'2 не городские нп (УЭС)'!$2:$6,'2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</definedName>
    <definedName name="Z_0ED4EF63_5D08_4DEB_B312_C0FBC2C39F95_.wvu.Cols" localSheetId="1" hidden="1">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</definedName>
    <definedName name="Z_0ED4EF63_5D08_4DEB_B312_C0FBC2C39F95_.wvu.Cols" localSheetId="2" hidden="1">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</definedName>
    <definedName name="Z_0ED4EF63_5D08_4DEB_B312_C0FBC2C39F95_.wvu.FilterData" localSheetId="1" hidden="1">'1 городские нп (УЭС)'!$A$8:$D$8</definedName>
    <definedName name="Z_0ED4EF63_5D08_4DEB_B312_C0FBC2C39F95_.wvu.FilterData" localSheetId="2" hidden="1">'2 не городские нп (УЭС)'!$A$9:$D$9</definedName>
    <definedName name="Z_0ED4EF63_5D08_4DEB_B312_C0FBC2C39F95_.wvu.FilterData" localSheetId="5" hidden="1">'Организационные мероприятия'!$A$11:$DU$65</definedName>
    <definedName name="Z_0ED4EF63_5D08_4DEB_B312_C0FBC2C39F95_.wvu.Rows" localSheetId="1" hidden="1">'1 городские нп (УЭС)'!$1:$5</definedName>
    <definedName name="Z_0ED4EF63_5D08_4DEB_B312_C0FBC2C39F95_.wvu.Rows" localSheetId="2" hidden="1">'2 не городские нп (УЭС)'!$1:$6</definedName>
    <definedName name="Z_1DC8B66E_352D_4F36_A7D5_86CAFF46F79E_.wvu.FilterData" localSheetId="1" hidden="1">'1 городские нп (УЭС)'!$A$8:$D$8</definedName>
    <definedName name="Z_1DC8B66E_352D_4F36_A7D5_86CAFF46F79E_.wvu.FilterData" localSheetId="2" hidden="1">'2 не городские нп (УЭС)'!$A$9:$D$9</definedName>
    <definedName name="Z_38D7A177_D4EE_496D_881E_6ED3B0D418B8_.wvu.FilterData" localSheetId="1" hidden="1">'1 городские нп (УЭС)'!$A$8:$D$8</definedName>
    <definedName name="Z_38D7A177_D4EE_496D_881E_6ED3B0D418B8_.wvu.FilterData" localSheetId="2" hidden="1">'2 не городские нп (УЭС)'!$A$9:$D$9</definedName>
    <definedName name="Z_39F5BC19_33A1_450E_8426_AA1A3487CB52_.wvu.Rows" localSheetId="1" hidden="1">'1 городские нп (УЭС)'!$1:$5</definedName>
    <definedName name="Z_39F5BC19_33A1_450E_8426_AA1A3487CB52_.wvu.Rows" localSheetId="2" hidden="1">'2 не городские нп (УЭС)'!$1:$6</definedName>
    <definedName name="Z_512A30C0_C237_4A61_86DC_72786D6F25C2_.wvu.FilterData" localSheetId="1" hidden="1">'1 городские нп (УЭС)'!$A$8:$D$8</definedName>
    <definedName name="Z_512A30C0_C237_4A61_86DC_72786D6F25C2_.wvu.FilterData" localSheetId="2" hidden="1">'2 не городские нп (УЭС)'!$A$9:$D$9</definedName>
    <definedName name="Z_512A30C0_C237_4A61_86DC_72786D6F25C2_.wvu.FilterData" localSheetId="5" hidden="1">'Организационные мероприятия'!$A$11:$DU$65</definedName>
    <definedName name="Z_512A30C0_C237_4A61_86DC_72786D6F25C2_.wvu.Rows" localSheetId="1" hidden="1">'1 городские нп (УЭС)'!$1:$5</definedName>
    <definedName name="Z_512A30C0_C237_4A61_86DC_72786D6F25C2_.wvu.Rows" localSheetId="2" hidden="1">'2 не городские нп (УЭС)'!$1:$6</definedName>
    <definedName name="Z_5F7A3ADC_7486_4D8A_A6F4_C4B82E4EEF29_.wvu.FilterData" localSheetId="1" hidden="1">'1 городские нп (УЭС)'!$A$8:$D$8</definedName>
    <definedName name="Z_5F7A3ADC_7486_4D8A_A6F4_C4B82E4EEF29_.wvu.FilterData" localSheetId="2" hidden="1">'2 не городские нп (УЭС)'!$A$9:$D$9</definedName>
    <definedName name="Z_6BDD9E66_BFEF_437C_92D4_C3942BAB2C45_.wvu.FilterData" localSheetId="1" hidden="1">'1 городские нп (УЭС)'!$A$8:$D$8</definedName>
    <definedName name="Z_6BDD9E66_BFEF_437C_92D4_C3942BAB2C45_.wvu.FilterData" localSheetId="2" hidden="1">'2 не городские нп (УЭС)'!$A$9:$D$9</definedName>
    <definedName name="Z_6BDD9E66_BFEF_437C_92D4_C3942BAB2C45_.wvu.FilterData" localSheetId="5" hidden="1">'Организационные мероприятия'!$A$11:$DU$65</definedName>
    <definedName name="Z_6BDD9E66_BFEF_437C_92D4_C3942BAB2C45_.wvu.Rows" localSheetId="1" hidden="1">'1 городские нп (УЭС)'!$1:$5</definedName>
    <definedName name="Z_6BDD9E66_BFEF_437C_92D4_C3942BAB2C45_.wvu.Rows" localSheetId="2" hidden="1">'2 не городские нп (УЭС)'!$1:$6</definedName>
    <definedName name="Z_74D0D4B6_9D40_49CF_96AF_89F460F9F4B2_.wvu.FilterData" localSheetId="1" hidden="1">'1 городские нп (УЭС)'!$A$8:$D$8</definedName>
    <definedName name="Z_74D0D4B6_9D40_49CF_96AF_89F460F9F4B2_.wvu.FilterData" localSheetId="2" hidden="1">'2 не городские нп (УЭС)'!$A$9:$D$9</definedName>
    <definedName name="Z_7B118219_3410_4C8C_AF0F_F2A340477A44_.wvu.FilterData" localSheetId="5" hidden="1">'Организационные мероприятия'!$A$11:$DU$65</definedName>
    <definedName name="Z_80574442_B43E_4411_8CEA_6FE6B37B1407_.wvu.FilterData" localSheetId="1" hidden="1">'1 городские нп (УЭС)'!$A$8:$D$8</definedName>
    <definedName name="Z_80574442_B43E_4411_8CEA_6FE6B37B1407_.wvu.FilterData" localSheetId="2" hidden="1">'2 не городские нп (УЭС)'!$A$9:$D$9</definedName>
    <definedName name="Z_8D5083AE_920B_44CB_A5D3_27095C623C8A_.wvu.FilterData" localSheetId="1" hidden="1">'1 городские нп (УЭС)'!$A$8:$D$8</definedName>
    <definedName name="Z_8D5083AE_920B_44CB_A5D3_27095C623C8A_.wvu.FilterData" localSheetId="2" hidden="1">'2 не городские нп (УЭС)'!$A$9:$D$9</definedName>
    <definedName name="Z_8E4DEA9B_2609_45FA_858A_E28E16842988_.wvu.FilterData" localSheetId="1" hidden="1">'1 городские нп (УЭС)'!$A$8:$D$8</definedName>
    <definedName name="Z_8E4DEA9B_2609_45FA_858A_E28E16842988_.wvu.FilterData" localSheetId="2" hidden="1">'2 не городские нп (УЭС)'!$A$9:$D$9</definedName>
    <definedName name="Z_9528F918_98F0_45FD_BE58_081CB6B26C60_.wvu.FilterData" localSheetId="1" hidden="1">'1 городские нп (УЭС)'!$A$8:$D$8</definedName>
    <definedName name="Z_9528F918_98F0_45FD_BE58_081CB6B26C60_.wvu.FilterData" localSheetId="2" hidden="1">'2 не городские нп (УЭС)'!$A$9:$D$9</definedName>
    <definedName name="Z_9528F918_98F0_45FD_BE58_081CB6B26C60_.wvu.FilterData" localSheetId="5" hidden="1">'Организационные мероприятия'!$A$11:$DU$65</definedName>
    <definedName name="Z_9528F918_98F0_45FD_BE58_081CB6B26C60_.wvu.Rows" localSheetId="1" hidden="1">'1 городские нп (УЭС)'!$1:$5,'1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</definedName>
    <definedName name="Z_9528F918_98F0_45FD_BE58_081CB6B26C60_.wvu.Rows" localSheetId="2" hidden="1">'2 не городские нп (УЭС)'!$2:$6,'2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</definedName>
    <definedName name="Z_C7ECD8E9_26D2_4B0C_98DD_E56E0E9C78BC_.wvu.FilterData" localSheetId="5" hidden="1">'Организационные мероприятия'!$A$11:$DU$65</definedName>
    <definedName name="Z_D39D4E7D_6C3D_47CF_BFE2_CDFE67B11C85_.wvu.FilterData" localSheetId="1" hidden="1">'1 городские нп (УЭС)'!$A$8:$D$8</definedName>
    <definedName name="Z_D39D4E7D_6C3D_47CF_BFE2_CDFE67B11C85_.wvu.FilterData" localSheetId="2" hidden="1">'2 не городские нп (УЭС)'!$A$9:$D$9</definedName>
    <definedName name="Z_D39D4E7D_6C3D_47CF_BFE2_CDFE67B11C85_.wvu.FilterData" localSheetId="5" hidden="1">'Организационные мероприятия'!$A$11:$DU$65</definedName>
    <definedName name="Z_D39D4E7D_6C3D_47CF_BFE2_CDFE67B11C85_.wvu.Rows" localSheetId="1" hidden="1">'1 городские нп (УЭС)'!$1:$5,'1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(УЭС)'!#REF!,'1 городские нп (УЭС)'!#REF!</definedName>
    <definedName name="Z_D39D4E7D_6C3D_47CF_BFE2_CDFE67B11C85_.wvu.Rows" localSheetId="2" hidden="1">'2 не городские нп (УЭС)'!$2:$6,'2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(УЭС)'!#REF!,'2 не городские нп (УЭС)'!#REF!</definedName>
    <definedName name="Z_D4E80FB1_EC64_4D59_B60D_943DFB476551_.wvu.FilterData" localSheetId="1" hidden="1">'1 городские нп (УЭС)'!$A$8:$D$8</definedName>
    <definedName name="Z_D4E80FB1_EC64_4D59_B60D_943DFB476551_.wvu.FilterData" localSheetId="2" hidden="1">'2 не городские нп (УЭС)'!$A$9:$D$9</definedName>
    <definedName name="Z_F0C41B50_8258_42CF_913C_7D6D133957C3_.wvu.FilterData" localSheetId="5" hidden="1">'Организационные мероприятия'!$A$11:$DU$65</definedName>
    <definedName name="вл" localSheetId="2">#REF!</definedName>
    <definedName name="вл">#REF!</definedName>
    <definedName name="_xlnm.Print_Titles" localSheetId="1">'1 городские нп (УЭС)'!$7:$8</definedName>
    <definedName name="_xlnm.Print_Titles" localSheetId="2">'2 не городские нп (УЭС)'!$8:$9</definedName>
    <definedName name="мат" localSheetId="2">#REF!</definedName>
    <definedName name="мат">#REF!</definedName>
    <definedName name="мат10" localSheetId="2">#REF!</definedName>
    <definedName name="мат10">#REF!</definedName>
    <definedName name="мат11" localSheetId="2">#REF!</definedName>
    <definedName name="мат11">#REF!</definedName>
    <definedName name="мат12" localSheetId="2">#REF!</definedName>
    <definedName name="мат12">#REF!</definedName>
    <definedName name="мат13" localSheetId="2">#REF!</definedName>
    <definedName name="мат13">#REF!</definedName>
    <definedName name="мат14" localSheetId="2">#REF!</definedName>
    <definedName name="мат14">#REF!</definedName>
    <definedName name="мат15" localSheetId="2">#REF!</definedName>
    <definedName name="мат15">#REF!</definedName>
    <definedName name="мат16" localSheetId="2">#REF!</definedName>
    <definedName name="мат16">#REF!</definedName>
    <definedName name="мат17" localSheetId="2">#REF!</definedName>
    <definedName name="мат17">#REF!</definedName>
    <definedName name="мат18" localSheetId="2">#REF!</definedName>
    <definedName name="мат18">#REF!</definedName>
    <definedName name="мат19" localSheetId="2">#REF!</definedName>
    <definedName name="мат19">#REF!</definedName>
    <definedName name="мат2" localSheetId="2">#REF!</definedName>
    <definedName name="мат2">#REF!</definedName>
    <definedName name="мат20" localSheetId="2">#REF!</definedName>
    <definedName name="мат20">#REF!</definedName>
    <definedName name="мат21" localSheetId="2">#REF!</definedName>
    <definedName name="мат21">#REF!</definedName>
    <definedName name="мат22" localSheetId="2">#REF!</definedName>
    <definedName name="мат22">#REF!</definedName>
    <definedName name="мат23" localSheetId="2">#REF!</definedName>
    <definedName name="мат23">#REF!</definedName>
    <definedName name="мат24" localSheetId="2">#REF!</definedName>
    <definedName name="мат24">#REF!</definedName>
    <definedName name="мат25" localSheetId="2">#REF!</definedName>
    <definedName name="мат25">#REF!</definedName>
    <definedName name="мат26" localSheetId="2">#REF!</definedName>
    <definedName name="мат26">#REF!</definedName>
    <definedName name="мат27" localSheetId="2">#REF!</definedName>
    <definedName name="мат27">#REF!</definedName>
    <definedName name="мат28" localSheetId="2">#REF!</definedName>
    <definedName name="мат28">#REF!</definedName>
    <definedName name="мат29" localSheetId="2">#REF!</definedName>
    <definedName name="мат29">#REF!</definedName>
    <definedName name="мат3" localSheetId="2">#REF!</definedName>
    <definedName name="мат3">#REF!</definedName>
    <definedName name="мат30" localSheetId="2">#REF!</definedName>
    <definedName name="мат30">#REF!</definedName>
    <definedName name="мат31" localSheetId="2">#REF!</definedName>
    <definedName name="мат31">#REF!</definedName>
    <definedName name="мат4" localSheetId="2">#REF!</definedName>
    <definedName name="мат4">#REF!</definedName>
    <definedName name="мат5" localSheetId="2">#REF!</definedName>
    <definedName name="мат5">#REF!</definedName>
    <definedName name="мат6" localSheetId="2">#REF!</definedName>
    <definedName name="мат6">#REF!</definedName>
    <definedName name="мат7" localSheetId="2">#REF!</definedName>
    <definedName name="мат7">#REF!</definedName>
    <definedName name="мат8" localSheetId="2">#REF!</definedName>
    <definedName name="мат8">#REF!</definedName>
    <definedName name="мат9" localSheetId="2">#REF!</definedName>
    <definedName name="мат9">#REF!</definedName>
    <definedName name="напр3" localSheetId="2">#REF!</definedName>
    <definedName name="напр3">#REF!</definedName>
    <definedName name="_xlnm.Print_Area" localSheetId="1">'1 городские нп (УЭС)'!$A$1:$W$3477</definedName>
    <definedName name="_xlnm.Print_Area" localSheetId="2">'2 не городские нп (УЭС)'!$A$1:$W$125</definedName>
    <definedName name="Провод_СИП_4_2_16" localSheetId="1">#REF!</definedName>
    <definedName name="Провод_СИП_4_2_16" localSheetId="2">#REF!</definedName>
    <definedName name="Провод_СИП_4_2_16">#REF!</definedName>
    <definedName name="способ" localSheetId="2">#REF!</definedName>
    <definedName name="способ">#REF!</definedName>
    <definedName name="ставки" localSheetId="2">#REF!</definedName>
    <definedName name="ставки">#REF!</definedName>
    <definedName name="ур_напр1" localSheetId="2">#REF!</definedName>
    <definedName name="ур_напр1">#REF!</definedName>
    <definedName name="уровень.напряжения1" localSheetId="2">#REF!</definedName>
    <definedName name="уровень.напряжения1">#REF!</definedName>
    <definedName name="уровень_напряжения" localSheetId="2">#REF!</definedName>
    <definedName name="уровень_напряжения">#REF!</definedName>
  </definedNames>
  <calcPr calcId="144525"/>
  <customWorkbookViews>
    <customWorkbookView name="Высторопец Мария Сергеевна - Личное представление" guid="{9528F918-98F0-45FD-BE58-081CB6B26C60}" mergeInterval="0" personalView="1" maximized="1" xWindow="-8" yWindow="-8" windowWidth="1936" windowHeight="1056" activeSheetId="1"/>
    <customWorkbookView name="Блинова Татьяна Викторовна - Личное представление" guid="{512A30C0-C237-4A61-86DC-72786D6F25C2}" mergeInterval="0" personalView="1" maximized="1" xWindow="-8" yWindow="-8" windowWidth="1296" windowHeight="1000" activeSheetId="2"/>
    <customWorkbookView name="Савина Татьяна Вячеславовна - Личное представление" guid="{0CB0DA52-F445-4927-9AA2-C71984857A40}" mergeInterval="0" personalView="1" maximized="1" xWindow="-8" yWindow="-8" windowWidth="1936" windowHeight="1056" activeSheetId="2" showComments="commIndAndComment"/>
    <customWorkbookView name="Смирнова Татьяна Владимировна - Личное представление" guid="{6BDD9E66-BFEF-437C-92D4-C3942BAB2C45}" mergeInterval="0" personalView="1" maximized="1" xWindow="-8" yWindow="-8" windowWidth="1936" windowHeight="1056" activeSheetId="2"/>
    <customWorkbookView name="Сурмач Марина Валерьевна - Личное представление" guid="{0ED4EF63-5D08-4DEB-B312-C0FBC2C39F95}" mergeInterval="0" personalView="1" maximized="1" xWindow="-8" yWindow="-8" windowWidth="1936" windowHeight="1056" activeSheetId="2"/>
    <customWorkbookView name="Васькова Вероника Леонидовна - Личное представление" guid="{F0411C3B-1953-42F6-B0AB-C4CCEDB5FA1C}" mergeInterval="0" personalView="1" maximized="1" xWindow="-8" yWindow="-8" windowWidth="1936" windowHeight="1056" activeSheetId="2"/>
    <customWorkbookView name="Галашко Марина Валерьевна - Личное представление" guid="{39F5BC19-33A1-450E-8426-AA1A3487CB52}" mergeInterval="0" personalView="1" maximized="1" xWindow="-8" yWindow="-8" windowWidth="1296" windowHeight="1000" activeSheetId="1"/>
    <customWorkbookView name="Иванова Елена Алексеевна - Личное представление" guid="{D39D4E7D-6C3D-47CF-BFE2-CDFE67B11C85}" mergeInterval="0" personalView="1" maximized="1" xWindow="-8" yWindow="-8" windowWidth="1936" windowHeight="1056" activeSheetId="1"/>
  </customWorkbookViews>
  <fileRecoveryPr autoRecover="0"/>
</workbook>
</file>

<file path=xl/calcChain.xml><?xml version="1.0" encoding="utf-8"?>
<calcChain xmlns="http://schemas.openxmlformats.org/spreadsheetml/2006/main">
  <c r="BI120" i="16" l="1"/>
  <c r="BI119" i="16"/>
  <c r="BH119" i="16"/>
  <c r="BI118" i="16"/>
  <c r="BC117" i="16"/>
  <c r="BB117" i="16"/>
  <c r="BA117" i="16"/>
  <c r="AZ117" i="16"/>
  <c r="AY117" i="16"/>
  <c r="AX117" i="16"/>
  <c r="AW117" i="16"/>
  <c r="AV117" i="16"/>
  <c r="AU117" i="16"/>
  <c r="AT117" i="16"/>
  <c r="BI117" i="16" s="1"/>
  <c r="AS117" i="16"/>
  <c r="AR117" i="16"/>
  <c r="AQ117" i="16"/>
  <c r="BI116" i="16"/>
  <c r="BI115" i="16"/>
  <c r="BH115" i="16"/>
  <c r="BI114" i="16"/>
  <c r="BC113" i="16"/>
  <c r="BB113" i="16"/>
  <c r="BA113" i="16"/>
  <c r="AZ113" i="16"/>
  <c r="AY113" i="16"/>
  <c r="AX113" i="16"/>
  <c r="AW113" i="16"/>
  <c r="AV113" i="16"/>
  <c r="AU113" i="16"/>
  <c r="AT113" i="16"/>
  <c r="BI113" i="16" s="1"/>
  <c r="AS113" i="16"/>
  <c r="AR113" i="16"/>
  <c r="AQ113" i="16"/>
  <c r="BI112" i="16"/>
  <c r="BI110" i="16"/>
  <c r="BI109" i="16"/>
  <c r="BI108" i="16"/>
  <c r="BI107" i="16"/>
  <c r="BI106" i="16"/>
  <c r="BC105" i="16"/>
  <c r="BB105" i="16"/>
  <c r="BA105" i="16"/>
  <c r="AZ105" i="16"/>
  <c r="AY105" i="16"/>
  <c r="AX105" i="16"/>
  <c r="AW105" i="16"/>
  <c r="AV105" i="16"/>
  <c r="AU105" i="16"/>
  <c r="AT105" i="16"/>
  <c r="AS105" i="16"/>
  <c r="AR105" i="16"/>
  <c r="AQ105" i="16"/>
  <c r="BI104" i="16"/>
  <c r="BI103" i="16"/>
  <c r="BH103" i="16"/>
  <c r="BI102" i="16"/>
  <c r="BI101" i="16"/>
  <c r="BC100" i="16"/>
  <c r="BC99" i="16" s="1"/>
  <c r="BB100" i="16"/>
  <c r="BA100" i="16"/>
  <c r="AZ100" i="16"/>
  <c r="AY100" i="16"/>
  <c r="AY99" i="16" s="1"/>
  <c r="AX100" i="16"/>
  <c r="AW100" i="16"/>
  <c r="AV100" i="16"/>
  <c r="AU100" i="16"/>
  <c r="AU99" i="16" s="1"/>
  <c r="AT100" i="16"/>
  <c r="BI100" i="16" s="1"/>
  <c r="AS100" i="16"/>
  <c r="AR100" i="16"/>
  <c r="AQ100" i="16"/>
  <c r="AQ99" i="16" s="1"/>
  <c r="BA99" i="16"/>
  <c r="AW99" i="16"/>
  <c r="AS99" i="16"/>
  <c r="BI98" i="16"/>
  <c r="BI97" i="16"/>
  <c r="BC96" i="16"/>
  <c r="BB96" i="16"/>
  <c r="BA96" i="16"/>
  <c r="AZ96" i="16"/>
  <c r="AY96" i="16"/>
  <c r="AX96" i="16"/>
  <c r="AW96" i="16"/>
  <c r="AV96" i="16"/>
  <c r="AU96" i="16"/>
  <c r="AT96" i="16"/>
  <c r="BI96" i="16" s="1"/>
  <c r="AS96" i="16"/>
  <c r="AR96" i="16"/>
  <c r="AQ96" i="16"/>
  <c r="BI95" i="16"/>
  <c r="BI94" i="16"/>
  <c r="BC93" i="16"/>
  <c r="BB93" i="16"/>
  <c r="BA93" i="16"/>
  <c r="AZ93" i="16"/>
  <c r="AY93" i="16"/>
  <c r="AX93" i="16"/>
  <c r="AW93" i="16"/>
  <c r="AV93" i="16"/>
  <c r="AU93" i="16"/>
  <c r="AT93" i="16"/>
  <c r="AS93" i="16"/>
  <c r="AR93" i="16"/>
  <c r="AQ93" i="16"/>
  <c r="BI92" i="16"/>
  <c r="BI91" i="16"/>
  <c r="BC90" i="16"/>
  <c r="BB90" i="16"/>
  <c r="BA90" i="16"/>
  <c r="AZ90" i="16"/>
  <c r="AY90" i="16"/>
  <c r="AX90" i="16"/>
  <c r="AW90" i="16"/>
  <c r="AV90" i="16"/>
  <c r="AU90" i="16"/>
  <c r="AT90" i="16"/>
  <c r="AS90" i="16"/>
  <c r="AR90" i="16"/>
  <c r="AQ90" i="16"/>
  <c r="BI89" i="16"/>
  <c r="BI88" i="16"/>
  <c r="BC87" i="16"/>
  <c r="BB87" i="16"/>
  <c r="BB86" i="16" s="1"/>
  <c r="BA87" i="16"/>
  <c r="AZ87" i="16"/>
  <c r="AZ86" i="16" s="1"/>
  <c r="AY87" i="16"/>
  <c r="AX87" i="16"/>
  <c r="AX86" i="16" s="1"/>
  <c r="AW87" i="16"/>
  <c r="AV87" i="16"/>
  <c r="AV86" i="16" s="1"/>
  <c r="AU87" i="16"/>
  <c r="AT87" i="16"/>
  <c r="AT86" i="16" s="1"/>
  <c r="AS87" i="16"/>
  <c r="AR87" i="16"/>
  <c r="AR86" i="16" s="1"/>
  <c r="AQ87" i="16"/>
  <c r="BC86" i="16"/>
  <c r="BA86" i="16"/>
  <c r="AY86" i="16"/>
  <c r="AW86" i="16"/>
  <c r="AU86" i="16"/>
  <c r="AS86" i="16"/>
  <c r="AQ86" i="16"/>
  <c r="BI85" i="16"/>
  <c r="BI84" i="16"/>
  <c r="BH84" i="16"/>
  <c r="BI83" i="16"/>
  <c r="BH83" i="16"/>
  <c r="BC82" i="16"/>
  <c r="BC81" i="16" s="1"/>
  <c r="BB82" i="16"/>
  <c r="BA82" i="16"/>
  <c r="BA81" i="16" s="1"/>
  <c r="AZ82" i="16"/>
  <c r="AY82" i="16"/>
  <c r="AY81" i="16" s="1"/>
  <c r="AX82" i="16"/>
  <c r="AW82" i="16"/>
  <c r="AW81" i="16" s="1"/>
  <c r="AV82" i="16"/>
  <c r="AU82" i="16"/>
  <c r="AU81" i="16" s="1"/>
  <c r="AT82" i="16"/>
  <c r="BI82" i="16" s="1"/>
  <c r="AS82" i="16"/>
  <c r="AS81" i="16" s="1"/>
  <c r="AR82" i="16"/>
  <c r="AQ82" i="16"/>
  <c r="AQ81" i="16" s="1"/>
  <c r="BB81" i="16"/>
  <c r="AZ81" i="16"/>
  <c r="AX81" i="16"/>
  <c r="AV81" i="16"/>
  <c r="AT81" i="16"/>
  <c r="BI81" i="16" s="1"/>
  <c r="AR81" i="16"/>
  <c r="BI80" i="16"/>
  <c r="BH80" i="16"/>
  <c r="BI79" i="16"/>
  <c r="BH79" i="16"/>
  <c r="BC78" i="16"/>
  <c r="BB78" i="16"/>
  <c r="BA78" i="16"/>
  <c r="AZ78" i="16"/>
  <c r="AY78" i="16"/>
  <c r="AX78" i="16"/>
  <c r="AW78" i="16"/>
  <c r="AV78" i="16"/>
  <c r="AU78" i="16"/>
  <c r="AT78" i="16"/>
  <c r="BH78" i="16" s="1"/>
  <c r="AS78" i="16"/>
  <c r="AR78" i="16"/>
  <c r="AQ78" i="16"/>
  <c r="BI77" i="16"/>
  <c r="BH77" i="16"/>
  <c r="BI76" i="16"/>
  <c r="BH76" i="16"/>
  <c r="BC75" i="16"/>
  <c r="BC74" i="16" s="1"/>
  <c r="BB75" i="16"/>
  <c r="BA75" i="16"/>
  <c r="AZ75" i="16"/>
  <c r="AY75" i="16"/>
  <c r="AY74" i="16" s="1"/>
  <c r="AX75" i="16"/>
  <c r="AW75" i="16"/>
  <c r="AV75" i="16"/>
  <c r="AU75" i="16"/>
  <c r="AU74" i="16" s="1"/>
  <c r="AT75" i="16"/>
  <c r="AS75" i="16"/>
  <c r="AR75" i="16"/>
  <c r="AQ75" i="16"/>
  <c r="AQ74" i="16" s="1"/>
  <c r="BA74" i="16"/>
  <c r="AW74" i="16"/>
  <c r="AS74" i="16"/>
  <c r="BI73" i="16"/>
  <c r="BH73" i="16"/>
  <c r="BI72" i="16"/>
  <c r="BH72" i="16"/>
  <c r="BC71" i="16"/>
  <c r="BB71" i="16"/>
  <c r="BA71" i="16"/>
  <c r="AZ71" i="16"/>
  <c r="AY71" i="16"/>
  <c r="AX71" i="16"/>
  <c r="AW71" i="16"/>
  <c r="AV71" i="16"/>
  <c r="AU71" i="16"/>
  <c r="AT71" i="16"/>
  <c r="BI71" i="16" s="1"/>
  <c r="AS71" i="16"/>
  <c r="AR71" i="16"/>
  <c r="AQ71" i="16"/>
  <c r="BI70" i="16"/>
  <c r="BH70" i="16"/>
  <c r="BI69" i="16"/>
  <c r="BH69" i="16"/>
  <c r="BC68" i="16"/>
  <c r="BB68" i="16"/>
  <c r="BA68" i="16"/>
  <c r="AZ68" i="16"/>
  <c r="AY68" i="16"/>
  <c r="AX68" i="16"/>
  <c r="AW68" i="16"/>
  <c r="AV68" i="16"/>
  <c r="AU68" i="16"/>
  <c r="AT68" i="16"/>
  <c r="AS68" i="16"/>
  <c r="AR68" i="16"/>
  <c r="AQ68" i="16"/>
  <c r="BI67" i="16"/>
  <c r="BH67" i="16"/>
  <c r="BI66" i="16"/>
  <c r="BH66" i="16"/>
  <c r="BI65" i="16"/>
  <c r="BH65" i="16"/>
  <c r="BC64" i="16"/>
  <c r="BB64" i="16"/>
  <c r="BA64" i="16"/>
  <c r="AZ64" i="16"/>
  <c r="AY64" i="16"/>
  <c r="AX64" i="16"/>
  <c r="AW64" i="16"/>
  <c r="AV64" i="16"/>
  <c r="AU64" i="16"/>
  <c r="AT64" i="16"/>
  <c r="BI64" i="16" s="1"/>
  <c r="AS64" i="16"/>
  <c r="AR64" i="16"/>
  <c r="AQ64" i="16"/>
  <c r="BI63" i="16"/>
  <c r="BH63" i="16"/>
  <c r="BI62" i="16"/>
  <c r="BH62" i="16"/>
  <c r="BC61" i="16"/>
  <c r="BB61" i="16"/>
  <c r="BA61" i="16"/>
  <c r="AZ61" i="16"/>
  <c r="AY61" i="16"/>
  <c r="AX61" i="16"/>
  <c r="AW61" i="16"/>
  <c r="AV61" i="16"/>
  <c r="AU61" i="16"/>
  <c r="AT61" i="16"/>
  <c r="BH61" i="16" s="1"/>
  <c r="AS61" i="16"/>
  <c r="AR61" i="16"/>
  <c r="AQ61" i="16"/>
  <c r="BI60" i="16"/>
  <c r="BH60" i="16"/>
  <c r="BI59" i="16"/>
  <c r="BH59" i="16"/>
  <c r="BC58" i="16"/>
  <c r="BC57" i="16" s="1"/>
  <c r="BB58" i="16"/>
  <c r="BA58" i="16"/>
  <c r="AZ58" i="16"/>
  <c r="AY58" i="16"/>
  <c r="AY57" i="16" s="1"/>
  <c r="AX58" i="16"/>
  <c r="AW58" i="16"/>
  <c r="AV58" i="16"/>
  <c r="AU58" i="16"/>
  <c r="AU57" i="16" s="1"/>
  <c r="AT58" i="16"/>
  <c r="AS58" i="16"/>
  <c r="AR58" i="16"/>
  <c r="AQ58" i="16"/>
  <c r="AQ57" i="16" s="1"/>
  <c r="BA57" i="16"/>
  <c r="AW57" i="16"/>
  <c r="AS57" i="16"/>
  <c r="BI56" i="16"/>
  <c r="BH56" i="16"/>
  <c r="BI55" i="16"/>
  <c r="BH55" i="16"/>
  <c r="BC54" i="16"/>
  <c r="BC53" i="16" s="1"/>
  <c r="BB54" i="16"/>
  <c r="BB53" i="16" s="1"/>
  <c r="BA54" i="16"/>
  <c r="AZ54" i="16"/>
  <c r="AZ53" i="16" s="1"/>
  <c r="AY54" i="16"/>
  <c r="AY53" i="16" s="1"/>
  <c r="AX54" i="16"/>
  <c r="AX53" i="16" s="1"/>
  <c r="AW54" i="16"/>
  <c r="AV54" i="16"/>
  <c r="AV53" i="16" s="1"/>
  <c r="AU54" i="16"/>
  <c r="AU53" i="16" s="1"/>
  <c r="AT54" i="16"/>
  <c r="BI54" i="16" s="1"/>
  <c r="AS54" i="16"/>
  <c r="AR54" i="16"/>
  <c r="AR53" i="16" s="1"/>
  <c r="AQ54" i="16"/>
  <c r="AQ53" i="16" s="1"/>
  <c r="BA53" i="16"/>
  <c r="AW53" i="16"/>
  <c r="AS53" i="16"/>
  <c r="BI52" i="16"/>
  <c r="BH52" i="16"/>
  <c r="BI51" i="16"/>
  <c r="BH51" i="16"/>
  <c r="BC50" i="16"/>
  <c r="BB50" i="16"/>
  <c r="BA50" i="16"/>
  <c r="AZ50" i="16"/>
  <c r="AY50" i="16"/>
  <c r="AX50" i="16"/>
  <c r="AW50" i="16"/>
  <c r="AV50" i="16"/>
  <c r="AU50" i="16"/>
  <c r="AT50" i="16"/>
  <c r="BI50" i="16" s="1"/>
  <c r="AS50" i="16"/>
  <c r="AR50" i="16"/>
  <c r="AQ50" i="16"/>
  <c r="BI49" i="16"/>
  <c r="BH49" i="16"/>
  <c r="BI48" i="16"/>
  <c r="BH48" i="16"/>
  <c r="BC47" i="16"/>
  <c r="BC46" i="16" s="1"/>
  <c r="BB47" i="16"/>
  <c r="BA47" i="16"/>
  <c r="BA46" i="16" s="1"/>
  <c r="AZ47" i="16"/>
  <c r="AY47" i="16"/>
  <c r="AY46" i="16" s="1"/>
  <c r="AX47" i="16"/>
  <c r="AW47" i="16"/>
  <c r="AW46" i="16" s="1"/>
  <c r="AV47" i="16"/>
  <c r="AU47" i="16"/>
  <c r="AU46" i="16" s="1"/>
  <c r="AT47" i="16"/>
  <c r="AS47" i="16"/>
  <c r="AS46" i="16" s="1"/>
  <c r="AR47" i="16"/>
  <c r="AQ47" i="16"/>
  <c r="AQ46" i="16" s="1"/>
  <c r="BB46" i="16"/>
  <c r="AZ46" i="16"/>
  <c r="AX46" i="16"/>
  <c r="AV46" i="16"/>
  <c r="AT46" i="16"/>
  <c r="AR46" i="16"/>
  <c r="BI45" i="16"/>
  <c r="BH45" i="16"/>
  <c r="BI44" i="16"/>
  <c r="BH44" i="16"/>
  <c r="BC43" i="16"/>
  <c r="BB43" i="16"/>
  <c r="BA43" i="16"/>
  <c r="AZ43" i="16"/>
  <c r="AY43" i="16"/>
  <c r="AX43" i="16"/>
  <c r="AW43" i="16"/>
  <c r="AV43" i="16"/>
  <c r="AU43" i="16"/>
  <c r="AT43" i="16"/>
  <c r="AS43" i="16"/>
  <c r="AR43" i="16"/>
  <c r="AQ43" i="16"/>
  <c r="BI42" i="16"/>
  <c r="BH42" i="16"/>
  <c r="BI41" i="16"/>
  <c r="BH41" i="16"/>
  <c r="BI40" i="16"/>
  <c r="BH40" i="16"/>
  <c r="BC39" i="16"/>
  <c r="BB39" i="16"/>
  <c r="BA39" i="16"/>
  <c r="AZ39" i="16"/>
  <c r="AY39" i="16"/>
  <c r="AX39" i="16"/>
  <c r="AW39" i="16"/>
  <c r="AV39" i="16"/>
  <c r="AU39" i="16"/>
  <c r="AT39" i="16"/>
  <c r="BI39" i="16" s="1"/>
  <c r="AS39" i="16"/>
  <c r="AR39" i="16"/>
  <c r="AQ39" i="16"/>
  <c r="BI38" i="16"/>
  <c r="BH38" i="16"/>
  <c r="BI37" i="16"/>
  <c r="BH37" i="16"/>
  <c r="BI36" i="16"/>
  <c r="BH36" i="16"/>
  <c r="BI35" i="16"/>
  <c r="BH35" i="16"/>
  <c r="BC34" i="16"/>
  <c r="BB34" i="16"/>
  <c r="BA34" i="16"/>
  <c r="AZ34" i="16"/>
  <c r="AY34" i="16"/>
  <c r="AX34" i="16"/>
  <c r="AW34" i="16"/>
  <c r="AV34" i="16"/>
  <c r="AU34" i="16"/>
  <c r="AT34" i="16"/>
  <c r="BH34" i="16" s="1"/>
  <c r="AS34" i="16"/>
  <c r="AR34" i="16"/>
  <c r="BI34" i="16" s="1"/>
  <c r="AQ34" i="16"/>
  <c r="BI33" i="16"/>
  <c r="BH33" i="16"/>
  <c r="BI32" i="16"/>
  <c r="BH32" i="16"/>
  <c r="BI31" i="16"/>
  <c r="BH31" i="16"/>
  <c r="BC30" i="16"/>
  <c r="BC29" i="16" s="1"/>
  <c r="BB30" i="16"/>
  <c r="BA30" i="16"/>
  <c r="AZ30" i="16"/>
  <c r="AY30" i="16"/>
  <c r="AY29" i="16" s="1"/>
  <c r="AX30" i="16"/>
  <c r="AW30" i="16"/>
  <c r="AV30" i="16"/>
  <c r="AU30" i="16"/>
  <c r="AU29" i="16" s="1"/>
  <c r="AT30" i="16"/>
  <c r="BI30" i="16" s="1"/>
  <c r="AS30" i="16"/>
  <c r="AR30" i="16"/>
  <c r="AQ30" i="16"/>
  <c r="AQ29" i="16" s="1"/>
  <c r="BA29" i="16"/>
  <c r="AW29" i="16"/>
  <c r="AS29" i="16"/>
  <c r="BI28" i="16"/>
  <c r="BH28" i="16"/>
  <c r="BI27" i="16"/>
  <c r="BH27" i="16"/>
  <c r="BC26" i="16"/>
  <c r="BB26" i="16"/>
  <c r="BA26" i="16"/>
  <c r="AZ26" i="16"/>
  <c r="AY26" i="16"/>
  <c r="AX26" i="16"/>
  <c r="AW26" i="16"/>
  <c r="AV26" i="16"/>
  <c r="AU26" i="16"/>
  <c r="AT26" i="16"/>
  <c r="AS26" i="16"/>
  <c r="AR26" i="16"/>
  <c r="AQ26" i="16"/>
  <c r="BI25" i="16"/>
  <c r="BH25" i="16"/>
  <c r="BI24" i="16"/>
  <c r="BH24" i="16"/>
  <c r="BC22" i="16"/>
  <c r="BB22" i="16"/>
  <c r="BA22" i="16"/>
  <c r="AZ22" i="16"/>
  <c r="AY22" i="16"/>
  <c r="AX22" i="16"/>
  <c r="AW22" i="16"/>
  <c r="AV22" i="16"/>
  <c r="AU22" i="16"/>
  <c r="AT22" i="16"/>
  <c r="BI22" i="16" s="1"/>
  <c r="AS22" i="16"/>
  <c r="AR22" i="16"/>
  <c r="AQ22" i="16"/>
  <c r="BI21" i="16"/>
  <c r="BH21" i="16"/>
  <c r="BI20" i="16"/>
  <c r="BH20" i="16"/>
  <c r="BI19" i="16"/>
  <c r="BH19" i="16"/>
  <c r="BI18" i="16"/>
  <c r="BH18" i="16"/>
  <c r="BI17" i="16"/>
  <c r="BH17" i="16"/>
  <c r="BI16" i="16"/>
  <c r="BH16" i="16"/>
  <c r="BI15" i="16"/>
  <c r="BH15" i="16"/>
  <c r="BC14" i="16"/>
  <c r="BB14" i="16"/>
  <c r="BA14" i="16"/>
  <c r="AZ14" i="16"/>
  <c r="AY14" i="16"/>
  <c r="AX14" i="16"/>
  <c r="AW14" i="16"/>
  <c r="AV14" i="16"/>
  <c r="AU14" i="16"/>
  <c r="AT14" i="16"/>
  <c r="AS14" i="16"/>
  <c r="AR14" i="16"/>
  <c r="AQ14" i="16"/>
  <c r="BC11" i="16"/>
  <c r="BB11" i="16"/>
  <c r="BA11" i="16"/>
  <c r="AZ11" i="16"/>
  <c r="AZ10" i="16" s="1"/>
  <c r="AY11" i="16"/>
  <c r="AX11" i="16"/>
  <c r="AX10" i="16" s="1"/>
  <c r="AW11" i="16"/>
  <c r="AV11" i="16"/>
  <c r="AV10" i="16" s="1"/>
  <c r="AU11" i="16"/>
  <c r="AT11" i="16"/>
  <c r="BH11" i="16" s="1"/>
  <c r="AS11" i="16"/>
  <c r="AR11" i="16"/>
  <c r="AR10" i="16" s="1"/>
  <c r="AQ11" i="16"/>
  <c r="BB10" i="16"/>
  <c r="AT10" i="16"/>
  <c r="BI86" i="16" l="1"/>
  <c r="BI11" i="16"/>
  <c r="AS10" i="16"/>
  <c r="AW10" i="16"/>
  <c r="BA10" i="16"/>
  <c r="BH26" i="16"/>
  <c r="AX29" i="16"/>
  <c r="BB29" i="16"/>
  <c r="BH43" i="16"/>
  <c r="BI46" i="16"/>
  <c r="BH47" i="16"/>
  <c r="AR57" i="16"/>
  <c r="AV57" i="16"/>
  <c r="AZ57" i="16"/>
  <c r="BH68" i="16"/>
  <c r="AR74" i="16"/>
  <c r="AV74" i="16"/>
  <c r="AZ74" i="16"/>
  <c r="BI90" i="16"/>
  <c r="AR99" i="16"/>
  <c r="AV99" i="16"/>
  <c r="AZ99" i="16"/>
  <c r="BI61" i="16"/>
  <c r="BI78" i="16"/>
  <c r="BI87" i="16"/>
  <c r="BI10" i="16"/>
  <c r="AQ10" i="16"/>
  <c r="AU10" i="16"/>
  <c r="AY10" i="16"/>
  <c r="BC10" i="16"/>
  <c r="BH22" i="16"/>
  <c r="AR29" i="16"/>
  <c r="AV29" i="16"/>
  <c r="AZ29" i="16"/>
  <c r="BI43" i="16"/>
  <c r="BI47" i="16"/>
  <c r="BH58" i="16"/>
  <c r="AX57" i="16"/>
  <c r="BB57" i="16"/>
  <c r="BI68" i="16"/>
  <c r="BH75" i="16"/>
  <c r="AX74" i="16"/>
  <c r="BB74" i="16"/>
  <c r="AT99" i="16"/>
  <c r="AX99" i="16"/>
  <c r="BB99" i="16"/>
  <c r="BI14" i="16"/>
  <c r="BI93" i="16"/>
  <c r="BI99" i="16"/>
  <c r="BH14" i="16"/>
  <c r="BH50" i="16"/>
  <c r="BI26" i="16"/>
  <c r="AT29" i="16"/>
  <c r="AT53" i="16"/>
  <c r="BI58" i="16"/>
  <c r="BI75" i="16"/>
  <c r="BH10" i="16"/>
  <c r="BH30" i="16"/>
  <c r="BH39" i="16"/>
  <c r="BH46" i="16"/>
  <c r="BH54" i="16"/>
  <c r="BH64" i="16"/>
  <c r="BH71" i="16"/>
  <c r="BI105" i="16"/>
  <c r="AT57" i="16"/>
  <c r="AT74" i="16"/>
  <c r="BI617" i="13"/>
  <c r="BH617" i="13"/>
  <c r="BI3433" i="13"/>
  <c r="BI3434" i="13"/>
  <c r="BI3435" i="13"/>
  <c r="BI3436" i="13"/>
  <c r="BI3437" i="13"/>
  <c r="BI3438" i="13"/>
  <c r="BI3439" i="13"/>
  <c r="BI3440" i="13"/>
  <c r="BI3441" i="13"/>
  <c r="BI3442" i="13"/>
  <c r="BI3443" i="13"/>
  <c r="BI3444" i="13"/>
  <c r="BI3445" i="13"/>
  <c r="BI3446" i="13"/>
  <c r="BI3447" i="13"/>
  <c r="BI3448" i="13"/>
  <c r="BI3449" i="13"/>
  <c r="BI3450" i="13"/>
  <c r="BI3451" i="13"/>
  <c r="BI3452" i="13"/>
  <c r="BI1588" i="13"/>
  <c r="BI1589" i="13"/>
  <c r="BI1590" i="13"/>
  <c r="BI1428" i="13"/>
  <c r="BI1429" i="13"/>
  <c r="BI1430" i="13"/>
  <c r="BI1431" i="13"/>
  <c r="BI695" i="13"/>
  <c r="BI696" i="13"/>
  <c r="BI74" i="16" l="1"/>
  <c r="BH74" i="16"/>
  <c r="BI53" i="16"/>
  <c r="BH53" i="16"/>
  <c r="BI57" i="16"/>
  <c r="BH57" i="16"/>
  <c r="BH29" i="16"/>
  <c r="BI29" i="16"/>
  <c r="W354" i="13"/>
  <c r="V354" i="13"/>
  <c r="AO354" i="13"/>
  <c r="AP354" i="13"/>
  <c r="AU402" i="13" l="1"/>
  <c r="AV402" i="13"/>
  <c r="AX402" i="13"/>
  <c r="AY402" i="13"/>
  <c r="AZ402" i="13"/>
  <c r="BA402" i="13"/>
  <c r="BB402" i="13"/>
  <c r="BC402" i="13"/>
  <c r="AT402" i="13"/>
  <c r="AR402" i="13"/>
  <c r="AS402" i="13"/>
  <c r="AQ402" i="13"/>
  <c r="BI487" i="13"/>
  <c r="BH487" i="13"/>
  <c r="AW487" i="13"/>
  <c r="BI486" i="13"/>
  <c r="BH486" i="13"/>
  <c r="AW486" i="13"/>
  <c r="BI485" i="13"/>
  <c r="BH485" i="13"/>
  <c r="BI484" i="13"/>
  <c r="BH484" i="13"/>
  <c r="AW484" i="13"/>
  <c r="AR717" i="13"/>
  <c r="AS717" i="13"/>
  <c r="AQ717" i="13"/>
  <c r="AU693" i="13"/>
  <c r="AV693" i="13"/>
  <c r="AX693" i="13"/>
  <c r="AY693" i="13"/>
  <c r="AZ693" i="13"/>
  <c r="BA693" i="13"/>
  <c r="BB693" i="13"/>
  <c r="AT693" i="13"/>
  <c r="AR693" i="13"/>
  <c r="AS693" i="13"/>
  <c r="AQ693" i="13"/>
  <c r="AU644" i="13"/>
  <c r="AV644" i="13"/>
  <c r="AW644" i="13"/>
  <c r="AX644" i="13"/>
  <c r="AY644" i="13"/>
  <c r="AZ644" i="13"/>
  <c r="BA644" i="13"/>
  <c r="BB644" i="13"/>
  <c r="BC644" i="13"/>
  <c r="AT644" i="13"/>
  <c r="AR644" i="13"/>
  <c r="AS644" i="13"/>
  <c r="AQ644" i="13"/>
  <c r="AU638" i="13"/>
  <c r="AV638" i="13"/>
  <c r="AW638" i="13"/>
  <c r="AX638" i="13"/>
  <c r="AY638" i="13"/>
  <c r="AZ638" i="13"/>
  <c r="BA638" i="13"/>
  <c r="BB638" i="13"/>
  <c r="BC638" i="13"/>
  <c r="AT638" i="13"/>
  <c r="AS638" i="13"/>
  <c r="AR638" i="13"/>
  <c r="AQ638" i="13"/>
  <c r="AU634" i="13"/>
  <c r="AV634" i="13"/>
  <c r="AW634" i="13"/>
  <c r="AX634" i="13"/>
  <c r="AY634" i="13"/>
  <c r="AZ634" i="13"/>
  <c r="BA634" i="13"/>
  <c r="BB634" i="13"/>
  <c r="BC634" i="13"/>
  <c r="AT634" i="13"/>
  <c r="AR634" i="13"/>
  <c r="AS634" i="13"/>
  <c r="AQ634" i="13"/>
  <c r="AU629" i="13"/>
  <c r="AV629" i="13"/>
  <c r="AW629" i="13"/>
  <c r="AX629" i="13"/>
  <c r="AY629" i="13"/>
  <c r="AZ629" i="13"/>
  <c r="BA629" i="13"/>
  <c r="BB629" i="13"/>
  <c r="BC629" i="13"/>
  <c r="AT629" i="13"/>
  <c r="AR629" i="13"/>
  <c r="AS629" i="13"/>
  <c r="AQ629" i="13"/>
  <c r="AU624" i="13"/>
  <c r="AV624" i="13"/>
  <c r="AW624" i="13"/>
  <c r="AX624" i="13"/>
  <c r="AY624" i="13"/>
  <c r="AZ624" i="13"/>
  <c r="BA624" i="13"/>
  <c r="BB624" i="13"/>
  <c r="BC624" i="13"/>
  <c r="AT624" i="13"/>
  <c r="AR624" i="13"/>
  <c r="AS624" i="13"/>
  <c r="AQ624" i="13"/>
  <c r="AU620" i="13"/>
  <c r="AV620" i="13"/>
  <c r="AW620" i="13"/>
  <c r="AX620" i="13"/>
  <c r="AY620" i="13"/>
  <c r="AZ620" i="13"/>
  <c r="BA620" i="13"/>
  <c r="BB620" i="13"/>
  <c r="BC620" i="13"/>
  <c r="AT620" i="13"/>
  <c r="AR620" i="13"/>
  <c r="AS620" i="13"/>
  <c r="AQ620" i="13"/>
  <c r="BH640" i="13" l="1"/>
  <c r="BI640" i="13"/>
  <c r="AB402" i="13"/>
  <c r="AE402" i="13"/>
  <c r="AF402" i="13"/>
  <c r="AG402" i="13"/>
  <c r="AH402" i="13"/>
  <c r="AI402" i="13"/>
  <c r="AJ402" i="13"/>
  <c r="AA402" i="13"/>
  <c r="Y402" i="13"/>
  <c r="Z402" i="13"/>
  <c r="AB496" i="13"/>
  <c r="AC496" i="13"/>
  <c r="AD496" i="13"/>
  <c r="AE496" i="13"/>
  <c r="AF496" i="13"/>
  <c r="AG496" i="13"/>
  <c r="AH496" i="13"/>
  <c r="AI496" i="13"/>
  <c r="AJ496" i="13"/>
  <c r="AA496" i="13"/>
  <c r="Y496" i="13"/>
  <c r="Z496" i="13"/>
  <c r="X496" i="13"/>
  <c r="AB505" i="13"/>
  <c r="AC505" i="13"/>
  <c r="AD505" i="13"/>
  <c r="AE505" i="13"/>
  <c r="AF505" i="13"/>
  <c r="AG505" i="13"/>
  <c r="AH505" i="13"/>
  <c r="AI505" i="13"/>
  <c r="AJ505" i="13"/>
  <c r="AA505" i="13"/>
  <c r="Y505" i="13"/>
  <c r="Z505" i="13"/>
  <c r="X505" i="13"/>
  <c r="AB523" i="13"/>
  <c r="AC523" i="13"/>
  <c r="AD523" i="13"/>
  <c r="AE523" i="13"/>
  <c r="AF523" i="13"/>
  <c r="AG523" i="13"/>
  <c r="AH523" i="13"/>
  <c r="AI523" i="13"/>
  <c r="AJ523" i="13"/>
  <c r="AA523" i="13"/>
  <c r="Y523" i="13"/>
  <c r="Z523" i="13"/>
  <c r="X523" i="13"/>
  <c r="AB531" i="13"/>
  <c r="AC531" i="13"/>
  <c r="AE531" i="13"/>
  <c r="AF531" i="13"/>
  <c r="AG531" i="13"/>
  <c r="AH531" i="13"/>
  <c r="AI531" i="13"/>
  <c r="AA531" i="13"/>
  <c r="Y531" i="13"/>
  <c r="Z531" i="13"/>
  <c r="X531" i="13"/>
  <c r="AB536" i="13"/>
  <c r="AC536" i="13"/>
  <c r="AE536" i="13"/>
  <c r="AF536" i="13"/>
  <c r="AG536" i="13"/>
  <c r="AH536" i="13"/>
  <c r="AI536" i="13"/>
  <c r="AA536" i="13"/>
  <c r="Y536" i="13"/>
  <c r="Z536" i="13"/>
  <c r="X536" i="13"/>
  <c r="AJ540" i="13"/>
  <c r="AB540" i="13"/>
  <c r="AC540" i="13"/>
  <c r="AD540" i="13"/>
  <c r="AE540" i="13"/>
  <c r="AF540" i="13"/>
  <c r="AG540" i="13"/>
  <c r="AH540" i="13"/>
  <c r="AI540" i="13"/>
  <c r="AA540" i="13"/>
  <c r="Y540" i="13"/>
  <c r="Z540" i="13"/>
  <c r="X540" i="13"/>
  <c r="AB543" i="13"/>
  <c r="AC543" i="13"/>
  <c r="AE543" i="13"/>
  <c r="AF543" i="13"/>
  <c r="AG543" i="13"/>
  <c r="AH543" i="13"/>
  <c r="AI543" i="13"/>
  <c r="AA543" i="13"/>
  <c r="Y543" i="13"/>
  <c r="Z543" i="13"/>
  <c r="X543" i="13"/>
  <c r="AB548" i="13"/>
  <c r="AC548" i="13"/>
  <c r="AD548" i="13"/>
  <c r="AE548" i="13"/>
  <c r="AF548" i="13"/>
  <c r="AG548" i="13"/>
  <c r="AH548" i="13"/>
  <c r="AI548" i="13"/>
  <c r="AJ548" i="13"/>
  <c r="AA548" i="13"/>
  <c r="Y548" i="13"/>
  <c r="Z548" i="13"/>
  <c r="X548" i="13"/>
  <c r="AB552" i="13"/>
  <c r="AC552" i="13"/>
  <c r="AD552" i="13"/>
  <c r="AE552" i="13"/>
  <c r="AF552" i="13"/>
  <c r="AG552" i="13"/>
  <c r="AH552" i="13"/>
  <c r="AI552" i="13"/>
  <c r="AJ552" i="13"/>
  <c r="AA552" i="13"/>
  <c r="Y552" i="13"/>
  <c r="Z552" i="13"/>
  <c r="X552" i="13"/>
  <c r="AJ564" i="13"/>
  <c r="AI564" i="13"/>
  <c r="AH564" i="13"/>
  <c r="AG564" i="13"/>
  <c r="AF564" i="13"/>
  <c r="AE564" i="13"/>
  <c r="AD564" i="13"/>
  <c r="AC564" i="13"/>
  <c r="AB564" i="13"/>
  <c r="AA564" i="13"/>
  <c r="Z564" i="13"/>
  <c r="Y564" i="13"/>
  <c r="X564" i="13"/>
  <c r="AJ568" i="13"/>
  <c r="AI568" i="13"/>
  <c r="AH568" i="13"/>
  <c r="AG568" i="13"/>
  <c r="AF568" i="13"/>
  <c r="AE568" i="13"/>
  <c r="AD568" i="13"/>
  <c r="AC568" i="13"/>
  <c r="AB568" i="13"/>
  <c r="AA568" i="13"/>
  <c r="Z568" i="13"/>
  <c r="Y568" i="13"/>
  <c r="X568" i="13"/>
  <c r="AJ572" i="13"/>
  <c r="AI572" i="13"/>
  <c r="AH572" i="13"/>
  <c r="AG572" i="13"/>
  <c r="AF572" i="13"/>
  <c r="AE572" i="13"/>
  <c r="AB572" i="13"/>
  <c r="AA572" i="13"/>
  <c r="Z572" i="13"/>
  <c r="Y572" i="13"/>
  <c r="X572" i="13"/>
  <c r="AB580" i="13"/>
  <c r="AC580" i="13"/>
  <c r="AE580" i="13"/>
  <c r="AF580" i="13"/>
  <c r="AG580" i="13"/>
  <c r="AH580" i="13"/>
  <c r="AI580" i="13"/>
  <c r="AA580" i="13"/>
  <c r="Y580" i="13"/>
  <c r="Z580" i="13"/>
  <c r="X580" i="13"/>
  <c r="AB586" i="13"/>
  <c r="AC586" i="13"/>
  <c r="AE586" i="13"/>
  <c r="AF586" i="13"/>
  <c r="AG586" i="13"/>
  <c r="AH586" i="13"/>
  <c r="AI586" i="13"/>
  <c r="AA586" i="13"/>
  <c r="Y586" i="13"/>
  <c r="Z586" i="13"/>
  <c r="X586" i="13"/>
  <c r="AB608" i="13"/>
  <c r="AC608" i="13"/>
  <c r="AD608" i="13"/>
  <c r="AE608" i="13"/>
  <c r="AF608" i="13"/>
  <c r="AG608" i="13"/>
  <c r="AH608" i="13"/>
  <c r="AI608" i="13"/>
  <c r="AJ608" i="13"/>
  <c r="AA608" i="13"/>
  <c r="Y608" i="13"/>
  <c r="Z608" i="13"/>
  <c r="X608" i="13"/>
  <c r="AB601" i="13"/>
  <c r="AE601" i="13"/>
  <c r="AF601" i="13"/>
  <c r="AG601" i="13"/>
  <c r="AH601" i="13"/>
  <c r="AI601" i="13"/>
  <c r="AA601" i="13"/>
  <c r="Y601" i="13"/>
  <c r="Z601" i="13"/>
  <c r="X601" i="13"/>
  <c r="AB620" i="13"/>
  <c r="AC620" i="13"/>
  <c r="AD620" i="13"/>
  <c r="AE620" i="13"/>
  <c r="AF620" i="13"/>
  <c r="AG620" i="13"/>
  <c r="AH620" i="13"/>
  <c r="AI620" i="13"/>
  <c r="AJ620" i="13"/>
  <c r="AA620" i="13"/>
  <c r="Y620" i="13"/>
  <c r="Z620" i="13"/>
  <c r="X620" i="13"/>
  <c r="AB624" i="13"/>
  <c r="AC624" i="13"/>
  <c r="AD624" i="13"/>
  <c r="AE624" i="13"/>
  <c r="AF624" i="13"/>
  <c r="AG624" i="13"/>
  <c r="AH624" i="13"/>
  <c r="AI624" i="13"/>
  <c r="AJ624" i="13"/>
  <c r="AA624" i="13"/>
  <c r="Y624" i="13"/>
  <c r="Z624" i="13"/>
  <c r="X624" i="13"/>
  <c r="AB629" i="13"/>
  <c r="AC629" i="13"/>
  <c r="AD629" i="13"/>
  <c r="AE629" i="13"/>
  <c r="AF629" i="13"/>
  <c r="AG629" i="13"/>
  <c r="AH629" i="13"/>
  <c r="AI629" i="13"/>
  <c r="AJ629" i="13"/>
  <c r="AA629" i="13"/>
  <c r="Y629" i="13"/>
  <c r="Z629" i="13"/>
  <c r="X629" i="13"/>
  <c r="AB634" i="13"/>
  <c r="AD634" i="13"/>
  <c r="AE634" i="13"/>
  <c r="AF634" i="13"/>
  <c r="AG634" i="13"/>
  <c r="AH634" i="13"/>
  <c r="AI634" i="13"/>
  <c r="AJ634" i="13"/>
  <c r="AA634" i="13"/>
  <c r="Y634" i="13"/>
  <c r="Z634" i="13"/>
  <c r="AB638" i="13"/>
  <c r="AC638" i="13"/>
  <c r="AD638" i="13"/>
  <c r="AE638" i="13"/>
  <c r="AF638" i="13"/>
  <c r="AG638" i="13"/>
  <c r="AH638" i="13"/>
  <c r="AI638" i="13"/>
  <c r="AJ638" i="13"/>
  <c r="Y638" i="13"/>
  <c r="Z638" i="13"/>
  <c r="AA638" i="13"/>
  <c r="X638" i="13"/>
  <c r="AB644" i="13"/>
  <c r="AC644" i="13"/>
  <c r="AD644" i="13"/>
  <c r="AE644" i="13"/>
  <c r="AF644" i="13"/>
  <c r="AG644" i="13"/>
  <c r="AH644" i="13"/>
  <c r="AI644" i="13"/>
  <c r="AJ644" i="13"/>
  <c r="AA644" i="13"/>
  <c r="Y644" i="13"/>
  <c r="Z644" i="13"/>
  <c r="X644" i="13"/>
  <c r="AB693" i="13"/>
  <c r="AC693" i="13"/>
  <c r="AD693" i="13"/>
  <c r="AE693" i="13"/>
  <c r="AF693" i="13"/>
  <c r="AG693" i="13"/>
  <c r="AH693" i="13"/>
  <c r="AI693" i="13"/>
  <c r="AJ693" i="13"/>
  <c r="AA693" i="13"/>
  <c r="Y693" i="13"/>
  <c r="Z693" i="13"/>
  <c r="X693" i="13"/>
  <c r="I693" i="13"/>
  <c r="J693" i="13"/>
  <c r="K693" i="13"/>
  <c r="L693" i="13"/>
  <c r="M693" i="13"/>
  <c r="N693" i="13"/>
  <c r="O693" i="13"/>
  <c r="P693" i="13"/>
  <c r="Q693" i="13"/>
  <c r="H693" i="13"/>
  <c r="F693" i="13"/>
  <c r="G693" i="13"/>
  <c r="E693" i="13"/>
  <c r="I580" i="13"/>
  <c r="J580" i="13"/>
  <c r="K580" i="13"/>
  <c r="L580" i="13"/>
  <c r="M580" i="13"/>
  <c r="N580" i="13"/>
  <c r="O580" i="13"/>
  <c r="P580" i="13"/>
  <c r="Q580" i="13"/>
  <c r="H580" i="13"/>
  <c r="F580" i="13"/>
  <c r="G580" i="13"/>
  <c r="E580" i="13"/>
  <c r="E402" i="13"/>
  <c r="I402" i="13" l="1"/>
  <c r="J402" i="13"/>
  <c r="L402" i="13"/>
  <c r="M402" i="13"/>
  <c r="N402" i="13"/>
  <c r="O402" i="13"/>
  <c r="P402" i="13"/>
  <c r="Q402" i="13"/>
  <c r="H402" i="13"/>
  <c r="F402" i="13"/>
  <c r="G402" i="13"/>
  <c r="I496" i="13"/>
  <c r="J496" i="13"/>
  <c r="K496" i="13"/>
  <c r="L496" i="13"/>
  <c r="M496" i="13"/>
  <c r="N496" i="13"/>
  <c r="O496" i="13"/>
  <c r="P496" i="13"/>
  <c r="Q496" i="13"/>
  <c r="H496" i="13"/>
  <c r="F496" i="13"/>
  <c r="G496" i="13"/>
  <c r="E496" i="13"/>
  <c r="I648" i="13"/>
  <c r="L648" i="13"/>
  <c r="M648" i="13"/>
  <c r="N648" i="13"/>
  <c r="O648" i="13"/>
  <c r="H648" i="13"/>
  <c r="F648" i="13"/>
  <c r="G648" i="13"/>
  <c r="E648" i="13"/>
  <c r="I644" i="13"/>
  <c r="J644" i="13"/>
  <c r="K644" i="13"/>
  <c r="L644" i="13"/>
  <c r="M644" i="13"/>
  <c r="N644" i="13"/>
  <c r="O644" i="13"/>
  <c r="P644" i="13"/>
  <c r="Q644" i="13"/>
  <c r="H644" i="13"/>
  <c r="F644" i="13"/>
  <c r="G644" i="13"/>
  <c r="E644" i="13"/>
  <c r="I638" i="13"/>
  <c r="J638" i="13"/>
  <c r="K638" i="13"/>
  <c r="L638" i="13"/>
  <c r="M638" i="13"/>
  <c r="N638" i="13"/>
  <c r="O638" i="13"/>
  <c r="P638" i="13"/>
  <c r="Q638" i="13"/>
  <c r="H638" i="13"/>
  <c r="F638" i="13"/>
  <c r="G638" i="13"/>
  <c r="E638" i="13"/>
  <c r="I634" i="13"/>
  <c r="J634" i="13"/>
  <c r="K634" i="13"/>
  <c r="L634" i="13"/>
  <c r="M634" i="13"/>
  <c r="N634" i="13"/>
  <c r="O634" i="13"/>
  <c r="P634" i="13"/>
  <c r="Q634" i="13"/>
  <c r="H634" i="13"/>
  <c r="F634" i="13"/>
  <c r="G634" i="13"/>
  <c r="E634" i="13"/>
  <c r="I629" i="13"/>
  <c r="J629" i="13"/>
  <c r="K629" i="13"/>
  <c r="L629" i="13"/>
  <c r="M629" i="13"/>
  <c r="N629" i="13"/>
  <c r="O629" i="13"/>
  <c r="P629" i="13"/>
  <c r="Q629" i="13"/>
  <c r="H629" i="13"/>
  <c r="F629" i="13"/>
  <c r="G629" i="13"/>
  <c r="E629" i="13"/>
  <c r="BI639" i="13"/>
  <c r="BH639" i="13"/>
  <c r="AP639" i="13"/>
  <c r="AO639" i="13"/>
  <c r="I624" i="13"/>
  <c r="J624" i="13"/>
  <c r="K624" i="13"/>
  <c r="L624" i="13"/>
  <c r="M624" i="13"/>
  <c r="N624" i="13"/>
  <c r="O624" i="13"/>
  <c r="P624" i="13"/>
  <c r="Q624" i="13"/>
  <c r="H624" i="13"/>
  <c r="F624" i="13"/>
  <c r="G624" i="13"/>
  <c r="E624" i="13"/>
  <c r="I620" i="13"/>
  <c r="J620" i="13"/>
  <c r="L620" i="13"/>
  <c r="M620" i="13"/>
  <c r="N620" i="13"/>
  <c r="O620" i="13"/>
  <c r="P620" i="13"/>
  <c r="H620" i="13"/>
  <c r="F620" i="13"/>
  <c r="G620" i="13"/>
  <c r="E620" i="13"/>
  <c r="BI633" i="13"/>
  <c r="BH633" i="13"/>
  <c r="BI623" i="13"/>
  <c r="BH623" i="13"/>
  <c r="I591" i="13"/>
  <c r="J591" i="13"/>
  <c r="K591" i="13"/>
  <c r="L591" i="13"/>
  <c r="M591" i="13"/>
  <c r="N591" i="13"/>
  <c r="O591" i="13"/>
  <c r="P591" i="13"/>
  <c r="Q591" i="13"/>
  <c r="H591" i="13"/>
  <c r="F591" i="13"/>
  <c r="G591" i="13"/>
  <c r="E591" i="13"/>
  <c r="AB591" i="13"/>
  <c r="AC591" i="13"/>
  <c r="AE591" i="13"/>
  <c r="AF591" i="13"/>
  <c r="AG591" i="13"/>
  <c r="AH591" i="13"/>
  <c r="AI591" i="13"/>
  <c r="AA591" i="13"/>
  <c r="Y591" i="13"/>
  <c r="Z591" i="13"/>
  <c r="X591" i="13"/>
  <c r="AU608" i="13"/>
  <c r="AV608" i="13"/>
  <c r="AW608" i="13"/>
  <c r="AX608" i="13"/>
  <c r="AY608" i="13"/>
  <c r="AZ608" i="13"/>
  <c r="BA608" i="13"/>
  <c r="BB608" i="13"/>
  <c r="BC608" i="13"/>
  <c r="AT608" i="13"/>
  <c r="AR608" i="13"/>
  <c r="AS608" i="13"/>
  <c r="AQ608" i="13"/>
  <c r="AU601" i="13"/>
  <c r="AV601" i="13"/>
  <c r="AW601" i="13"/>
  <c r="AX601" i="13"/>
  <c r="AY601" i="13"/>
  <c r="AZ601" i="13"/>
  <c r="BA601" i="13"/>
  <c r="BB601" i="13"/>
  <c r="BC601" i="13"/>
  <c r="AT601" i="13"/>
  <c r="AR601" i="13"/>
  <c r="AS601" i="13"/>
  <c r="AQ601" i="13"/>
  <c r="AU591" i="13"/>
  <c r="AV591" i="13"/>
  <c r="AX591" i="13"/>
  <c r="AY591" i="13"/>
  <c r="AZ591" i="13"/>
  <c r="BA591" i="13"/>
  <c r="BB591" i="13"/>
  <c r="AT591" i="13"/>
  <c r="AR591" i="13"/>
  <c r="AS591" i="13"/>
  <c r="AQ591" i="13"/>
  <c r="AU580" i="13"/>
  <c r="AX580" i="13"/>
  <c r="AY580" i="13"/>
  <c r="AZ580" i="13"/>
  <c r="BA580" i="13"/>
  <c r="BB580" i="13"/>
  <c r="BC580" i="13"/>
  <c r="AT580" i="13"/>
  <c r="AR580" i="13"/>
  <c r="AS580" i="13"/>
  <c r="AU505" i="13"/>
  <c r="AX505" i="13"/>
  <c r="AY505" i="13"/>
  <c r="AZ505" i="13"/>
  <c r="BA505" i="13"/>
  <c r="BB505" i="13"/>
  <c r="AT505" i="13"/>
  <c r="AR505" i="13"/>
  <c r="AS505" i="13"/>
  <c r="AU496" i="13"/>
  <c r="AV496" i="13"/>
  <c r="AW496" i="13"/>
  <c r="AX496" i="13"/>
  <c r="AY496" i="13"/>
  <c r="AZ496" i="13"/>
  <c r="BA496" i="13"/>
  <c r="BB496" i="13"/>
  <c r="BC496" i="13"/>
  <c r="AT496" i="13"/>
  <c r="AR496" i="13"/>
  <c r="AS496" i="13"/>
  <c r="AQ496" i="13"/>
  <c r="BI497" i="13"/>
  <c r="BH497" i="13"/>
  <c r="BI506" i="13"/>
  <c r="BH506" i="13"/>
  <c r="AP506" i="13"/>
  <c r="AO506" i="13"/>
  <c r="W506" i="13"/>
  <c r="V506" i="13"/>
  <c r="AU586" i="13"/>
  <c r="AV586" i="13"/>
  <c r="AW586" i="13"/>
  <c r="AX586" i="13"/>
  <c r="AY586" i="13"/>
  <c r="AZ586" i="13"/>
  <c r="BA586" i="13"/>
  <c r="BB586" i="13"/>
  <c r="BC586" i="13"/>
  <c r="AT586" i="13"/>
  <c r="AR586" i="13"/>
  <c r="AS586" i="13"/>
  <c r="AQ586" i="13"/>
  <c r="AU572" i="13"/>
  <c r="AV572" i="13"/>
  <c r="AW572" i="13"/>
  <c r="AX572" i="13"/>
  <c r="AY572" i="13"/>
  <c r="AZ572" i="13"/>
  <c r="BA572" i="13"/>
  <c r="BB572" i="13"/>
  <c r="BC572" i="13"/>
  <c r="AR572" i="13"/>
  <c r="AS572" i="13"/>
  <c r="AU568" i="13"/>
  <c r="AV568" i="13"/>
  <c r="AW568" i="13"/>
  <c r="AX568" i="13"/>
  <c r="AY568" i="13"/>
  <c r="AZ568" i="13"/>
  <c r="BA568" i="13"/>
  <c r="BB568" i="13"/>
  <c r="BC568" i="13"/>
  <c r="AR568" i="13"/>
  <c r="AS568" i="13"/>
  <c r="AT572" i="13"/>
  <c r="AT568" i="13"/>
  <c r="AT564" i="13"/>
  <c r="AQ572" i="13"/>
  <c r="AQ568" i="13"/>
  <c r="AU564" i="13"/>
  <c r="AV564" i="13"/>
  <c r="AW564" i="13"/>
  <c r="AX564" i="13"/>
  <c r="AY564" i="13"/>
  <c r="AZ564" i="13"/>
  <c r="BA564" i="13"/>
  <c r="BB564" i="13"/>
  <c r="BC564" i="13"/>
  <c r="AR564" i="13"/>
  <c r="AS564" i="13"/>
  <c r="AQ564" i="13"/>
  <c r="AU552" i="13"/>
  <c r="AX552" i="13"/>
  <c r="AY552" i="13"/>
  <c r="AZ552" i="13"/>
  <c r="BA552" i="13"/>
  <c r="BB552" i="13"/>
  <c r="AT552" i="13"/>
  <c r="AR552" i="13"/>
  <c r="AS552" i="13"/>
  <c r="AU548" i="13"/>
  <c r="AV548" i="13"/>
  <c r="AW548" i="13"/>
  <c r="AX548" i="13"/>
  <c r="AY548" i="13"/>
  <c r="AZ548" i="13"/>
  <c r="BA548" i="13"/>
  <c r="BB548" i="13"/>
  <c r="BC548" i="13"/>
  <c r="AT548" i="13"/>
  <c r="AR548" i="13"/>
  <c r="AS548" i="13"/>
  <c r="AQ548" i="13"/>
  <c r="AU543" i="13"/>
  <c r="AV543" i="13"/>
  <c r="AW543" i="13"/>
  <c r="AX543" i="13"/>
  <c r="AY543" i="13"/>
  <c r="AZ543" i="13"/>
  <c r="BA543" i="13"/>
  <c r="BB543" i="13"/>
  <c r="BC543" i="13"/>
  <c r="AT543" i="13"/>
  <c r="AR543" i="13"/>
  <c r="AS543" i="13"/>
  <c r="AQ543" i="13"/>
  <c r="AU540" i="13"/>
  <c r="AV540" i="13"/>
  <c r="AW540" i="13"/>
  <c r="AX540" i="13"/>
  <c r="AY540" i="13"/>
  <c r="AZ540" i="13"/>
  <c r="BA540" i="13"/>
  <c r="BB540" i="13"/>
  <c r="BC540" i="13"/>
  <c r="AT540" i="13"/>
  <c r="AR540" i="13"/>
  <c r="AS540" i="13"/>
  <c r="AQ540" i="13"/>
  <c r="AU536" i="13"/>
  <c r="AV536" i="13"/>
  <c r="AW536" i="13"/>
  <c r="AX536" i="13"/>
  <c r="AY536" i="13"/>
  <c r="AZ536" i="13"/>
  <c r="BA536" i="13"/>
  <c r="BB536" i="13"/>
  <c r="BC536" i="13"/>
  <c r="AT536" i="13"/>
  <c r="AR536" i="13"/>
  <c r="AS536" i="13"/>
  <c r="AQ536" i="13"/>
  <c r="AU531" i="13"/>
  <c r="AV531" i="13"/>
  <c r="AW531" i="13"/>
  <c r="AX531" i="13"/>
  <c r="AY531" i="13"/>
  <c r="AZ531" i="13"/>
  <c r="BA531" i="13"/>
  <c r="BB531" i="13"/>
  <c r="BC531" i="13"/>
  <c r="AT531" i="13"/>
  <c r="AR531" i="13"/>
  <c r="AS531" i="13"/>
  <c r="AQ531" i="13"/>
  <c r="W624" i="13" l="1"/>
  <c r="V624" i="13"/>
  <c r="BI3456" i="13"/>
  <c r="BI3457" i="13"/>
  <c r="BI3458" i="13"/>
  <c r="BI3432" i="13"/>
  <c r="BI3453" i="13"/>
  <c r="BI3454" i="13"/>
  <c r="BI3455" i="13"/>
  <c r="BI3404" i="13"/>
  <c r="BI3405" i="13"/>
  <c r="BI3406" i="13"/>
  <c r="BI3407" i="13"/>
  <c r="BI3408" i="13"/>
  <c r="BI3409" i="13"/>
  <c r="BI3410" i="13"/>
  <c r="BI3411" i="13"/>
  <c r="BI3412" i="13"/>
  <c r="BI3413" i="13"/>
  <c r="BI3414" i="13"/>
  <c r="BI3415" i="13"/>
  <c r="BI3416" i="13"/>
  <c r="BI3417" i="13"/>
  <c r="BI3418" i="13"/>
  <c r="BI3419" i="13"/>
  <c r="BI3420" i="13"/>
  <c r="BI3421" i="13"/>
  <c r="BI3422" i="13"/>
  <c r="BI3423" i="13"/>
  <c r="BI3424" i="13"/>
  <c r="BI3425" i="13"/>
  <c r="BI3426" i="13"/>
  <c r="BI3427" i="13"/>
  <c r="BI3428" i="13"/>
  <c r="BI3429" i="13"/>
  <c r="BI3430" i="13"/>
  <c r="BI3299" i="13"/>
  <c r="BI3300" i="13"/>
  <c r="BI3301" i="13"/>
  <c r="BI3302" i="13"/>
  <c r="BI3303" i="13"/>
  <c r="BI3304" i="13"/>
  <c r="BI3305" i="13"/>
  <c r="BI3306" i="13"/>
  <c r="BI3307" i="13"/>
  <c r="BI3279" i="13"/>
  <c r="BI3280" i="13"/>
  <c r="BI3281" i="13"/>
  <c r="BI3282" i="13"/>
  <c r="BI3283" i="13"/>
  <c r="BI3284" i="13"/>
  <c r="BI3285" i="13"/>
  <c r="BI3286" i="13"/>
  <c r="BI3287" i="13"/>
  <c r="BI3288" i="13"/>
  <c r="BI3289" i="13"/>
  <c r="BI3290" i="13"/>
  <c r="BI3291" i="13"/>
  <c r="BI3292" i="13"/>
  <c r="BI3293" i="13"/>
  <c r="BI3294" i="13"/>
  <c r="BI3295" i="13"/>
  <c r="BI3296" i="13" l="1"/>
  <c r="BI3297" i="13"/>
  <c r="BI3298" i="13"/>
  <c r="BI3308" i="13"/>
  <c r="BI3309" i="13"/>
  <c r="BI3310" i="13"/>
  <c r="BI3311" i="13"/>
  <c r="BI3312" i="13"/>
  <c r="BI3313" i="13"/>
  <c r="BI3314" i="13"/>
  <c r="BI3315" i="13"/>
  <c r="BI3316" i="13"/>
  <c r="BI3317" i="13"/>
  <c r="BI3318" i="13"/>
  <c r="BI3264" i="13"/>
  <c r="BI3265" i="13"/>
  <c r="BI3266" i="13"/>
  <c r="BI3267" i="13"/>
  <c r="BI3268" i="13"/>
  <c r="BI3269" i="13"/>
  <c r="BI3270" i="13"/>
  <c r="BI3271" i="13"/>
  <c r="BI3272" i="13"/>
  <c r="BI3273" i="13"/>
  <c r="BI3274" i="13"/>
  <c r="BI3275" i="13"/>
  <c r="BI3276" i="13"/>
  <c r="BI3277" i="13"/>
  <c r="BI3278" i="13"/>
  <c r="BI3319" i="13"/>
  <c r="BI3320" i="13"/>
  <c r="BI3321" i="13"/>
  <c r="BI3322" i="13"/>
  <c r="BI3323" i="13"/>
  <c r="BI3324" i="13"/>
  <c r="BI3325" i="13"/>
  <c r="BI3326" i="13"/>
  <c r="BI3244" i="13"/>
  <c r="BI3245" i="13"/>
  <c r="BI3246" i="13"/>
  <c r="BI3247" i="13"/>
  <c r="BI3248" i="13"/>
  <c r="BI3249" i="13"/>
  <c r="BI3250" i="13"/>
  <c r="BI3251" i="13"/>
  <c r="BI3252" i="13"/>
  <c r="BI3253" i="13"/>
  <c r="BI3254" i="13"/>
  <c r="BI3255" i="13"/>
  <c r="BI3256" i="13"/>
  <c r="BI3257" i="13"/>
  <c r="BI3258" i="13"/>
  <c r="BI3259" i="13"/>
  <c r="BI3260" i="13"/>
  <c r="BI3261" i="13"/>
  <c r="BI3262" i="13"/>
  <c r="BI3263" i="13"/>
  <c r="BI3225" i="13"/>
  <c r="BI3224" i="13"/>
  <c r="BI3223" i="13"/>
  <c r="BI3222" i="13"/>
  <c r="BI3221" i="13"/>
  <c r="BI3220" i="13"/>
  <c r="BI3234" i="13"/>
  <c r="BI3233" i="13"/>
  <c r="BI3232" i="13"/>
  <c r="BI3231" i="13"/>
  <c r="BI3230" i="13"/>
  <c r="BI3213" i="13"/>
  <c r="BI3212" i="13"/>
  <c r="BI3214" i="13"/>
  <c r="BI1615" i="13"/>
  <c r="BI1614" i="13"/>
  <c r="BI1613" i="13"/>
  <c r="BI1612" i="13"/>
  <c r="BI1616" i="13"/>
  <c r="BI1617" i="13"/>
  <c r="BI1618" i="13"/>
  <c r="BI1619" i="13"/>
  <c r="BI1620" i="13"/>
  <c r="BI1621" i="13"/>
  <c r="BI1594" i="13"/>
  <c r="BI1595" i="13"/>
  <c r="BI1596" i="13"/>
  <c r="BI1597" i="13"/>
  <c r="BI1598" i="13"/>
  <c r="BI1599" i="13"/>
  <c r="BI1600" i="13"/>
  <c r="BI1601" i="13"/>
  <c r="BI1602" i="13"/>
  <c r="BI1603" i="13"/>
  <c r="BI1604" i="13"/>
  <c r="BI1605" i="13"/>
  <c r="BI1606" i="13"/>
  <c r="BI1607" i="13"/>
  <c r="BI3215" i="13" l="1"/>
  <c r="BI3216" i="13"/>
  <c r="BI3217" i="13"/>
  <c r="BI3218" i="13"/>
  <c r="BI3219" i="13"/>
  <c r="BI3226" i="13"/>
  <c r="BI3227" i="13"/>
  <c r="BI3228" i="13"/>
  <c r="BI3229" i="13"/>
  <c r="BI3235" i="13"/>
  <c r="BI3236" i="13"/>
  <c r="BI3204" i="13"/>
  <c r="BI3205" i="13"/>
  <c r="BI3206" i="13"/>
  <c r="BI3207" i="13"/>
  <c r="BI3208" i="13"/>
  <c r="BI3209" i="13"/>
  <c r="BI3210" i="13"/>
  <c r="BI3211" i="13"/>
  <c r="BI3237" i="13"/>
  <c r="BI3238" i="13"/>
  <c r="BI3239" i="13"/>
  <c r="BI3240" i="13"/>
  <c r="BI3183" i="13" l="1"/>
  <c r="BI3184" i="13"/>
  <c r="BI3185" i="13"/>
  <c r="BI3186" i="13"/>
  <c r="BI3187" i="13"/>
  <c r="BI3188" i="13"/>
  <c r="BI3189" i="13"/>
  <c r="BI3190" i="13"/>
  <c r="BI3191" i="13"/>
  <c r="BI3192" i="13"/>
  <c r="BI3163" i="13"/>
  <c r="BI3164" i="13"/>
  <c r="BI3165" i="13"/>
  <c r="BI3166" i="13"/>
  <c r="BI3167" i="13"/>
  <c r="BI3168" i="13"/>
  <c r="BI3169" i="13"/>
  <c r="BI3170" i="13"/>
  <c r="BI3171" i="13"/>
  <c r="BI3172" i="13"/>
  <c r="BI3173" i="13"/>
  <c r="BI3174" i="13"/>
  <c r="BI3175" i="13"/>
  <c r="BI3176" i="13"/>
  <c r="BI3177" i="13"/>
  <c r="BI3178" i="13"/>
  <c r="BI3179" i="13"/>
  <c r="BI3180" i="13"/>
  <c r="BI3181" i="13"/>
  <c r="BI3182" i="13"/>
  <c r="BI3193" i="13"/>
  <c r="BI3194" i="13"/>
  <c r="BI3195" i="13"/>
  <c r="BI3196" i="13"/>
  <c r="BI1591" i="13"/>
  <c r="BI1592" i="13"/>
  <c r="BI1593" i="13"/>
  <c r="BI1608" i="13"/>
  <c r="BI1609" i="13"/>
  <c r="BI1610" i="13"/>
  <c r="BI1611" i="13"/>
  <c r="BI1570" i="13"/>
  <c r="BI1571" i="13"/>
  <c r="BI1572" i="13"/>
  <c r="BI1573" i="13"/>
  <c r="BI1574" i="13"/>
  <c r="BI1575" i="13"/>
  <c r="BI1576" i="13"/>
  <c r="BI1577" i="13"/>
  <c r="BI1578" i="13"/>
  <c r="BI1579" i="13"/>
  <c r="BI1580" i="13"/>
  <c r="BI1581" i="13"/>
  <c r="BI1582" i="13"/>
  <c r="BI1583" i="13"/>
  <c r="BI1584" i="13"/>
  <c r="BI1585" i="13"/>
  <c r="BI1586" i="13"/>
  <c r="BI1587" i="13"/>
  <c r="BI3151" i="13" l="1"/>
  <c r="BI3152" i="13"/>
  <c r="BI3153" i="13"/>
  <c r="BI3154" i="13"/>
  <c r="BI3155" i="13"/>
  <c r="BI3156" i="13"/>
  <c r="BI3157" i="13"/>
  <c r="BI3158" i="13"/>
  <c r="BI3159" i="13"/>
  <c r="BI3160" i="13"/>
  <c r="BI3161" i="13"/>
  <c r="BI3162" i="13"/>
  <c r="BI3197" i="13"/>
  <c r="BI3198" i="13"/>
  <c r="BI3199" i="13"/>
  <c r="BI3200" i="13"/>
  <c r="BI3201" i="13"/>
  <c r="BI3202" i="13"/>
  <c r="BI3203" i="13"/>
  <c r="BI3241" i="13"/>
  <c r="BI3242" i="13"/>
  <c r="BI3243" i="13"/>
  <c r="BI3120" i="13"/>
  <c r="BI3121" i="13"/>
  <c r="BI3122" i="13"/>
  <c r="BI3123" i="13"/>
  <c r="BI3124" i="13"/>
  <c r="BI3125" i="13"/>
  <c r="BI3126" i="13"/>
  <c r="BI1551" i="13"/>
  <c r="BI1552" i="13"/>
  <c r="BI1553" i="13"/>
  <c r="BI1554" i="13"/>
  <c r="BI1555" i="13"/>
  <c r="BI1556" i="13"/>
  <c r="BI1557" i="13"/>
  <c r="BI3127" i="13"/>
  <c r="BI3128" i="13" l="1"/>
  <c r="BI3129" i="13"/>
  <c r="BI3130" i="13"/>
  <c r="BI3131" i="13"/>
  <c r="BI3132" i="13"/>
  <c r="BI3133" i="13"/>
  <c r="BI3134" i="13"/>
  <c r="BI3135" i="13"/>
  <c r="BI3136" i="13"/>
  <c r="BI3137" i="13"/>
  <c r="BI3138" i="13"/>
  <c r="BI3139" i="13"/>
  <c r="BI3140" i="13"/>
  <c r="BI3141" i="13"/>
  <c r="BI3142" i="13"/>
  <c r="BI3143" i="13"/>
  <c r="BI3144" i="13"/>
  <c r="BI3145" i="13"/>
  <c r="BI3146" i="13"/>
  <c r="BI3147" i="13"/>
  <c r="BI3148" i="13"/>
  <c r="BI3093" i="13"/>
  <c r="BI3094" i="13"/>
  <c r="BI3095" i="13"/>
  <c r="BI3096" i="13"/>
  <c r="BI3097" i="13"/>
  <c r="BI3098" i="13"/>
  <c r="BI3099" i="13"/>
  <c r="BI3100" i="13"/>
  <c r="BI3101" i="13"/>
  <c r="BI3102" i="13"/>
  <c r="BI3103" i="13"/>
  <c r="BI3104" i="13"/>
  <c r="BI3105" i="13"/>
  <c r="BI3106" i="13"/>
  <c r="BI3088" i="13" l="1"/>
  <c r="BI3089" i="13"/>
  <c r="BI3090" i="13"/>
  <c r="BI3091" i="13"/>
  <c r="BI3092" i="13"/>
  <c r="BI3107" i="13"/>
  <c r="BI3108" i="13"/>
  <c r="BI3109" i="13"/>
  <c r="BI3110" i="13"/>
  <c r="BI3111" i="13"/>
  <c r="BI3112" i="13"/>
  <c r="BI3113" i="13"/>
  <c r="BI3114" i="13"/>
  <c r="BI3115" i="13"/>
  <c r="BI3116" i="13"/>
  <c r="BI3117" i="13"/>
  <c r="BI3118" i="13"/>
  <c r="BI3119" i="13"/>
  <c r="BI3149" i="13"/>
  <c r="BI3070" i="13"/>
  <c r="BI3071" i="13"/>
  <c r="BI3072" i="13"/>
  <c r="BI3073" i="13"/>
  <c r="BI3074" i="13"/>
  <c r="BI3075" i="13"/>
  <c r="BI3076" i="13"/>
  <c r="BI3077" i="13"/>
  <c r="BI3078" i="13"/>
  <c r="BI3079" i="13"/>
  <c r="BI3080" i="13"/>
  <c r="BI3081" i="13"/>
  <c r="BI3082" i="13"/>
  <c r="BI3083" i="13"/>
  <c r="BI3084" i="13"/>
  <c r="BI3085" i="13"/>
  <c r="BI3086" i="13"/>
  <c r="BI3052" i="13"/>
  <c r="BI3053" i="13"/>
  <c r="BI3054" i="13"/>
  <c r="BI3055" i="13"/>
  <c r="BI3056" i="13"/>
  <c r="BI3057" i="13"/>
  <c r="BI3058" i="13"/>
  <c r="BI3059" i="13"/>
  <c r="BI3060" i="13"/>
  <c r="BI3061" i="13"/>
  <c r="BI3062" i="13"/>
  <c r="BI3063" i="13"/>
  <c r="BI3064" i="13"/>
  <c r="BI3065" i="13"/>
  <c r="BI3066" i="13"/>
  <c r="BI3067" i="13"/>
  <c r="BI3068" i="13"/>
  <c r="BI3069" i="13"/>
  <c r="BI3087" i="13"/>
  <c r="BI1547" i="13" l="1"/>
  <c r="BI1548" i="13"/>
  <c r="BI1549" i="13"/>
  <c r="BI1550" i="13"/>
  <c r="BI1558" i="13"/>
  <c r="BI1559" i="13"/>
  <c r="BI1560" i="13"/>
  <c r="BI1561" i="13"/>
  <c r="BI1562" i="13"/>
  <c r="BI1563" i="13"/>
  <c r="BI1564" i="13"/>
  <c r="BI1565" i="13"/>
  <c r="BI1566" i="13"/>
  <c r="BI1567" i="13"/>
  <c r="BI1568" i="13"/>
  <c r="BI1569" i="13"/>
  <c r="BI1504" i="13"/>
  <c r="BI1505" i="13"/>
  <c r="BI1506" i="13"/>
  <c r="BI1507" i="13"/>
  <c r="BI1508" i="13"/>
  <c r="BI1509" i="13"/>
  <c r="BI1510" i="13"/>
  <c r="BI1511" i="13"/>
  <c r="BI1512" i="13"/>
  <c r="BI1513" i="13"/>
  <c r="BI1514" i="13"/>
  <c r="BI1515" i="13"/>
  <c r="BI1516" i="13"/>
  <c r="BI1517" i="13"/>
  <c r="BI1518" i="13"/>
  <c r="BI1519" i="13"/>
  <c r="BI1520" i="13"/>
  <c r="BI1521" i="13"/>
  <c r="BI1522" i="13"/>
  <c r="BI1523" i="13"/>
  <c r="BI3041" i="13" l="1"/>
  <c r="BI3042" i="13"/>
  <c r="BI3043" i="13"/>
  <c r="BI3044" i="13"/>
  <c r="BI3045" i="13"/>
  <c r="BI3046" i="13"/>
  <c r="BI3047" i="13"/>
  <c r="BI3048" i="13"/>
  <c r="BI3049" i="13"/>
  <c r="BI3008" i="13"/>
  <c r="BI3009" i="13"/>
  <c r="BI3010" i="13"/>
  <c r="BI3011" i="13"/>
  <c r="BI3012" i="13"/>
  <c r="BI3013" i="13"/>
  <c r="BI3014" i="13"/>
  <c r="BI3015" i="13"/>
  <c r="BI3016" i="13"/>
  <c r="BI3017" i="13"/>
  <c r="BI3018" i="13"/>
  <c r="BI3019" i="13"/>
  <c r="BI3020" i="13"/>
  <c r="BI3021" i="13"/>
  <c r="BI3022" i="13"/>
  <c r="BI2992" i="13"/>
  <c r="BI2993" i="13"/>
  <c r="BI2994" i="13"/>
  <c r="BI2995" i="13"/>
  <c r="BI2996" i="13"/>
  <c r="BI2997" i="13"/>
  <c r="BI2998" i="13"/>
  <c r="BI2999" i="13"/>
  <c r="BI3000" i="13"/>
  <c r="BI3001" i="13"/>
  <c r="BI3002" i="13"/>
  <c r="BI3003" i="13"/>
  <c r="BI3004" i="13"/>
  <c r="BI3005" i="13"/>
  <c r="BI3006" i="13"/>
  <c r="BI3007" i="13"/>
  <c r="BI1524" i="13"/>
  <c r="BI1525" i="13"/>
  <c r="BI1526" i="13"/>
  <c r="BI1527" i="13"/>
  <c r="BI1528" i="13"/>
  <c r="BI1529" i="13"/>
  <c r="BI1530" i="13"/>
  <c r="BI1531" i="13"/>
  <c r="BI1532" i="13"/>
  <c r="BI1474" i="13"/>
  <c r="BI1475" i="13"/>
  <c r="BI1476" i="13"/>
  <c r="BI1477" i="13"/>
  <c r="BI1478" i="13"/>
  <c r="BI1479" i="13"/>
  <c r="BI1480" i="13"/>
  <c r="BI1481" i="13"/>
  <c r="BI1482" i="13"/>
  <c r="BI1483" i="13"/>
  <c r="BI1484" i="13"/>
  <c r="BI1485" i="13"/>
  <c r="BI1486" i="13"/>
  <c r="BI1487" i="13"/>
  <c r="BI1488" i="13"/>
  <c r="BI1489" i="13"/>
  <c r="BI1490" i="13"/>
  <c r="BI1491" i="13"/>
  <c r="BI1492" i="13"/>
  <c r="BI1493" i="13"/>
  <c r="BI1494" i="13"/>
  <c r="BI1495" i="13"/>
  <c r="BI1496" i="13"/>
  <c r="BI1497" i="13"/>
  <c r="BI1498" i="13"/>
  <c r="BI1499" i="13"/>
  <c r="BI1500" i="13"/>
  <c r="BI3023" i="13" l="1"/>
  <c r="BI3024" i="13"/>
  <c r="BI3025" i="13"/>
  <c r="BI3026" i="13"/>
  <c r="BI3027" i="13"/>
  <c r="BI3028" i="13"/>
  <c r="BI3029" i="13"/>
  <c r="BI3030" i="13"/>
  <c r="BI3031" i="13"/>
  <c r="BI3032" i="13"/>
  <c r="BI3033" i="13"/>
  <c r="BI3034" i="13"/>
  <c r="BI2983" i="13"/>
  <c r="BI2984" i="13"/>
  <c r="BI2985" i="13"/>
  <c r="BI2986" i="13"/>
  <c r="BI2987" i="13"/>
  <c r="BI2988" i="13"/>
  <c r="BI2989" i="13"/>
  <c r="BI2990" i="13"/>
  <c r="BI2991" i="13"/>
  <c r="BI3035" i="13"/>
  <c r="BI3036" i="13"/>
  <c r="BI3037" i="13"/>
  <c r="BI3038" i="13"/>
  <c r="BI3039" i="13"/>
  <c r="BI3040" i="13"/>
  <c r="BI3050" i="13"/>
  <c r="BI2972" i="13" l="1"/>
  <c r="BI2973" i="13"/>
  <c r="BI2974" i="13"/>
  <c r="BI2975" i="13"/>
  <c r="BI2976" i="13"/>
  <c r="BI2977" i="13"/>
  <c r="BI2978" i="13"/>
  <c r="BI2979" i="13"/>
  <c r="BI2980" i="13"/>
  <c r="BI2981" i="13"/>
  <c r="BI2982" i="13"/>
  <c r="BI3051" i="13"/>
  <c r="BI2955" i="13"/>
  <c r="BI2956" i="13"/>
  <c r="BI2957" i="13"/>
  <c r="BI2958" i="13"/>
  <c r="BI2959" i="13"/>
  <c r="BI2960" i="13"/>
  <c r="BI2961" i="13"/>
  <c r="BI2962" i="13"/>
  <c r="BI1465" i="13"/>
  <c r="BI1466" i="13"/>
  <c r="BI1467" i="13"/>
  <c r="BI1468" i="13"/>
  <c r="BI1469" i="13"/>
  <c r="BI1470" i="13"/>
  <c r="BI1471" i="13"/>
  <c r="BI1472" i="13"/>
  <c r="BI1473" i="13"/>
  <c r="BI1501" i="13"/>
  <c r="BI1502" i="13"/>
  <c r="BI1503" i="13"/>
  <c r="BI1533" i="13"/>
  <c r="BI1534" i="13"/>
  <c r="BI1535" i="13"/>
  <c r="BI1536" i="13"/>
  <c r="BI1537" i="13"/>
  <c r="BI1538" i="13"/>
  <c r="BI1539" i="13"/>
  <c r="BI1540" i="13"/>
  <c r="BI1541" i="13"/>
  <c r="BI1542" i="13"/>
  <c r="BI1543" i="13"/>
  <c r="BI2963" i="13"/>
  <c r="BI2964" i="13"/>
  <c r="BI2965" i="13"/>
  <c r="BI2966" i="13"/>
  <c r="BI2967" i="13"/>
  <c r="BI2968" i="13"/>
  <c r="BI2941" i="13" l="1"/>
  <c r="BI2942" i="13"/>
  <c r="BI2943" i="13"/>
  <c r="BI2944" i="13"/>
  <c r="BI2945" i="13"/>
  <c r="BI2946" i="13"/>
  <c r="BI2947" i="13"/>
  <c r="BI2948" i="13"/>
  <c r="BI2949" i="13"/>
  <c r="BI2950" i="13"/>
  <c r="BI2951" i="13"/>
  <c r="BI2952" i="13"/>
  <c r="BI2953" i="13"/>
  <c r="BI2954" i="13"/>
  <c r="BI2969" i="13"/>
  <c r="BI2970" i="13"/>
  <c r="BI2927" i="13"/>
  <c r="BI2928" i="13"/>
  <c r="BI2929" i="13"/>
  <c r="BI2930" i="13"/>
  <c r="BI2931" i="13"/>
  <c r="BI2932" i="13"/>
  <c r="BI2933" i="13"/>
  <c r="BI2934" i="13"/>
  <c r="BI2935" i="13"/>
  <c r="BI2936" i="13"/>
  <c r="BI2937" i="13"/>
  <c r="BI2938" i="13"/>
  <c r="BI2939" i="13"/>
  <c r="BI2940" i="13"/>
  <c r="BI2971" i="13"/>
  <c r="BI2907" i="13"/>
  <c r="BI2908" i="13"/>
  <c r="BI2909" i="13"/>
  <c r="BI2910" i="13"/>
  <c r="BI2911" i="13"/>
  <c r="BI2912" i="13"/>
  <c r="BI2913" i="13"/>
  <c r="BI2914" i="13"/>
  <c r="BI2915" i="13"/>
  <c r="BI2916" i="13"/>
  <c r="BI2917" i="13"/>
  <c r="BI2918" i="13"/>
  <c r="BI1432" i="13" l="1"/>
  <c r="BI1433" i="13"/>
  <c r="BI1434" i="13"/>
  <c r="BI1435" i="13"/>
  <c r="BI1436" i="13"/>
  <c r="BI1437" i="13"/>
  <c r="BI1443" i="13"/>
  <c r="BI1444" i="13"/>
  <c r="BI1445" i="13"/>
  <c r="BI1446" i="13"/>
  <c r="BI1447" i="13"/>
  <c r="BI1448" i="13"/>
  <c r="BI1449" i="13"/>
  <c r="BI1450" i="13"/>
  <c r="BI1451" i="13"/>
  <c r="BI1452" i="13"/>
  <c r="BI1453" i="13"/>
  <c r="BI1454" i="13"/>
  <c r="BI1455" i="13"/>
  <c r="BI1456" i="13"/>
  <c r="BI1457" i="13"/>
  <c r="BI1458" i="13"/>
  <c r="BI1459" i="13"/>
  <c r="BI1460" i="13"/>
  <c r="BI1461" i="13"/>
  <c r="BI2891" i="13" l="1"/>
  <c r="BI2892" i="13"/>
  <c r="BI2893" i="13"/>
  <c r="BI2894" i="13"/>
  <c r="BI2895" i="13"/>
  <c r="BI2896" i="13"/>
  <c r="BI2897" i="13"/>
  <c r="BI2898" i="13"/>
  <c r="BI2899" i="13"/>
  <c r="BI2900" i="13"/>
  <c r="BI2901" i="13"/>
  <c r="BI2902" i="13"/>
  <c r="BI2903" i="13"/>
  <c r="BI2904" i="13"/>
  <c r="BI2905" i="13"/>
  <c r="BI2906" i="13"/>
  <c r="BI2919" i="13"/>
  <c r="BI2920" i="13"/>
  <c r="BI2921" i="13"/>
  <c r="BI2922" i="13"/>
  <c r="BI2923" i="13"/>
  <c r="BI2924" i="13"/>
  <c r="BI2925" i="13"/>
  <c r="BI1404" i="13" l="1"/>
  <c r="BI1405" i="13"/>
  <c r="BI1406" i="13"/>
  <c r="BI1407" i="13"/>
  <c r="BI1408" i="13"/>
  <c r="BI1409" i="13"/>
  <c r="BI1410" i="13"/>
  <c r="BI1411" i="13"/>
  <c r="BI1412" i="13"/>
  <c r="BI1413" i="13"/>
  <c r="BI1414" i="13"/>
  <c r="BI1415" i="13"/>
  <c r="BI1416" i="13"/>
  <c r="BI1394" i="13" l="1"/>
  <c r="BI1395" i="13"/>
  <c r="BI1396" i="13"/>
  <c r="BI1397" i="13"/>
  <c r="BI1398" i="13"/>
  <c r="BI1399" i="13"/>
  <c r="BI1400" i="13"/>
  <c r="BI1401" i="13"/>
  <c r="BI1402" i="13"/>
  <c r="BI1403" i="13"/>
  <c r="BI1419" i="13" l="1"/>
  <c r="BI1420" i="13"/>
  <c r="BI1421" i="13"/>
  <c r="BI1422" i="13"/>
  <c r="BI1423" i="13"/>
  <c r="BI1424" i="13"/>
  <c r="BI1425" i="13"/>
  <c r="BI1426" i="13"/>
  <c r="BI1427" i="13"/>
  <c r="BI1438" i="13"/>
  <c r="BI1439" i="13"/>
  <c r="BI1440" i="13"/>
  <c r="BI1441" i="13"/>
  <c r="BI1442" i="13"/>
  <c r="BI1462" i="13"/>
  <c r="BI1463" i="13"/>
  <c r="BI1392" i="13"/>
  <c r="BI1393" i="13"/>
  <c r="BI1417" i="13"/>
  <c r="BI1418" i="13"/>
  <c r="BI1464" i="13"/>
  <c r="BI1544" i="13"/>
  <c r="BI1545" i="13"/>
  <c r="BI1546" i="13"/>
  <c r="BI1376" i="13"/>
  <c r="BI1377" i="13"/>
  <c r="BI1378" i="13"/>
  <c r="BI2874" i="13" l="1"/>
  <c r="BI2875" i="13"/>
  <c r="BI2876" i="13"/>
  <c r="BI2877" i="13"/>
  <c r="BI2878" i="13"/>
  <c r="BI2879" i="13"/>
  <c r="BI2880" i="13"/>
  <c r="BI2881" i="13"/>
  <c r="BI2882" i="13"/>
  <c r="BI2883" i="13"/>
  <c r="BI2884" i="13"/>
  <c r="BI2885" i="13"/>
  <c r="BI2886" i="13"/>
  <c r="BI2887" i="13"/>
  <c r="BI2888" i="13"/>
  <c r="BI2889" i="13"/>
  <c r="BI2890" i="13"/>
  <c r="BI2926" i="13"/>
  <c r="BI2844" i="13" l="1"/>
  <c r="BI2845" i="13"/>
  <c r="BI2846" i="13"/>
  <c r="BI2847" i="13"/>
  <c r="BI2848" i="13"/>
  <c r="BI2849" i="13"/>
  <c r="BI2850" i="13"/>
  <c r="BI2851" i="13"/>
  <c r="BI2852" i="13"/>
  <c r="BI2834" i="13"/>
  <c r="BI2835" i="13"/>
  <c r="BI2836" i="13"/>
  <c r="BI2837" i="13"/>
  <c r="BI2838" i="13"/>
  <c r="BI2839" i="13"/>
  <c r="BI2840" i="13"/>
  <c r="BI2841" i="13"/>
  <c r="BI2842" i="13"/>
  <c r="BI2843" i="13"/>
  <c r="BI2853" i="13"/>
  <c r="BI2854" i="13"/>
  <c r="BI2855" i="13"/>
  <c r="BI2856" i="13"/>
  <c r="BI2857" i="13"/>
  <c r="BI2858" i="13"/>
  <c r="BI2859" i="13"/>
  <c r="BI2860" i="13"/>
  <c r="BI2863" i="13"/>
  <c r="BI2862" i="13"/>
  <c r="BI2861" i="13"/>
  <c r="BI2833" i="13"/>
  <c r="BI2864" i="13"/>
  <c r="BI2865" i="13"/>
  <c r="BI2866" i="13"/>
  <c r="BI2867" i="13"/>
  <c r="BI2868" i="13"/>
  <c r="BI2869" i="13"/>
  <c r="BI2870" i="13"/>
  <c r="BI2871" i="13"/>
  <c r="BI2872" i="13"/>
  <c r="BI2873" i="13"/>
  <c r="BI3150" i="13"/>
  <c r="BI2809" i="13" l="1"/>
  <c r="BI2810" i="13"/>
  <c r="BI2811" i="13"/>
  <c r="BI2812" i="13"/>
  <c r="BI2813" i="13"/>
  <c r="BI2814" i="13"/>
  <c r="BI2815" i="13"/>
  <c r="BI2816" i="13"/>
  <c r="BI2817" i="13"/>
  <c r="BI2818" i="13"/>
  <c r="BI2819" i="13"/>
  <c r="BI2820" i="13"/>
  <c r="BI2821" i="13"/>
  <c r="BI2822" i="13"/>
  <c r="BI2823" i="13"/>
  <c r="BI2824" i="13"/>
  <c r="BI2825" i="13"/>
  <c r="BI2826" i="13"/>
  <c r="BI2827" i="13"/>
  <c r="BI2828" i="13"/>
  <c r="BI2829" i="13"/>
  <c r="BI2830" i="13"/>
  <c r="BI2831" i="13"/>
  <c r="BI1384" i="13"/>
  <c r="BI1385" i="13"/>
  <c r="BI1386" i="13"/>
  <c r="BI1387" i="13"/>
  <c r="BI1388" i="13"/>
  <c r="BI1389" i="13"/>
  <c r="BI1390" i="13"/>
  <c r="BI1391" i="13"/>
  <c r="BI1353" i="13" l="1"/>
  <c r="BI1354" i="13"/>
  <c r="BI1355" i="13"/>
  <c r="BI1356" i="13"/>
  <c r="BI1357" i="13"/>
  <c r="BI1358" i="13"/>
  <c r="BI1359" i="13"/>
  <c r="BI1360" i="13"/>
  <c r="BI1361" i="13"/>
  <c r="BI1362" i="13"/>
  <c r="BI1363" i="13"/>
  <c r="BI1364" i="13"/>
  <c r="BI1365" i="13"/>
  <c r="BI1366" i="13"/>
  <c r="BI1367" i="13"/>
  <c r="BI1368" i="13"/>
  <c r="BI1369" i="13"/>
  <c r="BI1370" i="13"/>
  <c r="BI1371" i="13"/>
  <c r="BI1372" i="13"/>
  <c r="BI1373" i="13"/>
  <c r="BI1374" i="13"/>
  <c r="BI1375" i="13"/>
  <c r="BI1379" i="13"/>
  <c r="BI1380" i="13"/>
  <c r="BI1381" i="13"/>
  <c r="BI1382" i="13"/>
  <c r="BI1383" i="13"/>
  <c r="AP555" i="13" l="1"/>
  <c r="AO555" i="13"/>
  <c r="AU523" i="13"/>
  <c r="AV523" i="13"/>
  <c r="AW523" i="13"/>
  <c r="AX523" i="13"/>
  <c r="AY523" i="13"/>
  <c r="AZ523" i="13"/>
  <c r="BA523" i="13"/>
  <c r="BB523" i="13"/>
  <c r="BC523" i="13"/>
  <c r="AT523" i="13"/>
  <c r="AS523" i="13"/>
  <c r="AR523" i="13"/>
  <c r="AQ523" i="13"/>
  <c r="BC596" i="13" l="1"/>
  <c r="AW596" i="13"/>
  <c r="BI521" i="13"/>
  <c r="BH521" i="13"/>
  <c r="BC562" i="13"/>
  <c r="AW562" i="13"/>
  <c r="BC561" i="13"/>
  <c r="BC552" i="13" s="1"/>
  <c r="AW561" i="13"/>
  <c r="AW552" i="13" s="1"/>
  <c r="BI561" i="13"/>
  <c r="BH561" i="13"/>
  <c r="BI562" i="13"/>
  <c r="BH562" i="13"/>
  <c r="BC519" i="13"/>
  <c r="AW519" i="13"/>
  <c r="BC518" i="13"/>
  <c r="AW518" i="13"/>
  <c r="BC517" i="13"/>
  <c r="BC516" i="13"/>
  <c r="AW517" i="13"/>
  <c r="BI518" i="13"/>
  <c r="BH518" i="13"/>
  <c r="BI519" i="13"/>
  <c r="BH519" i="13"/>
  <c r="BI517" i="13"/>
  <c r="BH517" i="13"/>
  <c r="AW516" i="13"/>
  <c r="BI516" i="13"/>
  <c r="BH516" i="13"/>
  <c r="BI520" i="13"/>
  <c r="BH520" i="13"/>
  <c r="BC599" i="13"/>
  <c r="AW599" i="13"/>
  <c r="BI599" i="13"/>
  <c r="BH599" i="13"/>
  <c r="BI514" i="13" l="1"/>
  <c r="BH514" i="13"/>
  <c r="BI515" i="13"/>
  <c r="BH515" i="13"/>
  <c r="BC598" i="13"/>
  <c r="AW598" i="13"/>
  <c r="BC597" i="13"/>
  <c r="BC591" i="13" s="1"/>
  <c r="AW597" i="13"/>
  <c r="AW591" i="13" s="1"/>
  <c r="AW400" i="13"/>
  <c r="AW399" i="13"/>
  <c r="AW353" i="13"/>
  <c r="BI160" i="13"/>
  <c r="BH160" i="13"/>
  <c r="BI161" i="13"/>
  <c r="BH161" i="13"/>
  <c r="BI162" i="13"/>
  <c r="BH162" i="13"/>
  <c r="BI163" i="13"/>
  <c r="BH163" i="13"/>
  <c r="BI164" i="13"/>
  <c r="BH164" i="13"/>
  <c r="AW398" i="13"/>
  <c r="AW212" i="13"/>
  <c r="BI449" i="13"/>
  <c r="BH449" i="13"/>
  <c r="AW298" i="13"/>
  <c r="AW297" i="13"/>
  <c r="BI298" i="13"/>
  <c r="BH298" i="13"/>
  <c r="BI153" i="13"/>
  <c r="BH153" i="13"/>
  <c r="BI154" i="13"/>
  <c r="BH154" i="13"/>
  <c r="BI155" i="13"/>
  <c r="BH155" i="13"/>
  <c r="BI156" i="13"/>
  <c r="BH156" i="13"/>
  <c r="BI157" i="13"/>
  <c r="BH157" i="13"/>
  <c r="BI398" i="13"/>
  <c r="BH398" i="13"/>
  <c r="BI399" i="13"/>
  <c r="BH399" i="13"/>
  <c r="BI400" i="13"/>
  <c r="BH400" i="13"/>
  <c r="AW396" i="13"/>
  <c r="AO630" i="13"/>
  <c r="AP630" i="13"/>
  <c r="BH630" i="13"/>
  <c r="BI630" i="13"/>
  <c r="BI631" i="13"/>
  <c r="BH631" i="13"/>
  <c r="BI632" i="13"/>
  <c r="BH632" i="13"/>
  <c r="AW352" i="13" l="1"/>
  <c r="AW295" i="13"/>
  <c r="AW351" i="13"/>
  <c r="BI295" i="13"/>
  <c r="BH295" i="13"/>
  <c r="BI296" i="13"/>
  <c r="BH296" i="13"/>
  <c r="BI297" i="13"/>
  <c r="BH297" i="13"/>
  <c r="BI352" i="13"/>
  <c r="BH352" i="13"/>
  <c r="BI353" i="13"/>
  <c r="BH353" i="13"/>
  <c r="BI396" i="13"/>
  <c r="BH396" i="13"/>
  <c r="BI397" i="13"/>
  <c r="BH397" i="13"/>
  <c r="BI151" i="13"/>
  <c r="BH151" i="13"/>
  <c r="BI152" i="13"/>
  <c r="BH152" i="13"/>
  <c r="BI158" i="13"/>
  <c r="BH158" i="13"/>
  <c r="AW209" i="13"/>
  <c r="BI394" i="13"/>
  <c r="BH394" i="13"/>
  <c r="AW350" i="13"/>
  <c r="AW147" i="13"/>
  <c r="BI148" i="13"/>
  <c r="BH148" i="13"/>
  <c r="BI149" i="13"/>
  <c r="BH149" i="13"/>
  <c r="BI150" i="13"/>
  <c r="BH150" i="13"/>
  <c r="BI159" i="13"/>
  <c r="BH159" i="13"/>
  <c r="BI448" i="13"/>
  <c r="BH448" i="13"/>
  <c r="BI395" i="13"/>
  <c r="BH395" i="13"/>
  <c r="BC510" i="13" l="1"/>
  <c r="AW510" i="13"/>
  <c r="AV510" i="13"/>
  <c r="AV505" i="13" s="1"/>
  <c r="AQ510" i="13"/>
  <c r="AQ505" i="13" s="1"/>
  <c r="BI510" i="13"/>
  <c r="BH510" i="13"/>
  <c r="BI511" i="13"/>
  <c r="BH511" i="13"/>
  <c r="BI512" i="13"/>
  <c r="BH512" i="13"/>
  <c r="AW293" i="13"/>
  <c r="AW392" i="13"/>
  <c r="BI392" i="13"/>
  <c r="BH392" i="13"/>
  <c r="AW349" i="13"/>
  <c r="AW292" i="13"/>
  <c r="AW445" i="13"/>
  <c r="BI583" i="13"/>
  <c r="AW583" i="13"/>
  <c r="AW580" i="13" s="1"/>
  <c r="AV583" i="13"/>
  <c r="AV580" i="13" s="1"/>
  <c r="AQ583" i="13"/>
  <c r="AQ580" i="13" s="1"/>
  <c r="BC697" i="13"/>
  <c r="AW697" i="13"/>
  <c r="AV750" i="13"/>
  <c r="BI751" i="13"/>
  <c r="BI723" i="13"/>
  <c r="BI750" i="13"/>
  <c r="BI292" i="13"/>
  <c r="BH292" i="13"/>
  <c r="BI293" i="13"/>
  <c r="BH293" i="13"/>
  <c r="BI294" i="13"/>
  <c r="BH294" i="13"/>
  <c r="AW290" i="13"/>
  <c r="BI290" i="13"/>
  <c r="BH290" i="13"/>
  <c r="BI291" i="13"/>
  <c r="BH291" i="13"/>
  <c r="AW444" i="13"/>
  <c r="BI443" i="13"/>
  <c r="BH443" i="13"/>
  <c r="BI444" i="13"/>
  <c r="BH444" i="13"/>
  <c r="BI445" i="13"/>
  <c r="BH445" i="13"/>
  <c r="AW348" i="13"/>
  <c r="AV348" i="13"/>
  <c r="AQ348" i="13"/>
  <c r="BH348" i="13" s="1"/>
  <c r="BI142" i="13"/>
  <c r="BH142" i="13"/>
  <c r="BI143" i="13"/>
  <c r="BH143" i="13"/>
  <c r="BI144" i="13"/>
  <c r="BH144" i="13"/>
  <c r="BI145" i="13"/>
  <c r="BH145" i="13"/>
  <c r="BI146" i="13"/>
  <c r="BH146" i="13"/>
  <c r="BI147" i="13"/>
  <c r="BH147" i="13"/>
  <c r="AW287" i="13"/>
  <c r="BI288" i="13"/>
  <c r="BH288" i="13"/>
  <c r="BI289" i="13"/>
  <c r="BH289" i="13"/>
  <c r="AW286" i="13"/>
  <c r="AW138" i="13"/>
  <c r="BI138" i="13"/>
  <c r="BH138" i="13"/>
  <c r="BI139" i="13"/>
  <c r="BH139" i="13"/>
  <c r="BI140" i="13"/>
  <c r="BH140" i="13"/>
  <c r="AW136" i="13"/>
  <c r="AW347" i="13"/>
  <c r="BI348" i="13"/>
  <c r="BI349" i="13"/>
  <c r="BH349" i="13"/>
  <c r="BI350" i="13"/>
  <c r="BH350" i="13"/>
  <c r="AW441" i="13"/>
  <c r="BI442" i="13"/>
  <c r="BH442" i="13"/>
  <c r="BI446" i="13"/>
  <c r="BH446" i="13"/>
  <c r="BI447" i="13"/>
  <c r="BH447" i="13"/>
  <c r="AW135" i="13"/>
  <c r="BH583" i="13" l="1"/>
  <c r="BI347" i="13"/>
  <c r="BH347" i="13"/>
  <c r="BI351" i="13"/>
  <c r="BH351" i="13"/>
  <c r="AW284" i="13"/>
  <c r="BI285" i="13"/>
  <c r="BH285" i="13"/>
  <c r="BI286" i="13"/>
  <c r="BH286" i="13"/>
  <c r="BI287" i="13"/>
  <c r="BH287" i="13"/>
  <c r="BC509" i="13"/>
  <c r="BC505" i="13" s="1"/>
  <c r="AW509" i="13"/>
  <c r="AW505" i="13" s="1"/>
  <c r="AW345" i="13"/>
  <c r="AW134" i="13"/>
  <c r="BI641" i="13"/>
  <c r="BH641" i="13"/>
  <c r="BI642" i="13"/>
  <c r="BH642" i="13"/>
  <c r="AV468" i="13"/>
  <c r="BI468" i="13"/>
  <c r="BH468" i="13"/>
  <c r="BI469" i="13"/>
  <c r="BH469" i="13"/>
  <c r="BI470" i="13"/>
  <c r="BH470" i="13"/>
  <c r="BC696" i="13"/>
  <c r="AW696" i="13"/>
  <c r="BI697" i="13"/>
  <c r="AW208" i="13"/>
  <c r="AW391" i="13"/>
  <c r="BI558" i="13"/>
  <c r="BH558" i="13"/>
  <c r="BI559" i="13"/>
  <c r="BH559" i="13"/>
  <c r="BI560" i="13"/>
  <c r="BH560" i="13"/>
  <c r="AV556" i="13"/>
  <c r="AV552" i="13" s="1"/>
  <c r="AQ556" i="13"/>
  <c r="AQ552" i="13" s="1"/>
  <c r="AW390" i="13"/>
  <c r="BI390" i="13"/>
  <c r="BH390" i="13"/>
  <c r="BI391" i="13"/>
  <c r="BH391" i="13"/>
  <c r="AW344" i="13"/>
  <c r="BI133" i="13"/>
  <c r="BH133" i="13"/>
  <c r="BI134" i="13"/>
  <c r="BH134" i="13"/>
  <c r="BI135" i="13"/>
  <c r="BH135" i="13"/>
  <c r="BI136" i="13"/>
  <c r="BH136" i="13"/>
  <c r="BI137" i="13"/>
  <c r="BH137" i="13"/>
  <c r="BI141" i="13"/>
  <c r="BH141" i="13"/>
  <c r="BI643" i="13" l="1"/>
  <c r="BH643" i="13"/>
  <c r="AP643" i="13"/>
  <c r="AO643" i="13"/>
  <c r="AW389" i="13"/>
  <c r="AW283" i="13"/>
  <c r="AW439" i="13"/>
  <c r="BI389" i="13"/>
  <c r="BH389" i="13"/>
  <c r="BI393" i="13"/>
  <c r="BH393" i="13"/>
  <c r="AW282" i="13"/>
  <c r="AW280" i="13" l="1"/>
  <c r="BI128" i="13"/>
  <c r="BH128" i="13"/>
  <c r="BI129" i="13"/>
  <c r="BH129" i="13"/>
  <c r="BI130" i="13"/>
  <c r="BH130" i="13"/>
  <c r="BI131" i="13"/>
  <c r="BH131" i="13"/>
  <c r="BI132" i="13"/>
  <c r="BH132" i="13"/>
  <c r="AW279" i="13"/>
  <c r="BI124" i="13"/>
  <c r="BH124" i="13"/>
  <c r="BI125" i="13"/>
  <c r="BH125" i="13"/>
  <c r="BI126" i="13"/>
  <c r="BH126" i="13"/>
  <c r="BI127" i="13"/>
  <c r="BH127" i="13"/>
  <c r="BI119" i="13"/>
  <c r="BH119" i="13"/>
  <c r="AW278" i="13"/>
  <c r="BI120" i="13"/>
  <c r="BH120" i="13"/>
  <c r="BI121" i="13"/>
  <c r="BH121" i="13"/>
  <c r="BI122" i="13"/>
  <c r="BH122" i="13"/>
  <c r="AW342" i="13"/>
  <c r="BI344" i="13"/>
  <c r="BH344" i="13"/>
  <c r="BI343" i="13"/>
  <c r="BH343" i="13"/>
  <c r="BI342" i="13"/>
  <c r="BH342" i="13"/>
  <c r="BI345" i="13"/>
  <c r="BH345" i="13"/>
  <c r="BI113" i="13"/>
  <c r="BH113" i="13"/>
  <c r="BH18" i="13"/>
  <c r="BI18" i="13"/>
  <c r="BH19" i="13"/>
  <c r="BI19" i="13"/>
  <c r="BI441" i="13"/>
  <c r="BH441" i="13"/>
  <c r="BI439" i="13"/>
  <c r="BH439" i="13"/>
  <c r="BI440" i="13"/>
  <c r="BH440" i="13"/>
  <c r="AW438" i="13"/>
  <c r="AW275" i="13"/>
  <c r="BH438" i="13"/>
  <c r="BI438" i="13"/>
  <c r="AW437" i="13"/>
  <c r="AW402" i="13" s="1"/>
  <c r="BH277" i="13"/>
  <c r="BI277" i="13"/>
  <c r="BH278" i="13"/>
  <c r="BI278" i="13"/>
  <c r="BH279" i="13"/>
  <c r="BI279" i="13"/>
  <c r="BH280" i="13"/>
  <c r="BI280" i="13"/>
  <c r="BH281" i="13"/>
  <c r="BI281" i="13"/>
  <c r="BH282" i="13"/>
  <c r="BI282" i="13"/>
  <c r="BH283" i="13"/>
  <c r="BI283" i="13"/>
  <c r="BI276" i="13"/>
  <c r="BH276" i="13"/>
  <c r="BI275" i="13"/>
  <c r="BH275" i="13"/>
  <c r="BI284" i="13"/>
  <c r="BH284" i="13"/>
  <c r="AW274" i="13"/>
  <c r="BH385" i="13" l="1"/>
  <c r="BI385" i="13"/>
  <c r="BH386" i="13"/>
  <c r="BI386" i="13"/>
  <c r="BH387" i="13"/>
  <c r="BI387" i="13"/>
  <c r="BI388" i="13"/>
  <c r="BH388" i="13"/>
  <c r="BH341" i="13" l="1"/>
  <c r="BI341" i="13"/>
  <c r="BH340" i="13"/>
  <c r="BI340" i="13"/>
  <c r="AW272" i="13"/>
  <c r="AW270" i="13" l="1"/>
  <c r="AW269" i="13"/>
  <c r="AW108" i="13"/>
  <c r="BI346" i="13"/>
  <c r="BH346" i="13"/>
  <c r="AW339" i="13"/>
  <c r="BH436" i="13"/>
  <c r="BI436" i="13"/>
  <c r="BH437" i="13"/>
  <c r="BI437" i="13"/>
  <c r="BI738" i="13" l="1"/>
  <c r="BC695" i="13"/>
  <c r="AW695" i="13"/>
  <c r="AW694" i="13"/>
  <c r="BC694" i="13"/>
  <c r="BI694" i="13"/>
  <c r="BC693" i="13" l="1"/>
  <c r="AW693" i="13"/>
  <c r="BI115" i="13"/>
  <c r="BH115" i="13"/>
  <c r="BI114" i="13"/>
  <c r="BH114" i="13"/>
  <c r="BI112" i="13"/>
  <c r="BH112" i="13"/>
  <c r="BI111" i="13"/>
  <c r="BH111" i="13"/>
  <c r="BI110" i="13"/>
  <c r="BH110" i="13"/>
  <c r="BI109" i="13"/>
  <c r="BH109" i="13"/>
  <c r="BI108" i="13"/>
  <c r="BH108" i="13"/>
  <c r="BI107" i="13"/>
  <c r="BH107" i="13"/>
  <c r="BI106" i="13"/>
  <c r="BH106" i="13"/>
  <c r="BI116" i="13"/>
  <c r="BH116" i="13"/>
  <c r="BI3464" i="13" l="1"/>
  <c r="BI3403" i="13"/>
  <c r="BI3431" i="13"/>
  <c r="BI2808" i="13"/>
  <c r="BI2832" i="13"/>
  <c r="BI1352" i="13"/>
  <c r="BI764" i="13"/>
  <c r="BI765" i="13"/>
  <c r="BI749" i="13"/>
  <c r="BI728" i="13"/>
  <c r="BI715" i="13"/>
  <c r="BI710" i="13"/>
  <c r="BI703" i="13"/>
  <c r="BI691" i="13"/>
  <c r="BI683" i="13"/>
  <c r="BI677" i="13"/>
  <c r="BI678" i="13"/>
  <c r="BI672" i="13"/>
  <c r="BI667" i="13"/>
  <c r="BH658" i="13"/>
  <c r="BI658" i="13"/>
  <c r="BH659" i="13"/>
  <c r="BI659" i="13"/>
  <c r="BH652" i="13"/>
  <c r="BI652" i="13"/>
  <c r="BH653" i="13"/>
  <c r="BI653" i="13"/>
  <c r="BH646" i="13"/>
  <c r="BI646" i="13"/>
  <c r="BH647" i="13"/>
  <c r="BI647" i="13"/>
  <c r="BH636" i="13"/>
  <c r="BI636" i="13"/>
  <c r="BH637" i="13"/>
  <c r="BI637" i="13"/>
  <c r="BH627" i="13"/>
  <c r="BI627" i="13"/>
  <c r="BH628" i="13"/>
  <c r="BI628" i="13"/>
  <c r="BH610" i="13"/>
  <c r="BI610" i="13"/>
  <c r="BH606" i="13"/>
  <c r="BI606" i="13"/>
  <c r="BH597" i="13"/>
  <c r="BI597" i="13"/>
  <c r="BH598" i="13"/>
  <c r="BI598" i="13"/>
  <c r="BH596" i="13"/>
  <c r="BI596" i="13"/>
  <c r="BH589" i="13"/>
  <c r="BI589" i="13"/>
  <c r="BH584" i="13"/>
  <c r="BI584" i="13"/>
  <c r="BH578" i="13"/>
  <c r="BI578" i="13"/>
  <c r="BH574" i="13"/>
  <c r="BI574" i="13"/>
  <c r="BH575" i="13"/>
  <c r="BI575" i="13"/>
  <c r="BH570" i="13"/>
  <c r="BI570" i="13"/>
  <c r="BH556" i="13"/>
  <c r="BI556" i="13"/>
  <c r="BH566" i="13"/>
  <c r="BI566" i="13"/>
  <c r="BH557" i="13"/>
  <c r="BI557" i="13"/>
  <c r="BH550" i="13"/>
  <c r="BI550" i="13"/>
  <c r="BH546" i="13"/>
  <c r="BI546" i="13"/>
  <c r="BH541" i="13"/>
  <c r="BI541" i="13"/>
  <c r="BH538" i="13"/>
  <c r="BI538" i="13"/>
  <c r="BH534" i="13"/>
  <c r="BI534" i="13"/>
  <c r="BH528" i="13"/>
  <c r="BI528" i="13"/>
  <c r="BH529" i="13"/>
  <c r="BI529" i="13"/>
  <c r="BH509" i="13"/>
  <c r="BI509" i="13"/>
  <c r="BH513" i="13"/>
  <c r="BI513" i="13"/>
  <c r="BH502" i="13"/>
  <c r="BI502" i="13"/>
  <c r="BH493" i="13"/>
  <c r="BI493" i="13"/>
  <c r="BH465" i="13"/>
  <c r="BI465" i="13"/>
  <c r="BH466" i="13"/>
  <c r="BI466" i="13"/>
  <c r="BH467" i="13"/>
  <c r="BI467" i="13"/>
  <c r="BH435" i="13"/>
  <c r="BI435" i="13"/>
  <c r="BH384" i="13"/>
  <c r="BI384" i="13"/>
  <c r="BH339" i="13"/>
  <c r="BI339" i="13"/>
  <c r="BH268" i="13"/>
  <c r="BI268" i="13"/>
  <c r="BH269" i="13"/>
  <c r="BI269" i="13"/>
  <c r="BH270" i="13"/>
  <c r="BI270" i="13"/>
  <c r="BH271" i="13"/>
  <c r="BI271" i="13"/>
  <c r="BH272" i="13"/>
  <c r="BI272" i="13"/>
  <c r="BH273" i="13"/>
  <c r="BI273" i="13"/>
  <c r="BH274" i="13"/>
  <c r="BI274" i="13"/>
  <c r="BH208" i="13"/>
  <c r="BI208" i="13"/>
  <c r="BH209" i="13"/>
  <c r="BI209" i="13"/>
  <c r="BH210" i="13"/>
  <c r="BI210" i="13"/>
  <c r="BH211" i="13"/>
  <c r="BI211" i="13"/>
  <c r="BH212" i="13"/>
  <c r="BI212" i="13"/>
  <c r="BH104" i="13"/>
  <c r="BI104" i="13"/>
  <c r="BH105" i="13"/>
  <c r="BI105" i="13"/>
  <c r="BH117" i="13"/>
  <c r="BI117" i="13"/>
  <c r="BH118" i="13"/>
  <c r="BI118" i="13"/>
  <c r="BH123" i="13"/>
  <c r="BI123" i="13"/>
  <c r="BH15" i="13"/>
  <c r="BI15" i="13"/>
  <c r="BH16" i="13"/>
  <c r="BI16" i="13"/>
  <c r="BH17" i="13"/>
  <c r="BI17" i="13"/>
  <c r="I725" i="13"/>
  <c r="J725" i="13"/>
  <c r="K725" i="13"/>
  <c r="L725" i="13"/>
  <c r="M725" i="13"/>
  <c r="N725" i="13"/>
  <c r="O725" i="13"/>
  <c r="P725" i="13"/>
  <c r="Q725" i="13"/>
  <c r="H725" i="13"/>
  <c r="F725" i="13"/>
  <c r="G725" i="13"/>
  <c r="E725" i="13"/>
  <c r="I717" i="13"/>
  <c r="J717" i="13"/>
  <c r="L717" i="13"/>
  <c r="M717" i="13"/>
  <c r="N717" i="13"/>
  <c r="O717" i="13"/>
  <c r="P717" i="13"/>
  <c r="H717" i="13"/>
  <c r="F717" i="13"/>
  <c r="G717" i="13"/>
  <c r="E717" i="13"/>
  <c r="I601" i="13" l="1"/>
  <c r="J601" i="13"/>
  <c r="K601" i="13"/>
  <c r="L601" i="13"/>
  <c r="M601" i="13"/>
  <c r="N601" i="13"/>
  <c r="O601" i="13"/>
  <c r="P601" i="13"/>
  <c r="Q601" i="13"/>
  <c r="H601" i="13"/>
  <c r="F601" i="13"/>
  <c r="G601" i="13"/>
  <c r="E601" i="13"/>
  <c r="BI600" i="13"/>
  <c r="BH600" i="13"/>
  <c r="AP600" i="13"/>
  <c r="AO600" i="13"/>
  <c r="W600" i="13"/>
  <c r="V600" i="13"/>
  <c r="I586" i="13"/>
  <c r="J586" i="13"/>
  <c r="K586" i="13"/>
  <c r="L586" i="13"/>
  <c r="M586" i="13"/>
  <c r="N586" i="13"/>
  <c r="O586" i="13"/>
  <c r="P586" i="13"/>
  <c r="Q586" i="13"/>
  <c r="H586" i="13"/>
  <c r="F586" i="13"/>
  <c r="G586" i="13"/>
  <c r="E586" i="13"/>
  <c r="BI585" i="13"/>
  <c r="BH585" i="13"/>
  <c r="AP585" i="13"/>
  <c r="AO585" i="13"/>
  <c r="W585" i="13"/>
  <c r="V585" i="13"/>
  <c r="I576" i="13"/>
  <c r="J576" i="13"/>
  <c r="K576" i="13"/>
  <c r="L576" i="13"/>
  <c r="M576" i="13"/>
  <c r="N576" i="13"/>
  <c r="O576" i="13"/>
  <c r="P576" i="13"/>
  <c r="Q576" i="13"/>
  <c r="H576" i="13"/>
  <c r="F576" i="13"/>
  <c r="G576" i="13"/>
  <c r="E576" i="13"/>
  <c r="I572" i="13"/>
  <c r="J572" i="13"/>
  <c r="K572" i="13"/>
  <c r="L572" i="13"/>
  <c r="M572" i="13"/>
  <c r="N572" i="13"/>
  <c r="O572" i="13"/>
  <c r="P572" i="13"/>
  <c r="Q572" i="13"/>
  <c r="H572" i="13"/>
  <c r="F572" i="13"/>
  <c r="G572" i="13"/>
  <c r="E572" i="13"/>
  <c r="I568" i="13"/>
  <c r="J568" i="13"/>
  <c r="K568" i="13"/>
  <c r="L568" i="13"/>
  <c r="M568" i="13"/>
  <c r="N568" i="13"/>
  <c r="O568" i="13"/>
  <c r="P568" i="13"/>
  <c r="Q568" i="13"/>
  <c r="H568" i="13"/>
  <c r="F568" i="13"/>
  <c r="G568" i="13"/>
  <c r="E568" i="13"/>
  <c r="BI571" i="13"/>
  <c r="BH571" i="13"/>
  <c r="AP571" i="13"/>
  <c r="AO571" i="13"/>
  <c r="W571" i="13"/>
  <c r="V571" i="13"/>
  <c r="I564" i="13"/>
  <c r="J564" i="13"/>
  <c r="K564" i="13"/>
  <c r="L564" i="13"/>
  <c r="M564" i="13"/>
  <c r="N564" i="13"/>
  <c r="O564" i="13"/>
  <c r="P564" i="13"/>
  <c r="Q564" i="13"/>
  <c r="H564" i="13"/>
  <c r="F564" i="13"/>
  <c r="G564" i="13"/>
  <c r="E564" i="13"/>
  <c r="BI567" i="13"/>
  <c r="BH567" i="13"/>
  <c r="AP567" i="13"/>
  <c r="AO567" i="13"/>
  <c r="W567" i="13"/>
  <c r="V567" i="13"/>
  <c r="I552" i="13"/>
  <c r="L552" i="13"/>
  <c r="M552" i="13"/>
  <c r="N552" i="13"/>
  <c r="O552" i="13"/>
  <c r="P552" i="13"/>
  <c r="H552" i="13"/>
  <c r="F552" i="13"/>
  <c r="G552" i="13"/>
  <c r="BI563" i="13"/>
  <c r="BH563" i="13"/>
  <c r="AP563" i="13"/>
  <c r="AO563" i="13"/>
  <c r="W563" i="13"/>
  <c r="V563" i="13"/>
  <c r="I548" i="13"/>
  <c r="J548" i="13"/>
  <c r="K548" i="13"/>
  <c r="L548" i="13"/>
  <c r="M548" i="13"/>
  <c r="N548" i="13"/>
  <c r="O548" i="13"/>
  <c r="P548" i="13"/>
  <c r="Q548" i="13"/>
  <c r="H548" i="13"/>
  <c r="F548" i="13"/>
  <c r="G548" i="13"/>
  <c r="E548" i="13"/>
  <c r="I543" i="13"/>
  <c r="J543" i="13"/>
  <c r="K543" i="13"/>
  <c r="L543" i="13"/>
  <c r="M543" i="13"/>
  <c r="N543" i="13"/>
  <c r="O543" i="13"/>
  <c r="P543" i="13"/>
  <c r="Q543" i="13"/>
  <c r="H543" i="13"/>
  <c r="F543" i="13"/>
  <c r="G543" i="13"/>
  <c r="E543" i="13"/>
  <c r="I540" i="13"/>
  <c r="J540" i="13"/>
  <c r="K540" i="13"/>
  <c r="L540" i="13"/>
  <c r="M540" i="13"/>
  <c r="N540" i="13"/>
  <c r="O540" i="13"/>
  <c r="P540" i="13"/>
  <c r="Q540" i="13"/>
  <c r="H540" i="13"/>
  <c r="F540" i="13"/>
  <c r="G540" i="13"/>
  <c r="E540" i="13"/>
  <c r="I536" i="13"/>
  <c r="J536" i="13"/>
  <c r="K536" i="13"/>
  <c r="L536" i="13"/>
  <c r="M536" i="13"/>
  <c r="N536" i="13"/>
  <c r="O536" i="13"/>
  <c r="P536" i="13"/>
  <c r="Q536" i="13"/>
  <c r="H536" i="13"/>
  <c r="F536" i="13"/>
  <c r="G536" i="13"/>
  <c r="E536" i="13"/>
  <c r="I531" i="13"/>
  <c r="J531" i="13"/>
  <c r="K531" i="13"/>
  <c r="L531" i="13"/>
  <c r="M531" i="13"/>
  <c r="N531" i="13"/>
  <c r="O531" i="13"/>
  <c r="P531" i="13"/>
  <c r="Q531" i="13"/>
  <c r="H531" i="13"/>
  <c r="F531" i="13"/>
  <c r="G531" i="13"/>
  <c r="E531" i="13"/>
  <c r="I523" i="13"/>
  <c r="J523" i="13"/>
  <c r="K523" i="13"/>
  <c r="L523" i="13"/>
  <c r="M523" i="13"/>
  <c r="N523" i="13"/>
  <c r="O523" i="13"/>
  <c r="P523" i="13"/>
  <c r="Q523" i="13"/>
  <c r="H523" i="13"/>
  <c r="F523" i="13"/>
  <c r="G523" i="13"/>
  <c r="E523" i="13"/>
  <c r="I505" i="13"/>
  <c r="J505" i="13"/>
  <c r="K505" i="13"/>
  <c r="L505" i="13"/>
  <c r="M505" i="13"/>
  <c r="N505" i="13"/>
  <c r="O505" i="13"/>
  <c r="P505" i="13"/>
  <c r="Q505" i="13"/>
  <c r="H505" i="13"/>
  <c r="F505" i="13"/>
  <c r="G505" i="13"/>
  <c r="E505" i="13"/>
  <c r="BI547" i="13"/>
  <c r="BH547" i="13"/>
  <c r="AP547" i="13"/>
  <c r="AO547" i="13"/>
  <c r="W547" i="13"/>
  <c r="V547" i="13"/>
  <c r="BI542" i="13"/>
  <c r="BH542" i="13"/>
  <c r="AP542" i="13"/>
  <c r="AO542" i="13"/>
  <c r="W542" i="13"/>
  <c r="V542" i="13"/>
  <c r="BI535" i="13"/>
  <c r="BH535" i="13"/>
  <c r="AP535" i="13"/>
  <c r="AO535" i="13"/>
  <c r="W535" i="13"/>
  <c r="V535" i="13"/>
  <c r="BI530" i="13"/>
  <c r="BH530" i="13"/>
  <c r="AP530" i="13"/>
  <c r="AO530" i="13"/>
  <c r="W530" i="13"/>
  <c r="V530" i="13"/>
  <c r="BI522" i="13"/>
  <c r="BH522" i="13"/>
  <c r="AP522" i="13"/>
  <c r="AO522" i="13"/>
  <c r="W522" i="13"/>
  <c r="V522" i="13"/>
  <c r="V551" i="13"/>
  <c r="W551" i="13"/>
  <c r="AO551" i="13"/>
  <c r="AP551" i="13"/>
  <c r="BH551" i="13"/>
  <c r="BI551" i="13"/>
  <c r="J552" i="13"/>
  <c r="K552" i="13"/>
  <c r="Q552" i="13"/>
  <c r="E552" i="13" l="1"/>
  <c r="BI3466" i="13"/>
  <c r="BI3465" i="13"/>
  <c r="BI3463" i="13"/>
  <c r="AV3460" i="13"/>
  <c r="BI3462" i="13"/>
  <c r="BI3461" i="13"/>
  <c r="BC3460" i="13"/>
  <c r="BB3460" i="13"/>
  <c r="BA3460" i="13"/>
  <c r="AZ3460" i="13"/>
  <c r="AY3460" i="13"/>
  <c r="AX3460" i="13"/>
  <c r="AW3460" i="13"/>
  <c r="AU3460" i="13"/>
  <c r="AT3460" i="13"/>
  <c r="AS3460" i="13"/>
  <c r="AR3460" i="13"/>
  <c r="AQ3460" i="13"/>
  <c r="BI3459" i="13"/>
  <c r="BI3402" i="13"/>
  <c r="BI3401" i="13"/>
  <c r="BI3400" i="13"/>
  <c r="BI3399" i="13"/>
  <c r="BI3398" i="13"/>
  <c r="BI3397" i="13"/>
  <c r="BI3396" i="13"/>
  <c r="BI3395" i="13"/>
  <c r="BI3394" i="13"/>
  <c r="BI3393" i="13"/>
  <c r="BI3392" i="13"/>
  <c r="BI3391" i="13"/>
  <c r="BI3390" i="13"/>
  <c r="BI3389" i="13"/>
  <c r="BI3388" i="13"/>
  <c r="BI3387" i="13"/>
  <c r="BI3386" i="13"/>
  <c r="BI3385" i="13"/>
  <c r="BI3384" i="13"/>
  <c r="BI3383" i="13"/>
  <c r="BI3382" i="13"/>
  <c r="BI3381" i="13"/>
  <c r="BI3380" i="13"/>
  <c r="BI3379" i="13"/>
  <c r="BI3378" i="13"/>
  <c r="BI3377" i="13"/>
  <c r="BI3376" i="13"/>
  <c r="BI3375" i="13"/>
  <c r="BI3374" i="13"/>
  <c r="BI3373" i="13"/>
  <c r="BI3372" i="13"/>
  <c r="BI3371" i="13"/>
  <c r="BI3370" i="13"/>
  <c r="BI3369" i="13"/>
  <c r="BI3368" i="13"/>
  <c r="BI3367" i="13"/>
  <c r="BI3366" i="13"/>
  <c r="BI3365" i="13"/>
  <c r="BI3364" i="13"/>
  <c r="BI3363" i="13"/>
  <c r="BI3362" i="13"/>
  <c r="BI3361" i="13"/>
  <c r="BI3360" i="13"/>
  <c r="BI3359" i="13"/>
  <c r="BI3358" i="13"/>
  <c r="BI3357" i="13"/>
  <c r="BI3356" i="13"/>
  <c r="BI3355" i="13"/>
  <c r="BI3354" i="13"/>
  <c r="BI3353" i="13"/>
  <c r="BI3352" i="13"/>
  <c r="BI3351" i="13"/>
  <c r="BI3350" i="13"/>
  <c r="BI3349" i="13"/>
  <c r="BI3348" i="13"/>
  <c r="BI3347" i="13"/>
  <c r="BI3346" i="13"/>
  <c r="BI3345" i="13"/>
  <c r="BI3344" i="13"/>
  <c r="BI3343" i="13"/>
  <c r="BI3342" i="13"/>
  <c r="BI3341" i="13"/>
  <c r="BI3340" i="13"/>
  <c r="BI3339" i="13"/>
  <c r="BI3338" i="13"/>
  <c r="BI3337" i="13"/>
  <c r="BI3336" i="13"/>
  <c r="BI3335" i="13"/>
  <c r="BI3334" i="13"/>
  <c r="BI3333" i="13"/>
  <c r="BI3332" i="13"/>
  <c r="BI3331" i="13"/>
  <c r="BI3330" i="13"/>
  <c r="BI3329" i="13"/>
  <c r="BB3328" i="13"/>
  <c r="BA3328" i="13"/>
  <c r="AZ3328" i="13"/>
  <c r="AY3328" i="13"/>
  <c r="AX3328" i="13"/>
  <c r="AV3328" i="13"/>
  <c r="AU3328" i="13"/>
  <c r="AT3328" i="13"/>
  <c r="AS3328" i="13"/>
  <c r="AR3328" i="13"/>
  <c r="AQ3328" i="13"/>
  <c r="BI3327" i="13"/>
  <c r="BI2807" i="13"/>
  <c r="BI2806" i="13"/>
  <c r="BI2805" i="13"/>
  <c r="BI2804" i="13"/>
  <c r="BI2803" i="13"/>
  <c r="BI2802" i="13"/>
  <c r="BI2801" i="13"/>
  <c r="BI2800" i="13"/>
  <c r="BI2799" i="13"/>
  <c r="BI2798" i="13"/>
  <c r="BI2797" i="13"/>
  <c r="BI2796" i="13"/>
  <c r="BI2795" i="13"/>
  <c r="BI2794" i="13"/>
  <c r="BI2793" i="13"/>
  <c r="BI2792" i="13"/>
  <c r="BI2791" i="13"/>
  <c r="BI2790" i="13"/>
  <c r="BI2789" i="13"/>
  <c r="BI2788" i="13"/>
  <c r="BI2787" i="13"/>
  <c r="BI2786" i="13"/>
  <c r="BI2785" i="13"/>
  <c r="BI2784" i="13"/>
  <c r="BI2783" i="13"/>
  <c r="BI2782" i="13"/>
  <c r="BI2781" i="13"/>
  <c r="BI2780" i="13"/>
  <c r="BI2779" i="13"/>
  <c r="BI2778" i="13"/>
  <c r="BI2777" i="13"/>
  <c r="BI2776" i="13"/>
  <c r="BI2775" i="13"/>
  <c r="BI2774" i="13"/>
  <c r="BI2773" i="13"/>
  <c r="BI2772" i="13"/>
  <c r="BI2771" i="13"/>
  <c r="BI2770" i="13"/>
  <c r="BI2769" i="13"/>
  <c r="BI2768" i="13"/>
  <c r="BI2767" i="13"/>
  <c r="BI2766" i="13"/>
  <c r="BI2765" i="13"/>
  <c r="BI2764" i="13"/>
  <c r="BI2763" i="13"/>
  <c r="BI2762" i="13"/>
  <c r="BI2761" i="13"/>
  <c r="BI2760" i="13"/>
  <c r="BI2759" i="13"/>
  <c r="BI2758" i="13"/>
  <c r="BI2757" i="13"/>
  <c r="BI2756" i="13"/>
  <c r="BI2755" i="13"/>
  <c r="BI2754" i="13"/>
  <c r="BI2753" i="13"/>
  <c r="BI2752" i="13"/>
  <c r="BI2751" i="13"/>
  <c r="BI2750" i="13"/>
  <c r="BI2749" i="13"/>
  <c r="BI2748" i="13"/>
  <c r="BI2747" i="13"/>
  <c r="BI2746" i="13"/>
  <c r="BI2745" i="13"/>
  <c r="BI2744" i="13"/>
  <c r="BI2743" i="13"/>
  <c r="BI2742" i="13"/>
  <c r="BI2741" i="13"/>
  <c r="BI2740" i="13"/>
  <c r="BI2739" i="13"/>
  <c r="BI2738" i="13"/>
  <c r="BI2737" i="13"/>
  <c r="BI2736" i="13"/>
  <c r="BI2735" i="13"/>
  <c r="BI2734" i="13"/>
  <c r="BI2733" i="13"/>
  <c r="BI2732" i="13"/>
  <c r="BI2731" i="13"/>
  <c r="BI2730" i="13"/>
  <c r="BI2729" i="13"/>
  <c r="BI2728" i="13"/>
  <c r="BI2727" i="13"/>
  <c r="BI2726" i="13"/>
  <c r="BI2725" i="13"/>
  <c r="BI2724" i="13"/>
  <c r="BI2723" i="13"/>
  <c r="BI2722" i="13"/>
  <c r="BI2721" i="13"/>
  <c r="BI2720" i="13"/>
  <c r="BI2719" i="13"/>
  <c r="BI2718" i="13"/>
  <c r="BI2717" i="13"/>
  <c r="BI2716" i="13"/>
  <c r="BI2715" i="13"/>
  <c r="BI2714" i="13"/>
  <c r="BI2713" i="13"/>
  <c r="BI2712" i="13"/>
  <c r="BI2711" i="13"/>
  <c r="BI2710" i="13"/>
  <c r="BI2709" i="13"/>
  <c r="BI2708" i="13"/>
  <c r="BI2707" i="13"/>
  <c r="BI2706" i="13"/>
  <c r="BI2705" i="13"/>
  <c r="BI2704" i="13"/>
  <c r="BI2703" i="13"/>
  <c r="BI2702" i="13"/>
  <c r="BI2701" i="13"/>
  <c r="BI2700" i="13"/>
  <c r="BI2699" i="13"/>
  <c r="BI2698" i="13"/>
  <c r="BI2697" i="13"/>
  <c r="BI2696" i="13"/>
  <c r="BI2695" i="13"/>
  <c r="BI2694" i="13"/>
  <c r="BI2693" i="13"/>
  <c r="BI2692" i="13"/>
  <c r="BI2691" i="13"/>
  <c r="BI2690" i="13"/>
  <c r="BI2689" i="13"/>
  <c r="BI2688" i="13"/>
  <c r="BI2687" i="13"/>
  <c r="BI2686" i="13"/>
  <c r="BI2685" i="13"/>
  <c r="BI2684" i="13"/>
  <c r="BI2683" i="13"/>
  <c r="BI2682" i="13"/>
  <c r="BI2681" i="13"/>
  <c r="BI2680" i="13"/>
  <c r="BI2679" i="13"/>
  <c r="BI2678" i="13"/>
  <c r="BI2677" i="13"/>
  <c r="BI2676" i="13"/>
  <c r="BI2675" i="13"/>
  <c r="BI2674" i="13"/>
  <c r="BI2673" i="13"/>
  <c r="BI2672" i="13"/>
  <c r="BI2671" i="13"/>
  <c r="BI2670" i="13"/>
  <c r="BI2669" i="13"/>
  <c r="BI2668" i="13"/>
  <c r="BI2667" i="13"/>
  <c r="BI2666" i="13"/>
  <c r="BI2665" i="13"/>
  <c r="BI2664" i="13"/>
  <c r="BI2663" i="13"/>
  <c r="BI2662" i="13"/>
  <c r="BI2661" i="13"/>
  <c r="BI2660" i="13"/>
  <c r="BI2659" i="13"/>
  <c r="BI2658" i="13"/>
  <c r="BI2657" i="13"/>
  <c r="BI2656" i="13"/>
  <c r="BI2655" i="13"/>
  <c r="BI2654" i="13"/>
  <c r="BI2653" i="13"/>
  <c r="BI2652" i="13"/>
  <c r="BI2651" i="13"/>
  <c r="BI2650" i="13"/>
  <c r="BI2649" i="13"/>
  <c r="BI2648" i="13"/>
  <c r="BI2647" i="13"/>
  <c r="BI2646" i="13"/>
  <c r="BI2645" i="13"/>
  <c r="BI2644" i="13"/>
  <c r="BI2643" i="13"/>
  <c r="BI2642" i="13"/>
  <c r="BI2641" i="13"/>
  <c r="BI2640" i="13"/>
  <c r="BI2639" i="13"/>
  <c r="BI2638" i="13"/>
  <c r="BI2637" i="13"/>
  <c r="BI2636" i="13"/>
  <c r="BI2635" i="13"/>
  <c r="BI2634" i="13"/>
  <c r="BI2633" i="13"/>
  <c r="BI2632" i="13"/>
  <c r="BI2631" i="13"/>
  <c r="BI2630" i="13"/>
  <c r="BI2629" i="13"/>
  <c r="BI2628" i="13"/>
  <c r="BI2627" i="13"/>
  <c r="BI2626" i="13"/>
  <c r="BI2625" i="13"/>
  <c r="BI2624" i="13"/>
  <c r="BI2623" i="13"/>
  <c r="BI2622" i="13"/>
  <c r="BI2621" i="13"/>
  <c r="BI2620" i="13"/>
  <c r="BI2619" i="13"/>
  <c r="BI2618" i="13"/>
  <c r="BI2617" i="13"/>
  <c r="BI2616" i="13"/>
  <c r="BI2615" i="13"/>
  <c r="BI2614" i="13"/>
  <c r="BI2613" i="13"/>
  <c r="BI2612" i="13"/>
  <c r="BI2611" i="13"/>
  <c r="BI2610" i="13"/>
  <c r="BI2609" i="13"/>
  <c r="BI2608" i="13"/>
  <c r="BI2607" i="13"/>
  <c r="BI2606" i="13"/>
  <c r="BI2605" i="13"/>
  <c r="BI2604" i="13"/>
  <c r="BI2603" i="13"/>
  <c r="BI2602" i="13"/>
  <c r="BI2601" i="13"/>
  <c r="BI2600" i="13"/>
  <c r="BI2599" i="13"/>
  <c r="BI2598" i="13"/>
  <c r="BI2597" i="13"/>
  <c r="BI2596" i="13"/>
  <c r="BI2595" i="13"/>
  <c r="BI2594" i="13"/>
  <c r="BI2593" i="13"/>
  <c r="BI2592" i="13"/>
  <c r="BI2591" i="13"/>
  <c r="BI2590" i="13"/>
  <c r="BI2589" i="13"/>
  <c r="BI2588" i="13"/>
  <c r="BI2587" i="13"/>
  <c r="BI2586" i="13"/>
  <c r="BI2585" i="13"/>
  <c r="BI2584" i="13"/>
  <c r="BI2583" i="13"/>
  <c r="BI2582" i="13"/>
  <c r="BI2581" i="13"/>
  <c r="BI2580" i="13"/>
  <c r="BI2579" i="13"/>
  <c r="BI2578" i="13"/>
  <c r="BI2577" i="13"/>
  <c r="BI2576" i="13"/>
  <c r="BI2575" i="13"/>
  <c r="BI2574" i="13"/>
  <c r="BI2573" i="13"/>
  <c r="BI2572" i="13"/>
  <c r="BI2571" i="13"/>
  <c r="BI2570" i="13"/>
  <c r="BI2569" i="13"/>
  <c r="BI2568" i="13"/>
  <c r="BI2567" i="13"/>
  <c r="BI2566" i="13"/>
  <c r="BI2565" i="13"/>
  <c r="BI2564" i="13"/>
  <c r="BI2563" i="13"/>
  <c r="BI2562" i="13"/>
  <c r="BI2561" i="13"/>
  <c r="BI2560" i="13"/>
  <c r="BI2559" i="13"/>
  <c r="BI2558" i="13"/>
  <c r="BI2557" i="13"/>
  <c r="BI2556" i="13"/>
  <c r="BI2555" i="13"/>
  <c r="BI2554" i="13"/>
  <c r="BI2553" i="13"/>
  <c r="BI2552" i="13"/>
  <c r="BI2551" i="13"/>
  <c r="BI2550" i="13"/>
  <c r="BI2549" i="13"/>
  <c r="BI2548" i="13"/>
  <c r="BI2547" i="13"/>
  <c r="BI2546" i="13"/>
  <c r="BI2545" i="13"/>
  <c r="BI2544" i="13"/>
  <c r="BI2543" i="13"/>
  <c r="BI2542" i="13"/>
  <c r="BI2541" i="13"/>
  <c r="BI2540" i="13"/>
  <c r="BI2539" i="13"/>
  <c r="BI2538" i="13"/>
  <c r="BI2537" i="13"/>
  <c r="BI2536" i="13"/>
  <c r="BI2535" i="13"/>
  <c r="BI2534" i="13"/>
  <c r="BI2533" i="13"/>
  <c r="BI2532" i="13"/>
  <c r="BI2531" i="13"/>
  <c r="BI2530" i="13"/>
  <c r="BI2529" i="13"/>
  <c r="BI2528" i="13"/>
  <c r="BI2527" i="13"/>
  <c r="BI2526" i="13"/>
  <c r="BI2525" i="13"/>
  <c r="BI2524" i="13"/>
  <c r="BI2523" i="13"/>
  <c r="BI2522" i="13"/>
  <c r="BI2521" i="13"/>
  <c r="BI2520" i="13"/>
  <c r="BI2519" i="13"/>
  <c r="BI2518" i="13"/>
  <c r="BI2517" i="13"/>
  <c r="BI2516" i="13"/>
  <c r="BI2515" i="13"/>
  <c r="BI2514" i="13"/>
  <c r="BI2513" i="13"/>
  <c r="BI2512" i="13"/>
  <c r="BI2511" i="13"/>
  <c r="BI2510" i="13"/>
  <c r="BI2509" i="13"/>
  <c r="BI2508" i="13"/>
  <c r="BI2507" i="13"/>
  <c r="BI2506" i="13"/>
  <c r="BI2505" i="13"/>
  <c r="BI2504" i="13"/>
  <c r="BI2503" i="13"/>
  <c r="BI2502" i="13"/>
  <c r="BI2501" i="13"/>
  <c r="BI2500" i="13"/>
  <c r="BI2499" i="13"/>
  <c r="BI2498" i="13"/>
  <c r="BI2497" i="13"/>
  <c r="BI2496" i="13"/>
  <c r="BI2495" i="13"/>
  <c r="BI2494" i="13"/>
  <c r="BI2493" i="13"/>
  <c r="BI2492" i="13"/>
  <c r="BI2491" i="13"/>
  <c r="BI2490" i="13"/>
  <c r="BI2489" i="13"/>
  <c r="BI2488" i="13"/>
  <c r="BI2487" i="13"/>
  <c r="BI2486" i="13"/>
  <c r="BI2485" i="13"/>
  <c r="BI2484" i="13"/>
  <c r="BI2483" i="13"/>
  <c r="BI2482" i="13"/>
  <c r="BI2481" i="13"/>
  <c r="BI2480" i="13"/>
  <c r="BI2479" i="13"/>
  <c r="BI2478" i="13"/>
  <c r="BI2477" i="13"/>
  <c r="BI2476" i="13"/>
  <c r="BI2475" i="13"/>
  <c r="BI2474" i="13"/>
  <c r="BI2473" i="13"/>
  <c r="BI2472" i="13"/>
  <c r="BI2471" i="13"/>
  <c r="BI2470" i="13"/>
  <c r="BI2469" i="13"/>
  <c r="BI2468" i="13"/>
  <c r="BI2467" i="13"/>
  <c r="BI2466" i="13"/>
  <c r="BI2465" i="13"/>
  <c r="BI2464" i="13"/>
  <c r="BI2463" i="13"/>
  <c r="BI2462" i="13"/>
  <c r="BI2461" i="13"/>
  <c r="BI2460" i="13"/>
  <c r="BI2459" i="13"/>
  <c r="BI2458" i="13"/>
  <c r="BI2457" i="13"/>
  <c r="BI2456" i="13"/>
  <c r="BI2455" i="13"/>
  <c r="BI2454" i="13"/>
  <c r="BI2453" i="13"/>
  <c r="BI2452" i="13"/>
  <c r="BI2451" i="13"/>
  <c r="BI2450" i="13"/>
  <c r="BI2449" i="13"/>
  <c r="BI2448" i="13"/>
  <c r="BI2447" i="13"/>
  <c r="BI2446" i="13"/>
  <c r="BI2445" i="13"/>
  <c r="BI2444" i="13"/>
  <c r="BI2443" i="13"/>
  <c r="BI2442" i="13"/>
  <c r="BI2441" i="13"/>
  <c r="BI2440" i="13"/>
  <c r="BI2439" i="13"/>
  <c r="BI2438" i="13"/>
  <c r="BI2437" i="13"/>
  <c r="BI2436" i="13"/>
  <c r="BI2435" i="13"/>
  <c r="BI2434" i="13"/>
  <c r="BI2433" i="13"/>
  <c r="BI2432" i="13"/>
  <c r="BI2431" i="13"/>
  <c r="BI2430" i="13"/>
  <c r="BI2429" i="13"/>
  <c r="BI2428" i="13"/>
  <c r="BI2427" i="13"/>
  <c r="BI2426" i="13"/>
  <c r="BI2425" i="13"/>
  <c r="BI2424" i="13"/>
  <c r="BI2423" i="13"/>
  <c r="BI2422" i="13"/>
  <c r="BI2421" i="13"/>
  <c r="BI2420" i="13"/>
  <c r="BI2419" i="13"/>
  <c r="BI2418" i="13"/>
  <c r="BI2417" i="13"/>
  <c r="BI2416" i="13"/>
  <c r="BI2415" i="13"/>
  <c r="BI2414" i="13"/>
  <c r="BI2413" i="13"/>
  <c r="BI2412" i="13"/>
  <c r="BI2411" i="13"/>
  <c r="BI2410" i="13"/>
  <c r="BI2409" i="13"/>
  <c r="BI2408" i="13"/>
  <c r="BI2407" i="13"/>
  <c r="BI2406" i="13"/>
  <c r="BI2405" i="13"/>
  <c r="BI2404" i="13"/>
  <c r="BI2403" i="13"/>
  <c r="BI2402" i="13"/>
  <c r="BI2401" i="13"/>
  <c r="BI2400" i="13"/>
  <c r="BI2399" i="13"/>
  <c r="BI2398" i="13"/>
  <c r="BI2397" i="13"/>
  <c r="BI2396" i="13"/>
  <c r="BI2395" i="13"/>
  <c r="BI2394" i="13"/>
  <c r="BI2393" i="13"/>
  <c r="BI2392" i="13"/>
  <c r="BI2391" i="13"/>
  <c r="BI2390" i="13"/>
  <c r="BI2389" i="13"/>
  <c r="BI2388" i="13"/>
  <c r="BI2387" i="13"/>
  <c r="BI2386" i="13"/>
  <c r="BI2385" i="13"/>
  <c r="BI2384" i="13"/>
  <c r="BI2383" i="13"/>
  <c r="BI2382" i="13"/>
  <c r="BI2381" i="13"/>
  <c r="BI2380" i="13"/>
  <c r="BI2379" i="13"/>
  <c r="BI2378" i="13"/>
  <c r="BI2377" i="13"/>
  <c r="BI2376" i="13"/>
  <c r="BI2375" i="13"/>
  <c r="BI2374" i="13"/>
  <c r="BI2373" i="13"/>
  <c r="BI2372" i="13"/>
  <c r="BI2371" i="13"/>
  <c r="BI2370" i="13"/>
  <c r="BI2369" i="13"/>
  <c r="BI2368" i="13"/>
  <c r="BI2367" i="13"/>
  <c r="BI2366" i="13"/>
  <c r="BI2365" i="13"/>
  <c r="BI2364" i="13"/>
  <c r="AV1623" i="13"/>
  <c r="BI2363" i="13"/>
  <c r="BI2362" i="13"/>
  <c r="BI2361" i="13"/>
  <c r="BI2360" i="13"/>
  <c r="BI2359" i="13"/>
  <c r="BI2358" i="13"/>
  <c r="BI2357" i="13"/>
  <c r="BI2356" i="13"/>
  <c r="BI2355" i="13"/>
  <c r="BI2354" i="13"/>
  <c r="BI2353" i="13"/>
  <c r="BI2352" i="13"/>
  <c r="BI2351" i="13"/>
  <c r="BI2350" i="13"/>
  <c r="BI2349" i="13"/>
  <c r="BI2348" i="13"/>
  <c r="BI2347" i="13"/>
  <c r="BI2346" i="13"/>
  <c r="BI2345" i="13"/>
  <c r="BI2344" i="13"/>
  <c r="BI2343" i="13"/>
  <c r="BI2342" i="13"/>
  <c r="BI2341" i="13"/>
  <c r="BI2340" i="13"/>
  <c r="BI2339" i="13"/>
  <c r="BI2338" i="13"/>
  <c r="BI2337" i="13"/>
  <c r="BI2336" i="13"/>
  <c r="BI2335" i="13"/>
  <c r="BI2334" i="13"/>
  <c r="BI2333" i="13"/>
  <c r="BI2332" i="13"/>
  <c r="BI2331" i="13"/>
  <c r="BI2330" i="13"/>
  <c r="BI2329" i="13"/>
  <c r="BI2328" i="13"/>
  <c r="BI2327" i="13"/>
  <c r="BI2326" i="13"/>
  <c r="BI2325" i="13"/>
  <c r="BI2324" i="13"/>
  <c r="BI2323" i="13"/>
  <c r="BI2322" i="13"/>
  <c r="BI2321" i="13"/>
  <c r="BI2320" i="13"/>
  <c r="BI2319" i="13"/>
  <c r="BI2318" i="13"/>
  <c r="BI2317" i="13"/>
  <c r="BI2316" i="13"/>
  <c r="BI2315" i="13"/>
  <c r="BI2314" i="13"/>
  <c r="BI2313" i="13"/>
  <c r="BI2312" i="13"/>
  <c r="BI2311" i="13"/>
  <c r="BI2310" i="13"/>
  <c r="BI2309" i="13"/>
  <c r="BI2308" i="13"/>
  <c r="BI2307" i="13"/>
  <c r="BI2306" i="13"/>
  <c r="BI2305" i="13"/>
  <c r="BI2304" i="13"/>
  <c r="BI2303" i="13"/>
  <c r="BI2302" i="13"/>
  <c r="BI2301" i="13"/>
  <c r="BI2300" i="13"/>
  <c r="BI2299" i="13"/>
  <c r="BI2298" i="13"/>
  <c r="BI2297" i="13"/>
  <c r="BI2296" i="13"/>
  <c r="BI2295" i="13"/>
  <c r="BI2294" i="13"/>
  <c r="BI2293" i="13"/>
  <c r="BI2292" i="13"/>
  <c r="BI2291" i="13"/>
  <c r="BI2290" i="13"/>
  <c r="BI2289" i="13"/>
  <c r="BI2288" i="13"/>
  <c r="BI2287" i="13"/>
  <c r="BI2286" i="13"/>
  <c r="BI2285" i="13"/>
  <c r="BI2284" i="13"/>
  <c r="BI2283" i="13"/>
  <c r="BI2282" i="13"/>
  <c r="BI2281" i="13"/>
  <c r="BI2280" i="13"/>
  <c r="BI2279" i="13"/>
  <c r="BI2278" i="13"/>
  <c r="BI2277" i="13"/>
  <c r="BI2276" i="13"/>
  <c r="BI2275" i="13"/>
  <c r="BI2274" i="13"/>
  <c r="BI2273" i="13"/>
  <c r="BI2272" i="13"/>
  <c r="BI2271" i="13"/>
  <c r="BI2270" i="13"/>
  <c r="BI2269" i="13"/>
  <c r="BI2268" i="13"/>
  <c r="BI2267" i="13"/>
  <c r="BI2266" i="13"/>
  <c r="BI2265" i="13"/>
  <c r="BI2264" i="13"/>
  <c r="BI2263" i="13"/>
  <c r="BI2262" i="13"/>
  <c r="BI2261" i="13"/>
  <c r="BI2260" i="13"/>
  <c r="BI2259" i="13"/>
  <c r="BI2258" i="13"/>
  <c r="BI2257" i="13"/>
  <c r="BI2256" i="13"/>
  <c r="BI2255" i="13"/>
  <c r="BI2254" i="13"/>
  <c r="BI2253" i="13"/>
  <c r="BI2252" i="13"/>
  <c r="BI2251" i="13"/>
  <c r="BI2250" i="13"/>
  <c r="BI2249" i="13"/>
  <c r="BI2248" i="13"/>
  <c r="BI2247" i="13"/>
  <c r="BI2246" i="13"/>
  <c r="BI2245" i="13"/>
  <c r="BI2244" i="13"/>
  <c r="BI2243" i="13"/>
  <c r="BI2242" i="13"/>
  <c r="BI2241" i="13"/>
  <c r="BI2240" i="13"/>
  <c r="BI2239" i="13"/>
  <c r="BI2238" i="13"/>
  <c r="BI2237" i="13"/>
  <c r="BI2236" i="13"/>
  <c r="BI2235" i="13"/>
  <c r="BI2234" i="13"/>
  <c r="BI2233" i="13"/>
  <c r="BI2232" i="13"/>
  <c r="BI2231" i="13"/>
  <c r="BI2230" i="13"/>
  <c r="BI2229" i="13"/>
  <c r="BI2228" i="13"/>
  <c r="BI2227" i="13"/>
  <c r="BI2226" i="13"/>
  <c r="BI2225" i="13"/>
  <c r="BI2224" i="13"/>
  <c r="BI2223" i="13"/>
  <c r="BI2222" i="13"/>
  <c r="BI2221" i="13"/>
  <c r="BI2220" i="13"/>
  <c r="BI2219" i="13"/>
  <c r="BI2218" i="13"/>
  <c r="BI2217" i="13"/>
  <c r="BI2216" i="13"/>
  <c r="BI2215" i="13"/>
  <c r="BI2214" i="13"/>
  <c r="BI2213" i="13"/>
  <c r="BI2212" i="13"/>
  <c r="BI2211" i="13"/>
  <c r="BI2210" i="13"/>
  <c r="BI2209" i="13"/>
  <c r="BI2208" i="13"/>
  <c r="BI2207" i="13"/>
  <c r="BI2206" i="13"/>
  <c r="BI2205" i="13"/>
  <c r="BI2204" i="13"/>
  <c r="BI2203" i="13"/>
  <c r="BI2202" i="13"/>
  <c r="BI2201" i="13"/>
  <c r="BI2200" i="13"/>
  <c r="BI2199" i="13"/>
  <c r="BI2198" i="13"/>
  <c r="BI2197" i="13"/>
  <c r="BI2196" i="13"/>
  <c r="BI2195" i="13"/>
  <c r="BI2194" i="13"/>
  <c r="BI2193" i="13"/>
  <c r="BI2192" i="13"/>
  <c r="BI2191" i="13"/>
  <c r="BI2190" i="13"/>
  <c r="BI2189" i="13"/>
  <c r="BI2188" i="13"/>
  <c r="BI2187" i="13"/>
  <c r="BI2186" i="13"/>
  <c r="BI2185" i="13"/>
  <c r="BI2184" i="13"/>
  <c r="BI2183" i="13"/>
  <c r="BI2182" i="13"/>
  <c r="BI2181" i="13"/>
  <c r="BI2180" i="13"/>
  <c r="BI2179" i="13"/>
  <c r="BI2178" i="13"/>
  <c r="BI2177" i="13"/>
  <c r="BI2176" i="13"/>
  <c r="BI2175" i="13"/>
  <c r="BI2174" i="13"/>
  <c r="BI2173" i="13"/>
  <c r="BI2172" i="13"/>
  <c r="BI2171" i="13"/>
  <c r="BI2170" i="13"/>
  <c r="BI2169" i="13"/>
  <c r="BI2168" i="13"/>
  <c r="BI2167" i="13"/>
  <c r="BI2166" i="13"/>
  <c r="BI2165" i="13"/>
  <c r="BI2164" i="13"/>
  <c r="BI2163" i="13"/>
  <c r="BI2162" i="13"/>
  <c r="BI2161" i="13"/>
  <c r="BI2160" i="13"/>
  <c r="BI2159" i="13"/>
  <c r="BI2158" i="13"/>
  <c r="BI2157" i="13"/>
  <c r="BI2156" i="13"/>
  <c r="BI2155" i="13"/>
  <c r="BI2154" i="13"/>
  <c r="BI2153" i="13"/>
  <c r="BI2152" i="13"/>
  <c r="BI2151" i="13"/>
  <c r="BI2150" i="13"/>
  <c r="BI2149" i="13"/>
  <c r="BI2148" i="13"/>
  <c r="BI2147" i="13"/>
  <c r="BI2146" i="13"/>
  <c r="BI2145" i="13"/>
  <c r="BI2144" i="13"/>
  <c r="BI2143" i="13"/>
  <c r="BI2142" i="13"/>
  <c r="BI2141" i="13"/>
  <c r="BI2140" i="13"/>
  <c r="BI2139" i="13"/>
  <c r="BI2138" i="13"/>
  <c r="BI2137" i="13"/>
  <c r="BI2136" i="13"/>
  <c r="BI2135" i="13"/>
  <c r="BI2134" i="13"/>
  <c r="BI2133" i="13"/>
  <c r="BI2132" i="13"/>
  <c r="BI2131" i="13"/>
  <c r="BI2130" i="13"/>
  <c r="BI2129" i="13"/>
  <c r="BI2128" i="13"/>
  <c r="BI2127" i="13"/>
  <c r="BI2126" i="13"/>
  <c r="BI2125" i="13"/>
  <c r="BI2124" i="13"/>
  <c r="BI2123" i="13"/>
  <c r="BI2122" i="13"/>
  <c r="BI2121" i="13"/>
  <c r="BI2120" i="13"/>
  <c r="BI2119" i="13"/>
  <c r="BI2118" i="13"/>
  <c r="BI2117" i="13"/>
  <c r="BI2116" i="13"/>
  <c r="BI2115" i="13"/>
  <c r="BI2114" i="13"/>
  <c r="BI2113" i="13"/>
  <c r="BI2112" i="13"/>
  <c r="BI2111" i="13"/>
  <c r="BI2110" i="13"/>
  <c r="BI2109" i="13"/>
  <c r="BI2108" i="13"/>
  <c r="BI2107" i="13"/>
  <c r="BI2106" i="13"/>
  <c r="BI2105" i="13"/>
  <c r="BI2104" i="13"/>
  <c r="BI2103" i="13"/>
  <c r="BI2102" i="13"/>
  <c r="BI2101" i="13"/>
  <c r="BI2100" i="13"/>
  <c r="BI2099" i="13"/>
  <c r="BI2098" i="13"/>
  <c r="BI2097" i="13"/>
  <c r="BI2096" i="13"/>
  <c r="BI2095" i="13"/>
  <c r="BI2094" i="13"/>
  <c r="BI2093" i="13"/>
  <c r="BI2092" i="13"/>
  <c r="BI2091" i="13"/>
  <c r="BI2090" i="13"/>
  <c r="BI2089" i="13"/>
  <c r="BI2088" i="13"/>
  <c r="BI2087" i="13"/>
  <c r="BI2086" i="13"/>
  <c r="BI2085" i="13"/>
  <c r="BI2084" i="13"/>
  <c r="BI2083" i="13"/>
  <c r="BI2082" i="13"/>
  <c r="BI2081" i="13"/>
  <c r="BI2080" i="13"/>
  <c r="BI2079" i="13"/>
  <c r="BI2078" i="13"/>
  <c r="BI2077" i="13"/>
  <c r="BI2076" i="13"/>
  <c r="BI2075" i="13"/>
  <c r="BI2074" i="13"/>
  <c r="BI2073" i="13"/>
  <c r="BI2072" i="13"/>
  <c r="BI2071" i="13"/>
  <c r="BI2070" i="13"/>
  <c r="BI2069" i="13"/>
  <c r="BI2068" i="13"/>
  <c r="BI2067" i="13"/>
  <c r="BI2066" i="13"/>
  <c r="BI2065" i="13"/>
  <c r="BI2064" i="13"/>
  <c r="BI2063" i="13"/>
  <c r="BI2062" i="13"/>
  <c r="BI2061" i="13"/>
  <c r="BI2060" i="13"/>
  <c r="BI2059" i="13"/>
  <c r="BI2058" i="13"/>
  <c r="BI2057" i="13"/>
  <c r="BI2056" i="13"/>
  <c r="BI2055" i="13"/>
  <c r="BI2054" i="13"/>
  <c r="BI2053" i="13"/>
  <c r="BI2052" i="13"/>
  <c r="BI2051" i="13"/>
  <c r="BI2050" i="13"/>
  <c r="BI2049" i="13"/>
  <c r="BI2048" i="13"/>
  <c r="BI2047" i="13"/>
  <c r="BI2046" i="13"/>
  <c r="BI2045" i="13"/>
  <c r="BI2044" i="13"/>
  <c r="BI2043" i="13"/>
  <c r="BI2042" i="13"/>
  <c r="BI2041" i="13"/>
  <c r="BI2040" i="13"/>
  <c r="BI2039" i="13"/>
  <c r="BI2038" i="13"/>
  <c r="BI2037" i="13"/>
  <c r="BI2036" i="13"/>
  <c r="BI2035" i="13"/>
  <c r="BI2034" i="13"/>
  <c r="BI2033" i="13"/>
  <c r="BI2032" i="13"/>
  <c r="BI2031" i="13"/>
  <c r="BI2030" i="13"/>
  <c r="BI2029" i="13"/>
  <c r="BI2028" i="13"/>
  <c r="BI2027" i="13"/>
  <c r="BI2026" i="13"/>
  <c r="BI2025" i="13"/>
  <c r="BI2024" i="13"/>
  <c r="BI2023" i="13"/>
  <c r="BI2022" i="13"/>
  <c r="BI2021" i="13"/>
  <c r="BI2020" i="13"/>
  <c r="BI2019" i="13"/>
  <c r="BI2018" i="13"/>
  <c r="BI2017" i="13"/>
  <c r="BI2016" i="13"/>
  <c r="BI2015" i="13"/>
  <c r="BI2014" i="13"/>
  <c r="BI2013" i="13"/>
  <c r="BI2012" i="13"/>
  <c r="BI2011" i="13"/>
  <c r="BI2010" i="13"/>
  <c r="BI2009" i="13"/>
  <c r="BI2008" i="13"/>
  <c r="BI2007" i="13"/>
  <c r="BI2006" i="13"/>
  <c r="BI2005" i="13"/>
  <c r="BI2004" i="13"/>
  <c r="BI2003" i="13"/>
  <c r="BI2002" i="13"/>
  <c r="BI2001" i="13"/>
  <c r="BI2000" i="13"/>
  <c r="BI1999" i="13"/>
  <c r="BI1998" i="13"/>
  <c r="BI1997" i="13"/>
  <c r="BI1996" i="13"/>
  <c r="BI1995" i="13"/>
  <c r="BI1994" i="13"/>
  <c r="BI1993" i="13"/>
  <c r="BI1992" i="13"/>
  <c r="BI1991" i="13"/>
  <c r="BI1990" i="13"/>
  <c r="BI1989" i="13"/>
  <c r="BI1988" i="13"/>
  <c r="BI1987" i="13"/>
  <c r="BI1986" i="13"/>
  <c r="BI1985" i="13"/>
  <c r="BI1984" i="13"/>
  <c r="BI1983" i="13"/>
  <c r="BI1982" i="13"/>
  <c r="BI1981" i="13"/>
  <c r="BI1980" i="13"/>
  <c r="BI1979" i="13"/>
  <c r="BI1978" i="13"/>
  <c r="BI1977" i="13"/>
  <c r="BI1976" i="13"/>
  <c r="BI1975" i="13"/>
  <c r="BI1974" i="13"/>
  <c r="BI1973" i="13"/>
  <c r="BI1972" i="13"/>
  <c r="BI1971" i="13"/>
  <c r="BI1970" i="13"/>
  <c r="BI1969" i="13"/>
  <c r="BI1968" i="13"/>
  <c r="BI1967" i="13"/>
  <c r="BI1966" i="13"/>
  <c r="BI1965" i="13"/>
  <c r="BI1964" i="13"/>
  <c r="BI1963" i="13"/>
  <c r="BI1962" i="13"/>
  <c r="BI1961" i="13"/>
  <c r="BI1960" i="13"/>
  <c r="BI1959" i="13"/>
  <c r="BI1958" i="13"/>
  <c r="BI1957" i="13"/>
  <c r="BI1956" i="13"/>
  <c r="BI1955" i="13"/>
  <c r="BI1954" i="13"/>
  <c r="BI1953" i="13"/>
  <c r="BI1952" i="13"/>
  <c r="BI1951" i="13"/>
  <c r="BI1950" i="13"/>
  <c r="BI1949" i="13"/>
  <c r="BI1948" i="13"/>
  <c r="BI1947" i="13"/>
  <c r="BI1946" i="13"/>
  <c r="BI1945" i="13"/>
  <c r="BI1944" i="13"/>
  <c r="BI1943" i="13"/>
  <c r="BI1942" i="13"/>
  <c r="BI1941" i="13"/>
  <c r="BI1940" i="13"/>
  <c r="BI1939" i="13"/>
  <c r="BI1938" i="13"/>
  <c r="BI1937" i="13"/>
  <c r="BI1936" i="13"/>
  <c r="BI1935" i="13"/>
  <c r="BI1934" i="13"/>
  <c r="BI1933" i="13"/>
  <c r="BI1932" i="13"/>
  <c r="BI1931" i="13"/>
  <c r="BI1930" i="13"/>
  <c r="BI1929" i="13"/>
  <c r="BI1928" i="13"/>
  <c r="BI1927" i="13"/>
  <c r="BI1926" i="13"/>
  <c r="BI1925" i="13"/>
  <c r="BI1924" i="13"/>
  <c r="BI1923" i="13"/>
  <c r="BI1922" i="13"/>
  <c r="BI1921" i="13"/>
  <c r="BI1920" i="13"/>
  <c r="BI1919" i="13"/>
  <c r="BI1918" i="13"/>
  <c r="BI1917" i="13"/>
  <c r="BI1916" i="13"/>
  <c r="BI1915" i="13"/>
  <c r="BI1914" i="13"/>
  <c r="BI1913" i="13"/>
  <c r="BI1912" i="13"/>
  <c r="BI1911" i="13"/>
  <c r="BI1910" i="13"/>
  <c r="BI1909" i="13"/>
  <c r="BI1908" i="13"/>
  <c r="BI1907" i="13"/>
  <c r="BI1906" i="13"/>
  <c r="BI1905" i="13"/>
  <c r="BI1904" i="13"/>
  <c r="BI1903" i="13"/>
  <c r="BI1902" i="13"/>
  <c r="BI1901" i="13"/>
  <c r="BI1900" i="13"/>
  <c r="BI1899" i="13"/>
  <c r="BI1898" i="13"/>
  <c r="BI1897" i="13"/>
  <c r="BI1896" i="13"/>
  <c r="BI1895" i="13"/>
  <c r="BI1894" i="13"/>
  <c r="BI1893" i="13"/>
  <c r="BI1892" i="13"/>
  <c r="BI1891" i="13"/>
  <c r="BI1890" i="13"/>
  <c r="BI1889" i="13"/>
  <c r="BI1888" i="13"/>
  <c r="BI1887" i="13"/>
  <c r="BI1886" i="13"/>
  <c r="BI1885" i="13"/>
  <c r="BI1884" i="13"/>
  <c r="BI1883" i="13"/>
  <c r="BI1882" i="13"/>
  <c r="BI1881" i="13"/>
  <c r="BI1880" i="13"/>
  <c r="BI1879" i="13"/>
  <c r="BI1878" i="13"/>
  <c r="BI1877" i="13"/>
  <c r="BI1876" i="13"/>
  <c r="BI1875" i="13"/>
  <c r="BI1874" i="13"/>
  <c r="BI1873" i="13"/>
  <c r="BI1872" i="13"/>
  <c r="BI1871" i="13"/>
  <c r="BI1870" i="13"/>
  <c r="BI1869" i="13"/>
  <c r="BI1868" i="13"/>
  <c r="BI1867" i="13"/>
  <c r="BI1866" i="13"/>
  <c r="BI1865" i="13"/>
  <c r="BI1864" i="13"/>
  <c r="BI1863" i="13"/>
  <c r="BI1862" i="13"/>
  <c r="BI1861" i="13"/>
  <c r="BI1860" i="13"/>
  <c r="BI1859" i="13"/>
  <c r="BI1858" i="13"/>
  <c r="BI1857" i="13"/>
  <c r="BI1856" i="13"/>
  <c r="BI1855" i="13"/>
  <c r="BI1854" i="13"/>
  <c r="BI1853" i="13"/>
  <c r="BI1852" i="13"/>
  <c r="BI1851" i="13"/>
  <c r="BI1850" i="13"/>
  <c r="BI1849" i="13"/>
  <c r="BI1848" i="13"/>
  <c r="BI1847" i="13"/>
  <c r="BI1846" i="13"/>
  <c r="BI1845" i="13"/>
  <c r="BI1844" i="13"/>
  <c r="BI1843" i="13"/>
  <c r="BI1842" i="13"/>
  <c r="BI1841" i="13"/>
  <c r="BI1840" i="13"/>
  <c r="BI1839" i="13"/>
  <c r="BI1838" i="13"/>
  <c r="BI1837" i="13"/>
  <c r="BI1836" i="13"/>
  <c r="BI1835" i="13"/>
  <c r="BI1834" i="13"/>
  <c r="BI1833" i="13"/>
  <c r="BI1832" i="13"/>
  <c r="BI1831" i="13"/>
  <c r="BI1830" i="13"/>
  <c r="BI1829" i="13"/>
  <c r="BI1828" i="13"/>
  <c r="BI1827" i="13"/>
  <c r="BI1826" i="13"/>
  <c r="BI1825" i="13"/>
  <c r="BI1824" i="13"/>
  <c r="BI1823" i="13"/>
  <c r="BI1822" i="13"/>
  <c r="BI1821" i="13"/>
  <c r="BI1820" i="13"/>
  <c r="BI1819" i="13"/>
  <c r="BI1818" i="13"/>
  <c r="BI1817" i="13"/>
  <c r="BI1816" i="13"/>
  <c r="BI1815" i="13"/>
  <c r="BI1814" i="13"/>
  <c r="BI1813" i="13"/>
  <c r="BI1812" i="13"/>
  <c r="BI1811" i="13"/>
  <c r="BI1810" i="13"/>
  <c r="BI1809" i="13"/>
  <c r="BI1808" i="13"/>
  <c r="BI1807" i="13"/>
  <c r="BI1806" i="13"/>
  <c r="BI1805" i="13"/>
  <c r="BI1804" i="13"/>
  <c r="BI1803" i="13"/>
  <c r="BI1802" i="13"/>
  <c r="BI1801" i="13"/>
  <c r="BI1800" i="13"/>
  <c r="BI1799" i="13"/>
  <c r="BI1798" i="13"/>
  <c r="BI1797" i="13"/>
  <c r="BI1796" i="13"/>
  <c r="BI1795" i="13"/>
  <c r="BI1794" i="13"/>
  <c r="BI1793" i="13"/>
  <c r="BI1792" i="13"/>
  <c r="BI1791" i="13"/>
  <c r="BI1790" i="13"/>
  <c r="BI1789" i="13"/>
  <c r="BI1788" i="13"/>
  <c r="BI1787" i="13"/>
  <c r="BI1786" i="13"/>
  <c r="BI1785" i="13"/>
  <c r="BI1784" i="13"/>
  <c r="BI1783" i="13"/>
  <c r="BI1782" i="13"/>
  <c r="BI1781" i="13"/>
  <c r="BI1780" i="13"/>
  <c r="BI1779" i="13"/>
  <c r="BI1778" i="13"/>
  <c r="BI1777" i="13"/>
  <c r="BI1776" i="13"/>
  <c r="BI1775" i="13"/>
  <c r="BI1774" i="13"/>
  <c r="BI1773" i="13"/>
  <c r="BI1772" i="13"/>
  <c r="BI1771" i="13"/>
  <c r="BI1770" i="13"/>
  <c r="BI1769" i="13"/>
  <c r="BI1768" i="13"/>
  <c r="BI1767" i="13"/>
  <c r="BI1766" i="13"/>
  <c r="BI1765" i="13"/>
  <c r="BI1764" i="13"/>
  <c r="BI1763" i="13"/>
  <c r="BI1762" i="13"/>
  <c r="BI1761" i="13"/>
  <c r="BI1760" i="13"/>
  <c r="BI1759" i="13"/>
  <c r="BI1758" i="13"/>
  <c r="BI1757" i="13"/>
  <c r="BI1756" i="13"/>
  <c r="BI1755" i="13"/>
  <c r="BI1754" i="13"/>
  <c r="BI1753" i="13"/>
  <c r="BI1752" i="13"/>
  <c r="BI1751" i="13"/>
  <c r="BI1750" i="13"/>
  <c r="BI1749" i="13"/>
  <c r="BI1748" i="13"/>
  <c r="BI1747" i="13"/>
  <c r="BI1746" i="13"/>
  <c r="BI1745" i="13"/>
  <c r="BI1744" i="13"/>
  <c r="BI1743" i="13"/>
  <c r="BI1742" i="13"/>
  <c r="BI1741" i="13"/>
  <c r="BI1740" i="13"/>
  <c r="BI1739" i="13"/>
  <c r="BI1738" i="13"/>
  <c r="BI1737" i="13"/>
  <c r="BI1736" i="13"/>
  <c r="BI1735" i="13"/>
  <c r="BI1734" i="13"/>
  <c r="BI1733" i="13"/>
  <c r="BI1732" i="13"/>
  <c r="BI1731" i="13"/>
  <c r="BI1730" i="13"/>
  <c r="BI1729" i="13"/>
  <c r="BI1728" i="13"/>
  <c r="BI1727" i="13"/>
  <c r="BI1726" i="13"/>
  <c r="BI1725" i="13"/>
  <c r="BI1724" i="13"/>
  <c r="BI1723" i="13"/>
  <c r="BI1722" i="13"/>
  <c r="BI1721" i="13"/>
  <c r="BI1720" i="13"/>
  <c r="BI1719" i="13"/>
  <c r="BI1718" i="13"/>
  <c r="BI1717" i="13"/>
  <c r="BI1716" i="13"/>
  <c r="BI1715" i="13"/>
  <c r="BI1714" i="13"/>
  <c r="BI1713" i="13"/>
  <c r="BI1712" i="13"/>
  <c r="BI1711" i="13"/>
  <c r="BI1710" i="13"/>
  <c r="BI1709" i="13"/>
  <c r="BI1708" i="13"/>
  <c r="BI1707" i="13"/>
  <c r="BI1706" i="13"/>
  <c r="BI1705" i="13"/>
  <c r="BI1704" i="13"/>
  <c r="BI1703" i="13"/>
  <c r="BI1702" i="13"/>
  <c r="BI1701" i="13"/>
  <c r="BI1700" i="13"/>
  <c r="BI1699" i="13"/>
  <c r="BI1698" i="13"/>
  <c r="BI1697" i="13"/>
  <c r="BI1696" i="13"/>
  <c r="BI1695" i="13"/>
  <c r="BI1694" i="13"/>
  <c r="BI1693" i="13"/>
  <c r="BI1692" i="13"/>
  <c r="BI1691" i="13"/>
  <c r="BI1690" i="13"/>
  <c r="BI1689" i="13"/>
  <c r="BI1688" i="13"/>
  <c r="BI1687" i="13"/>
  <c r="BI1686" i="13"/>
  <c r="BI1685" i="13"/>
  <c r="BI1684" i="13"/>
  <c r="BI1683" i="13"/>
  <c r="BI1682" i="13"/>
  <c r="BI1681" i="13"/>
  <c r="BI1680" i="13"/>
  <c r="BI1679" i="13"/>
  <c r="BI1678" i="13"/>
  <c r="BI1677" i="13"/>
  <c r="BI1676" i="13"/>
  <c r="BI1675" i="13"/>
  <c r="BI1674" i="13"/>
  <c r="BI1673" i="13"/>
  <c r="BI1672" i="13"/>
  <c r="BI1671" i="13"/>
  <c r="BI1670" i="13"/>
  <c r="BI1669" i="13"/>
  <c r="BI1668" i="13"/>
  <c r="BI1667" i="13"/>
  <c r="BI1666" i="13"/>
  <c r="BI1665" i="13"/>
  <c r="BI1664" i="13"/>
  <c r="BI1663" i="13"/>
  <c r="BI1662" i="13"/>
  <c r="BI1661" i="13"/>
  <c r="BI1660" i="13"/>
  <c r="BI1659" i="13"/>
  <c r="BI1658" i="13"/>
  <c r="BI1657" i="13"/>
  <c r="BI1656" i="13"/>
  <c r="BI1655" i="13"/>
  <c r="BI1654" i="13"/>
  <c r="BI1653" i="13"/>
  <c r="BI1652" i="13"/>
  <c r="BI1651" i="13"/>
  <c r="BI1650" i="13"/>
  <c r="BI1649" i="13"/>
  <c r="BI1648" i="13"/>
  <c r="BI1647" i="13"/>
  <c r="BI1646" i="13"/>
  <c r="BI1645" i="13"/>
  <c r="BI1644" i="13"/>
  <c r="BI1643" i="13"/>
  <c r="BI1642" i="13"/>
  <c r="BI1641" i="13"/>
  <c r="BI1640" i="13"/>
  <c r="BI1639" i="13"/>
  <c r="BI1638" i="13"/>
  <c r="BI1637" i="13"/>
  <c r="BI1636" i="13"/>
  <c r="BI1635" i="13"/>
  <c r="BI1634" i="13"/>
  <c r="BI1633" i="13"/>
  <c r="BI1632" i="13"/>
  <c r="BI1631" i="13"/>
  <c r="BI1630" i="13"/>
  <c r="BI1629" i="13"/>
  <c r="BI1628" i="13"/>
  <c r="BI1627" i="13"/>
  <c r="BI1626" i="13"/>
  <c r="BI1625" i="13"/>
  <c r="BI1624" i="13"/>
  <c r="BC1623" i="13"/>
  <c r="BB1623" i="13"/>
  <c r="BA1623" i="13"/>
  <c r="AZ1623" i="13"/>
  <c r="AY1623" i="13"/>
  <c r="AX1623" i="13"/>
  <c r="AW1623" i="13"/>
  <c r="AU1623" i="13"/>
  <c r="AS1623" i="13"/>
  <c r="AR1623" i="13"/>
  <c r="AQ1623" i="13"/>
  <c r="BI1622" i="13"/>
  <c r="BI1351" i="13"/>
  <c r="BI1350" i="13"/>
  <c r="BI1349" i="13"/>
  <c r="BI1348" i="13"/>
  <c r="BI1347" i="13"/>
  <c r="BI1346" i="13"/>
  <c r="BI1345" i="13"/>
  <c r="BI1344" i="13"/>
  <c r="BI1343" i="13"/>
  <c r="BI1342" i="13"/>
  <c r="BI1341" i="13"/>
  <c r="BI1340" i="13"/>
  <c r="BI1339" i="13"/>
  <c r="BI1338" i="13"/>
  <c r="BI1337" i="13"/>
  <c r="BI1336" i="13"/>
  <c r="BI1335" i="13"/>
  <c r="BI1334" i="13"/>
  <c r="BI1333" i="13"/>
  <c r="BI1332" i="13"/>
  <c r="BI1331" i="13"/>
  <c r="BI1330" i="13"/>
  <c r="BI1329" i="13"/>
  <c r="BI1328" i="13"/>
  <c r="BI1327" i="13"/>
  <c r="BI1326" i="13"/>
  <c r="BI1325" i="13"/>
  <c r="BI1324" i="13"/>
  <c r="BI1323" i="13"/>
  <c r="BI1322" i="13"/>
  <c r="BI1321" i="13"/>
  <c r="BI1320" i="13"/>
  <c r="BI1319" i="13"/>
  <c r="BI1318" i="13"/>
  <c r="BI1317" i="13"/>
  <c r="BI1316" i="13"/>
  <c r="BI1315" i="13"/>
  <c r="BI1314" i="13"/>
  <c r="BI1313" i="13"/>
  <c r="BI1312" i="13"/>
  <c r="BI1311" i="13"/>
  <c r="BI1310" i="13"/>
  <c r="BI1309" i="13"/>
  <c r="BI1308" i="13"/>
  <c r="BI1307" i="13"/>
  <c r="BI1306" i="13"/>
  <c r="BI1305" i="13"/>
  <c r="BI1304" i="13"/>
  <c r="BI1303" i="13"/>
  <c r="BI1302" i="13"/>
  <c r="BI1301" i="13"/>
  <c r="BI1300" i="13"/>
  <c r="BI1299" i="13"/>
  <c r="BI1298" i="13"/>
  <c r="BI1297" i="13"/>
  <c r="BI1296" i="13"/>
  <c r="BI1295" i="13"/>
  <c r="BI1294" i="13"/>
  <c r="BI1293" i="13"/>
  <c r="BI1292" i="13"/>
  <c r="BI1291" i="13"/>
  <c r="BI1290" i="13"/>
  <c r="BI1289" i="13"/>
  <c r="BI1288" i="13"/>
  <c r="BI1287" i="13"/>
  <c r="BI1286" i="13"/>
  <c r="BI1285" i="13"/>
  <c r="BI1284" i="13"/>
  <c r="BI1283" i="13"/>
  <c r="BI1282" i="13"/>
  <c r="BI1281" i="13"/>
  <c r="BI1280" i="13"/>
  <c r="BI1279" i="13"/>
  <c r="BI1278" i="13"/>
  <c r="BI1277" i="13"/>
  <c r="BI1276" i="13"/>
  <c r="BI1275" i="13"/>
  <c r="BI1274" i="13"/>
  <c r="BI1273" i="13"/>
  <c r="BI1272" i="13"/>
  <c r="BI1271" i="13"/>
  <c r="BI1270" i="13"/>
  <c r="BI1269" i="13"/>
  <c r="BI1268" i="13"/>
  <c r="BI1267" i="13"/>
  <c r="BI1266" i="13"/>
  <c r="BI1265" i="13"/>
  <c r="BI1264" i="13"/>
  <c r="BI1263" i="13"/>
  <c r="BI1262" i="13"/>
  <c r="BI1261" i="13"/>
  <c r="BI1260" i="13"/>
  <c r="BI1259" i="13"/>
  <c r="BI1258" i="13"/>
  <c r="BI1257" i="13"/>
  <c r="BI1256" i="13"/>
  <c r="BI1255" i="13"/>
  <c r="BI1254" i="13"/>
  <c r="BI1253" i="13"/>
  <c r="BI1252" i="13"/>
  <c r="BI1251" i="13"/>
  <c r="BI1250" i="13"/>
  <c r="BI1249" i="13"/>
  <c r="BI1248" i="13"/>
  <c r="BI1247" i="13"/>
  <c r="BI1246" i="13"/>
  <c r="BI1245" i="13"/>
  <c r="BI1244" i="13"/>
  <c r="BI1243" i="13"/>
  <c r="BI1242" i="13"/>
  <c r="BI1241" i="13"/>
  <c r="BI1240" i="13"/>
  <c r="BI1239" i="13"/>
  <c r="BI1238" i="13"/>
  <c r="BI1237" i="13"/>
  <c r="BI1236" i="13"/>
  <c r="BI1235" i="13"/>
  <c r="BI1234" i="13"/>
  <c r="BI1233" i="13"/>
  <c r="BI1232" i="13"/>
  <c r="BI1231" i="13"/>
  <c r="BI1230" i="13"/>
  <c r="BI1229" i="13"/>
  <c r="BI1228" i="13"/>
  <c r="BI1227" i="13"/>
  <c r="BI1226" i="13"/>
  <c r="BI1225" i="13"/>
  <c r="BI1224" i="13"/>
  <c r="BI1223" i="13"/>
  <c r="BI1222" i="13"/>
  <c r="BI1221" i="13"/>
  <c r="BI1220" i="13"/>
  <c r="BI1219" i="13"/>
  <c r="BI1218" i="13"/>
  <c r="BI1217" i="13"/>
  <c r="BI1216" i="13"/>
  <c r="BI1215" i="13"/>
  <c r="BI1214" i="13"/>
  <c r="BI1213" i="13"/>
  <c r="BI1212" i="13"/>
  <c r="BI1211" i="13"/>
  <c r="BI1210" i="13"/>
  <c r="BI1209" i="13"/>
  <c r="BI1208" i="13"/>
  <c r="BI1207" i="13"/>
  <c r="BI1206" i="13"/>
  <c r="BI1205" i="13"/>
  <c r="BI1204" i="13"/>
  <c r="BI1203" i="13"/>
  <c r="BI1202" i="13"/>
  <c r="BI1201" i="13"/>
  <c r="BI1200" i="13"/>
  <c r="BI1199" i="13"/>
  <c r="BI1198" i="13"/>
  <c r="BI1197" i="13"/>
  <c r="BI1196" i="13"/>
  <c r="BI1195" i="13"/>
  <c r="BI1194" i="13"/>
  <c r="BI1193" i="13"/>
  <c r="BI1192" i="13"/>
  <c r="BI1191" i="13"/>
  <c r="BI1190" i="13"/>
  <c r="BI1189" i="13"/>
  <c r="BI1188" i="13"/>
  <c r="BI1187" i="13"/>
  <c r="BI1186" i="13"/>
  <c r="BI1185" i="13"/>
  <c r="BI1184" i="13"/>
  <c r="BI1183" i="13"/>
  <c r="BI1182" i="13"/>
  <c r="BI1181" i="13"/>
  <c r="BI1180" i="13"/>
  <c r="BI1179" i="13"/>
  <c r="BI1178" i="13"/>
  <c r="BI1177" i="13"/>
  <c r="BI1176" i="13"/>
  <c r="BI1175" i="13"/>
  <c r="BI1174" i="13"/>
  <c r="BI1173" i="13"/>
  <c r="BI1172" i="13"/>
  <c r="BI1171" i="13"/>
  <c r="BI1170" i="13"/>
  <c r="BI1169" i="13"/>
  <c r="BI1168" i="13"/>
  <c r="BI1167" i="13"/>
  <c r="BI1166" i="13"/>
  <c r="BI1165" i="13"/>
  <c r="BI1164" i="13"/>
  <c r="BI1163" i="13"/>
  <c r="BI1162" i="13"/>
  <c r="BI1161" i="13"/>
  <c r="BI1160" i="13"/>
  <c r="BI1159" i="13"/>
  <c r="BI1158" i="13"/>
  <c r="BI1157" i="13"/>
  <c r="BI1156" i="13"/>
  <c r="BI1155" i="13"/>
  <c r="BI1154" i="13"/>
  <c r="BI1153" i="13"/>
  <c r="BI1152" i="13"/>
  <c r="BI1151" i="13"/>
  <c r="BI1150" i="13"/>
  <c r="BI1149" i="13"/>
  <c r="BI1148" i="13"/>
  <c r="BI1147" i="13"/>
  <c r="BI1146" i="13"/>
  <c r="BI1145" i="13"/>
  <c r="BI1144" i="13"/>
  <c r="BI1143" i="13"/>
  <c r="BI1142" i="13"/>
  <c r="BI1141" i="13"/>
  <c r="BI1140" i="13"/>
  <c r="BI1139" i="13"/>
  <c r="BI1138" i="13"/>
  <c r="BI1137" i="13"/>
  <c r="BI1136" i="13"/>
  <c r="BI1135" i="13"/>
  <c r="BI1134" i="13"/>
  <c r="BI1133" i="13"/>
  <c r="BI1132" i="13"/>
  <c r="BI1131" i="13"/>
  <c r="BI1130" i="13"/>
  <c r="BI1129" i="13"/>
  <c r="BI1128" i="13"/>
  <c r="BI1127" i="13"/>
  <c r="BI1126" i="13"/>
  <c r="BI1125" i="13"/>
  <c r="BI1124" i="13"/>
  <c r="BI1123" i="13"/>
  <c r="BI1122" i="13"/>
  <c r="BI1121" i="13"/>
  <c r="BI1120" i="13"/>
  <c r="BI1119" i="13"/>
  <c r="BI1118" i="13"/>
  <c r="BI1117" i="13"/>
  <c r="BI1116" i="13"/>
  <c r="BI1115" i="13"/>
  <c r="BI1114" i="13"/>
  <c r="BI1113" i="13"/>
  <c r="BI1112" i="13"/>
  <c r="BI1111" i="13"/>
  <c r="BI1110" i="13"/>
  <c r="BI1109" i="13"/>
  <c r="BI1108" i="13"/>
  <c r="BI1107" i="13"/>
  <c r="BI1106" i="13"/>
  <c r="BI1105" i="13"/>
  <c r="BI1104" i="13"/>
  <c r="BI1103" i="13"/>
  <c r="BI1102" i="13"/>
  <c r="BI1101" i="13"/>
  <c r="BI1100" i="13"/>
  <c r="BI1099" i="13"/>
  <c r="BI1098" i="13"/>
  <c r="BI1097" i="13"/>
  <c r="BI1096" i="13"/>
  <c r="BI1095" i="13"/>
  <c r="BI1094" i="13"/>
  <c r="BI1093" i="13"/>
  <c r="BI1092" i="13"/>
  <c r="BI1091" i="13"/>
  <c r="BI1090" i="13"/>
  <c r="BI1089" i="13"/>
  <c r="BI1088" i="13"/>
  <c r="BI1087" i="13"/>
  <c r="BI1086" i="13"/>
  <c r="BI1085" i="13"/>
  <c r="BI1084" i="13"/>
  <c r="BI1083" i="13"/>
  <c r="BI1082" i="13"/>
  <c r="BI1081" i="13"/>
  <c r="BI1080" i="13"/>
  <c r="BI1079" i="13"/>
  <c r="BI1078" i="13"/>
  <c r="BI1077" i="13"/>
  <c r="BI1076" i="13"/>
  <c r="BI1075" i="13"/>
  <c r="BI1074" i="13"/>
  <c r="BI1073" i="13"/>
  <c r="BI1072" i="13"/>
  <c r="BI1071" i="13"/>
  <c r="BI1070" i="13"/>
  <c r="BI1069" i="13"/>
  <c r="BI1068" i="13"/>
  <c r="BI1067" i="13"/>
  <c r="BI1066" i="13"/>
  <c r="BI1065" i="13"/>
  <c r="BI1064" i="13"/>
  <c r="BI1063" i="13"/>
  <c r="BI1062" i="13"/>
  <c r="BI1061" i="13"/>
  <c r="BI1060" i="13"/>
  <c r="BI1059" i="13"/>
  <c r="BI1058" i="13"/>
  <c r="BI1057" i="13"/>
  <c r="BI1056" i="13"/>
  <c r="BI1055" i="13"/>
  <c r="BI1054" i="13"/>
  <c r="BI1053" i="13"/>
  <c r="BI1052" i="13"/>
  <c r="BI1051" i="13"/>
  <c r="BI1050" i="13"/>
  <c r="BI1049" i="13"/>
  <c r="BI1048" i="13"/>
  <c r="BI1047" i="13"/>
  <c r="BI1046" i="13"/>
  <c r="BI1045" i="13"/>
  <c r="BI1044" i="13"/>
  <c r="BI1043" i="13"/>
  <c r="BI1042" i="13"/>
  <c r="BI1041" i="13"/>
  <c r="BI1040" i="13"/>
  <c r="BI1039" i="13"/>
  <c r="BI1038" i="13"/>
  <c r="BI1037" i="13"/>
  <c r="BI1036" i="13"/>
  <c r="BI1035" i="13"/>
  <c r="BI1034" i="13"/>
  <c r="BI1033" i="13"/>
  <c r="BI1032" i="13"/>
  <c r="BI1031" i="13"/>
  <c r="BI1030" i="13"/>
  <c r="BI1029" i="13"/>
  <c r="BI1028" i="13"/>
  <c r="BI1027" i="13"/>
  <c r="BI1026" i="13"/>
  <c r="BI1025" i="13"/>
  <c r="BI1024" i="13"/>
  <c r="BI1023" i="13"/>
  <c r="BI1022" i="13"/>
  <c r="BI1021" i="13"/>
  <c r="BI1020" i="13"/>
  <c r="BI1019" i="13"/>
  <c r="BI1018" i="13"/>
  <c r="BI1017" i="13"/>
  <c r="BI1016" i="13"/>
  <c r="BI1015" i="13"/>
  <c r="BI1014" i="13"/>
  <c r="BI1013" i="13"/>
  <c r="BI1012" i="13"/>
  <c r="BI1011" i="13"/>
  <c r="BI1010" i="13"/>
  <c r="BI1009" i="13"/>
  <c r="BI1008" i="13"/>
  <c r="BI1007" i="13"/>
  <c r="BI1006" i="13"/>
  <c r="BI1005" i="13"/>
  <c r="BI1004" i="13"/>
  <c r="BI1003" i="13"/>
  <c r="BI1002" i="13"/>
  <c r="BI1001" i="13"/>
  <c r="BI1000" i="13"/>
  <c r="BI999" i="13"/>
  <c r="BI998" i="13"/>
  <c r="BI997" i="13"/>
  <c r="BI996" i="13"/>
  <c r="BI995" i="13"/>
  <c r="BI994" i="13"/>
  <c r="BI993" i="13"/>
  <c r="BI992" i="13"/>
  <c r="BI991" i="13"/>
  <c r="BI990" i="13"/>
  <c r="BI989" i="13"/>
  <c r="BI988" i="13"/>
  <c r="BI987" i="13"/>
  <c r="BI986" i="13"/>
  <c r="BI985" i="13"/>
  <c r="BI984" i="13"/>
  <c r="BI983" i="13"/>
  <c r="BI982" i="13"/>
  <c r="BI981" i="13"/>
  <c r="BI980" i="13"/>
  <c r="BI979" i="13"/>
  <c r="BI978" i="13"/>
  <c r="BI977" i="13"/>
  <c r="BI976" i="13"/>
  <c r="BI975" i="13"/>
  <c r="BI974" i="13"/>
  <c r="BI973" i="13"/>
  <c r="BI972" i="13"/>
  <c r="BI971" i="13"/>
  <c r="BI970" i="13"/>
  <c r="BI969" i="13"/>
  <c r="BI968" i="13"/>
  <c r="BI967" i="13"/>
  <c r="BI966" i="13"/>
  <c r="BI965" i="13"/>
  <c r="BI964" i="13"/>
  <c r="BI963" i="13"/>
  <c r="BI962" i="13"/>
  <c r="BI961" i="13"/>
  <c r="BI960" i="13"/>
  <c r="BI959" i="13"/>
  <c r="BI958" i="13"/>
  <c r="BI957" i="13"/>
  <c r="BI956" i="13"/>
  <c r="BI955" i="13"/>
  <c r="BI954" i="13"/>
  <c r="BI953" i="13"/>
  <c r="BI952" i="13"/>
  <c r="BI951" i="13"/>
  <c r="BI950" i="13"/>
  <c r="BI949" i="13"/>
  <c r="BI948" i="13"/>
  <c r="BI947" i="13"/>
  <c r="BI946" i="13"/>
  <c r="BI945" i="13"/>
  <c r="BI944" i="13"/>
  <c r="BI943" i="13"/>
  <c r="BI942" i="13"/>
  <c r="BI941" i="13"/>
  <c r="BI940" i="13"/>
  <c r="BI939" i="13"/>
  <c r="BI938" i="13"/>
  <c r="BI937" i="13"/>
  <c r="BI936" i="13"/>
  <c r="BI935" i="13"/>
  <c r="BI934" i="13"/>
  <c r="BI933" i="13"/>
  <c r="BI932" i="13"/>
  <c r="BI931" i="13"/>
  <c r="BI930" i="13"/>
  <c r="BI929" i="13"/>
  <c r="BI928" i="13"/>
  <c r="BI927" i="13"/>
  <c r="BI926" i="13"/>
  <c r="BI925" i="13"/>
  <c r="BI924" i="13"/>
  <c r="BI923" i="13"/>
  <c r="BI922" i="13"/>
  <c r="BI921" i="13"/>
  <c r="BI920" i="13"/>
  <c r="BI919" i="13"/>
  <c r="BI918" i="13"/>
  <c r="BI917" i="13"/>
  <c r="BI916" i="13"/>
  <c r="BI915" i="13"/>
  <c r="BI914" i="13"/>
  <c r="BI913" i="13"/>
  <c r="BI912" i="13"/>
  <c r="BI911" i="13"/>
  <c r="BI910" i="13"/>
  <c r="BI909" i="13"/>
  <c r="BI908" i="13"/>
  <c r="BI907" i="13"/>
  <c r="BI906" i="13"/>
  <c r="BI905" i="13"/>
  <c r="BI904" i="13"/>
  <c r="BI903" i="13"/>
  <c r="BI902" i="13"/>
  <c r="BI901" i="13"/>
  <c r="BI900" i="13"/>
  <c r="BI899" i="13"/>
  <c r="BI898" i="13"/>
  <c r="BI897" i="13"/>
  <c r="BI896" i="13"/>
  <c r="BI895" i="13"/>
  <c r="BI894" i="13"/>
  <c r="BI893" i="13"/>
  <c r="BI892" i="13"/>
  <c r="BI891" i="13"/>
  <c r="BI890" i="13"/>
  <c r="BI889" i="13"/>
  <c r="BI888" i="13"/>
  <c r="BI887" i="13"/>
  <c r="BI886" i="13"/>
  <c r="BI885" i="13"/>
  <c r="BI884" i="13"/>
  <c r="BI883" i="13"/>
  <c r="BI882" i="13"/>
  <c r="BI881" i="13"/>
  <c r="BI880" i="13"/>
  <c r="BI879" i="13"/>
  <c r="BI878" i="13"/>
  <c r="BI877" i="13"/>
  <c r="BI876" i="13"/>
  <c r="BI875" i="13"/>
  <c r="BI874" i="13"/>
  <c r="BI873" i="13"/>
  <c r="BI872" i="13"/>
  <c r="BI871" i="13"/>
  <c r="BI870" i="13"/>
  <c r="BI869" i="13"/>
  <c r="BI868" i="13"/>
  <c r="BI867" i="13"/>
  <c r="BI866" i="13"/>
  <c r="BI865" i="13"/>
  <c r="BI864" i="13"/>
  <c r="BI863" i="13"/>
  <c r="BI862" i="13"/>
  <c r="BI861" i="13"/>
  <c r="BI860" i="13"/>
  <c r="BI859" i="13"/>
  <c r="BI858" i="13"/>
  <c r="BI857" i="13"/>
  <c r="BI856" i="13"/>
  <c r="BI855" i="13"/>
  <c r="BI854" i="13"/>
  <c r="BI853" i="13"/>
  <c r="BI852" i="13"/>
  <c r="BI851" i="13"/>
  <c r="BI850" i="13"/>
  <c r="BI849" i="13"/>
  <c r="BI848" i="13"/>
  <c r="BI847" i="13"/>
  <c r="BI846" i="13"/>
  <c r="BI845" i="13"/>
  <c r="BI844" i="13"/>
  <c r="BI843" i="13"/>
  <c r="BI842" i="13"/>
  <c r="BI841" i="13"/>
  <c r="BI840" i="13"/>
  <c r="BI839" i="13"/>
  <c r="BI838" i="13"/>
  <c r="BI837" i="13"/>
  <c r="BI836" i="13"/>
  <c r="BI835" i="13"/>
  <c r="BI834" i="13"/>
  <c r="BI833" i="13"/>
  <c r="BI832" i="13"/>
  <c r="BI831" i="13"/>
  <c r="BI830" i="13"/>
  <c r="BI829" i="13"/>
  <c r="BI828" i="13"/>
  <c r="BI827" i="13"/>
  <c r="BI826" i="13"/>
  <c r="BI825" i="13"/>
  <c r="BI824" i="13"/>
  <c r="BI823" i="13"/>
  <c r="BI822" i="13"/>
  <c r="BI821" i="13"/>
  <c r="BI820" i="13"/>
  <c r="BI819" i="13"/>
  <c r="BI818" i="13"/>
  <c r="BI817" i="13"/>
  <c r="BI816" i="13"/>
  <c r="BI815" i="13"/>
  <c r="BI814" i="13"/>
  <c r="BI813" i="13"/>
  <c r="BI812" i="13"/>
  <c r="BI811" i="13"/>
  <c r="BI810" i="13"/>
  <c r="BI809" i="13"/>
  <c r="BI808" i="13"/>
  <c r="BI807" i="13"/>
  <c r="BI806" i="13"/>
  <c r="BI805" i="13"/>
  <c r="BI804" i="13"/>
  <c r="BI803" i="13"/>
  <c r="BI802" i="13"/>
  <c r="BI801" i="13"/>
  <c r="BI800" i="13"/>
  <c r="BI799" i="13"/>
  <c r="BI798" i="13"/>
  <c r="BI797" i="13"/>
  <c r="BI796" i="13"/>
  <c r="BI795" i="13"/>
  <c r="BI794" i="13"/>
  <c r="BI793" i="13"/>
  <c r="BI792" i="13"/>
  <c r="BI791" i="13"/>
  <c r="BI790" i="13"/>
  <c r="BI789" i="13"/>
  <c r="BI788" i="13"/>
  <c r="BI787" i="13"/>
  <c r="BI786" i="13"/>
  <c r="BI785" i="13"/>
  <c r="BI784" i="13"/>
  <c r="BI783" i="13"/>
  <c r="BI782" i="13"/>
  <c r="BI781" i="13"/>
  <c r="BI780" i="13"/>
  <c r="BI779" i="13"/>
  <c r="BI778" i="13"/>
  <c r="BI777" i="13"/>
  <c r="BI776" i="13"/>
  <c r="BI775" i="13"/>
  <c r="BI774" i="13"/>
  <c r="BI773" i="13"/>
  <c r="BI772" i="13"/>
  <c r="BI771" i="13"/>
  <c r="BI770" i="13"/>
  <c r="BI769" i="13"/>
  <c r="BC768" i="13"/>
  <c r="BB768" i="13"/>
  <c r="BA768" i="13"/>
  <c r="AZ768" i="13"/>
  <c r="AY768" i="13"/>
  <c r="AX768" i="13"/>
  <c r="AW768" i="13"/>
  <c r="AV768" i="13"/>
  <c r="AU768" i="13"/>
  <c r="AT768" i="13"/>
  <c r="AS768" i="13"/>
  <c r="AR768" i="13"/>
  <c r="AQ768" i="13"/>
  <c r="BI766" i="13"/>
  <c r="BI763" i="13"/>
  <c r="BI762" i="13"/>
  <c r="BI761" i="13"/>
  <c r="BC760" i="13"/>
  <c r="BC759" i="13" s="1"/>
  <c r="BB760" i="13"/>
  <c r="BB759" i="13" s="1"/>
  <c r="BA760" i="13"/>
  <c r="BA759" i="13" s="1"/>
  <c r="AZ760" i="13"/>
  <c r="AZ759" i="13" s="1"/>
  <c r="AY760" i="13"/>
  <c r="AY759" i="13" s="1"/>
  <c r="AX760" i="13"/>
  <c r="AX759" i="13" s="1"/>
  <c r="AW760" i="13"/>
  <c r="AW759" i="13" s="1"/>
  <c r="AV760" i="13"/>
  <c r="AV759" i="13" s="1"/>
  <c r="AU760" i="13"/>
  <c r="AU759" i="13" s="1"/>
  <c r="AT760" i="13"/>
  <c r="AS760" i="13"/>
  <c r="AS759" i="13" s="1"/>
  <c r="AR760" i="13"/>
  <c r="AR759" i="13" s="1"/>
  <c r="AQ760" i="13"/>
  <c r="AQ759" i="13" s="1"/>
  <c r="BI758" i="13"/>
  <c r="BC757" i="13"/>
  <c r="BB757" i="13"/>
  <c r="BA757" i="13"/>
  <c r="AZ757" i="13"/>
  <c r="AY757" i="13"/>
  <c r="AX757" i="13"/>
  <c r="AW757" i="13"/>
  <c r="AV757" i="13"/>
  <c r="AU757" i="13"/>
  <c r="AT757" i="13"/>
  <c r="AS757" i="13"/>
  <c r="AR757" i="13"/>
  <c r="AQ757" i="13"/>
  <c r="BI756" i="13"/>
  <c r="BI755" i="13"/>
  <c r="BI754" i="13"/>
  <c r="BC753" i="13"/>
  <c r="BB753" i="13"/>
  <c r="BA753" i="13"/>
  <c r="AZ753" i="13"/>
  <c r="AY753" i="13"/>
  <c r="AX753" i="13"/>
  <c r="AW753" i="13"/>
  <c r="AV753" i="13"/>
  <c r="AU753" i="13"/>
  <c r="AT753" i="13"/>
  <c r="AS753" i="13"/>
  <c r="AR753" i="13"/>
  <c r="AQ753" i="13"/>
  <c r="BI752" i="13"/>
  <c r="BI748" i="13"/>
  <c r="BI747" i="13"/>
  <c r="BI746" i="13"/>
  <c r="BI745" i="13"/>
  <c r="BI744" i="13"/>
  <c r="BI743" i="13"/>
  <c r="BI742" i="13"/>
  <c r="BC741" i="13"/>
  <c r="BB741" i="13"/>
  <c r="BA741" i="13"/>
  <c r="AZ741" i="13"/>
  <c r="AY741" i="13"/>
  <c r="AX741" i="13"/>
  <c r="AW741" i="13"/>
  <c r="AV741" i="13"/>
  <c r="AU741" i="13"/>
  <c r="AT741" i="13"/>
  <c r="AS741" i="13"/>
  <c r="AR741" i="13"/>
  <c r="AQ741" i="13"/>
  <c r="BI739" i="13"/>
  <c r="BI737" i="13"/>
  <c r="BC736" i="13"/>
  <c r="BC735" i="13" s="1"/>
  <c r="BB736" i="13"/>
  <c r="BB735" i="13" s="1"/>
  <c r="BA736" i="13"/>
  <c r="BA735" i="13" s="1"/>
  <c r="AZ736" i="13"/>
  <c r="AZ735" i="13" s="1"/>
  <c r="AY736" i="13"/>
  <c r="AY735" i="13" s="1"/>
  <c r="AX736" i="13"/>
  <c r="AX735" i="13" s="1"/>
  <c r="AW736" i="13"/>
  <c r="AW735" i="13" s="1"/>
  <c r="AV736" i="13"/>
  <c r="AV735" i="13" s="1"/>
  <c r="AU736" i="13"/>
  <c r="AU735" i="13" s="1"/>
  <c r="AT736" i="13"/>
  <c r="AS736" i="13"/>
  <c r="AS735" i="13" s="1"/>
  <c r="AR736" i="13"/>
  <c r="AR735" i="13" s="1"/>
  <c r="AQ736" i="13"/>
  <c r="AQ735" i="13" s="1"/>
  <c r="BI734" i="13"/>
  <c r="BI733" i="13"/>
  <c r="BI732" i="13"/>
  <c r="BC731" i="13"/>
  <c r="BC730" i="13" s="1"/>
  <c r="BB731" i="13"/>
  <c r="BB730" i="13" s="1"/>
  <c r="BA731" i="13"/>
  <c r="BA730" i="13" s="1"/>
  <c r="AZ731" i="13"/>
  <c r="AZ730" i="13" s="1"/>
  <c r="AY731" i="13"/>
  <c r="AY730" i="13" s="1"/>
  <c r="AX731" i="13"/>
  <c r="AX730" i="13" s="1"/>
  <c r="AW731" i="13"/>
  <c r="AW730" i="13" s="1"/>
  <c r="AV731" i="13"/>
  <c r="AV730" i="13" s="1"/>
  <c r="AU731" i="13"/>
  <c r="AU730" i="13" s="1"/>
  <c r="AT731" i="13"/>
  <c r="AT730" i="13" s="1"/>
  <c r="AS731" i="13"/>
  <c r="AS730" i="13" s="1"/>
  <c r="AR731" i="13"/>
  <c r="AR730" i="13" s="1"/>
  <c r="AQ731" i="13"/>
  <c r="AQ730" i="13" s="1"/>
  <c r="BI729" i="13"/>
  <c r="BI727" i="13"/>
  <c r="BC725" i="13"/>
  <c r="AW725" i="13"/>
  <c r="BI726" i="13"/>
  <c r="BB725" i="13"/>
  <c r="BA725" i="13"/>
  <c r="AZ725" i="13"/>
  <c r="AY725" i="13"/>
  <c r="AX725" i="13"/>
  <c r="AV725" i="13"/>
  <c r="AU725" i="13"/>
  <c r="AT725" i="13"/>
  <c r="AS725" i="13"/>
  <c r="AR725" i="13"/>
  <c r="AQ725" i="13"/>
  <c r="BI724" i="13"/>
  <c r="BI722" i="13"/>
  <c r="BI721" i="13"/>
  <c r="BI720" i="13"/>
  <c r="BC717" i="13"/>
  <c r="BI719" i="13"/>
  <c r="BI718" i="13"/>
  <c r="BB717" i="13"/>
  <c r="BA717" i="13"/>
  <c r="AZ717" i="13"/>
  <c r="AY717" i="13"/>
  <c r="AX717" i="13"/>
  <c r="AV717" i="13"/>
  <c r="AU717" i="13"/>
  <c r="AT717" i="13"/>
  <c r="BI716" i="13"/>
  <c r="BI714" i="13"/>
  <c r="BI713" i="13"/>
  <c r="BC712" i="13"/>
  <c r="BB712" i="13"/>
  <c r="BA712" i="13"/>
  <c r="AZ712" i="13"/>
  <c r="AY712" i="13"/>
  <c r="AX712" i="13"/>
  <c r="AW712" i="13"/>
  <c r="AV712" i="13"/>
  <c r="AU712" i="13"/>
  <c r="AT712" i="13"/>
  <c r="AS712" i="13"/>
  <c r="AR712" i="13"/>
  <c r="AQ712" i="13"/>
  <c r="BI711" i="13"/>
  <c r="BI709" i="13"/>
  <c r="BI708" i="13"/>
  <c r="BC706" i="13"/>
  <c r="AW706" i="13"/>
  <c r="BI707" i="13"/>
  <c r="BB706" i="13"/>
  <c r="BA706" i="13"/>
  <c r="AZ706" i="13"/>
  <c r="AY706" i="13"/>
  <c r="AX706" i="13"/>
  <c r="AV706" i="13"/>
  <c r="AU706" i="13"/>
  <c r="AT706" i="13"/>
  <c r="AS706" i="13"/>
  <c r="AR706" i="13"/>
  <c r="AQ706" i="13"/>
  <c r="BI704" i="13"/>
  <c r="BI702" i="13"/>
  <c r="BI701" i="13"/>
  <c r="BI700" i="13"/>
  <c r="BB699" i="13"/>
  <c r="BA699" i="13"/>
  <c r="AZ699" i="13"/>
  <c r="AY699" i="13"/>
  <c r="AX699" i="13"/>
  <c r="AV699" i="13"/>
  <c r="AU699" i="13"/>
  <c r="AT699" i="13"/>
  <c r="AS699" i="13"/>
  <c r="AR699" i="13"/>
  <c r="AQ699" i="13"/>
  <c r="BI698" i="13"/>
  <c r="BI692" i="13"/>
  <c r="BI690" i="13"/>
  <c r="BC688" i="13"/>
  <c r="AW688" i="13"/>
  <c r="BI689" i="13"/>
  <c r="BB688" i="13"/>
  <c r="BA688" i="13"/>
  <c r="AZ688" i="13"/>
  <c r="AY688" i="13"/>
  <c r="AX688" i="13"/>
  <c r="AV688" i="13"/>
  <c r="AU688" i="13"/>
  <c r="AT688" i="13"/>
  <c r="AS688" i="13"/>
  <c r="AR688" i="13"/>
  <c r="AQ688" i="13"/>
  <c r="BI687" i="13"/>
  <c r="BI686" i="13"/>
  <c r="BC685" i="13"/>
  <c r="BB685" i="13"/>
  <c r="BA685" i="13"/>
  <c r="AZ685" i="13"/>
  <c r="AY685" i="13"/>
  <c r="AX685" i="13"/>
  <c r="AW685" i="13"/>
  <c r="AV685" i="13"/>
  <c r="AU685" i="13"/>
  <c r="AT685" i="13"/>
  <c r="AS685" i="13"/>
  <c r="AR685" i="13"/>
  <c r="AQ685" i="13"/>
  <c r="BI684" i="13"/>
  <c r="BI682" i="13"/>
  <c r="BC680" i="13"/>
  <c r="AW680" i="13"/>
  <c r="BI681" i="13"/>
  <c r="BB680" i="13"/>
  <c r="BA680" i="13"/>
  <c r="AZ680" i="13"/>
  <c r="AY680" i="13"/>
  <c r="AX680" i="13"/>
  <c r="AV680" i="13"/>
  <c r="AU680" i="13"/>
  <c r="AT680" i="13"/>
  <c r="AS680" i="13"/>
  <c r="AR680" i="13"/>
  <c r="AQ680" i="13"/>
  <c r="BI676" i="13"/>
  <c r="BC674" i="13"/>
  <c r="AW674" i="13"/>
  <c r="BI675" i="13"/>
  <c r="BB674" i="13"/>
  <c r="BA674" i="13"/>
  <c r="AZ674" i="13"/>
  <c r="AY674" i="13"/>
  <c r="AX674" i="13"/>
  <c r="AV674" i="13"/>
  <c r="AU674" i="13"/>
  <c r="AT674" i="13"/>
  <c r="AS674" i="13"/>
  <c r="AR674" i="13"/>
  <c r="AQ674" i="13"/>
  <c r="BI673" i="13"/>
  <c r="BI671" i="13"/>
  <c r="BI670" i="13"/>
  <c r="BC669" i="13"/>
  <c r="BB669" i="13"/>
  <c r="BA669" i="13"/>
  <c r="AZ669" i="13"/>
  <c r="AY669" i="13"/>
  <c r="AX669" i="13"/>
  <c r="AW669" i="13"/>
  <c r="AV669" i="13"/>
  <c r="AU669" i="13"/>
  <c r="AT669" i="13"/>
  <c r="AS669" i="13"/>
  <c r="AR669" i="13"/>
  <c r="AQ669" i="13"/>
  <c r="BI668" i="13"/>
  <c r="BI666" i="13"/>
  <c r="BI665" i="13"/>
  <c r="BC664" i="13"/>
  <c r="BB664" i="13"/>
  <c r="BA664" i="13"/>
  <c r="AZ664" i="13"/>
  <c r="AY664" i="13"/>
  <c r="AX664" i="13"/>
  <c r="AW664" i="13"/>
  <c r="AV664" i="13"/>
  <c r="AU664" i="13"/>
  <c r="AT664" i="13"/>
  <c r="AS664" i="13"/>
  <c r="AR664" i="13"/>
  <c r="AQ664" i="13"/>
  <c r="BI662" i="13"/>
  <c r="BH662" i="13"/>
  <c r="BI661" i="13"/>
  <c r="BH661" i="13"/>
  <c r="BC660" i="13"/>
  <c r="BB660" i="13"/>
  <c r="BA660" i="13"/>
  <c r="AZ660" i="13"/>
  <c r="AY660" i="13"/>
  <c r="AX660" i="13"/>
  <c r="AW660" i="13"/>
  <c r="AV660" i="13"/>
  <c r="AU660" i="13"/>
  <c r="AT660" i="13"/>
  <c r="AS660" i="13"/>
  <c r="AR660" i="13"/>
  <c r="AQ660" i="13"/>
  <c r="BI657" i="13"/>
  <c r="BH657" i="13"/>
  <c r="BI656" i="13"/>
  <c r="BH656" i="13"/>
  <c r="BI655" i="13"/>
  <c r="BH655" i="13"/>
  <c r="BC654" i="13"/>
  <c r="BB654" i="13"/>
  <c r="BA654" i="13"/>
  <c r="AZ654" i="13"/>
  <c r="AY654" i="13"/>
  <c r="AX654" i="13"/>
  <c r="AW654" i="13"/>
  <c r="AV654" i="13"/>
  <c r="AU654" i="13"/>
  <c r="AT654" i="13"/>
  <c r="AS654" i="13"/>
  <c r="AR654" i="13"/>
  <c r="AQ654" i="13"/>
  <c r="BI651" i="13"/>
  <c r="BH651" i="13"/>
  <c r="BI650" i="13"/>
  <c r="BH650" i="13"/>
  <c r="BI649" i="13"/>
  <c r="BH649" i="13"/>
  <c r="BC648" i="13"/>
  <c r="BB648" i="13"/>
  <c r="BA648" i="13"/>
  <c r="AZ648" i="13"/>
  <c r="AY648" i="13"/>
  <c r="AX648" i="13"/>
  <c r="AW648" i="13"/>
  <c r="AV648" i="13"/>
  <c r="AU648" i="13"/>
  <c r="AT648" i="13"/>
  <c r="AS648" i="13"/>
  <c r="AR648" i="13"/>
  <c r="AQ648" i="13"/>
  <c r="BI645" i="13"/>
  <c r="BH645" i="13"/>
  <c r="BI635" i="13"/>
  <c r="BI626" i="13"/>
  <c r="BH626" i="13"/>
  <c r="BI625" i="13"/>
  <c r="BH625" i="13"/>
  <c r="BI622" i="13"/>
  <c r="BH622" i="13"/>
  <c r="BI621" i="13"/>
  <c r="BH621" i="13"/>
  <c r="BI618" i="13"/>
  <c r="BH618" i="13"/>
  <c r="BC616" i="13"/>
  <c r="BB616" i="13"/>
  <c r="BA616" i="13"/>
  <c r="AZ616" i="13"/>
  <c r="AY616" i="13"/>
  <c r="AX616" i="13"/>
  <c r="AW616" i="13"/>
  <c r="AV616" i="13"/>
  <c r="AU616" i="13"/>
  <c r="AT616" i="13"/>
  <c r="AS616" i="13"/>
  <c r="AR616" i="13"/>
  <c r="AQ616" i="13"/>
  <c r="BI615" i="13"/>
  <c r="BH615" i="13"/>
  <c r="BI614" i="13"/>
  <c r="BH614" i="13"/>
  <c r="BC613" i="13"/>
  <c r="BB613" i="13"/>
  <c r="BA613" i="13"/>
  <c r="AZ613" i="13"/>
  <c r="AY613" i="13"/>
  <c r="AX613" i="13"/>
  <c r="AW613" i="13"/>
  <c r="AV613" i="13"/>
  <c r="AU613" i="13"/>
  <c r="AT613" i="13"/>
  <c r="AS613" i="13"/>
  <c r="AR613" i="13"/>
  <c r="AQ613" i="13"/>
  <c r="BI611" i="13"/>
  <c r="BH611" i="13"/>
  <c r="BI609" i="13"/>
  <c r="BH609" i="13"/>
  <c r="BI607" i="13"/>
  <c r="BH607" i="13"/>
  <c r="BI605" i="13"/>
  <c r="BH605" i="13"/>
  <c r="BI604" i="13"/>
  <c r="BH604" i="13"/>
  <c r="BI603" i="13"/>
  <c r="BH603" i="13"/>
  <c r="BI602" i="13"/>
  <c r="BH602" i="13"/>
  <c r="BI595" i="13"/>
  <c r="BH595" i="13"/>
  <c r="BI594" i="13"/>
  <c r="BH594" i="13"/>
  <c r="BI593" i="13"/>
  <c r="BH593" i="13"/>
  <c r="BI592" i="13"/>
  <c r="BH592" i="13"/>
  <c r="BI590" i="13"/>
  <c r="BH590" i="13"/>
  <c r="BI588" i="13"/>
  <c r="BH588" i="13"/>
  <c r="BI587" i="13"/>
  <c r="BH587" i="13"/>
  <c r="BI582" i="13"/>
  <c r="BH582" i="13"/>
  <c r="BI581" i="13"/>
  <c r="BH581" i="13"/>
  <c r="BI579" i="13"/>
  <c r="BH579" i="13"/>
  <c r="BI577" i="13"/>
  <c r="BH577" i="13"/>
  <c r="BC576" i="13"/>
  <c r="BC504" i="13" s="1"/>
  <c r="BB576" i="13"/>
  <c r="BB504" i="13" s="1"/>
  <c r="BA576" i="13"/>
  <c r="BA504" i="13" s="1"/>
  <c r="AZ576" i="13"/>
  <c r="AZ504" i="13" s="1"/>
  <c r="AY576" i="13"/>
  <c r="AY504" i="13" s="1"/>
  <c r="AX576" i="13"/>
  <c r="AX504" i="13" s="1"/>
  <c r="AW576" i="13"/>
  <c r="AW504" i="13" s="1"/>
  <c r="AV576" i="13"/>
  <c r="AV504" i="13" s="1"/>
  <c r="AU576" i="13"/>
  <c r="AU504" i="13" s="1"/>
  <c r="AT576" i="13"/>
  <c r="AT504" i="13" s="1"/>
  <c r="AS576" i="13"/>
  <c r="AS504" i="13" s="1"/>
  <c r="AR576" i="13"/>
  <c r="AR504" i="13" s="1"/>
  <c r="AQ576" i="13"/>
  <c r="AQ504" i="13" s="1"/>
  <c r="BI573" i="13"/>
  <c r="BH573" i="13"/>
  <c r="BI569" i="13"/>
  <c r="BH569" i="13"/>
  <c r="BI565" i="13"/>
  <c r="BH565" i="13"/>
  <c r="BI554" i="13"/>
  <c r="BH554" i="13"/>
  <c r="BI553" i="13"/>
  <c r="BH553" i="13"/>
  <c r="BI549" i="13"/>
  <c r="BH549" i="13"/>
  <c r="BI545" i="13"/>
  <c r="BH545" i="13"/>
  <c r="BI544" i="13"/>
  <c r="BH544" i="13"/>
  <c r="BI539" i="13"/>
  <c r="BH539" i="13"/>
  <c r="BI537" i="13"/>
  <c r="BH537" i="13"/>
  <c r="BI533" i="13"/>
  <c r="BH533" i="13"/>
  <c r="BI532" i="13"/>
  <c r="BH532" i="13"/>
  <c r="BI527" i="13"/>
  <c r="BH527" i="13"/>
  <c r="BI526" i="13"/>
  <c r="BH526" i="13"/>
  <c r="BI525" i="13"/>
  <c r="BH525" i="13"/>
  <c r="BI524" i="13"/>
  <c r="BH524" i="13"/>
  <c r="BI508" i="13"/>
  <c r="BH508" i="13"/>
  <c r="BI507" i="13"/>
  <c r="BH507" i="13"/>
  <c r="BI501" i="13"/>
  <c r="BH501" i="13"/>
  <c r="BI500" i="13"/>
  <c r="BH500" i="13"/>
  <c r="BC499" i="13"/>
  <c r="BB499" i="13"/>
  <c r="BA499" i="13"/>
  <c r="AZ499" i="13"/>
  <c r="AY499" i="13"/>
  <c r="AX499" i="13"/>
  <c r="AW499" i="13"/>
  <c r="AV499" i="13"/>
  <c r="AU499" i="13"/>
  <c r="AS499" i="13"/>
  <c r="AR499" i="13"/>
  <c r="AQ499" i="13"/>
  <c r="BI498" i="13"/>
  <c r="BH498" i="13"/>
  <c r="BI494" i="13"/>
  <c r="BH494" i="13"/>
  <c r="BI492" i="13"/>
  <c r="BH492" i="13"/>
  <c r="AW489" i="13"/>
  <c r="BI491" i="13"/>
  <c r="BH491" i="13"/>
  <c r="BI490" i="13"/>
  <c r="BH490" i="13"/>
  <c r="BC489" i="13"/>
  <c r="BB489" i="13"/>
  <c r="BA489" i="13"/>
  <c r="AZ489" i="13"/>
  <c r="AY489" i="13"/>
  <c r="AX489" i="13"/>
  <c r="AV489" i="13"/>
  <c r="AU489" i="13"/>
  <c r="AT489" i="13"/>
  <c r="AS489" i="13"/>
  <c r="AR489" i="13"/>
  <c r="AQ489" i="13"/>
  <c r="BI488" i="13"/>
  <c r="BH488" i="13"/>
  <c r="BI483" i="13"/>
  <c r="BH483" i="13"/>
  <c r="BI482" i="13"/>
  <c r="BH482" i="13"/>
  <c r="BI481" i="13"/>
  <c r="BH481" i="13"/>
  <c r="BI480" i="13"/>
  <c r="BH480" i="13"/>
  <c r="BI479" i="13"/>
  <c r="BH479" i="13"/>
  <c r="BI478" i="13"/>
  <c r="BH478" i="13"/>
  <c r="BI477" i="13"/>
  <c r="BH477" i="13"/>
  <c r="BC476" i="13"/>
  <c r="BB476" i="13"/>
  <c r="BA476" i="13"/>
  <c r="AZ476" i="13"/>
  <c r="AY476" i="13"/>
  <c r="AX476" i="13"/>
  <c r="AW476" i="13"/>
  <c r="AV476" i="13"/>
  <c r="AU476" i="13"/>
  <c r="AT476" i="13"/>
  <c r="AS476" i="13"/>
  <c r="AR476" i="13"/>
  <c r="AQ476" i="13"/>
  <c r="BI475" i="13"/>
  <c r="BH475" i="13"/>
  <c r="BI474" i="13"/>
  <c r="BH474" i="13"/>
  <c r="BC473" i="13"/>
  <c r="BB473" i="13"/>
  <c r="BA473" i="13"/>
  <c r="AZ473" i="13"/>
  <c r="AY473" i="13"/>
  <c r="AX473" i="13"/>
  <c r="AW473" i="13"/>
  <c r="AV473" i="13"/>
  <c r="AU473" i="13"/>
  <c r="AT473" i="13"/>
  <c r="AS473" i="13"/>
  <c r="AR473" i="13"/>
  <c r="AQ473" i="13"/>
  <c r="BI471" i="13"/>
  <c r="BH471" i="13"/>
  <c r="BI464" i="13"/>
  <c r="BH464" i="13"/>
  <c r="BI463" i="13"/>
  <c r="BH463" i="13"/>
  <c r="BI462" i="13"/>
  <c r="BH462" i="13"/>
  <c r="BI461" i="13"/>
  <c r="BH461" i="13"/>
  <c r="BI460" i="13"/>
  <c r="BH460" i="13"/>
  <c r="BI459" i="13"/>
  <c r="BH459" i="13"/>
  <c r="BI458" i="13"/>
  <c r="BH458" i="13"/>
  <c r="BI457" i="13"/>
  <c r="BH457" i="13"/>
  <c r="BC456" i="13"/>
  <c r="BB456" i="13"/>
  <c r="BA456" i="13"/>
  <c r="AZ456" i="13"/>
  <c r="AY456" i="13"/>
  <c r="AX456" i="13"/>
  <c r="AW456" i="13"/>
  <c r="AV456" i="13"/>
  <c r="AU456" i="13"/>
  <c r="AT456" i="13"/>
  <c r="AS456" i="13"/>
  <c r="AR456" i="13"/>
  <c r="AQ456" i="13"/>
  <c r="BI455" i="13"/>
  <c r="BH455" i="13"/>
  <c r="BI453" i="13"/>
  <c r="BH453" i="13"/>
  <c r="BI452" i="13"/>
  <c r="BH452" i="13"/>
  <c r="BC451" i="13"/>
  <c r="BB451" i="13"/>
  <c r="BA451" i="13"/>
  <c r="AZ451" i="13"/>
  <c r="AY451" i="13"/>
  <c r="AX451" i="13"/>
  <c r="AW451" i="13"/>
  <c r="AV451" i="13"/>
  <c r="AU451" i="13"/>
  <c r="AT451" i="13"/>
  <c r="AS451" i="13"/>
  <c r="AR451" i="13"/>
  <c r="AQ451" i="13"/>
  <c r="BI450" i="13"/>
  <c r="BH450" i="13"/>
  <c r="BI434" i="13"/>
  <c r="BH434" i="13"/>
  <c r="BI433" i="13"/>
  <c r="BH433" i="13"/>
  <c r="BI432" i="13"/>
  <c r="BH432" i="13"/>
  <c r="BI431" i="13"/>
  <c r="BH431" i="13"/>
  <c r="BI430" i="13"/>
  <c r="BH430" i="13"/>
  <c r="BI429" i="13"/>
  <c r="BH429" i="13"/>
  <c r="BI428" i="13"/>
  <c r="BH428" i="13"/>
  <c r="BI427" i="13"/>
  <c r="BH427" i="13"/>
  <c r="BI426" i="13"/>
  <c r="BH426" i="13"/>
  <c r="BI425" i="13"/>
  <c r="BH425" i="13"/>
  <c r="BI424" i="13"/>
  <c r="BH424" i="13"/>
  <c r="BI423" i="13"/>
  <c r="BH423" i="13"/>
  <c r="BI422" i="13"/>
  <c r="BH422" i="13"/>
  <c r="BI421" i="13"/>
  <c r="BH421" i="13"/>
  <c r="BI420" i="13"/>
  <c r="BH420" i="13"/>
  <c r="BI419" i="13"/>
  <c r="BH419" i="13"/>
  <c r="BI418" i="13"/>
  <c r="BH418" i="13"/>
  <c r="BI417" i="13"/>
  <c r="BI416" i="13"/>
  <c r="BH416" i="13"/>
  <c r="BI415" i="13"/>
  <c r="BH415" i="13"/>
  <c r="BI414" i="13"/>
  <c r="BH414" i="13"/>
  <c r="BI413" i="13"/>
  <c r="BH413" i="13"/>
  <c r="BI412" i="13"/>
  <c r="BH412" i="13"/>
  <c r="BI411" i="13"/>
  <c r="BH411" i="13"/>
  <c r="BI410" i="13"/>
  <c r="BH410" i="13"/>
  <c r="BI409" i="13"/>
  <c r="BH409" i="13"/>
  <c r="BI408" i="13"/>
  <c r="BH408" i="13"/>
  <c r="BI407" i="13"/>
  <c r="BH407" i="13"/>
  <c r="BI406" i="13"/>
  <c r="BH406" i="13"/>
  <c r="BI405" i="13"/>
  <c r="BH405" i="13"/>
  <c r="BI404" i="13"/>
  <c r="BH404" i="13"/>
  <c r="BI403" i="13"/>
  <c r="BH403" i="13"/>
  <c r="BI401" i="13"/>
  <c r="BH401" i="13"/>
  <c r="BI383" i="13"/>
  <c r="BH383" i="13"/>
  <c r="BI382" i="13"/>
  <c r="BH382" i="13"/>
  <c r="BI381" i="13"/>
  <c r="BH381" i="13"/>
  <c r="BI380" i="13"/>
  <c r="BH380" i="13"/>
  <c r="BI379" i="13"/>
  <c r="BH379" i="13"/>
  <c r="BI378" i="13"/>
  <c r="BH378" i="13"/>
  <c r="BI377" i="13"/>
  <c r="BH377" i="13"/>
  <c r="BI376" i="13"/>
  <c r="BH376" i="13"/>
  <c r="BI375" i="13"/>
  <c r="BH375" i="13"/>
  <c r="BI374" i="13"/>
  <c r="BH374" i="13"/>
  <c r="BI373" i="13"/>
  <c r="BH373" i="13"/>
  <c r="BI372" i="13"/>
  <c r="BH372" i="13"/>
  <c r="BI371" i="13"/>
  <c r="BH371" i="13"/>
  <c r="BI370" i="13"/>
  <c r="BH370" i="13"/>
  <c r="BI369" i="13"/>
  <c r="BH369" i="13"/>
  <c r="BI368" i="13"/>
  <c r="BH368" i="13"/>
  <c r="BI367" i="13"/>
  <c r="BH367" i="13"/>
  <c r="BI366" i="13"/>
  <c r="BH366" i="13"/>
  <c r="BI365" i="13"/>
  <c r="BH365" i="13"/>
  <c r="BI364" i="13"/>
  <c r="BH364" i="13"/>
  <c r="BI363" i="13"/>
  <c r="BH363" i="13"/>
  <c r="BI362" i="13"/>
  <c r="BH362" i="13"/>
  <c r="BI361" i="13"/>
  <c r="BH361" i="13"/>
  <c r="BI360" i="13"/>
  <c r="BH360" i="13"/>
  <c r="BI359" i="13"/>
  <c r="BH359" i="13"/>
  <c r="BI358" i="13"/>
  <c r="BH358" i="13"/>
  <c r="BI357" i="13"/>
  <c r="BH357" i="13"/>
  <c r="BC356" i="13"/>
  <c r="BB356" i="13"/>
  <c r="BA356" i="13"/>
  <c r="AZ356" i="13"/>
  <c r="AY356" i="13"/>
  <c r="AX356" i="13"/>
  <c r="AV356" i="13"/>
  <c r="AU356" i="13"/>
  <c r="AT356" i="13"/>
  <c r="AS356" i="13"/>
  <c r="AR356" i="13"/>
  <c r="AQ356" i="13"/>
  <c r="BI354" i="13"/>
  <c r="BH354" i="13"/>
  <c r="BI338" i="13"/>
  <c r="BH338" i="13"/>
  <c r="BI337" i="13"/>
  <c r="BH337" i="13"/>
  <c r="BI336" i="13"/>
  <c r="BH336" i="13"/>
  <c r="BI335" i="13"/>
  <c r="BH335" i="13"/>
  <c r="BI334" i="13"/>
  <c r="BH334" i="13"/>
  <c r="BI333" i="13"/>
  <c r="BH333" i="13"/>
  <c r="BI332" i="13"/>
  <c r="BH332" i="13"/>
  <c r="BI331" i="13"/>
  <c r="BH331" i="13"/>
  <c r="BI330" i="13"/>
  <c r="BH330" i="13"/>
  <c r="BI329" i="13"/>
  <c r="BH329" i="13"/>
  <c r="BI328" i="13"/>
  <c r="BH328" i="13"/>
  <c r="BI327" i="13"/>
  <c r="BH327" i="13"/>
  <c r="BI326" i="13"/>
  <c r="BH326" i="13"/>
  <c r="BI325" i="13"/>
  <c r="BH325" i="13"/>
  <c r="BI324" i="13"/>
  <c r="BH324" i="13"/>
  <c r="BI323" i="13"/>
  <c r="BH323" i="13"/>
  <c r="BI322" i="13"/>
  <c r="BH322" i="13"/>
  <c r="BI321" i="13"/>
  <c r="BH321" i="13"/>
  <c r="BI320" i="13"/>
  <c r="BH320" i="13"/>
  <c r="BI319" i="13"/>
  <c r="BH319" i="13"/>
  <c r="BI318" i="13"/>
  <c r="BH318" i="13"/>
  <c r="BI317" i="13"/>
  <c r="BH317" i="13"/>
  <c r="BI316" i="13"/>
  <c r="BH316" i="13"/>
  <c r="BI315" i="13"/>
  <c r="BH315" i="13"/>
  <c r="BI314" i="13"/>
  <c r="BH314" i="13"/>
  <c r="BI313" i="13"/>
  <c r="BH313" i="13"/>
  <c r="BI312" i="13"/>
  <c r="BH312" i="13"/>
  <c r="BI311" i="13"/>
  <c r="BH311" i="13"/>
  <c r="BI310" i="13"/>
  <c r="BH310" i="13"/>
  <c r="BI309" i="13"/>
  <c r="BH309" i="13"/>
  <c r="BI308" i="13"/>
  <c r="BH308" i="13"/>
  <c r="BI307" i="13"/>
  <c r="BH307" i="13"/>
  <c r="BI306" i="13"/>
  <c r="BH306" i="13"/>
  <c r="BI305" i="13"/>
  <c r="BH305" i="13"/>
  <c r="BI304" i="13"/>
  <c r="BH304" i="13"/>
  <c r="BI303" i="13"/>
  <c r="BH303" i="13"/>
  <c r="BI302" i="13"/>
  <c r="BH302" i="13"/>
  <c r="BI301" i="13"/>
  <c r="BH301" i="13"/>
  <c r="BC300" i="13"/>
  <c r="BB300" i="13"/>
  <c r="BA300" i="13"/>
  <c r="AZ300" i="13"/>
  <c r="AY300" i="13"/>
  <c r="AX300" i="13"/>
  <c r="AV300" i="13"/>
  <c r="AU300" i="13"/>
  <c r="AT300" i="13"/>
  <c r="AS300" i="13"/>
  <c r="AR300" i="13"/>
  <c r="AQ300" i="13"/>
  <c r="BI299" i="13"/>
  <c r="BH299" i="13"/>
  <c r="BI267" i="13"/>
  <c r="BH267" i="13"/>
  <c r="BI266" i="13"/>
  <c r="BH266" i="13"/>
  <c r="BI265" i="13"/>
  <c r="BH265" i="13"/>
  <c r="BI264" i="13"/>
  <c r="BH264" i="13"/>
  <c r="BI263" i="13"/>
  <c r="BH263" i="13"/>
  <c r="BI262" i="13"/>
  <c r="BH262" i="13"/>
  <c r="BI261" i="13"/>
  <c r="BH261" i="13"/>
  <c r="BI260" i="13"/>
  <c r="BH260" i="13"/>
  <c r="BI259" i="13"/>
  <c r="BH259" i="13"/>
  <c r="BI258" i="13"/>
  <c r="BH258" i="13"/>
  <c r="BI257" i="13"/>
  <c r="BH257" i="13"/>
  <c r="BI256" i="13"/>
  <c r="BH256" i="13"/>
  <c r="BI255" i="13"/>
  <c r="BH255" i="13"/>
  <c r="BI254" i="13"/>
  <c r="BH254" i="13"/>
  <c r="BI253" i="13"/>
  <c r="BH253" i="13"/>
  <c r="BI252" i="13"/>
  <c r="BH252" i="13"/>
  <c r="BI251" i="13"/>
  <c r="BH251" i="13"/>
  <c r="BI250" i="13"/>
  <c r="BH250" i="13"/>
  <c r="BI249" i="13"/>
  <c r="BH249" i="13"/>
  <c r="BI248" i="13"/>
  <c r="BH248" i="13"/>
  <c r="BI247" i="13"/>
  <c r="BH247" i="13"/>
  <c r="BI246" i="13"/>
  <c r="BH246" i="13"/>
  <c r="BI245" i="13"/>
  <c r="BH245" i="13"/>
  <c r="BI244" i="13"/>
  <c r="BH244" i="13"/>
  <c r="BI243" i="13"/>
  <c r="BH243" i="13"/>
  <c r="BI242" i="13"/>
  <c r="BH242" i="13"/>
  <c r="BI241" i="13"/>
  <c r="BH241" i="13"/>
  <c r="BI240" i="13"/>
  <c r="BH240" i="13"/>
  <c r="BI239" i="13"/>
  <c r="BH239" i="13"/>
  <c r="BI238" i="13"/>
  <c r="BH238" i="13"/>
  <c r="BI237" i="13"/>
  <c r="BH237" i="13"/>
  <c r="BI236" i="13"/>
  <c r="BH236" i="13"/>
  <c r="BI235" i="13"/>
  <c r="BH235" i="13"/>
  <c r="BI234" i="13"/>
  <c r="BH234" i="13"/>
  <c r="BI233" i="13"/>
  <c r="BH233" i="13"/>
  <c r="BI232" i="13"/>
  <c r="BH232" i="13"/>
  <c r="BI231" i="13"/>
  <c r="BH231" i="13"/>
  <c r="BI230" i="13"/>
  <c r="BH230" i="13"/>
  <c r="BI229" i="13"/>
  <c r="BH229" i="13"/>
  <c r="BI228" i="13"/>
  <c r="BH228" i="13"/>
  <c r="BI227" i="13"/>
  <c r="BH227" i="13"/>
  <c r="BI226" i="13"/>
  <c r="BH226" i="13"/>
  <c r="BI225" i="13"/>
  <c r="BH225" i="13"/>
  <c r="BI224" i="13"/>
  <c r="BH224" i="13"/>
  <c r="BI223" i="13"/>
  <c r="BH223" i="13"/>
  <c r="BI222" i="13"/>
  <c r="BH222" i="13"/>
  <c r="BI221" i="13"/>
  <c r="BH221" i="13"/>
  <c r="BI220" i="13"/>
  <c r="BH220" i="13"/>
  <c r="BI219" i="13"/>
  <c r="BH219" i="13"/>
  <c r="BI218" i="13"/>
  <c r="BH218" i="13"/>
  <c r="BI217" i="13"/>
  <c r="BH217" i="13"/>
  <c r="BI216" i="13"/>
  <c r="BH216" i="13"/>
  <c r="BI215" i="13"/>
  <c r="BH215" i="13"/>
  <c r="BC214" i="13"/>
  <c r="BB214" i="13"/>
  <c r="BA214" i="13"/>
  <c r="AZ214" i="13"/>
  <c r="AY214" i="13"/>
  <c r="AX214" i="13"/>
  <c r="AV214" i="13"/>
  <c r="AU214" i="13"/>
  <c r="AT214" i="13"/>
  <c r="AS214" i="13"/>
  <c r="AR214" i="13"/>
  <c r="AQ214" i="13"/>
  <c r="BI213" i="13"/>
  <c r="BH213" i="13"/>
  <c r="BI207" i="13"/>
  <c r="BH207" i="13"/>
  <c r="BI206" i="13"/>
  <c r="BH206" i="13"/>
  <c r="BI205" i="13"/>
  <c r="BH205" i="13"/>
  <c r="BI204" i="13"/>
  <c r="BH204" i="13"/>
  <c r="BI203" i="13"/>
  <c r="BH203" i="13"/>
  <c r="BI202" i="13"/>
  <c r="BH202" i="13"/>
  <c r="BI201" i="13"/>
  <c r="BH201" i="13"/>
  <c r="BI200" i="13"/>
  <c r="BH200" i="13"/>
  <c r="BI199" i="13"/>
  <c r="BH199" i="13"/>
  <c r="BI198" i="13"/>
  <c r="BH198" i="13"/>
  <c r="BI197" i="13"/>
  <c r="BH197" i="13"/>
  <c r="BI196" i="13"/>
  <c r="BH196" i="13"/>
  <c r="BI195" i="13"/>
  <c r="BH195" i="13"/>
  <c r="BI194" i="13"/>
  <c r="BH194" i="13"/>
  <c r="BI193" i="13"/>
  <c r="BH193" i="13"/>
  <c r="BI192" i="13"/>
  <c r="BH192" i="13"/>
  <c r="BI191" i="13"/>
  <c r="BH191" i="13"/>
  <c r="BI190" i="13"/>
  <c r="BH190" i="13"/>
  <c r="BI189" i="13"/>
  <c r="BH189" i="13"/>
  <c r="BI188" i="13"/>
  <c r="BH188" i="13"/>
  <c r="BI187" i="13"/>
  <c r="BH187" i="13"/>
  <c r="BI186" i="13"/>
  <c r="BH186" i="13"/>
  <c r="BI185" i="13"/>
  <c r="BH185" i="13"/>
  <c r="BI184" i="13"/>
  <c r="BH184" i="13"/>
  <c r="BI183" i="13"/>
  <c r="BH183" i="13"/>
  <c r="BI182" i="13"/>
  <c r="BH182" i="13"/>
  <c r="BI181" i="13"/>
  <c r="BH181" i="13"/>
  <c r="BI180" i="13"/>
  <c r="BH180" i="13"/>
  <c r="BI179" i="13"/>
  <c r="BH179" i="13"/>
  <c r="BI178" i="13"/>
  <c r="BH178" i="13"/>
  <c r="BI177" i="13"/>
  <c r="BH177" i="13"/>
  <c r="BI176" i="13"/>
  <c r="BH176" i="13"/>
  <c r="BI175" i="13"/>
  <c r="BH175" i="13"/>
  <c r="BI174" i="13"/>
  <c r="BH174" i="13"/>
  <c r="BI173" i="13"/>
  <c r="BH173" i="13"/>
  <c r="BI172" i="13"/>
  <c r="BH172" i="13"/>
  <c r="BI171" i="13"/>
  <c r="BH171" i="13"/>
  <c r="BI170" i="13"/>
  <c r="BH170" i="13"/>
  <c r="BI169" i="13"/>
  <c r="BH169" i="13"/>
  <c r="BI168" i="13"/>
  <c r="BH168" i="13"/>
  <c r="BI167" i="13"/>
  <c r="BH167" i="13"/>
  <c r="BC166" i="13"/>
  <c r="BB166" i="13"/>
  <c r="BA166" i="13"/>
  <c r="AZ166" i="13"/>
  <c r="AY166" i="13"/>
  <c r="AX166" i="13"/>
  <c r="AV166" i="13"/>
  <c r="AU166" i="13"/>
  <c r="AT166" i="13"/>
  <c r="AS166" i="13"/>
  <c r="AR166" i="13"/>
  <c r="AQ166" i="13"/>
  <c r="BI165" i="13"/>
  <c r="BH165" i="13"/>
  <c r="BI103" i="13"/>
  <c r="BH103" i="13"/>
  <c r="BI102" i="13"/>
  <c r="BH102" i="13"/>
  <c r="BI101" i="13"/>
  <c r="BH101" i="13"/>
  <c r="BI100" i="13"/>
  <c r="BH100" i="13"/>
  <c r="BI99" i="13"/>
  <c r="BH99" i="13"/>
  <c r="BI98" i="13"/>
  <c r="BH98" i="13"/>
  <c r="BI97" i="13"/>
  <c r="BH97" i="13"/>
  <c r="BI96" i="13"/>
  <c r="BH96" i="13"/>
  <c r="BI95" i="13"/>
  <c r="BH95" i="13"/>
  <c r="BI94" i="13"/>
  <c r="BH94" i="13"/>
  <c r="BI93" i="13"/>
  <c r="BH93" i="13"/>
  <c r="BI92" i="13"/>
  <c r="BH92" i="13"/>
  <c r="BI91" i="13"/>
  <c r="BH91" i="13"/>
  <c r="BI90" i="13"/>
  <c r="BH90" i="13"/>
  <c r="BI89" i="13"/>
  <c r="BH89" i="13"/>
  <c r="BI88" i="13"/>
  <c r="BH88" i="13"/>
  <c r="BI87" i="13"/>
  <c r="BH87" i="13"/>
  <c r="BI86" i="13"/>
  <c r="BH86" i="13"/>
  <c r="BI85" i="13"/>
  <c r="BH85" i="13"/>
  <c r="BI84" i="13"/>
  <c r="BH84" i="13"/>
  <c r="BI83" i="13"/>
  <c r="BH83" i="13"/>
  <c r="BI82" i="13"/>
  <c r="BH82" i="13"/>
  <c r="BI81" i="13"/>
  <c r="BH81" i="13"/>
  <c r="BI80" i="13"/>
  <c r="BH80" i="13"/>
  <c r="BI79" i="13"/>
  <c r="BH79" i="13"/>
  <c r="BI78" i="13"/>
  <c r="BH78" i="13"/>
  <c r="BI77" i="13"/>
  <c r="BH77" i="13"/>
  <c r="BI76" i="13"/>
  <c r="BH76" i="13"/>
  <c r="BI75" i="13"/>
  <c r="BH75" i="13"/>
  <c r="BI74" i="13"/>
  <c r="BH74" i="13"/>
  <c r="BI73" i="13"/>
  <c r="BH73" i="13"/>
  <c r="BI72" i="13"/>
  <c r="BH72" i="13"/>
  <c r="BI71" i="13"/>
  <c r="BH71" i="13"/>
  <c r="BI70" i="13"/>
  <c r="BH70" i="13"/>
  <c r="BI69" i="13"/>
  <c r="BH69" i="13"/>
  <c r="BI68" i="13"/>
  <c r="BH68" i="13"/>
  <c r="BI67" i="13"/>
  <c r="BH67" i="13"/>
  <c r="BI66" i="13"/>
  <c r="BH66" i="13"/>
  <c r="BI65" i="13"/>
  <c r="BH65" i="13"/>
  <c r="BI64" i="13"/>
  <c r="BH64" i="13"/>
  <c r="BI63" i="13"/>
  <c r="BH63" i="13"/>
  <c r="BI62" i="13"/>
  <c r="BH62" i="13"/>
  <c r="BI61" i="13"/>
  <c r="BH61" i="13"/>
  <c r="BI60" i="13"/>
  <c r="BH60" i="13"/>
  <c r="BI59" i="13"/>
  <c r="BH59" i="13"/>
  <c r="BI58" i="13"/>
  <c r="BH58" i="13"/>
  <c r="BI57" i="13"/>
  <c r="BH57" i="13"/>
  <c r="BI56" i="13"/>
  <c r="BH56" i="13"/>
  <c r="BI55" i="13"/>
  <c r="BH55" i="13"/>
  <c r="BI54" i="13"/>
  <c r="BH54" i="13"/>
  <c r="BI53" i="13"/>
  <c r="BH53" i="13"/>
  <c r="BI52" i="13"/>
  <c r="BH52" i="13"/>
  <c r="BI51" i="13"/>
  <c r="BH51" i="13"/>
  <c r="BI50" i="13"/>
  <c r="BH50" i="13"/>
  <c r="BI49" i="13"/>
  <c r="BH49" i="13"/>
  <c r="BI48" i="13"/>
  <c r="BH48" i="13"/>
  <c r="BI47" i="13"/>
  <c r="BH47" i="13"/>
  <c r="BI46" i="13"/>
  <c r="BH46" i="13"/>
  <c r="BI45" i="13"/>
  <c r="BH45" i="13"/>
  <c r="BI44" i="13"/>
  <c r="BH44" i="13"/>
  <c r="BI43" i="13"/>
  <c r="BH43" i="13"/>
  <c r="BI42" i="13"/>
  <c r="BH42" i="13"/>
  <c r="BI41" i="13"/>
  <c r="BH41" i="13"/>
  <c r="BI40" i="13"/>
  <c r="BH40" i="13"/>
  <c r="BI39" i="13"/>
  <c r="BH39" i="13"/>
  <c r="BI38" i="13"/>
  <c r="BH38" i="13"/>
  <c r="BI37" i="13"/>
  <c r="BH37" i="13"/>
  <c r="BI36" i="13"/>
  <c r="BH36" i="13"/>
  <c r="BI35" i="13"/>
  <c r="BH35" i="13"/>
  <c r="BI34" i="13"/>
  <c r="BH34" i="13"/>
  <c r="BI33" i="13"/>
  <c r="BH33" i="13"/>
  <c r="BI32" i="13"/>
  <c r="BH32" i="13"/>
  <c r="BI31" i="13"/>
  <c r="BH31" i="13"/>
  <c r="BI30" i="13"/>
  <c r="BH30" i="13"/>
  <c r="BI29" i="13"/>
  <c r="BH29" i="13"/>
  <c r="BI28" i="13"/>
  <c r="BH28" i="13"/>
  <c r="BI27" i="13"/>
  <c r="BH27" i="13"/>
  <c r="BI26" i="13"/>
  <c r="BH26" i="13"/>
  <c r="BI25" i="13"/>
  <c r="BH25" i="13"/>
  <c r="BI24" i="13"/>
  <c r="BH24" i="13"/>
  <c r="BI23" i="13"/>
  <c r="BH23" i="13"/>
  <c r="BI22" i="13"/>
  <c r="BH22" i="13"/>
  <c r="BC21" i="13"/>
  <c r="BB21" i="13"/>
  <c r="BA21" i="13"/>
  <c r="AZ21" i="13"/>
  <c r="AY21" i="13"/>
  <c r="AX21" i="13"/>
  <c r="AV21" i="13"/>
  <c r="AT21" i="13"/>
  <c r="AS21" i="13"/>
  <c r="AR21" i="13"/>
  <c r="AQ21" i="13"/>
  <c r="BI20" i="13"/>
  <c r="BH20" i="13"/>
  <c r="BI14" i="13"/>
  <c r="BH14" i="13"/>
  <c r="BI13" i="13"/>
  <c r="BH13" i="13"/>
  <c r="BI12" i="13"/>
  <c r="BH12" i="13"/>
  <c r="BI11" i="13"/>
  <c r="BH11" i="13"/>
  <c r="BC10" i="13"/>
  <c r="BB10" i="13"/>
  <c r="BA10" i="13"/>
  <c r="AZ10" i="13"/>
  <c r="AY10" i="13"/>
  <c r="AX10" i="13"/>
  <c r="AW10" i="13"/>
  <c r="AV10" i="13"/>
  <c r="AU10" i="13"/>
  <c r="AT10" i="13"/>
  <c r="AS10" i="13"/>
  <c r="AR10" i="13"/>
  <c r="AQ10" i="13"/>
  <c r="AR355" i="13" l="1"/>
  <c r="AT355" i="13"/>
  <c r="AV355" i="13"/>
  <c r="AY355" i="13"/>
  <c r="BA355" i="13"/>
  <c r="BC355" i="13"/>
  <c r="AQ355" i="13"/>
  <c r="AS355" i="13"/>
  <c r="AU355" i="13"/>
  <c r="AX355" i="13"/>
  <c r="AZ355" i="13"/>
  <c r="BB355" i="13"/>
  <c r="AQ619" i="13"/>
  <c r="AS619" i="13"/>
  <c r="AU619" i="13"/>
  <c r="AW619" i="13"/>
  <c r="AY619" i="13"/>
  <c r="BA619" i="13"/>
  <c r="BC619" i="13"/>
  <c r="AR619" i="13"/>
  <c r="AT619" i="13"/>
  <c r="AV619" i="13"/>
  <c r="AX619" i="13"/>
  <c r="AZ619" i="13"/>
  <c r="BB619" i="13"/>
  <c r="BI644" i="13"/>
  <c r="BH644" i="13"/>
  <c r="BI634" i="13"/>
  <c r="BH634" i="13"/>
  <c r="BI624" i="13"/>
  <c r="BH624" i="13"/>
  <c r="BB705" i="13"/>
  <c r="AR740" i="13"/>
  <c r="AV740" i="13"/>
  <c r="AZ740" i="13"/>
  <c r="BB740" i="13"/>
  <c r="AW717" i="13"/>
  <c r="AW705" i="13" s="1"/>
  <c r="BH417" i="13"/>
  <c r="AQ767" i="13"/>
  <c r="AS767" i="13"/>
  <c r="AY767" i="13"/>
  <c r="BA767" i="13"/>
  <c r="AX740" i="13"/>
  <c r="AX705" i="13"/>
  <c r="AZ705" i="13"/>
  <c r="AT740" i="13"/>
  <c r="AV9" i="13"/>
  <c r="AT9" i="13"/>
  <c r="AQ612" i="13"/>
  <c r="AU612" i="13"/>
  <c r="AY612" i="13"/>
  <c r="BC612" i="13"/>
  <c r="AQ472" i="13"/>
  <c r="BA472" i="13"/>
  <c r="AW300" i="13"/>
  <c r="AQ495" i="13"/>
  <c r="AS495" i="13"/>
  <c r="AU495" i="13"/>
  <c r="AW495" i="13"/>
  <c r="AY495" i="13"/>
  <c r="BA495" i="13"/>
  <c r="BC495" i="13"/>
  <c r="AR495" i="13"/>
  <c r="AV495" i="13"/>
  <c r="AX495" i="13"/>
  <c r="AZ495" i="13"/>
  <c r="BB495" i="13"/>
  <c r="AZ663" i="13"/>
  <c r="BB679" i="13"/>
  <c r="AU767" i="13"/>
  <c r="BB9" i="13"/>
  <c r="AW21" i="13"/>
  <c r="AW166" i="13"/>
  <c r="AW214" i="13"/>
  <c r="BI402" i="13"/>
  <c r="AR663" i="13"/>
  <c r="AT663" i="13"/>
  <c r="AV663" i="13"/>
  <c r="AQ663" i="13"/>
  <c r="AS663" i="13"/>
  <c r="AU663" i="13"/>
  <c r="AY663" i="13"/>
  <c r="BA663" i="13"/>
  <c r="AT1623" i="13"/>
  <c r="AT767" i="13" s="1"/>
  <c r="AR9" i="13"/>
  <c r="BH10" i="13"/>
  <c r="AX9" i="13"/>
  <c r="AZ9" i="13"/>
  <c r="BH356" i="13"/>
  <c r="AW356" i="13"/>
  <c r="AW355" i="13" s="1"/>
  <c r="AU472" i="13"/>
  <c r="BH505" i="13"/>
  <c r="BH572" i="13"/>
  <c r="AR679" i="13"/>
  <c r="AV679" i="13"/>
  <c r="BI706" i="13"/>
  <c r="BC3328" i="13"/>
  <c r="BC767" i="13" s="1"/>
  <c r="AW3328" i="13"/>
  <c r="AW767" i="13" s="1"/>
  <c r="BI616" i="13"/>
  <c r="BI638" i="13"/>
  <c r="BI654" i="13"/>
  <c r="BH166" i="13"/>
  <c r="BH451" i="13"/>
  <c r="AS472" i="13"/>
  <c r="AY472" i="13"/>
  <c r="BC472" i="13"/>
  <c r="BH476" i="13"/>
  <c r="BI580" i="13"/>
  <c r="BH586" i="13"/>
  <c r="BH601" i="13"/>
  <c r="AX663" i="13"/>
  <c r="BB663" i="13"/>
  <c r="AX679" i="13"/>
  <c r="AW699" i="13"/>
  <c r="AW679" i="13" s="1"/>
  <c r="BC699" i="13"/>
  <c r="BC679" i="13" s="1"/>
  <c r="BC705" i="13"/>
  <c r="BI10" i="13"/>
  <c r="BI21" i="13"/>
  <c r="BI356" i="13"/>
  <c r="BI451" i="13"/>
  <c r="BI456" i="13"/>
  <c r="BI489" i="13"/>
  <c r="BI505" i="13"/>
  <c r="BI523" i="13"/>
  <c r="AQ9" i="13"/>
  <c r="AS9" i="13"/>
  <c r="AU9" i="13"/>
  <c r="AY9" i="13"/>
  <c r="BA9" i="13"/>
  <c r="BC9" i="13"/>
  <c r="BI214" i="13"/>
  <c r="BH300" i="13"/>
  <c r="BI300" i="13"/>
  <c r="AR472" i="13"/>
  <c r="BI473" i="13"/>
  <c r="AV472" i="13"/>
  <c r="AX472" i="13"/>
  <c r="AZ472" i="13"/>
  <c r="BB472" i="13"/>
  <c r="AW472" i="13"/>
  <c r="BH496" i="13"/>
  <c r="BI496" i="13"/>
  <c r="BH531" i="13"/>
  <c r="BI531" i="13"/>
  <c r="BI536" i="13"/>
  <c r="BI543" i="13"/>
  <c r="BH548" i="13"/>
  <c r="BI548" i="13"/>
  <c r="BH564" i="13"/>
  <c r="BI564" i="13"/>
  <c r="BI568" i="13"/>
  <c r="BI586" i="13"/>
  <c r="BI664" i="13"/>
  <c r="AW663" i="13"/>
  <c r="BI674" i="13"/>
  <c r="BI685" i="13"/>
  <c r="BI699" i="13"/>
  <c r="AR705" i="13"/>
  <c r="BI712" i="13"/>
  <c r="AT705" i="13"/>
  <c r="AV705" i="13"/>
  <c r="BI717" i="13"/>
  <c r="BI730" i="13"/>
  <c r="BI476" i="13"/>
  <c r="BI572" i="13"/>
  <c r="BI680" i="13"/>
  <c r="AT679" i="13"/>
  <c r="BI725" i="13"/>
  <c r="BI736" i="13"/>
  <c r="AT735" i="13"/>
  <c r="BI735" i="13" s="1"/>
  <c r="AQ740" i="13"/>
  <c r="AS740" i="13"/>
  <c r="AU740" i="13"/>
  <c r="AW740" i="13"/>
  <c r="AY740" i="13"/>
  <c r="BA740" i="13"/>
  <c r="BC740" i="13"/>
  <c r="BI760" i="13"/>
  <c r="AT759" i="13"/>
  <c r="BI759" i="13" s="1"/>
  <c r="BI768" i="13"/>
  <c r="BI576" i="13"/>
  <c r="AR612" i="13"/>
  <c r="AV612" i="13"/>
  <c r="AX612" i="13"/>
  <c r="AZ612" i="13"/>
  <c r="BB612" i="13"/>
  <c r="AS612" i="13"/>
  <c r="AW612" i="13"/>
  <c r="BA612" i="13"/>
  <c r="BH620" i="13"/>
  <c r="BI620" i="13"/>
  <c r="BI669" i="13"/>
  <c r="BC663" i="13"/>
  <c r="AZ679" i="13"/>
  <c r="AQ679" i="13"/>
  <c r="AS679" i="13"/>
  <c r="AU679" i="13"/>
  <c r="AY679" i="13"/>
  <c r="BA679" i="13"/>
  <c r="BI688" i="13"/>
  <c r="BI693" i="13"/>
  <c r="AQ705" i="13"/>
  <c r="AS705" i="13"/>
  <c r="AU705" i="13"/>
  <c r="AY705" i="13"/>
  <c r="BA705" i="13"/>
  <c r="BI731" i="13"/>
  <c r="BI741" i="13"/>
  <c r="BI753" i="13"/>
  <c r="BI757" i="13"/>
  <c r="AR767" i="13"/>
  <c r="AV767" i="13"/>
  <c r="AX767" i="13"/>
  <c r="AZ767" i="13"/>
  <c r="BB767" i="13"/>
  <c r="BI3328" i="13"/>
  <c r="BI3460" i="13"/>
  <c r="BH21" i="13"/>
  <c r="BI166" i="13"/>
  <c r="BH214" i="13"/>
  <c r="BH456" i="13"/>
  <c r="BH473" i="13"/>
  <c r="BH489" i="13"/>
  <c r="BH523" i="13"/>
  <c r="BH536" i="13"/>
  <c r="BH543" i="13"/>
  <c r="BH568" i="13"/>
  <c r="BH576" i="13"/>
  <c r="BH580" i="13"/>
  <c r="BH635" i="13"/>
  <c r="AT472" i="13"/>
  <c r="BI601" i="13"/>
  <c r="BI608" i="13"/>
  <c r="BH608" i="13"/>
  <c r="BI613" i="13"/>
  <c r="AT612" i="13"/>
  <c r="BH613" i="13"/>
  <c r="BH616" i="13"/>
  <c r="BI629" i="13"/>
  <c r="BH629" i="13"/>
  <c r="BH638" i="13"/>
  <c r="BI648" i="13"/>
  <c r="BH648" i="13"/>
  <c r="BH654" i="13"/>
  <c r="BI660" i="13"/>
  <c r="BH660" i="13"/>
  <c r="AP3368" i="13"/>
  <c r="AP3366" i="13"/>
  <c r="BI591" i="13" l="1"/>
  <c r="BI740" i="13"/>
  <c r="BH591" i="13"/>
  <c r="BH402" i="13"/>
  <c r="BI9" i="13"/>
  <c r="BH9" i="13"/>
  <c r="BI705" i="13"/>
  <c r="BI619" i="13"/>
  <c r="BI552" i="13"/>
  <c r="BH552" i="13"/>
  <c r="BI1623" i="13"/>
  <c r="BI679" i="13"/>
  <c r="BH355" i="13"/>
  <c r="BI663" i="13"/>
  <c r="AW9" i="13"/>
  <c r="BH619" i="13"/>
  <c r="BI355" i="13"/>
  <c r="BI767" i="13"/>
  <c r="BH612" i="13"/>
  <c r="BI612" i="13"/>
  <c r="BH540" i="13"/>
  <c r="BI540" i="13"/>
  <c r="BH472" i="13"/>
  <c r="BI472" i="13"/>
  <c r="BI503" i="13" l="1"/>
  <c r="BH503" i="13"/>
  <c r="AT499" i="13"/>
  <c r="AO552" i="13"/>
  <c r="BH504" i="13"/>
  <c r="BI504" i="13"/>
  <c r="AP601" i="13"/>
  <c r="AO601" i="13"/>
  <c r="AP580" i="13"/>
  <c r="AP586" i="13"/>
  <c r="AO586" i="13"/>
  <c r="AO580" i="13"/>
  <c r="AP543" i="13"/>
  <c r="AP505" i="13"/>
  <c r="AP572" i="13"/>
  <c r="AO572" i="13"/>
  <c r="AP568" i="13"/>
  <c r="AO568" i="13"/>
  <c r="AP564" i="13"/>
  <c r="AO564" i="13"/>
  <c r="AO543" i="13"/>
  <c r="AP531" i="13"/>
  <c r="AP523" i="13"/>
  <c r="AO536" i="13"/>
  <c r="AP536" i="13"/>
  <c r="AO531" i="13"/>
  <c r="AO523" i="13"/>
  <c r="AO505" i="13"/>
  <c r="AC3463" i="13"/>
  <c r="BI499" i="13" l="1"/>
  <c r="BH499" i="13"/>
  <c r="AT495" i="13"/>
  <c r="AP552" i="13"/>
  <c r="AA2531" i="13"/>
  <c r="BH495" i="13" l="1"/>
  <c r="BI495" i="13"/>
  <c r="AP2636" i="13"/>
  <c r="AP2637" i="13"/>
  <c r="AP2638" i="13"/>
  <c r="AP3364" i="13"/>
  <c r="AP3363" i="13"/>
  <c r="AJ3361" i="13"/>
  <c r="AD3361" i="13"/>
  <c r="AP3361" i="13"/>
  <c r="X635" i="13" l="1"/>
  <c r="X634" i="13" s="1"/>
  <c r="AO526" i="13" l="1"/>
  <c r="AP526" i="13"/>
  <c r="AO527" i="13"/>
  <c r="AP527" i="13"/>
  <c r="AD595" i="13"/>
  <c r="AO595" i="13"/>
  <c r="AP595" i="13"/>
  <c r="AD594" i="13"/>
  <c r="AO594" i="13"/>
  <c r="AP594" i="13"/>
  <c r="AD573" i="13"/>
  <c r="AD572" i="13" s="1"/>
  <c r="AC573" i="13"/>
  <c r="AC572" i="13" s="1"/>
  <c r="AO573" i="13"/>
  <c r="AP573" i="13"/>
  <c r="AC635" i="13"/>
  <c r="AC634" i="13" s="1"/>
  <c r="AP645" i="13"/>
  <c r="AO645" i="13"/>
  <c r="AP651" i="13"/>
  <c r="AO651" i="13"/>
  <c r="AP650" i="13"/>
  <c r="AO650" i="13"/>
  <c r="AC417" i="13" l="1"/>
  <c r="AC402" i="13" s="1"/>
  <c r="AO464" i="13" l="1"/>
  <c r="AP464" i="13"/>
  <c r="AD492" i="13"/>
  <c r="X417" i="13"/>
  <c r="X402" i="13" s="1"/>
  <c r="AP2806" i="13" l="1"/>
  <c r="AP2807" i="13"/>
  <c r="AP2802" i="13" l="1"/>
  <c r="AP2803" i="13"/>
  <c r="AP2804" i="13"/>
  <c r="AP2788" i="13" l="1"/>
  <c r="AP2789" i="13"/>
  <c r="AP2790" i="13"/>
  <c r="AP2791" i="13"/>
  <c r="AP2792" i="13"/>
  <c r="AP2793" i="13"/>
  <c r="AP2794" i="13"/>
  <c r="AP2795" i="13"/>
  <c r="AP2796" i="13"/>
  <c r="AP2797" i="13"/>
  <c r="AP2798" i="13"/>
  <c r="AP2799" i="13"/>
  <c r="AP2800" i="13"/>
  <c r="AP2801" i="13"/>
  <c r="AP2775" i="13" l="1"/>
  <c r="AP2776" i="13"/>
  <c r="AP2777" i="13"/>
  <c r="AP2778" i="13"/>
  <c r="AP2779" i="13"/>
  <c r="AP2780" i="13"/>
  <c r="AP2781" i="13"/>
  <c r="AP2782" i="13"/>
  <c r="AP2783" i="13"/>
  <c r="AP2784" i="13"/>
  <c r="AP2785" i="13"/>
  <c r="AP2786" i="13"/>
  <c r="AP2787" i="13"/>
  <c r="AP2759" i="13" l="1"/>
  <c r="AP2760" i="13"/>
  <c r="AP2761" i="13"/>
  <c r="AP2762" i="13"/>
  <c r="AP2763" i="13"/>
  <c r="AP2764" i="13"/>
  <c r="AP2765" i="13"/>
  <c r="AP2766" i="13"/>
  <c r="AP2767" i="13"/>
  <c r="AP2768" i="13"/>
  <c r="AP2769" i="13"/>
  <c r="AP2770" i="13"/>
  <c r="AP2771" i="13"/>
  <c r="AP2772" i="13"/>
  <c r="AP2773" i="13"/>
  <c r="AP2774" i="13"/>
  <c r="AP2745" i="13" l="1"/>
  <c r="AP2746" i="13"/>
  <c r="AP2747" i="13"/>
  <c r="AP2748" i="13"/>
  <c r="AP2749" i="13"/>
  <c r="AP2750" i="13"/>
  <c r="AP2751" i="13"/>
  <c r="AP2752" i="13"/>
  <c r="AP2753" i="13"/>
  <c r="AP2754" i="13"/>
  <c r="AP2755" i="13"/>
  <c r="AP2756" i="13"/>
  <c r="AP2757" i="13"/>
  <c r="AP2758" i="13"/>
  <c r="AP2805" i="13"/>
  <c r="AP2728" i="13" l="1"/>
  <c r="AP2729" i="13"/>
  <c r="AP2730" i="13"/>
  <c r="AP2731" i="13"/>
  <c r="AP2732" i="13"/>
  <c r="AP2733" i="13"/>
  <c r="AP2734" i="13"/>
  <c r="AP2735" i="13"/>
  <c r="AP2736" i="13"/>
  <c r="AP2737" i="13"/>
  <c r="AP2738" i="13"/>
  <c r="AP2739" i="13"/>
  <c r="AP2740" i="13"/>
  <c r="AP2741" i="13"/>
  <c r="AP2742" i="13"/>
  <c r="AP2743" i="13"/>
  <c r="AP2716" i="13" l="1"/>
  <c r="AP2717" i="13"/>
  <c r="AP2718" i="13"/>
  <c r="AP2719" i="13"/>
  <c r="AP2720" i="13"/>
  <c r="AP2721" i="13"/>
  <c r="AP2722" i="13"/>
  <c r="AP2723" i="13"/>
  <c r="AP2724" i="13"/>
  <c r="AP2725" i="13"/>
  <c r="AP2726" i="13"/>
  <c r="AP2727" i="13"/>
  <c r="AP2744" i="13"/>
  <c r="AP2701" i="13" l="1"/>
  <c r="AP2702" i="13"/>
  <c r="AP2703" i="13"/>
  <c r="AP2704" i="13"/>
  <c r="AP2705" i="13"/>
  <c r="AP2706" i="13"/>
  <c r="AP2707" i="13"/>
  <c r="AP2708" i="13"/>
  <c r="AP2709" i="13"/>
  <c r="AP2710" i="13"/>
  <c r="AP2711" i="13"/>
  <c r="AP2712" i="13"/>
  <c r="AP2713" i="13"/>
  <c r="AP2714" i="13"/>
  <c r="AP3395" i="13" l="1"/>
  <c r="AP3396" i="13"/>
  <c r="AP3397" i="13"/>
  <c r="AP3398" i="13"/>
  <c r="AP3399" i="13"/>
  <c r="AP3400" i="13"/>
  <c r="AP3401" i="13"/>
  <c r="AP3402" i="13"/>
  <c r="AP2685" i="13" l="1"/>
  <c r="AP2686" i="13"/>
  <c r="AP2687" i="13"/>
  <c r="AP2688" i="13"/>
  <c r="AP2689" i="13"/>
  <c r="AP2690" i="13"/>
  <c r="AP2691" i="13"/>
  <c r="AP2692" i="13"/>
  <c r="AP2693" i="13"/>
  <c r="AP2694" i="13"/>
  <c r="AP2695" i="13"/>
  <c r="AP2696" i="13"/>
  <c r="AP2697" i="13"/>
  <c r="AP2698" i="13"/>
  <c r="AP2699" i="13"/>
  <c r="AP2700" i="13"/>
  <c r="AP2672" i="13" l="1"/>
  <c r="AP2673" i="13"/>
  <c r="AP2674" i="13"/>
  <c r="AP2675" i="13"/>
  <c r="AP2676" i="13"/>
  <c r="AP2677" i="13"/>
  <c r="AP2678" i="13"/>
  <c r="AP2679" i="13"/>
  <c r="AP2680" i="13"/>
  <c r="AP2681" i="13"/>
  <c r="AP2682" i="13"/>
  <c r="AP2683" i="13"/>
  <c r="AP2684" i="13"/>
  <c r="AP2715" i="13"/>
  <c r="AP2656" i="13" l="1"/>
  <c r="AP2657" i="13"/>
  <c r="AP2658" i="13"/>
  <c r="AP2659" i="13"/>
  <c r="AP2660" i="13"/>
  <c r="AP2661" i="13"/>
  <c r="AP2662" i="13"/>
  <c r="AP2663" i="13"/>
  <c r="AP2664" i="13"/>
  <c r="AP2665" i="13"/>
  <c r="AP2666" i="13"/>
  <c r="AP2667" i="13"/>
  <c r="AP2668" i="13"/>
  <c r="AP2669" i="13"/>
  <c r="AP2670" i="13"/>
  <c r="AP2643" i="13" l="1"/>
  <c r="AP2644" i="13"/>
  <c r="AP2645" i="13"/>
  <c r="AP2646" i="13"/>
  <c r="AP2647" i="13"/>
  <c r="AP2648" i="13"/>
  <c r="AP2649" i="13"/>
  <c r="AP2650" i="13"/>
  <c r="AP2651" i="13"/>
  <c r="AP2652" i="13"/>
  <c r="AP2653" i="13"/>
  <c r="AP2654" i="13"/>
  <c r="AP2655" i="13"/>
  <c r="AP2671" i="13"/>
  <c r="AP2627" i="13" l="1"/>
  <c r="AP2628" i="13"/>
  <c r="AP2629" i="13"/>
  <c r="AP2630" i="13"/>
  <c r="AP2631" i="13"/>
  <c r="AP2632" i="13"/>
  <c r="AP2633" i="13"/>
  <c r="AP2634" i="13"/>
  <c r="AP2635" i="13"/>
  <c r="AP2639" i="13"/>
  <c r="AP2640" i="13"/>
  <c r="AP2641" i="13"/>
  <c r="AP2614" i="13" l="1"/>
  <c r="AP2615" i="13"/>
  <c r="AP2616" i="13"/>
  <c r="AP2617" i="13"/>
  <c r="AP2618" i="13"/>
  <c r="AP2619" i="13"/>
  <c r="AP2620" i="13"/>
  <c r="AP2621" i="13"/>
  <c r="AP2622" i="13"/>
  <c r="AP2623" i="13"/>
  <c r="AP2624" i="13"/>
  <c r="AP2625" i="13"/>
  <c r="AP2626" i="13"/>
  <c r="AP2642" i="13"/>
  <c r="AP2598" i="13" l="1"/>
  <c r="AP2599" i="13"/>
  <c r="AP2600" i="13"/>
  <c r="AP2601" i="13"/>
  <c r="AP2602" i="13"/>
  <c r="AP2603" i="13"/>
  <c r="AP2604" i="13"/>
  <c r="AP2605" i="13"/>
  <c r="AP2606" i="13"/>
  <c r="AP2607" i="13"/>
  <c r="AP2608" i="13"/>
  <c r="AP2609" i="13"/>
  <c r="AP2610" i="13"/>
  <c r="AP2611" i="13"/>
  <c r="AP2612" i="13"/>
  <c r="AP2613" i="13"/>
  <c r="AP2581" i="13" l="1"/>
  <c r="AP2582" i="13"/>
  <c r="AP2583" i="13"/>
  <c r="AP2584" i="13"/>
  <c r="AP2585" i="13"/>
  <c r="AP2586" i="13"/>
  <c r="AP2587" i="13"/>
  <c r="AP2588" i="13"/>
  <c r="AP2589" i="13"/>
  <c r="AP2590" i="13"/>
  <c r="AP2591" i="13"/>
  <c r="AP2592" i="13"/>
  <c r="AP2593" i="13"/>
  <c r="AP2594" i="13"/>
  <c r="AP2595" i="13"/>
  <c r="AP2596" i="13"/>
  <c r="AP2566" i="13" l="1"/>
  <c r="AP2567" i="13"/>
  <c r="AP2568" i="13"/>
  <c r="AP2569" i="13"/>
  <c r="AP2570" i="13"/>
  <c r="AP2571" i="13"/>
  <c r="AP2572" i="13"/>
  <c r="AP2573" i="13"/>
  <c r="AP2574" i="13"/>
  <c r="AP2575" i="13"/>
  <c r="AP2576" i="13"/>
  <c r="AP2577" i="13"/>
  <c r="AP2578" i="13"/>
  <c r="AP2579" i="13"/>
  <c r="AP2580" i="13"/>
  <c r="AP2551" i="13" l="1"/>
  <c r="AP2552" i="13"/>
  <c r="AP2553" i="13"/>
  <c r="AP2554" i="13"/>
  <c r="AP2555" i="13"/>
  <c r="AP2556" i="13"/>
  <c r="AP2557" i="13"/>
  <c r="AP2558" i="13"/>
  <c r="AP2559" i="13"/>
  <c r="AP2560" i="13"/>
  <c r="AP2561" i="13"/>
  <c r="AP2562" i="13"/>
  <c r="AP2563" i="13"/>
  <c r="AP2564" i="13"/>
  <c r="AP2565" i="13"/>
  <c r="AP2536" i="13" l="1"/>
  <c r="AP2537" i="13"/>
  <c r="AP2538" i="13"/>
  <c r="AP2539" i="13"/>
  <c r="AP2540" i="13"/>
  <c r="AP2541" i="13"/>
  <c r="AP2542" i="13"/>
  <c r="AP2543" i="13"/>
  <c r="AP2544" i="13"/>
  <c r="AP2545" i="13"/>
  <c r="AP2546" i="13"/>
  <c r="AP2547" i="13"/>
  <c r="AP2548" i="13"/>
  <c r="AP2549" i="13"/>
  <c r="AP2550" i="13"/>
  <c r="AP2521" i="13" l="1"/>
  <c r="AP2522" i="13"/>
  <c r="AP2523" i="13"/>
  <c r="AP2524" i="13"/>
  <c r="AP2525" i="13"/>
  <c r="AP2526" i="13"/>
  <c r="AP2527" i="13"/>
  <c r="AP2528" i="13"/>
  <c r="AP2529" i="13"/>
  <c r="AP2530" i="13"/>
  <c r="AP2532" i="13"/>
  <c r="AP2533" i="13"/>
  <c r="AP2534" i="13"/>
  <c r="AP2535" i="13"/>
  <c r="AP2597" i="13"/>
  <c r="AP3386" i="13" l="1"/>
  <c r="AP3387" i="13"/>
  <c r="AP3388" i="13"/>
  <c r="AP3389" i="13"/>
  <c r="AP3390" i="13"/>
  <c r="AP3391" i="13"/>
  <c r="AP3392" i="13"/>
  <c r="AP3393" i="13"/>
  <c r="AP3394" i="13"/>
  <c r="AP2506" i="13"/>
  <c r="AP2507" i="13"/>
  <c r="AP2508" i="13"/>
  <c r="AP2509" i="13"/>
  <c r="AP2510" i="13"/>
  <c r="AP2511" i="13"/>
  <c r="AP2512" i="13"/>
  <c r="AP2513" i="13"/>
  <c r="AP2514" i="13"/>
  <c r="AP2515" i="13"/>
  <c r="AP2516" i="13"/>
  <c r="AP2517" i="13"/>
  <c r="AP2518" i="13"/>
  <c r="AP2519" i="13"/>
  <c r="AP2492" i="13" l="1"/>
  <c r="AP2493" i="13"/>
  <c r="AP2494" i="13"/>
  <c r="AP2495" i="13"/>
  <c r="AP2496" i="13"/>
  <c r="AP2497" i="13"/>
  <c r="AP2498" i="13"/>
  <c r="AP2499" i="13"/>
  <c r="AP2500" i="13"/>
  <c r="AP2501" i="13"/>
  <c r="AP2502" i="13"/>
  <c r="AP2503" i="13"/>
  <c r="AP2504" i="13"/>
  <c r="AP2505" i="13"/>
  <c r="AP2478" i="13" l="1"/>
  <c r="AP2479" i="13"/>
  <c r="AP2480" i="13"/>
  <c r="AP2481" i="13"/>
  <c r="AP2482" i="13"/>
  <c r="AP2483" i="13"/>
  <c r="AP2484" i="13"/>
  <c r="AP2485" i="13"/>
  <c r="AP2486" i="13"/>
  <c r="AP2487" i="13"/>
  <c r="AP2488" i="13"/>
  <c r="AP2489" i="13"/>
  <c r="AP2490" i="13"/>
  <c r="AP2465" i="13" l="1"/>
  <c r="AP2466" i="13"/>
  <c r="AP2467" i="13"/>
  <c r="AP2468" i="13"/>
  <c r="AP2469" i="13"/>
  <c r="AP2470" i="13"/>
  <c r="AP2471" i="13"/>
  <c r="AP2472" i="13"/>
  <c r="AP2473" i="13"/>
  <c r="AP2474" i="13"/>
  <c r="AP2475" i="13"/>
  <c r="AP2476" i="13"/>
  <c r="AP2477" i="13"/>
  <c r="AP2491" i="13"/>
  <c r="AP2520" i="13"/>
  <c r="AP2453" i="13" l="1"/>
  <c r="AP2454" i="13"/>
  <c r="AP2455" i="13"/>
  <c r="AP2456" i="13"/>
  <c r="AP2457" i="13"/>
  <c r="AP2458" i="13"/>
  <c r="AP2459" i="13"/>
  <c r="AP2460" i="13"/>
  <c r="AP2461" i="13"/>
  <c r="AP2462" i="13"/>
  <c r="AP2463" i="13"/>
  <c r="AP2464" i="13"/>
  <c r="AP2441" i="13" l="1"/>
  <c r="AP2442" i="13"/>
  <c r="AP2443" i="13"/>
  <c r="AP2444" i="13"/>
  <c r="AP2445" i="13"/>
  <c r="AP2446" i="13"/>
  <c r="AP2447" i="13"/>
  <c r="AP2448" i="13"/>
  <c r="AP2449" i="13"/>
  <c r="AP2450" i="13"/>
  <c r="AD3381" i="13" l="1"/>
  <c r="AJ3381" i="13"/>
  <c r="AP2432" i="13" l="1"/>
  <c r="AP2433" i="13"/>
  <c r="AP2434" i="13"/>
  <c r="AP2435" i="13"/>
  <c r="AP2436" i="13"/>
  <c r="AP2437" i="13"/>
  <c r="AP2438" i="13"/>
  <c r="AP2439" i="13"/>
  <c r="AP2440" i="13"/>
  <c r="AP2424" i="13" l="1"/>
  <c r="AP2425" i="13"/>
  <c r="AP2426" i="13"/>
  <c r="AP2427" i="13"/>
  <c r="AP2428" i="13"/>
  <c r="AP2429" i="13"/>
  <c r="AP2430" i="13"/>
  <c r="AP2431" i="13"/>
  <c r="AP2451" i="13"/>
  <c r="AP2452" i="13"/>
  <c r="AP2416" i="13" l="1"/>
  <c r="AP2417" i="13"/>
  <c r="AP2418" i="13"/>
  <c r="AP2419" i="13"/>
  <c r="AP2420" i="13"/>
  <c r="AP2421" i="13"/>
  <c r="AP2422" i="13"/>
  <c r="AP2423" i="13"/>
  <c r="AP2408" i="13" l="1"/>
  <c r="AP2409" i="13"/>
  <c r="AP2410" i="13"/>
  <c r="AP2411" i="13"/>
  <c r="AP2412" i="13"/>
  <c r="AP2413" i="13"/>
  <c r="AP2414" i="13"/>
  <c r="AP3380" i="13"/>
  <c r="AP3381" i="13"/>
  <c r="AP3382" i="13"/>
  <c r="AP3383" i="13"/>
  <c r="AP3384" i="13"/>
  <c r="AP3385" i="13"/>
  <c r="AP2398" i="13" l="1"/>
  <c r="AP2399" i="13"/>
  <c r="AP2400" i="13"/>
  <c r="AP2401" i="13"/>
  <c r="AP2402" i="13"/>
  <c r="AP2403" i="13"/>
  <c r="AP2404" i="13"/>
  <c r="AP2405" i="13"/>
  <c r="AP2406" i="13"/>
  <c r="AP2407" i="13"/>
  <c r="AP2393" i="13" l="1"/>
  <c r="AP2394" i="13"/>
  <c r="AP2395" i="13"/>
  <c r="AP2396" i="13"/>
  <c r="AP2397" i="13"/>
  <c r="AP2388" i="13" l="1"/>
  <c r="AP2389" i="13"/>
  <c r="AP2390" i="13"/>
  <c r="AP2383" i="13" l="1"/>
  <c r="AP2384" i="13"/>
  <c r="AP2385" i="13"/>
  <c r="AP2386" i="13"/>
  <c r="AP2387" i="13"/>
  <c r="AP2391" i="13"/>
  <c r="AP2392" i="13"/>
  <c r="AP3375" i="13" l="1"/>
  <c r="AP3376" i="13"/>
  <c r="AP3377" i="13"/>
  <c r="AP3378" i="13"/>
  <c r="AP3379" i="13"/>
  <c r="AP2367" i="13" l="1"/>
  <c r="AP2368" i="13"/>
  <c r="AP2369" i="13"/>
  <c r="AP2370" i="13"/>
  <c r="AP2371" i="13"/>
  <c r="AP2372" i="13"/>
  <c r="AP2373" i="13"/>
  <c r="AP2374" i="13"/>
  <c r="AP2375" i="13"/>
  <c r="AP2376" i="13"/>
  <c r="AP2377" i="13"/>
  <c r="AP2378" i="13"/>
  <c r="AP2379" i="13"/>
  <c r="AP2380" i="13"/>
  <c r="AP2381" i="13"/>
  <c r="AP2382" i="13"/>
  <c r="AC2364" i="13" l="1"/>
  <c r="AP2353" i="13" l="1"/>
  <c r="AP2354" i="13"/>
  <c r="AP2355" i="13"/>
  <c r="AP2356" i="13"/>
  <c r="AP2357" i="13"/>
  <c r="AP2358" i="13"/>
  <c r="AP2359" i="13"/>
  <c r="AP2360" i="13"/>
  <c r="AP2361" i="13"/>
  <c r="AP2362" i="13"/>
  <c r="AP2363" i="13"/>
  <c r="AP2364" i="13"/>
  <c r="AP2365" i="13"/>
  <c r="AP2366" i="13"/>
  <c r="AP2415" i="13"/>
  <c r="AP2343" i="13" l="1"/>
  <c r="AP2344" i="13"/>
  <c r="AP2345" i="13"/>
  <c r="AP2346" i="13"/>
  <c r="AP2347" i="13"/>
  <c r="AP2348" i="13"/>
  <c r="AP2349" i="13"/>
  <c r="AP2350" i="13"/>
  <c r="AP2351" i="13"/>
  <c r="AP2324" i="13" l="1"/>
  <c r="AP2325" i="13"/>
  <c r="AP2326" i="13"/>
  <c r="AP2327" i="13"/>
  <c r="AP2328" i="13"/>
  <c r="AP2329" i="13"/>
  <c r="AP2330" i="13"/>
  <c r="AP2331" i="13"/>
  <c r="AP2332" i="13"/>
  <c r="AP2333" i="13"/>
  <c r="AP2334" i="13"/>
  <c r="AP2335" i="13"/>
  <c r="AP2336" i="13"/>
  <c r="AP2337" i="13"/>
  <c r="AP2338" i="13"/>
  <c r="AP2339" i="13"/>
  <c r="AP2340" i="13"/>
  <c r="AP2341" i="13"/>
  <c r="AP2342" i="13"/>
  <c r="AP2352" i="13"/>
  <c r="AD3368" i="13" l="1"/>
  <c r="AJ3368" i="13"/>
  <c r="AP2312" i="13"/>
  <c r="AP2313" i="13"/>
  <c r="AP2314" i="13"/>
  <c r="AP2315" i="13"/>
  <c r="AP2316" i="13"/>
  <c r="AP2317" i="13"/>
  <c r="AP2318" i="13"/>
  <c r="AP2319" i="13"/>
  <c r="AP2320" i="13"/>
  <c r="AP2321" i="13"/>
  <c r="AP2322" i="13"/>
  <c r="AP2323" i="13"/>
  <c r="AP3365" i="13"/>
  <c r="AP3367" i="13"/>
  <c r="AP3369" i="13"/>
  <c r="AP3370" i="13"/>
  <c r="AP3371" i="13"/>
  <c r="AP2242" i="13" l="1"/>
  <c r="AP2243" i="13"/>
  <c r="AP2244" i="13"/>
  <c r="AP2245" i="13"/>
  <c r="AP2246" i="13"/>
  <c r="AP2247" i="13"/>
  <c r="AP2248" i="13"/>
  <c r="AP2249" i="13"/>
  <c r="AP2250" i="13"/>
  <c r="AP2251" i="13"/>
  <c r="AP2252" i="13"/>
  <c r="AP2253" i="13"/>
  <c r="AP2254" i="13"/>
  <c r="AP2255" i="13"/>
  <c r="AP2256" i="13"/>
  <c r="AP2257" i="13"/>
  <c r="AP2258" i="13"/>
  <c r="AP2259" i="13"/>
  <c r="AP2260" i="13"/>
  <c r="AP2261" i="13"/>
  <c r="AP2262" i="13"/>
  <c r="AP2263" i="13"/>
  <c r="AP2264" i="13"/>
  <c r="AP2265" i="13"/>
  <c r="AP2266" i="13"/>
  <c r="AP2267" i="13"/>
  <c r="AP2268" i="13"/>
  <c r="AP2269" i="13"/>
  <c r="AP2270" i="13"/>
  <c r="AP2271" i="13"/>
  <c r="AP2272" i="13"/>
  <c r="AP2273" i="13"/>
  <c r="AP2274" i="13"/>
  <c r="AP2275" i="13"/>
  <c r="AP2276" i="13"/>
  <c r="AP2277" i="13"/>
  <c r="AP2278" i="13"/>
  <c r="AP2279" i="13"/>
  <c r="AP2280" i="13"/>
  <c r="AP2281" i="13"/>
  <c r="AP2282" i="13"/>
  <c r="AP2283" i="13"/>
  <c r="AP2241" i="13"/>
  <c r="AP2284" i="13"/>
  <c r="AP2285" i="13"/>
  <c r="AP2286" i="13"/>
  <c r="AP2287" i="13"/>
  <c r="AP2288" i="13"/>
  <c r="AP2289" i="13"/>
  <c r="AP2290" i="13"/>
  <c r="AP2291" i="13"/>
  <c r="AP2292" i="13"/>
  <c r="AP2293" i="13"/>
  <c r="AP2294" i="13"/>
  <c r="AP2295" i="13"/>
  <c r="AP2296" i="13"/>
  <c r="AP2297" i="13"/>
  <c r="AP2298" i="13"/>
  <c r="AP2299" i="13"/>
  <c r="AP2300" i="13"/>
  <c r="AP2301" i="13"/>
  <c r="AP2302" i="13"/>
  <c r="AP2303" i="13"/>
  <c r="AP2304" i="13"/>
  <c r="AP2305" i="13"/>
  <c r="AP2306" i="13"/>
  <c r="AP2307" i="13"/>
  <c r="AP2308" i="13"/>
  <c r="AP2180" i="13" l="1"/>
  <c r="AP2181" i="13"/>
  <c r="AP2182" i="13"/>
  <c r="AP2183" i="13"/>
  <c r="AP2184" i="13"/>
  <c r="AP2185" i="13"/>
  <c r="AP2186" i="13"/>
  <c r="AP2187" i="13"/>
  <c r="AP2188" i="13"/>
  <c r="AP2189" i="13"/>
  <c r="AP2190" i="13"/>
  <c r="AP2191" i="13"/>
  <c r="AP2192" i="13"/>
  <c r="AP2193" i="13"/>
  <c r="AP2194" i="13"/>
  <c r="AP2195" i="13"/>
  <c r="AP2196" i="13"/>
  <c r="AP2197" i="13"/>
  <c r="AP2198" i="13"/>
  <c r="AP2199" i="13"/>
  <c r="AP2200" i="13"/>
  <c r="AP2201" i="13"/>
  <c r="AP2202" i="13"/>
  <c r="AP2203" i="13"/>
  <c r="AP2204" i="13"/>
  <c r="AP2205" i="13"/>
  <c r="AP2206" i="13"/>
  <c r="AP2207" i="13"/>
  <c r="AP2208" i="13"/>
  <c r="AP2209" i="13"/>
  <c r="AP2210" i="13"/>
  <c r="AP2211" i="13"/>
  <c r="AP2212" i="13"/>
  <c r="AP2213" i="13"/>
  <c r="AP2179" i="13" l="1"/>
  <c r="AP2214" i="13"/>
  <c r="AP2215" i="13"/>
  <c r="AP2216" i="13"/>
  <c r="AP2217" i="13"/>
  <c r="AP2218" i="13"/>
  <c r="AP2219" i="13"/>
  <c r="AP2220" i="13"/>
  <c r="AP2221" i="13"/>
  <c r="AP2222" i="13"/>
  <c r="AP2223" i="13"/>
  <c r="AP2224" i="13"/>
  <c r="AP2225" i="13"/>
  <c r="AP2226" i="13"/>
  <c r="AP2227" i="13"/>
  <c r="AP2228" i="13"/>
  <c r="AP2229" i="13"/>
  <c r="AP2230" i="13"/>
  <c r="AP2231" i="13"/>
  <c r="AP2232" i="13"/>
  <c r="AP2233" i="13"/>
  <c r="AP2234" i="13"/>
  <c r="AP2235" i="13"/>
  <c r="AP2236" i="13"/>
  <c r="AP2237" i="13"/>
  <c r="AP2238" i="13"/>
  <c r="AP2239" i="13"/>
  <c r="AP2240" i="13"/>
  <c r="AP2309" i="13"/>
  <c r="AP2163" i="13"/>
  <c r="AP2164" i="13"/>
  <c r="AP2165" i="13"/>
  <c r="AP2166" i="13"/>
  <c r="AP2167" i="13"/>
  <c r="AP2168" i="13"/>
  <c r="AP3362" i="13"/>
  <c r="AP2169" i="13"/>
  <c r="AP2170" i="13"/>
  <c r="AP2171" i="13"/>
  <c r="AP2172" i="13"/>
  <c r="AP2173" i="13"/>
  <c r="AP2174" i="13"/>
  <c r="AP2175" i="13"/>
  <c r="AP2176" i="13"/>
  <c r="AP2177" i="13"/>
  <c r="AP2178" i="13"/>
  <c r="AP2126" i="13"/>
  <c r="AP2127" i="13"/>
  <c r="AP2128" i="13"/>
  <c r="AP2129" i="13"/>
  <c r="AP2130" i="13"/>
  <c r="AP2131" i="13"/>
  <c r="AP2132" i="13"/>
  <c r="AP2133" i="13"/>
  <c r="AP2134" i="13"/>
  <c r="AP2135" i="13"/>
  <c r="AP2136" i="13"/>
  <c r="AP2137" i="13"/>
  <c r="AP2138" i="13"/>
  <c r="AP2139" i="13"/>
  <c r="AP2140" i="13"/>
  <c r="AP2141" i="13"/>
  <c r="AP2142" i="13"/>
  <c r="AP2143" i="13"/>
  <c r="AP2144" i="13"/>
  <c r="AP2145" i="13"/>
  <c r="AP2146" i="13"/>
  <c r="AP2147" i="13"/>
  <c r="AP2148" i="13"/>
  <c r="AP2149" i="13"/>
  <c r="AP2150" i="13"/>
  <c r="AP2151" i="13"/>
  <c r="AP2152" i="13"/>
  <c r="AP2153" i="13"/>
  <c r="AP2154" i="13"/>
  <c r="AP2155" i="13"/>
  <c r="AP2156" i="13"/>
  <c r="AP2157" i="13"/>
  <c r="AP2158" i="13"/>
  <c r="AP2159" i="13"/>
  <c r="AP2160" i="13"/>
  <c r="AP2161" i="13"/>
  <c r="AP2162" i="13"/>
  <c r="AP2120" i="13"/>
  <c r="AP2121" i="13"/>
  <c r="AP2122" i="13"/>
  <c r="AP2123" i="13"/>
  <c r="AP2124" i="13"/>
  <c r="AP2125" i="13"/>
  <c r="AP1350" i="13" l="1"/>
  <c r="AP1351" i="13"/>
  <c r="AP1348" i="13" l="1"/>
  <c r="AP1349" i="13"/>
  <c r="AP1322" i="13" l="1"/>
  <c r="AP1323" i="13"/>
  <c r="AP1324" i="13"/>
  <c r="AP1325" i="13"/>
  <c r="AP1326" i="13"/>
  <c r="AP1327" i="13"/>
  <c r="AP1328" i="13"/>
  <c r="AP1329" i="13"/>
  <c r="AP1330" i="13"/>
  <c r="AP1331" i="13"/>
  <c r="AP1332" i="13"/>
  <c r="AP1333" i="13"/>
  <c r="AP1334" i="13"/>
  <c r="AP1335" i="13"/>
  <c r="AP1288" i="13" l="1"/>
  <c r="AP1289" i="13"/>
  <c r="AP1290" i="13"/>
  <c r="AP1291" i="13"/>
  <c r="AP1292" i="13"/>
  <c r="AP1293" i="13"/>
  <c r="AP1294" i="13"/>
  <c r="AP1295" i="13"/>
  <c r="AP1296" i="13"/>
  <c r="AP1297" i="13"/>
  <c r="AP1298" i="13"/>
  <c r="AP1299" i="13"/>
  <c r="AP1300" i="13"/>
  <c r="AP1301" i="13"/>
  <c r="AP1302" i="13"/>
  <c r="AP1303" i="13"/>
  <c r="AP1304" i="13"/>
  <c r="AP1305" i="13"/>
  <c r="AP1306" i="13"/>
  <c r="AP1307" i="13"/>
  <c r="AP1308" i="13"/>
  <c r="AP1309" i="13"/>
  <c r="AP1310" i="13"/>
  <c r="AP1311" i="13"/>
  <c r="AP1312" i="13"/>
  <c r="AP1313" i="13"/>
  <c r="AP1314" i="13"/>
  <c r="AP1315" i="13"/>
  <c r="AP1316" i="13"/>
  <c r="AP1317" i="13"/>
  <c r="AP1318" i="13"/>
  <c r="AP1319" i="13"/>
  <c r="AP1320" i="13"/>
  <c r="AP1321" i="13"/>
  <c r="AP1336" i="13"/>
  <c r="AP1337" i="13"/>
  <c r="AP1338" i="13"/>
  <c r="AP1339" i="13"/>
  <c r="AP1340" i="13"/>
  <c r="AP1341" i="13"/>
  <c r="AP1342" i="13"/>
  <c r="AP1343" i="13"/>
  <c r="AP1344" i="13"/>
  <c r="AP1345" i="13"/>
  <c r="AP1346" i="13"/>
  <c r="AP1347" i="13"/>
  <c r="AP1233" i="13" l="1"/>
  <c r="AP1234" i="13"/>
  <c r="AP1235" i="13"/>
  <c r="AP1236" i="13"/>
  <c r="AP1237" i="13"/>
  <c r="AP1238" i="13"/>
  <c r="AP1239" i="13"/>
  <c r="AP1240" i="13"/>
  <c r="AP1241" i="13"/>
  <c r="AP1242" i="13"/>
  <c r="AP1243" i="13"/>
  <c r="AP1244" i="13"/>
  <c r="AP1245" i="13"/>
  <c r="AP1246" i="13"/>
  <c r="AP1247" i="13"/>
  <c r="AP1248" i="13"/>
  <c r="AP1249" i="13"/>
  <c r="AP1250" i="13"/>
  <c r="AP1251" i="13"/>
  <c r="AP1252" i="13"/>
  <c r="AP1253" i="13"/>
  <c r="AP1254" i="13"/>
  <c r="AP1255" i="13"/>
  <c r="AP1256" i="13"/>
  <c r="AP1257" i="13"/>
  <c r="AP1258" i="13"/>
  <c r="AP1259" i="13"/>
  <c r="AP1260" i="13"/>
  <c r="AP1261" i="13"/>
  <c r="AP1262" i="13"/>
  <c r="AP1263" i="13"/>
  <c r="AP1264" i="13"/>
  <c r="AP1265" i="13"/>
  <c r="AP1266" i="13"/>
  <c r="AP1267" i="13"/>
  <c r="AP1268" i="13"/>
  <c r="AP1269" i="13"/>
  <c r="AP1270" i="13"/>
  <c r="AP1271" i="13"/>
  <c r="AP1272" i="13"/>
  <c r="AP1273" i="13"/>
  <c r="AP1274" i="13"/>
  <c r="AP1275" i="13"/>
  <c r="AP1276" i="13"/>
  <c r="AP1277" i="13"/>
  <c r="AP1278" i="13"/>
  <c r="AP1279" i="13"/>
  <c r="AP1280" i="13"/>
  <c r="AP1281" i="13"/>
  <c r="AP1282" i="13"/>
  <c r="AP1283" i="13"/>
  <c r="AP1284" i="13"/>
  <c r="AP1285" i="13"/>
  <c r="AP1286" i="13"/>
  <c r="AP1287" i="13"/>
  <c r="AP1186" i="13" l="1"/>
  <c r="AP1187" i="13"/>
  <c r="AP1188" i="13"/>
  <c r="AP1189" i="13"/>
  <c r="AP1190" i="13"/>
  <c r="AP1191" i="13"/>
  <c r="AP1192" i="13"/>
  <c r="AP1193" i="13"/>
  <c r="AP1194" i="13"/>
  <c r="AP1195" i="13"/>
  <c r="AP1196" i="13"/>
  <c r="AP1197" i="13"/>
  <c r="AP1198" i="13"/>
  <c r="AP1199" i="13"/>
  <c r="AP1200" i="13"/>
  <c r="AP1201" i="13"/>
  <c r="AP1202" i="13"/>
  <c r="AP1203" i="13"/>
  <c r="AP1204" i="13"/>
  <c r="AP1205" i="13"/>
  <c r="AP1206" i="13"/>
  <c r="AP1207" i="13"/>
  <c r="AP1208" i="13"/>
  <c r="AP1209" i="13"/>
  <c r="AP1210" i="13"/>
  <c r="AP1211" i="13"/>
  <c r="AP1212" i="13"/>
  <c r="AP1213" i="13"/>
  <c r="AP1214" i="13"/>
  <c r="AP1215" i="13"/>
  <c r="AP1216" i="13"/>
  <c r="AP1217" i="13"/>
  <c r="AP1218" i="13"/>
  <c r="AP1219" i="13"/>
  <c r="AP1220" i="13"/>
  <c r="AP1221" i="13"/>
  <c r="AP1222" i="13"/>
  <c r="AP1223" i="13"/>
  <c r="AP1224" i="13"/>
  <c r="AP1225" i="13"/>
  <c r="AP1226" i="13"/>
  <c r="AP1227" i="13"/>
  <c r="AP1228" i="13"/>
  <c r="AP1229" i="13"/>
  <c r="AP1230" i="13"/>
  <c r="AP1231" i="13"/>
  <c r="AP1232" i="13"/>
  <c r="AP1166" i="13" l="1"/>
  <c r="AP1126" i="13" l="1"/>
  <c r="AP1127" i="13"/>
  <c r="AP1128" i="13"/>
  <c r="AP1129" i="13"/>
  <c r="AP1130" i="13"/>
  <c r="AP1131" i="13"/>
  <c r="AP1132" i="13"/>
  <c r="AP1133" i="13"/>
  <c r="AP1134" i="13"/>
  <c r="AP1135" i="13"/>
  <c r="AP1136" i="13"/>
  <c r="AP1137" i="13"/>
  <c r="AP1138" i="13"/>
  <c r="AP1139" i="13"/>
  <c r="AP1140" i="13"/>
  <c r="AP1141" i="13"/>
  <c r="AP1142" i="13"/>
  <c r="AP1143" i="13"/>
  <c r="AP1144" i="13"/>
  <c r="AP1145" i="13"/>
  <c r="AP1146" i="13"/>
  <c r="AP1147" i="13"/>
  <c r="AP1148" i="13"/>
  <c r="AP1149" i="13"/>
  <c r="AP1150" i="13"/>
  <c r="AP1151" i="13"/>
  <c r="AP1152" i="13"/>
  <c r="AP1153" i="13"/>
  <c r="AP1154" i="13"/>
  <c r="AP1155" i="13"/>
  <c r="AP1156" i="13"/>
  <c r="AP1157" i="13"/>
  <c r="AP1158" i="13"/>
  <c r="AP1159" i="13"/>
  <c r="AP1160" i="13"/>
  <c r="AP1161" i="13"/>
  <c r="AP1162" i="13"/>
  <c r="AP1163" i="13"/>
  <c r="AP1164" i="13"/>
  <c r="AP1165" i="13"/>
  <c r="AP1167" i="13"/>
  <c r="AP1168" i="13"/>
  <c r="AP1169" i="13"/>
  <c r="AP1170" i="13"/>
  <c r="AP1171" i="13"/>
  <c r="AP1172" i="13"/>
  <c r="AP1173" i="13"/>
  <c r="AP1174" i="13"/>
  <c r="AP1175" i="13"/>
  <c r="AP1176" i="13"/>
  <c r="AP1177" i="13"/>
  <c r="AP1178" i="13"/>
  <c r="AP1179" i="13"/>
  <c r="AP1180" i="13"/>
  <c r="AP1181" i="13"/>
  <c r="AP1182" i="13"/>
  <c r="AP1183" i="13"/>
  <c r="AP1184" i="13"/>
  <c r="AP1185" i="13"/>
  <c r="AP1110" i="13" l="1"/>
  <c r="AP1111" i="13"/>
  <c r="AP1112" i="13"/>
  <c r="AP1113" i="13"/>
  <c r="AP1114" i="13"/>
  <c r="AP1115" i="13"/>
  <c r="AP1116" i="13"/>
  <c r="AP1117" i="13"/>
  <c r="AP1118" i="13"/>
  <c r="AP1119" i="13"/>
  <c r="AP1120" i="13"/>
  <c r="AP1121" i="13"/>
  <c r="AP1122" i="13"/>
  <c r="AP1123" i="13"/>
  <c r="AP1124" i="13"/>
  <c r="AP1093" i="13"/>
  <c r="AP1094" i="13"/>
  <c r="AP1095" i="13"/>
  <c r="AP1096" i="13"/>
  <c r="AP1097" i="13"/>
  <c r="AP1098" i="13"/>
  <c r="AP1099" i="13"/>
  <c r="AP1100" i="13"/>
  <c r="AP1101" i="13"/>
  <c r="AP1102" i="13"/>
  <c r="AP1103" i="13"/>
  <c r="AP1104" i="13"/>
  <c r="AP1105" i="13"/>
  <c r="AP1106" i="13"/>
  <c r="AP1107" i="13"/>
  <c r="AP1108" i="13"/>
  <c r="AP1053" i="13" l="1"/>
  <c r="AP1054" i="13"/>
  <c r="AP1055" i="13"/>
  <c r="AP1056" i="13"/>
  <c r="AP1057" i="13"/>
  <c r="AP1058" i="13"/>
  <c r="AP1059" i="13"/>
  <c r="AP1060" i="13"/>
  <c r="AP1061" i="13"/>
  <c r="AP1062" i="13"/>
  <c r="AP1063" i="13"/>
  <c r="AP1064" i="13"/>
  <c r="AP1065" i="13"/>
  <c r="AP1066" i="13"/>
  <c r="AP1067" i="13"/>
  <c r="AP1068" i="13"/>
  <c r="AP1069" i="13"/>
  <c r="AP1070" i="13"/>
  <c r="AP1071" i="13"/>
  <c r="AP1072" i="13"/>
  <c r="AP1073" i="13"/>
  <c r="AP1074" i="13"/>
  <c r="AP1075" i="13"/>
  <c r="AP1076" i="13"/>
  <c r="AP1077" i="13"/>
  <c r="AP1078" i="13"/>
  <c r="AP1079" i="13"/>
  <c r="AP1080" i="13"/>
  <c r="AP1081" i="13"/>
  <c r="AP1082" i="13"/>
  <c r="AP1083" i="13"/>
  <c r="AP1084" i="13"/>
  <c r="AP1085" i="13"/>
  <c r="AP1086" i="13"/>
  <c r="AP1087" i="13"/>
  <c r="AP1088" i="13"/>
  <c r="AP1089" i="13"/>
  <c r="AP1090" i="13"/>
  <c r="AP1091" i="13"/>
  <c r="AP1092" i="13"/>
  <c r="AP995" i="13" l="1"/>
  <c r="AP996" i="13"/>
  <c r="AP997" i="13"/>
  <c r="AP998" i="13"/>
  <c r="AP999" i="13"/>
  <c r="AP1000" i="13"/>
  <c r="AP1001" i="13"/>
  <c r="AP1002" i="13"/>
  <c r="AP1003" i="13"/>
  <c r="AP1004" i="13"/>
  <c r="AP1005" i="13"/>
  <c r="AP1006" i="13"/>
  <c r="AP1007" i="13"/>
  <c r="AP1008" i="13"/>
  <c r="AP1009" i="13"/>
  <c r="AP1010" i="13"/>
  <c r="AP1011" i="13"/>
  <c r="AP1012" i="13"/>
  <c r="AP1013" i="13"/>
  <c r="AP1014" i="13"/>
  <c r="AP1015" i="13"/>
  <c r="AP1016" i="13"/>
  <c r="AP1017" i="13"/>
  <c r="AP1018" i="13"/>
  <c r="AP1019" i="13"/>
  <c r="AP1020" i="13"/>
  <c r="AP1021" i="13"/>
  <c r="AP1022" i="13"/>
  <c r="AP1023" i="13"/>
  <c r="AP1024" i="13"/>
  <c r="AP1025" i="13"/>
  <c r="AP1026" i="13"/>
  <c r="AP1027" i="13"/>
  <c r="AP1028" i="13"/>
  <c r="AP1029" i="13"/>
  <c r="AP1030" i="13"/>
  <c r="AP1031" i="13"/>
  <c r="AP1032" i="13"/>
  <c r="AP1033" i="13"/>
  <c r="AP1034" i="13"/>
  <c r="AP1035" i="13"/>
  <c r="AP1036" i="13"/>
  <c r="AP1037" i="13"/>
  <c r="AP1038" i="13"/>
  <c r="AP1039" i="13"/>
  <c r="AP1040" i="13"/>
  <c r="AP1041" i="13"/>
  <c r="AP1042" i="13"/>
  <c r="AP1043" i="13"/>
  <c r="AP1044" i="13"/>
  <c r="AP1045" i="13"/>
  <c r="AP1046" i="13"/>
  <c r="AP1047" i="13"/>
  <c r="AP1048" i="13"/>
  <c r="AP1049" i="13"/>
  <c r="AP1050" i="13"/>
  <c r="AP1051" i="13"/>
  <c r="AP1052" i="13"/>
  <c r="AP994" i="13" l="1"/>
  <c r="AP993" i="13" l="1"/>
  <c r="AP992" i="13"/>
  <c r="AP964" i="13" l="1"/>
  <c r="AP965" i="13"/>
  <c r="AP966" i="13"/>
  <c r="AP967" i="13"/>
  <c r="AP968" i="13"/>
  <c r="AP969" i="13"/>
  <c r="AP970" i="13"/>
  <c r="AP971" i="13"/>
  <c r="AP972" i="13"/>
  <c r="AP973" i="13"/>
  <c r="AP974" i="13"/>
  <c r="AP975" i="13"/>
  <c r="AP976" i="13"/>
  <c r="AP977" i="13"/>
  <c r="AP978" i="13"/>
  <c r="AP979" i="13"/>
  <c r="AP980" i="13"/>
  <c r="AP981" i="13"/>
  <c r="AP982" i="13"/>
  <c r="AP983" i="13"/>
  <c r="AP984" i="13"/>
  <c r="AP985" i="13"/>
  <c r="AP986" i="13"/>
  <c r="AP987" i="13"/>
  <c r="AP988" i="13"/>
  <c r="AP989" i="13"/>
  <c r="AP990" i="13"/>
  <c r="AP991" i="13"/>
  <c r="AD727" i="13" l="1"/>
  <c r="AJ727" i="13"/>
  <c r="AB717" i="13" l="1"/>
  <c r="AC717" i="13"/>
  <c r="AE717" i="13"/>
  <c r="AF717" i="13"/>
  <c r="AG717" i="13"/>
  <c r="AH717" i="13"/>
  <c r="AI717" i="13"/>
  <c r="AA717" i="13"/>
  <c r="Z717" i="13"/>
  <c r="Y717" i="13"/>
  <c r="AP724" i="13"/>
  <c r="AB725" i="13"/>
  <c r="AC725" i="13"/>
  <c r="AD725" i="13"/>
  <c r="AE725" i="13"/>
  <c r="AF725" i="13"/>
  <c r="AG725" i="13"/>
  <c r="AH725" i="13"/>
  <c r="AI725" i="13"/>
  <c r="AJ725" i="13"/>
  <c r="AA725" i="13"/>
  <c r="Y725" i="13"/>
  <c r="Z725" i="13"/>
  <c r="X725" i="13"/>
  <c r="AP726" i="13"/>
  <c r="AP727" i="13"/>
  <c r="AP745" i="13"/>
  <c r="AP746" i="13"/>
  <c r="AJ722" i="13"/>
  <c r="AD722" i="13"/>
  <c r="AJ708" i="13"/>
  <c r="AD708" i="13"/>
  <c r="AJ702" i="13"/>
  <c r="AD702" i="13"/>
  <c r="AJ701" i="13"/>
  <c r="AD701" i="13"/>
  <c r="AJ676" i="13"/>
  <c r="AD676" i="13"/>
  <c r="AP725" i="13" l="1"/>
  <c r="AO604" i="13"/>
  <c r="AP604" i="13"/>
  <c r="AJ605" i="13"/>
  <c r="AD605" i="13"/>
  <c r="AC602" i="13"/>
  <c r="AC601" i="13" s="1"/>
  <c r="AD602" i="13"/>
  <c r="AJ602" i="13"/>
  <c r="AJ601" i="13" s="1"/>
  <c r="AO602" i="13"/>
  <c r="AP602" i="13"/>
  <c r="AO603" i="13"/>
  <c r="AP603" i="13"/>
  <c r="AD582" i="13"/>
  <c r="AD580" i="13" s="1"/>
  <c r="AJ582" i="13"/>
  <c r="AJ580" i="13" s="1"/>
  <c r="AJ588" i="13"/>
  <c r="AD588" i="13"/>
  <c r="AJ587" i="13"/>
  <c r="AJ586" i="13" s="1"/>
  <c r="AD587" i="13"/>
  <c r="AD586" i="13" s="1"/>
  <c r="AO588" i="13"/>
  <c r="AP588" i="13"/>
  <c r="AD601" i="13" l="1"/>
  <c r="AJ545" i="13"/>
  <c r="AD545" i="13"/>
  <c r="AJ544" i="13"/>
  <c r="AJ543" i="13" s="1"/>
  <c r="AD544" i="13"/>
  <c r="AO544" i="13"/>
  <c r="AP544" i="13"/>
  <c r="AO545" i="13"/>
  <c r="AP545" i="13"/>
  <c r="AP507" i="13"/>
  <c r="AO507" i="13"/>
  <c r="AJ537" i="13"/>
  <c r="AJ536" i="13" s="1"/>
  <c r="AD537" i="13"/>
  <c r="AD536" i="13" s="1"/>
  <c r="AD533" i="13"/>
  <c r="AJ533" i="13"/>
  <c r="AD532" i="13"/>
  <c r="AD531" i="13" s="1"/>
  <c r="AJ532" i="13"/>
  <c r="AO533" i="13"/>
  <c r="AP533" i="13"/>
  <c r="AO537" i="13"/>
  <c r="AP537" i="13"/>
  <c r="AO524" i="13"/>
  <c r="AP524" i="13"/>
  <c r="AO525" i="13"/>
  <c r="AP525" i="13"/>
  <c r="AO508" i="13"/>
  <c r="AP508" i="13"/>
  <c r="AO462" i="13"/>
  <c r="AP462" i="13"/>
  <c r="AO463" i="13"/>
  <c r="AP463" i="13"/>
  <c r="AD433" i="13"/>
  <c r="AD432" i="13"/>
  <c r="AJ531" i="13" l="1"/>
  <c r="AD543" i="13"/>
  <c r="AD428" i="13"/>
  <c r="AD427" i="13"/>
  <c r="AO424" i="13"/>
  <c r="AP424" i="13"/>
  <c r="AO425" i="13"/>
  <c r="AP425" i="13"/>
  <c r="AO426" i="13"/>
  <c r="AP426" i="13"/>
  <c r="AO427" i="13"/>
  <c r="AP427" i="13"/>
  <c r="AO428" i="13"/>
  <c r="AP428" i="13"/>
  <c r="AO429" i="13"/>
  <c r="AP429" i="13"/>
  <c r="AO430" i="13"/>
  <c r="AP430" i="13"/>
  <c r="AO431" i="13"/>
  <c r="AP431" i="13"/>
  <c r="AO432" i="13"/>
  <c r="AP432" i="13"/>
  <c r="AO433" i="13"/>
  <c r="AP433" i="13"/>
  <c r="AO434" i="13"/>
  <c r="AP434" i="13"/>
  <c r="AD383" i="13"/>
  <c r="AD382" i="13"/>
  <c r="AD381" i="13"/>
  <c r="AD380" i="13"/>
  <c r="AD379" i="13"/>
  <c r="AD378" i="13"/>
  <c r="AO377" i="13"/>
  <c r="AP377" i="13"/>
  <c r="AO378" i="13"/>
  <c r="AP378" i="13"/>
  <c r="AO379" i="13"/>
  <c r="AP379" i="13"/>
  <c r="AO380" i="13"/>
  <c r="AP380" i="13"/>
  <c r="AO381" i="13"/>
  <c r="AP381" i="13"/>
  <c r="AO382" i="13"/>
  <c r="AP382" i="13"/>
  <c r="AO383" i="13"/>
  <c r="AP383" i="13"/>
  <c r="AD336" i="13"/>
  <c r="AD335" i="13"/>
  <c r="AD333" i="13"/>
  <c r="AD332" i="13"/>
  <c r="AD331" i="13"/>
  <c r="AD330" i="13"/>
  <c r="AD329" i="13"/>
  <c r="AO328" i="13"/>
  <c r="AP328" i="13"/>
  <c r="AO329" i="13"/>
  <c r="AP329" i="13"/>
  <c r="AO330" i="13"/>
  <c r="AP330" i="13"/>
  <c r="AO331" i="13"/>
  <c r="AP331" i="13"/>
  <c r="AO332" i="13"/>
  <c r="AP332" i="13"/>
  <c r="AO333" i="13"/>
  <c r="AP333" i="13"/>
  <c r="AO334" i="13"/>
  <c r="AP334" i="13"/>
  <c r="AO335" i="13"/>
  <c r="AP335" i="13"/>
  <c r="AO336" i="13"/>
  <c r="AP336" i="13"/>
  <c r="AO337" i="13"/>
  <c r="AP337" i="13"/>
  <c r="AO338" i="13"/>
  <c r="AP338" i="13"/>
  <c r="AD265" i="13"/>
  <c r="AD261" i="13"/>
  <c r="AO261" i="13"/>
  <c r="AP261" i="13"/>
  <c r="AO262" i="13"/>
  <c r="AP262" i="13"/>
  <c r="AO263" i="13"/>
  <c r="AP263" i="13"/>
  <c r="AO264" i="13"/>
  <c r="AP264" i="13"/>
  <c r="AO265" i="13"/>
  <c r="AP265" i="13"/>
  <c r="AO266" i="13"/>
  <c r="AP266" i="13"/>
  <c r="AO267" i="13"/>
  <c r="AP267" i="13"/>
  <c r="AD206" i="13"/>
  <c r="AD205" i="13"/>
  <c r="AD204" i="13"/>
  <c r="AD198" i="13"/>
  <c r="AD192" i="13"/>
  <c r="AD190" i="13"/>
  <c r="AO190" i="13"/>
  <c r="AP190" i="13"/>
  <c r="AO191" i="13"/>
  <c r="AP191" i="13"/>
  <c r="AO192" i="13"/>
  <c r="AP192" i="13"/>
  <c r="AO193" i="13"/>
  <c r="AP193" i="13"/>
  <c r="AO194" i="13"/>
  <c r="AP194" i="13"/>
  <c r="AO195" i="13"/>
  <c r="AP195" i="13"/>
  <c r="AO196" i="13"/>
  <c r="AP196" i="13"/>
  <c r="AO197" i="13"/>
  <c r="AP197" i="13"/>
  <c r="AO198" i="13"/>
  <c r="AP198" i="13"/>
  <c r="AO199" i="13"/>
  <c r="AP199" i="13"/>
  <c r="AO200" i="13"/>
  <c r="AP200" i="13"/>
  <c r="AO201" i="13"/>
  <c r="AP201" i="13"/>
  <c r="AO202" i="13"/>
  <c r="AP202" i="13"/>
  <c r="AO203" i="13"/>
  <c r="AP203" i="13"/>
  <c r="AO204" i="13"/>
  <c r="AP204" i="13"/>
  <c r="AO205" i="13"/>
  <c r="AP205" i="13"/>
  <c r="AO206" i="13"/>
  <c r="AP206" i="13"/>
  <c r="AO207" i="13"/>
  <c r="AP207" i="13"/>
  <c r="AO102" i="13"/>
  <c r="AP102" i="13"/>
  <c r="AO103" i="13"/>
  <c r="AP103" i="13"/>
  <c r="AD101" i="13"/>
  <c r="AO98" i="13"/>
  <c r="AP98" i="13"/>
  <c r="AO99" i="13"/>
  <c r="AP99" i="13"/>
  <c r="AO100" i="13"/>
  <c r="AP100" i="13"/>
  <c r="AO101" i="13"/>
  <c r="AP101" i="13"/>
  <c r="AO93" i="13"/>
  <c r="AP93" i="13"/>
  <c r="AO94" i="13"/>
  <c r="AP94" i="13"/>
  <c r="AO95" i="13"/>
  <c r="AP95" i="13"/>
  <c r="AO96" i="13"/>
  <c r="AP96" i="13"/>
  <c r="AP92" i="13"/>
  <c r="AO92" i="13"/>
  <c r="AP744" i="13" l="1"/>
  <c r="AP747" i="13"/>
  <c r="AP748" i="13"/>
  <c r="AP721" i="13"/>
  <c r="AP722" i="13"/>
  <c r="AD720" i="13"/>
  <c r="AD717" i="13" s="1"/>
  <c r="AJ720" i="13"/>
  <c r="AJ717" i="13" s="1"/>
  <c r="AP714" i="13"/>
  <c r="AD690" i="13"/>
  <c r="AJ690" i="13"/>
  <c r="AD682" i="13"/>
  <c r="AJ682" i="13"/>
  <c r="AD593" i="13"/>
  <c r="AJ593" i="13"/>
  <c r="AD592" i="13"/>
  <c r="AJ592" i="13"/>
  <c r="AJ591" i="13" s="1"/>
  <c r="AO593" i="13"/>
  <c r="AP593" i="13"/>
  <c r="AO605" i="13"/>
  <c r="AP605" i="13"/>
  <c r="AD591" i="13" l="1"/>
  <c r="AD423" i="13"/>
  <c r="AD576" i="13"/>
  <c r="AJ576" i="13"/>
  <c r="AP577" i="13"/>
  <c r="AO577" i="13"/>
  <c r="AD504" i="13"/>
  <c r="AJ504" i="13"/>
  <c r="AB576" i="13"/>
  <c r="AC576" i="13"/>
  <c r="AE576" i="13"/>
  <c r="AF576" i="13"/>
  <c r="AG576" i="13"/>
  <c r="AH576" i="13"/>
  <c r="AI576" i="13"/>
  <c r="AA576" i="13"/>
  <c r="Y576" i="13"/>
  <c r="Z576" i="13"/>
  <c r="X576" i="13"/>
  <c r="X504" i="13" s="1"/>
  <c r="AO423" i="13"/>
  <c r="AP423" i="13"/>
  <c r="AD421" i="13"/>
  <c r="AD418" i="13"/>
  <c r="AD416" i="13"/>
  <c r="AD414" i="13"/>
  <c r="AO414" i="13"/>
  <c r="AP414" i="13"/>
  <c r="AO415" i="13"/>
  <c r="AP415" i="13"/>
  <c r="AO416" i="13"/>
  <c r="AP416" i="13"/>
  <c r="AO417" i="13"/>
  <c r="AP417" i="13"/>
  <c r="AO418" i="13"/>
  <c r="AP418" i="13"/>
  <c r="AO419" i="13"/>
  <c r="AP419" i="13"/>
  <c r="AO420" i="13"/>
  <c r="AP420" i="13"/>
  <c r="AD376" i="13"/>
  <c r="AD375" i="13"/>
  <c r="AD374" i="13"/>
  <c r="AD373" i="13"/>
  <c r="AD372" i="13"/>
  <c r="AO373" i="13"/>
  <c r="AP373" i="13"/>
  <c r="AO374" i="13"/>
  <c r="AP374" i="13"/>
  <c r="AO375" i="13"/>
  <c r="AP375" i="13"/>
  <c r="AO376" i="13"/>
  <c r="AP376" i="13"/>
  <c r="AD327" i="13"/>
  <c r="AD326" i="13"/>
  <c r="AD325" i="13"/>
  <c r="AD324" i="13"/>
  <c r="AD323" i="13"/>
  <c r="AD322" i="13"/>
  <c r="AD318" i="13"/>
  <c r="AD316" i="13"/>
  <c r="AD315" i="13"/>
  <c r="AD314" i="13"/>
  <c r="AD313" i="13"/>
  <c r="AO316" i="13"/>
  <c r="AP316" i="13"/>
  <c r="AO317" i="13"/>
  <c r="AP317" i="13"/>
  <c r="AO318" i="13"/>
  <c r="AP318" i="13"/>
  <c r="AO319" i="13"/>
  <c r="AP319" i="13"/>
  <c r="AO320" i="13"/>
  <c r="AP320" i="13"/>
  <c r="AO321" i="13"/>
  <c r="AP321" i="13"/>
  <c r="AO322" i="13"/>
  <c r="AP322" i="13"/>
  <c r="AO323" i="13"/>
  <c r="AP323" i="13"/>
  <c r="AO324" i="13"/>
  <c r="AP324" i="13"/>
  <c r="AO325" i="13"/>
  <c r="AP325" i="13"/>
  <c r="AO326" i="13"/>
  <c r="AP326" i="13"/>
  <c r="AO327" i="13"/>
  <c r="AP327" i="13"/>
  <c r="AD259" i="13"/>
  <c r="AD258" i="13"/>
  <c r="AD257" i="13"/>
  <c r="AD254" i="13"/>
  <c r="AO254" i="13"/>
  <c r="AP254" i="13"/>
  <c r="AO255" i="13"/>
  <c r="AP255" i="13"/>
  <c r="AO256" i="13"/>
  <c r="AP256" i="13"/>
  <c r="AO257" i="13"/>
  <c r="AP257" i="13"/>
  <c r="AO258" i="13"/>
  <c r="AP258" i="13"/>
  <c r="AD402" i="13" l="1"/>
  <c r="AI504" i="13"/>
  <c r="AG504" i="13"/>
  <c r="AE504" i="13"/>
  <c r="AH504" i="13"/>
  <c r="AF504" i="13"/>
  <c r="AB504" i="13"/>
  <c r="Z504" i="13"/>
  <c r="AC504" i="13"/>
  <c r="AO548" i="13"/>
  <c r="AA504" i="13"/>
  <c r="AP576" i="13"/>
  <c r="AO576" i="13"/>
  <c r="AD187" i="13"/>
  <c r="AD185" i="13"/>
  <c r="AO183" i="13"/>
  <c r="AP183" i="13"/>
  <c r="AO184" i="13"/>
  <c r="AP184" i="13"/>
  <c r="AO185" i="13"/>
  <c r="AP185" i="13"/>
  <c r="AO186" i="13"/>
  <c r="AP186" i="13"/>
  <c r="AO187" i="13"/>
  <c r="AP187" i="13"/>
  <c r="AO188" i="13"/>
  <c r="AP188" i="13"/>
  <c r="AD91" i="13"/>
  <c r="AO90" i="13"/>
  <c r="AP90" i="13"/>
  <c r="AO91" i="13"/>
  <c r="AP91" i="13"/>
  <c r="AO97" i="13"/>
  <c r="AP97" i="13"/>
  <c r="AD86" i="13"/>
  <c r="AD84" i="13"/>
  <c r="AO81" i="13"/>
  <c r="AP81" i="13"/>
  <c r="AO82" i="13"/>
  <c r="AP82" i="13"/>
  <c r="AO83" i="13"/>
  <c r="AP83" i="13"/>
  <c r="AO84" i="13"/>
  <c r="AP84" i="13"/>
  <c r="AO85" i="13"/>
  <c r="AP85" i="13"/>
  <c r="AO86" i="13"/>
  <c r="AP86" i="13"/>
  <c r="AO87" i="13"/>
  <c r="AP87" i="13"/>
  <c r="AO88" i="13"/>
  <c r="AP88" i="13"/>
  <c r="AO89" i="13"/>
  <c r="AP89" i="13"/>
  <c r="AD79" i="13"/>
  <c r="AD73" i="13"/>
  <c r="AD72" i="13"/>
  <c r="AO77" i="13"/>
  <c r="AP77" i="13"/>
  <c r="AO69" i="13"/>
  <c r="AP69" i="13"/>
  <c r="AO70" i="13"/>
  <c r="AP70" i="13"/>
  <c r="AO71" i="13"/>
  <c r="AP71" i="13"/>
  <c r="AO72" i="13"/>
  <c r="AP72" i="13"/>
  <c r="AO73" i="13"/>
  <c r="AP73" i="13"/>
  <c r="AO74" i="13"/>
  <c r="AP74" i="13"/>
  <c r="AO75" i="13"/>
  <c r="AP75" i="13"/>
  <c r="AO76" i="13"/>
  <c r="AP76" i="13"/>
  <c r="AD65" i="13"/>
  <c r="AD58" i="13"/>
  <c r="AD56" i="13"/>
  <c r="AD47" i="13"/>
  <c r="AD48" i="13"/>
  <c r="AO66" i="13"/>
  <c r="AP66" i="13"/>
  <c r="AO67" i="13"/>
  <c r="AP67" i="13"/>
  <c r="AO68" i="13"/>
  <c r="AP68" i="13"/>
  <c r="AO78" i="13"/>
  <c r="AP78" i="13"/>
  <c r="AO79" i="13"/>
  <c r="AP79" i="13"/>
  <c r="AO80" i="13"/>
  <c r="AP80" i="13"/>
  <c r="AO51" i="13"/>
  <c r="AP51" i="13"/>
  <c r="AO52" i="13"/>
  <c r="AP52" i="13"/>
  <c r="AO53" i="13"/>
  <c r="AP53" i="13"/>
  <c r="AO54" i="13"/>
  <c r="AP54" i="13"/>
  <c r="AO55" i="13"/>
  <c r="AP55" i="13"/>
  <c r="AO56" i="13"/>
  <c r="AP56" i="13"/>
  <c r="AO57" i="13"/>
  <c r="AP57" i="13"/>
  <c r="AO58" i="13"/>
  <c r="AP58" i="13"/>
  <c r="AO59" i="13"/>
  <c r="AP59" i="13"/>
  <c r="AO60" i="13"/>
  <c r="AP60" i="13"/>
  <c r="AO61" i="13"/>
  <c r="AP61" i="13"/>
  <c r="AO62" i="13"/>
  <c r="AP62" i="13"/>
  <c r="AO63" i="13"/>
  <c r="AP63" i="13"/>
  <c r="AO64" i="13"/>
  <c r="AP64" i="13"/>
  <c r="AO65" i="13"/>
  <c r="AP65" i="13"/>
  <c r="AP119" i="16"/>
  <c r="AO119" i="16"/>
  <c r="W119" i="16"/>
  <c r="V119" i="16"/>
  <c r="AP115" i="16"/>
  <c r="AO115" i="16"/>
  <c r="W115" i="16"/>
  <c r="V115" i="16"/>
  <c r="AP103" i="16"/>
  <c r="AO103" i="16"/>
  <c r="W103" i="16"/>
  <c r="V103" i="16"/>
  <c r="AP84" i="16"/>
  <c r="AO84" i="16"/>
  <c r="W84" i="16"/>
  <c r="V84" i="16"/>
  <c r="AP83" i="16"/>
  <c r="AO83" i="16"/>
  <c r="W83" i="16"/>
  <c r="V83" i="16"/>
  <c r="AP66" i="16"/>
  <c r="AO66" i="16"/>
  <c r="W66" i="16"/>
  <c r="V66" i="16"/>
  <c r="AP65" i="16"/>
  <c r="AO65" i="16"/>
  <c r="W65" i="16"/>
  <c r="V65" i="16"/>
  <c r="AP548" i="13" l="1"/>
  <c r="Y504" i="13"/>
  <c r="AP41" i="16"/>
  <c r="AO41" i="16"/>
  <c r="W41" i="16"/>
  <c r="V41" i="16"/>
  <c r="AP40" i="16"/>
  <c r="AO40" i="16"/>
  <c r="W40" i="16"/>
  <c r="V40" i="16"/>
  <c r="AP120" i="16"/>
  <c r="AP118" i="16"/>
  <c r="AJ117" i="16"/>
  <c r="AI117" i="16"/>
  <c r="AH117" i="16"/>
  <c r="AG117" i="16"/>
  <c r="AF117" i="16"/>
  <c r="AE117" i="16"/>
  <c r="AD117" i="16"/>
  <c r="AC117" i="16"/>
  <c r="AB117" i="16"/>
  <c r="AA117" i="16"/>
  <c r="Z117" i="16"/>
  <c r="Y117" i="16"/>
  <c r="X117" i="16"/>
  <c r="AP116" i="16"/>
  <c r="AP114" i="16"/>
  <c r="AJ113" i="16"/>
  <c r="AI113" i="16"/>
  <c r="AH113" i="16"/>
  <c r="AG113" i="16"/>
  <c r="AF113" i="16"/>
  <c r="AE113" i="16"/>
  <c r="AD113" i="16"/>
  <c r="AC113" i="16"/>
  <c r="AB113" i="16"/>
  <c r="AA113" i="16"/>
  <c r="Z113" i="16"/>
  <c r="Y113" i="16"/>
  <c r="X113" i="16"/>
  <c r="AP112" i="16"/>
  <c r="AP110" i="16"/>
  <c r="AP109" i="16"/>
  <c r="AP108" i="16"/>
  <c r="AP107" i="16"/>
  <c r="AP106" i="16"/>
  <c r="AJ105" i="16"/>
  <c r="AI105" i="16"/>
  <c r="AH105" i="16"/>
  <c r="AG105" i="16"/>
  <c r="AF105" i="16"/>
  <c r="AE105" i="16"/>
  <c r="AD105" i="16"/>
  <c r="AC105" i="16"/>
  <c r="AB105" i="16"/>
  <c r="AA105" i="16"/>
  <c r="Z105" i="16"/>
  <c r="Y105" i="16"/>
  <c r="X105" i="16"/>
  <c r="AP104" i="16"/>
  <c r="AP102" i="16"/>
  <c r="AP101" i="16"/>
  <c r="AJ100" i="16"/>
  <c r="AI100" i="16"/>
  <c r="AH100" i="16"/>
  <c r="AG100" i="16"/>
  <c r="AF100" i="16"/>
  <c r="AE100" i="16"/>
  <c r="AD100" i="16"/>
  <c r="AC100" i="16"/>
  <c r="AB100" i="16"/>
  <c r="AA100" i="16"/>
  <c r="Z100" i="16"/>
  <c r="Y100" i="16"/>
  <c r="X100" i="16"/>
  <c r="AP98" i="16"/>
  <c r="AP97" i="16"/>
  <c r="AJ96" i="16"/>
  <c r="AI96" i="16"/>
  <c r="AH96" i="16"/>
  <c r="AG96" i="16"/>
  <c r="AF96" i="16"/>
  <c r="AE96" i="16"/>
  <c r="AD96" i="16"/>
  <c r="AC96" i="16"/>
  <c r="AB96" i="16"/>
  <c r="AA96" i="16"/>
  <c r="Z96" i="16"/>
  <c r="Y96" i="16"/>
  <c r="X96" i="16"/>
  <c r="AP95" i="16"/>
  <c r="AP94" i="16"/>
  <c r="AJ93" i="16"/>
  <c r="AI93" i="16"/>
  <c r="AH93" i="16"/>
  <c r="AG93" i="16"/>
  <c r="AF93" i="16"/>
  <c r="AE93" i="16"/>
  <c r="AD93" i="16"/>
  <c r="AC93" i="16"/>
  <c r="AB93" i="16"/>
  <c r="AA93" i="16"/>
  <c r="Z93" i="16"/>
  <c r="Y93" i="16"/>
  <c r="X93" i="16"/>
  <c r="AP92" i="16"/>
  <c r="AP91" i="16"/>
  <c r="AJ90" i="16"/>
  <c r="AI90" i="16"/>
  <c r="AH90" i="16"/>
  <c r="AG90" i="16"/>
  <c r="AF90" i="16"/>
  <c r="AE90" i="16"/>
  <c r="AD90" i="16"/>
  <c r="AC90" i="16"/>
  <c r="AB90" i="16"/>
  <c r="AA90" i="16"/>
  <c r="Z90" i="16"/>
  <c r="Y90" i="16"/>
  <c r="X90" i="16"/>
  <c r="AP89" i="16"/>
  <c r="AP88" i="16"/>
  <c r="AJ87" i="16"/>
  <c r="AI87" i="16"/>
  <c r="AH87" i="16"/>
  <c r="AG87" i="16"/>
  <c r="AF87" i="16"/>
  <c r="AE87" i="16"/>
  <c r="AD87" i="16"/>
  <c r="AC87" i="16"/>
  <c r="AB87" i="16"/>
  <c r="AA87" i="16"/>
  <c r="Z87" i="16"/>
  <c r="Y87" i="16"/>
  <c r="X87" i="16"/>
  <c r="AP85" i="16"/>
  <c r="AJ82" i="16"/>
  <c r="AJ81" i="16" s="1"/>
  <c r="AI82" i="16"/>
  <c r="AI81" i="16" s="1"/>
  <c r="AH82" i="16"/>
  <c r="AH81" i="16" s="1"/>
  <c r="AG82" i="16"/>
  <c r="AG81" i="16" s="1"/>
  <c r="AF82" i="16"/>
  <c r="AF81" i="16" s="1"/>
  <c r="AE82" i="16"/>
  <c r="AE81" i="16" s="1"/>
  <c r="AD82" i="16"/>
  <c r="AD81" i="16" s="1"/>
  <c r="AC82" i="16"/>
  <c r="AC81" i="16" s="1"/>
  <c r="AB82" i="16"/>
  <c r="AB81" i="16" s="1"/>
  <c r="AA82" i="16"/>
  <c r="Z82" i="16"/>
  <c r="Z81" i="16" s="1"/>
  <c r="Y82" i="16"/>
  <c r="Y81" i="16" s="1"/>
  <c r="X82" i="16"/>
  <c r="X81" i="16" s="1"/>
  <c r="AP80" i="16"/>
  <c r="AO80" i="16"/>
  <c r="AP79" i="16"/>
  <c r="AO79" i="16"/>
  <c r="AJ78" i="16"/>
  <c r="AI78" i="16"/>
  <c r="AH78" i="16"/>
  <c r="AG78" i="16"/>
  <c r="AF78" i="16"/>
  <c r="AE78" i="16"/>
  <c r="AD78" i="16"/>
  <c r="AC78" i="16"/>
  <c r="AB78" i="16"/>
  <c r="AA78" i="16"/>
  <c r="Z78" i="16"/>
  <c r="Y78" i="16"/>
  <c r="X78" i="16"/>
  <c r="AP77" i="16"/>
  <c r="AO77" i="16"/>
  <c r="AP76" i="16"/>
  <c r="AO76" i="16"/>
  <c r="AJ75" i="16"/>
  <c r="AI75" i="16"/>
  <c r="AH75" i="16"/>
  <c r="AG75" i="16"/>
  <c r="AF75" i="16"/>
  <c r="AE75" i="16"/>
  <c r="AD75" i="16"/>
  <c r="AC75" i="16"/>
  <c r="AB75" i="16"/>
  <c r="AA75" i="16"/>
  <c r="Z75" i="16"/>
  <c r="Y75" i="16"/>
  <c r="X75" i="16"/>
  <c r="AP73" i="16"/>
  <c r="AO73" i="16"/>
  <c r="AP72" i="16"/>
  <c r="AO72" i="16"/>
  <c r="AJ71" i="16"/>
  <c r="AI71" i="16"/>
  <c r="AH71" i="16"/>
  <c r="AG71" i="16"/>
  <c r="AF71" i="16"/>
  <c r="AE71" i="16"/>
  <c r="AD71" i="16"/>
  <c r="AC71" i="16"/>
  <c r="AB71" i="16"/>
  <c r="AA71" i="16"/>
  <c r="Z71" i="16"/>
  <c r="Y71" i="16"/>
  <c r="X71" i="16"/>
  <c r="AP70" i="16"/>
  <c r="AO70" i="16"/>
  <c r="AP69" i="16"/>
  <c r="AO69" i="16"/>
  <c r="AJ68" i="16"/>
  <c r="AI68" i="16"/>
  <c r="AH68" i="16"/>
  <c r="AG68" i="16"/>
  <c r="AF68" i="16"/>
  <c r="AE68" i="16"/>
  <c r="AD68" i="16"/>
  <c r="AC68" i="16"/>
  <c r="AB68" i="16"/>
  <c r="AA68" i="16"/>
  <c r="Z68" i="16"/>
  <c r="Y68" i="16"/>
  <c r="X68" i="16"/>
  <c r="AP67" i="16"/>
  <c r="AO67" i="16"/>
  <c r="AJ64" i="16"/>
  <c r="AI64" i="16"/>
  <c r="AH64" i="16"/>
  <c r="AG64" i="16"/>
  <c r="AF64" i="16"/>
  <c r="AE64" i="16"/>
  <c r="AD64" i="16"/>
  <c r="AC64" i="16"/>
  <c r="AB64" i="16"/>
  <c r="AA64" i="16"/>
  <c r="Z64" i="16"/>
  <c r="Y64" i="16"/>
  <c r="X64" i="16"/>
  <c r="AP63" i="16"/>
  <c r="AO63" i="16"/>
  <c r="AP62" i="16"/>
  <c r="AO62" i="16"/>
  <c r="AJ61" i="16"/>
  <c r="AI61" i="16"/>
  <c r="AH61" i="16"/>
  <c r="AG61" i="16"/>
  <c r="AF61" i="16"/>
  <c r="AE61" i="16"/>
  <c r="AD61" i="16"/>
  <c r="AC61" i="16"/>
  <c r="AB61" i="16"/>
  <c r="AA61" i="16"/>
  <c r="Z61" i="16"/>
  <c r="Y61" i="16"/>
  <c r="X61" i="16"/>
  <c r="AP60" i="16"/>
  <c r="AO60" i="16"/>
  <c r="AP59" i="16"/>
  <c r="AO59" i="16"/>
  <c r="AJ58" i="16"/>
  <c r="AI58" i="16"/>
  <c r="AH58" i="16"/>
  <c r="AG58" i="16"/>
  <c r="AF58" i="16"/>
  <c r="AE58" i="16"/>
  <c r="AD58" i="16"/>
  <c r="AC58" i="16"/>
  <c r="AB58" i="16"/>
  <c r="AA58" i="16"/>
  <c r="Z58" i="16"/>
  <c r="Y58" i="16"/>
  <c r="X58" i="16"/>
  <c r="AP56" i="16"/>
  <c r="AO56" i="16"/>
  <c r="AP55" i="16"/>
  <c r="AO55" i="16"/>
  <c r="AJ54" i="16"/>
  <c r="AJ53" i="16" s="1"/>
  <c r="AI54" i="16"/>
  <c r="AH54" i="16"/>
  <c r="AH53" i="16" s="1"/>
  <c r="AG54" i="16"/>
  <c r="AG53" i="16" s="1"/>
  <c r="AF54" i="16"/>
  <c r="AF53" i="16" s="1"/>
  <c r="AE54" i="16"/>
  <c r="AE53" i="16" s="1"/>
  <c r="AD54" i="16"/>
  <c r="AD53" i="16" s="1"/>
  <c r="AC54" i="16"/>
  <c r="AC53" i="16" s="1"/>
  <c r="AB54" i="16"/>
  <c r="AB53" i="16" s="1"/>
  <c r="AA54" i="16"/>
  <c r="AA53" i="16" s="1"/>
  <c r="Z54" i="16"/>
  <c r="Z53" i="16" s="1"/>
  <c r="Y54" i="16"/>
  <c r="Y53" i="16" s="1"/>
  <c r="X54" i="16"/>
  <c r="X53" i="16" s="1"/>
  <c r="AI53" i="16"/>
  <c r="AP52" i="16"/>
  <c r="AO52" i="16"/>
  <c r="AP51" i="16"/>
  <c r="AO51" i="16"/>
  <c r="AJ50" i="16"/>
  <c r="AI50" i="16"/>
  <c r="AH50" i="16"/>
  <c r="AG50" i="16"/>
  <c r="AF50" i="16"/>
  <c r="AE50" i="16"/>
  <c r="AD50" i="16"/>
  <c r="AC50" i="16"/>
  <c r="AB50" i="16"/>
  <c r="AA50" i="16"/>
  <c r="Z50" i="16"/>
  <c r="Y50" i="16"/>
  <c r="X50" i="16"/>
  <c r="AP49" i="16"/>
  <c r="AO49" i="16"/>
  <c r="AP48" i="16"/>
  <c r="AO48" i="16"/>
  <c r="AJ47" i="16"/>
  <c r="AI47" i="16"/>
  <c r="AH47" i="16"/>
  <c r="AG47" i="16"/>
  <c r="AF47" i="16"/>
  <c r="AE47" i="16"/>
  <c r="AD47" i="16"/>
  <c r="AC47" i="16"/>
  <c r="AB47" i="16"/>
  <c r="AA47" i="16"/>
  <c r="Z47" i="16"/>
  <c r="Y47" i="16"/>
  <c r="X47" i="16"/>
  <c r="AP45" i="16"/>
  <c r="AO45" i="16"/>
  <c r="AP44" i="16"/>
  <c r="AO44" i="16"/>
  <c r="AJ43" i="16"/>
  <c r="AI43" i="16"/>
  <c r="AH43" i="16"/>
  <c r="AG43" i="16"/>
  <c r="AF43" i="16"/>
  <c r="AE43" i="16"/>
  <c r="AD43" i="16"/>
  <c r="AC43" i="16"/>
  <c r="AB43" i="16"/>
  <c r="AA43" i="16"/>
  <c r="Z43" i="16"/>
  <c r="Y43" i="16"/>
  <c r="X43" i="16"/>
  <c r="AP42" i="16"/>
  <c r="AO42" i="16"/>
  <c r="AJ39" i="16"/>
  <c r="AI39" i="16"/>
  <c r="AH39" i="16"/>
  <c r="AG39" i="16"/>
  <c r="AF39" i="16"/>
  <c r="AE39" i="16"/>
  <c r="AD39" i="16"/>
  <c r="AC39" i="16"/>
  <c r="AB39" i="16"/>
  <c r="AA39" i="16"/>
  <c r="Z39" i="16"/>
  <c r="Y39" i="16"/>
  <c r="X39" i="16"/>
  <c r="AP38" i="16"/>
  <c r="AO38" i="16"/>
  <c r="AP37" i="16"/>
  <c r="AO37" i="16"/>
  <c r="AP36" i="16"/>
  <c r="AO36" i="16"/>
  <c r="AP35" i="16"/>
  <c r="AO35" i="16"/>
  <c r="AJ34" i="16"/>
  <c r="AI34" i="16"/>
  <c r="AH34" i="16"/>
  <c r="AG34" i="16"/>
  <c r="AF34" i="16"/>
  <c r="AE34" i="16"/>
  <c r="AD34" i="16"/>
  <c r="AC34" i="16"/>
  <c r="AB34" i="16"/>
  <c r="AA34" i="16"/>
  <c r="Z34" i="16"/>
  <c r="Y34" i="16"/>
  <c r="X34" i="16"/>
  <c r="AP33" i="16"/>
  <c r="AO33" i="16"/>
  <c r="AP32" i="16"/>
  <c r="AO32" i="16"/>
  <c r="AP31" i="16"/>
  <c r="AO31" i="16"/>
  <c r="AJ30" i="16"/>
  <c r="AI30" i="16"/>
  <c r="AH30" i="16"/>
  <c r="AG30" i="16"/>
  <c r="AF30" i="16"/>
  <c r="AE30" i="16"/>
  <c r="AD30" i="16"/>
  <c r="AC30" i="16"/>
  <c r="AB30" i="16"/>
  <c r="AA30" i="16"/>
  <c r="Z30" i="16"/>
  <c r="Y30" i="16"/>
  <c r="X30" i="16"/>
  <c r="AP28" i="16"/>
  <c r="AO28" i="16"/>
  <c r="AP27" i="16"/>
  <c r="AO27" i="16"/>
  <c r="AJ26" i="16"/>
  <c r="AI26" i="16"/>
  <c r="AH26" i="16"/>
  <c r="AG26" i="16"/>
  <c r="AF26" i="16"/>
  <c r="AE26" i="16"/>
  <c r="AD26" i="16"/>
  <c r="AC26" i="16"/>
  <c r="AB26" i="16"/>
  <c r="AA26" i="16"/>
  <c r="Z26" i="16"/>
  <c r="Y26" i="16"/>
  <c r="X26" i="16"/>
  <c r="AP25" i="16"/>
  <c r="AO25" i="16"/>
  <c r="AP24" i="16"/>
  <c r="AO24" i="16"/>
  <c r="AJ22" i="16"/>
  <c r="AI22" i="16"/>
  <c r="AH22" i="16"/>
  <c r="AG22" i="16"/>
  <c r="AF22" i="16"/>
  <c r="AE22" i="16"/>
  <c r="AD22" i="16"/>
  <c r="AC22" i="16"/>
  <c r="AB22" i="16"/>
  <c r="AA22" i="16"/>
  <c r="Z22" i="16"/>
  <c r="Y22" i="16"/>
  <c r="X22" i="16"/>
  <c r="AP21" i="16"/>
  <c r="AO21" i="16"/>
  <c r="AP20" i="16"/>
  <c r="AO20" i="16"/>
  <c r="AP19" i="16"/>
  <c r="AO19" i="16"/>
  <c r="AP18" i="16"/>
  <c r="AO18" i="16"/>
  <c r="AP17" i="16"/>
  <c r="AO17" i="16"/>
  <c r="AP16" i="16"/>
  <c r="AO16" i="16"/>
  <c r="AP15" i="16"/>
  <c r="AO15" i="16"/>
  <c r="AJ14" i="16"/>
  <c r="AI14" i="16"/>
  <c r="AH14" i="16"/>
  <c r="AG14" i="16"/>
  <c r="AF14" i="16"/>
  <c r="AE14" i="16"/>
  <c r="AD14" i="16"/>
  <c r="AC14" i="16"/>
  <c r="AB14" i="16"/>
  <c r="AA14" i="16"/>
  <c r="Z14" i="16"/>
  <c r="Y14" i="16"/>
  <c r="X14" i="16"/>
  <c r="AJ11" i="16"/>
  <c r="AI11" i="16"/>
  <c r="AH11" i="16"/>
  <c r="AG11" i="16"/>
  <c r="AF11" i="16"/>
  <c r="AE11" i="16"/>
  <c r="AD11" i="16"/>
  <c r="AC11" i="16"/>
  <c r="AB11" i="16"/>
  <c r="AA11" i="16"/>
  <c r="Z11" i="16"/>
  <c r="Y11" i="16"/>
  <c r="X11" i="16"/>
  <c r="X99" i="16" l="1"/>
  <c r="Z99" i="16"/>
  <c r="AB99" i="16"/>
  <c r="AD99" i="16"/>
  <c r="AF99" i="16"/>
  <c r="AH99" i="16"/>
  <c r="AJ99" i="16"/>
  <c r="X10" i="16"/>
  <c r="AE57" i="16"/>
  <c r="AB86" i="16"/>
  <c r="AJ86" i="16"/>
  <c r="Z46" i="16"/>
  <c r="AH46" i="16"/>
  <c r="AE74" i="16"/>
  <c r="Y29" i="16"/>
  <c r="AG29" i="16"/>
  <c r="Y86" i="16"/>
  <c r="AC86" i="16"/>
  <c r="AE86" i="16"/>
  <c r="AG86" i="16"/>
  <c r="AI86" i="16"/>
  <c r="X86" i="16"/>
  <c r="Z86" i="16"/>
  <c r="AD86" i="16"/>
  <c r="AF86" i="16"/>
  <c r="AH86" i="16"/>
  <c r="AB10" i="16"/>
  <c r="AF10" i="16"/>
  <c r="AJ10" i="16"/>
  <c r="AD46" i="16"/>
  <c r="AI57" i="16"/>
  <c r="X74" i="16"/>
  <c r="Z74" i="16"/>
  <c r="AB74" i="16"/>
  <c r="AD74" i="16"/>
  <c r="AF74" i="16"/>
  <c r="AH74" i="16"/>
  <c r="AJ74" i="16"/>
  <c r="AA74" i="16"/>
  <c r="AI74" i="16"/>
  <c r="AP14" i="16"/>
  <c r="AP26" i="16"/>
  <c r="AP61" i="16"/>
  <c r="AO30" i="16"/>
  <c r="AC29" i="16"/>
  <c r="X46" i="16"/>
  <c r="AB46" i="16"/>
  <c r="AF46" i="16"/>
  <c r="AJ46" i="16"/>
  <c r="AO50" i="16"/>
  <c r="AO54" i="16"/>
  <c r="AA57" i="16"/>
  <c r="Y57" i="16"/>
  <c r="AO58" i="16"/>
  <c r="AC57" i="16"/>
  <c r="AG57" i="16"/>
  <c r="AO71" i="16"/>
  <c r="Y74" i="16"/>
  <c r="AO75" i="16"/>
  <c r="AC74" i="16"/>
  <c r="AG74" i="16"/>
  <c r="AP53" i="16"/>
  <c r="AP71" i="16"/>
  <c r="AP75" i="16"/>
  <c r="AP78" i="16"/>
  <c r="AP82" i="16"/>
  <c r="AP87" i="16"/>
  <c r="AP93" i="16"/>
  <c r="AP117" i="16"/>
  <c r="AP30" i="16"/>
  <c r="AE29" i="16"/>
  <c r="AI29" i="16"/>
  <c r="AP50" i="16"/>
  <c r="AP54" i="16"/>
  <c r="AP58" i="16"/>
  <c r="Y10" i="16"/>
  <c r="AC10" i="16"/>
  <c r="AE10" i="16"/>
  <c r="AG10" i="16"/>
  <c r="AI10" i="16"/>
  <c r="Z10" i="16"/>
  <c r="AD10" i="16"/>
  <c r="AH10" i="16"/>
  <c r="X29" i="16"/>
  <c r="Z29" i="16"/>
  <c r="AB29" i="16"/>
  <c r="AD29" i="16"/>
  <c r="AF29" i="16"/>
  <c r="AH29" i="16"/>
  <c r="AJ29" i="16"/>
  <c r="AO39" i="16"/>
  <c r="AP39" i="16"/>
  <c r="AP43" i="16"/>
  <c r="Y46" i="16"/>
  <c r="AC46" i="16"/>
  <c r="AE46" i="16"/>
  <c r="AG46" i="16"/>
  <c r="AI46" i="16"/>
  <c r="X57" i="16"/>
  <c r="Z57" i="16"/>
  <c r="AB57" i="16"/>
  <c r="AD57" i="16"/>
  <c r="AF57" i="16"/>
  <c r="AH57" i="16"/>
  <c r="AJ57" i="16"/>
  <c r="AO64" i="16"/>
  <c r="AP64" i="16"/>
  <c r="AP68" i="16"/>
  <c r="AA81" i="16"/>
  <c r="AP81" i="16" s="1"/>
  <c r="AA86" i="16"/>
  <c r="AP90" i="16"/>
  <c r="AP96" i="16"/>
  <c r="AP100" i="16"/>
  <c r="Y99" i="16"/>
  <c r="AA99" i="16"/>
  <c r="AC99" i="16"/>
  <c r="AE99" i="16"/>
  <c r="AG99" i="16"/>
  <c r="AI99" i="16"/>
  <c r="AP113" i="16"/>
  <c r="AP34" i="16"/>
  <c r="AO34" i="16"/>
  <c r="AO43" i="16"/>
  <c r="AP47" i="16"/>
  <c r="AA46" i="16"/>
  <c r="AO47" i="16"/>
  <c r="AP11" i="16"/>
  <c r="AA10" i="16"/>
  <c r="AO11" i="16"/>
  <c r="AO14" i="16"/>
  <c r="AP22" i="16"/>
  <c r="AO22" i="16"/>
  <c r="AO26" i="16"/>
  <c r="AA29" i="16"/>
  <c r="AO68" i="16"/>
  <c r="AO78" i="16"/>
  <c r="AP105" i="16"/>
  <c r="AO53" i="16"/>
  <c r="AO61" i="16"/>
  <c r="AP3462" i="13"/>
  <c r="AP3463" i="13"/>
  <c r="AP3372" i="13"/>
  <c r="AP3373" i="13"/>
  <c r="AP3374" i="13"/>
  <c r="AP2531" i="13"/>
  <c r="AP2310" i="13"/>
  <c r="AP2311" i="13"/>
  <c r="AP962" i="13"/>
  <c r="AP963" i="13"/>
  <c r="AP1109" i="13"/>
  <c r="AP1125" i="13"/>
  <c r="AP763" i="13"/>
  <c r="AP755" i="13"/>
  <c r="AP743" i="13"/>
  <c r="AP733" i="13"/>
  <c r="AP719" i="13"/>
  <c r="AP720" i="13"/>
  <c r="AP708" i="13"/>
  <c r="AP709" i="13"/>
  <c r="AP701" i="13"/>
  <c r="AP702" i="13"/>
  <c r="AP690" i="13"/>
  <c r="AP682" i="13"/>
  <c r="AP676" i="13"/>
  <c r="AP671" i="13"/>
  <c r="AP666" i="13"/>
  <c r="AO661" i="13"/>
  <c r="AP661" i="13"/>
  <c r="AO657" i="13"/>
  <c r="AP657" i="13"/>
  <c r="AO635" i="13"/>
  <c r="AP635" i="13"/>
  <c r="AO637" i="13"/>
  <c r="AP637" i="13"/>
  <c r="AO625" i="13"/>
  <c r="AP625" i="13"/>
  <c r="AO626" i="13"/>
  <c r="AP626" i="13"/>
  <c r="AO617" i="13"/>
  <c r="AP617" i="13"/>
  <c r="AO592" i="13"/>
  <c r="AP592" i="13"/>
  <c r="AO587" i="13"/>
  <c r="AP587" i="13"/>
  <c r="AO582" i="13"/>
  <c r="AP582" i="13"/>
  <c r="AO569" i="13"/>
  <c r="AP569" i="13"/>
  <c r="AO565" i="13"/>
  <c r="AP565" i="13"/>
  <c r="AO549" i="13"/>
  <c r="AP549" i="13"/>
  <c r="AO532" i="13"/>
  <c r="AP532" i="13"/>
  <c r="AO501" i="13"/>
  <c r="AP501" i="13"/>
  <c r="AO492" i="13"/>
  <c r="AP492" i="13"/>
  <c r="AO483" i="13"/>
  <c r="AP483" i="13"/>
  <c r="AO460" i="13"/>
  <c r="AP460" i="13"/>
  <c r="AO461" i="13"/>
  <c r="AP461" i="13"/>
  <c r="AO452" i="13"/>
  <c r="AP452" i="13"/>
  <c r="AO453" i="13"/>
  <c r="AP453" i="13"/>
  <c r="AO412" i="13"/>
  <c r="AP412" i="13"/>
  <c r="AO413" i="13"/>
  <c r="AP413" i="13"/>
  <c r="AO421" i="13"/>
  <c r="AP421" i="13"/>
  <c r="AO422" i="13"/>
  <c r="AP422" i="13"/>
  <c r="AO372" i="13"/>
  <c r="AP372" i="13"/>
  <c r="AO313" i="13"/>
  <c r="AP313" i="13"/>
  <c r="AO314" i="13"/>
  <c r="AP314" i="13"/>
  <c r="AO315" i="13"/>
  <c r="AP315" i="13"/>
  <c r="AO253" i="13"/>
  <c r="AP253" i="13"/>
  <c r="AO259" i="13"/>
  <c r="AP259" i="13"/>
  <c r="AO260" i="13"/>
  <c r="AP260" i="13"/>
  <c r="AO180" i="13"/>
  <c r="AP180" i="13"/>
  <c r="AO181" i="13"/>
  <c r="AP181" i="13"/>
  <c r="AO182" i="13"/>
  <c r="AP182" i="13"/>
  <c r="AO189" i="13"/>
  <c r="AP189" i="13"/>
  <c r="AO47" i="13"/>
  <c r="AP47" i="13"/>
  <c r="AO48" i="13"/>
  <c r="AP48" i="13"/>
  <c r="AO49" i="13"/>
  <c r="AP49" i="13"/>
  <c r="AO50" i="13"/>
  <c r="AP50" i="13"/>
  <c r="AP57" i="16" l="1"/>
  <c r="AP74" i="16"/>
  <c r="AO74" i="16"/>
  <c r="AP86" i="16"/>
  <c r="AP99" i="16"/>
  <c r="AO57" i="16"/>
  <c r="AP29" i="16"/>
  <c r="AO29" i="16"/>
  <c r="AO10" i="16"/>
  <c r="AP10" i="16"/>
  <c r="AO46" i="16"/>
  <c r="AP46" i="16"/>
  <c r="AO13" i="13"/>
  <c r="AP13" i="13"/>
  <c r="AO14" i="13"/>
  <c r="AP14" i="13"/>
  <c r="AP3466" i="13" l="1"/>
  <c r="AP3465" i="13"/>
  <c r="AP3461" i="13"/>
  <c r="AJ3460" i="13"/>
  <c r="AI3460" i="13"/>
  <c r="AH3460" i="13"/>
  <c r="AG3460" i="13"/>
  <c r="AF3460" i="13"/>
  <c r="AE3460" i="13"/>
  <c r="AD3460" i="13"/>
  <c r="AC3460" i="13"/>
  <c r="AB3460" i="13"/>
  <c r="AA3460" i="13"/>
  <c r="Z3460" i="13"/>
  <c r="Y3460" i="13"/>
  <c r="X3460" i="13"/>
  <c r="AP3459" i="13"/>
  <c r="AP3360" i="13"/>
  <c r="AP3359" i="13"/>
  <c r="AP3358" i="13"/>
  <c r="AP3357" i="13"/>
  <c r="AP3356" i="13"/>
  <c r="AP3355" i="13"/>
  <c r="AP3354" i="13"/>
  <c r="AP3353" i="13"/>
  <c r="AP3352" i="13"/>
  <c r="AP3351" i="13"/>
  <c r="AP3350" i="13"/>
  <c r="AP3349" i="13"/>
  <c r="AP3348" i="13"/>
  <c r="AP3347" i="13"/>
  <c r="AP3346" i="13"/>
  <c r="AP3345" i="13"/>
  <c r="AP3344" i="13"/>
  <c r="AP3343" i="13"/>
  <c r="AP3342" i="13"/>
  <c r="AP3341" i="13"/>
  <c r="AP3340" i="13"/>
  <c r="AP3339" i="13"/>
  <c r="AP3338" i="13"/>
  <c r="AP3337" i="13"/>
  <c r="AP3336" i="13"/>
  <c r="AP3335" i="13"/>
  <c r="AP3334" i="13"/>
  <c r="AP3333" i="13"/>
  <c r="AP3332" i="13"/>
  <c r="AP3331" i="13"/>
  <c r="AP3330" i="13"/>
  <c r="AP3329" i="13"/>
  <c r="AJ3328" i="13"/>
  <c r="AI3328" i="13"/>
  <c r="AH3328" i="13"/>
  <c r="AG3328" i="13"/>
  <c r="AF3328" i="13"/>
  <c r="AE3328" i="13"/>
  <c r="AD3328" i="13"/>
  <c r="AC3328" i="13"/>
  <c r="AB3328" i="13"/>
  <c r="AA3328" i="13"/>
  <c r="Z3328" i="13"/>
  <c r="Y3328" i="13"/>
  <c r="X3328" i="13"/>
  <c r="AP3327" i="13"/>
  <c r="AP2119" i="13"/>
  <c r="AP2118" i="13"/>
  <c r="AP2117" i="13"/>
  <c r="AP2116" i="13"/>
  <c r="AP2115" i="13"/>
  <c r="AP2114" i="13"/>
  <c r="AP2113" i="13"/>
  <c r="AP2112" i="13"/>
  <c r="AP2111" i="13"/>
  <c r="AP2110" i="13"/>
  <c r="AP2109" i="13"/>
  <c r="AP2108" i="13"/>
  <c r="AP2107" i="13"/>
  <c r="AP2106" i="13"/>
  <c r="AP2105" i="13"/>
  <c r="AP2104" i="13"/>
  <c r="AP2103" i="13"/>
  <c r="AP2102" i="13"/>
  <c r="AP2101" i="13"/>
  <c r="AP2100" i="13"/>
  <c r="AP2099" i="13"/>
  <c r="AP2098" i="13"/>
  <c r="AP2097" i="13"/>
  <c r="AP2096" i="13"/>
  <c r="AP2095" i="13"/>
  <c r="AP2094" i="13"/>
  <c r="AP2093" i="13"/>
  <c r="AP2092" i="13"/>
  <c r="AP2091" i="13"/>
  <c r="AP2090" i="13"/>
  <c r="AP2089" i="13"/>
  <c r="AP2088" i="13"/>
  <c r="AP2087" i="13"/>
  <c r="AP2086" i="13"/>
  <c r="AP2085" i="13"/>
  <c r="AP2084" i="13"/>
  <c r="AP2083" i="13"/>
  <c r="AP2082" i="13"/>
  <c r="AP2081" i="13"/>
  <c r="AP2080" i="13"/>
  <c r="AP2079" i="13"/>
  <c r="AP2078" i="13"/>
  <c r="AP2077" i="13"/>
  <c r="AP2076" i="13"/>
  <c r="AP2075" i="13"/>
  <c r="AP2074" i="13"/>
  <c r="AP2073" i="13"/>
  <c r="AP2072" i="13"/>
  <c r="AP2071" i="13"/>
  <c r="AP2070" i="13"/>
  <c r="AP2069" i="13"/>
  <c r="AP2068" i="13"/>
  <c r="AP2067" i="13"/>
  <c r="AP2066" i="13"/>
  <c r="AP2065" i="13"/>
  <c r="AP2064" i="13"/>
  <c r="AP2063" i="13"/>
  <c r="AP2062" i="13"/>
  <c r="AP2061" i="13"/>
  <c r="AP2060" i="13"/>
  <c r="AP2059" i="13"/>
  <c r="AP2058" i="13"/>
  <c r="AP2057" i="13"/>
  <c r="AP2056" i="13"/>
  <c r="AP2055" i="13"/>
  <c r="AP2054" i="13"/>
  <c r="AP2053" i="13"/>
  <c r="AP2052" i="13"/>
  <c r="AP2051" i="13"/>
  <c r="AP2050" i="13"/>
  <c r="AP2049" i="13"/>
  <c r="AP2048" i="13"/>
  <c r="AP2047" i="13"/>
  <c r="AP2046" i="13"/>
  <c r="AP2045" i="13"/>
  <c r="AP2044" i="13"/>
  <c r="AP2043" i="13"/>
  <c r="AP2042" i="13"/>
  <c r="AP2041" i="13"/>
  <c r="AP2040" i="13"/>
  <c r="AP2039" i="13"/>
  <c r="AP2038" i="13"/>
  <c r="AP2037" i="13"/>
  <c r="AP2036" i="13"/>
  <c r="AP2035" i="13"/>
  <c r="AP2034" i="13"/>
  <c r="AP2033" i="13"/>
  <c r="AP2032" i="13"/>
  <c r="AP2031" i="13"/>
  <c r="AP2030" i="13"/>
  <c r="AP2029" i="13"/>
  <c r="AP2028" i="13"/>
  <c r="AP2027" i="13"/>
  <c r="AP2026" i="13"/>
  <c r="AP2025" i="13"/>
  <c r="AP2024" i="13"/>
  <c r="AP2023" i="13"/>
  <c r="AP2022" i="13"/>
  <c r="AP2021" i="13"/>
  <c r="AP2020" i="13"/>
  <c r="AP2019" i="13"/>
  <c r="AP2018" i="13"/>
  <c r="AP2017" i="13"/>
  <c r="AP2016" i="13"/>
  <c r="AP2015" i="13"/>
  <c r="AP2014" i="13"/>
  <c r="AP2013" i="13"/>
  <c r="AP2012" i="13"/>
  <c r="AP2011" i="13"/>
  <c r="AP2010" i="13"/>
  <c r="AP2009" i="13"/>
  <c r="AP2008" i="13"/>
  <c r="AP2007" i="13"/>
  <c r="AP2006" i="13"/>
  <c r="AP2005" i="13"/>
  <c r="AP2004" i="13"/>
  <c r="AP2003" i="13"/>
  <c r="AP2002" i="13"/>
  <c r="AP2001" i="13"/>
  <c r="AP2000" i="13"/>
  <c r="AP1999" i="13"/>
  <c r="AP1998" i="13"/>
  <c r="AP1997" i="13"/>
  <c r="AP1996" i="13"/>
  <c r="AP1995" i="13"/>
  <c r="AP1994" i="13"/>
  <c r="AP1993" i="13"/>
  <c r="AP1992" i="13"/>
  <c r="AP1991" i="13"/>
  <c r="AP1990" i="13"/>
  <c r="AP1989" i="13"/>
  <c r="AP1988" i="13"/>
  <c r="AP1987" i="13"/>
  <c r="AP1986" i="13"/>
  <c r="AP1985" i="13"/>
  <c r="AP1984" i="13"/>
  <c r="AP1983" i="13"/>
  <c r="AP1982" i="13"/>
  <c r="AP1981" i="13"/>
  <c r="AP1980" i="13"/>
  <c r="AP1979" i="13"/>
  <c r="AP1978" i="13"/>
  <c r="AP1977" i="13"/>
  <c r="AP1976" i="13"/>
  <c r="AP1975" i="13"/>
  <c r="AP1974" i="13"/>
  <c r="AP1973" i="13"/>
  <c r="AP1972" i="13"/>
  <c r="AP1971" i="13"/>
  <c r="AP1970" i="13"/>
  <c r="AP1969" i="13"/>
  <c r="AP1968" i="13"/>
  <c r="AP1967" i="13"/>
  <c r="AP1966" i="13"/>
  <c r="AP1965" i="13"/>
  <c r="AP1964" i="13"/>
  <c r="AP1963" i="13"/>
  <c r="AP1962" i="13"/>
  <c r="AP1961" i="13"/>
  <c r="AP1960" i="13"/>
  <c r="AP1959" i="13"/>
  <c r="AP1958" i="13"/>
  <c r="AP1957" i="13"/>
  <c r="AP1956" i="13"/>
  <c r="AP1955" i="13"/>
  <c r="AP1954" i="13"/>
  <c r="AP1953" i="13"/>
  <c r="AP1952" i="13"/>
  <c r="AP1951" i="13"/>
  <c r="AP1950" i="13"/>
  <c r="AP1949" i="13"/>
  <c r="AP1948" i="13"/>
  <c r="AP1947" i="13"/>
  <c r="AP1946" i="13"/>
  <c r="AP1945" i="13"/>
  <c r="AP1944" i="13"/>
  <c r="AP1943" i="13"/>
  <c r="AP1942" i="13"/>
  <c r="AP1941" i="13"/>
  <c r="AP1940" i="13"/>
  <c r="AP1939" i="13"/>
  <c r="AP1938" i="13"/>
  <c r="AP1937" i="13"/>
  <c r="AP1936" i="13"/>
  <c r="AP1935" i="13"/>
  <c r="AP1934" i="13"/>
  <c r="AP1933" i="13"/>
  <c r="AP1932" i="13"/>
  <c r="AP1931" i="13"/>
  <c r="AP1930" i="13"/>
  <c r="AP1929" i="13"/>
  <c r="AP1928" i="13"/>
  <c r="AP1927" i="13"/>
  <c r="AP1926" i="13"/>
  <c r="AP1925" i="13"/>
  <c r="AP1924" i="13"/>
  <c r="AP1923" i="13"/>
  <c r="AP1922" i="13"/>
  <c r="AP1921" i="13"/>
  <c r="AP1920" i="13"/>
  <c r="AP1919" i="13"/>
  <c r="AP1918" i="13"/>
  <c r="AP1917" i="13"/>
  <c r="AP1916" i="13"/>
  <c r="AP1915" i="13"/>
  <c r="AP1914" i="13"/>
  <c r="AP1913" i="13"/>
  <c r="AP1912" i="13"/>
  <c r="AP1911" i="13"/>
  <c r="AP1910" i="13"/>
  <c r="AP1909" i="13"/>
  <c r="AP1908" i="13"/>
  <c r="AP1907" i="13"/>
  <c r="AP1906" i="13"/>
  <c r="AP1905" i="13"/>
  <c r="AP1904" i="13"/>
  <c r="AP1903" i="13"/>
  <c r="AP1902" i="13"/>
  <c r="AP1901" i="13"/>
  <c r="AP1900" i="13"/>
  <c r="AP1899" i="13"/>
  <c r="AP1898" i="13"/>
  <c r="AP1897" i="13"/>
  <c r="AP1896" i="13"/>
  <c r="AP1895" i="13"/>
  <c r="AP1894" i="13"/>
  <c r="AP1893" i="13"/>
  <c r="AP1892" i="13"/>
  <c r="AP1891" i="13"/>
  <c r="AP1890" i="13"/>
  <c r="AP1889" i="13"/>
  <c r="AP1888" i="13"/>
  <c r="AP1887" i="13"/>
  <c r="AP1886" i="13"/>
  <c r="AP1885" i="13"/>
  <c r="AP1884" i="13"/>
  <c r="AP1883" i="13"/>
  <c r="AP1882" i="13"/>
  <c r="AP1881" i="13"/>
  <c r="AP1880" i="13"/>
  <c r="AP1879" i="13"/>
  <c r="AP1878" i="13"/>
  <c r="AP1877" i="13"/>
  <c r="AP1876" i="13"/>
  <c r="AP1875" i="13"/>
  <c r="AP1874" i="13"/>
  <c r="AP1873" i="13"/>
  <c r="AP1872" i="13"/>
  <c r="AP1871" i="13"/>
  <c r="AP1870" i="13"/>
  <c r="AP1869" i="13"/>
  <c r="AP1868" i="13"/>
  <c r="AP1867" i="13"/>
  <c r="AP1866" i="13"/>
  <c r="AP1865" i="13"/>
  <c r="AP1864" i="13"/>
  <c r="AP1863" i="13"/>
  <c r="AP1862" i="13"/>
  <c r="AP1861" i="13"/>
  <c r="AP1860" i="13"/>
  <c r="AP1859" i="13"/>
  <c r="AP1858" i="13"/>
  <c r="AP1857" i="13"/>
  <c r="AP1856" i="13"/>
  <c r="AP1855" i="13"/>
  <c r="AP1854" i="13"/>
  <c r="AP1853" i="13"/>
  <c r="AP1852" i="13"/>
  <c r="AP1851" i="13"/>
  <c r="AP1850" i="13"/>
  <c r="AP1849" i="13"/>
  <c r="AP1848" i="13"/>
  <c r="AP1847" i="13"/>
  <c r="AP1846" i="13"/>
  <c r="AP1845" i="13"/>
  <c r="AP1844" i="13"/>
  <c r="AP1843" i="13"/>
  <c r="AP1842" i="13"/>
  <c r="AP1841" i="13"/>
  <c r="AP1840" i="13"/>
  <c r="AP1839" i="13"/>
  <c r="AP1838" i="13"/>
  <c r="AP1837" i="13"/>
  <c r="AP1836" i="13"/>
  <c r="AP1835" i="13"/>
  <c r="AP1834" i="13"/>
  <c r="AP1833" i="13"/>
  <c r="AP1832" i="13"/>
  <c r="AP1831" i="13"/>
  <c r="AP1830" i="13"/>
  <c r="AP1829" i="13"/>
  <c r="AP1828" i="13"/>
  <c r="AP1827" i="13"/>
  <c r="AP1826" i="13"/>
  <c r="AP1825" i="13"/>
  <c r="AP1824" i="13"/>
  <c r="AP1823" i="13"/>
  <c r="AP1822" i="13"/>
  <c r="AP1821" i="13"/>
  <c r="AP1820" i="13"/>
  <c r="AP1819" i="13"/>
  <c r="AP1818" i="13"/>
  <c r="AP1817" i="13"/>
  <c r="AP1816" i="13"/>
  <c r="AP1815" i="13"/>
  <c r="AP1814" i="13"/>
  <c r="AP1813" i="13"/>
  <c r="AP1812" i="13"/>
  <c r="AP1811" i="13"/>
  <c r="AP1810" i="13"/>
  <c r="AP1809" i="13"/>
  <c r="AP1808" i="13"/>
  <c r="AP1807" i="13"/>
  <c r="AP1806" i="13"/>
  <c r="AP1805" i="13"/>
  <c r="AP1804" i="13"/>
  <c r="AP1803" i="13"/>
  <c r="AP1802" i="13"/>
  <c r="AP1801" i="13"/>
  <c r="AP1800" i="13"/>
  <c r="AP1799" i="13"/>
  <c r="AP1798" i="13"/>
  <c r="AP1797" i="13"/>
  <c r="AP1796" i="13"/>
  <c r="AP1795" i="13"/>
  <c r="AP1794" i="13"/>
  <c r="AP1793" i="13"/>
  <c r="AP1792" i="13"/>
  <c r="AP1791" i="13"/>
  <c r="AP1790" i="13"/>
  <c r="AP1789" i="13"/>
  <c r="AP1788" i="13"/>
  <c r="AP1787" i="13"/>
  <c r="AP1786" i="13"/>
  <c r="AP1785" i="13"/>
  <c r="AP1784" i="13"/>
  <c r="AP1783" i="13"/>
  <c r="AP1782" i="13"/>
  <c r="AP1781" i="13"/>
  <c r="AP1780" i="13"/>
  <c r="AP1779" i="13"/>
  <c r="AP1778" i="13"/>
  <c r="AP1777" i="13"/>
  <c r="AP1776" i="13"/>
  <c r="AP1775" i="13"/>
  <c r="AP1774" i="13"/>
  <c r="AP1773" i="13"/>
  <c r="AP1772" i="13"/>
  <c r="AP1771" i="13"/>
  <c r="AP1770" i="13"/>
  <c r="AP1769" i="13"/>
  <c r="AP1768" i="13"/>
  <c r="AP1767" i="13"/>
  <c r="AP1766" i="13"/>
  <c r="AP1765" i="13"/>
  <c r="AP1764" i="13"/>
  <c r="AP1763" i="13"/>
  <c r="AP1762" i="13"/>
  <c r="AP1761" i="13"/>
  <c r="AP1760" i="13"/>
  <c r="AP1759" i="13"/>
  <c r="AP1758" i="13"/>
  <c r="AP1757" i="13"/>
  <c r="AP1756" i="13"/>
  <c r="AP1755" i="13"/>
  <c r="AP1754" i="13"/>
  <c r="AP1753" i="13"/>
  <c r="AP1752" i="13"/>
  <c r="AP1751" i="13"/>
  <c r="AP1750" i="13"/>
  <c r="AP1749" i="13"/>
  <c r="AP1748" i="13"/>
  <c r="AP1747" i="13"/>
  <c r="AP1746" i="13"/>
  <c r="AP1745" i="13"/>
  <c r="AP1744" i="13"/>
  <c r="AP1743" i="13"/>
  <c r="AP1742" i="13"/>
  <c r="AP1741" i="13"/>
  <c r="AP1740" i="13"/>
  <c r="AP1739" i="13"/>
  <c r="AP1738" i="13"/>
  <c r="AP1737" i="13"/>
  <c r="AP1736" i="13"/>
  <c r="AP1735" i="13"/>
  <c r="AP1734" i="13"/>
  <c r="AP1733" i="13"/>
  <c r="AP1732" i="13"/>
  <c r="AP1731" i="13"/>
  <c r="AP1730" i="13"/>
  <c r="AP1729" i="13"/>
  <c r="AP1728" i="13"/>
  <c r="AP1727" i="13"/>
  <c r="AP1726" i="13"/>
  <c r="AP1725" i="13"/>
  <c r="AP1724" i="13"/>
  <c r="AP1723" i="13"/>
  <c r="AP1722" i="13"/>
  <c r="AP1721" i="13"/>
  <c r="AP1720" i="13"/>
  <c r="AP1719" i="13"/>
  <c r="AP1718" i="13"/>
  <c r="AP1717" i="13"/>
  <c r="AP1716" i="13"/>
  <c r="AP1715" i="13"/>
  <c r="AP1714" i="13"/>
  <c r="AP1713" i="13"/>
  <c r="AP1712" i="13"/>
  <c r="AP1711" i="13"/>
  <c r="AP1710" i="13"/>
  <c r="AP1709" i="13"/>
  <c r="AP1708" i="13"/>
  <c r="AP1707" i="13"/>
  <c r="AP1706" i="13"/>
  <c r="AP1705" i="13"/>
  <c r="AP1704" i="13"/>
  <c r="AP1703" i="13"/>
  <c r="AP1702" i="13"/>
  <c r="AP1701" i="13"/>
  <c r="AP1700" i="13"/>
  <c r="AP1699" i="13"/>
  <c r="AP1698" i="13"/>
  <c r="AP1697" i="13"/>
  <c r="AP1696" i="13"/>
  <c r="AP1695" i="13"/>
  <c r="AP1694" i="13"/>
  <c r="AP1693" i="13"/>
  <c r="AP1692" i="13"/>
  <c r="AP1691" i="13"/>
  <c r="AP1690" i="13"/>
  <c r="AP1689" i="13"/>
  <c r="AP1688" i="13"/>
  <c r="AP1687" i="13"/>
  <c r="AP1686" i="13"/>
  <c r="AP1685" i="13"/>
  <c r="AP1684" i="13"/>
  <c r="AP1683" i="13"/>
  <c r="AP1682" i="13"/>
  <c r="AP1681" i="13"/>
  <c r="AP1680" i="13"/>
  <c r="AP1679" i="13"/>
  <c r="AP1678" i="13"/>
  <c r="AP1677" i="13"/>
  <c r="AP1676" i="13"/>
  <c r="AP1675" i="13"/>
  <c r="AP1674" i="13"/>
  <c r="AP1673" i="13"/>
  <c r="AP1672" i="13"/>
  <c r="AP1671" i="13"/>
  <c r="AP1670" i="13"/>
  <c r="AP1669" i="13"/>
  <c r="AP1668" i="13"/>
  <c r="AP1667" i="13"/>
  <c r="AP1666" i="13"/>
  <c r="AP1665" i="13"/>
  <c r="AP1664" i="13"/>
  <c r="AP1663" i="13"/>
  <c r="AP1662" i="13"/>
  <c r="AP1661" i="13"/>
  <c r="AP1660" i="13"/>
  <c r="AP1659" i="13"/>
  <c r="AP1658" i="13"/>
  <c r="AP1657" i="13"/>
  <c r="AP1656" i="13"/>
  <c r="AP1655" i="13"/>
  <c r="AP1654" i="13"/>
  <c r="AP1653" i="13"/>
  <c r="AP1652" i="13"/>
  <c r="AP1651" i="13"/>
  <c r="AP1650" i="13"/>
  <c r="AP1649" i="13"/>
  <c r="AP1648" i="13"/>
  <c r="AP1647" i="13"/>
  <c r="AP1646" i="13"/>
  <c r="AP1645" i="13"/>
  <c r="AP1644" i="13"/>
  <c r="AP1643" i="13"/>
  <c r="AP1642" i="13"/>
  <c r="AP1641" i="13"/>
  <c r="AP1640" i="13"/>
  <c r="AP1639" i="13"/>
  <c r="AP1638" i="13"/>
  <c r="AP1637" i="13"/>
  <c r="AP1636" i="13"/>
  <c r="AP1635" i="13"/>
  <c r="AP1634" i="13"/>
  <c r="AP1633" i="13"/>
  <c r="AP1632" i="13"/>
  <c r="AP1631" i="13"/>
  <c r="AP1630" i="13"/>
  <c r="AP1629" i="13"/>
  <c r="AP1628" i="13"/>
  <c r="AP1627" i="13"/>
  <c r="AP1626" i="13"/>
  <c r="AP1625" i="13"/>
  <c r="AP1624" i="13"/>
  <c r="AJ1623" i="13"/>
  <c r="AI1623" i="13"/>
  <c r="AH1623" i="13"/>
  <c r="AG1623" i="13"/>
  <c r="AF1623" i="13"/>
  <c r="AE1623" i="13"/>
  <c r="AD1623" i="13"/>
  <c r="AC1623" i="13"/>
  <c r="AB1623" i="13"/>
  <c r="AA1623" i="13"/>
  <c r="Z1623" i="13"/>
  <c r="Y1623" i="13"/>
  <c r="X1623" i="13"/>
  <c r="AP1622" i="13"/>
  <c r="AP961" i="13"/>
  <c r="AP960" i="13"/>
  <c r="AP959" i="13"/>
  <c r="AP958" i="13"/>
  <c r="AP957" i="13"/>
  <c r="AP956" i="13"/>
  <c r="AP955" i="13"/>
  <c r="AP954" i="13"/>
  <c r="AP953" i="13"/>
  <c r="AP952" i="13"/>
  <c r="AP951" i="13"/>
  <c r="AP950" i="13"/>
  <c r="AP949" i="13"/>
  <c r="AP948" i="13"/>
  <c r="AP947" i="13"/>
  <c r="AP946" i="13"/>
  <c r="AP945" i="13"/>
  <c r="AP944" i="13"/>
  <c r="AP943" i="13"/>
  <c r="AP942" i="13"/>
  <c r="AP941" i="13"/>
  <c r="AP940" i="13"/>
  <c r="AP939" i="13"/>
  <c r="AP938" i="13"/>
  <c r="AP937" i="13"/>
  <c r="AP936" i="13"/>
  <c r="AP935" i="13"/>
  <c r="AP934" i="13"/>
  <c r="AP933" i="13"/>
  <c r="AP932" i="13"/>
  <c r="AP931" i="13"/>
  <c r="AP930" i="13"/>
  <c r="AP929" i="13"/>
  <c r="AP928" i="13"/>
  <c r="AP927" i="13"/>
  <c r="AP926" i="13"/>
  <c r="AP925" i="13"/>
  <c r="AP924" i="13"/>
  <c r="AP923" i="13"/>
  <c r="AP922" i="13"/>
  <c r="AP921" i="13"/>
  <c r="AP920" i="13"/>
  <c r="AP919" i="13"/>
  <c r="AP918" i="13"/>
  <c r="AP917" i="13"/>
  <c r="AP916" i="13"/>
  <c r="AP915" i="13"/>
  <c r="AP914" i="13"/>
  <c r="AP913" i="13"/>
  <c r="AP912" i="13"/>
  <c r="AP911" i="13"/>
  <c r="AP910" i="13"/>
  <c r="AP909" i="13"/>
  <c r="AP908" i="13"/>
  <c r="AP907" i="13"/>
  <c r="AP906" i="13"/>
  <c r="AP905" i="13"/>
  <c r="AP904" i="13"/>
  <c r="AP903" i="13"/>
  <c r="AP902" i="13"/>
  <c r="AP901" i="13"/>
  <c r="AP900" i="13"/>
  <c r="AP899" i="13"/>
  <c r="AP898" i="13"/>
  <c r="AP897" i="13"/>
  <c r="AP896" i="13"/>
  <c r="AP895" i="13"/>
  <c r="AP894" i="13"/>
  <c r="AP893" i="13"/>
  <c r="AP892" i="13"/>
  <c r="AP891" i="13"/>
  <c r="AP890" i="13"/>
  <c r="AP889" i="13"/>
  <c r="AP888" i="13"/>
  <c r="AP887" i="13"/>
  <c r="AP886" i="13"/>
  <c r="AP885" i="13"/>
  <c r="AP884" i="13"/>
  <c r="AP883" i="13"/>
  <c r="AP882" i="13"/>
  <c r="AP881" i="13"/>
  <c r="AP880" i="13"/>
  <c r="AP879" i="13"/>
  <c r="AP878" i="13"/>
  <c r="AP877" i="13"/>
  <c r="AP876" i="13"/>
  <c r="AP875" i="13"/>
  <c r="AP874" i="13"/>
  <c r="AP873" i="13"/>
  <c r="AP872" i="13"/>
  <c r="AP871" i="13"/>
  <c r="AP870" i="13"/>
  <c r="AP869" i="13"/>
  <c r="AP868" i="13"/>
  <c r="AP867" i="13"/>
  <c r="AP866" i="13"/>
  <c r="AP865" i="13"/>
  <c r="AP864" i="13"/>
  <c r="AP863" i="13"/>
  <c r="AP862" i="13"/>
  <c r="AP861" i="13"/>
  <c r="AP860" i="13"/>
  <c r="AP859" i="13"/>
  <c r="AP858" i="13"/>
  <c r="AP857" i="13"/>
  <c r="AP856" i="13"/>
  <c r="AP855" i="13"/>
  <c r="AP854" i="13"/>
  <c r="AP853" i="13"/>
  <c r="AP852" i="13"/>
  <c r="AP851" i="13"/>
  <c r="AP850" i="13"/>
  <c r="AP849" i="13"/>
  <c r="AP848" i="13"/>
  <c r="AP847" i="13"/>
  <c r="AP846" i="13"/>
  <c r="AP845" i="13"/>
  <c r="AP844" i="13"/>
  <c r="AP843" i="13"/>
  <c r="AP842" i="13"/>
  <c r="AP841" i="13"/>
  <c r="AP840" i="13"/>
  <c r="AP839" i="13"/>
  <c r="AP838" i="13"/>
  <c r="AP837" i="13"/>
  <c r="AP836" i="13"/>
  <c r="AP835" i="13"/>
  <c r="AP834" i="13"/>
  <c r="AP833" i="13"/>
  <c r="AP832" i="13"/>
  <c r="AP831" i="13"/>
  <c r="AP830" i="13"/>
  <c r="AP829" i="13"/>
  <c r="AP828" i="13"/>
  <c r="AP827" i="13"/>
  <c r="AP826" i="13"/>
  <c r="AP825" i="13"/>
  <c r="AP824" i="13"/>
  <c r="AP823" i="13"/>
  <c r="AP822" i="13"/>
  <c r="AP821" i="13"/>
  <c r="AP820" i="13"/>
  <c r="AP819" i="13"/>
  <c r="AP818" i="13"/>
  <c r="AP817" i="13"/>
  <c r="AP816" i="13"/>
  <c r="AP815" i="13"/>
  <c r="AP814" i="13"/>
  <c r="AP813" i="13"/>
  <c r="AP812" i="13"/>
  <c r="AP811" i="13"/>
  <c r="AP810" i="13"/>
  <c r="AP809" i="13"/>
  <c r="AP808" i="13"/>
  <c r="AP807" i="13"/>
  <c r="AP806" i="13"/>
  <c r="AP805" i="13"/>
  <c r="AP804" i="13"/>
  <c r="AP803" i="13"/>
  <c r="AP802" i="13"/>
  <c r="AP801" i="13"/>
  <c r="AP800" i="13"/>
  <c r="AP799" i="13"/>
  <c r="AP798" i="13"/>
  <c r="AP797" i="13"/>
  <c r="AP796" i="13"/>
  <c r="AP795" i="13"/>
  <c r="AP794" i="13"/>
  <c r="AP793" i="13"/>
  <c r="AP792" i="13"/>
  <c r="AP791" i="13"/>
  <c r="AP790" i="13"/>
  <c r="AP789" i="13"/>
  <c r="AP788" i="13"/>
  <c r="AP787" i="13"/>
  <c r="AP786" i="13"/>
  <c r="AP785" i="13"/>
  <c r="AP784" i="13"/>
  <c r="AP783" i="13"/>
  <c r="AP782" i="13"/>
  <c r="AP781" i="13"/>
  <c r="AP780" i="13"/>
  <c r="AP779" i="13"/>
  <c r="AP778" i="13"/>
  <c r="AP777" i="13"/>
  <c r="AP776" i="13"/>
  <c r="AP775" i="13"/>
  <c r="AP774" i="13"/>
  <c r="AP773" i="13"/>
  <c r="AP772" i="13"/>
  <c r="AP771" i="13"/>
  <c r="AP770" i="13"/>
  <c r="AP769" i="13"/>
  <c r="AJ768" i="13"/>
  <c r="AI768" i="13"/>
  <c r="AH768" i="13"/>
  <c r="AG768" i="13"/>
  <c r="AF768" i="13"/>
  <c r="AE768" i="13"/>
  <c r="AD768" i="13"/>
  <c r="AC768" i="13"/>
  <c r="AB768" i="13"/>
  <c r="AA768" i="13"/>
  <c r="Z768" i="13"/>
  <c r="Y768" i="13"/>
  <c r="X768" i="13"/>
  <c r="AP766" i="13"/>
  <c r="AP762" i="13"/>
  <c r="AP761" i="13"/>
  <c r="AJ760" i="13"/>
  <c r="AJ759" i="13" s="1"/>
  <c r="AI760" i="13"/>
  <c r="AI759" i="13" s="1"/>
  <c r="AH760" i="13"/>
  <c r="AH759" i="13" s="1"/>
  <c r="AG760" i="13"/>
  <c r="AG759" i="13" s="1"/>
  <c r="AF760" i="13"/>
  <c r="AF759" i="13" s="1"/>
  <c r="AE760" i="13"/>
  <c r="AE759" i="13" s="1"/>
  <c r="AD760" i="13"/>
  <c r="AD759" i="13" s="1"/>
  <c r="AC760" i="13"/>
  <c r="AC759" i="13" s="1"/>
  <c r="AB760" i="13"/>
  <c r="AB759" i="13" s="1"/>
  <c r="AA760" i="13"/>
  <c r="AA759" i="13" s="1"/>
  <c r="Z760" i="13"/>
  <c r="Z759" i="13" s="1"/>
  <c r="Y760" i="13"/>
  <c r="Y759" i="13" s="1"/>
  <c r="X760" i="13"/>
  <c r="X759" i="13" s="1"/>
  <c r="AP758" i="13"/>
  <c r="AJ757" i="13"/>
  <c r="AI757" i="13"/>
  <c r="AH757" i="13"/>
  <c r="AG757" i="13"/>
  <c r="AF757" i="13"/>
  <c r="AE757" i="13"/>
  <c r="AD757" i="13"/>
  <c r="AC757" i="13"/>
  <c r="AB757" i="13"/>
  <c r="AA757" i="13"/>
  <c r="Z757" i="13"/>
  <c r="Y757" i="13"/>
  <c r="X757" i="13"/>
  <c r="AP756" i="13"/>
  <c r="AP754" i="13"/>
  <c r="AJ753" i="13"/>
  <c r="AI753" i="13"/>
  <c r="AH753" i="13"/>
  <c r="AG753" i="13"/>
  <c r="AF753" i="13"/>
  <c r="AE753" i="13"/>
  <c r="AD753" i="13"/>
  <c r="AC753" i="13"/>
  <c r="AB753" i="13"/>
  <c r="AA753" i="13"/>
  <c r="Z753" i="13"/>
  <c r="Y753" i="13"/>
  <c r="X753" i="13"/>
  <c r="AP752" i="13"/>
  <c r="AJ741" i="13"/>
  <c r="AD741" i="13"/>
  <c r="AC741" i="13"/>
  <c r="AP742" i="13"/>
  <c r="AI741" i="13"/>
  <c r="AH741" i="13"/>
  <c r="AG741" i="13"/>
  <c r="AF741" i="13"/>
  <c r="AE741" i="13"/>
  <c r="AB741" i="13"/>
  <c r="AA741" i="13"/>
  <c r="Z741" i="13"/>
  <c r="Y741" i="13"/>
  <c r="X741" i="13"/>
  <c r="AP739" i="13"/>
  <c r="AP737" i="13"/>
  <c r="AJ736" i="13"/>
  <c r="AJ735" i="13" s="1"/>
  <c r="AI736" i="13"/>
  <c r="AI735" i="13" s="1"/>
  <c r="AH736" i="13"/>
  <c r="AH735" i="13" s="1"/>
  <c r="AG736" i="13"/>
  <c r="AG735" i="13" s="1"/>
  <c r="AF736" i="13"/>
  <c r="AF735" i="13" s="1"/>
  <c r="AE736" i="13"/>
  <c r="AE735" i="13" s="1"/>
  <c r="AD736" i="13"/>
  <c r="AD735" i="13" s="1"/>
  <c r="AC736" i="13"/>
  <c r="AC735" i="13" s="1"/>
  <c r="AB736" i="13"/>
  <c r="AB735" i="13" s="1"/>
  <c r="AA736" i="13"/>
  <c r="AA735" i="13" s="1"/>
  <c r="Z736" i="13"/>
  <c r="Z735" i="13" s="1"/>
  <c r="Y736" i="13"/>
  <c r="Y735" i="13" s="1"/>
  <c r="X736" i="13"/>
  <c r="X735" i="13" s="1"/>
  <c r="AP734" i="13"/>
  <c r="AP732" i="13"/>
  <c r="AJ731" i="13"/>
  <c r="AJ730" i="13" s="1"/>
  <c r="AI731" i="13"/>
  <c r="AI730" i="13" s="1"/>
  <c r="AH731" i="13"/>
  <c r="AH730" i="13" s="1"/>
  <c r="AG731" i="13"/>
  <c r="AG730" i="13" s="1"/>
  <c r="AF731" i="13"/>
  <c r="AF730" i="13" s="1"/>
  <c r="AE731" i="13"/>
  <c r="AE730" i="13" s="1"/>
  <c r="AD731" i="13"/>
  <c r="AD730" i="13" s="1"/>
  <c r="AC731" i="13"/>
  <c r="AC730" i="13" s="1"/>
  <c r="AB731" i="13"/>
  <c r="AB730" i="13" s="1"/>
  <c r="AA731" i="13"/>
  <c r="Z731" i="13"/>
  <c r="Z730" i="13" s="1"/>
  <c r="Y731" i="13"/>
  <c r="Y730" i="13" s="1"/>
  <c r="X731" i="13"/>
  <c r="X730" i="13" s="1"/>
  <c r="AP729" i="13"/>
  <c r="AP718" i="13"/>
  <c r="X717" i="13"/>
  <c r="AP716" i="13"/>
  <c r="AP713" i="13"/>
  <c r="AJ712" i="13"/>
  <c r="AD712" i="13"/>
  <c r="AI712" i="13"/>
  <c r="AH712" i="13"/>
  <c r="AG712" i="13"/>
  <c r="AF712" i="13"/>
  <c r="AE712" i="13"/>
  <c r="AC712" i="13"/>
  <c r="AB712" i="13"/>
  <c r="AA712" i="13"/>
  <c r="Z712" i="13"/>
  <c r="Y712" i="13"/>
  <c r="X712" i="13"/>
  <c r="AP711" i="13"/>
  <c r="AP707" i="13"/>
  <c r="AJ706" i="13"/>
  <c r="AD706" i="13"/>
  <c r="AI706" i="13"/>
  <c r="AH706" i="13"/>
  <c r="AG706" i="13"/>
  <c r="AF706" i="13"/>
  <c r="AE706" i="13"/>
  <c r="AC706" i="13"/>
  <c r="AB706" i="13"/>
  <c r="AA706" i="13"/>
  <c r="Z706" i="13"/>
  <c r="Y706" i="13"/>
  <c r="X706" i="13"/>
  <c r="AP704" i="13"/>
  <c r="AP700" i="13"/>
  <c r="AJ699" i="13"/>
  <c r="AD699" i="13"/>
  <c r="AI699" i="13"/>
  <c r="AH699" i="13"/>
  <c r="AG699" i="13"/>
  <c r="AF699" i="13"/>
  <c r="AE699" i="13"/>
  <c r="AC699" i="13"/>
  <c r="AB699" i="13"/>
  <c r="AA699" i="13"/>
  <c r="Z699" i="13"/>
  <c r="Y699" i="13"/>
  <c r="X699" i="13"/>
  <c r="AP698" i="13"/>
  <c r="AP692" i="13"/>
  <c r="AP689" i="13"/>
  <c r="AJ688" i="13"/>
  <c r="AI688" i="13"/>
  <c r="AH688" i="13"/>
  <c r="AG688" i="13"/>
  <c r="AF688" i="13"/>
  <c r="AE688" i="13"/>
  <c r="AD688" i="13"/>
  <c r="AC688" i="13"/>
  <c r="AB688" i="13"/>
  <c r="AA688" i="13"/>
  <c r="Z688" i="13"/>
  <c r="Y688" i="13"/>
  <c r="X688" i="13"/>
  <c r="AP687" i="13"/>
  <c r="AP686" i="13"/>
  <c r="AJ685" i="13"/>
  <c r="AI685" i="13"/>
  <c r="AH685" i="13"/>
  <c r="AG685" i="13"/>
  <c r="AF685" i="13"/>
  <c r="AE685" i="13"/>
  <c r="AD685" i="13"/>
  <c r="AC685" i="13"/>
  <c r="AB685" i="13"/>
  <c r="AA685" i="13"/>
  <c r="Z685" i="13"/>
  <c r="Y685" i="13"/>
  <c r="X685" i="13"/>
  <c r="AP684" i="13"/>
  <c r="AP681" i="13"/>
  <c r="AJ680" i="13"/>
  <c r="AI680" i="13"/>
  <c r="AH680" i="13"/>
  <c r="AG680" i="13"/>
  <c r="AF680" i="13"/>
  <c r="AE680" i="13"/>
  <c r="AD680" i="13"/>
  <c r="AC680" i="13"/>
  <c r="AB680" i="13"/>
  <c r="AA680" i="13"/>
  <c r="Z680" i="13"/>
  <c r="Y680" i="13"/>
  <c r="X680" i="13"/>
  <c r="AP678" i="13"/>
  <c r="AP675" i="13"/>
  <c r="AJ674" i="13"/>
  <c r="AI674" i="13"/>
  <c r="AH674" i="13"/>
  <c r="AG674" i="13"/>
  <c r="AF674" i="13"/>
  <c r="AE674" i="13"/>
  <c r="AD674" i="13"/>
  <c r="AC674" i="13"/>
  <c r="AB674" i="13"/>
  <c r="AA674" i="13"/>
  <c r="Z674" i="13"/>
  <c r="Y674" i="13"/>
  <c r="X674" i="13"/>
  <c r="AP673" i="13"/>
  <c r="AP670" i="13"/>
  <c r="AJ669" i="13"/>
  <c r="AI669" i="13"/>
  <c r="AH669" i="13"/>
  <c r="AG669" i="13"/>
  <c r="AF669" i="13"/>
  <c r="AE669" i="13"/>
  <c r="AD669" i="13"/>
  <c r="AC669" i="13"/>
  <c r="AB669" i="13"/>
  <c r="AA669" i="13"/>
  <c r="Z669" i="13"/>
  <c r="Y669" i="13"/>
  <c r="X669" i="13"/>
  <c r="AP668" i="13"/>
  <c r="AP665" i="13"/>
  <c r="AJ664" i="13"/>
  <c r="AI664" i="13"/>
  <c r="AH664" i="13"/>
  <c r="AG664" i="13"/>
  <c r="AF664" i="13"/>
  <c r="AE664" i="13"/>
  <c r="AD664" i="13"/>
  <c r="AC664" i="13"/>
  <c r="AB664" i="13"/>
  <c r="AA664" i="13"/>
  <c r="Z664" i="13"/>
  <c r="Y664" i="13"/>
  <c r="X664" i="13"/>
  <c r="AP662" i="13"/>
  <c r="AO662" i="13"/>
  <c r="AJ660" i="13"/>
  <c r="AI660" i="13"/>
  <c r="AH660" i="13"/>
  <c r="AG660" i="13"/>
  <c r="AF660" i="13"/>
  <c r="AE660" i="13"/>
  <c r="AD660" i="13"/>
  <c r="AC660" i="13"/>
  <c r="AB660" i="13"/>
  <c r="AA660" i="13"/>
  <c r="Z660" i="13"/>
  <c r="Y660" i="13"/>
  <c r="X660" i="13"/>
  <c r="AP656" i="13"/>
  <c r="AO656" i="13"/>
  <c r="AP655" i="13"/>
  <c r="AO655" i="13"/>
  <c r="AJ654" i="13"/>
  <c r="AI654" i="13"/>
  <c r="AH654" i="13"/>
  <c r="AG654" i="13"/>
  <c r="AF654" i="13"/>
  <c r="AE654" i="13"/>
  <c r="AC654" i="13"/>
  <c r="AB654" i="13"/>
  <c r="AA654" i="13"/>
  <c r="Z654" i="13"/>
  <c r="Y654" i="13"/>
  <c r="X654" i="13"/>
  <c r="AP649" i="13"/>
  <c r="AO649" i="13"/>
  <c r="AJ648" i="13"/>
  <c r="AI648" i="13"/>
  <c r="AD648" i="13"/>
  <c r="AC648" i="13"/>
  <c r="AH648" i="13"/>
  <c r="AG648" i="13"/>
  <c r="AF648" i="13"/>
  <c r="AE648" i="13"/>
  <c r="AB648" i="13"/>
  <c r="AA648" i="13"/>
  <c r="Z648" i="13"/>
  <c r="Y648" i="13"/>
  <c r="X648" i="13"/>
  <c r="AP622" i="13"/>
  <c r="AO622" i="13"/>
  <c r="AP621" i="13"/>
  <c r="AO621" i="13"/>
  <c r="AP618" i="13"/>
  <c r="AO618" i="13"/>
  <c r="AJ616" i="13"/>
  <c r="AI616" i="13"/>
  <c r="AH616" i="13"/>
  <c r="AG616" i="13"/>
  <c r="AF616" i="13"/>
  <c r="AE616" i="13"/>
  <c r="AD616" i="13"/>
  <c r="AC616" i="13"/>
  <c r="AB616" i="13"/>
  <c r="AA616" i="13"/>
  <c r="Z616" i="13"/>
  <c r="Y616" i="13"/>
  <c r="X616" i="13"/>
  <c r="AP615" i="13"/>
  <c r="AO615" i="13"/>
  <c r="AP614" i="13"/>
  <c r="AO614" i="13"/>
  <c r="AJ613" i="13"/>
  <c r="AI613" i="13"/>
  <c r="AH613" i="13"/>
  <c r="AG613" i="13"/>
  <c r="AF613" i="13"/>
  <c r="AE613" i="13"/>
  <c r="AD613" i="13"/>
  <c r="AC613" i="13"/>
  <c r="AB613" i="13"/>
  <c r="AA613" i="13"/>
  <c r="Z613" i="13"/>
  <c r="Y613" i="13"/>
  <c r="X613" i="13"/>
  <c r="AP611" i="13"/>
  <c r="AO611" i="13"/>
  <c r="AP609" i="13"/>
  <c r="AO609" i="13"/>
  <c r="AP607" i="13"/>
  <c r="AO607" i="13"/>
  <c r="AP590" i="13"/>
  <c r="AO590" i="13"/>
  <c r="AP581" i="13"/>
  <c r="AO581" i="13"/>
  <c r="AP579" i="13"/>
  <c r="AO579" i="13"/>
  <c r="AP554" i="13"/>
  <c r="AO554" i="13"/>
  <c r="AP553" i="13"/>
  <c r="AO553" i="13"/>
  <c r="AP539" i="13"/>
  <c r="AO539" i="13"/>
  <c r="AP503" i="13"/>
  <c r="AO503" i="13"/>
  <c r="AP500" i="13"/>
  <c r="AO500" i="13"/>
  <c r="AJ499" i="13"/>
  <c r="AI499" i="13"/>
  <c r="AH499" i="13"/>
  <c r="AG499" i="13"/>
  <c r="AF499" i="13"/>
  <c r="AE499" i="13"/>
  <c r="AD499" i="13"/>
  <c r="AC499" i="13"/>
  <c r="AB499" i="13"/>
  <c r="AA499" i="13"/>
  <c r="Z499" i="13"/>
  <c r="Y499" i="13"/>
  <c r="X499" i="13"/>
  <c r="AP498" i="13"/>
  <c r="AO498" i="13"/>
  <c r="AP494" i="13"/>
  <c r="AO494" i="13"/>
  <c r="AP491" i="13"/>
  <c r="AO491" i="13"/>
  <c r="AP490" i="13"/>
  <c r="AO490" i="13"/>
  <c r="AJ489" i="13"/>
  <c r="AI489" i="13"/>
  <c r="AH489" i="13"/>
  <c r="AG489" i="13"/>
  <c r="AF489" i="13"/>
  <c r="AE489" i="13"/>
  <c r="AC489" i="13"/>
  <c r="AB489" i="13"/>
  <c r="AA489" i="13"/>
  <c r="Z489" i="13"/>
  <c r="Y489" i="13"/>
  <c r="X489" i="13"/>
  <c r="AP488" i="13"/>
  <c r="AO488" i="13"/>
  <c r="AP482" i="13"/>
  <c r="AO482" i="13"/>
  <c r="AP481" i="13"/>
  <c r="AO481" i="13"/>
  <c r="AP480" i="13"/>
  <c r="AO480" i="13"/>
  <c r="AP479" i="13"/>
  <c r="AO479" i="13"/>
  <c r="AP478" i="13"/>
  <c r="AO478" i="13"/>
  <c r="AP477" i="13"/>
  <c r="AO477" i="13"/>
  <c r="AJ476" i="13"/>
  <c r="AI476" i="13"/>
  <c r="AH476" i="13"/>
  <c r="AG476" i="13"/>
  <c r="AF476" i="13"/>
  <c r="AE476" i="13"/>
  <c r="AC476" i="13"/>
  <c r="AB476" i="13"/>
  <c r="AA476" i="13"/>
  <c r="Z476" i="13"/>
  <c r="Y476" i="13"/>
  <c r="X476" i="13"/>
  <c r="AP475" i="13"/>
  <c r="AO475" i="13"/>
  <c r="AP474" i="13"/>
  <c r="AO474" i="13"/>
  <c r="AJ473" i="13"/>
  <c r="AI473" i="13"/>
  <c r="AH473" i="13"/>
  <c r="AG473" i="13"/>
  <c r="AF473" i="13"/>
  <c r="AE473" i="13"/>
  <c r="AD473" i="13"/>
  <c r="AC473" i="13"/>
  <c r="AB473" i="13"/>
  <c r="AA473" i="13"/>
  <c r="Z473" i="13"/>
  <c r="Y473" i="13"/>
  <c r="X473" i="13"/>
  <c r="AP471" i="13"/>
  <c r="AO471" i="13"/>
  <c r="AP459" i="13"/>
  <c r="AO459" i="13"/>
  <c r="AC456" i="13"/>
  <c r="AP458" i="13"/>
  <c r="AO458" i="13"/>
  <c r="AP457" i="13"/>
  <c r="AO457" i="13"/>
  <c r="AJ456" i="13"/>
  <c r="AI456" i="13"/>
  <c r="AH456" i="13"/>
  <c r="AG456" i="13"/>
  <c r="AF456" i="13"/>
  <c r="AE456" i="13"/>
  <c r="AB456" i="13"/>
  <c r="AA456" i="13"/>
  <c r="Z456" i="13"/>
  <c r="Y456" i="13"/>
  <c r="X456" i="13"/>
  <c r="AP455" i="13"/>
  <c r="AO455" i="13"/>
  <c r="AJ451" i="13"/>
  <c r="AI451" i="13"/>
  <c r="AH451" i="13"/>
  <c r="AG451" i="13"/>
  <c r="AF451" i="13"/>
  <c r="AE451" i="13"/>
  <c r="AD451" i="13"/>
  <c r="AC451" i="13"/>
  <c r="AB451" i="13"/>
  <c r="AA451" i="13"/>
  <c r="Z451" i="13"/>
  <c r="Y451" i="13"/>
  <c r="X451" i="13"/>
  <c r="AP450" i="13"/>
  <c r="AO450" i="13"/>
  <c r="AP411" i="13"/>
  <c r="AO411" i="13"/>
  <c r="AP410" i="13"/>
  <c r="AO410" i="13"/>
  <c r="AP409" i="13"/>
  <c r="AO409" i="13"/>
  <c r="AP408" i="13"/>
  <c r="AO408" i="13"/>
  <c r="AP407" i="13"/>
  <c r="AO407" i="13"/>
  <c r="AP406" i="13"/>
  <c r="AO406" i="13"/>
  <c r="AP405" i="13"/>
  <c r="AO405" i="13"/>
  <c r="AP404" i="13"/>
  <c r="AO404" i="13"/>
  <c r="AP403" i="13"/>
  <c r="AO403" i="13"/>
  <c r="AP401" i="13"/>
  <c r="AO401" i="13"/>
  <c r="AP371" i="13"/>
  <c r="AO371" i="13"/>
  <c r="AP370" i="13"/>
  <c r="AO370" i="13"/>
  <c r="AP369" i="13"/>
  <c r="AO369" i="13"/>
  <c r="AP368" i="13"/>
  <c r="AO368" i="13"/>
  <c r="AP367" i="13"/>
  <c r="AO367" i="13"/>
  <c r="AP366" i="13"/>
  <c r="AO366" i="13"/>
  <c r="AP365" i="13"/>
  <c r="AO365" i="13"/>
  <c r="AP364" i="13"/>
  <c r="AO364" i="13"/>
  <c r="AP363" i="13"/>
  <c r="AO363" i="13"/>
  <c r="AP362" i="13"/>
  <c r="AO362" i="13"/>
  <c r="AP361" i="13"/>
  <c r="AO361" i="13"/>
  <c r="AP360" i="13"/>
  <c r="AO360" i="13"/>
  <c r="AP359" i="13"/>
  <c r="AO359" i="13"/>
  <c r="AP358" i="13"/>
  <c r="AO358" i="13"/>
  <c r="AP357" i="13"/>
  <c r="AO357" i="13"/>
  <c r="AJ356" i="13"/>
  <c r="AI356" i="13"/>
  <c r="AH356" i="13"/>
  <c r="AG356" i="13"/>
  <c r="AF356" i="13"/>
  <c r="AE356" i="13"/>
  <c r="AC356" i="13"/>
  <c r="AB356" i="13"/>
  <c r="AA356" i="13"/>
  <c r="Z356" i="13"/>
  <c r="Y356" i="13"/>
  <c r="X356" i="13"/>
  <c r="AP312" i="13"/>
  <c r="AO312" i="13"/>
  <c r="AP311" i="13"/>
  <c r="AO311" i="13"/>
  <c r="AP310" i="13"/>
  <c r="AO310" i="13"/>
  <c r="AP309" i="13"/>
  <c r="AO309" i="13"/>
  <c r="AP308" i="13"/>
  <c r="AO308" i="13"/>
  <c r="AP307" i="13"/>
  <c r="AO307" i="13"/>
  <c r="AP306" i="13"/>
  <c r="AO306" i="13"/>
  <c r="AP305" i="13"/>
  <c r="AO305" i="13"/>
  <c r="AP304" i="13"/>
  <c r="AO304" i="13"/>
  <c r="AP303" i="13"/>
  <c r="AO303" i="13"/>
  <c r="AP302" i="13"/>
  <c r="AO302" i="13"/>
  <c r="AP301" i="13"/>
  <c r="AO301" i="13"/>
  <c r="AJ300" i="13"/>
  <c r="AI300" i="13"/>
  <c r="AH300" i="13"/>
  <c r="AG300" i="13"/>
  <c r="AF300" i="13"/>
  <c r="AE300" i="13"/>
  <c r="AC300" i="13"/>
  <c r="AB300" i="13"/>
  <c r="AA300" i="13"/>
  <c r="Z300" i="13"/>
  <c r="Y300" i="13"/>
  <c r="X300" i="13"/>
  <c r="AP299" i="13"/>
  <c r="AO299" i="13"/>
  <c r="AP252" i="13"/>
  <c r="AO252" i="13"/>
  <c r="AP251" i="13"/>
  <c r="AO251" i="13"/>
  <c r="AP250" i="13"/>
  <c r="AO250" i="13"/>
  <c r="AP249" i="13"/>
  <c r="AO249" i="13"/>
  <c r="AP248" i="13"/>
  <c r="AO248" i="13"/>
  <c r="AP247" i="13"/>
  <c r="AO247" i="13"/>
  <c r="AP246" i="13"/>
  <c r="AO246" i="13"/>
  <c r="AP245" i="13"/>
  <c r="AO245" i="13"/>
  <c r="AP244" i="13"/>
  <c r="AO244" i="13"/>
  <c r="AP243" i="13"/>
  <c r="AO243" i="13"/>
  <c r="AP242" i="13"/>
  <c r="AO242" i="13"/>
  <c r="AP241" i="13"/>
  <c r="AO241" i="13"/>
  <c r="AP240" i="13"/>
  <c r="AO240" i="13"/>
  <c r="AP239" i="13"/>
  <c r="AO239" i="13"/>
  <c r="AP238" i="13"/>
  <c r="AO238" i="13"/>
  <c r="AP237" i="13"/>
  <c r="AO237" i="13"/>
  <c r="AP236" i="13"/>
  <c r="AO236" i="13"/>
  <c r="AP235" i="13"/>
  <c r="AO235" i="13"/>
  <c r="AP234" i="13"/>
  <c r="AO234" i="13"/>
  <c r="AP233" i="13"/>
  <c r="AO233" i="13"/>
  <c r="AP232" i="13"/>
  <c r="AO232" i="13"/>
  <c r="AP231" i="13"/>
  <c r="AO231" i="13"/>
  <c r="AP230" i="13"/>
  <c r="AO230" i="13"/>
  <c r="AP229" i="13"/>
  <c r="AO229" i="13"/>
  <c r="AP228" i="13"/>
  <c r="AO228" i="13"/>
  <c r="AP227" i="13"/>
  <c r="AO227" i="13"/>
  <c r="AP226" i="13"/>
  <c r="AO226" i="13"/>
  <c r="AP225" i="13"/>
  <c r="AO225" i="13"/>
  <c r="AP224" i="13"/>
  <c r="AO224" i="13"/>
  <c r="AP223" i="13"/>
  <c r="AO223" i="13"/>
  <c r="AP222" i="13"/>
  <c r="AO222" i="13"/>
  <c r="AP221" i="13"/>
  <c r="AO221" i="13"/>
  <c r="AP220" i="13"/>
  <c r="AO220" i="13"/>
  <c r="AP219" i="13"/>
  <c r="AO219" i="13"/>
  <c r="AP218" i="13"/>
  <c r="AO218" i="13"/>
  <c r="AP217" i="13"/>
  <c r="AO217" i="13"/>
  <c r="AP216" i="13"/>
  <c r="AO216" i="13"/>
  <c r="AP215" i="13"/>
  <c r="AO215" i="13"/>
  <c r="AJ214" i="13"/>
  <c r="AI214" i="13"/>
  <c r="AH214" i="13"/>
  <c r="AG214" i="13"/>
  <c r="AF214" i="13"/>
  <c r="AE214" i="13"/>
  <c r="AC214" i="13"/>
  <c r="AB214" i="13"/>
  <c r="AA214" i="13"/>
  <c r="Z214" i="13"/>
  <c r="Y214" i="13"/>
  <c r="X214" i="13"/>
  <c r="AP213" i="13"/>
  <c r="AO213" i="13"/>
  <c r="AP179" i="13"/>
  <c r="AO179" i="13"/>
  <c r="AP178" i="13"/>
  <c r="AO178" i="13"/>
  <c r="AP177" i="13"/>
  <c r="AO177" i="13"/>
  <c r="AP176" i="13"/>
  <c r="AO176" i="13"/>
  <c r="AP175" i="13"/>
  <c r="AO175" i="13"/>
  <c r="AP174" i="13"/>
  <c r="AO174" i="13"/>
  <c r="AP173" i="13"/>
  <c r="AO173" i="13"/>
  <c r="AP172" i="13"/>
  <c r="AO172" i="13"/>
  <c r="AP171" i="13"/>
  <c r="AO171" i="13"/>
  <c r="AP170" i="13"/>
  <c r="AO170" i="13"/>
  <c r="AP169" i="13"/>
  <c r="AO169" i="13"/>
  <c r="AP168" i="13"/>
  <c r="AO168" i="13"/>
  <c r="AP167" i="13"/>
  <c r="AO167" i="13"/>
  <c r="AJ166" i="13"/>
  <c r="AI166" i="13"/>
  <c r="AH166" i="13"/>
  <c r="AG166" i="13"/>
  <c r="AF166" i="13"/>
  <c r="AE166" i="13"/>
  <c r="AC166" i="13"/>
  <c r="AB166" i="13"/>
  <c r="AA166" i="13"/>
  <c r="Z166" i="13"/>
  <c r="Y166" i="13"/>
  <c r="X166" i="13"/>
  <c r="AP165" i="13"/>
  <c r="AO165" i="13"/>
  <c r="AP46" i="13"/>
  <c r="AO46" i="13"/>
  <c r="AP45" i="13"/>
  <c r="AO45" i="13"/>
  <c r="AP44" i="13"/>
  <c r="AO44" i="13"/>
  <c r="AP43" i="13"/>
  <c r="AO43" i="13"/>
  <c r="AP42" i="13"/>
  <c r="AO42" i="13"/>
  <c r="AP41" i="13"/>
  <c r="AO41" i="13"/>
  <c r="AP40" i="13"/>
  <c r="AO40" i="13"/>
  <c r="AP39" i="13"/>
  <c r="AO39" i="13"/>
  <c r="AP38" i="13"/>
  <c r="AO38" i="13"/>
  <c r="AP37" i="13"/>
  <c r="AO37" i="13"/>
  <c r="AP36" i="13"/>
  <c r="AO36" i="13"/>
  <c r="AP35" i="13"/>
  <c r="AO35" i="13"/>
  <c r="AP34" i="13"/>
  <c r="AO34" i="13"/>
  <c r="AP33" i="13"/>
  <c r="AO33" i="13"/>
  <c r="AP32" i="13"/>
  <c r="AO32" i="13"/>
  <c r="AP31" i="13"/>
  <c r="AO31" i="13"/>
  <c r="AP30" i="13"/>
  <c r="AO30" i="13"/>
  <c r="AP29" i="13"/>
  <c r="AO29" i="13"/>
  <c r="AP28" i="13"/>
  <c r="AO28" i="13"/>
  <c r="AP27" i="13"/>
  <c r="AO27" i="13"/>
  <c r="AP26" i="13"/>
  <c r="AO26" i="13"/>
  <c r="AP25" i="13"/>
  <c r="AO25" i="13"/>
  <c r="AP24" i="13"/>
  <c r="AO24" i="13"/>
  <c r="AP23" i="13"/>
  <c r="AO23" i="13"/>
  <c r="AP22" i="13"/>
  <c r="AO22" i="13"/>
  <c r="AJ21" i="13"/>
  <c r="AI21" i="13"/>
  <c r="AH21" i="13"/>
  <c r="AG21" i="13"/>
  <c r="AF21" i="13"/>
  <c r="AE21" i="13"/>
  <c r="AC21" i="13"/>
  <c r="AA21" i="13"/>
  <c r="Z21" i="13"/>
  <c r="Y21" i="13"/>
  <c r="X21" i="13"/>
  <c r="AP20" i="13"/>
  <c r="AO20" i="13"/>
  <c r="AP12" i="13"/>
  <c r="AO12" i="13"/>
  <c r="AP11" i="13"/>
  <c r="AO11" i="13"/>
  <c r="AJ10" i="13"/>
  <c r="AI10" i="13"/>
  <c r="AH10" i="13"/>
  <c r="AG10" i="13"/>
  <c r="AF10" i="13"/>
  <c r="AE10" i="13"/>
  <c r="AD10" i="13"/>
  <c r="AC10" i="13"/>
  <c r="AB10" i="13"/>
  <c r="AA10" i="13"/>
  <c r="Z10" i="13"/>
  <c r="Y10" i="13"/>
  <c r="X10" i="13"/>
  <c r="X355" i="13" l="1"/>
  <c r="Z355" i="13"/>
  <c r="AB355" i="13"/>
  <c r="AE355" i="13"/>
  <c r="AG355" i="13"/>
  <c r="AI355" i="13"/>
  <c r="Y355" i="13"/>
  <c r="AA355" i="13"/>
  <c r="AC355" i="13"/>
  <c r="AF355" i="13"/>
  <c r="AH355" i="13"/>
  <c r="AJ355" i="13"/>
  <c r="X619" i="13"/>
  <c r="Z619" i="13"/>
  <c r="AB619" i="13"/>
  <c r="AF619" i="13"/>
  <c r="AH619" i="13"/>
  <c r="AJ619" i="13"/>
  <c r="Y619" i="13"/>
  <c r="AA619" i="13"/>
  <c r="AE619" i="13"/>
  <c r="AG619" i="13"/>
  <c r="AC619" i="13"/>
  <c r="AI619" i="13"/>
  <c r="AO644" i="13"/>
  <c r="AP644" i="13"/>
  <c r="AI663" i="13"/>
  <c r="AJ705" i="13"/>
  <c r="AD705" i="13"/>
  <c r="X705" i="13"/>
  <c r="Z705" i="13"/>
  <c r="AB705" i="13"/>
  <c r="AE705" i="13"/>
  <c r="AG705" i="13"/>
  <c r="AI705" i="13"/>
  <c r="Y705" i="13"/>
  <c r="AA705" i="13"/>
  <c r="AC705" i="13"/>
  <c r="AF705" i="13"/>
  <c r="AH705" i="13"/>
  <c r="AE663" i="13"/>
  <c r="AA663" i="13"/>
  <c r="AD740" i="13"/>
  <c r="AC740" i="13"/>
  <c r="AD654" i="13"/>
  <c r="AD619" i="13" s="1"/>
  <c r="AE472" i="13"/>
  <c r="AG472" i="13"/>
  <c r="AI472" i="13"/>
  <c r="Y740" i="13"/>
  <c r="Z612" i="13"/>
  <c r="X9" i="13"/>
  <c r="AE495" i="13"/>
  <c r="AC679" i="13"/>
  <c r="AD300" i="13"/>
  <c r="AH612" i="13"/>
  <c r="AO654" i="13"/>
  <c r="Y767" i="13"/>
  <c r="AG767" i="13"/>
  <c r="AP706" i="13"/>
  <c r="AD612" i="13"/>
  <c r="AP741" i="13"/>
  <c r="AH9" i="13"/>
  <c r="X472" i="13"/>
  <c r="Z472" i="13"/>
  <c r="AB472" i="13"/>
  <c r="AA472" i="13"/>
  <c r="AO489" i="13"/>
  <c r="AD489" i="13"/>
  <c r="X495" i="13"/>
  <c r="Z495" i="13"/>
  <c r="AB495" i="13"/>
  <c r="AD495" i="13"/>
  <c r="AF495" i="13"/>
  <c r="AH495" i="13"/>
  <c r="AJ495" i="13"/>
  <c r="AA495" i="13"/>
  <c r="AI495" i="13"/>
  <c r="AO591" i="13"/>
  <c r="X612" i="13"/>
  <c r="AB612" i="13"/>
  <c r="AF612" i="13"/>
  <c r="AJ612" i="13"/>
  <c r="AO616" i="13"/>
  <c r="AA740" i="13"/>
  <c r="AE740" i="13"/>
  <c r="AG740" i="13"/>
  <c r="AI740" i="13"/>
  <c r="AF740" i="13"/>
  <c r="AH740" i="13"/>
  <c r="AJ740" i="13"/>
  <c r="AB9" i="13"/>
  <c r="AD456" i="13"/>
  <c r="Z9" i="13"/>
  <c r="AF9" i="13"/>
  <c r="AJ9" i="13"/>
  <c r="AD21" i="13"/>
  <c r="AD214" i="13"/>
  <c r="Y472" i="13"/>
  <c r="AO473" i="13"/>
  <c r="AC472" i="13"/>
  <c r="Y495" i="13"/>
  <c r="AO496" i="13"/>
  <c r="AC495" i="13"/>
  <c r="AG495" i="13"/>
  <c r="Y612" i="13"/>
  <c r="AC612" i="13"/>
  <c r="AE612" i="13"/>
  <c r="AG612" i="13"/>
  <c r="AI612" i="13"/>
  <c r="AP648" i="13"/>
  <c r="Y679" i="13"/>
  <c r="AG679" i="13"/>
  <c r="AA767" i="13"/>
  <c r="AC767" i="13"/>
  <c r="AE767" i="13"/>
  <c r="AI767" i="13"/>
  <c r="Y9" i="13"/>
  <c r="AP10" i="13"/>
  <c r="AC9" i="13"/>
  <c r="AE9" i="13"/>
  <c r="AG9" i="13"/>
  <c r="AI9" i="13"/>
  <c r="AO21" i="13"/>
  <c r="AD166" i="13"/>
  <c r="AP214" i="13"/>
  <c r="AO300" i="13"/>
  <c r="AP300" i="13"/>
  <c r="AD356" i="13"/>
  <c r="AD355" i="13" s="1"/>
  <c r="AO451" i="13"/>
  <c r="AP451" i="13"/>
  <c r="AP456" i="13"/>
  <c r="AF472" i="13"/>
  <c r="AH472" i="13"/>
  <c r="AJ472" i="13"/>
  <c r="AD476" i="13"/>
  <c r="AP616" i="13"/>
  <c r="AP664" i="13"/>
  <c r="AP669" i="13"/>
  <c r="Y663" i="13"/>
  <c r="AP674" i="13"/>
  <c r="AC663" i="13"/>
  <c r="AG663" i="13"/>
  <c r="AP685" i="13"/>
  <c r="X679" i="13"/>
  <c r="Z679" i="13"/>
  <c r="AB679" i="13"/>
  <c r="AD679" i="13"/>
  <c r="AF679" i="13"/>
  <c r="AH679" i="13"/>
  <c r="AP699" i="13"/>
  <c r="AP712" i="13"/>
  <c r="AP731" i="13"/>
  <c r="AP735" i="13"/>
  <c r="X740" i="13"/>
  <c r="Z740" i="13"/>
  <c r="AB740" i="13"/>
  <c r="X767" i="13"/>
  <c r="Z767" i="13"/>
  <c r="AB767" i="13"/>
  <c r="AD767" i="13"/>
  <c r="AF767" i="13"/>
  <c r="AH767" i="13"/>
  <c r="AJ767" i="13"/>
  <c r="AP3460" i="13"/>
  <c r="AP21" i="13"/>
  <c r="AP166" i="13"/>
  <c r="AP356" i="13"/>
  <c r="AP473" i="13"/>
  <c r="AP476" i="13"/>
  <c r="AP489" i="13"/>
  <c r="AP496" i="13"/>
  <c r="AP499" i="13"/>
  <c r="AP591" i="13"/>
  <c r="AO660" i="13"/>
  <c r="AP660" i="13"/>
  <c r="X663" i="13"/>
  <c r="Z663" i="13"/>
  <c r="AB663" i="13"/>
  <c r="AD663" i="13"/>
  <c r="AF663" i="13"/>
  <c r="AH663" i="13"/>
  <c r="AJ663" i="13"/>
  <c r="AA679" i="13"/>
  <c r="AE679" i="13"/>
  <c r="AI679" i="13"/>
  <c r="AP688" i="13"/>
  <c r="AP693" i="13"/>
  <c r="AP717" i="13"/>
  <c r="AA730" i="13"/>
  <c r="AP730" i="13" s="1"/>
  <c r="AP736" i="13"/>
  <c r="AP753" i="13"/>
  <c r="AP757" i="13"/>
  <c r="AP759" i="13"/>
  <c r="AP760" i="13"/>
  <c r="AP1623" i="13"/>
  <c r="AP3328" i="13"/>
  <c r="AO10" i="13"/>
  <c r="AO166" i="13"/>
  <c r="AO214" i="13"/>
  <c r="AO356" i="13"/>
  <c r="AO456" i="13"/>
  <c r="AO476" i="13"/>
  <c r="AO499" i="13"/>
  <c r="AP540" i="13"/>
  <c r="AO540" i="13"/>
  <c r="AP608" i="13"/>
  <c r="AO608" i="13"/>
  <c r="AP613" i="13"/>
  <c r="AA612" i="13"/>
  <c r="AO613" i="13"/>
  <c r="AP680" i="13"/>
  <c r="AJ679" i="13"/>
  <c r="AP768" i="13"/>
  <c r="AA9" i="13"/>
  <c r="AO648" i="13"/>
  <c r="AP654" i="13"/>
  <c r="B52" i="17"/>
  <c r="H50" i="17"/>
  <c r="H52" i="17" s="1"/>
  <c r="E50" i="17"/>
  <c r="E52" i="17" s="1"/>
  <c r="B50" i="17"/>
  <c r="AP495" i="13" l="1"/>
  <c r="AO638" i="13"/>
  <c r="AP638" i="13"/>
  <c r="AP740" i="13"/>
  <c r="AD472" i="13"/>
  <c r="AP663" i="13"/>
  <c r="AP767" i="13"/>
  <c r="AP472" i="13"/>
  <c r="AP705" i="13"/>
  <c r="AO495" i="13"/>
  <c r="AO472" i="13"/>
  <c r="AD9" i="13"/>
  <c r="AP679" i="13"/>
  <c r="AP504" i="13"/>
  <c r="AO504" i="13"/>
  <c r="AO9" i="13"/>
  <c r="AP9" i="13"/>
  <c r="AO612" i="13"/>
  <c r="AP612" i="13"/>
  <c r="W488" i="13"/>
  <c r="V488" i="13"/>
  <c r="W482" i="13"/>
  <c r="V482" i="13"/>
  <c r="W481" i="13"/>
  <c r="V481" i="13"/>
  <c r="W480" i="13"/>
  <c r="V480" i="13"/>
  <c r="W479" i="13"/>
  <c r="V479" i="13"/>
  <c r="W478" i="13"/>
  <c r="V478" i="13"/>
  <c r="W477" i="13"/>
  <c r="V477" i="13"/>
  <c r="AO634" i="13" l="1"/>
  <c r="AP634" i="13"/>
  <c r="AP402" i="13"/>
  <c r="AO402" i="13"/>
  <c r="W491" i="13"/>
  <c r="V491" i="13"/>
  <c r="W622" i="13"/>
  <c r="V622" i="13"/>
  <c r="V621" i="13"/>
  <c r="W656" i="13"/>
  <c r="V656" i="13"/>
  <c r="W655" i="13"/>
  <c r="V655" i="13"/>
  <c r="I664" i="13"/>
  <c r="J664" i="13"/>
  <c r="K664" i="13"/>
  <c r="L664" i="13"/>
  <c r="M664" i="13"/>
  <c r="N664" i="13"/>
  <c r="O664" i="13"/>
  <c r="P664" i="13"/>
  <c r="Q664" i="13"/>
  <c r="H664" i="13"/>
  <c r="F664" i="13"/>
  <c r="G664" i="13"/>
  <c r="E664" i="13"/>
  <c r="I736" i="13"/>
  <c r="J736" i="13"/>
  <c r="K736" i="13"/>
  <c r="L736" i="13"/>
  <c r="M736" i="13"/>
  <c r="N736" i="13"/>
  <c r="O736" i="13"/>
  <c r="P736" i="13"/>
  <c r="Q736" i="13"/>
  <c r="H736" i="13"/>
  <c r="F736" i="13"/>
  <c r="G736" i="13"/>
  <c r="E736" i="13"/>
  <c r="W737" i="13"/>
  <c r="V644" i="13" l="1"/>
  <c r="W644" i="13"/>
  <c r="AP629" i="13"/>
  <c r="AO629" i="13"/>
  <c r="AO355" i="13"/>
  <c r="AP355" i="13"/>
  <c r="W638" i="13"/>
  <c r="W1923" i="13"/>
  <c r="W924" i="13"/>
  <c r="V638" i="13" l="1"/>
  <c r="AO624" i="13"/>
  <c r="AP624" i="13"/>
  <c r="V634" i="13"/>
  <c r="W634" i="13"/>
  <c r="W3346" i="13"/>
  <c r="W3344" i="13"/>
  <c r="W3343" i="13"/>
  <c r="W3342" i="13"/>
  <c r="W3341" i="13"/>
  <c r="W3340" i="13"/>
  <c r="W3339" i="13"/>
  <c r="W3337" i="13"/>
  <c r="W3336" i="13"/>
  <c r="W3335" i="13"/>
  <c r="W3334" i="13"/>
  <c r="W3333" i="13"/>
  <c r="W3332" i="13"/>
  <c r="W3331" i="13"/>
  <c r="W3360" i="13"/>
  <c r="W3359" i="13"/>
  <c r="W3358" i="13"/>
  <c r="W3338" i="13"/>
  <c r="W3330" i="13"/>
  <c r="W2119" i="13"/>
  <c r="W2118" i="13"/>
  <c r="W2117" i="13"/>
  <c r="W2116" i="13"/>
  <c r="W2115" i="13"/>
  <c r="W2114" i="13"/>
  <c r="W2113" i="13"/>
  <c r="W2112" i="13"/>
  <c r="W2111" i="13"/>
  <c r="W2110" i="13"/>
  <c r="W2109" i="13"/>
  <c r="W2108" i="13"/>
  <c r="W2107" i="13"/>
  <c r="W2106" i="13"/>
  <c r="W2105" i="13"/>
  <c r="W2104" i="13"/>
  <c r="W2103" i="13"/>
  <c r="W2102" i="13"/>
  <c r="W2101" i="13"/>
  <c r="W2100" i="13"/>
  <c r="W2099" i="13"/>
  <c r="W2098" i="13"/>
  <c r="W2097" i="13"/>
  <c r="W2096" i="13"/>
  <c r="W2095" i="13"/>
  <c r="W2094" i="13"/>
  <c r="W2093" i="13"/>
  <c r="W2092" i="13"/>
  <c r="W2091" i="13"/>
  <c r="W2090" i="13"/>
  <c r="W2089" i="13"/>
  <c r="W2088" i="13"/>
  <c r="W2087" i="13"/>
  <c r="W2086" i="13"/>
  <c r="W2085" i="13"/>
  <c r="W2084" i="13"/>
  <c r="W2083" i="13"/>
  <c r="W2082" i="13"/>
  <c r="W2081" i="13"/>
  <c r="W2080" i="13"/>
  <c r="W2079" i="13"/>
  <c r="W2078" i="13"/>
  <c r="W2077" i="13"/>
  <c r="W2076" i="13"/>
  <c r="W2075" i="13"/>
  <c r="W2074" i="13"/>
  <c r="W2073" i="13"/>
  <c r="W2072" i="13"/>
  <c r="W2071" i="13"/>
  <c r="W2070" i="13"/>
  <c r="W2069" i="13"/>
  <c r="W2068" i="13"/>
  <c r="W2067" i="13"/>
  <c r="W2066" i="13"/>
  <c r="W2065" i="13"/>
  <c r="W2064" i="13"/>
  <c r="W2063" i="13"/>
  <c r="W2062" i="13"/>
  <c r="W2061" i="13"/>
  <c r="W2060" i="13"/>
  <c r="W2059" i="13"/>
  <c r="W2058" i="13"/>
  <c r="W2057" i="13"/>
  <c r="W2056" i="13"/>
  <c r="W2055" i="13"/>
  <c r="W2054" i="13"/>
  <c r="W2053" i="13"/>
  <c r="W2052" i="13"/>
  <c r="W2051" i="13"/>
  <c r="W2050" i="13"/>
  <c r="W2049" i="13"/>
  <c r="W2048" i="13"/>
  <c r="W2047" i="13"/>
  <c r="W2044" i="13"/>
  <c r="W2043" i="13"/>
  <c r="W2042" i="13"/>
  <c r="W2041" i="13"/>
  <c r="W2040" i="13"/>
  <c r="W2039" i="13"/>
  <c r="W2038" i="13"/>
  <c r="W2037" i="13"/>
  <c r="W2036" i="13"/>
  <c r="W2035" i="13"/>
  <c r="W2034" i="13"/>
  <c r="W2033" i="13"/>
  <c r="W2032" i="13"/>
  <c r="W2031" i="13"/>
  <c r="W2030" i="13"/>
  <c r="W2029" i="13"/>
  <c r="W2028" i="13"/>
  <c r="W2027" i="13"/>
  <c r="W2026" i="13"/>
  <c r="W2025" i="13"/>
  <c r="W2024" i="13"/>
  <c r="W2023" i="13"/>
  <c r="W2022" i="13"/>
  <c r="W2021" i="13"/>
  <c r="W2020" i="13"/>
  <c r="W2019" i="13"/>
  <c r="W2018" i="13"/>
  <c r="W2017" i="13"/>
  <c r="W2016" i="13"/>
  <c r="W2015" i="13"/>
  <c r="W2014" i="13"/>
  <c r="W2013" i="13"/>
  <c r="W2012" i="13"/>
  <c r="W2011" i="13"/>
  <c r="W2010" i="13"/>
  <c r="W2046" i="13"/>
  <c r="W2045" i="13"/>
  <c r="W2009" i="13"/>
  <c r="W2008" i="13"/>
  <c r="W2007" i="13"/>
  <c r="W2006" i="13"/>
  <c r="W2005" i="13"/>
  <c r="W2004" i="13"/>
  <c r="W2003" i="13"/>
  <c r="W2002" i="13"/>
  <c r="W2001" i="13"/>
  <c r="W2000" i="13"/>
  <c r="W1999" i="13"/>
  <c r="W1998" i="13"/>
  <c r="W1997" i="13"/>
  <c r="W1996" i="13"/>
  <c r="W1995" i="13"/>
  <c r="W1994" i="13"/>
  <c r="W1993" i="13"/>
  <c r="W1992" i="13"/>
  <c r="W1991" i="13"/>
  <c r="W1990" i="13"/>
  <c r="W1989" i="13"/>
  <c r="W1988" i="13"/>
  <c r="W1987" i="13"/>
  <c r="W1986" i="13"/>
  <c r="W1985" i="13"/>
  <c r="W1981" i="13"/>
  <c r="W3357" i="13"/>
  <c r="W3356" i="13"/>
  <c r="W3355" i="13"/>
  <c r="W1980" i="13"/>
  <c r="W1979" i="13"/>
  <c r="W1978" i="13"/>
  <c r="W1977" i="13"/>
  <c r="W1976" i="13"/>
  <c r="W1975" i="13"/>
  <c r="W1974" i="13"/>
  <c r="W1973" i="13"/>
  <c r="W1972" i="13"/>
  <c r="W1971" i="13"/>
  <c r="W1970" i="13"/>
  <c r="W1969" i="13"/>
  <c r="W1968" i="13"/>
  <c r="W1967" i="13"/>
  <c r="W1966" i="13"/>
  <c r="W3354" i="13"/>
  <c r="W3353" i="13"/>
  <c r="W3352" i="13"/>
  <c r="W3351" i="13"/>
  <c r="W3350" i="13"/>
  <c r="W3349" i="13"/>
  <c r="W3348" i="13"/>
  <c r="W3347" i="13"/>
  <c r="W1965" i="13"/>
  <c r="W1964" i="13"/>
  <c r="W1963" i="13"/>
  <c r="W1962" i="13"/>
  <c r="W1961" i="13"/>
  <c r="W1960" i="13"/>
  <c r="W1959" i="13"/>
  <c r="W1958" i="13"/>
  <c r="W1957" i="13"/>
  <c r="W1956" i="13"/>
  <c r="W1955" i="13"/>
  <c r="W1954" i="13"/>
  <c r="W1953" i="13"/>
  <c r="W1952" i="13"/>
  <c r="W1951" i="13"/>
  <c r="W1950" i="13"/>
  <c r="W1949" i="13"/>
  <c r="W1948" i="13"/>
  <c r="W1947" i="13"/>
  <c r="W1946" i="13"/>
  <c r="W1945" i="13"/>
  <c r="W1944" i="13"/>
  <c r="W1943" i="13"/>
  <c r="W1942" i="13"/>
  <c r="W1941" i="13"/>
  <c r="W1940" i="13"/>
  <c r="W1939" i="13"/>
  <c r="W1938" i="13"/>
  <c r="W1937" i="13"/>
  <c r="W1936" i="13"/>
  <c r="W1935" i="13"/>
  <c r="W1934" i="13"/>
  <c r="W1933" i="13"/>
  <c r="AP620" i="13" l="1"/>
  <c r="AO620" i="13"/>
  <c r="W1983" i="13"/>
  <c r="W1982" i="13"/>
  <c r="W1932" i="13"/>
  <c r="W1931" i="13"/>
  <c r="W1930" i="13"/>
  <c r="W1929" i="13"/>
  <c r="W1928" i="13"/>
  <c r="W1927" i="13"/>
  <c r="W1926" i="13"/>
  <c r="W1925" i="13"/>
  <c r="W1924" i="13"/>
  <c r="W3345" i="13"/>
  <c r="W1922" i="13"/>
  <c r="W1921" i="13"/>
  <c r="W1920" i="13"/>
  <c r="W1919" i="13"/>
  <c r="W1918" i="13"/>
  <c r="W1917" i="13"/>
  <c r="W1916" i="13"/>
  <c r="W1915" i="13"/>
  <c r="W1914" i="13"/>
  <c r="W1913" i="13"/>
  <c r="W1912" i="13"/>
  <c r="W1911" i="13"/>
  <c r="W1910" i="13"/>
  <c r="W1909" i="13"/>
  <c r="W1908" i="13"/>
  <c r="W1907" i="13"/>
  <c r="W1906" i="13"/>
  <c r="W1905" i="13"/>
  <c r="W1904" i="13"/>
  <c r="W1903" i="13"/>
  <c r="W1902" i="13"/>
  <c r="W1901" i="13"/>
  <c r="W1900" i="13"/>
  <c r="W1899" i="13"/>
  <c r="W1898" i="13"/>
  <c r="W1897" i="13"/>
  <c r="W1896" i="13"/>
  <c r="W1895" i="13"/>
  <c r="W1894" i="13"/>
  <c r="W1893" i="13"/>
  <c r="W1892" i="13"/>
  <c r="W1891" i="13"/>
  <c r="W1890" i="13"/>
  <c r="W1889" i="13"/>
  <c r="W1888" i="13"/>
  <c r="W1887" i="13"/>
  <c r="W1886" i="13"/>
  <c r="W1885" i="13"/>
  <c r="W1884" i="13"/>
  <c r="W1883" i="13"/>
  <c r="W1882" i="13"/>
  <c r="W1881" i="13"/>
  <c r="W1880" i="13"/>
  <c r="W1879" i="13"/>
  <c r="W1878" i="13"/>
  <c r="W1877" i="13"/>
  <c r="W1876" i="13"/>
  <c r="W1875" i="13"/>
  <c r="W1874" i="13"/>
  <c r="W1873" i="13"/>
  <c r="W1872" i="13"/>
  <c r="W1984" i="13"/>
  <c r="W1871" i="13"/>
  <c r="W1870" i="13"/>
  <c r="W1869" i="13"/>
  <c r="W1868" i="13"/>
  <c r="W1867" i="13"/>
  <c r="W1866" i="13"/>
  <c r="W1865" i="13"/>
  <c r="W1864" i="13"/>
  <c r="W1863" i="13"/>
  <c r="W1862" i="13"/>
  <c r="W1861" i="13"/>
  <c r="W1860" i="13"/>
  <c r="W1859" i="13"/>
  <c r="W1858" i="13"/>
  <c r="W1857" i="13"/>
  <c r="W1856" i="13"/>
  <c r="W1855" i="13"/>
  <c r="W1854" i="13"/>
  <c r="W1853" i="13"/>
  <c r="W1852" i="13"/>
  <c r="W1851" i="13"/>
  <c r="W1850" i="13"/>
  <c r="W1849" i="13"/>
  <c r="W1848" i="13"/>
  <c r="W1847" i="13"/>
  <c r="W1846" i="13"/>
  <c r="W1845" i="13"/>
  <c r="W1844" i="13"/>
  <c r="W1843" i="13"/>
  <c r="W1842" i="13"/>
  <c r="W1841" i="13"/>
  <c r="W1840" i="13"/>
  <c r="W1839" i="13"/>
  <c r="W1838" i="13"/>
  <c r="W1837" i="13"/>
  <c r="W1836" i="13"/>
  <c r="W1835" i="13"/>
  <c r="W1834" i="13"/>
  <c r="W1833" i="13"/>
  <c r="W1832" i="13"/>
  <c r="W1831" i="13"/>
  <c r="W1830" i="13"/>
  <c r="W1829" i="13"/>
  <c r="W1828" i="13"/>
  <c r="W1827" i="13"/>
  <c r="W1826" i="13"/>
  <c r="W1825" i="13"/>
  <c r="W1824" i="13"/>
  <c r="W1823" i="13"/>
  <c r="W1822" i="13"/>
  <c r="W1821" i="13"/>
  <c r="W1820" i="13"/>
  <c r="W1819" i="13"/>
  <c r="W1818" i="13"/>
  <c r="W1817" i="13"/>
  <c r="W1816" i="13"/>
  <c r="W1815" i="13"/>
  <c r="W1814" i="13"/>
  <c r="W1813" i="13"/>
  <c r="W1812" i="13"/>
  <c r="W1811" i="13"/>
  <c r="W1810" i="13"/>
  <c r="W1809" i="13"/>
  <c r="W1808" i="13"/>
  <c r="W1807" i="13"/>
  <c r="W1806" i="13"/>
  <c r="W1805" i="13"/>
  <c r="W1804" i="13"/>
  <c r="W1803" i="13"/>
  <c r="W1802" i="13"/>
  <c r="W1801" i="13"/>
  <c r="W1800" i="13"/>
  <c r="W1799" i="13"/>
  <c r="W1798" i="13"/>
  <c r="W1797" i="13"/>
  <c r="W1796" i="13"/>
  <c r="W1795" i="13"/>
  <c r="W1794" i="13"/>
  <c r="W1793" i="13"/>
  <c r="W1792" i="13"/>
  <c r="W1791" i="13"/>
  <c r="W1790" i="13"/>
  <c r="W1789" i="13"/>
  <c r="W1788" i="13"/>
  <c r="W1787" i="13"/>
  <c r="W1786" i="13"/>
  <c r="W1785" i="13"/>
  <c r="W1784" i="13"/>
  <c r="W1783" i="13"/>
  <c r="W1782" i="13"/>
  <c r="W1781" i="13"/>
  <c r="W1780" i="13"/>
  <c r="W1779" i="13"/>
  <c r="W1778" i="13"/>
  <c r="W1777" i="13"/>
  <c r="W1776" i="13"/>
  <c r="W1775" i="13"/>
  <c r="W1774" i="13"/>
  <c r="W1773" i="13"/>
  <c r="AP619" i="13" l="1"/>
  <c r="AO619" i="13"/>
  <c r="W1771" i="13"/>
  <c r="W1770" i="13"/>
  <c r="W1769" i="13"/>
  <c r="W1768" i="13"/>
  <c r="W1767" i="13"/>
  <c r="W1766" i="13"/>
  <c r="W1765" i="13"/>
  <c r="W1764" i="13"/>
  <c r="W1763" i="13"/>
  <c r="W1762" i="13"/>
  <c r="W1761" i="13"/>
  <c r="W1760" i="13"/>
  <c r="W1759" i="13"/>
  <c r="W1758" i="13"/>
  <c r="W1757" i="13"/>
  <c r="W1756" i="13"/>
  <c r="W1755" i="13"/>
  <c r="W1754" i="13"/>
  <c r="W1753" i="13"/>
  <c r="W1752" i="13"/>
  <c r="W1751" i="13"/>
  <c r="W1772" i="13"/>
  <c r="W1750" i="13"/>
  <c r="W1749" i="13"/>
  <c r="W1748" i="13"/>
  <c r="W1747" i="13"/>
  <c r="W1746" i="13"/>
  <c r="W1745" i="13"/>
  <c r="W1744" i="13"/>
  <c r="W1743" i="13"/>
  <c r="W1742" i="13"/>
  <c r="W1741" i="13"/>
  <c r="W1740" i="13"/>
  <c r="W1739" i="13"/>
  <c r="W1738" i="13"/>
  <c r="W1737" i="13"/>
  <c r="W1736" i="13"/>
  <c r="W1735" i="13"/>
  <c r="W1734" i="13"/>
  <c r="W1733" i="13"/>
  <c r="W1732" i="13"/>
  <c r="W1731" i="13"/>
  <c r="W1730" i="13"/>
  <c r="W1729" i="13"/>
  <c r="W1728" i="13"/>
  <c r="W1727" i="13"/>
  <c r="W1726" i="13"/>
  <c r="W1725" i="13"/>
  <c r="W1724" i="13"/>
  <c r="W1723" i="13"/>
  <c r="W1722" i="13"/>
  <c r="W1721" i="13"/>
  <c r="W1720" i="13"/>
  <c r="W1719" i="13"/>
  <c r="W1718" i="13"/>
  <c r="W1717" i="13"/>
  <c r="W1716" i="13"/>
  <c r="W1715" i="13"/>
  <c r="W1714" i="13"/>
  <c r="W1713" i="13"/>
  <c r="W1712" i="13"/>
  <c r="W1711" i="13"/>
  <c r="W1710" i="13"/>
  <c r="W1709" i="13"/>
  <c r="W1708" i="13"/>
  <c r="W1707" i="13"/>
  <c r="W1706" i="13"/>
  <c r="W1705" i="13"/>
  <c r="W1704" i="13"/>
  <c r="W1703" i="13"/>
  <c r="W1702" i="13"/>
  <c r="W1701" i="13"/>
  <c r="W1700" i="13"/>
  <c r="W1699" i="13"/>
  <c r="W1698" i="13"/>
  <c r="W1697" i="13"/>
  <c r="W1696" i="13"/>
  <c r="W1695" i="13"/>
  <c r="W1694" i="13"/>
  <c r="W1693" i="13"/>
  <c r="W1692" i="13"/>
  <c r="W1691" i="13"/>
  <c r="W1690" i="13"/>
  <c r="W1689" i="13"/>
  <c r="W1688" i="13"/>
  <c r="W1687" i="13"/>
  <c r="W1686" i="13"/>
  <c r="W1685" i="13"/>
  <c r="W1684" i="13"/>
  <c r="W1683" i="13"/>
  <c r="W1682" i="13"/>
  <c r="W1681" i="13"/>
  <c r="W1680" i="13"/>
  <c r="W1679" i="13"/>
  <c r="W1678" i="13"/>
  <c r="W1677" i="13"/>
  <c r="W1676" i="13"/>
  <c r="W1675" i="13"/>
  <c r="W1674" i="13"/>
  <c r="W1673" i="13"/>
  <c r="W1672" i="13"/>
  <c r="W1671" i="13"/>
  <c r="W1670" i="13"/>
  <c r="W1669" i="13"/>
  <c r="W1668" i="13"/>
  <c r="W1667" i="13"/>
  <c r="W1666" i="13"/>
  <c r="W1665" i="13"/>
  <c r="W1664" i="13"/>
  <c r="W1663" i="13"/>
  <c r="W1662" i="13"/>
  <c r="W1661" i="13"/>
  <c r="W1660" i="13"/>
  <c r="W1659" i="13"/>
  <c r="W1658" i="13"/>
  <c r="W1657" i="13"/>
  <c r="W1656" i="13"/>
  <c r="W1655" i="13"/>
  <c r="W1654" i="13"/>
  <c r="W1653" i="13"/>
  <c r="W1652" i="13"/>
  <c r="W1651" i="13"/>
  <c r="W1650" i="13"/>
  <c r="W1649" i="13"/>
  <c r="W1648" i="13"/>
  <c r="W1647" i="13"/>
  <c r="W1646" i="13"/>
  <c r="W1645" i="13"/>
  <c r="W1644" i="13"/>
  <c r="W1643" i="13"/>
  <c r="W1642" i="13"/>
  <c r="W1641" i="13"/>
  <c r="W1640" i="13"/>
  <c r="W1639" i="13"/>
  <c r="W1638" i="13"/>
  <c r="W1637" i="13"/>
  <c r="W1636" i="13"/>
  <c r="W1635" i="13"/>
  <c r="W1634" i="13"/>
  <c r="W1633" i="13"/>
  <c r="W1632" i="13"/>
  <c r="W1631" i="13"/>
  <c r="W1630" i="13"/>
  <c r="W1629" i="13"/>
  <c r="W1628" i="13"/>
  <c r="W1627" i="13"/>
  <c r="W1626" i="13"/>
  <c r="W1625" i="13"/>
  <c r="W961" i="13" l="1"/>
  <c r="W960" i="13"/>
  <c r="W959" i="13"/>
  <c r="W958" i="13"/>
  <c r="W957" i="13"/>
  <c r="W955" i="13"/>
  <c r="W954" i="13"/>
  <c r="W953" i="13"/>
  <c r="W952" i="13"/>
  <c r="W951" i="13"/>
  <c r="W956" i="13"/>
  <c r="W950" i="13"/>
  <c r="W949" i="13"/>
  <c r="W948" i="13"/>
  <c r="W947" i="13"/>
  <c r="W946" i="13"/>
  <c r="W945" i="13"/>
  <c r="W944" i="13"/>
  <c r="W943" i="13"/>
  <c r="W942" i="13"/>
  <c r="W941" i="13"/>
  <c r="W940" i="13"/>
  <c r="W939" i="13"/>
  <c r="W938" i="13"/>
  <c r="W937" i="13"/>
  <c r="W936" i="13"/>
  <c r="W935" i="13"/>
  <c r="W933" i="13"/>
  <c r="W932" i="13"/>
  <c r="W931" i="13"/>
  <c r="W930" i="13"/>
  <c r="W929" i="13"/>
  <c r="W928" i="13"/>
  <c r="W927" i="13"/>
  <c r="W926" i="13"/>
  <c r="W925" i="13"/>
  <c r="W923" i="13"/>
  <c r="W922" i="13"/>
  <c r="W921" i="13"/>
  <c r="W920" i="13"/>
  <c r="W919" i="13"/>
  <c r="W918" i="13"/>
  <c r="W917" i="13"/>
  <c r="W916" i="13"/>
  <c r="W915" i="13"/>
  <c r="W934" i="13"/>
  <c r="W914" i="13"/>
  <c r="W913" i="13"/>
  <c r="W912" i="13"/>
  <c r="W911" i="13"/>
  <c r="W910" i="13"/>
  <c r="W909" i="13"/>
  <c r="W908" i="13"/>
  <c r="W907" i="13"/>
  <c r="W906" i="13"/>
  <c r="W905" i="13"/>
  <c r="W904" i="13"/>
  <c r="W903" i="13"/>
  <c r="W902" i="13"/>
  <c r="W901" i="13"/>
  <c r="W900" i="13"/>
  <c r="W899" i="13"/>
  <c r="W898" i="13"/>
  <c r="W897" i="13"/>
  <c r="W896" i="13"/>
  <c r="W895" i="13"/>
  <c r="W894" i="13"/>
  <c r="W893" i="13"/>
  <c r="W892" i="13"/>
  <c r="W891" i="13"/>
  <c r="W890" i="13"/>
  <c r="W889" i="13"/>
  <c r="W888" i="13"/>
  <c r="W887" i="13"/>
  <c r="W886" i="13"/>
  <c r="W885" i="13"/>
  <c r="W884" i="13"/>
  <c r="W883" i="13"/>
  <c r="W882" i="13"/>
  <c r="W881" i="13"/>
  <c r="W880" i="13"/>
  <c r="W879" i="13"/>
  <c r="W878" i="13"/>
  <c r="W877" i="13"/>
  <c r="W876" i="13"/>
  <c r="W875" i="13"/>
  <c r="W874" i="13"/>
  <c r="W873" i="13"/>
  <c r="W872" i="13"/>
  <c r="W871" i="13"/>
  <c r="W870" i="13"/>
  <c r="W869" i="13"/>
  <c r="W868" i="13"/>
  <c r="W867" i="13"/>
  <c r="W866" i="13"/>
  <c r="W865" i="13"/>
  <c r="W864" i="13"/>
  <c r="W863" i="13"/>
  <c r="W862" i="13"/>
  <c r="W861" i="13"/>
  <c r="W860" i="13"/>
  <c r="W859" i="13"/>
  <c r="W858" i="13"/>
  <c r="W857" i="13"/>
  <c r="W856" i="13"/>
  <c r="W855" i="13"/>
  <c r="W834" i="13"/>
  <c r="W833" i="13"/>
  <c r="W832" i="13"/>
  <c r="W831" i="13"/>
  <c r="W830" i="13"/>
  <c r="W829" i="13"/>
  <c r="W828" i="13"/>
  <c r="W827" i="13"/>
  <c r="W826" i="13"/>
  <c r="W825" i="13"/>
  <c r="W824" i="13"/>
  <c r="W823" i="13"/>
  <c r="W822" i="13"/>
  <c r="W821" i="13"/>
  <c r="W820" i="13"/>
  <c r="W819" i="13"/>
  <c r="W818" i="13"/>
  <c r="W817" i="13"/>
  <c r="W816" i="13"/>
  <c r="W815" i="13"/>
  <c r="W814" i="13"/>
  <c r="W813" i="13"/>
  <c r="W854" i="13"/>
  <c r="W853" i="13"/>
  <c r="W852" i="13"/>
  <c r="W851" i="13"/>
  <c r="W850" i="13"/>
  <c r="W849" i="13"/>
  <c r="W848" i="13"/>
  <c r="W847" i="13"/>
  <c r="W846" i="13"/>
  <c r="W845" i="13"/>
  <c r="W844" i="13"/>
  <c r="W843" i="13"/>
  <c r="W842" i="13"/>
  <c r="W841" i="13"/>
  <c r="W840" i="13"/>
  <c r="W839" i="13"/>
  <c r="W838" i="13"/>
  <c r="W837" i="13"/>
  <c r="W836" i="13"/>
  <c r="W835" i="13"/>
  <c r="W812" i="13"/>
  <c r="W811" i="13"/>
  <c r="W810" i="13"/>
  <c r="W809" i="13"/>
  <c r="W808" i="13"/>
  <c r="W807" i="13"/>
  <c r="W806" i="13"/>
  <c r="W805" i="13"/>
  <c r="W804" i="13"/>
  <c r="W803" i="13"/>
  <c r="W802" i="13"/>
  <c r="W801" i="13"/>
  <c r="W800" i="13"/>
  <c r="W798" i="13"/>
  <c r="W797" i="13"/>
  <c r="W796" i="13"/>
  <c r="W795" i="13"/>
  <c r="W794" i="13"/>
  <c r="W793" i="13"/>
  <c r="W792" i="13"/>
  <c r="W791" i="13"/>
  <c r="W790" i="13"/>
  <c r="W789" i="13"/>
  <c r="W788" i="13"/>
  <c r="W787" i="13"/>
  <c r="W786" i="13"/>
  <c r="W785" i="13"/>
  <c r="W784" i="13"/>
  <c r="W783" i="13"/>
  <c r="W782" i="13"/>
  <c r="W781" i="13"/>
  <c r="W780" i="13"/>
  <c r="W779" i="13"/>
  <c r="W778" i="13"/>
  <c r="W777" i="13"/>
  <c r="W776" i="13"/>
  <c r="W775" i="13"/>
  <c r="W774" i="13"/>
  <c r="W773" i="13"/>
  <c r="W772" i="13"/>
  <c r="W771" i="13"/>
  <c r="W770" i="13"/>
  <c r="K303" i="13" l="1"/>
  <c r="K301" i="13"/>
  <c r="K252" i="13"/>
  <c r="W45" i="13"/>
  <c r="V45" i="13"/>
  <c r="W44" i="13"/>
  <c r="V44" i="13"/>
  <c r="W43" i="13"/>
  <c r="V43" i="13"/>
  <c r="K371" i="13"/>
  <c r="K370" i="13"/>
  <c r="K369" i="13"/>
  <c r="W371" i="13"/>
  <c r="V371" i="13"/>
  <c r="W370" i="13"/>
  <c r="V370" i="13"/>
  <c r="W369" i="13"/>
  <c r="V369" i="13"/>
  <c r="W368" i="13"/>
  <c r="V368" i="13"/>
  <c r="W179" i="13"/>
  <c r="V179" i="13"/>
  <c r="W46" i="13"/>
  <c r="V46" i="13"/>
  <c r="W42" i="13"/>
  <c r="V42" i="13"/>
  <c r="W41" i="13"/>
  <c r="V41" i="13"/>
  <c r="W40" i="13"/>
  <c r="V40" i="13"/>
  <c r="W39" i="13"/>
  <c r="V39" i="13"/>
  <c r="W252" i="13"/>
  <c r="V252" i="13"/>
  <c r="W251" i="13"/>
  <c r="V251" i="13"/>
  <c r="W250" i="13"/>
  <c r="V250" i="13"/>
  <c r="W249" i="13"/>
  <c r="V249" i="13"/>
  <c r="W248" i="13"/>
  <c r="V248" i="13"/>
  <c r="K482" i="13"/>
  <c r="K246" i="13"/>
  <c r="K481" i="13"/>
  <c r="K33" i="13"/>
  <c r="K367" i="13"/>
  <c r="K366" i="13"/>
  <c r="K411" i="13"/>
  <c r="W38" i="13"/>
  <c r="V38" i="13"/>
  <c r="W37" i="13"/>
  <c r="V37" i="13"/>
  <c r="W36" i="13"/>
  <c r="V36" i="13"/>
  <c r="W35" i="13"/>
  <c r="V35" i="13"/>
  <c r="W34" i="13"/>
  <c r="V34" i="13"/>
  <c r="W33" i="13"/>
  <c r="V33" i="13"/>
  <c r="K310" i="13"/>
  <c r="W762" i="13"/>
  <c r="W761" i="13"/>
  <c r="Q707" i="13"/>
  <c r="K707" i="13"/>
  <c r="K309" i="13"/>
  <c r="W312" i="13"/>
  <c r="V312" i="13"/>
  <c r="W311" i="13"/>
  <c r="V311" i="13"/>
  <c r="W310" i="13"/>
  <c r="V310" i="13"/>
  <c r="W246" i="13"/>
  <c r="V246" i="13"/>
  <c r="W245" i="13"/>
  <c r="V245" i="13"/>
  <c r="W244" i="13"/>
  <c r="V244" i="13"/>
  <c r="W243" i="13"/>
  <c r="V243" i="13"/>
  <c r="W242" i="13"/>
  <c r="V242" i="13"/>
  <c r="K240" i="13"/>
  <c r="K365" i="13"/>
  <c r="K479" i="13" l="1"/>
  <c r="W367" i="13"/>
  <c r="V367" i="13"/>
  <c r="W366" i="13"/>
  <c r="V366" i="13"/>
  <c r="W365" i="13"/>
  <c r="V365" i="13"/>
  <c r="K410" i="13"/>
  <c r="W411" i="13"/>
  <c r="V411" i="13"/>
  <c r="K363" i="13" l="1"/>
  <c r="W554" i="13"/>
  <c r="V554" i="13"/>
  <c r="W553" i="13"/>
  <c r="V553" i="13"/>
  <c r="K307" i="13"/>
  <c r="K239" i="13"/>
  <c r="K409" i="13"/>
  <c r="K306" i="13"/>
  <c r="W309" i="13"/>
  <c r="V309" i="13"/>
  <c r="W308" i="13"/>
  <c r="V308" i="13"/>
  <c r="W307" i="13"/>
  <c r="V307" i="13"/>
  <c r="W306" i="13"/>
  <c r="V306" i="13"/>
  <c r="K408" i="13"/>
  <c r="K407" i="13"/>
  <c r="K406" i="13"/>
  <c r="W410" i="13"/>
  <c r="V410" i="13"/>
  <c r="W409" i="13"/>
  <c r="V409" i="13"/>
  <c r="W408" i="13"/>
  <c r="V408" i="13"/>
  <c r="W407" i="13"/>
  <c r="V407" i="13"/>
  <c r="W406" i="13"/>
  <c r="V406" i="13"/>
  <c r="K405" i="13"/>
  <c r="K305" i="13"/>
  <c r="W305" i="13"/>
  <c r="V305" i="13"/>
  <c r="K237" i="13"/>
  <c r="Q743" i="13"/>
  <c r="K743" i="13"/>
  <c r="J743" i="13"/>
  <c r="W743" i="13"/>
  <c r="J459" i="13"/>
  <c r="K459" i="13"/>
  <c r="Q656" i="13"/>
  <c r="K656" i="13"/>
  <c r="Q655" i="13" l="1"/>
  <c r="Q654" i="13" s="1"/>
  <c r="K655" i="13"/>
  <c r="P654" i="13"/>
  <c r="O654" i="13"/>
  <c r="N654" i="13"/>
  <c r="M654" i="13"/>
  <c r="L654" i="13"/>
  <c r="K654" i="13"/>
  <c r="J654" i="13"/>
  <c r="I654" i="13"/>
  <c r="H654" i="13"/>
  <c r="G654" i="13"/>
  <c r="F654" i="13"/>
  <c r="E654" i="13"/>
  <c r="Q649" i="13"/>
  <c r="Q648" i="13" s="1"/>
  <c r="P649" i="13"/>
  <c r="P648" i="13" s="1"/>
  <c r="K649" i="13"/>
  <c r="K648" i="13" s="1"/>
  <c r="J649" i="13"/>
  <c r="J648" i="13" s="1"/>
  <c r="W239" i="13"/>
  <c r="V239" i="13"/>
  <c r="W238" i="13"/>
  <c r="V238" i="13"/>
  <c r="W237" i="13"/>
  <c r="V237" i="13"/>
  <c r="W236" i="13"/>
  <c r="V236" i="13"/>
  <c r="W235" i="13"/>
  <c r="V235" i="13"/>
  <c r="W234" i="13"/>
  <c r="V234" i="13"/>
  <c r="W233" i="13"/>
  <c r="V233" i="13"/>
  <c r="W232" i="13"/>
  <c r="V232" i="13"/>
  <c r="K230" i="13"/>
  <c r="K361" i="13"/>
  <c r="W363" i="13"/>
  <c r="V363" i="13"/>
  <c r="W362" i="13"/>
  <c r="V362" i="13"/>
  <c r="W361" i="13"/>
  <c r="V361" i="13"/>
  <c r="K227" i="13"/>
  <c r="W31" i="13"/>
  <c r="V31" i="13"/>
  <c r="W30" i="13"/>
  <c r="V30" i="13"/>
  <c r="W29" i="13"/>
  <c r="V29" i="13"/>
  <c r="W28" i="13"/>
  <c r="V28" i="13"/>
  <c r="W27" i="13"/>
  <c r="V27" i="13"/>
  <c r="W26" i="13"/>
  <c r="V26" i="13"/>
  <c r="W25" i="13"/>
  <c r="V25" i="13"/>
  <c r="W247" i="13"/>
  <c r="V247" i="13"/>
  <c r="W241" i="13"/>
  <c r="V241" i="13"/>
  <c r="W240" i="13"/>
  <c r="V240" i="13"/>
  <c r="W231" i="13"/>
  <c r="V231" i="13"/>
  <c r="W230" i="13"/>
  <c r="V230" i="13"/>
  <c r="W229" i="13"/>
  <c r="V229" i="13"/>
  <c r="W228" i="13"/>
  <c r="V228" i="13"/>
  <c r="W227" i="13"/>
  <c r="V227" i="13"/>
  <c r="Q718" i="13"/>
  <c r="Q717" i="13" s="1"/>
  <c r="K718" i="13"/>
  <c r="K717" i="13" s="1"/>
  <c r="Q621" i="13"/>
  <c r="Q620" i="13" s="1"/>
  <c r="K621" i="13"/>
  <c r="K620" i="13" s="1"/>
  <c r="K304" i="13"/>
  <c r="K23" i="13"/>
  <c r="K175" i="13"/>
  <c r="K174" i="13"/>
  <c r="W178" i="13"/>
  <c r="V178" i="13"/>
  <c r="W177" i="13"/>
  <c r="V177" i="13"/>
  <c r="W176" i="13"/>
  <c r="V176" i="13"/>
  <c r="W175" i="13"/>
  <c r="V175" i="13"/>
  <c r="W174" i="13"/>
  <c r="V174" i="13"/>
  <c r="Q700" i="13"/>
  <c r="K700" i="13"/>
  <c r="K458" i="13"/>
  <c r="K302" i="13"/>
  <c r="K360" i="13"/>
  <c r="W364" i="13"/>
  <c r="V364" i="13"/>
  <c r="K224" i="13"/>
  <c r="K223" i="13"/>
  <c r="W226" i="13"/>
  <c r="V226" i="13"/>
  <c r="W225" i="13"/>
  <c r="V225" i="13"/>
  <c r="W224" i="13"/>
  <c r="V224" i="13"/>
  <c r="W223" i="13"/>
  <c r="V223" i="13"/>
  <c r="V654" i="13" l="1"/>
  <c r="W654" i="13"/>
  <c r="K359" i="13"/>
  <c r="K358" i="13"/>
  <c r="Q713" i="13"/>
  <c r="K713" i="13"/>
  <c r="K491" i="13"/>
  <c r="K490" i="13"/>
  <c r="I476" i="13"/>
  <c r="J476" i="13"/>
  <c r="L476" i="13"/>
  <c r="M476" i="13"/>
  <c r="N476" i="13"/>
  <c r="O476" i="13"/>
  <c r="P476" i="13"/>
  <c r="Q476" i="13"/>
  <c r="H476" i="13"/>
  <c r="F476" i="13"/>
  <c r="G476" i="13"/>
  <c r="E476" i="13"/>
  <c r="I489" i="13"/>
  <c r="J489" i="13"/>
  <c r="L489" i="13"/>
  <c r="M489" i="13"/>
  <c r="N489" i="13"/>
  <c r="O489" i="13"/>
  <c r="P489" i="13"/>
  <c r="Q489" i="13"/>
  <c r="H489" i="13"/>
  <c r="F489" i="13"/>
  <c r="G489" i="13"/>
  <c r="E489" i="13"/>
  <c r="W490" i="13"/>
  <c r="V490" i="13"/>
  <c r="W222" i="13"/>
  <c r="V222" i="13"/>
  <c r="W221" i="13"/>
  <c r="V221" i="13"/>
  <c r="W220" i="13"/>
  <c r="V220" i="13"/>
  <c r="W219" i="13"/>
  <c r="V219" i="13"/>
  <c r="K22" i="13"/>
  <c r="K477" i="13"/>
  <c r="K476" i="13" s="1"/>
  <c r="K404" i="13"/>
  <c r="K402" i="13" s="1"/>
  <c r="K217" i="13"/>
  <c r="W218" i="13"/>
  <c r="V218" i="13"/>
  <c r="W217" i="13"/>
  <c r="V217" i="13"/>
  <c r="K172" i="13"/>
  <c r="K489" i="13" l="1"/>
  <c r="W489" i="13"/>
  <c r="V489" i="13"/>
  <c r="Q675" i="13"/>
  <c r="K675" i="13"/>
  <c r="W170" i="13"/>
  <c r="V170" i="13"/>
  <c r="W173" i="13"/>
  <c r="V173" i="13"/>
  <c r="W172" i="13"/>
  <c r="V172" i="13"/>
  <c r="W171" i="13"/>
  <c r="V171" i="13"/>
  <c r="V35" i="16" l="1"/>
  <c r="W35" i="16"/>
  <c r="V36" i="16"/>
  <c r="W36" i="16"/>
  <c r="V31" i="16"/>
  <c r="W31" i="16"/>
  <c r="V32" i="16"/>
  <c r="W32" i="16"/>
  <c r="W118" i="16"/>
  <c r="W114" i="16"/>
  <c r="W110" i="16"/>
  <c r="W102" i="16"/>
  <c r="V17" i="16"/>
  <c r="W17" i="16"/>
  <c r="W120" i="16"/>
  <c r="Q117" i="16"/>
  <c r="P117" i="16"/>
  <c r="O117" i="16"/>
  <c r="N117" i="16"/>
  <c r="M117" i="16"/>
  <c r="L117" i="16"/>
  <c r="K117" i="16"/>
  <c r="J117" i="16"/>
  <c r="I117" i="16"/>
  <c r="H117" i="16"/>
  <c r="G117" i="16"/>
  <c r="F117" i="16"/>
  <c r="E117" i="16"/>
  <c r="W116" i="16"/>
  <c r="Q113" i="16"/>
  <c r="P113" i="16"/>
  <c r="O113" i="16"/>
  <c r="N113" i="16"/>
  <c r="M113" i="16"/>
  <c r="L113" i="16"/>
  <c r="K113" i="16"/>
  <c r="J113" i="16"/>
  <c r="I113" i="16"/>
  <c r="H113" i="16"/>
  <c r="G113" i="16"/>
  <c r="F113" i="16"/>
  <c r="E113" i="16"/>
  <c r="W112" i="16"/>
  <c r="W109" i="16"/>
  <c r="W108" i="16"/>
  <c r="W107" i="16"/>
  <c r="W106" i="16"/>
  <c r="Q105" i="16"/>
  <c r="P105" i="16"/>
  <c r="O105" i="16"/>
  <c r="N105" i="16"/>
  <c r="M105" i="16"/>
  <c r="L105" i="16"/>
  <c r="K105" i="16"/>
  <c r="J105" i="16"/>
  <c r="I105" i="16"/>
  <c r="H105" i="16"/>
  <c r="G105" i="16"/>
  <c r="F105" i="16"/>
  <c r="E105" i="16"/>
  <c r="W104" i="16"/>
  <c r="W101" i="16"/>
  <c r="Q100" i="16"/>
  <c r="P100" i="16"/>
  <c r="O100" i="16"/>
  <c r="N100" i="16"/>
  <c r="M100" i="16"/>
  <c r="L100" i="16"/>
  <c r="K100" i="16"/>
  <c r="J100" i="16"/>
  <c r="I100" i="16"/>
  <c r="H100" i="16"/>
  <c r="G100" i="16"/>
  <c r="F100" i="16"/>
  <c r="E100" i="16"/>
  <c r="W98" i="16"/>
  <c r="W97" i="16"/>
  <c r="Q96" i="16"/>
  <c r="P96" i="16"/>
  <c r="O96" i="16"/>
  <c r="N96" i="16"/>
  <c r="M96" i="16"/>
  <c r="L96" i="16"/>
  <c r="K96" i="16"/>
  <c r="J96" i="16"/>
  <c r="I96" i="16"/>
  <c r="H96" i="16"/>
  <c r="G96" i="16"/>
  <c r="F96" i="16"/>
  <c r="E96" i="16"/>
  <c r="W95" i="16"/>
  <c r="W94" i="16"/>
  <c r="Q93" i="16"/>
  <c r="P93" i="16"/>
  <c r="O93" i="16"/>
  <c r="N93" i="16"/>
  <c r="M93" i="16"/>
  <c r="L93" i="16"/>
  <c r="K93" i="16"/>
  <c r="J93" i="16"/>
  <c r="I93" i="16"/>
  <c r="H93" i="16"/>
  <c r="G93" i="16"/>
  <c r="F93" i="16"/>
  <c r="E93" i="16"/>
  <c r="W92" i="16"/>
  <c r="W91" i="16"/>
  <c r="Q90" i="16"/>
  <c r="P90" i="16"/>
  <c r="O90" i="16"/>
  <c r="N90" i="16"/>
  <c r="M90" i="16"/>
  <c r="L90" i="16"/>
  <c r="K90" i="16"/>
  <c r="J90" i="16"/>
  <c r="I90" i="16"/>
  <c r="H90" i="16"/>
  <c r="G90" i="16"/>
  <c r="F90" i="16"/>
  <c r="E90" i="16"/>
  <c r="W89" i="16"/>
  <c r="W88" i="16"/>
  <c r="Q87" i="16"/>
  <c r="P87" i="16"/>
  <c r="O87" i="16"/>
  <c r="N87" i="16"/>
  <c r="M87" i="16"/>
  <c r="L87" i="16"/>
  <c r="K87" i="16"/>
  <c r="J87" i="16"/>
  <c r="I87" i="16"/>
  <c r="H87" i="16"/>
  <c r="G87" i="16"/>
  <c r="F87" i="16"/>
  <c r="E87" i="16"/>
  <c r="W85" i="16"/>
  <c r="Q82" i="16"/>
  <c r="Q81" i="16" s="1"/>
  <c r="P82" i="16"/>
  <c r="P81" i="16" s="1"/>
  <c r="O82" i="16"/>
  <c r="O81" i="16" s="1"/>
  <c r="N82" i="16"/>
  <c r="N81" i="16" s="1"/>
  <c r="M82" i="16"/>
  <c r="M81" i="16" s="1"/>
  <c r="L82" i="16"/>
  <c r="L81" i="16" s="1"/>
  <c r="K82" i="16"/>
  <c r="K81" i="16" s="1"/>
  <c r="J82" i="16"/>
  <c r="J81" i="16" s="1"/>
  <c r="I82" i="16"/>
  <c r="I81" i="16" s="1"/>
  <c r="H82" i="16"/>
  <c r="H81" i="16" s="1"/>
  <c r="G82" i="16"/>
  <c r="G81" i="16" s="1"/>
  <c r="F82" i="16"/>
  <c r="F81" i="16" s="1"/>
  <c r="E82" i="16"/>
  <c r="E81" i="16" s="1"/>
  <c r="W80" i="16"/>
  <c r="V80" i="16"/>
  <c r="W79" i="16"/>
  <c r="V79" i="16"/>
  <c r="Q78" i="16"/>
  <c r="P78" i="16"/>
  <c r="O78" i="16"/>
  <c r="N78" i="16"/>
  <c r="M78" i="16"/>
  <c r="L78" i="16"/>
  <c r="K78" i="16"/>
  <c r="J78" i="16"/>
  <c r="I78" i="16"/>
  <c r="H78" i="16"/>
  <c r="G78" i="16"/>
  <c r="F78" i="16"/>
  <c r="E78" i="16"/>
  <c r="W77" i="16"/>
  <c r="V77" i="16"/>
  <c r="W76" i="16"/>
  <c r="V76" i="16"/>
  <c r="Q75" i="16"/>
  <c r="P75" i="16"/>
  <c r="O75" i="16"/>
  <c r="N75" i="16"/>
  <c r="M75" i="16"/>
  <c r="L75" i="16"/>
  <c r="K75" i="16"/>
  <c r="J75" i="16"/>
  <c r="I75" i="16"/>
  <c r="H75" i="16"/>
  <c r="G75" i="16"/>
  <c r="F75" i="16"/>
  <c r="E75" i="16"/>
  <c r="W73" i="16"/>
  <c r="V73" i="16"/>
  <c r="W72" i="16"/>
  <c r="V72" i="16"/>
  <c r="Q71" i="16"/>
  <c r="P71" i="16"/>
  <c r="O71" i="16"/>
  <c r="N71" i="16"/>
  <c r="M71" i="16"/>
  <c r="L71" i="16"/>
  <c r="K71" i="16"/>
  <c r="J71" i="16"/>
  <c r="I71" i="16"/>
  <c r="H71" i="16"/>
  <c r="G71" i="16"/>
  <c r="F71" i="16"/>
  <c r="E71" i="16"/>
  <c r="W70" i="16"/>
  <c r="V70" i="16"/>
  <c r="W69" i="16"/>
  <c r="V69" i="16"/>
  <c r="Q68" i="16"/>
  <c r="P68" i="16"/>
  <c r="O68" i="16"/>
  <c r="N68" i="16"/>
  <c r="M68" i="16"/>
  <c r="L68" i="16"/>
  <c r="K68" i="16"/>
  <c r="J68" i="16"/>
  <c r="I68" i="16"/>
  <c r="H68" i="16"/>
  <c r="G68" i="16"/>
  <c r="F68" i="16"/>
  <c r="E68" i="16"/>
  <c r="W67" i="16"/>
  <c r="V67" i="16"/>
  <c r="Q64" i="16"/>
  <c r="P64" i="16"/>
  <c r="O64" i="16"/>
  <c r="N64" i="16"/>
  <c r="M64" i="16"/>
  <c r="L64" i="16"/>
  <c r="K64" i="16"/>
  <c r="J64" i="16"/>
  <c r="I64" i="16"/>
  <c r="H64" i="16"/>
  <c r="G64" i="16"/>
  <c r="F64" i="16"/>
  <c r="E64" i="16"/>
  <c r="W63" i="16"/>
  <c r="V63" i="16"/>
  <c r="W62" i="16"/>
  <c r="V62" i="16"/>
  <c r="Q61" i="16"/>
  <c r="P61" i="16"/>
  <c r="O61" i="16"/>
  <c r="N61" i="16"/>
  <c r="M61" i="16"/>
  <c r="L61" i="16"/>
  <c r="K61" i="16"/>
  <c r="J61" i="16"/>
  <c r="I61" i="16"/>
  <c r="H61" i="16"/>
  <c r="G61" i="16"/>
  <c r="F61" i="16"/>
  <c r="E61" i="16"/>
  <c r="W60" i="16"/>
  <c r="V60" i="16"/>
  <c r="W59" i="16"/>
  <c r="V59" i="16"/>
  <c r="Q58" i="16"/>
  <c r="P58" i="16"/>
  <c r="O58" i="16"/>
  <c r="N58" i="16"/>
  <c r="M58" i="16"/>
  <c r="L58" i="16"/>
  <c r="K58" i="16"/>
  <c r="J58" i="16"/>
  <c r="I58" i="16"/>
  <c r="H58" i="16"/>
  <c r="G58" i="16"/>
  <c r="F58" i="16"/>
  <c r="E58" i="16"/>
  <c r="W56" i="16"/>
  <c r="V56" i="16"/>
  <c r="W55" i="16"/>
  <c r="V55" i="16"/>
  <c r="Q54" i="16"/>
  <c r="Q53" i="16" s="1"/>
  <c r="P54" i="16"/>
  <c r="P53" i="16" s="1"/>
  <c r="O54" i="16"/>
  <c r="O53" i="16" s="1"/>
  <c r="N54" i="16"/>
  <c r="N53" i="16" s="1"/>
  <c r="M54" i="16"/>
  <c r="M53" i="16" s="1"/>
  <c r="L54" i="16"/>
  <c r="L53" i="16" s="1"/>
  <c r="K54" i="16"/>
  <c r="K53" i="16" s="1"/>
  <c r="J54" i="16"/>
  <c r="J53" i="16" s="1"/>
  <c r="I54" i="16"/>
  <c r="I53" i="16" s="1"/>
  <c r="H54" i="16"/>
  <c r="G54" i="16"/>
  <c r="G53" i="16" s="1"/>
  <c r="F54" i="16"/>
  <c r="F53" i="16" s="1"/>
  <c r="E54" i="16"/>
  <c r="E53" i="16" s="1"/>
  <c r="W52" i="16"/>
  <c r="V52" i="16"/>
  <c r="W51" i="16"/>
  <c r="V51" i="16"/>
  <c r="Q50" i="16"/>
  <c r="P50" i="16"/>
  <c r="O50" i="16"/>
  <c r="N50" i="16"/>
  <c r="M50" i="16"/>
  <c r="L50" i="16"/>
  <c r="K50" i="16"/>
  <c r="J50" i="16"/>
  <c r="I50" i="16"/>
  <c r="H50" i="16"/>
  <c r="G50" i="16"/>
  <c r="F50" i="16"/>
  <c r="E50" i="16"/>
  <c r="W49" i="16"/>
  <c r="V49" i="16"/>
  <c r="W48" i="16"/>
  <c r="V48" i="16"/>
  <c r="Q47" i="16"/>
  <c r="P47" i="16"/>
  <c r="O47" i="16"/>
  <c r="N47" i="16"/>
  <c r="M47" i="16"/>
  <c r="L47" i="16"/>
  <c r="K47" i="16"/>
  <c r="J47" i="16"/>
  <c r="I47" i="16"/>
  <c r="H47" i="16"/>
  <c r="G47" i="16"/>
  <c r="F47" i="16"/>
  <c r="E47" i="16"/>
  <c r="W45" i="16"/>
  <c r="V45" i="16"/>
  <c r="W44" i="16"/>
  <c r="V44" i="16"/>
  <c r="Q43" i="16"/>
  <c r="P43" i="16"/>
  <c r="O43" i="16"/>
  <c r="N43" i="16"/>
  <c r="M43" i="16"/>
  <c r="L43" i="16"/>
  <c r="K43" i="16"/>
  <c r="J43" i="16"/>
  <c r="I43" i="16"/>
  <c r="H43" i="16"/>
  <c r="G43" i="16"/>
  <c r="F43" i="16"/>
  <c r="E43" i="16"/>
  <c r="W42" i="16"/>
  <c r="V42" i="16"/>
  <c r="Q39" i="16"/>
  <c r="P39" i="16"/>
  <c r="O39" i="16"/>
  <c r="N39" i="16"/>
  <c r="M39" i="16"/>
  <c r="L39" i="16"/>
  <c r="K39" i="16"/>
  <c r="J39" i="16"/>
  <c r="I39" i="16"/>
  <c r="H39" i="16"/>
  <c r="G39" i="16"/>
  <c r="F39" i="16"/>
  <c r="E39" i="16"/>
  <c r="W38" i="16"/>
  <c r="V38" i="16"/>
  <c r="W37" i="16"/>
  <c r="V37" i="16"/>
  <c r="Q34" i="16"/>
  <c r="P34" i="16"/>
  <c r="O34" i="16"/>
  <c r="N34" i="16"/>
  <c r="M34" i="16"/>
  <c r="L34" i="16"/>
  <c r="K34" i="16"/>
  <c r="J34" i="16"/>
  <c r="I34" i="16"/>
  <c r="H34" i="16"/>
  <c r="G34" i="16"/>
  <c r="F34" i="16"/>
  <c r="E34" i="16"/>
  <c r="W33" i="16"/>
  <c r="V33" i="16"/>
  <c r="Q30" i="16"/>
  <c r="P30" i="16"/>
  <c r="O30" i="16"/>
  <c r="N30" i="16"/>
  <c r="M30" i="16"/>
  <c r="L30" i="16"/>
  <c r="K30" i="16"/>
  <c r="J30" i="16"/>
  <c r="I30" i="16"/>
  <c r="H30" i="16"/>
  <c r="G30" i="16"/>
  <c r="F30" i="16"/>
  <c r="E30" i="16"/>
  <c r="W28" i="16"/>
  <c r="V28" i="16"/>
  <c r="W27" i="16"/>
  <c r="V27" i="16"/>
  <c r="Q26" i="16"/>
  <c r="P26" i="16"/>
  <c r="O26" i="16"/>
  <c r="N26" i="16"/>
  <c r="M26" i="16"/>
  <c r="L26" i="16"/>
  <c r="K26" i="16"/>
  <c r="J26" i="16"/>
  <c r="I26" i="16"/>
  <c r="H26" i="16"/>
  <c r="G26" i="16"/>
  <c r="F26" i="16"/>
  <c r="E26" i="16"/>
  <c r="W25" i="16"/>
  <c r="V25" i="16"/>
  <c r="W24" i="16"/>
  <c r="V24" i="16"/>
  <c r="Q22" i="16"/>
  <c r="P22" i="16"/>
  <c r="O22" i="16"/>
  <c r="N22" i="16"/>
  <c r="M22" i="16"/>
  <c r="L22" i="16"/>
  <c r="K22" i="16"/>
  <c r="J22" i="16"/>
  <c r="I22" i="16"/>
  <c r="H22" i="16"/>
  <c r="G22" i="16"/>
  <c r="F22" i="16"/>
  <c r="E22" i="16"/>
  <c r="W21" i="16"/>
  <c r="V21" i="16"/>
  <c r="W20" i="16"/>
  <c r="V20" i="16"/>
  <c r="W16" i="16"/>
  <c r="V16" i="16"/>
  <c r="W15" i="16"/>
  <c r="V15" i="16"/>
  <c r="Q14" i="16"/>
  <c r="P14" i="16"/>
  <c r="O14" i="16"/>
  <c r="N14" i="16"/>
  <c r="M14" i="16"/>
  <c r="L14" i="16"/>
  <c r="K14" i="16"/>
  <c r="J14" i="16"/>
  <c r="I14" i="16"/>
  <c r="H14" i="16"/>
  <c r="G14" i="16"/>
  <c r="F14" i="16"/>
  <c r="E14" i="16"/>
  <c r="Q11" i="16"/>
  <c r="P11" i="16"/>
  <c r="O11" i="16"/>
  <c r="N11" i="16"/>
  <c r="M11" i="16"/>
  <c r="L11" i="16"/>
  <c r="K11" i="16"/>
  <c r="J11" i="16"/>
  <c r="I11" i="16"/>
  <c r="H11" i="16"/>
  <c r="G11" i="16"/>
  <c r="F11" i="16"/>
  <c r="E11" i="16"/>
  <c r="W3461" i="13"/>
  <c r="W3329" i="13"/>
  <c r="W1624" i="13"/>
  <c r="W769" i="13"/>
  <c r="W799" i="13"/>
  <c r="W754" i="13"/>
  <c r="W718" i="13"/>
  <c r="W742" i="13"/>
  <c r="W713" i="13"/>
  <c r="W707" i="13"/>
  <c r="W700" i="13"/>
  <c r="W689" i="13"/>
  <c r="W681" i="13"/>
  <c r="W675" i="13"/>
  <c r="W670" i="13"/>
  <c r="W665" i="13"/>
  <c r="V649" i="13"/>
  <c r="W649" i="13"/>
  <c r="V581" i="13"/>
  <c r="W581" i="13"/>
  <c r="V500" i="13"/>
  <c r="W500" i="13"/>
  <c r="V457" i="13"/>
  <c r="W457" i="13"/>
  <c r="V458" i="13"/>
  <c r="W458" i="13"/>
  <c r="V459" i="13"/>
  <c r="W459" i="13"/>
  <c r="V403" i="13"/>
  <c r="W403" i="13"/>
  <c r="V404" i="13"/>
  <c r="W404" i="13"/>
  <c r="V405" i="13"/>
  <c r="W405" i="13"/>
  <c r="V357" i="13"/>
  <c r="W357" i="13"/>
  <c r="V358" i="13"/>
  <c r="W358" i="13"/>
  <c r="V359" i="13"/>
  <c r="W359" i="13"/>
  <c r="V360" i="13"/>
  <c r="W360" i="13"/>
  <c r="V301" i="13"/>
  <c r="W301" i="13"/>
  <c r="V302" i="13"/>
  <c r="W302" i="13"/>
  <c r="V303" i="13"/>
  <c r="W303" i="13"/>
  <c r="V304" i="13"/>
  <c r="W304" i="13"/>
  <c r="V215" i="13"/>
  <c r="W215" i="13"/>
  <c r="V216" i="13"/>
  <c r="W216" i="13"/>
  <c r="V167" i="13"/>
  <c r="W167" i="13"/>
  <c r="V168" i="13"/>
  <c r="W168" i="13"/>
  <c r="V169" i="13"/>
  <c r="W169" i="13"/>
  <c r="V22" i="13"/>
  <c r="W22" i="13"/>
  <c r="V23" i="13"/>
  <c r="W23" i="13"/>
  <c r="V24" i="13"/>
  <c r="W24" i="13"/>
  <c r="V32" i="13"/>
  <c r="W32" i="13"/>
  <c r="V11" i="13"/>
  <c r="W11" i="13"/>
  <c r="V12" i="13"/>
  <c r="W12" i="13"/>
  <c r="Q57" i="16" l="1"/>
  <c r="L46" i="16"/>
  <c r="M74" i="16"/>
  <c r="I29" i="16"/>
  <c r="Q29" i="16"/>
  <c r="F57" i="16"/>
  <c r="V58" i="16"/>
  <c r="J57" i="16"/>
  <c r="L57" i="16"/>
  <c r="N57" i="16"/>
  <c r="P57" i="16"/>
  <c r="E57" i="16"/>
  <c r="I57" i="16"/>
  <c r="M57" i="16"/>
  <c r="P10" i="16"/>
  <c r="F10" i="16"/>
  <c r="H10" i="16"/>
  <c r="J10" i="16"/>
  <c r="L10" i="16"/>
  <c r="N10" i="16"/>
  <c r="V22" i="16"/>
  <c r="F29" i="16"/>
  <c r="V30" i="16"/>
  <c r="J29" i="16"/>
  <c r="L29" i="16"/>
  <c r="N29" i="16"/>
  <c r="P29" i="16"/>
  <c r="E29" i="16"/>
  <c r="M29" i="16"/>
  <c r="E46" i="16"/>
  <c r="G46" i="16"/>
  <c r="I46" i="16"/>
  <c r="K46" i="16"/>
  <c r="M46" i="16"/>
  <c r="O46" i="16"/>
  <c r="Q46" i="16"/>
  <c r="H46" i="16"/>
  <c r="P46" i="16"/>
  <c r="Q74" i="16"/>
  <c r="F46" i="16"/>
  <c r="J46" i="16"/>
  <c r="N46" i="16"/>
  <c r="F74" i="16"/>
  <c r="J74" i="16"/>
  <c r="L74" i="16"/>
  <c r="N74" i="16"/>
  <c r="P74" i="16"/>
  <c r="I74" i="16"/>
  <c r="P99" i="16"/>
  <c r="V75" i="16"/>
  <c r="H99" i="16"/>
  <c r="E86" i="16"/>
  <c r="G86" i="16"/>
  <c r="I86" i="16"/>
  <c r="K86" i="16"/>
  <c r="M86" i="16"/>
  <c r="O86" i="16"/>
  <c r="Q86" i="16"/>
  <c r="V50" i="16"/>
  <c r="E74" i="16"/>
  <c r="G74" i="16"/>
  <c r="V68" i="16"/>
  <c r="F99" i="16"/>
  <c r="J99" i="16"/>
  <c r="L99" i="16"/>
  <c r="N99" i="16"/>
  <c r="K74" i="16"/>
  <c r="E10" i="16"/>
  <c r="G10" i="16"/>
  <c r="I10" i="16"/>
  <c r="K10" i="16"/>
  <c r="M10" i="16"/>
  <c r="O10" i="16"/>
  <c r="Q10" i="16"/>
  <c r="V26" i="16"/>
  <c r="V43" i="16"/>
  <c r="V47" i="16"/>
  <c r="G57" i="16"/>
  <c r="K57" i="16"/>
  <c r="O57" i="16"/>
  <c r="V71" i="16"/>
  <c r="F86" i="16"/>
  <c r="H86" i="16"/>
  <c r="J86" i="16"/>
  <c r="L86" i="16"/>
  <c r="N86" i="16"/>
  <c r="P86" i="16"/>
  <c r="G29" i="16"/>
  <c r="K29" i="16"/>
  <c r="O29" i="16"/>
  <c r="V54" i="16"/>
  <c r="O74" i="16"/>
  <c r="W81" i="16"/>
  <c r="V11" i="16"/>
  <c r="W11" i="16"/>
  <c r="V14" i="16"/>
  <c r="V34" i="16"/>
  <c r="W34" i="16"/>
  <c r="V39" i="16"/>
  <c r="V61" i="16"/>
  <c r="W61" i="16"/>
  <c r="V64" i="16"/>
  <c r="V78" i="16"/>
  <c r="W78" i="16"/>
  <c r="W90" i="16"/>
  <c r="W96" i="16"/>
  <c r="E99" i="16"/>
  <c r="G99" i="16"/>
  <c r="I99" i="16"/>
  <c r="K99" i="16"/>
  <c r="M99" i="16"/>
  <c r="O99" i="16"/>
  <c r="Q99" i="16"/>
  <c r="W117" i="16"/>
  <c r="W22" i="16"/>
  <c r="W43" i="16"/>
  <c r="W47" i="16"/>
  <c r="W68" i="16"/>
  <c r="W82" i="16"/>
  <c r="W87" i="16"/>
  <c r="W93" i="16"/>
  <c r="W100" i="16"/>
  <c r="W105" i="16"/>
  <c r="W113" i="16"/>
  <c r="W14" i="16"/>
  <c r="W26" i="16"/>
  <c r="H29" i="16"/>
  <c r="W30" i="16"/>
  <c r="W39" i="16"/>
  <c r="W50" i="16"/>
  <c r="H53" i="16"/>
  <c r="W54" i="16"/>
  <c r="H57" i="16"/>
  <c r="W58" i="16"/>
  <c r="W64" i="16"/>
  <c r="W71" i="16"/>
  <c r="H74" i="16"/>
  <c r="W75" i="16"/>
  <c r="W46" i="16" l="1"/>
  <c r="W10" i="16"/>
  <c r="W99" i="16"/>
  <c r="V10" i="16"/>
  <c r="V46" i="16"/>
  <c r="W86" i="16"/>
  <c r="W29" i="16"/>
  <c r="V29" i="16"/>
  <c r="W74" i="16"/>
  <c r="V74" i="16"/>
  <c r="W57" i="16"/>
  <c r="V57" i="16"/>
  <c r="W53" i="16"/>
  <c r="V53" i="16"/>
  <c r="W3466" i="13" l="1"/>
  <c r="W3465" i="13"/>
  <c r="Q3460" i="13"/>
  <c r="P3460" i="13"/>
  <c r="O3460" i="13"/>
  <c r="N3460" i="13"/>
  <c r="M3460" i="13"/>
  <c r="L3460" i="13"/>
  <c r="K3460" i="13"/>
  <c r="J3460" i="13"/>
  <c r="I3460" i="13"/>
  <c r="H3460" i="13"/>
  <c r="G3460" i="13"/>
  <c r="F3460" i="13"/>
  <c r="E3460" i="13"/>
  <c r="W3459" i="13"/>
  <c r="Q3328" i="13"/>
  <c r="P3328" i="13"/>
  <c r="O3328" i="13"/>
  <c r="N3328" i="13"/>
  <c r="M3328" i="13"/>
  <c r="L3328" i="13"/>
  <c r="K3328" i="13"/>
  <c r="J3328" i="13"/>
  <c r="I3328" i="13"/>
  <c r="H3328" i="13"/>
  <c r="G3328" i="13"/>
  <c r="F3328" i="13"/>
  <c r="E3328" i="13"/>
  <c r="W3327" i="13"/>
  <c r="Q1623" i="13"/>
  <c r="P1623" i="13"/>
  <c r="O1623" i="13"/>
  <c r="N1623" i="13"/>
  <c r="M1623" i="13"/>
  <c r="L1623" i="13"/>
  <c r="K1623" i="13"/>
  <c r="J1623" i="13"/>
  <c r="I1623" i="13"/>
  <c r="H1623" i="13"/>
  <c r="G1623" i="13"/>
  <c r="F1623" i="13"/>
  <c r="E1623" i="13"/>
  <c r="W1622" i="13"/>
  <c r="Q768" i="13"/>
  <c r="P768" i="13"/>
  <c r="O768" i="13"/>
  <c r="N768" i="13"/>
  <c r="M768" i="13"/>
  <c r="L768" i="13"/>
  <c r="K768" i="13"/>
  <c r="J768" i="13"/>
  <c r="I768" i="13"/>
  <c r="H768" i="13"/>
  <c r="G768" i="13"/>
  <c r="F768" i="13"/>
  <c r="E768" i="13"/>
  <c r="W766" i="13"/>
  <c r="Q760" i="13"/>
  <c r="Q759" i="13" s="1"/>
  <c r="P760" i="13"/>
  <c r="P759" i="13" s="1"/>
  <c r="O760" i="13"/>
  <c r="O759" i="13" s="1"/>
  <c r="N760" i="13"/>
  <c r="N759" i="13" s="1"/>
  <c r="M760" i="13"/>
  <c r="M759" i="13" s="1"/>
  <c r="L760" i="13"/>
  <c r="L759" i="13" s="1"/>
  <c r="K760" i="13"/>
  <c r="K759" i="13" s="1"/>
  <c r="J760" i="13"/>
  <c r="J759" i="13" s="1"/>
  <c r="I760" i="13"/>
  <c r="I759" i="13" s="1"/>
  <c r="H760" i="13"/>
  <c r="H759" i="13" s="1"/>
  <c r="G760" i="13"/>
  <c r="G759" i="13" s="1"/>
  <c r="F760" i="13"/>
  <c r="F759" i="13" s="1"/>
  <c r="E760" i="13"/>
  <c r="E759" i="13" s="1"/>
  <c r="W758" i="13"/>
  <c r="Q757" i="13"/>
  <c r="P757" i="13"/>
  <c r="O757" i="13"/>
  <c r="N757" i="13"/>
  <c r="M757" i="13"/>
  <c r="L757" i="13"/>
  <c r="K757" i="13"/>
  <c r="J757" i="13"/>
  <c r="I757" i="13"/>
  <c r="H757" i="13"/>
  <c r="G757" i="13"/>
  <c r="F757" i="13"/>
  <c r="E757" i="13"/>
  <c r="W756" i="13"/>
  <c r="Q753" i="13"/>
  <c r="P753" i="13"/>
  <c r="O753" i="13"/>
  <c r="N753" i="13"/>
  <c r="M753" i="13"/>
  <c r="L753" i="13"/>
  <c r="K753" i="13"/>
  <c r="J753" i="13"/>
  <c r="I753" i="13"/>
  <c r="H753" i="13"/>
  <c r="G753" i="13"/>
  <c r="F753" i="13"/>
  <c r="E753" i="13"/>
  <c r="W752" i="13"/>
  <c r="K741" i="13"/>
  <c r="Q741" i="13"/>
  <c r="P741" i="13"/>
  <c r="O741" i="13"/>
  <c r="N741" i="13"/>
  <c r="M741" i="13"/>
  <c r="L741" i="13"/>
  <c r="J741" i="13"/>
  <c r="I741" i="13"/>
  <c r="H741" i="13"/>
  <c r="G741" i="13"/>
  <c r="F741" i="13"/>
  <c r="E741" i="13"/>
  <c r="W739" i="13"/>
  <c r="Q735" i="13"/>
  <c r="P735" i="13"/>
  <c r="O735" i="13"/>
  <c r="N735" i="13"/>
  <c r="M735" i="13"/>
  <c r="L735" i="13"/>
  <c r="K735" i="13"/>
  <c r="J735" i="13"/>
  <c r="I735" i="13"/>
  <c r="H735" i="13"/>
  <c r="G735" i="13"/>
  <c r="F735" i="13"/>
  <c r="E735" i="13"/>
  <c r="W734" i="13"/>
  <c r="W732" i="13"/>
  <c r="Q731" i="13"/>
  <c r="Q730" i="13" s="1"/>
  <c r="P731" i="13"/>
  <c r="P730" i="13" s="1"/>
  <c r="O731" i="13"/>
  <c r="O730" i="13" s="1"/>
  <c r="N731" i="13"/>
  <c r="N730" i="13" s="1"/>
  <c r="M731" i="13"/>
  <c r="M730" i="13" s="1"/>
  <c r="L731" i="13"/>
  <c r="L730" i="13" s="1"/>
  <c r="K731" i="13"/>
  <c r="K730" i="13" s="1"/>
  <c r="J731" i="13"/>
  <c r="J730" i="13" s="1"/>
  <c r="I731" i="13"/>
  <c r="I730" i="13" s="1"/>
  <c r="H731" i="13"/>
  <c r="H730" i="13" s="1"/>
  <c r="G731" i="13"/>
  <c r="G730" i="13" s="1"/>
  <c r="F731" i="13"/>
  <c r="F730" i="13" s="1"/>
  <c r="E731" i="13"/>
  <c r="E730" i="13" s="1"/>
  <c r="W729" i="13"/>
  <c r="W716" i="13"/>
  <c r="Q712" i="13"/>
  <c r="P712" i="13"/>
  <c r="O712" i="13"/>
  <c r="N712" i="13"/>
  <c r="M712" i="13"/>
  <c r="L712" i="13"/>
  <c r="K712" i="13"/>
  <c r="J712" i="13"/>
  <c r="I712" i="13"/>
  <c r="H712" i="13"/>
  <c r="G712" i="13"/>
  <c r="F712" i="13"/>
  <c r="E712" i="13"/>
  <c r="W711" i="13"/>
  <c r="P706" i="13"/>
  <c r="O706" i="13"/>
  <c r="N706" i="13"/>
  <c r="M706" i="13"/>
  <c r="L706" i="13"/>
  <c r="J706" i="13"/>
  <c r="J705" i="13" s="1"/>
  <c r="I706" i="13"/>
  <c r="H706" i="13"/>
  <c r="G706" i="13"/>
  <c r="F706" i="13"/>
  <c r="F705" i="13" s="1"/>
  <c r="E706" i="13"/>
  <c r="W704" i="13"/>
  <c r="K699" i="13"/>
  <c r="Q699" i="13"/>
  <c r="P699" i="13"/>
  <c r="O699" i="13"/>
  <c r="N699" i="13"/>
  <c r="M699" i="13"/>
  <c r="L699" i="13"/>
  <c r="J699" i="13"/>
  <c r="I699" i="13"/>
  <c r="H699" i="13"/>
  <c r="G699" i="13"/>
  <c r="F699" i="13"/>
  <c r="E699" i="13"/>
  <c r="W698" i="13"/>
  <c r="W692" i="13"/>
  <c r="K688" i="13"/>
  <c r="Q688" i="13"/>
  <c r="P688" i="13"/>
  <c r="O688" i="13"/>
  <c r="N688" i="13"/>
  <c r="M688" i="13"/>
  <c r="L688" i="13"/>
  <c r="J688" i="13"/>
  <c r="I688" i="13"/>
  <c r="H688" i="13"/>
  <c r="G688" i="13"/>
  <c r="F688" i="13"/>
  <c r="E688" i="13"/>
  <c r="W687" i="13"/>
  <c r="W686" i="13"/>
  <c r="Q685" i="13"/>
  <c r="P685" i="13"/>
  <c r="O685" i="13"/>
  <c r="N685" i="13"/>
  <c r="M685" i="13"/>
  <c r="L685" i="13"/>
  <c r="K685" i="13"/>
  <c r="J685" i="13"/>
  <c r="I685" i="13"/>
  <c r="H685" i="13"/>
  <c r="G685" i="13"/>
  <c r="F685" i="13"/>
  <c r="E685" i="13"/>
  <c r="W684" i="13"/>
  <c r="Q680" i="13"/>
  <c r="P680" i="13"/>
  <c r="O680" i="13"/>
  <c r="N680" i="13"/>
  <c r="M680" i="13"/>
  <c r="L680" i="13"/>
  <c r="K680" i="13"/>
  <c r="J680" i="13"/>
  <c r="I680" i="13"/>
  <c r="H680" i="13"/>
  <c r="G680" i="13"/>
  <c r="F680" i="13"/>
  <c r="E680" i="13"/>
  <c r="W678" i="13"/>
  <c r="P674" i="13"/>
  <c r="O674" i="13"/>
  <c r="N674" i="13"/>
  <c r="M674" i="13"/>
  <c r="L674" i="13"/>
  <c r="J674" i="13"/>
  <c r="I674" i="13"/>
  <c r="H674" i="13"/>
  <c r="G674" i="13"/>
  <c r="F674" i="13"/>
  <c r="E674" i="13"/>
  <c r="W673" i="13"/>
  <c r="K669" i="13"/>
  <c r="Q669" i="13"/>
  <c r="P669" i="13"/>
  <c r="O669" i="13"/>
  <c r="N669" i="13"/>
  <c r="M669" i="13"/>
  <c r="L669" i="13"/>
  <c r="J669" i="13"/>
  <c r="I669" i="13"/>
  <c r="H669" i="13"/>
  <c r="G669" i="13"/>
  <c r="F669" i="13"/>
  <c r="E669" i="13"/>
  <c r="W668" i="13"/>
  <c r="W662" i="13"/>
  <c r="V662" i="13"/>
  <c r="Q660" i="13"/>
  <c r="Q619" i="13" s="1"/>
  <c r="P660" i="13"/>
  <c r="P619" i="13" s="1"/>
  <c r="O660" i="13"/>
  <c r="O619" i="13" s="1"/>
  <c r="N660" i="13"/>
  <c r="N619" i="13" s="1"/>
  <c r="M660" i="13"/>
  <c r="M619" i="13" s="1"/>
  <c r="L660" i="13"/>
  <c r="L619" i="13" s="1"/>
  <c r="K660" i="13"/>
  <c r="K619" i="13" s="1"/>
  <c r="J660" i="13"/>
  <c r="J619" i="13" s="1"/>
  <c r="I660" i="13"/>
  <c r="I619" i="13" s="1"/>
  <c r="H660" i="13"/>
  <c r="H619" i="13" s="1"/>
  <c r="G660" i="13"/>
  <c r="G619" i="13" s="1"/>
  <c r="F660" i="13"/>
  <c r="F619" i="13" s="1"/>
  <c r="E660" i="13"/>
  <c r="E619" i="13" s="1"/>
  <c r="W618" i="13"/>
  <c r="V618" i="13"/>
  <c r="Q616" i="13"/>
  <c r="P616" i="13"/>
  <c r="O616" i="13"/>
  <c r="N616" i="13"/>
  <c r="M616" i="13"/>
  <c r="L616" i="13"/>
  <c r="K616" i="13"/>
  <c r="J616" i="13"/>
  <c r="I616" i="13"/>
  <c r="H616" i="13"/>
  <c r="G616" i="13"/>
  <c r="F616" i="13"/>
  <c r="E616" i="13"/>
  <c r="W615" i="13"/>
  <c r="V615" i="13"/>
  <c r="W614" i="13"/>
  <c r="V614" i="13"/>
  <c r="Q613" i="13"/>
  <c r="P613" i="13"/>
  <c r="O613" i="13"/>
  <c r="N613" i="13"/>
  <c r="M613" i="13"/>
  <c r="L613" i="13"/>
  <c r="K613" i="13"/>
  <c r="J613" i="13"/>
  <c r="I613" i="13"/>
  <c r="H613" i="13"/>
  <c r="G613" i="13"/>
  <c r="F613" i="13"/>
  <c r="E613" i="13"/>
  <c r="W611" i="13"/>
  <c r="V611" i="13"/>
  <c r="W609" i="13"/>
  <c r="V609" i="13"/>
  <c r="Q608" i="13"/>
  <c r="Q504" i="13" s="1"/>
  <c r="P608" i="13"/>
  <c r="P504" i="13" s="1"/>
  <c r="O608" i="13"/>
  <c r="O504" i="13" s="1"/>
  <c r="N608" i="13"/>
  <c r="N504" i="13" s="1"/>
  <c r="M608" i="13"/>
  <c r="M504" i="13" s="1"/>
  <c r="L608" i="13"/>
  <c r="L504" i="13" s="1"/>
  <c r="K608" i="13"/>
  <c r="K504" i="13" s="1"/>
  <c r="J608" i="13"/>
  <c r="J504" i="13" s="1"/>
  <c r="I608" i="13"/>
  <c r="I504" i="13" s="1"/>
  <c r="H608" i="13"/>
  <c r="H504" i="13" s="1"/>
  <c r="G608" i="13"/>
  <c r="G504" i="13" s="1"/>
  <c r="F608" i="13"/>
  <c r="F504" i="13" s="1"/>
  <c r="E608" i="13"/>
  <c r="E504" i="13" s="1"/>
  <c r="W607" i="13"/>
  <c r="V607" i="13"/>
  <c r="W590" i="13"/>
  <c r="V590" i="13"/>
  <c r="W579" i="13"/>
  <c r="V579" i="13"/>
  <c r="W539" i="13"/>
  <c r="V539" i="13"/>
  <c r="W503" i="13"/>
  <c r="V503" i="13"/>
  <c r="Q499" i="13"/>
  <c r="P499" i="13"/>
  <c r="O499" i="13"/>
  <c r="N499" i="13"/>
  <c r="M499" i="13"/>
  <c r="L499" i="13"/>
  <c r="J499" i="13"/>
  <c r="I499" i="13"/>
  <c r="H499" i="13"/>
  <c r="G499" i="13"/>
  <c r="F499" i="13"/>
  <c r="E499" i="13"/>
  <c r="W498" i="13"/>
  <c r="V498" i="13"/>
  <c r="W494" i="13"/>
  <c r="V494" i="13"/>
  <c r="W475" i="13"/>
  <c r="V475" i="13"/>
  <c r="W474" i="13"/>
  <c r="V474" i="13"/>
  <c r="Q473" i="13"/>
  <c r="Q472" i="13" s="1"/>
  <c r="P473" i="13"/>
  <c r="P472" i="13" s="1"/>
  <c r="O473" i="13"/>
  <c r="O472" i="13" s="1"/>
  <c r="N473" i="13"/>
  <c r="N472" i="13" s="1"/>
  <c r="M473" i="13"/>
  <c r="M472" i="13" s="1"/>
  <c r="L473" i="13"/>
  <c r="L472" i="13" s="1"/>
  <c r="K473" i="13"/>
  <c r="K472" i="13" s="1"/>
  <c r="J473" i="13"/>
  <c r="J472" i="13" s="1"/>
  <c r="I473" i="13"/>
  <c r="I472" i="13" s="1"/>
  <c r="H473" i="13"/>
  <c r="H472" i="13" s="1"/>
  <c r="G473" i="13"/>
  <c r="G472" i="13" s="1"/>
  <c r="F473" i="13"/>
  <c r="F472" i="13" s="1"/>
  <c r="E473" i="13"/>
  <c r="E472" i="13" s="1"/>
  <c r="W471" i="13"/>
  <c r="V471" i="13"/>
  <c r="K456" i="13"/>
  <c r="Q456" i="13"/>
  <c r="P456" i="13"/>
  <c r="O456" i="13"/>
  <c r="N456" i="13"/>
  <c r="M456" i="13"/>
  <c r="L456" i="13"/>
  <c r="J456" i="13"/>
  <c r="I456" i="13"/>
  <c r="H456" i="13"/>
  <c r="G456" i="13"/>
  <c r="F456" i="13"/>
  <c r="E456" i="13"/>
  <c r="W455" i="13"/>
  <c r="V455" i="13"/>
  <c r="Q451" i="13"/>
  <c r="P451" i="13"/>
  <c r="O451" i="13"/>
  <c r="N451" i="13"/>
  <c r="M451" i="13"/>
  <c r="L451" i="13"/>
  <c r="K451" i="13"/>
  <c r="J451" i="13"/>
  <c r="I451" i="13"/>
  <c r="H451" i="13"/>
  <c r="G451" i="13"/>
  <c r="F451" i="13"/>
  <c r="E451" i="13"/>
  <c r="W450" i="13"/>
  <c r="V450" i="13"/>
  <c r="W401" i="13"/>
  <c r="V401" i="13"/>
  <c r="J356" i="13"/>
  <c r="Q356" i="13"/>
  <c r="Q355" i="13" s="1"/>
  <c r="P356" i="13"/>
  <c r="P355" i="13" s="1"/>
  <c r="O356" i="13"/>
  <c r="N356" i="13"/>
  <c r="N355" i="13" s="1"/>
  <c r="M356" i="13"/>
  <c r="M355" i="13" s="1"/>
  <c r="L356" i="13"/>
  <c r="L355" i="13" s="1"/>
  <c r="I356" i="13"/>
  <c r="H356" i="13"/>
  <c r="G356" i="13"/>
  <c r="F356" i="13"/>
  <c r="E356" i="13"/>
  <c r="Q300" i="13"/>
  <c r="P300" i="13"/>
  <c r="O300" i="13"/>
  <c r="N300" i="13"/>
  <c r="M300" i="13"/>
  <c r="L300" i="13"/>
  <c r="J300" i="13"/>
  <c r="I300" i="13"/>
  <c r="H300" i="13"/>
  <c r="G300" i="13"/>
  <c r="F300" i="13"/>
  <c r="E300" i="13"/>
  <c r="W299" i="13"/>
  <c r="V299" i="13"/>
  <c r="Q214" i="13"/>
  <c r="P214" i="13"/>
  <c r="O214" i="13"/>
  <c r="N214" i="13"/>
  <c r="M214" i="13"/>
  <c r="L214" i="13"/>
  <c r="J214" i="13"/>
  <c r="I214" i="13"/>
  <c r="H214" i="13"/>
  <c r="G214" i="13"/>
  <c r="F214" i="13"/>
  <c r="E214" i="13"/>
  <c r="W213" i="13"/>
  <c r="V213" i="13"/>
  <c r="Q166" i="13"/>
  <c r="P166" i="13"/>
  <c r="O166" i="13"/>
  <c r="N166" i="13"/>
  <c r="M166" i="13"/>
  <c r="L166" i="13"/>
  <c r="J166" i="13"/>
  <c r="I166" i="13"/>
  <c r="H166" i="13"/>
  <c r="G166" i="13"/>
  <c r="F166" i="13"/>
  <c r="E166" i="13"/>
  <c r="W165" i="13"/>
  <c r="V165" i="13"/>
  <c r="Q21" i="13"/>
  <c r="P21" i="13"/>
  <c r="O21" i="13"/>
  <c r="N21" i="13"/>
  <c r="M21" i="13"/>
  <c r="L21" i="13"/>
  <c r="J21" i="13"/>
  <c r="H21" i="13"/>
  <c r="G21" i="13"/>
  <c r="F21" i="13"/>
  <c r="E21" i="13"/>
  <c r="W20" i="13"/>
  <c r="V20" i="13"/>
  <c r="K10" i="13"/>
  <c r="Q10" i="13"/>
  <c r="P10" i="13"/>
  <c r="O10" i="13"/>
  <c r="N10" i="13"/>
  <c r="M10" i="13"/>
  <c r="L10" i="13"/>
  <c r="J10" i="13"/>
  <c r="I10" i="13"/>
  <c r="H10" i="13"/>
  <c r="G10" i="13"/>
  <c r="F10" i="13"/>
  <c r="E10" i="13"/>
  <c r="O355" i="13" l="1"/>
  <c r="F355" i="13"/>
  <c r="H355" i="13"/>
  <c r="J355" i="13"/>
  <c r="E355" i="13"/>
  <c r="G355" i="13"/>
  <c r="I355" i="13"/>
  <c r="E705" i="13"/>
  <c r="G705" i="13"/>
  <c r="H705" i="13"/>
  <c r="I705" i="13"/>
  <c r="L705" i="13"/>
  <c r="N705" i="13"/>
  <c r="P705" i="13"/>
  <c r="M705" i="13"/>
  <c r="O705" i="13"/>
  <c r="L495" i="13"/>
  <c r="M495" i="13"/>
  <c r="Q495" i="13"/>
  <c r="P495" i="13"/>
  <c r="N495" i="13"/>
  <c r="F663" i="13"/>
  <c r="E663" i="13"/>
  <c r="G663" i="13"/>
  <c r="L663" i="13"/>
  <c r="K767" i="13"/>
  <c r="O612" i="13"/>
  <c r="O495" i="13"/>
  <c r="E9" i="13"/>
  <c r="G9" i="13"/>
  <c r="I9" i="13"/>
  <c r="M9" i="13"/>
  <c r="O9" i="13"/>
  <c r="Q9" i="13"/>
  <c r="F495" i="13"/>
  <c r="H495" i="13"/>
  <c r="J495" i="13"/>
  <c r="E679" i="13"/>
  <c r="G679" i="13"/>
  <c r="I679" i="13"/>
  <c r="M679" i="13"/>
  <c r="O679" i="13"/>
  <c r="Q679" i="13"/>
  <c r="N740" i="13"/>
  <c r="J9" i="13"/>
  <c r="K166" i="13"/>
  <c r="P663" i="13"/>
  <c r="I663" i="13"/>
  <c r="N663" i="13"/>
  <c r="K706" i="13"/>
  <c r="K705" i="13" s="1"/>
  <c r="F740" i="13"/>
  <c r="J740" i="13"/>
  <c r="G767" i="13"/>
  <c r="I767" i="13"/>
  <c r="M767" i="13"/>
  <c r="O767" i="13"/>
  <c r="Q767" i="13"/>
  <c r="K612" i="13"/>
  <c r="F9" i="13"/>
  <c r="V619" i="13"/>
  <c r="K740" i="13"/>
  <c r="N9" i="13"/>
  <c r="F679" i="13"/>
  <c r="H679" i="13"/>
  <c r="J679" i="13"/>
  <c r="L679" i="13"/>
  <c r="N679" i="13"/>
  <c r="P679" i="13"/>
  <c r="L9" i="13"/>
  <c r="P9" i="13"/>
  <c r="K21" i="13"/>
  <c r="H9" i="13"/>
  <c r="K300" i="13"/>
  <c r="K356" i="13"/>
  <c r="K355" i="13" s="1"/>
  <c r="E612" i="13"/>
  <c r="G612" i="13"/>
  <c r="I612" i="13"/>
  <c r="M612" i="13"/>
  <c r="Q612" i="13"/>
  <c r="H663" i="13"/>
  <c r="J663" i="13"/>
  <c r="M663" i="13"/>
  <c r="O663" i="13"/>
  <c r="E740" i="13"/>
  <c r="G740" i="13"/>
  <c r="I740" i="13"/>
  <c r="M740" i="13"/>
  <c r="O740" i="13"/>
  <c r="Q740" i="13"/>
  <c r="H740" i="13"/>
  <c r="L740" i="13"/>
  <c r="P740" i="13"/>
  <c r="F767" i="13"/>
  <c r="H767" i="13"/>
  <c r="J767" i="13"/>
  <c r="L767" i="13"/>
  <c r="N767" i="13"/>
  <c r="P767" i="13"/>
  <c r="K214" i="13"/>
  <c r="E495" i="13"/>
  <c r="G495" i="13"/>
  <c r="I495" i="13"/>
  <c r="F612" i="13"/>
  <c r="H612" i="13"/>
  <c r="J612" i="13"/>
  <c r="L612" i="13"/>
  <c r="N612" i="13"/>
  <c r="E767" i="13"/>
  <c r="P612" i="13"/>
  <c r="K679" i="13"/>
  <c r="K499" i="13"/>
  <c r="K495" i="13" s="1"/>
  <c r="Q674" i="13"/>
  <c r="Q663" i="13" s="1"/>
  <c r="K674" i="13"/>
  <c r="K663" i="13" s="1"/>
  <c r="V616" i="13"/>
  <c r="Q706" i="13"/>
  <c r="Q705" i="13" s="1"/>
  <c r="V472" i="13"/>
  <c r="V456" i="13"/>
  <c r="V620" i="13"/>
  <c r="W214" i="13"/>
  <c r="W300" i="13"/>
  <c r="V476" i="13"/>
  <c r="V496" i="13"/>
  <c r="V648" i="13"/>
  <c r="W680" i="13"/>
  <c r="W688" i="13"/>
  <c r="W693" i="13"/>
  <c r="W706" i="13"/>
  <c r="W712" i="13"/>
  <c r="W730" i="13"/>
  <c r="W735" i="13"/>
  <c r="W741" i="13"/>
  <c r="W757" i="13"/>
  <c r="W759" i="13"/>
  <c r="W768" i="13"/>
  <c r="V10" i="13"/>
  <c r="W21" i="13"/>
  <c r="V166" i="13"/>
  <c r="V356" i="13"/>
  <c r="W451" i="13"/>
  <c r="W473" i="13"/>
  <c r="W499" i="13"/>
  <c r="W608" i="13"/>
  <c r="W613" i="13"/>
  <c r="W629" i="13"/>
  <c r="W660" i="13"/>
  <c r="W664" i="13"/>
  <c r="W669" i="13"/>
  <c r="W674" i="13"/>
  <c r="W685" i="13"/>
  <c r="W699" i="13"/>
  <c r="W731" i="13"/>
  <c r="W736" i="13"/>
  <c r="W753" i="13"/>
  <c r="W760" i="13"/>
  <c r="W1623" i="13"/>
  <c r="W3328" i="13"/>
  <c r="W3460" i="13"/>
  <c r="W10" i="13"/>
  <c r="V21" i="13"/>
  <c r="W166" i="13"/>
  <c r="V214" i="13"/>
  <c r="V300" i="13"/>
  <c r="W356" i="13"/>
  <c r="V451" i="13"/>
  <c r="W456" i="13"/>
  <c r="V473" i="13"/>
  <c r="W476" i="13"/>
  <c r="W496" i="13"/>
  <c r="V499" i="13"/>
  <c r="V608" i="13"/>
  <c r="V613" i="13"/>
  <c r="W616" i="13"/>
  <c r="W620" i="13"/>
  <c r="V629" i="13"/>
  <c r="W648" i="13"/>
  <c r="V660" i="13"/>
  <c r="W725" i="13" l="1"/>
  <c r="W717" i="13"/>
  <c r="V612" i="13"/>
  <c r="V495" i="13"/>
  <c r="W679" i="13"/>
  <c r="W612" i="13"/>
  <c r="W619" i="13"/>
  <c r="W740" i="13"/>
  <c r="W767" i="13"/>
  <c r="W495" i="13"/>
  <c r="W472" i="13"/>
  <c r="K9" i="13"/>
  <c r="W705" i="13"/>
  <c r="W663" i="13"/>
  <c r="V9" i="13"/>
  <c r="W9" i="13"/>
  <c r="V402" i="13" l="1"/>
  <c r="W402" i="13"/>
  <c r="V601" i="13"/>
  <c r="W601" i="13"/>
  <c r="V355" i="13" l="1"/>
  <c r="W355" i="13"/>
  <c r="W591" i="13" l="1"/>
  <c r="V591" i="13"/>
  <c r="W586" i="13" l="1"/>
  <c r="V586" i="13"/>
  <c r="W580" i="13" l="1"/>
  <c r="V580" i="13"/>
  <c r="V576" i="13" l="1"/>
  <c r="W576" i="13"/>
  <c r="W572" i="13" l="1"/>
  <c r="V572" i="13"/>
  <c r="W568" i="13" l="1"/>
  <c r="V568" i="13"/>
  <c r="W552" i="13" l="1"/>
  <c r="V552" i="13"/>
  <c r="V564" i="13"/>
  <c r="W564" i="13"/>
  <c r="V548" i="13" l="1"/>
  <c r="W548" i="13"/>
  <c r="W543" i="13" l="1"/>
  <c r="V543" i="13"/>
  <c r="W540" i="13" l="1"/>
  <c r="V540" i="13"/>
  <c r="V536" i="13" l="1"/>
  <c r="W536" i="13"/>
  <c r="W531" i="13" l="1"/>
  <c r="V531" i="13"/>
  <c r="V523" i="13" l="1"/>
  <c r="W523" i="13"/>
  <c r="W505" i="13" l="1"/>
  <c r="V505" i="13"/>
  <c r="W504" i="13" l="1"/>
  <c r="V504" i="13"/>
  <c r="Q8" i="7" l="1"/>
  <c r="Q9" i="7"/>
  <c r="Q11" i="7"/>
  <c r="Q12" i="7"/>
  <c r="P8" i="7"/>
  <c r="P9" i="7"/>
  <c r="P11" i="7"/>
  <c r="P12" i="7"/>
  <c r="L8" i="7"/>
  <c r="L9" i="7"/>
  <c r="L11" i="7"/>
  <c r="L12" i="7"/>
  <c r="K8" i="7"/>
  <c r="K9" i="7"/>
  <c r="K11" i="7"/>
  <c r="K12" i="7"/>
  <c r="G8" i="7"/>
  <c r="G9" i="7"/>
  <c r="G11" i="7"/>
  <c r="G12" i="7"/>
  <c r="F8" i="7"/>
  <c r="F9" i="7"/>
  <c r="F11" i="7"/>
  <c r="F12" i="7"/>
  <c r="N10" i="7"/>
  <c r="O10" i="7"/>
  <c r="N7" i="7"/>
  <c r="N13" i="7" s="1"/>
  <c r="O7" i="7"/>
  <c r="M10" i="7"/>
  <c r="P10" i="7" s="1"/>
  <c r="M7" i="7"/>
  <c r="I10" i="7"/>
  <c r="J10" i="7"/>
  <c r="I7" i="7"/>
  <c r="I13" i="7" s="1"/>
  <c r="J7" i="7"/>
  <c r="H10" i="7"/>
  <c r="K10" i="7" s="1"/>
  <c r="H7" i="7"/>
  <c r="D10" i="7"/>
  <c r="E10" i="7"/>
  <c r="C10" i="7"/>
  <c r="D7" i="7"/>
  <c r="E7" i="7"/>
  <c r="C7" i="7"/>
  <c r="C13" i="7" l="1"/>
  <c r="D13" i="7"/>
  <c r="G10" i="7"/>
  <c r="L7" i="7"/>
  <c r="L10" i="7"/>
  <c r="M13" i="7"/>
  <c r="Q7" i="7"/>
  <c r="Q10" i="7"/>
  <c r="G7" i="7"/>
  <c r="F10" i="7"/>
  <c r="K7" i="7"/>
  <c r="O13" i="7"/>
  <c r="P7" i="7"/>
  <c r="P13" i="7"/>
  <c r="E13" i="7"/>
  <c r="H13" i="7"/>
  <c r="F7" i="7"/>
  <c r="Q13" i="7"/>
  <c r="J13" i="7"/>
  <c r="DT45" i="3"/>
  <c r="DV45" i="3" s="1"/>
  <c r="DR45" i="3"/>
  <c r="DQ45" i="3"/>
  <c r="DM45" i="3"/>
  <c r="DO45" i="3" s="1"/>
  <c r="DK45" i="3"/>
  <c r="DJ45" i="3"/>
  <c r="DT14" i="3"/>
  <c r="DR14" i="3"/>
  <c r="DQ14" i="3"/>
  <c r="DM14" i="3"/>
  <c r="DK14" i="3"/>
  <c r="DJ14" i="3"/>
  <c r="BU45" i="3"/>
  <c r="BT45" i="3"/>
  <c r="BR45" i="3"/>
  <c r="BQ45" i="3"/>
  <c r="BS45" i="3" s="1"/>
  <c r="BN45" i="3"/>
  <c r="BM45" i="3"/>
  <c r="BO45" i="3" s="1"/>
  <c r="BK45" i="3"/>
  <c r="BJ45" i="3"/>
  <c r="BU14" i="3"/>
  <c r="BT14" i="3"/>
  <c r="BR14" i="3"/>
  <c r="BQ14" i="3"/>
  <c r="BN14" i="3"/>
  <c r="BM14" i="3"/>
  <c r="BK14" i="3"/>
  <c r="BJ14" i="3"/>
  <c r="T45" i="3"/>
  <c r="V45" i="3" s="1"/>
  <c r="R45" i="3"/>
  <c r="Q45" i="3"/>
  <c r="M45" i="3"/>
  <c r="O45" i="3" s="1"/>
  <c r="K45" i="3"/>
  <c r="J45" i="3"/>
  <c r="T14" i="3"/>
  <c r="R14" i="3"/>
  <c r="Q14" i="3"/>
  <c r="M14" i="3"/>
  <c r="K14" i="3"/>
  <c r="J14" i="3"/>
  <c r="L14" i="3" s="1"/>
  <c r="W45" i="3"/>
  <c r="L45" i="3"/>
  <c r="S45" i="3" l="1"/>
  <c r="BV45" i="3"/>
  <c r="BP45" i="3"/>
  <c r="DL45" i="3"/>
  <c r="DS45" i="3"/>
  <c r="K13" i="7"/>
  <c r="L13" i="7"/>
  <c r="F13" i="7"/>
  <c r="G13" i="7"/>
  <c r="DP45" i="3"/>
  <c r="BL45" i="3"/>
  <c r="P45" i="3"/>
  <c r="BC14" i="3"/>
  <c r="BI14" i="3" s="1"/>
  <c r="R30" i="3"/>
  <c r="K30" i="3"/>
  <c r="D30" i="3"/>
  <c r="BY61" i="3"/>
  <c r="CA61" i="3"/>
  <c r="BX61" i="3"/>
  <c r="BY62" i="3"/>
  <c r="BV61" i="3"/>
  <c r="BI30" i="3"/>
  <c r="DW45" i="3"/>
  <c r="DW46" i="3"/>
  <c r="DW47" i="3"/>
  <c r="DW48" i="3"/>
  <c r="DW49" i="3"/>
  <c r="DW50" i="3"/>
  <c r="DW51" i="3"/>
  <c r="DW52" i="3"/>
  <c r="DW53" i="3"/>
  <c r="DW54" i="3"/>
  <c r="DW55" i="3"/>
  <c r="DW56" i="3"/>
  <c r="DW57" i="3"/>
  <c r="DW58" i="3"/>
  <c r="DW59" i="3"/>
  <c r="DW60" i="3"/>
  <c r="DW61" i="3"/>
  <c r="DW62" i="3"/>
  <c r="DW63" i="3"/>
  <c r="DW64" i="3"/>
  <c r="DW65" i="3"/>
  <c r="DW66" i="3"/>
  <c r="DW67" i="3"/>
  <c r="DW68" i="3"/>
  <c r="DW69" i="3"/>
  <c r="DW44" i="3"/>
  <c r="DW14" i="3"/>
  <c r="DW15" i="3"/>
  <c r="DW16" i="3"/>
  <c r="DW17" i="3"/>
  <c r="DW18" i="3"/>
  <c r="DW19" i="3"/>
  <c r="DW20" i="3"/>
  <c r="DW21" i="3"/>
  <c r="DW22" i="3"/>
  <c r="DW23" i="3"/>
  <c r="DW24" i="3"/>
  <c r="DW25" i="3"/>
  <c r="DW26" i="3"/>
  <c r="DW27" i="3"/>
  <c r="DW28" i="3"/>
  <c r="DW29" i="3"/>
  <c r="DW30" i="3"/>
  <c r="DW31" i="3"/>
  <c r="DW32" i="3"/>
  <c r="DW33" i="3"/>
  <c r="DW34" i="3"/>
  <c r="DW35" i="3"/>
  <c r="DW36" i="3"/>
  <c r="DW37" i="3"/>
  <c r="DW38" i="3"/>
  <c r="DW13" i="3"/>
  <c r="DP69" i="3"/>
  <c r="DP68" i="3"/>
  <c r="DP67" i="3"/>
  <c r="DP66" i="3"/>
  <c r="DP65" i="3"/>
  <c r="DP64" i="3"/>
  <c r="DP63" i="3"/>
  <c r="DP62" i="3"/>
  <c r="DP61" i="3"/>
  <c r="DP60" i="3"/>
  <c r="DP59" i="3"/>
  <c r="DP58" i="3"/>
  <c r="DP57" i="3"/>
  <c r="DP56" i="3"/>
  <c r="DP55" i="3"/>
  <c r="DP54" i="3"/>
  <c r="DP53" i="3"/>
  <c r="DP52" i="3"/>
  <c r="DP51" i="3"/>
  <c r="DP50" i="3"/>
  <c r="DP49" i="3"/>
  <c r="DP48" i="3"/>
  <c r="DP47" i="3"/>
  <c r="DP46" i="3"/>
  <c r="DP44" i="3"/>
  <c r="DP38" i="3"/>
  <c r="DP37" i="3"/>
  <c r="DP36" i="3"/>
  <c r="DP35" i="3"/>
  <c r="DP34" i="3"/>
  <c r="DP33" i="3"/>
  <c r="DP32" i="3"/>
  <c r="DP31" i="3"/>
  <c r="DP30" i="3"/>
  <c r="DP29" i="3"/>
  <c r="DP28" i="3"/>
  <c r="DP27" i="3"/>
  <c r="DP26" i="3"/>
  <c r="DP25" i="3"/>
  <c r="DP24" i="3"/>
  <c r="DP23" i="3"/>
  <c r="DP22" i="3"/>
  <c r="DP21" i="3"/>
  <c r="DP20" i="3"/>
  <c r="DP19" i="3"/>
  <c r="DP18" i="3"/>
  <c r="DP17" i="3"/>
  <c r="DP16" i="3"/>
  <c r="DP15" i="3"/>
  <c r="DP14" i="3"/>
  <c r="DP13" i="3"/>
  <c r="DI69" i="3"/>
  <c r="ED69" i="3" s="1"/>
  <c r="DI68" i="3"/>
  <c r="DI67" i="3"/>
  <c r="DI66" i="3"/>
  <c r="ED66" i="3" s="1"/>
  <c r="DI65" i="3"/>
  <c r="DI64" i="3"/>
  <c r="ED64" i="3" s="1"/>
  <c r="DI63" i="3"/>
  <c r="ED63" i="3" s="1"/>
  <c r="DI62" i="3"/>
  <c r="ED62" i="3" s="1"/>
  <c r="DI61" i="3"/>
  <c r="ED61" i="3" s="1"/>
  <c r="DI60" i="3"/>
  <c r="ED60" i="3" s="1"/>
  <c r="DI59" i="3"/>
  <c r="ED59" i="3" s="1"/>
  <c r="DI58" i="3"/>
  <c r="ED58" i="3" s="1"/>
  <c r="DI57" i="3"/>
  <c r="ED57" i="3" s="1"/>
  <c r="DI56" i="3"/>
  <c r="ED56" i="3" s="1"/>
  <c r="DI55" i="3"/>
  <c r="ED55" i="3" s="1"/>
  <c r="DI54" i="3"/>
  <c r="ED54" i="3" s="1"/>
  <c r="DI53" i="3"/>
  <c r="ED53" i="3" s="1"/>
  <c r="DI52" i="3"/>
  <c r="ED52" i="3" s="1"/>
  <c r="DI51" i="3"/>
  <c r="ED51" i="3" s="1"/>
  <c r="DI50" i="3"/>
  <c r="ED50" i="3" s="1"/>
  <c r="DI49" i="3"/>
  <c r="ED49" i="3" s="1"/>
  <c r="DI48" i="3"/>
  <c r="ED48" i="3" s="1"/>
  <c r="DI47" i="3"/>
  <c r="ED47" i="3" s="1"/>
  <c r="DI46" i="3"/>
  <c r="ED46" i="3" s="1"/>
  <c r="DI45" i="3"/>
  <c r="DI44" i="3"/>
  <c r="ED44" i="3" s="1"/>
  <c r="DI14" i="3"/>
  <c r="DI15" i="3"/>
  <c r="ED15" i="3" s="1"/>
  <c r="DI16" i="3"/>
  <c r="ED16" i="3" s="1"/>
  <c r="DI17" i="3"/>
  <c r="ED17" i="3" s="1"/>
  <c r="DI18" i="3"/>
  <c r="ED18" i="3" s="1"/>
  <c r="DI19" i="3"/>
  <c r="ED19" i="3" s="1"/>
  <c r="DI20" i="3"/>
  <c r="ED20" i="3" s="1"/>
  <c r="DI21" i="3"/>
  <c r="ED21" i="3" s="1"/>
  <c r="DI22" i="3"/>
  <c r="ED22" i="3" s="1"/>
  <c r="DI23" i="3"/>
  <c r="ED23" i="3" s="1"/>
  <c r="DI24" i="3"/>
  <c r="ED24" i="3" s="1"/>
  <c r="DI25" i="3"/>
  <c r="ED25" i="3" s="1"/>
  <c r="DI26" i="3"/>
  <c r="ED26" i="3" s="1"/>
  <c r="DI27" i="3"/>
  <c r="ED27" i="3" s="1"/>
  <c r="DI28" i="3"/>
  <c r="ED28" i="3" s="1"/>
  <c r="DI29" i="3"/>
  <c r="ED29" i="3" s="1"/>
  <c r="DI30" i="3"/>
  <c r="ED30" i="3" s="1"/>
  <c r="DI31" i="3"/>
  <c r="ED31" i="3" s="1"/>
  <c r="DI32" i="3"/>
  <c r="ED32" i="3" s="1"/>
  <c r="DI33" i="3"/>
  <c r="ED33" i="3" s="1"/>
  <c r="DI34" i="3"/>
  <c r="DI35" i="3"/>
  <c r="ED35" i="3" s="1"/>
  <c r="DI36" i="3"/>
  <c r="DI37" i="3"/>
  <c r="DI38" i="3"/>
  <c r="ED38" i="3" s="1"/>
  <c r="DI13" i="3"/>
  <c r="DI39" i="3" s="1"/>
  <c r="BW69" i="3"/>
  <c r="BW68" i="3"/>
  <c r="BW67" i="3"/>
  <c r="BW66" i="3"/>
  <c r="BW65" i="3"/>
  <c r="BW64" i="3"/>
  <c r="BW63" i="3"/>
  <c r="BW62" i="3"/>
  <c r="BW61" i="3"/>
  <c r="BW60" i="3"/>
  <c r="BW59" i="3"/>
  <c r="BW58" i="3"/>
  <c r="BW57" i="3"/>
  <c r="BW56" i="3"/>
  <c r="BW55" i="3"/>
  <c r="BW54" i="3"/>
  <c r="BW53" i="3"/>
  <c r="BW52" i="3"/>
  <c r="BW51" i="3"/>
  <c r="BW50" i="3"/>
  <c r="BW49" i="3"/>
  <c r="BW48" i="3"/>
  <c r="BW47" i="3"/>
  <c r="BW46" i="3"/>
  <c r="BW45" i="3"/>
  <c r="BW44" i="3"/>
  <c r="BW70" i="3" s="1"/>
  <c r="BP69" i="3"/>
  <c r="BP68" i="3"/>
  <c r="BP67" i="3"/>
  <c r="BP66" i="3"/>
  <c r="BP65" i="3"/>
  <c r="BP64" i="3"/>
  <c r="BP63" i="3"/>
  <c r="BP62" i="3"/>
  <c r="BP61" i="3"/>
  <c r="BP60" i="3"/>
  <c r="BP59" i="3"/>
  <c r="BP58" i="3"/>
  <c r="BP57" i="3"/>
  <c r="BP56" i="3"/>
  <c r="BP55" i="3"/>
  <c r="BP54" i="3"/>
  <c r="BP53" i="3"/>
  <c r="BP52" i="3"/>
  <c r="BP51" i="3"/>
  <c r="BP50" i="3"/>
  <c r="BP49" i="3"/>
  <c r="BP48" i="3"/>
  <c r="BP47" i="3"/>
  <c r="BP46" i="3"/>
  <c r="BP44" i="3"/>
  <c r="BI69" i="3"/>
  <c r="BI68" i="3"/>
  <c r="BI67" i="3"/>
  <c r="BI66" i="3"/>
  <c r="BI65" i="3"/>
  <c r="BI64" i="3"/>
  <c r="BI63" i="3"/>
  <c r="BI62" i="3"/>
  <c r="CD62" i="3" s="1"/>
  <c r="BI61" i="3"/>
  <c r="CD61" i="3" s="1"/>
  <c r="BI60" i="3"/>
  <c r="CD60" i="3" s="1"/>
  <c r="BI59" i="3"/>
  <c r="CD59" i="3" s="1"/>
  <c r="BI58" i="3"/>
  <c r="CD58" i="3" s="1"/>
  <c r="BI57" i="3"/>
  <c r="CD57" i="3" s="1"/>
  <c r="BI56" i="3"/>
  <c r="CD56" i="3" s="1"/>
  <c r="BI55" i="3"/>
  <c r="CD55" i="3" s="1"/>
  <c r="BI54" i="3"/>
  <c r="CD54" i="3" s="1"/>
  <c r="BI53" i="3"/>
  <c r="CD53" i="3" s="1"/>
  <c r="BI52" i="3"/>
  <c r="CD52" i="3" s="1"/>
  <c r="BI51" i="3"/>
  <c r="CD51" i="3" s="1"/>
  <c r="BI50" i="3"/>
  <c r="CD50" i="3" s="1"/>
  <c r="BI49" i="3"/>
  <c r="CD49" i="3" s="1"/>
  <c r="BI48" i="3"/>
  <c r="CD48" i="3" s="1"/>
  <c r="BI47" i="3"/>
  <c r="CD47" i="3" s="1"/>
  <c r="BI46" i="3"/>
  <c r="CD46" i="3" s="1"/>
  <c r="BI45" i="3"/>
  <c r="CD45" i="3" s="1"/>
  <c r="BI44" i="3"/>
  <c r="BW38" i="3"/>
  <c r="BW37" i="3"/>
  <c r="BW36" i="3"/>
  <c r="BW35" i="3"/>
  <c r="BW34" i="3"/>
  <c r="BW33" i="3"/>
  <c r="BW32" i="3"/>
  <c r="BW31" i="3"/>
  <c r="BW30" i="3"/>
  <c r="BW29" i="3"/>
  <c r="BW28" i="3"/>
  <c r="BW27" i="3"/>
  <c r="BW26" i="3"/>
  <c r="BW25" i="3"/>
  <c r="BW24" i="3"/>
  <c r="BW23" i="3"/>
  <c r="BW22" i="3"/>
  <c r="BW21" i="3"/>
  <c r="BW20" i="3"/>
  <c r="BW19" i="3"/>
  <c r="BW18" i="3"/>
  <c r="BW17" i="3"/>
  <c r="BW16" i="3"/>
  <c r="BW15" i="3"/>
  <c r="BW14" i="3"/>
  <c r="BW13" i="3"/>
  <c r="BP38" i="3"/>
  <c r="BP37" i="3"/>
  <c r="BP36" i="3"/>
  <c r="BP35" i="3"/>
  <c r="BP34" i="3"/>
  <c r="BP33" i="3"/>
  <c r="BP32" i="3"/>
  <c r="BP31" i="3"/>
  <c r="BP30" i="3"/>
  <c r="CD30" i="3" s="1"/>
  <c r="BP29" i="3"/>
  <c r="BP28" i="3"/>
  <c r="BP27" i="3"/>
  <c r="BP26" i="3"/>
  <c r="BP25" i="3"/>
  <c r="BP24" i="3"/>
  <c r="BP23" i="3"/>
  <c r="BP22" i="3"/>
  <c r="BP21" i="3"/>
  <c r="BP20" i="3"/>
  <c r="BP19" i="3"/>
  <c r="BP18" i="3"/>
  <c r="BP17" i="3"/>
  <c r="BP16" i="3"/>
  <c r="BP15" i="3"/>
  <c r="BP14" i="3"/>
  <c r="BP13" i="3"/>
  <c r="BI15" i="3"/>
  <c r="CD15" i="3" s="1"/>
  <c r="BI16" i="3"/>
  <c r="BI17" i="3"/>
  <c r="CD17" i="3" s="1"/>
  <c r="BI18" i="3"/>
  <c r="BI19" i="3"/>
  <c r="CD19" i="3" s="1"/>
  <c r="BI20" i="3"/>
  <c r="BI21" i="3"/>
  <c r="CD21" i="3" s="1"/>
  <c r="BI22" i="3"/>
  <c r="CD22" i="3" s="1"/>
  <c r="BI23" i="3"/>
  <c r="CD23" i="3" s="1"/>
  <c r="BI24" i="3"/>
  <c r="CD24" i="3" s="1"/>
  <c r="BI25" i="3"/>
  <c r="CD25" i="3" s="1"/>
  <c r="BI26" i="3"/>
  <c r="CD26" i="3" s="1"/>
  <c r="BI27" i="3"/>
  <c r="CD27" i="3" s="1"/>
  <c r="BI28" i="3"/>
  <c r="CD28" i="3" s="1"/>
  <c r="BI29" i="3"/>
  <c r="CD29" i="3" s="1"/>
  <c r="BI31" i="3"/>
  <c r="CD31" i="3" s="1"/>
  <c r="BI32" i="3"/>
  <c r="BI33" i="3"/>
  <c r="CD33" i="3" s="1"/>
  <c r="BI34" i="3"/>
  <c r="BI35" i="3"/>
  <c r="CD35" i="3" s="1"/>
  <c r="BI36" i="3"/>
  <c r="BI37" i="3"/>
  <c r="BI38" i="3"/>
  <c r="BI13" i="3"/>
  <c r="W69" i="3"/>
  <c r="W68" i="3"/>
  <c r="W67" i="3"/>
  <c r="W66" i="3"/>
  <c r="W65" i="3"/>
  <c r="W64" i="3"/>
  <c r="W63" i="3"/>
  <c r="W62" i="3"/>
  <c r="W61" i="3"/>
  <c r="W60" i="3"/>
  <c r="W59" i="3"/>
  <c r="W58" i="3"/>
  <c r="W57" i="3"/>
  <c r="W56" i="3"/>
  <c r="W55" i="3"/>
  <c r="W54" i="3"/>
  <c r="W53" i="3"/>
  <c r="W52" i="3"/>
  <c r="W51" i="3"/>
  <c r="W50" i="3"/>
  <c r="W49" i="3"/>
  <c r="W48" i="3"/>
  <c r="W47" i="3"/>
  <c r="W46" i="3"/>
  <c r="W44" i="3"/>
  <c r="W38" i="3"/>
  <c r="W37" i="3"/>
  <c r="W36" i="3"/>
  <c r="W35" i="3"/>
  <c r="W34" i="3"/>
  <c r="W33" i="3"/>
  <c r="W32" i="3"/>
  <c r="W31" i="3"/>
  <c r="W30" i="3"/>
  <c r="W29" i="3"/>
  <c r="W28" i="3"/>
  <c r="W27" i="3"/>
  <c r="W26" i="3"/>
  <c r="W25" i="3"/>
  <c r="W24" i="3"/>
  <c r="W23" i="3"/>
  <c r="W22" i="3"/>
  <c r="W21" i="3"/>
  <c r="W20" i="3"/>
  <c r="W19" i="3"/>
  <c r="W18" i="3"/>
  <c r="W17" i="3"/>
  <c r="W16" i="3"/>
  <c r="W15" i="3"/>
  <c r="W14" i="3"/>
  <c r="W13" i="3"/>
  <c r="P69" i="3"/>
  <c r="P68" i="3"/>
  <c r="P67" i="3"/>
  <c r="P66" i="3"/>
  <c r="P65" i="3"/>
  <c r="P64" i="3"/>
  <c r="P63" i="3"/>
  <c r="P62" i="3"/>
  <c r="P61" i="3"/>
  <c r="P60" i="3"/>
  <c r="P59" i="3"/>
  <c r="P58" i="3"/>
  <c r="P57" i="3"/>
  <c r="P56" i="3"/>
  <c r="P55" i="3"/>
  <c r="P54" i="3"/>
  <c r="P53" i="3"/>
  <c r="P52" i="3"/>
  <c r="P51" i="3"/>
  <c r="P50" i="3"/>
  <c r="P49" i="3"/>
  <c r="P48" i="3"/>
  <c r="P47" i="3"/>
  <c r="P46" i="3"/>
  <c r="P44" i="3"/>
  <c r="P38" i="3"/>
  <c r="P37" i="3"/>
  <c r="P36" i="3"/>
  <c r="P35" i="3"/>
  <c r="P34" i="3"/>
  <c r="P33" i="3"/>
  <c r="P32" i="3"/>
  <c r="P31" i="3"/>
  <c r="P30" i="3"/>
  <c r="P29" i="3"/>
  <c r="P28" i="3"/>
  <c r="P27" i="3"/>
  <c r="P26" i="3"/>
  <c r="P25" i="3"/>
  <c r="P24" i="3"/>
  <c r="P23" i="3"/>
  <c r="P22" i="3"/>
  <c r="P21" i="3"/>
  <c r="P20" i="3"/>
  <c r="P19" i="3"/>
  <c r="P18" i="3"/>
  <c r="P17" i="3"/>
  <c r="P16" i="3"/>
  <c r="P15" i="3"/>
  <c r="P14" i="3"/>
  <c r="P13" i="3"/>
  <c r="I44" i="3"/>
  <c r="AD44" i="3" s="1"/>
  <c r="I69" i="3"/>
  <c r="AD69" i="3" s="1"/>
  <c r="I68" i="3"/>
  <c r="I67" i="3"/>
  <c r="AD67" i="3" s="1"/>
  <c r="I66" i="3"/>
  <c r="I65" i="3"/>
  <c r="I64" i="3"/>
  <c r="AD64" i="3" s="1"/>
  <c r="I63" i="3"/>
  <c r="I62" i="3"/>
  <c r="AD62" i="3" s="1"/>
  <c r="I61" i="3"/>
  <c r="I60" i="3"/>
  <c r="AD60" i="3" s="1"/>
  <c r="I59" i="3"/>
  <c r="AD59" i="3" s="1"/>
  <c r="I58" i="3"/>
  <c r="AD58" i="3" s="1"/>
  <c r="I57" i="3"/>
  <c r="AD57" i="3" s="1"/>
  <c r="I56" i="3"/>
  <c r="AD56" i="3" s="1"/>
  <c r="I55" i="3"/>
  <c r="AD55" i="3" s="1"/>
  <c r="I54" i="3"/>
  <c r="AD54" i="3" s="1"/>
  <c r="I53" i="3"/>
  <c r="AD53" i="3" s="1"/>
  <c r="I52" i="3"/>
  <c r="AD52" i="3" s="1"/>
  <c r="I51" i="3"/>
  <c r="AD51" i="3" s="1"/>
  <c r="I50" i="3"/>
  <c r="AD50" i="3" s="1"/>
  <c r="I49" i="3"/>
  <c r="AD49" i="3" s="1"/>
  <c r="I48" i="3"/>
  <c r="AD48" i="3" s="1"/>
  <c r="I47" i="3"/>
  <c r="AD47" i="3" s="1"/>
  <c r="I46" i="3"/>
  <c r="AD46" i="3" s="1"/>
  <c r="I45" i="3"/>
  <c r="AD45" i="3" s="1"/>
  <c r="I14" i="3"/>
  <c r="I15" i="3"/>
  <c r="AD15" i="3" s="1"/>
  <c r="I16" i="3"/>
  <c r="AD16" i="3" s="1"/>
  <c r="I17" i="3"/>
  <c r="AD17" i="3" s="1"/>
  <c r="I18" i="3"/>
  <c r="AD18" i="3" s="1"/>
  <c r="I19" i="3"/>
  <c r="AD19" i="3" s="1"/>
  <c r="I20" i="3"/>
  <c r="AD20" i="3" s="1"/>
  <c r="I21" i="3"/>
  <c r="AD21" i="3" s="1"/>
  <c r="I22" i="3"/>
  <c r="AD22" i="3" s="1"/>
  <c r="I23" i="3"/>
  <c r="AD23" i="3" s="1"/>
  <c r="I24" i="3"/>
  <c r="AD24" i="3" s="1"/>
  <c r="I25" i="3"/>
  <c r="AD25" i="3" s="1"/>
  <c r="I26" i="3"/>
  <c r="AD26" i="3" s="1"/>
  <c r="I27" i="3"/>
  <c r="AD27" i="3" s="1"/>
  <c r="I28" i="3"/>
  <c r="AD28" i="3" s="1"/>
  <c r="I29" i="3"/>
  <c r="AD29" i="3" s="1"/>
  <c r="I30" i="3"/>
  <c r="I31" i="3"/>
  <c r="AD31" i="3" s="1"/>
  <c r="I32" i="3"/>
  <c r="I33" i="3"/>
  <c r="AD33" i="3" s="1"/>
  <c r="I34" i="3"/>
  <c r="I35" i="3"/>
  <c r="I36" i="3"/>
  <c r="AD36" i="3" s="1"/>
  <c r="I37" i="3"/>
  <c r="I38" i="3"/>
  <c r="AD38" i="3" s="1"/>
  <c r="I13" i="3"/>
  <c r="AD13" i="3" s="1"/>
  <c r="DY60" i="3"/>
  <c r="DX60" i="3"/>
  <c r="DY29" i="3"/>
  <c r="DX29" i="3"/>
  <c r="DV29" i="3"/>
  <c r="BY29" i="3"/>
  <c r="BX29" i="3"/>
  <c r="BX60" i="3"/>
  <c r="BH60" i="3"/>
  <c r="DY54" i="3"/>
  <c r="EA54" i="3"/>
  <c r="DX54" i="3"/>
  <c r="DV54" i="3"/>
  <c r="DL54" i="3"/>
  <c r="DY23" i="3"/>
  <c r="EA23" i="3"/>
  <c r="DX23" i="3"/>
  <c r="BY23" i="3"/>
  <c r="CA23" i="3"/>
  <c r="BY54" i="3"/>
  <c r="CA54" i="3"/>
  <c r="BX54" i="3"/>
  <c r="BV54" i="3"/>
  <c r="BE54" i="3"/>
  <c r="BE23" i="3"/>
  <c r="P70" i="3" l="1"/>
  <c r="BI39" i="3"/>
  <c r="CD20" i="3"/>
  <c r="CD18" i="3"/>
  <c r="CD16" i="3"/>
  <c r="BP39" i="3"/>
  <c r="BW39" i="3"/>
  <c r="BI70" i="3"/>
  <c r="CD64" i="3"/>
  <c r="CD66" i="3"/>
  <c r="DW39" i="3"/>
  <c r="DW70" i="3"/>
  <c r="BP72" i="3"/>
  <c r="BP41" i="3"/>
  <c r="DP39" i="3"/>
  <c r="DP70" i="3"/>
  <c r="I39" i="3"/>
  <c r="AD14" i="3"/>
  <c r="W70" i="3"/>
  <c r="BW41" i="3"/>
  <c r="CD13" i="3"/>
  <c r="BW72" i="3"/>
  <c r="DW41" i="3"/>
  <c r="DW72" i="3"/>
  <c r="DI70" i="3"/>
  <c r="I70" i="3"/>
  <c r="P72" i="3"/>
  <c r="CD44" i="3"/>
  <c r="BP70" i="3"/>
  <c r="ED14" i="3"/>
  <c r="ED13" i="3"/>
  <c r="ED45" i="3"/>
  <c r="DP72" i="3"/>
  <c r="DP41" i="3"/>
  <c r="EL13" i="3"/>
  <c r="CL44" i="3"/>
  <c r="CD14" i="3"/>
  <c r="CL13" i="3" s="1"/>
  <c r="W41" i="3"/>
  <c r="P41" i="3"/>
  <c r="P39" i="3"/>
  <c r="W72" i="3"/>
  <c r="AD61" i="3"/>
  <c r="AL44" i="3" s="1"/>
  <c r="W39" i="3"/>
  <c r="AD30" i="3"/>
  <c r="AH13" i="3" s="1"/>
  <c r="EL44" i="3"/>
  <c r="EH13" i="3"/>
  <c r="EH44" i="3"/>
  <c r="CH13" i="3"/>
  <c r="CH44" i="3"/>
  <c r="AA64" i="3"/>
  <c r="X64" i="3"/>
  <c r="AA33" i="3"/>
  <c r="X33" i="3"/>
  <c r="AA67" i="3"/>
  <c r="V67" i="3"/>
  <c r="O67" i="3"/>
  <c r="AA36" i="3"/>
  <c r="V36" i="3"/>
  <c r="O36" i="3"/>
  <c r="L36" i="3"/>
  <c r="E36" i="3"/>
  <c r="E67" i="3"/>
  <c r="H67" i="3"/>
  <c r="H36" i="3"/>
  <c r="AL13" i="3" l="1"/>
  <c r="AT13" i="3" s="1"/>
  <c r="AH44" i="3"/>
  <c r="AT44" i="3" s="1"/>
  <c r="ET13" i="3"/>
  <c r="EP13" i="3"/>
  <c r="ET44" i="3"/>
  <c r="EP44" i="3"/>
  <c r="CT44" i="3"/>
  <c r="CP44" i="3"/>
  <c r="CP13" i="3"/>
  <c r="CT13" i="3"/>
  <c r="AC67" i="3"/>
  <c r="AC36" i="3"/>
  <c r="Y54" i="3"/>
  <c r="AA54" i="3"/>
  <c r="X54" i="3"/>
  <c r="Y23" i="3"/>
  <c r="AA23" i="3"/>
  <c r="X23" i="3"/>
  <c r="E23" i="3"/>
  <c r="AP13" i="3" l="1"/>
  <c r="AX13" i="3" s="1"/>
  <c r="BB13" i="3" s="1"/>
  <c r="AP44" i="3"/>
  <c r="AX63" i="3" s="1"/>
  <c r="BB63" i="3" s="1"/>
  <c r="EX68" i="3"/>
  <c r="FB68" i="3" s="1"/>
  <c r="EX65" i="3"/>
  <c r="FB65" i="3" s="1"/>
  <c r="EX46" i="3"/>
  <c r="FB46" i="3" s="1"/>
  <c r="EX66" i="3"/>
  <c r="FB66" i="3" s="1"/>
  <c r="EX44" i="3"/>
  <c r="FB44" i="3" s="1"/>
  <c r="EX47" i="3"/>
  <c r="FB47" i="3" s="1"/>
  <c r="EX63" i="3"/>
  <c r="FB63" i="3" s="1"/>
  <c r="EX51" i="3"/>
  <c r="FB51" i="3" s="1"/>
  <c r="EX67" i="3"/>
  <c r="FB67" i="3" s="1"/>
  <c r="EX49" i="3"/>
  <c r="FB49" i="3" s="1"/>
  <c r="EX56" i="3"/>
  <c r="FB56" i="3" s="1"/>
  <c r="EX62" i="3"/>
  <c r="FB62" i="3" s="1"/>
  <c r="EX61" i="3"/>
  <c r="FB61" i="3" s="1"/>
  <c r="EX52" i="3"/>
  <c r="FB52" i="3" s="1"/>
  <c r="EX58" i="3"/>
  <c r="FB58" i="3" s="1"/>
  <c r="EX45" i="3"/>
  <c r="FB45" i="3" s="1"/>
  <c r="EX59" i="3"/>
  <c r="FB59" i="3" s="1"/>
  <c r="EX57" i="3"/>
  <c r="FB57" i="3" s="1"/>
  <c r="EX64" i="3"/>
  <c r="FB64" i="3" s="1"/>
  <c r="EX48" i="3"/>
  <c r="FB48" i="3" s="1"/>
  <c r="EX54" i="3"/>
  <c r="FB54" i="3" s="1"/>
  <c r="EX55" i="3"/>
  <c r="FB55" i="3" s="1"/>
  <c r="EX53" i="3"/>
  <c r="FB53" i="3" s="1"/>
  <c r="EX60" i="3"/>
  <c r="FB60" i="3" s="1"/>
  <c r="EX69" i="3"/>
  <c r="FB69" i="3" s="1"/>
  <c r="EX50" i="3"/>
  <c r="FB50" i="3" s="1"/>
  <c r="EX36" i="3"/>
  <c r="FB36" i="3" s="1"/>
  <c r="EX14" i="3"/>
  <c r="FB14" i="3" s="1"/>
  <c r="EX18" i="3"/>
  <c r="FB18" i="3" s="1"/>
  <c r="EX26" i="3"/>
  <c r="FB26" i="3" s="1"/>
  <c r="EX34" i="3"/>
  <c r="FB34" i="3" s="1"/>
  <c r="EX21" i="3"/>
  <c r="FB21" i="3" s="1"/>
  <c r="EX29" i="3"/>
  <c r="FB29" i="3" s="1"/>
  <c r="EX37" i="3"/>
  <c r="FB37" i="3" s="1"/>
  <c r="EX22" i="3"/>
  <c r="FB22" i="3" s="1"/>
  <c r="EX30" i="3"/>
  <c r="FB30" i="3" s="1"/>
  <c r="EX38" i="3"/>
  <c r="FB38" i="3" s="1"/>
  <c r="EX33" i="3"/>
  <c r="FB33" i="3" s="1"/>
  <c r="EX31" i="3"/>
  <c r="FB31" i="3" s="1"/>
  <c r="EX15" i="3"/>
  <c r="FB15" i="3" s="1"/>
  <c r="EX13" i="3"/>
  <c r="FB13" i="3" s="1"/>
  <c r="EX24" i="3"/>
  <c r="FB24" i="3" s="1"/>
  <c r="EX25" i="3"/>
  <c r="FB25" i="3" s="1"/>
  <c r="EX27" i="3"/>
  <c r="FB27" i="3" s="1"/>
  <c r="EX35" i="3"/>
  <c r="FB35" i="3" s="1"/>
  <c r="EX20" i="3"/>
  <c r="FB20" i="3" s="1"/>
  <c r="EX23" i="3"/>
  <c r="FB23" i="3" s="1"/>
  <c r="EX32" i="3"/>
  <c r="FB32" i="3" s="1"/>
  <c r="EX16" i="3"/>
  <c r="FB16" i="3" s="1"/>
  <c r="EX19" i="3"/>
  <c r="FB19" i="3" s="1"/>
  <c r="EX17" i="3"/>
  <c r="FB17" i="3" s="1"/>
  <c r="EX28" i="3"/>
  <c r="FB28" i="3" s="1"/>
  <c r="CX37" i="3"/>
  <c r="DB37" i="3" s="1"/>
  <c r="CX38" i="3"/>
  <c r="DB38" i="3" s="1"/>
  <c r="CX19" i="3"/>
  <c r="DB19" i="3" s="1"/>
  <c r="CX28" i="3"/>
  <c r="DB28" i="3" s="1"/>
  <c r="CX34" i="3"/>
  <c r="DB34" i="3" s="1"/>
  <c r="CX36" i="3"/>
  <c r="DB36" i="3" s="1"/>
  <c r="CX13" i="3"/>
  <c r="DB13" i="3" s="1"/>
  <c r="CX15" i="3"/>
  <c r="DB15" i="3" s="1"/>
  <c r="CX32" i="3"/>
  <c r="DB32" i="3" s="1"/>
  <c r="CX22" i="3"/>
  <c r="DB22" i="3" s="1"/>
  <c r="CX31" i="3"/>
  <c r="DB31" i="3" s="1"/>
  <c r="CX30" i="3"/>
  <c r="DB30" i="3" s="1"/>
  <c r="CX35" i="3"/>
  <c r="DB35" i="3" s="1"/>
  <c r="CX16" i="3"/>
  <c r="DB16" i="3" s="1"/>
  <c r="CX33" i="3"/>
  <c r="DB33" i="3" s="1"/>
  <c r="CX27" i="3"/>
  <c r="DB27" i="3" s="1"/>
  <c r="CX26" i="3"/>
  <c r="DB26" i="3" s="1"/>
  <c r="CX29" i="3"/>
  <c r="DB29" i="3" s="1"/>
  <c r="CX24" i="3"/>
  <c r="DB24" i="3" s="1"/>
  <c r="CX23" i="3"/>
  <c r="DB23" i="3" s="1"/>
  <c r="CX17" i="3"/>
  <c r="DB17" i="3" s="1"/>
  <c r="CX25" i="3"/>
  <c r="DB25" i="3" s="1"/>
  <c r="CX20" i="3"/>
  <c r="DB20" i="3" s="1"/>
  <c r="CX18" i="3"/>
  <c r="DB18" i="3" s="1"/>
  <c r="CX21" i="3"/>
  <c r="DB21" i="3" s="1"/>
  <c r="CX14" i="3"/>
  <c r="DB14" i="3" s="1"/>
  <c r="CX63" i="3"/>
  <c r="DB63" i="3" s="1"/>
  <c r="CX67" i="3"/>
  <c r="DB67" i="3" s="1"/>
  <c r="CX68" i="3"/>
  <c r="DB68" i="3" s="1"/>
  <c r="CX66" i="3"/>
  <c r="DB66" i="3" s="1"/>
  <c r="CX64" i="3"/>
  <c r="DB64" i="3" s="1"/>
  <c r="CX44" i="3"/>
  <c r="DB44" i="3" s="1"/>
  <c r="CX65" i="3"/>
  <c r="DB65" i="3" s="1"/>
  <c r="CX69" i="3"/>
  <c r="DB69" i="3" s="1"/>
  <c r="CX59" i="3"/>
  <c r="DB59" i="3" s="1"/>
  <c r="CX62" i="3"/>
  <c r="DB62" i="3" s="1"/>
  <c r="CX57" i="3"/>
  <c r="DB57" i="3" s="1"/>
  <c r="CX48" i="3"/>
  <c r="DB48" i="3" s="1"/>
  <c r="CX46" i="3"/>
  <c r="DB46" i="3" s="1"/>
  <c r="CX55" i="3"/>
  <c r="DB55" i="3" s="1"/>
  <c r="CX58" i="3"/>
  <c r="DB58" i="3" s="1"/>
  <c r="CX53" i="3"/>
  <c r="DB53" i="3" s="1"/>
  <c r="CX60" i="3"/>
  <c r="DB60" i="3" s="1"/>
  <c r="CX51" i="3"/>
  <c r="DB51" i="3" s="1"/>
  <c r="CX54" i="3"/>
  <c r="DB54" i="3" s="1"/>
  <c r="CX49" i="3"/>
  <c r="DB49" i="3" s="1"/>
  <c r="CX56" i="3"/>
  <c r="DB56" i="3" s="1"/>
  <c r="CX47" i="3"/>
  <c r="DB47" i="3" s="1"/>
  <c r="CX50" i="3"/>
  <c r="DB50" i="3" s="1"/>
  <c r="CX61" i="3"/>
  <c r="DB61" i="3" s="1"/>
  <c r="CX45" i="3"/>
  <c r="DB45" i="3" s="1"/>
  <c r="CX52" i="3"/>
  <c r="DB52" i="3" s="1"/>
  <c r="BL23" i="3"/>
  <c r="BZ23" i="3" s="1"/>
  <c r="DQ41" i="3"/>
  <c r="DJ41" i="3"/>
  <c r="DQ72" i="3"/>
  <c r="DJ72" i="3"/>
  <c r="BQ72" i="3"/>
  <c r="BJ72" i="3"/>
  <c r="BQ41" i="3"/>
  <c r="BJ41" i="3"/>
  <c r="J72" i="3"/>
  <c r="Q72" i="3"/>
  <c r="Q41" i="3"/>
  <c r="J41" i="3"/>
  <c r="AX51" i="3" l="1"/>
  <c r="BB51" i="3" s="1"/>
  <c r="AX67" i="3"/>
  <c r="BB67" i="3" s="1"/>
  <c r="AX45" i="3"/>
  <c r="BB45" i="3" s="1"/>
  <c r="AX50" i="3"/>
  <c r="BB50" i="3" s="1"/>
  <c r="AX35" i="3"/>
  <c r="BB35" i="3" s="1"/>
  <c r="AX49" i="3"/>
  <c r="BB49" i="3" s="1"/>
  <c r="AX37" i="3"/>
  <c r="BB37" i="3" s="1"/>
  <c r="AX31" i="3"/>
  <c r="BB31" i="3" s="1"/>
  <c r="AX33" i="3"/>
  <c r="BB33" i="3" s="1"/>
  <c r="AX18" i="3"/>
  <c r="BB18" i="3" s="1"/>
  <c r="AX38" i="3"/>
  <c r="BB38" i="3" s="1"/>
  <c r="AX17" i="3"/>
  <c r="BB17" i="3" s="1"/>
  <c r="AX26" i="3"/>
  <c r="BB26" i="3" s="1"/>
  <c r="AX36" i="3"/>
  <c r="BB36" i="3" s="1"/>
  <c r="AX27" i="3"/>
  <c r="BB27" i="3" s="1"/>
  <c r="AX32" i="3"/>
  <c r="BB32" i="3" s="1"/>
  <c r="AX19" i="3"/>
  <c r="BB19" i="3" s="1"/>
  <c r="AX29" i="3"/>
  <c r="BB29" i="3" s="1"/>
  <c r="AX30" i="3"/>
  <c r="BB30" i="3" s="1"/>
  <c r="AX21" i="3"/>
  <c r="BB21" i="3" s="1"/>
  <c r="AX28" i="3"/>
  <c r="BB28" i="3" s="1"/>
  <c r="AX23" i="3"/>
  <c r="BB23" i="3" s="1"/>
  <c r="AX24" i="3"/>
  <c r="BB24" i="3" s="1"/>
  <c r="AX34" i="3"/>
  <c r="BB34" i="3" s="1"/>
  <c r="AX22" i="3"/>
  <c r="BB22" i="3" s="1"/>
  <c r="AX25" i="3"/>
  <c r="BB25" i="3" s="1"/>
  <c r="AX14" i="3"/>
  <c r="BB14" i="3" s="1"/>
  <c r="AX16" i="3"/>
  <c r="BB16" i="3" s="1"/>
  <c r="AX15" i="3"/>
  <c r="BB15" i="3" s="1"/>
  <c r="AX20" i="3"/>
  <c r="BB20" i="3" s="1"/>
  <c r="AX52" i="3"/>
  <c r="BB52" i="3" s="1"/>
  <c r="AX55" i="3"/>
  <c r="BB55" i="3" s="1"/>
  <c r="AX54" i="3"/>
  <c r="BB54" i="3" s="1"/>
  <c r="AX64" i="3"/>
  <c r="BB64" i="3" s="1"/>
  <c r="AX68" i="3"/>
  <c r="BB68" i="3" s="1"/>
  <c r="AX47" i="3"/>
  <c r="BB47" i="3" s="1"/>
  <c r="AX58" i="3"/>
  <c r="BB58" i="3" s="1"/>
  <c r="AX59" i="3"/>
  <c r="BB59" i="3" s="1"/>
  <c r="AX66" i="3"/>
  <c r="BB66" i="3" s="1"/>
  <c r="AX56" i="3"/>
  <c r="BB56" i="3" s="1"/>
  <c r="AX60" i="3"/>
  <c r="BB60" i="3" s="1"/>
  <c r="AX69" i="3"/>
  <c r="BB69" i="3" s="1"/>
  <c r="AX65" i="3"/>
  <c r="BB65" i="3" s="1"/>
  <c r="AX53" i="3"/>
  <c r="BB53" i="3" s="1"/>
  <c r="AX46" i="3"/>
  <c r="BB46" i="3" s="1"/>
  <c r="AX44" i="3"/>
  <c r="BB44" i="3" s="1"/>
  <c r="AX62" i="3"/>
  <c r="BB62" i="3" s="1"/>
  <c r="AX48" i="3"/>
  <c r="BB48" i="3" s="1"/>
  <c r="AX57" i="3"/>
  <c r="BB57" i="3" s="1"/>
  <c r="AX61" i="3"/>
  <c r="BB61" i="3" s="1"/>
  <c r="FB39" i="3"/>
  <c r="FB70" i="3"/>
  <c r="DB70" i="3"/>
  <c r="DB39" i="3"/>
  <c r="DQ70" i="3"/>
  <c r="DJ70" i="3"/>
  <c r="DC70" i="3"/>
  <c r="DQ39" i="3"/>
  <c r="DJ39" i="3"/>
  <c r="DC39" i="3"/>
  <c r="BQ70" i="3"/>
  <c r="BJ70" i="3"/>
  <c r="BC70" i="3"/>
  <c r="BQ39" i="3"/>
  <c r="BJ39" i="3"/>
  <c r="BC39" i="3"/>
  <c r="Q70" i="3"/>
  <c r="J70" i="3"/>
  <c r="C70" i="3"/>
  <c r="BB39" i="3" l="1"/>
  <c r="BB41" i="3" s="1"/>
  <c r="BB70" i="3"/>
  <c r="BB73" i="3" s="1"/>
  <c r="FB42" i="3"/>
  <c r="FB41" i="3"/>
  <c r="FB73" i="3"/>
  <c r="FB72" i="3"/>
  <c r="DB41" i="3"/>
  <c r="DB42" i="3"/>
  <c r="DB73" i="3"/>
  <c r="DB72" i="3"/>
  <c r="J39" i="3"/>
  <c r="Q39" i="3"/>
  <c r="C39" i="3"/>
  <c r="BX45" i="3"/>
  <c r="BY45" i="3"/>
  <c r="CA45" i="3"/>
  <c r="CB45" i="3"/>
  <c r="BX46" i="3"/>
  <c r="BY46" i="3"/>
  <c r="CA46" i="3"/>
  <c r="BX47" i="3"/>
  <c r="BY47" i="3"/>
  <c r="CA47" i="3"/>
  <c r="BX48" i="3"/>
  <c r="BX49" i="3"/>
  <c r="BX50" i="3"/>
  <c r="BY50" i="3"/>
  <c r="CA50" i="3"/>
  <c r="BX51" i="3"/>
  <c r="BY51" i="3"/>
  <c r="BX52" i="3"/>
  <c r="CA52" i="3"/>
  <c r="BX53" i="3"/>
  <c r="BX55" i="3"/>
  <c r="CA55" i="3"/>
  <c r="BX56" i="3"/>
  <c r="BY56" i="3"/>
  <c r="CA56" i="3"/>
  <c r="BX57" i="3"/>
  <c r="BY57" i="3"/>
  <c r="CA57" i="3"/>
  <c r="BX58" i="3"/>
  <c r="BY58" i="3"/>
  <c r="CA58" i="3"/>
  <c r="BX59" i="3"/>
  <c r="BX62" i="3"/>
  <c r="BY64" i="3"/>
  <c r="CA64" i="3"/>
  <c r="BX66" i="3"/>
  <c r="BY44" i="3"/>
  <c r="CA44" i="3"/>
  <c r="CB44" i="3"/>
  <c r="BX44" i="3"/>
  <c r="DX66" i="3"/>
  <c r="DY44" i="3"/>
  <c r="EA44" i="3"/>
  <c r="EB44" i="3"/>
  <c r="DY45" i="3"/>
  <c r="EA45" i="3"/>
  <c r="EB45" i="3"/>
  <c r="DY46" i="3"/>
  <c r="DY47" i="3"/>
  <c r="EA47" i="3"/>
  <c r="DY50" i="3"/>
  <c r="EA50" i="3"/>
  <c r="DY51" i="3"/>
  <c r="DY56" i="3"/>
  <c r="EA56" i="3"/>
  <c r="DY58" i="3"/>
  <c r="EA58" i="3"/>
  <c r="DY61" i="3"/>
  <c r="EA61" i="3"/>
  <c r="EB61" i="3"/>
  <c r="DY62" i="3"/>
  <c r="DY64" i="3"/>
  <c r="DX45" i="3"/>
  <c r="DX46" i="3"/>
  <c r="DX47" i="3"/>
  <c r="DX48" i="3"/>
  <c r="DX49" i="3"/>
  <c r="DX50" i="3"/>
  <c r="DX51" i="3"/>
  <c r="DX52" i="3"/>
  <c r="DX53" i="3"/>
  <c r="DX55" i="3"/>
  <c r="DX56" i="3"/>
  <c r="DX57" i="3"/>
  <c r="DX58" i="3"/>
  <c r="DX59" i="3"/>
  <c r="DX61" i="3"/>
  <c r="DX62" i="3"/>
  <c r="DX63" i="3"/>
  <c r="DX64" i="3"/>
  <c r="DX69" i="3"/>
  <c r="DX44" i="3"/>
  <c r="DY15" i="3"/>
  <c r="DX14" i="3"/>
  <c r="DY14" i="3"/>
  <c r="EA14" i="3"/>
  <c r="EB14" i="3"/>
  <c r="DX15" i="3"/>
  <c r="DX16" i="3"/>
  <c r="DY16" i="3"/>
  <c r="EA16" i="3"/>
  <c r="DX17" i="3"/>
  <c r="DX18" i="3"/>
  <c r="DX19" i="3"/>
  <c r="DY19" i="3"/>
  <c r="EA19" i="3"/>
  <c r="DX20" i="3"/>
  <c r="DY20" i="3"/>
  <c r="DX21" i="3"/>
  <c r="DX22" i="3"/>
  <c r="DX24" i="3"/>
  <c r="DX25" i="3"/>
  <c r="DY25" i="3"/>
  <c r="EA25" i="3"/>
  <c r="DX26" i="3"/>
  <c r="DX27" i="3"/>
  <c r="DY27" i="3"/>
  <c r="EA27" i="3"/>
  <c r="DX28" i="3"/>
  <c r="DX30" i="3"/>
  <c r="DY30" i="3"/>
  <c r="EA30" i="3"/>
  <c r="EB30" i="3"/>
  <c r="DX31" i="3"/>
  <c r="DY31" i="3"/>
  <c r="DX32" i="3"/>
  <c r="DX33" i="3"/>
  <c r="DY33" i="3"/>
  <c r="DX35" i="3"/>
  <c r="DX38" i="3"/>
  <c r="EB13" i="3"/>
  <c r="EA13" i="3"/>
  <c r="DY13" i="3"/>
  <c r="DX13" i="3"/>
  <c r="CA13" i="3"/>
  <c r="DV49" i="3"/>
  <c r="DS47" i="3"/>
  <c r="DV30" i="3"/>
  <c r="DS30" i="3"/>
  <c r="DS16" i="3"/>
  <c r="DV64" i="3"/>
  <c r="DV63" i="3"/>
  <c r="DV62" i="3"/>
  <c r="DV61" i="3"/>
  <c r="DV60" i="3"/>
  <c r="DV59" i="3"/>
  <c r="DV58" i="3"/>
  <c r="DV57" i="3"/>
  <c r="DV56" i="3"/>
  <c r="DV55" i="3"/>
  <c r="DV53" i="3"/>
  <c r="DV52" i="3"/>
  <c r="DV51" i="3"/>
  <c r="DV50" i="3"/>
  <c r="DV48" i="3"/>
  <c r="DV47" i="3"/>
  <c r="DV46" i="3"/>
  <c r="DV44" i="3"/>
  <c r="DS64" i="3"/>
  <c r="DS63" i="3"/>
  <c r="DS62" i="3"/>
  <c r="DS61" i="3"/>
  <c r="DS60" i="3"/>
  <c r="DS59" i="3"/>
  <c r="DS58" i="3"/>
  <c r="DS57" i="3"/>
  <c r="DS56" i="3"/>
  <c r="DS55" i="3"/>
  <c r="DS54" i="3"/>
  <c r="DS53" i="3"/>
  <c r="DS52" i="3"/>
  <c r="DS51" i="3"/>
  <c r="DS50" i="3"/>
  <c r="DS49" i="3"/>
  <c r="DS48" i="3"/>
  <c r="DS46" i="3"/>
  <c r="DS44" i="3"/>
  <c r="DV38" i="3"/>
  <c r="DV35" i="3"/>
  <c r="DV34" i="3"/>
  <c r="DV33" i="3"/>
  <c r="DV32" i="3"/>
  <c r="DV31" i="3"/>
  <c r="DV28" i="3"/>
  <c r="DV27" i="3"/>
  <c r="DV26" i="3"/>
  <c r="DV25" i="3"/>
  <c r="DV24" i="3"/>
  <c r="DV23" i="3"/>
  <c r="DV22" i="3"/>
  <c r="DV21" i="3"/>
  <c r="DV20" i="3"/>
  <c r="DV19" i="3"/>
  <c r="DV18" i="3"/>
  <c r="DV17" i="3"/>
  <c r="DV16" i="3"/>
  <c r="DS38" i="3"/>
  <c r="DS35" i="3"/>
  <c r="DS34" i="3"/>
  <c r="DS33" i="3"/>
  <c r="DS32" i="3"/>
  <c r="DS31" i="3"/>
  <c r="DS29" i="3"/>
  <c r="DS28" i="3"/>
  <c r="DS27" i="3"/>
  <c r="DS26" i="3"/>
  <c r="DS25" i="3"/>
  <c r="DS24" i="3"/>
  <c r="DS23" i="3"/>
  <c r="DS22" i="3"/>
  <c r="DS21" i="3"/>
  <c r="DS20" i="3"/>
  <c r="DS19" i="3"/>
  <c r="DS18" i="3"/>
  <c r="DS17" i="3"/>
  <c r="DO69" i="3"/>
  <c r="DO66" i="3"/>
  <c r="DO65" i="3"/>
  <c r="DO64" i="3"/>
  <c r="DO63" i="3"/>
  <c r="DO62" i="3"/>
  <c r="DO61" i="3"/>
  <c r="DO60" i="3"/>
  <c r="DO59" i="3"/>
  <c r="DO58" i="3"/>
  <c r="DO57" i="3"/>
  <c r="DO56" i="3"/>
  <c r="DO55" i="3"/>
  <c r="DO54" i="3"/>
  <c r="DO53" i="3"/>
  <c r="DO52" i="3"/>
  <c r="DO51" i="3"/>
  <c r="DO50" i="3"/>
  <c r="DO49" i="3"/>
  <c r="DO48" i="3"/>
  <c r="DO47" i="3"/>
  <c r="DO46" i="3"/>
  <c r="DO44" i="3"/>
  <c r="DL69" i="3"/>
  <c r="DL66" i="3"/>
  <c r="DL65" i="3"/>
  <c r="DL64" i="3"/>
  <c r="DL63" i="3"/>
  <c r="DL62" i="3"/>
  <c r="DL61" i="3"/>
  <c r="DL60" i="3"/>
  <c r="DL59" i="3"/>
  <c r="DL58" i="3"/>
  <c r="DL57" i="3"/>
  <c r="DL56" i="3"/>
  <c r="DL55" i="3"/>
  <c r="DL53" i="3"/>
  <c r="DL52" i="3"/>
  <c r="DL51" i="3"/>
  <c r="DL50" i="3"/>
  <c r="DL49" i="3"/>
  <c r="DL48" i="3"/>
  <c r="DL47" i="3"/>
  <c r="DL46" i="3"/>
  <c r="DL44" i="3"/>
  <c r="DO38" i="3"/>
  <c r="DO35" i="3"/>
  <c r="DO34" i="3"/>
  <c r="DO33" i="3"/>
  <c r="DO32" i="3"/>
  <c r="DO31" i="3"/>
  <c r="DO30" i="3"/>
  <c r="DO29" i="3"/>
  <c r="DO28" i="3"/>
  <c r="DO27" i="3"/>
  <c r="DO26" i="3"/>
  <c r="DO25" i="3"/>
  <c r="DO24" i="3"/>
  <c r="DO23" i="3"/>
  <c r="DO22" i="3"/>
  <c r="DO21" i="3"/>
  <c r="DO20" i="3"/>
  <c r="DO19" i="3"/>
  <c r="DO18" i="3"/>
  <c r="DO17" i="3"/>
  <c r="DO16" i="3"/>
  <c r="DO15" i="3"/>
  <c r="DO14" i="3"/>
  <c r="DO13" i="3"/>
  <c r="DL38" i="3"/>
  <c r="DL35" i="3"/>
  <c r="DL34" i="3"/>
  <c r="DL33" i="3"/>
  <c r="DL32" i="3"/>
  <c r="DL31" i="3"/>
  <c r="DL30" i="3"/>
  <c r="DL29" i="3"/>
  <c r="DL28" i="3"/>
  <c r="DL27" i="3"/>
  <c r="DL26" i="3"/>
  <c r="DL25" i="3"/>
  <c r="DL24" i="3"/>
  <c r="DL23" i="3"/>
  <c r="DL22" i="3"/>
  <c r="DL21" i="3"/>
  <c r="DL20" i="3"/>
  <c r="DL19" i="3"/>
  <c r="DL18" i="3"/>
  <c r="DL17" i="3"/>
  <c r="DL16" i="3"/>
  <c r="DL15" i="3"/>
  <c r="DL14" i="3"/>
  <c r="DL13" i="3"/>
  <c r="DE64" i="3"/>
  <c r="DH69" i="3"/>
  <c r="DH66" i="3"/>
  <c r="DH65" i="3"/>
  <c r="DH64" i="3"/>
  <c r="DH63" i="3"/>
  <c r="DH62" i="3"/>
  <c r="DH61" i="3"/>
  <c r="DH60" i="3"/>
  <c r="DH59" i="3"/>
  <c r="DH58" i="3"/>
  <c r="DH57" i="3"/>
  <c r="DH56" i="3"/>
  <c r="DH55" i="3"/>
  <c r="DH54" i="3"/>
  <c r="EC54" i="3" s="1"/>
  <c r="DH53" i="3"/>
  <c r="DH52" i="3"/>
  <c r="DH51" i="3"/>
  <c r="DH50" i="3"/>
  <c r="DH49" i="3"/>
  <c r="DH48" i="3"/>
  <c r="DH47" i="3"/>
  <c r="DH46" i="3"/>
  <c r="DH45" i="3"/>
  <c r="DH70" i="3" s="1"/>
  <c r="DH44" i="3"/>
  <c r="DE69" i="3"/>
  <c r="DE66" i="3"/>
  <c r="DE65" i="3"/>
  <c r="DE63" i="3"/>
  <c r="DE62" i="3"/>
  <c r="DE61" i="3"/>
  <c r="DE60" i="3"/>
  <c r="DE59" i="3"/>
  <c r="DE58" i="3"/>
  <c r="DE57" i="3"/>
  <c r="DE56" i="3"/>
  <c r="DE55" i="3"/>
  <c r="DE54" i="3"/>
  <c r="DZ54" i="3" s="1"/>
  <c r="DE53" i="3"/>
  <c r="DZ53" i="3" s="1"/>
  <c r="DE52" i="3"/>
  <c r="DZ52" i="3" s="1"/>
  <c r="DE51" i="3"/>
  <c r="DZ51" i="3" s="1"/>
  <c r="DE50" i="3"/>
  <c r="DZ50" i="3" s="1"/>
  <c r="DE49" i="3"/>
  <c r="DZ49" i="3" s="1"/>
  <c r="DE48" i="3"/>
  <c r="DE47" i="3"/>
  <c r="DZ47" i="3" s="1"/>
  <c r="DE46" i="3"/>
  <c r="DZ46" i="3" s="1"/>
  <c r="DE45" i="3"/>
  <c r="DZ45" i="3" s="1"/>
  <c r="DE44" i="3"/>
  <c r="DZ44" i="3" s="1"/>
  <c r="DH38" i="3"/>
  <c r="DH35" i="3"/>
  <c r="DH34" i="3"/>
  <c r="DH33" i="3"/>
  <c r="DH32" i="3"/>
  <c r="DH31" i="3"/>
  <c r="DH30" i="3"/>
  <c r="EC30" i="3" s="1"/>
  <c r="DH29" i="3"/>
  <c r="DH28" i="3"/>
  <c r="DH27" i="3"/>
  <c r="EC27" i="3" s="1"/>
  <c r="DH26" i="3"/>
  <c r="DH25" i="3"/>
  <c r="EC25" i="3" s="1"/>
  <c r="DH24" i="3"/>
  <c r="DH23" i="3"/>
  <c r="EC23" i="3" s="1"/>
  <c r="DH22" i="3"/>
  <c r="DH21" i="3"/>
  <c r="DH20" i="3"/>
  <c r="DH19" i="3"/>
  <c r="EC19" i="3" s="1"/>
  <c r="DH18" i="3"/>
  <c r="DH17" i="3"/>
  <c r="DH16" i="3"/>
  <c r="EC16" i="3" s="1"/>
  <c r="DH15" i="3"/>
  <c r="DH14" i="3"/>
  <c r="DH13" i="3"/>
  <c r="EC13" i="3" s="1"/>
  <c r="DE14" i="3"/>
  <c r="DE15" i="3"/>
  <c r="DZ15" i="3" s="1"/>
  <c r="DE16" i="3"/>
  <c r="DE17" i="3"/>
  <c r="DZ17" i="3" s="1"/>
  <c r="DE18" i="3"/>
  <c r="DE19" i="3"/>
  <c r="DZ19" i="3" s="1"/>
  <c r="DE20" i="3"/>
  <c r="DE21" i="3"/>
  <c r="DZ21" i="3" s="1"/>
  <c r="DE22" i="3"/>
  <c r="DE23" i="3"/>
  <c r="DZ23" i="3" s="1"/>
  <c r="DE24" i="3"/>
  <c r="DE25" i="3"/>
  <c r="DZ25" i="3" s="1"/>
  <c r="DE26" i="3"/>
  <c r="DE27" i="3"/>
  <c r="DZ27" i="3" s="1"/>
  <c r="DE28" i="3"/>
  <c r="DE29" i="3"/>
  <c r="DZ29" i="3" s="1"/>
  <c r="DE30" i="3"/>
  <c r="DE31" i="3"/>
  <c r="DZ31" i="3" s="1"/>
  <c r="DE32" i="3"/>
  <c r="DE33" i="3"/>
  <c r="DZ33" i="3" s="1"/>
  <c r="DE34" i="3"/>
  <c r="DE35" i="3"/>
  <c r="DZ35" i="3" s="1"/>
  <c r="DE38" i="3"/>
  <c r="DE13" i="3"/>
  <c r="DZ13" i="3" s="1"/>
  <c r="BX14" i="3"/>
  <c r="BY14" i="3"/>
  <c r="CA14" i="3"/>
  <c r="CB14" i="3"/>
  <c r="BX15" i="3"/>
  <c r="BY15" i="3"/>
  <c r="CA15" i="3"/>
  <c r="BX16" i="3"/>
  <c r="BY16" i="3"/>
  <c r="CA16" i="3"/>
  <c r="BX17" i="3"/>
  <c r="BX18" i="3"/>
  <c r="BX19" i="3"/>
  <c r="BY19" i="3"/>
  <c r="CA19" i="3"/>
  <c r="BX20" i="3"/>
  <c r="BY20" i="3"/>
  <c r="BX21" i="3"/>
  <c r="CA21" i="3"/>
  <c r="BX22" i="3"/>
  <c r="BX23" i="3"/>
  <c r="BX24" i="3"/>
  <c r="CA24" i="3"/>
  <c r="BX25" i="3"/>
  <c r="BY25" i="3"/>
  <c r="CA25" i="3"/>
  <c r="BX26" i="3"/>
  <c r="BY26" i="3"/>
  <c r="CA26" i="3"/>
  <c r="BX27" i="3"/>
  <c r="BY27" i="3"/>
  <c r="CA27" i="3"/>
  <c r="BX28" i="3"/>
  <c r="BX30" i="3"/>
  <c r="BY30" i="3"/>
  <c r="CA30" i="3"/>
  <c r="BX31" i="3"/>
  <c r="BY31" i="3"/>
  <c r="BY33" i="3"/>
  <c r="CA33" i="3"/>
  <c r="BX35" i="3"/>
  <c r="BY13" i="3"/>
  <c r="CB13" i="3"/>
  <c r="BX13" i="3"/>
  <c r="BV46" i="3"/>
  <c r="BV47" i="3"/>
  <c r="BV48" i="3"/>
  <c r="BV49" i="3"/>
  <c r="BV50" i="3"/>
  <c r="BV51" i="3"/>
  <c r="BV52" i="3"/>
  <c r="BV53" i="3"/>
  <c r="BV55" i="3"/>
  <c r="BV56" i="3"/>
  <c r="BV57" i="3"/>
  <c r="BV58" i="3"/>
  <c r="BV59" i="3"/>
  <c r="BV60" i="3"/>
  <c r="BV62" i="3"/>
  <c r="BV63" i="3"/>
  <c r="BV64" i="3"/>
  <c r="BV65" i="3"/>
  <c r="BV66" i="3"/>
  <c r="BV69" i="3"/>
  <c r="BV44" i="3"/>
  <c r="BS46" i="3"/>
  <c r="BS47" i="3"/>
  <c r="BS48" i="3"/>
  <c r="BS49" i="3"/>
  <c r="BS50" i="3"/>
  <c r="BS51" i="3"/>
  <c r="BS52" i="3"/>
  <c r="BS53" i="3"/>
  <c r="BS54" i="3"/>
  <c r="BS55" i="3"/>
  <c r="BS56" i="3"/>
  <c r="BS57" i="3"/>
  <c r="BS58" i="3"/>
  <c r="BS59" i="3"/>
  <c r="BS60" i="3"/>
  <c r="BS61" i="3"/>
  <c r="BS62" i="3"/>
  <c r="BS63" i="3"/>
  <c r="BS64" i="3"/>
  <c r="BS65" i="3"/>
  <c r="BS66" i="3"/>
  <c r="BS69" i="3"/>
  <c r="BS44" i="3"/>
  <c r="BV14" i="3"/>
  <c r="BV15" i="3"/>
  <c r="BV16" i="3"/>
  <c r="BV17" i="3"/>
  <c r="BV18" i="3"/>
  <c r="BV19" i="3"/>
  <c r="BV20" i="3"/>
  <c r="BV21" i="3"/>
  <c r="BV22" i="3"/>
  <c r="BV23" i="3"/>
  <c r="BV24" i="3"/>
  <c r="BV25" i="3"/>
  <c r="BV26" i="3"/>
  <c r="BV27" i="3"/>
  <c r="BV28" i="3"/>
  <c r="BV29" i="3"/>
  <c r="BV30" i="3"/>
  <c r="BV31" i="3"/>
  <c r="BV32" i="3"/>
  <c r="BV33" i="3"/>
  <c r="BV34" i="3"/>
  <c r="BV35" i="3"/>
  <c r="BV38" i="3"/>
  <c r="BV13" i="3"/>
  <c r="BS14" i="3"/>
  <c r="BS15" i="3"/>
  <c r="BS16" i="3"/>
  <c r="BS17" i="3"/>
  <c r="BS18" i="3"/>
  <c r="BS19" i="3"/>
  <c r="BS20" i="3"/>
  <c r="BS21" i="3"/>
  <c r="BS22" i="3"/>
  <c r="BS23" i="3"/>
  <c r="BS24" i="3"/>
  <c r="BS25" i="3"/>
  <c r="BS26" i="3"/>
  <c r="BS27" i="3"/>
  <c r="BS28" i="3"/>
  <c r="BS29" i="3"/>
  <c r="BS30" i="3"/>
  <c r="BS31" i="3"/>
  <c r="BS32" i="3"/>
  <c r="BS33" i="3"/>
  <c r="BS34" i="3"/>
  <c r="BS35" i="3"/>
  <c r="BS38" i="3"/>
  <c r="BS13" i="3"/>
  <c r="BO46" i="3"/>
  <c r="BO47" i="3"/>
  <c r="BO48" i="3"/>
  <c r="BO49" i="3"/>
  <c r="BO50" i="3"/>
  <c r="BO51" i="3"/>
  <c r="BO52" i="3"/>
  <c r="BO53" i="3"/>
  <c r="BO54" i="3"/>
  <c r="BO55" i="3"/>
  <c r="BO56" i="3"/>
  <c r="BO57" i="3"/>
  <c r="BO58" i="3"/>
  <c r="BO59" i="3"/>
  <c r="BO60" i="3"/>
  <c r="BO61" i="3"/>
  <c r="BO62" i="3"/>
  <c r="BO63" i="3"/>
  <c r="BO64" i="3"/>
  <c r="BO65" i="3"/>
  <c r="BO66" i="3"/>
  <c r="BO69" i="3"/>
  <c r="BO44" i="3"/>
  <c r="BL46" i="3"/>
  <c r="BL47" i="3"/>
  <c r="BL48" i="3"/>
  <c r="BL49" i="3"/>
  <c r="BL50" i="3"/>
  <c r="BL51" i="3"/>
  <c r="BL52" i="3"/>
  <c r="BL53" i="3"/>
  <c r="BL54" i="3"/>
  <c r="BZ54" i="3" s="1"/>
  <c r="BL55" i="3"/>
  <c r="BL56" i="3"/>
  <c r="BL57" i="3"/>
  <c r="BL58" i="3"/>
  <c r="BL59" i="3"/>
  <c r="BL60" i="3"/>
  <c r="BL61" i="3"/>
  <c r="BL62" i="3"/>
  <c r="BL63" i="3"/>
  <c r="BL64" i="3"/>
  <c r="BL65" i="3"/>
  <c r="BL66" i="3"/>
  <c r="BL69" i="3"/>
  <c r="BL44" i="3"/>
  <c r="BO14" i="3"/>
  <c r="BO15" i="3"/>
  <c r="BO16" i="3"/>
  <c r="BO17" i="3"/>
  <c r="BO18" i="3"/>
  <c r="BO19" i="3"/>
  <c r="BO20" i="3"/>
  <c r="BO21" i="3"/>
  <c r="BO22" i="3"/>
  <c r="BO23" i="3"/>
  <c r="BO24" i="3"/>
  <c r="BO25" i="3"/>
  <c r="BO26" i="3"/>
  <c r="BO27" i="3"/>
  <c r="BO28" i="3"/>
  <c r="BO29" i="3"/>
  <c r="BO30" i="3"/>
  <c r="BO31" i="3"/>
  <c r="BO32" i="3"/>
  <c r="BO33" i="3"/>
  <c r="BO34" i="3"/>
  <c r="BO35" i="3"/>
  <c r="BO38" i="3"/>
  <c r="BO13" i="3"/>
  <c r="BL14" i="3"/>
  <c r="BL15" i="3"/>
  <c r="BL16" i="3"/>
  <c r="BL17" i="3"/>
  <c r="BL18" i="3"/>
  <c r="BL19" i="3"/>
  <c r="BL20" i="3"/>
  <c r="BL21" i="3"/>
  <c r="BL22" i="3"/>
  <c r="BL24" i="3"/>
  <c r="BL25" i="3"/>
  <c r="BL26" i="3"/>
  <c r="BL27" i="3"/>
  <c r="BL28" i="3"/>
  <c r="BL29" i="3"/>
  <c r="BL30" i="3"/>
  <c r="BL31" i="3"/>
  <c r="BL32" i="3"/>
  <c r="BL33" i="3"/>
  <c r="BL34" i="3"/>
  <c r="BL35" i="3"/>
  <c r="BL38" i="3"/>
  <c r="BL13" i="3"/>
  <c r="BH45" i="3"/>
  <c r="BH46" i="3"/>
  <c r="BH47" i="3"/>
  <c r="BH48" i="3"/>
  <c r="BH49" i="3"/>
  <c r="BH50" i="3"/>
  <c r="BH51" i="3"/>
  <c r="BH52" i="3"/>
  <c r="BH53" i="3"/>
  <c r="BH54" i="3"/>
  <c r="CC54" i="3" s="1"/>
  <c r="BH55" i="3"/>
  <c r="BH56" i="3"/>
  <c r="BH57" i="3"/>
  <c r="BH58" i="3"/>
  <c r="BH59" i="3"/>
  <c r="BH61" i="3"/>
  <c r="BH62" i="3"/>
  <c r="BH63" i="3"/>
  <c r="BH64" i="3"/>
  <c r="BH65" i="3"/>
  <c r="BH66" i="3"/>
  <c r="BH69" i="3"/>
  <c r="BH44" i="3"/>
  <c r="BH14" i="3"/>
  <c r="BH15" i="3"/>
  <c r="BH16" i="3"/>
  <c r="BH17" i="3"/>
  <c r="BH18" i="3"/>
  <c r="BH19" i="3"/>
  <c r="BH20" i="3"/>
  <c r="BH21" i="3"/>
  <c r="BH22" i="3"/>
  <c r="BH23" i="3"/>
  <c r="BH24" i="3"/>
  <c r="BH25" i="3"/>
  <c r="BH26" i="3"/>
  <c r="BH27" i="3"/>
  <c r="BH28" i="3"/>
  <c r="BH29" i="3"/>
  <c r="BH30" i="3"/>
  <c r="BH31" i="3"/>
  <c r="BH32" i="3"/>
  <c r="BH33" i="3"/>
  <c r="BH34" i="3"/>
  <c r="BH35" i="3"/>
  <c r="BH38" i="3"/>
  <c r="BH13" i="3"/>
  <c r="BE45" i="3"/>
  <c r="BE46" i="3"/>
  <c r="BE47" i="3"/>
  <c r="BE48" i="3"/>
  <c r="BE49" i="3"/>
  <c r="BE50" i="3"/>
  <c r="BE51" i="3"/>
  <c r="BE52" i="3"/>
  <c r="BE53" i="3"/>
  <c r="BE55" i="3"/>
  <c r="BE56" i="3"/>
  <c r="BE57" i="3"/>
  <c r="BE58" i="3"/>
  <c r="BE59" i="3"/>
  <c r="BE60" i="3"/>
  <c r="BE61" i="3"/>
  <c r="BZ61" i="3" s="1"/>
  <c r="BE62" i="3"/>
  <c r="BE63" i="3"/>
  <c r="BE64" i="3"/>
  <c r="BE65" i="3"/>
  <c r="BE66" i="3"/>
  <c r="BE69" i="3"/>
  <c r="BE44" i="3"/>
  <c r="BE14" i="3"/>
  <c r="BE15" i="3"/>
  <c r="BE16" i="3"/>
  <c r="BE17" i="3"/>
  <c r="BE18" i="3"/>
  <c r="BE19" i="3"/>
  <c r="BE20" i="3"/>
  <c r="BE21" i="3"/>
  <c r="BE22" i="3"/>
  <c r="BE24" i="3"/>
  <c r="BE25" i="3"/>
  <c r="BZ25" i="3" s="1"/>
  <c r="BE26" i="3"/>
  <c r="BE27" i="3"/>
  <c r="BE28" i="3"/>
  <c r="BE29" i="3"/>
  <c r="BZ29" i="3" s="1"/>
  <c r="BE30" i="3"/>
  <c r="BE31" i="3"/>
  <c r="BE32" i="3"/>
  <c r="BE33" i="3"/>
  <c r="BZ33" i="3" s="1"/>
  <c r="BE34" i="3"/>
  <c r="BE35" i="3"/>
  <c r="BE38" i="3"/>
  <c r="BE13" i="3"/>
  <c r="BZ13" i="3" s="1"/>
  <c r="AB44" i="3"/>
  <c r="AA44" i="3"/>
  <c r="Y44" i="3"/>
  <c r="X44" i="3"/>
  <c r="V44" i="3"/>
  <c r="V13" i="3"/>
  <c r="S44" i="3"/>
  <c r="S13" i="3"/>
  <c r="O44" i="3"/>
  <c r="L44" i="3"/>
  <c r="H44" i="3"/>
  <c r="E66" i="3"/>
  <c r="E13" i="3"/>
  <c r="V46" i="3"/>
  <c r="V47" i="3"/>
  <c r="V48" i="3"/>
  <c r="V49" i="3"/>
  <c r="V50" i="3"/>
  <c r="V51" i="3"/>
  <c r="V52" i="3"/>
  <c r="V53" i="3"/>
  <c r="V54" i="3"/>
  <c r="V55" i="3"/>
  <c r="V56" i="3"/>
  <c r="V57" i="3"/>
  <c r="V58" i="3"/>
  <c r="V59" i="3"/>
  <c r="V60" i="3"/>
  <c r="V61" i="3"/>
  <c r="V62" i="3"/>
  <c r="V63" i="3"/>
  <c r="V64" i="3"/>
  <c r="V65" i="3"/>
  <c r="V66" i="3"/>
  <c r="V69" i="3"/>
  <c r="S46" i="3"/>
  <c r="S47" i="3"/>
  <c r="S48" i="3"/>
  <c r="S49" i="3"/>
  <c r="S50" i="3"/>
  <c r="S51" i="3"/>
  <c r="S52" i="3"/>
  <c r="S53" i="3"/>
  <c r="S54" i="3"/>
  <c r="S55" i="3"/>
  <c r="S56" i="3"/>
  <c r="S57" i="3"/>
  <c r="S58" i="3"/>
  <c r="S59" i="3"/>
  <c r="S60" i="3"/>
  <c r="S61" i="3"/>
  <c r="S62" i="3"/>
  <c r="S63" i="3"/>
  <c r="S64" i="3"/>
  <c r="S65" i="3"/>
  <c r="S66" i="3"/>
  <c r="S69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66" i="3"/>
  <c r="O69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9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9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9" i="3"/>
  <c r="E44" i="3"/>
  <c r="AA16" i="3"/>
  <c r="BZ30" i="3" l="1"/>
  <c r="BZ26" i="3"/>
  <c r="BZ44" i="3"/>
  <c r="BZ62" i="3"/>
  <c r="BZ60" i="3"/>
  <c r="CC61" i="3"/>
  <c r="AC64" i="3"/>
  <c r="O72" i="3"/>
  <c r="FF41" i="3"/>
  <c r="FJ41" i="3" s="1"/>
  <c r="BB72" i="3"/>
  <c r="FF72" i="3" s="1"/>
  <c r="BB42" i="3"/>
  <c r="CC13" i="3"/>
  <c r="CC44" i="3"/>
  <c r="CC23" i="3"/>
  <c r="CC57" i="3"/>
  <c r="DZ57" i="3"/>
  <c r="DZ61" i="3"/>
  <c r="BZ28" i="3"/>
  <c r="BZ24" i="3"/>
  <c r="BZ53" i="3"/>
  <c r="BZ49" i="3"/>
  <c r="BZ45" i="3"/>
  <c r="DZ58" i="3"/>
  <c r="DZ62" i="3"/>
  <c r="BZ31" i="3"/>
  <c r="BZ27" i="3"/>
  <c r="BZ57" i="3"/>
  <c r="DZ60" i="3"/>
  <c r="DZ59" i="3"/>
  <c r="DZ55" i="3"/>
  <c r="DZ63" i="3"/>
  <c r="DZ56" i="3"/>
  <c r="DL70" i="3"/>
  <c r="BZ20" i="3"/>
  <c r="BZ16" i="3"/>
  <c r="BZ59" i="3"/>
  <c r="BZ55" i="3"/>
  <c r="BZ51" i="3"/>
  <c r="BZ47" i="3"/>
  <c r="CC24" i="3"/>
  <c r="CC16" i="3"/>
  <c r="CC55" i="3"/>
  <c r="CC47" i="3"/>
  <c r="BZ66" i="3"/>
  <c r="BZ58" i="3"/>
  <c r="BZ50" i="3"/>
  <c r="BZ46" i="3"/>
  <c r="CC58" i="3"/>
  <c r="CC50" i="3"/>
  <c r="CC46" i="3"/>
  <c r="H70" i="3"/>
  <c r="AC54" i="3"/>
  <c r="CC45" i="3"/>
  <c r="BH70" i="3"/>
  <c r="BS70" i="3"/>
  <c r="E70" i="3"/>
  <c r="Z54" i="3"/>
  <c r="BL72" i="3"/>
  <c r="BO72" i="3"/>
  <c r="BO70" i="3"/>
  <c r="BS72" i="3"/>
  <c r="BV72" i="3"/>
  <c r="BV70" i="3"/>
  <c r="DV70" i="3"/>
  <c r="BL70" i="3"/>
  <c r="DZ48" i="3"/>
  <c r="DE70" i="3"/>
  <c r="BZ64" i="3"/>
  <c r="BZ56" i="3"/>
  <c r="BZ52" i="3"/>
  <c r="BZ48" i="3"/>
  <c r="BE70" i="3"/>
  <c r="CC64" i="3"/>
  <c r="CC56" i="3"/>
  <c r="CC52" i="3"/>
  <c r="DL72" i="3"/>
  <c r="DO72" i="3"/>
  <c r="DO70" i="3"/>
  <c r="BZ19" i="3"/>
  <c r="BZ15" i="3"/>
  <c r="CC27" i="3"/>
  <c r="CC19" i="3"/>
  <c r="CC15" i="3"/>
  <c r="BL41" i="3"/>
  <c r="BO41" i="3"/>
  <c r="BO39" i="3"/>
  <c r="BS41" i="3"/>
  <c r="BV41" i="3"/>
  <c r="BV39" i="3"/>
  <c r="DL39" i="3"/>
  <c r="BZ22" i="3"/>
  <c r="BZ18" i="3"/>
  <c r="BZ14" i="3"/>
  <c r="CC30" i="3"/>
  <c r="CC26" i="3"/>
  <c r="CC14" i="3"/>
  <c r="BH39" i="3"/>
  <c r="BL39" i="3"/>
  <c r="BS39" i="3"/>
  <c r="BZ21" i="3"/>
  <c r="BZ17" i="3"/>
  <c r="BE39" i="3"/>
  <c r="CC33" i="3"/>
  <c r="CC25" i="3"/>
  <c r="CC21" i="3"/>
  <c r="DE39" i="3"/>
  <c r="EC14" i="3"/>
  <c r="EG13" i="3" s="1"/>
  <c r="DH39" i="3"/>
  <c r="DL41" i="3"/>
  <c r="DO41" i="3"/>
  <c r="DO39" i="3"/>
  <c r="V72" i="3"/>
  <c r="V70" i="3"/>
  <c r="S72" i="3"/>
  <c r="S70" i="3"/>
  <c r="O70" i="3"/>
  <c r="L72" i="3"/>
  <c r="L70" i="3"/>
  <c r="DZ66" i="3"/>
  <c r="EC50" i="3"/>
  <c r="EC58" i="3"/>
  <c r="Z59" i="3"/>
  <c r="Z55" i="3"/>
  <c r="Z51" i="3"/>
  <c r="Z69" i="3"/>
  <c r="EC45" i="3"/>
  <c r="EC61" i="3"/>
  <c r="Z62" i="3"/>
  <c r="DZ30" i="3"/>
  <c r="DZ26" i="3"/>
  <c r="DZ22" i="3"/>
  <c r="DZ18" i="3"/>
  <c r="DZ14" i="3"/>
  <c r="EC44" i="3"/>
  <c r="EC56" i="3"/>
  <c r="DZ64" i="3"/>
  <c r="DZ16" i="3"/>
  <c r="DZ20" i="3"/>
  <c r="DZ32" i="3"/>
  <c r="DZ69" i="3"/>
  <c r="EC47" i="3"/>
  <c r="Z58" i="3"/>
  <c r="Z50" i="3"/>
  <c r="Z46" i="3"/>
  <c r="AC61" i="3"/>
  <c r="AC45" i="3"/>
  <c r="CE13" i="3"/>
  <c r="Z44" i="3"/>
  <c r="CI13" i="3"/>
  <c r="DZ28" i="3"/>
  <c r="DZ24" i="3"/>
  <c r="EE13" i="3"/>
  <c r="EI13" i="3"/>
  <c r="DZ38" i="3"/>
  <c r="Z47" i="3"/>
  <c r="AC58" i="3"/>
  <c r="AC50" i="3"/>
  <c r="AC44" i="3"/>
  <c r="EI44" i="3"/>
  <c r="EE44" i="3"/>
  <c r="CI44" i="3"/>
  <c r="CE44" i="3"/>
  <c r="Z61" i="3"/>
  <c r="Z57" i="3"/>
  <c r="Z53" i="3"/>
  <c r="Z49" i="3"/>
  <c r="Z45" i="3"/>
  <c r="AC56" i="3"/>
  <c r="Z64" i="3"/>
  <c r="Z60" i="3"/>
  <c r="Z56" i="3"/>
  <c r="Z52" i="3"/>
  <c r="Z48" i="3"/>
  <c r="AC47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13" i="3"/>
  <c r="L15" i="3"/>
  <c r="L16" i="3"/>
  <c r="L17" i="3"/>
  <c r="L18" i="3"/>
  <c r="L19" i="3"/>
  <c r="L20" i="3"/>
  <c r="L21" i="3"/>
  <c r="L22" i="3"/>
  <c r="L23" i="3"/>
  <c r="Z23" i="3" s="1"/>
  <c r="L24" i="3"/>
  <c r="L25" i="3"/>
  <c r="L26" i="3"/>
  <c r="L27" i="3"/>
  <c r="L28" i="3"/>
  <c r="L29" i="3"/>
  <c r="L30" i="3"/>
  <c r="L31" i="3"/>
  <c r="L32" i="3"/>
  <c r="L33" i="3"/>
  <c r="L34" i="3"/>
  <c r="L35" i="3"/>
  <c r="L38" i="3"/>
  <c r="L13" i="3"/>
  <c r="Z13" i="3" s="1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8" i="3"/>
  <c r="H13" i="3"/>
  <c r="E14" i="3"/>
  <c r="E15" i="3"/>
  <c r="Z15" i="3" s="1"/>
  <c r="E16" i="3"/>
  <c r="E17" i="3"/>
  <c r="Z17" i="3" s="1"/>
  <c r="E18" i="3"/>
  <c r="Z18" i="3" s="1"/>
  <c r="E19" i="3"/>
  <c r="Z19" i="3" s="1"/>
  <c r="E20" i="3"/>
  <c r="Z20" i="3" s="1"/>
  <c r="E21" i="3"/>
  <c r="Z21" i="3" s="1"/>
  <c r="E22" i="3"/>
  <c r="Z22" i="3" s="1"/>
  <c r="E24" i="3"/>
  <c r="E25" i="3"/>
  <c r="E26" i="3"/>
  <c r="E27" i="3"/>
  <c r="E28" i="3"/>
  <c r="E29" i="3"/>
  <c r="E30" i="3"/>
  <c r="E31" i="3"/>
  <c r="E32" i="3"/>
  <c r="E33" i="3"/>
  <c r="E34" i="3"/>
  <c r="E35" i="3"/>
  <c r="E38" i="3"/>
  <c r="V23" i="3"/>
  <c r="AA19" i="3"/>
  <c r="V14" i="3"/>
  <c r="V15" i="3"/>
  <c r="V16" i="3"/>
  <c r="V17" i="3"/>
  <c r="V18" i="3"/>
  <c r="V19" i="3"/>
  <c r="V20" i="3"/>
  <c r="V21" i="3"/>
  <c r="V22" i="3"/>
  <c r="V24" i="3"/>
  <c r="V25" i="3"/>
  <c r="V26" i="3"/>
  <c r="V27" i="3"/>
  <c r="V28" i="3"/>
  <c r="V29" i="3"/>
  <c r="V30" i="3"/>
  <c r="V31" i="3"/>
  <c r="V32" i="3"/>
  <c r="V33" i="3"/>
  <c r="V34" i="3"/>
  <c r="V35" i="3"/>
  <c r="V38" i="3"/>
  <c r="S23" i="3"/>
  <c r="FF74" i="3" l="1"/>
  <c r="Z14" i="3"/>
  <c r="FJ72" i="3"/>
  <c r="FJ74" i="3" s="1"/>
  <c r="AK44" i="3"/>
  <c r="AG44" i="3"/>
  <c r="EK13" i="3"/>
  <c r="ES13" i="3" s="1"/>
  <c r="CK44" i="3"/>
  <c r="CG44" i="3"/>
  <c r="CK13" i="3"/>
  <c r="Z33" i="3"/>
  <c r="CF44" i="3"/>
  <c r="AC33" i="3"/>
  <c r="CJ13" i="3"/>
  <c r="CJ44" i="3"/>
  <c r="CG13" i="3"/>
  <c r="Z29" i="3"/>
  <c r="Z25" i="3"/>
  <c r="Z38" i="3"/>
  <c r="Z28" i="3"/>
  <c r="Z24" i="3"/>
  <c r="AC23" i="3"/>
  <c r="O41" i="3"/>
  <c r="V41" i="3"/>
  <c r="Z31" i="3"/>
  <c r="Z27" i="3"/>
  <c r="L41" i="3"/>
  <c r="CF13" i="3"/>
  <c r="Z30" i="3"/>
  <c r="Z26" i="3"/>
  <c r="AC13" i="3"/>
  <c r="H39" i="3"/>
  <c r="Z16" i="3"/>
  <c r="E39" i="3"/>
  <c r="L39" i="3"/>
  <c r="O39" i="3"/>
  <c r="V39" i="3"/>
  <c r="EG44" i="3"/>
  <c r="EK44" i="3"/>
  <c r="EF44" i="3"/>
  <c r="EJ44" i="3"/>
  <c r="AF44" i="3"/>
  <c r="CM13" i="3"/>
  <c r="CQ13" i="3"/>
  <c r="EF13" i="3"/>
  <c r="EM13" i="3"/>
  <c r="EQ13" i="3"/>
  <c r="EJ13" i="3"/>
  <c r="EM44" i="3"/>
  <c r="EQ44" i="3"/>
  <c r="CM44" i="3"/>
  <c r="CQ44" i="3"/>
  <c r="AJ44" i="3"/>
  <c r="AC19" i="3"/>
  <c r="AC14" i="3"/>
  <c r="AC30" i="3"/>
  <c r="AC25" i="3"/>
  <c r="AC16" i="3"/>
  <c r="AC27" i="3"/>
  <c r="AK13" i="3" l="1"/>
  <c r="AG13" i="3"/>
  <c r="CO44" i="3"/>
  <c r="EO13" i="3"/>
  <c r="EW20" i="3" s="1"/>
  <c r="FA20" i="3" s="1"/>
  <c r="CR44" i="3"/>
  <c r="CS44" i="3"/>
  <c r="CN13" i="3"/>
  <c r="CO13" i="3"/>
  <c r="CS13" i="3"/>
  <c r="CN44" i="3"/>
  <c r="ES44" i="3"/>
  <c r="CR13" i="3"/>
  <c r="AJ13" i="3"/>
  <c r="AF13" i="3"/>
  <c r="EO44" i="3"/>
  <c r="ER44" i="3"/>
  <c r="AO44" i="3"/>
  <c r="AN44" i="3"/>
  <c r="AS44" i="3"/>
  <c r="EN44" i="3"/>
  <c r="AR44" i="3"/>
  <c r="CU34" i="3"/>
  <c r="CY34" i="3" s="1"/>
  <c r="CU38" i="3"/>
  <c r="CY38" i="3" s="1"/>
  <c r="CU21" i="3"/>
  <c r="CY21" i="3" s="1"/>
  <c r="CU32" i="3"/>
  <c r="CY32" i="3" s="1"/>
  <c r="CU23" i="3"/>
  <c r="CY23" i="3" s="1"/>
  <c r="CU33" i="3"/>
  <c r="CY33" i="3" s="1"/>
  <c r="CU17" i="3"/>
  <c r="CY17" i="3" s="1"/>
  <c r="CU24" i="3"/>
  <c r="CY24" i="3" s="1"/>
  <c r="CU35" i="3"/>
  <c r="CY35" i="3" s="1"/>
  <c r="CU28" i="3"/>
  <c r="CY28" i="3" s="1"/>
  <c r="CU19" i="3"/>
  <c r="CY19" i="3" s="1"/>
  <c r="CU29" i="3"/>
  <c r="CY29" i="3" s="1"/>
  <c r="CU14" i="3"/>
  <c r="CY14" i="3" s="1"/>
  <c r="CU22" i="3"/>
  <c r="CY22" i="3" s="1"/>
  <c r="CU31" i="3"/>
  <c r="CY31" i="3" s="1"/>
  <c r="CU13" i="3"/>
  <c r="CY13" i="3" s="1"/>
  <c r="CU18" i="3"/>
  <c r="CY18" i="3" s="1"/>
  <c r="CU27" i="3"/>
  <c r="CY27" i="3" s="1"/>
  <c r="CU25" i="3"/>
  <c r="CY25" i="3" s="1"/>
  <c r="CU20" i="3"/>
  <c r="CY20" i="3" s="1"/>
  <c r="CU30" i="3"/>
  <c r="CY30" i="3" s="1"/>
  <c r="CU26" i="3"/>
  <c r="CY26" i="3" s="1"/>
  <c r="CU15" i="3"/>
  <c r="CY15" i="3" s="1"/>
  <c r="CU16" i="3"/>
  <c r="CY16" i="3" s="1"/>
  <c r="EU24" i="3"/>
  <c r="EY24" i="3" s="1"/>
  <c r="EU20" i="3"/>
  <c r="EY20" i="3" s="1"/>
  <c r="EU16" i="3"/>
  <c r="EY16" i="3" s="1"/>
  <c r="EU22" i="3"/>
  <c r="EY22" i="3" s="1"/>
  <c r="EU32" i="3"/>
  <c r="EY32" i="3" s="1"/>
  <c r="EU28" i="3"/>
  <c r="EY28" i="3" s="1"/>
  <c r="EU34" i="3"/>
  <c r="EY34" i="3" s="1"/>
  <c r="EU18" i="3"/>
  <c r="EY18" i="3" s="1"/>
  <c r="EU23" i="3"/>
  <c r="EY23" i="3" s="1"/>
  <c r="EU26" i="3"/>
  <c r="EY26" i="3" s="1"/>
  <c r="EU21" i="3"/>
  <c r="EY21" i="3" s="1"/>
  <c r="EU35" i="3"/>
  <c r="EY35" i="3" s="1"/>
  <c r="EU19" i="3"/>
  <c r="EY19" i="3" s="1"/>
  <c r="EU31" i="3"/>
  <c r="EY31" i="3" s="1"/>
  <c r="EU30" i="3"/>
  <c r="EY30" i="3" s="1"/>
  <c r="EU25" i="3"/>
  <c r="EY25" i="3" s="1"/>
  <c r="EU27" i="3"/>
  <c r="EY27" i="3" s="1"/>
  <c r="EU15" i="3"/>
  <c r="EY15" i="3" s="1"/>
  <c r="EU38" i="3"/>
  <c r="EY38" i="3" s="1"/>
  <c r="EU17" i="3"/>
  <c r="EY17" i="3" s="1"/>
  <c r="EU14" i="3"/>
  <c r="EY14" i="3" s="1"/>
  <c r="EU33" i="3"/>
  <c r="EY33" i="3" s="1"/>
  <c r="EU29" i="3"/>
  <c r="EY29" i="3" s="1"/>
  <c r="EU13" i="3"/>
  <c r="EY13" i="3" s="1"/>
  <c r="EN13" i="3"/>
  <c r="ER13" i="3"/>
  <c r="CU48" i="3"/>
  <c r="CY48" i="3" s="1"/>
  <c r="EU44" i="3"/>
  <c r="EY44" i="3" s="1"/>
  <c r="EU65" i="3"/>
  <c r="EY65" i="3" s="1"/>
  <c r="EU53" i="3"/>
  <c r="EY53" i="3" s="1"/>
  <c r="EU54" i="3"/>
  <c r="EY54" i="3" s="1"/>
  <c r="EU66" i="3"/>
  <c r="EY66" i="3" s="1"/>
  <c r="EU45" i="3"/>
  <c r="EY45" i="3" s="1"/>
  <c r="EU61" i="3"/>
  <c r="EY61" i="3" s="1"/>
  <c r="EU46" i="3"/>
  <c r="EY46" i="3" s="1"/>
  <c r="EU62" i="3"/>
  <c r="EY62" i="3" s="1"/>
  <c r="EU64" i="3"/>
  <c r="EY64" i="3" s="1"/>
  <c r="EU58" i="3"/>
  <c r="EY58" i="3" s="1"/>
  <c r="EU59" i="3"/>
  <c r="EY59" i="3" s="1"/>
  <c r="EU63" i="3"/>
  <c r="EY63" i="3" s="1"/>
  <c r="EU48" i="3"/>
  <c r="EY48" i="3" s="1"/>
  <c r="EU52" i="3"/>
  <c r="EY52" i="3" s="1"/>
  <c r="EU56" i="3"/>
  <c r="EY56" i="3" s="1"/>
  <c r="EU50" i="3"/>
  <c r="EY50" i="3" s="1"/>
  <c r="EU57" i="3"/>
  <c r="EY57" i="3" s="1"/>
  <c r="EU51" i="3"/>
  <c r="EY51" i="3" s="1"/>
  <c r="EU55" i="3"/>
  <c r="EY55" i="3" s="1"/>
  <c r="EU69" i="3"/>
  <c r="EY69" i="3" s="1"/>
  <c r="EU60" i="3"/>
  <c r="EY60" i="3" s="1"/>
  <c r="EU49" i="3"/>
  <c r="EY49" i="3" s="1"/>
  <c r="EU47" i="3"/>
  <c r="EY47" i="3" s="1"/>
  <c r="CU44" i="3"/>
  <c r="CY44" i="3" s="1"/>
  <c r="CU63" i="3"/>
  <c r="CY63" i="3" s="1"/>
  <c r="CU69" i="3"/>
  <c r="CY69" i="3" s="1"/>
  <c r="CU64" i="3"/>
  <c r="CY64" i="3" s="1"/>
  <c r="CU49" i="3"/>
  <c r="CY49" i="3" s="1"/>
  <c r="CU53" i="3"/>
  <c r="CY53" i="3" s="1"/>
  <c r="CU57" i="3"/>
  <c r="CY57" i="3" s="1"/>
  <c r="CU65" i="3"/>
  <c r="CY65" i="3" s="1"/>
  <c r="CU46" i="3"/>
  <c r="CY46" i="3" s="1"/>
  <c r="CU50" i="3"/>
  <c r="CY50" i="3" s="1"/>
  <c r="CU54" i="3"/>
  <c r="CY54" i="3" s="1"/>
  <c r="CU58" i="3"/>
  <c r="CY58" i="3" s="1"/>
  <c r="CU62" i="3"/>
  <c r="CY62" i="3" s="1"/>
  <c r="CU66" i="3"/>
  <c r="CY66" i="3" s="1"/>
  <c r="CU56" i="3"/>
  <c r="CY56" i="3" s="1"/>
  <c r="CU55" i="3"/>
  <c r="CY55" i="3" s="1"/>
  <c r="CU47" i="3"/>
  <c r="CY47" i="3" s="1"/>
  <c r="CU45" i="3"/>
  <c r="CY45" i="3" s="1"/>
  <c r="CU59" i="3"/>
  <c r="CY59" i="3" s="1"/>
  <c r="CU60" i="3"/>
  <c r="CY60" i="3" s="1"/>
  <c r="CU61" i="3"/>
  <c r="CY61" i="3" s="1"/>
  <c r="CU51" i="3"/>
  <c r="CY51" i="3" s="1"/>
  <c r="CU52" i="3"/>
  <c r="CY52" i="3" s="1"/>
  <c r="X13" i="3"/>
  <c r="DV69" i="3"/>
  <c r="DV66" i="3"/>
  <c r="DV65" i="3"/>
  <c r="DS69" i="3"/>
  <c r="DS66" i="3"/>
  <c r="DS65" i="3"/>
  <c r="AB45" i="3"/>
  <c r="AA61" i="3"/>
  <c r="AA58" i="3"/>
  <c r="AA56" i="3"/>
  <c r="AA50" i="3"/>
  <c r="AA47" i="3"/>
  <c r="AA45" i="3"/>
  <c r="Y62" i="3"/>
  <c r="Y61" i="3"/>
  <c r="Y60" i="3"/>
  <c r="Y58" i="3"/>
  <c r="Y57" i="3"/>
  <c r="Y56" i="3"/>
  <c r="Y55" i="3"/>
  <c r="Y51" i="3"/>
  <c r="Y50" i="3"/>
  <c r="Y47" i="3"/>
  <c r="Y46" i="3"/>
  <c r="Y45" i="3"/>
  <c r="X69" i="3"/>
  <c r="X62" i="3"/>
  <c r="X61" i="3"/>
  <c r="X60" i="3"/>
  <c r="X59" i="3"/>
  <c r="X58" i="3"/>
  <c r="X57" i="3"/>
  <c r="X56" i="3"/>
  <c r="X55" i="3"/>
  <c r="X53" i="3"/>
  <c r="X52" i="3"/>
  <c r="X51" i="3"/>
  <c r="X50" i="3"/>
  <c r="X49" i="3"/>
  <c r="X48" i="3"/>
  <c r="X47" i="3"/>
  <c r="X46" i="3"/>
  <c r="X45" i="3"/>
  <c r="CQ13" i="4"/>
  <c r="DV15" i="3"/>
  <c r="DV14" i="3"/>
  <c r="DV13" i="3"/>
  <c r="DS15" i="3"/>
  <c r="DS14" i="3"/>
  <c r="DS13" i="3"/>
  <c r="DS39" i="3" s="1"/>
  <c r="DS70" i="3" l="1"/>
  <c r="CW33" i="3"/>
  <c r="DA33" i="3" s="1"/>
  <c r="CW13" i="3"/>
  <c r="DA13" i="3" s="1"/>
  <c r="AO13" i="3"/>
  <c r="CW47" i="3"/>
  <c r="DA47" i="3" s="1"/>
  <c r="CW52" i="3"/>
  <c r="DA52" i="3" s="1"/>
  <c r="CW44" i="3"/>
  <c r="DA44" i="3" s="1"/>
  <c r="CW61" i="3"/>
  <c r="DA61" i="3" s="1"/>
  <c r="CW46" i="3"/>
  <c r="DA46" i="3" s="1"/>
  <c r="CW62" i="3"/>
  <c r="DA62" i="3" s="1"/>
  <c r="CW49" i="3"/>
  <c r="DA49" i="3" s="1"/>
  <c r="CW48" i="3"/>
  <c r="DA48" i="3" s="1"/>
  <c r="CW51" i="3"/>
  <c r="DA51" i="3" s="1"/>
  <c r="CW54" i="3"/>
  <c r="DA54" i="3" s="1"/>
  <c r="CW45" i="3"/>
  <c r="DA45" i="3" s="1"/>
  <c r="CW63" i="3"/>
  <c r="DA63" i="3" s="1"/>
  <c r="CW65" i="3"/>
  <c r="DA65" i="3" s="1"/>
  <c r="CW64" i="3"/>
  <c r="DA64" i="3" s="1"/>
  <c r="CW55" i="3"/>
  <c r="DA55" i="3" s="1"/>
  <c r="CW58" i="3"/>
  <c r="DA58" i="3" s="1"/>
  <c r="CW57" i="3"/>
  <c r="DA57" i="3" s="1"/>
  <c r="CW56" i="3"/>
  <c r="DA56" i="3" s="1"/>
  <c r="CW59" i="3"/>
  <c r="DA59" i="3" s="1"/>
  <c r="CV69" i="3"/>
  <c r="CZ69" i="3" s="1"/>
  <c r="CV59" i="3"/>
  <c r="CZ59" i="3" s="1"/>
  <c r="EW32" i="3"/>
  <c r="FA32" i="3" s="1"/>
  <c r="EW28" i="3"/>
  <c r="FA28" i="3" s="1"/>
  <c r="CV44" i="3"/>
  <c r="CZ44" i="3" s="1"/>
  <c r="CV62" i="3"/>
  <c r="CZ62" i="3" s="1"/>
  <c r="EW22" i="3"/>
  <c r="FA22" i="3" s="1"/>
  <c r="EW16" i="3"/>
  <c r="FA16" i="3" s="1"/>
  <c r="EW38" i="3"/>
  <c r="FA38" i="3" s="1"/>
  <c r="EW18" i="3"/>
  <c r="FA18" i="3" s="1"/>
  <c r="CV47" i="3"/>
  <c r="CZ47" i="3" s="1"/>
  <c r="CV46" i="3"/>
  <c r="CZ46" i="3" s="1"/>
  <c r="EW63" i="3"/>
  <c r="FA63" i="3" s="1"/>
  <c r="CV16" i="3"/>
  <c r="CZ16" i="3" s="1"/>
  <c r="EW34" i="3"/>
  <c r="FA34" i="3" s="1"/>
  <c r="EW14" i="3"/>
  <c r="FA14" i="3" s="1"/>
  <c r="EW13" i="3"/>
  <c r="FA13" i="3" s="1"/>
  <c r="EW26" i="3"/>
  <c r="FA26" i="3" s="1"/>
  <c r="CV34" i="3"/>
  <c r="CZ34" i="3" s="1"/>
  <c r="EW30" i="3"/>
  <c r="FA30" i="3" s="1"/>
  <c r="EW35" i="3"/>
  <c r="FA35" i="3" s="1"/>
  <c r="EW33" i="3"/>
  <c r="FA33" i="3" s="1"/>
  <c r="EW29" i="3"/>
  <c r="FA29" i="3" s="1"/>
  <c r="EW25" i="3"/>
  <c r="FA25" i="3" s="1"/>
  <c r="EW27" i="3"/>
  <c r="FA27" i="3" s="1"/>
  <c r="CV50" i="3"/>
  <c r="CZ50" i="3" s="1"/>
  <c r="CW66" i="3"/>
  <c r="DA66" i="3" s="1"/>
  <c r="CW50" i="3"/>
  <c r="DA50" i="3" s="1"/>
  <c r="CW53" i="3"/>
  <c r="DA53" i="3" s="1"/>
  <c r="CW60" i="3"/>
  <c r="DA60" i="3" s="1"/>
  <c r="CW69" i="3"/>
  <c r="DA69" i="3" s="1"/>
  <c r="EW17" i="3"/>
  <c r="FA17" i="3" s="1"/>
  <c r="EW31" i="3"/>
  <c r="FA31" i="3" s="1"/>
  <c r="EW21" i="3"/>
  <c r="FA21" i="3" s="1"/>
  <c r="EW15" i="3"/>
  <c r="FA15" i="3" s="1"/>
  <c r="EW24" i="3"/>
  <c r="FA24" i="3" s="1"/>
  <c r="EW19" i="3"/>
  <c r="FA19" i="3" s="1"/>
  <c r="EW23" i="3"/>
  <c r="FA23" i="3" s="1"/>
  <c r="CV31" i="3"/>
  <c r="CZ31" i="3" s="1"/>
  <c r="CV13" i="3"/>
  <c r="CZ13" i="3" s="1"/>
  <c r="DS72" i="3"/>
  <c r="CV45" i="3"/>
  <c r="CZ45" i="3" s="1"/>
  <c r="CW25" i="3"/>
  <c r="DA25" i="3" s="1"/>
  <c r="CV66" i="3"/>
  <c r="CZ66" i="3" s="1"/>
  <c r="CV56" i="3"/>
  <c r="CZ56" i="3" s="1"/>
  <c r="CV51" i="3"/>
  <c r="CZ51" i="3" s="1"/>
  <c r="CV57" i="3"/>
  <c r="CZ57" i="3" s="1"/>
  <c r="CV64" i="3"/>
  <c r="CZ64" i="3" s="1"/>
  <c r="CV63" i="3"/>
  <c r="CZ63" i="3" s="1"/>
  <c r="CV55" i="3"/>
  <c r="CZ55" i="3" s="1"/>
  <c r="CV49" i="3"/>
  <c r="CZ49" i="3" s="1"/>
  <c r="CW16" i="3"/>
  <c r="DA16" i="3" s="1"/>
  <c r="CV60" i="3"/>
  <c r="CZ60" i="3" s="1"/>
  <c r="CV48" i="3"/>
  <c r="CZ48" i="3" s="1"/>
  <c r="CV65" i="3"/>
  <c r="CZ65" i="3" s="1"/>
  <c r="CV58" i="3"/>
  <c r="CZ58" i="3" s="1"/>
  <c r="CV61" i="3"/>
  <c r="CZ61" i="3" s="1"/>
  <c r="CV52" i="3"/>
  <c r="CZ52" i="3" s="1"/>
  <c r="CV53" i="3"/>
  <c r="CZ53" i="3" s="1"/>
  <c r="CV54" i="3"/>
  <c r="CZ54" i="3" s="1"/>
  <c r="CW24" i="3"/>
  <c r="DA24" i="3" s="1"/>
  <c r="CW26" i="3"/>
  <c r="DA26" i="3" s="1"/>
  <c r="CW32" i="3"/>
  <c r="DA32" i="3" s="1"/>
  <c r="CW30" i="3"/>
  <c r="DA30" i="3" s="1"/>
  <c r="CW19" i="3"/>
  <c r="DA19" i="3" s="1"/>
  <c r="CW28" i="3"/>
  <c r="DA28" i="3" s="1"/>
  <c r="CW34" i="3"/>
  <c r="DA34" i="3" s="1"/>
  <c r="CW17" i="3"/>
  <c r="DA17" i="3" s="1"/>
  <c r="CW23" i="3"/>
  <c r="DA23" i="3" s="1"/>
  <c r="CW14" i="3"/>
  <c r="DA14" i="3" s="1"/>
  <c r="CV18" i="3"/>
  <c r="CZ18" i="3" s="1"/>
  <c r="CW38" i="3"/>
  <c r="DA38" i="3" s="1"/>
  <c r="CW15" i="3"/>
  <c r="DA15" i="3" s="1"/>
  <c r="CW29" i="3"/>
  <c r="DA29" i="3" s="1"/>
  <c r="CW22" i="3"/>
  <c r="DA22" i="3" s="1"/>
  <c r="CW20" i="3"/>
  <c r="DA20" i="3" s="1"/>
  <c r="CW27" i="3"/>
  <c r="DA27" i="3" s="1"/>
  <c r="CV17" i="3"/>
  <c r="CZ17" i="3" s="1"/>
  <c r="CV26" i="3"/>
  <c r="CZ26" i="3" s="1"/>
  <c r="CW35" i="3"/>
  <c r="DA35" i="3" s="1"/>
  <c r="CW31" i="3"/>
  <c r="DA31" i="3" s="1"/>
  <c r="CW18" i="3"/>
  <c r="DA18" i="3" s="1"/>
  <c r="CW21" i="3"/>
  <c r="DA21" i="3" s="1"/>
  <c r="EV62" i="3"/>
  <c r="EZ62" i="3" s="1"/>
  <c r="EW61" i="3"/>
  <c r="FA61" i="3" s="1"/>
  <c r="EW54" i="3"/>
  <c r="FA54" i="3" s="1"/>
  <c r="EW62" i="3"/>
  <c r="FA62" i="3" s="1"/>
  <c r="EW53" i="3"/>
  <c r="FA53" i="3" s="1"/>
  <c r="EV54" i="3"/>
  <c r="EZ54" i="3" s="1"/>
  <c r="EW46" i="3"/>
  <c r="FA46" i="3" s="1"/>
  <c r="EW56" i="3"/>
  <c r="FA56" i="3" s="1"/>
  <c r="EW52" i="3"/>
  <c r="FA52" i="3" s="1"/>
  <c r="EW45" i="3"/>
  <c r="FA45" i="3" s="1"/>
  <c r="EW59" i="3"/>
  <c r="FA59" i="3" s="1"/>
  <c r="CV33" i="3"/>
  <c r="CZ33" i="3" s="1"/>
  <c r="CV25" i="3"/>
  <c r="CZ25" i="3" s="1"/>
  <c r="CV21" i="3"/>
  <c r="CZ21" i="3" s="1"/>
  <c r="CV20" i="3"/>
  <c r="CZ20" i="3" s="1"/>
  <c r="CV19" i="3"/>
  <c r="CZ19" i="3" s="1"/>
  <c r="CV28" i="3"/>
  <c r="CZ28" i="3" s="1"/>
  <c r="EW47" i="3"/>
  <c r="FA47" i="3" s="1"/>
  <c r="EW65" i="3"/>
  <c r="FA65" i="3" s="1"/>
  <c r="EW69" i="3"/>
  <c r="FA69" i="3" s="1"/>
  <c r="EW51" i="3"/>
  <c r="FA51" i="3" s="1"/>
  <c r="CV15" i="3"/>
  <c r="CZ15" i="3" s="1"/>
  <c r="CV23" i="3"/>
  <c r="CZ23" i="3" s="1"/>
  <c r="CV29" i="3"/>
  <c r="CZ29" i="3" s="1"/>
  <c r="CV30" i="3"/>
  <c r="CZ30" i="3" s="1"/>
  <c r="CV35" i="3"/>
  <c r="CZ35" i="3" s="1"/>
  <c r="CV32" i="3"/>
  <c r="CZ32" i="3" s="1"/>
  <c r="DV72" i="3"/>
  <c r="EW58" i="3"/>
  <c r="FA58" i="3" s="1"/>
  <c r="EW44" i="3"/>
  <c r="FA44" i="3" s="1"/>
  <c r="EW57" i="3"/>
  <c r="FA57" i="3" s="1"/>
  <c r="EW48" i="3"/>
  <c r="FA48" i="3" s="1"/>
  <c r="EW66" i="3"/>
  <c r="FA66" i="3" s="1"/>
  <c r="CV22" i="3"/>
  <c r="CZ22" i="3" s="1"/>
  <c r="CV14" i="3"/>
  <c r="CZ14" i="3" s="1"/>
  <c r="CV27" i="3"/>
  <c r="CZ27" i="3" s="1"/>
  <c r="CV38" i="3"/>
  <c r="CZ38" i="3" s="1"/>
  <c r="CV24" i="3"/>
  <c r="CZ24" i="3" s="1"/>
  <c r="DS41" i="3"/>
  <c r="AR13" i="3"/>
  <c r="AN13" i="3"/>
  <c r="CY70" i="3"/>
  <c r="EV47" i="3"/>
  <c r="EZ47" i="3" s="1"/>
  <c r="EY70" i="3"/>
  <c r="EY39" i="3"/>
  <c r="CY39" i="3"/>
  <c r="DV41" i="3"/>
  <c r="DV39" i="3"/>
  <c r="AW57" i="3"/>
  <c r="AV46" i="3"/>
  <c r="AZ46" i="3" s="1"/>
  <c r="AV50" i="3"/>
  <c r="AZ50" i="3" s="1"/>
  <c r="AV58" i="3"/>
  <c r="AZ58" i="3" s="1"/>
  <c r="AV62" i="3"/>
  <c r="AZ62" i="3" s="1"/>
  <c r="AV66" i="3"/>
  <c r="AZ66" i="3" s="1"/>
  <c r="AV47" i="3"/>
  <c r="AZ47" i="3" s="1"/>
  <c r="AV59" i="3"/>
  <c r="AZ59" i="3" s="1"/>
  <c r="AV56" i="3"/>
  <c r="AZ56" i="3" s="1"/>
  <c r="AV44" i="3"/>
  <c r="AZ44" i="3" s="1"/>
  <c r="AV45" i="3"/>
  <c r="AZ45" i="3" s="1"/>
  <c r="AV49" i="3"/>
  <c r="AZ49" i="3" s="1"/>
  <c r="AV53" i="3"/>
  <c r="AZ53" i="3" s="1"/>
  <c r="AV57" i="3"/>
  <c r="AZ57" i="3" s="1"/>
  <c r="AV61" i="3"/>
  <c r="AZ61" i="3" s="1"/>
  <c r="AV65" i="3"/>
  <c r="AZ65" i="3" s="1"/>
  <c r="AV51" i="3"/>
  <c r="AZ51" i="3" s="1"/>
  <c r="AV55" i="3"/>
  <c r="AZ55" i="3" s="1"/>
  <c r="AV63" i="3"/>
  <c r="AZ63" i="3" s="1"/>
  <c r="AV69" i="3"/>
  <c r="AZ69" i="3" s="1"/>
  <c r="AV48" i="3"/>
  <c r="AZ48" i="3" s="1"/>
  <c r="AV52" i="3"/>
  <c r="AZ52" i="3" s="1"/>
  <c r="AV60" i="3"/>
  <c r="AZ60" i="3" s="1"/>
  <c r="AV64" i="3"/>
  <c r="AZ64" i="3" s="1"/>
  <c r="AV54" i="3"/>
  <c r="AZ54" i="3" s="1"/>
  <c r="EV55" i="3"/>
  <c r="EZ55" i="3" s="1"/>
  <c r="EV53" i="3"/>
  <c r="EZ53" i="3" s="1"/>
  <c r="EV57" i="3"/>
  <c r="EZ57" i="3" s="1"/>
  <c r="AW47" i="3"/>
  <c r="EV59" i="3"/>
  <c r="EZ59" i="3" s="1"/>
  <c r="EV69" i="3"/>
  <c r="EZ69" i="3" s="1"/>
  <c r="EV45" i="3"/>
  <c r="EZ45" i="3" s="1"/>
  <c r="EV65" i="3"/>
  <c r="EZ65" i="3" s="1"/>
  <c r="AW52" i="3"/>
  <c r="EV51" i="3"/>
  <c r="EZ51" i="3" s="1"/>
  <c r="EV48" i="3"/>
  <c r="EZ48" i="3" s="1"/>
  <c r="EV49" i="3"/>
  <c r="EZ49" i="3" s="1"/>
  <c r="EV44" i="3"/>
  <c r="EZ44" i="3" s="1"/>
  <c r="EV52" i="3"/>
  <c r="EZ52" i="3" s="1"/>
  <c r="EV66" i="3"/>
  <c r="EZ66" i="3" s="1"/>
  <c r="EV60" i="3"/>
  <c r="EZ60" i="3" s="1"/>
  <c r="EV58" i="3"/>
  <c r="EZ58" i="3" s="1"/>
  <c r="EV61" i="3"/>
  <c r="EZ61" i="3" s="1"/>
  <c r="EW50" i="3"/>
  <c r="FA50" i="3" s="1"/>
  <c r="EW60" i="3"/>
  <c r="FA60" i="3" s="1"/>
  <c r="EW49" i="3"/>
  <c r="FA49" i="3" s="1"/>
  <c r="EW64" i="3"/>
  <c r="FA64" i="3" s="1"/>
  <c r="EW55" i="3"/>
  <c r="FA55" i="3" s="1"/>
  <c r="EV63" i="3"/>
  <c r="EZ63" i="3" s="1"/>
  <c r="EV50" i="3"/>
  <c r="EZ50" i="3" s="1"/>
  <c r="EV64" i="3"/>
  <c r="EZ64" i="3" s="1"/>
  <c r="EV56" i="3"/>
  <c r="EZ56" i="3" s="1"/>
  <c r="EV46" i="3"/>
  <c r="EZ46" i="3" s="1"/>
  <c r="AW51" i="3"/>
  <c r="AW66" i="3"/>
  <c r="AW48" i="3"/>
  <c r="AW54" i="3"/>
  <c r="AW44" i="3"/>
  <c r="BA44" i="3" s="1"/>
  <c r="AW59" i="3"/>
  <c r="AW53" i="3"/>
  <c r="AW50" i="3"/>
  <c r="AW64" i="3"/>
  <c r="AW55" i="3"/>
  <c r="AW61" i="3"/>
  <c r="AW58" i="3"/>
  <c r="AW65" i="3"/>
  <c r="AW45" i="3"/>
  <c r="AW56" i="3"/>
  <c r="AW63" i="3"/>
  <c r="AW62" i="3"/>
  <c r="AW46" i="3"/>
  <c r="AW49" i="3"/>
  <c r="AW60" i="3"/>
  <c r="AW69" i="3"/>
  <c r="EV34" i="3"/>
  <c r="EZ34" i="3" s="1"/>
  <c r="EV20" i="3"/>
  <c r="EZ20" i="3" s="1"/>
  <c r="EV35" i="3"/>
  <c r="EZ35" i="3" s="1"/>
  <c r="EV26" i="3"/>
  <c r="EZ26" i="3" s="1"/>
  <c r="EV23" i="3"/>
  <c r="EZ23" i="3" s="1"/>
  <c r="EV30" i="3"/>
  <c r="EZ30" i="3" s="1"/>
  <c r="EV16" i="3"/>
  <c r="EZ16" i="3" s="1"/>
  <c r="EV15" i="3"/>
  <c r="EZ15" i="3" s="1"/>
  <c r="EV21" i="3"/>
  <c r="EZ21" i="3" s="1"/>
  <c r="EV27" i="3"/>
  <c r="EZ27" i="3" s="1"/>
  <c r="EV29" i="3"/>
  <c r="EZ29" i="3" s="1"/>
  <c r="EV18" i="3"/>
  <c r="EZ18" i="3" s="1"/>
  <c r="EV22" i="3"/>
  <c r="EZ22" i="3" s="1"/>
  <c r="EV25" i="3"/>
  <c r="EZ25" i="3" s="1"/>
  <c r="EV19" i="3"/>
  <c r="EZ19" i="3" s="1"/>
  <c r="EV32" i="3"/>
  <c r="EZ32" i="3" s="1"/>
  <c r="EV13" i="3"/>
  <c r="EZ13" i="3" s="1"/>
  <c r="EV17" i="3"/>
  <c r="EZ17" i="3" s="1"/>
  <c r="EV14" i="3"/>
  <c r="EZ14" i="3" s="1"/>
  <c r="EV33" i="3"/>
  <c r="EZ33" i="3" s="1"/>
  <c r="EV31" i="3"/>
  <c r="EZ31" i="3" s="1"/>
  <c r="EV28" i="3"/>
  <c r="EZ28" i="3" s="1"/>
  <c r="EV38" i="3"/>
  <c r="EZ38" i="3" s="1"/>
  <c r="EV24" i="3"/>
  <c r="EZ24" i="3" s="1"/>
  <c r="AI44" i="3"/>
  <c r="AE44" i="3"/>
  <c r="Y31" i="3"/>
  <c r="AA30" i="3"/>
  <c r="Y30" i="3"/>
  <c r="Y29" i="3"/>
  <c r="AA27" i="3"/>
  <c r="Y27" i="3"/>
  <c r="Y26" i="3"/>
  <c r="AA25" i="3"/>
  <c r="Y25" i="3"/>
  <c r="Y24" i="3"/>
  <c r="Y20" i="3"/>
  <c r="Y19" i="3"/>
  <c r="Y16" i="3"/>
  <c r="Y15" i="3"/>
  <c r="AB14" i="3"/>
  <c r="AA14" i="3"/>
  <c r="Y14" i="3"/>
  <c r="AB13" i="3"/>
  <c r="AA13" i="3"/>
  <c r="Y13" i="3"/>
  <c r="X38" i="3"/>
  <c r="X31" i="3"/>
  <c r="X30" i="3"/>
  <c r="X29" i="3"/>
  <c r="X28" i="3"/>
  <c r="X27" i="3"/>
  <c r="X26" i="3"/>
  <c r="X25" i="3"/>
  <c r="X24" i="3"/>
  <c r="X22" i="3"/>
  <c r="X21" i="3"/>
  <c r="X20" i="3"/>
  <c r="X19" i="3"/>
  <c r="X18" i="3"/>
  <c r="X17" i="3"/>
  <c r="X16" i="3"/>
  <c r="X15" i="3"/>
  <c r="X14" i="3"/>
  <c r="O13" i="4"/>
  <c r="S14" i="3"/>
  <c r="S15" i="3"/>
  <c r="S16" i="3"/>
  <c r="S17" i="3"/>
  <c r="S18" i="3"/>
  <c r="S19" i="3"/>
  <c r="S20" i="3"/>
  <c r="S21" i="3"/>
  <c r="S22" i="3"/>
  <c r="S24" i="3"/>
  <c r="S25" i="3"/>
  <c r="S26" i="3"/>
  <c r="S27" i="3"/>
  <c r="S28" i="3"/>
  <c r="S29" i="3"/>
  <c r="S30" i="3"/>
  <c r="S31" i="3"/>
  <c r="S32" i="3"/>
  <c r="S33" i="3"/>
  <c r="S34" i="3"/>
  <c r="S35" i="3"/>
  <c r="S38" i="3"/>
  <c r="EZ39" i="3" l="1"/>
  <c r="EY41" i="3"/>
  <c r="EY42" i="3"/>
  <c r="DA70" i="3"/>
  <c r="FA39" i="3"/>
  <c r="CZ70" i="3"/>
  <c r="CZ72" i="3" s="1"/>
  <c r="AV18" i="3"/>
  <c r="AZ18" i="3" s="1"/>
  <c r="DA39" i="3"/>
  <c r="CZ39" i="3"/>
  <c r="FA70" i="3"/>
  <c r="FA72" i="3" s="1"/>
  <c r="AV38" i="3"/>
  <c r="AZ38" i="3" s="1"/>
  <c r="EZ70" i="3"/>
  <c r="EZ73" i="3" s="1"/>
  <c r="AV22" i="3"/>
  <c r="AZ22" i="3" s="1"/>
  <c r="AV20" i="3"/>
  <c r="AZ20" i="3" s="1"/>
  <c r="AV27" i="3"/>
  <c r="AZ27" i="3" s="1"/>
  <c r="AV21" i="3"/>
  <c r="AZ21" i="3" s="1"/>
  <c r="AV34" i="3"/>
  <c r="AZ34" i="3" s="1"/>
  <c r="AV33" i="3"/>
  <c r="AZ33" i="3" s="1"/>
  <c r="AV32" i="3"/>
  <c r="AZ32" i="3" s="1"/>
  <c r="AV16" i="3"/>
  <c r="AZ16" i="3" s="1"/>
  <c r="AV23" i="3"/>
  <c r="AZ23" i="3" s="1"/>
  <c r="AV30" i="3"/>
  <c r="AZ30" i="3" s="1"/>
  <c r="AV14" i="3"/>
  <c r="AZ14" i="3" s="1"/>
  <c r="AV17" i="3"/>
  <c r="AZ17" i="3" s="1"/>
  <c r="AV28" i="3"/>
  <c r="AZ28" i="3" s="1"/>
  <c r="AV35" i="3"/>
  <c r="AZ35" i="3" s="1"/>
  <c r="AV19" i="3"/>
  <c r="AZ19" i="3" s="1"/>
  <c r="AV26" i="3"/>
  <c r="AZ26" i="3" s="1"/>
  <c r="AV13" i="3"/>
  <c r="AZ13" i="3" s="1"/>
  <c r="AV25" i="3"/>
  <c r="AZ25" i="3" s="1"/>
  <c r="AV29" i="3"/>
  <c r="AZ29" i="3" s="1"/>
  <c r="AV24" i="3"/>
  <c r="AZ24" i="3" s="1"/>
  <c r="AV31" i="3"/>
  <c r="AZ31" i="3" s="1"/>
  <c r="AV15" i="3"/>
  <c r="AZ15" i="3" s="1"/>
  <c r="EY72" i="3"/>
  <c r="EY73" i="3"/>
  <c r="CY73" i="3"/>
  <c r="CY72" i="3"/>
  <c r="CY42" i="3"/>
  <c r="CY41" i="3"/>
  <c r="S41" i="3"/>
  <c r="AZ70" i="3"/>
  <c r="AZ72" i="3" s="1"/>
  <c r="S39" i="3"/>
  <c r="AI13" i="3"/>
  <c r="AE13" i="3"/>
  <c r="AM44" i="3"/>
  <c r="AQ44" i="3"/>
  <c r="EZ42" i="3" l="1"/>
  <c r="EZ41" i="3"/>
  <c r="CZ42" i="3"/>
  <c r="CZ41" i="3"/>
  <c r="FA42" i="3"/>
  <c r="FA41" i="3"/>
  <c r="DA42" i="3"/>
  <c r="DA41" i="3"/>
  <c r="DA73" i="3"/>
  <c r="DA72" i="3"/>
  <c r="EZ72" i="3"/>
  <c r="FD72" i="3" s="1"/>
  <c r="FH72" i="3" s="1"/>
  <c r="CZ73" i="3"/>
  <c r="FA73" i="3"/>
  <c r="AZ39" i="3"/>
  <c r="AZ41" i="3" s="1"/>
  <c r="AU46" i="3"/>
  <c r="AY46" i="3" s="1"/>
  <c r="AU50" i="3"/>
  <c r="AY50" i="3" s="1"/>
  <c r="AU58" i="3"/>
  <c r="AY58" i="3" s="1"/>
  <c r="AU62" i="3"/>
  <c r="AY62" i="3" s="1"/>
  <c r="AU66" i="3"/>
  <c r="AY66" i="3" s="1"/>
  <c r="AU47" i="3"/>
  <c r="AY47" i="3" s="1"/>
  <c r="AU51" i="3"/>
  <c r="AY51" i="3" s="1"/>
  <c r="AU55" i="3"/>
  <c r="AY55" i="3" s="1"/>
  <c r="AU59" i="3"/>
  <c r="AY59" i="3" s="1"/>
  <c r="AU63" i="3"/>
  <c r="AY63" i="3" s="1"/>
  <c r="AU69" i="3"/>
  <c r="AY69" i="3" s="1"/>
  <c r="AU48" i="3"/>
  <c r="AY48" i="3" s="1"/>
  <c r="AU52" i="3"/>
  <c r="AY52" i="3" s="1"/>
  <c r="AU56" i="3"/>
  <c r="AY56" i="3" s="1"/>
  <c r="AU60" i="3"/>
  <c r="AY60" i="3" s="1"/>
  <c r="AU64" i="3"/>
  <c r="AY64" i="3" s="1"/>
  <c r="AU44" i="3"/>
  <c r="AY44" i="3" s="1"/>
  <c r="AU45" i="3"/>
  <c r="AY45" i="3" s="1"/>
  <c r="AU49" i="3"/>
  <c r="AY49" i="3" s="1"/>
  <c r="AU53" i="3"/>
  <c r="AY53" i="3" s="1"/>
  <c r="AU57" i="3"/>
  <c r="AY57" i="3" s="1"/>
  <c r="AU61" i="3"/>
  <c r="AY61" i="3" s="1"/>
  <c r="AU65" i="3"/>
  <c r="AY65" i="3" s="1"/>
  <c r="AU54" i="3"/>
  <c r="AY54" i="3" s="1"/>
  <c r="AZ73" i="3"/>
  <c r="AM13" i="3"/>
  <c r="AQ13" i="3"/>
  <c r="FD41" i="3" l="1"/>
  <c r="FH41" i="3" s="1"/>
  <c r="FH74" i="3" s="1"/>
  <c r="AZ42" i="3"/>
  <c r="AU38" i="3"/>
  <c r="AY38" i="3" s="1"/>
  <c r="AY70" i="3"/>
  <c r="AU13" i="3"/>
  <c r="AY13" i="3" s="1"/>
  <c r="AU16" i="3"/>
  <c r="AY16" i="3" s="1"/>
  <c r="AU20" i="3"/>
  <c r="AY20" i="3" s="1"/>
  <c r="AU24" i="3"/>
  <c r="AY24" i="3" s="1"/>
  <c r="AU28" i="3"/>
  <c r="AY28" i="3" s="1"/>
  <c r="AU32" i="3"/>
  <c r="AY32" i="3" s="1"/>
  <c r="AU17" i="3"/>
  <c r="AY17" i="3" s="1"/>
  <c r="AU21" i="3"/>
  <c r="AY21" i="3" s="1"/>
  <c r="AU25" i="3"/>
  <c r="AY25" i="3" s="1"/>
  <c r="AU29" i="3"/>
  <c r="AY29" i="3" s="1"/>
  <c r="AU33" i="3"/>
  <c r="AY33" i="3" s="1"/>
  <c r="AU14" i="3"/>
  <c r="AY14" i="3" s="1"/>
  <c r="AU18" i="3"/>
  <c r="AY18" i="3" s="1"/>
  <c r="AU22" i="3"/>
  <c r="AY22" i="3" s="1"/>
  <c r="AU26" i="3"/>
  <c r="AY26" i="3" s="1"/>
  <c r="AU30" i="3"/>
  <c r="AY30" i="3" s="1"/>
  <c r="AU34" i="3"/>
  <c r="AY34" i="3" s="1"/>
  <c r="AU19" i="3"/>
  <c r="AY19" i="3" s="1"/>
  <c r="AU35" i="3"/>
  <c r="AY35" i="3" s="1"/>
  <c r="AU23" i="3"/>
  <c r="AY23" i="3" s="1"/>
  <c r="AU27" i="3"/>
  <c r="AY27" i="3" s="1"/>
  <c r="AU15" i="3"/>
  <c r="AY15" i="3" s="1"/>
  <c r="AU31" i="3"/>
  <c r="AY31" i="3" s="1"/>
  <c r="AS13" i="3"/>
  <c r="AW13" i="3" s="1"/>
  <c r="BA13" i="3" s="1"/>
  <c r="FD74" i="3" l="1"/>
  <c r="AY39" i="3"/>
  <c r="AY72" i="3"/>
  <c r="FC72" i="3" s="1"/>
  <c r="FG72" i="3" s="1"/>
  <c r="AY73" i="3"/>
  <c r="BA48" i="3"/>
  <c r="BA64" i="3"/>
  <c r="AW24" i="3"/>
  <c r="BA24" i="3" s="1"/>
  <c r="BA45" i="3"/>
  <c r="BA61" i="3"/>
  <c r="AW25" i="3"/>
  <c r="BA25" i="3" s="1"/>
  <c r="BA46" i="3"/>
  <c r="BA62" i="3"/>
  <c r="AW22" i="3"/>
  <c r="BA22" i="3" s="1"/>
  <c r="BA47" i="3"/>
  <c r="BA63" i="3"/>
  <c r="AW23" i="3"/>
  <c r="BA23" i="3" s="1"/>
  <c r="BA52" i="3"/>
  <c r="AW28" i="3"/>
  <c r="BA28" i="3" s="1"/>
  <c r="BA49" i="3"/>
  <c r="BA65" i="3"/>
  <c r="AW29" i="3"/>
  <c r="BA29" i="3" s="1"/>
  <c r="BA50" i="3"/>
  <c r="BA66" i="3"/>
  <c r="AW26" i="3"/>
  <c r="BA26" i="3" s="1"/>
  <c r="BA51" i="3"/>
  <c r="BA69" i="3"/>
  <c r="AW27" i="3"/>
  <c r="BA27" i="3" s="1"/>
  <c r="BA56" i="3"/>
  <c r="AW16" i="3"/>
  <c r="BA16" i="3" s="1"/>
  <c r="AW32" i="3"/>
  <c r="BA32" i="3" s="1"/>
  <c r="BA53" i="3"/>
  <c r="AW17" i="3"/>
  <c r="BA17" i="3" s="1"/>
  <c r="AW33" i="3"/>
  <c r="BA33" i="3" s="1"/>
  <c r="BA54" i="3"/>
  <c r="AW14" i="3"/>
  <c r="BA14" i="3" s="1"/>
  <c r="AW30" i="3"/>
  <c r="BA30" i="3" s="1"/>
  <c r="BA55" i="3"/>
  <c r="AW19" i="3"/>
  <c r="BA19" i="3" s="1"/>
  <c r="AW15" i="3"/>
  <c r="BA15" i="3" s="1"/>
  <c r="BA60" i="3"/>
  <c r="AW20" i="3"/>
  <c r="BA20" i="3" s="1"/>
  <c r="AW38" i="3"/>
  <c r="BA38" i="3" s="1"/>
  <c r="BA57" i="3"/>
  <c r="AW21" i="3"/>
  <c r="BA21" i="3" s="1"/>
  <c r="BA58" i="3"/>
  <c r="AW18" i="3"/>
  <c r="BA18" i="3" s="1"/>
  <c r="AW34" i="3"/>
  <c r="BA34" i="3" s="1"/>
  <c r="BA59" i="3"/>
  <c r="AW35" i="3"/>
  <c r="BA35" i="3" s="1"/>
  <c r="AW31" i="3"/>
  <c r="BA31" i="3" s="1"/>
  <c r="AY42" i="3" l="1"/>
  <c r="AY41" i="3"/>
  <c r="FC41" i="3" s="1"/>
  <c r="FG41" i="3" s="1"/>
  <c r="BA70" i="3"/>
  <c r="BA39" i="3"/>
  <c r="BA73" i="3" l="1"/>
  <c r="BA72" i="3"/>
  <c r="FE72" i="3" s="1"/>
  <c r="FI72" i="3" s="1"/>
  <c r="BA42" i="3"/>
  <c r="BA41" i="3"/>
  <c r="FE41" i="3" s="1"/>
  <c r="FI41" i="3" s="1"/>
  <c r="FI74" i="3" s="1"/>
  <c r="FC74" i="3"/>
  <c r="FG74" i="3"/>
  <c r="CQ44" i="4"/>
  <c r="CQ17" i="4"/>
  <c r="BC44" i="4"/>
  <c r="BC17" i="4"/>
  <c r="O44" i="4"/>
  <c r="O17" i="4"/>
  <c r="FE74" i="3" l="1"/>
  <c r="BE48" i="4" l="1"/>
  <c r="BE21" i="4"/>
  <c r="CR58" i="4" l="1"/>
  <c r="CR31" i="4"/>
  <c r="CQ31" i="4"/>
  <c r="BD58" i="4"/>
  <c r="BC58" i="4"/>
  <c r="BD31" i="4"/>
  <c r="CS52" i="4"/>
  <c r="CR52" i="4"/>
  <c r="CQ52" i="4"/>
  <c r="CS25" i="4"/>
  <c r="CR25" i="4"/>
  <c r="CQ25" i="4"/>
  <c r="BC52" i="4"/>
  <c r="BC25" i="4"/>
  <c r="Q52" i="4"/>
  <c r="P52" i="4"/>
  <c r="O52" i="4"/>
  <c r="Q25" i="4"/>
  <c r="P25" i="4"/>
  <c r="O25" i="4"/>
  <c r="P58" i="4" l="1"/>
  <c r="P31" i="4"/>
  <c r="C63" i="4" l="1"/>
  <c r="K36" i="4"/>
  <c r="C36" i="4"/>
  <c r="CT40" i="4" l="1"/>
  <c r="CS40" i="4"/>
  <c r="CR40" i="4"/>
  <c r="CQ40" i="4"/>
  <c r="CT13" i="4"/>
  <c r="CS13" i="4"/>
  <c r="CR13" i="4"/>
  <c r="BF40" i="4"/>
  <c r="BE40" i="4"/>
  <c r="BD40" i="4"/>
  <c r="BC40" i="4"/>
  <c r="BF13" i="4"/>
  <c r="BE13" i="4"/>
  <c r="BD13" i="4"/>
  <c r="BC13" i="4"/>
  <c r="R40" i="4"/>
  <c r="Q40" i="4"/>
  <c r="P40" i="4"/>
  <c r="O40" i="4"/>
  <c r="R13" i="4"/>
  <c r="Q13" i="4"/>
  <c r="P13" i="4"/>
  <c r="CR47" i="4"/>
  <c r="CR20" i="4"/>
  <c r="DL63" i="4" l="1"/>
  <c r="DK63" i="4"/>
  <c r="DK62" i="4"/>
  <c r="DL61" i="4"/>
  <c r="DK61" i="4"/>
  <c r="DK60" i="4"/>
  <c r="DL59" i="4"/>
  <c r="DK59" i="4"/>
  <c r="DK58" i="4"/>
  <c r="DK57" i="4"/>
  <c r="DK56" i="4"/>
  <c r="DK55" i="4"/>
  <c r="DK54" i="4"/>
  <c r="DK53" i="4"/>
  <c r="DL52" i="4"/>
  <c r="DK52" i="4"/>
  <c r="DK51" i="4"/>
  <c r="DK50" i="4"/>
  <c r="DL49" i="4"/>
  <c r="DK49" i="4"/>
  <c r="DK48" i="4"/>
  <c r="DK47" i="4"/>
  <c r="DL46" i="4"/>
  <c r="DK46" i="4"/>
  <c r="DK45" i="4"/>
  <c r="DL44" i="4"/>
  <c r="DK44" i="4"/>
  <c r="DL43" i="4"/>
  <c r="DK43" i="4"/>
  <c r="DL42" i="4"/>
  <c r="DK42" i="4"/>
  <c r="DK41" i="4"/>
  <c r="DL40" i="4"/>
  <c r="DK40" i="4"/>
  <c r="BX63" i="4"/>
  <c r="BW63" i="4"/>
  <c r="BW62" i="4"/>
  <c r="BX61" i="4"/>
  <c r="BW61" i="4"/>
  <c r="BX60" i="4"/>
  <c r="BW60" i="4"/>
  <c r="BX59" i="4"/>
  <c r="BW59" i="4"/>
  <c r="BX58" i="4"/>
  <c r="BW58" i="4"/>
  <c r="BW57" i="4"/>
  <c r="BW56" i="4"/>
  <c r="BW55" i="4"/>
  <c r="BW54" i="4"/>
  <c r="BW53" i="4"/>
  <c r="BX52" i="4"/>
  <c r="BW52" i="4"/>
  <c r="BW51" i="4"/>
  <c r="BW50" i="4"/>
  <c r="BX49" i="4"/>
  <c r="BW49" i="4"/>
  <c r="BW48" i="4"/>
  <c r="BW47" i="4"/>
  <c r="BX46" i="4"/>
  <c r="BW46" i="4"/>
  <c r="BW45" i="4"/>
  <c r="BX44" i="4"/>
  <c r="BW44" i="4"/>
  <c r="BX43" i="4"/>
  <c r="BW43" i="4"/>
  <c r="BX42" i="4"/>
  <c r="BW42" i="4"/>
  <c r="BW41" i="4"/>
  <c r="BX40" i="4"/>
  <c r="BW40" i="4"/>
  <c r="AJ63" i="4"/>
  <c r="AI63" i="4"/>
  <c r="AJ62" i="4"/>
  <c r="AI62" i="4"/>
  <c r="AJ61" i="4"/>
  <c r="AI61" i="4"/>
  <c r="AJ60" i="4"/>
  <c r="AI60" i="4"/>
  <c r="AJ59" i="4"/>
  <c r="AI59" i="4"/>
  <c r="AI58" i="4"/>
  <c r="AI57" i="4"/>
  <c r="AI56" i="4"/>
  <c r="AI55" i="4"/>
  <c r="AI54" i="4"/>
  <c r="AI53" i="4"/>
  <c r="AJ52" i="4"/>
  <c r="AI52" i="4"/>
  <c r="AI51" i="4"/>
  <c r="AI50" i="4"/>
  <c r="AJ49" i="4"/>
  <c r="AI49" i="4"/>
  <c r="AI48" i="4"/>
  <c r="AI47" i="4"/>
  <c r="AJ46" i="4"/>
  <c r="AI46" i="4"/>
  <c r="AI45" i="4"/>
  <c r="AJ44" i="4"/>
  <c r="AI44" i="4"/>
  <c r="AJ43" i="4"/>
  <c r="AI43" i="4"/>
  <c r="AJ42" i="4"/>
  <c r="AI42" i="4"/>
  <c r="AI41" i="4"/>
  <c r="AJ40" i="4"/>
  <c r="AI40" i="4"/>
  <c r="DL36" i="4"/>
  <c r="DK36" i="4"/>
  <c r="DK35" i="4"/>
  <c r="DL34" i="4"/>
  <c r="DK34" i="4"/>
  <c r="DK33" i="4"/>
  <c r="DL32" i="4"/>
  <c r="DK32" i="4"/>
  <c r="DK31" i="4"/>
  <c r="DK30" i="4"/>
  <c r="DK29" i="4"/>
  <c r="DK28" i="4"/>
  <c r="DK27" i="4"/>
  <c r="DK26" i="4"/>
  <c r="DL25" i="4"/>
  <c r="DK25" i="4"/>
  <c r="DK24" i="4"/>
  <c r="DK23" i="4"/>
  <c r="DL22" i="4"/>
  <c r="DK22" i="4"/>
  <c r="DK21" i="4"/>
  <c r="DK20" i="4"/>
  <c r="DL19" i="4"/>
  <c r="DK19" i="4"/>
  <c r="DK18" i="4"/>
  <c r="DK17" i="4"/>
  <c r="DL16" i="4"/>
  <c r="DK16" i="4"/>
  <c r="DL15" i="4"/>
  <c r="DK15" i="4"/>
  <c r="DK14" i="4"/>
  <c r="DL13" i="4"/>
  <c r="DK13" i="4"/>
  <c r="BX36" i="4"/>
  <c r="BW36" i="4"/>
  <c r="BW35" i="4"/>
  <c r="BX34" i="4"/>
  <c r="BW34" i="4"/>
  <c r="BX33" i="4"/>
  <c r="BW33" i="4"/>
  <c r="BX32" i="4"/>
  <c r="BW32" i="4"/>
  <c r="BW31" i="4"/>
  <c r="BW30" i="4"/>
  <c r="BW29" i="4"/>
  <c r="BW28" i="4"/>
  <c r="BW27" i="4"/>
  <c r="BW26" i="4"/>
  <c r="BX25" i="4"/>
  <c r="BW25" i="4"/>
  <c r="BW24" i="4"/>
  <c r="BW23" i="4"/>
  <c r="BX22" i="4"/>
  <c r="BW22" i="4"/>
  <c r="BW21" i="4"/>
  <c r="BW20" i="4"/>
  <c r="BX19" i="4"/>
  <c r="BW19" i="4"/>
  <c r="BW18" i="4"/>
  <c r="BX17" i="4"/>
  <c r="BW17" i="4"/>
  <c r="BX16" i="4"/>
  <c r="BW16" i="4"/>
  <c r="BX15" i="4"/>
  <c r="BW15" i="4"/>
  <c r="BW14" i="4"/>
  <c r="BX13" i="4"/>
  <c r="BW13" i="4"/>
  <c r="DK64" i="4" l="1"/>
  <c r="DK37" i="4"/>
  <c r="BW64" i="4"/>
  <c r="BW37" i="4"/>
  <c r="AI64" i="4"/>
  <c r="AJ36" i="4"/>
  <c r="AI36" i="4"/>
  <c r="AJ35" i="4"/>
  <c r="AI35" i="4"/>
  <c r="AJ34" i="4"/>
  <c r="AI34" i="4"/>
  <c r="AJ33" i="4"/>
  <c r="AI33" i="4"/>
  <c r="AJ32" i="4"/>
  <c r="AI32" i="4"/>
  <c r="AI31" i="4"/>
  <c r="AI30" i="4"/>
  <c r="AI29" i="4"/>
  <c r="AI28" i="4"/>
  <c r="AI27" i="4"/>
  <c r="AI26" i="4"/>
  <c r="AJ25" i="4"/>
  <c r="AI25" i="4"/>
  <c r="AI24" i="4"/>
  <c r="AI23" i="4"/>
  <c r="AJ22" i="4"/>
  <c r="AI22" i="4"/>
  <c r="AI21" i="4"/>
  <c r="AI20" i="4"/>
  <c r="AJ19" i="4"/>
  <c r="AI19" i="4"/>
  <c r="AI18" i="4"/>
  <c r="AJ17" i="4"/>
  <c r="AI17" i="4"/>
  <c r="AJ16" i="4"/>
  <c r="AI16" i="4"/>
  <c r="AJ15" i="4"/>
  <c r="AI15" i="4"/>
  <c r="AI14" i="4"/>
  <c r="AJ13" i="4"/>
  <c r="AI13" i="4"/>
  <c r="AI37" i="4" l="1"/>
  <c r="CX63" i="4"/>
  <c r="CW63" i="4"/>
  <c r="CV63" i="4"/>
  <c r="CU63" i="4"/>
  <c r="CX62" i="4"/>
  <c r="CV62" i="4"/>
  <c r="CU62" i="4"/>
  <c r="CX61" i="4"/>
  <c r="CW61" i="4"/>
  <c r="CV61" i="4"/>
  <c r="CU61" i="4"/>
  <c r="CX60" i="4"/>
  <c r="CV60" i="4"/>
  <c r="CU60" i="4"/>
  <c r="CX59" i="4"/>
  <c r="CW59" i="4"/>
  <c r="CV59" i="4"/>
  <c r="CU59" i="4"/>
  <c r="CX58" i="4"/>
  <c r="CV58" i="4"/>
  <c r="CU58" i="4"/>
  <c r="CV57" i="4"/>
  <c r="CU57" i="4"/>
  <c r="CX56" i="4"/>
  <c r="CV56" i="4"/>
  <c r="CU56" i="4"/>
  <c r="CX55" i="4"/>
  <c r="CV55" i="4"/>
  <c r="CU55" i="4"/>
  <c r="CV54" i="4"/>
  <c r="CU54" i="4"/>
  <c r="CX53" i="4"/>
  <c r="CV53" i="4"/>
  <c r="CU53" i="4"/>
  <c r="CX52" i="4"/>
  <c r="CW52" i="4"/>
  <c r="CV52" i="4"/>
  <c r="CU52" i="4"/>
  <c r="CX51" i="4"/>
  <c r="CV51" i="4"/>
  <c r="CU51" i="4"/>
  <c r="CV50" i="4"/>
  <c r="CU50" i="4"/>
  <c r="CX49" i="4"/>
  <c r="CW49" i="4"/>
  <c r="CV49" i="4"/>
  <c r="CU49" i="4"/>
  <c r="CX48" i="4"/>
  <c r="CV48" i="4"/>
  <c r="CU48" i="4"/>
  <c r="CX47" i="4"/>
  <c r="CV47" i="4"/>
  <c r="CU47" i="4"/>
  <c r="CX46" i="4"/>
  <c r="CW46" i="4"/>
  <c r="CV46" i="4"/>
  <c r="CU46" i="4"/>
  <c r="CX45" i="4"/>
  <c r="CV45" i="4"/>
  <c r="CU45" i="4"/>
  <c r="CX44" i="4"/>
  <c r="CW44" i="4"/>
  <c r="CV44" i="4"/>
  <c r="CU44" i="4"/>
  <c r="CX43" i="4"/>
  <c r="CV43" i="4"/>
  <c r="CU43" i="4"/>
  <c r="CX42" i="4"/>
  <c r="CV42" i="4"/>
  <c r="CU42" i="4"/>
  <c r="CV41" i="4"/>
  <c r="CU41" i="4"/>
  <c r="CX40" i="4"/>
  <c r="CW40" i="4"/>
  <c r="CV40" i="4"/>
  <c r="CU40" i="4"/>
  <c r="BJ63" i="4"/>
  <c r="BI63" i="4"/>
  <c r="BH63" i="4"/>
  <c r="BG63" i="4"/>
  <c r="BJ62" i="4"/>
  <c r="BH62" i="4"/>
  <c r="BG62" i="4"/>
  <c r="BJ61" i="4"/>
  <c r="BI61" i="4"/>
  <c r="BH61" i="4"/>
  <c r="BG61" i="4"/>
  <c r="BH60" i="4"/>
  <c r="BG60" i="4"/>
  <c r="BJ59" i="4"/>
  <c r="BI59" i="4"/>
  <c r="BH59" i="4"/>
  <c r="BG59" i="4"/>
  <c r="BJ58" i="4"/>
  <c r="BI58" i="4"/>
  <c r="BH58" i="4"/>
  <c r="BG58" i="4"/>
  <c r="BH57" i="4"/>
  <c r="BG57" i="4"/>
  <c r="BJ56" i="4"/>
  <c r="BH56" i="4"/>
  <c r="BG56" i="4"/>
  <c r="BJ55" i="4"/>
  <c r="BH55" i="4"/>
  <c r="BG55" i="4"/>
  <c r="BH54" i="4"/>
  <c r="BG54" i="4"/>
  <c r="BH53" i="4"/>
  <c r="BG53" i="4"/>
  <c r="BJ52" i="4"/>
  <c r="BI52" i="4"/>
  <c r="BH52" i="4"/>
  <c r="BG52" i="4"/>
  <c r="BH51" i="4"/>
  <c r="BG51" i="4"/>
  <c r="BH50" i="4"/>
  <c r="BG50" i="4"/>
  <c r="BJ49" i="4"/>
  <c r="BI49" i="4"/>
  <c r="BH49" i="4"/>
  <c r="BG49" i="4"/>
  <c r="BJ48" i="4"/>
  <c r="BH48" i="4"/>
  <c r="BG48" i="4"/>
  <c r="BJ47" i="4"/>
  <c r="BH47" i="4"/>
  <c r="BG47" i="4"/>
  <c r="BJ46" i="4"/>
  <c r="BI46" i="4"/>
  <c r="BH46" i="4"/>
  <c r="BG46" i="4"/>
  <c r="BJ45" i="4"/>
  <c r="BH45" i="4"/>
  <c r="BG45" i="4"/>
  <c r="BJ44" i="4"/>
  <c r="BI44" i="4"/>
  <c r="BH44" i="4"/>
  <c r="BG44" i="4"/>
  <c r="BJ43" i="4"/>
  <c r="BH43" i="4"/>
  <c r="BG43" i="4"/>
  <c r="BJ42" i="4"/>
  <c r="BI42" i="4"/>
  <c r="BH42" i="4"/>
  <c r="BG42" i="4"/>
  <c r="BH41" i="4"/>
  <c r="BG41" i="4"/>
  <c r="BJ40" i="4"/>
  <c r="BI40" i="4"/>
  <c r="BH40" i="4"/>
  <c r="BH64" i="4" s="1"/>
  <c r="BG40" i="4"/>
  <c r="V63" i="4"/>
  <c r="U63" i="4"/>
  <c r="T63" i="4"/>
  <c r="S63" i="4"/>
  <c r="V62" i="4"/>
  <c r="U62" i="4"/>
  <c r="T62" i="4"/>
  <c r="S62" i="4"/>
  <c r="V61" i="4"/>
  <c r="U61" i="4"/>
  <c r="T61" i="4"/>
  <c r="S61" i="4"/>
  <c r="V60" i="4"/>
  <c r="T60" i="4"/>
  <c r="S60" i="4"/>
  <c r="V59" i="4"/>
  <c r="U59" i="4"/>
  <c r="T59" i="4"/>
  <c r="S59" i="4"/>
  <c r="V58" i="4"/>
  <c r="T58" i="4"/>
  <c r="S58" i="4"/>
  <c r="T57" i="4"/>
  <c r="S57" i="4"/>
  <c r="V56" i="4"/>
  <c r="T56" i="4"/>
  <c r="S56" i="4"/>
  <c r="V55" i="4"/>
  <c r="T55" i="4"/>
  <c r="S55" i="4"/>
  <c r="T54" i="4"/>
  <c r="S54" i="4"/>
  <c r="V53" i="4"/>
  <c r="T53" i="4"/>
  <c r="S53" i="4"/>
  <c r="V52" i="4"/>
  <c r="U52" i="4"/>
  <c r="T52" i="4"/>
  <c r="S52" i="4"/>
  <c r="V51" i="4"/>
  <c r="T51" i="4"/>
  <c r="S51" i="4"/>
  <c r="V50" i="4"/>
  <c r="T50" i="4"/>
  <c r="S50" i="4"/>
  <c r="V49" i="4"/>
  <c r="U49" i="4"/>
  <c r="T49" i="4"/>
  <c r="S49" i="4"/>
  <c r="V48" i="4"/>
  <c r="T48" i="4"/>
  <c r="S48" i="4"/>
  <c r="V47" i="4"/>
  <c r="T47" i="4"/>
  <c r="S47" i="4"/>
  <c r="V46" i="4"/>
  <c r="U46" i="4"/>
  <c r="T46" i="4"/>
  <c r="S46" i="4"/>
  <c r="V45" i="4"/>
  <c r="T45" i="4"/>
  <c r="S45" i="4"/>
  <c r="V44" i="4"/>
  <c r="U44" i="4"/>
  <c r="T44" i="4"/>
  <c r="S44" i="4"/>
  <c r="V43" i="4"/>
  <c r="T43" i="4"/>
  <c r="S43" i="4"/>
  <c r="V42" i="4"/>
  <c r="U42" i="4"/>
  <c r="T42" i="4"/>
  <c r="S42" i="4"/>
  <c r="T41" i="4"/>
  <c r="S41" i="4"/>
  <c r="V40" i="4"/>
  <c r="U40" i="4"/>
  <c r="T40" i="4"/>
  <c r="S40" i="4"/>
  <c r="CU15" i="4"/>
  <c r="CV15" i="4"/>
  <c r="CW15" i="4"/>
  <c r="CX15" i="4"/>
  <c r="CU16" i="4"/>
  <c r="CV16" i="4"/>
  <c r="CX16" i="4"/>
  <c r="CU17" i="4"/>
  <c r="CV17" i="4"/>
  <c r="CX17" i="4"/>
  <c r="CU18" i="4"/>
  <c r="CV18" i="4"/>
  <c r="CX18" i="4"/>
  <c r="CU19" i="4"/>
  <c r="CV19" i="4"/>
  <c r="CW19" i="4"/>
  <c r="CX19" i="4"/>
  <c r="CU20" i="4"/>
  <c r="CV20" i="4"/>
  <c r="CX20" i="4"/>
  <c r="CU21" i="4"/>
  <c r="CV21" i="4"/>
  <c r="CX21" i="4"/>
  <c r="CU22" i="4"/>
  <c r="CV22" i="4"/>
  <c r="CW22" i="4"/>
  <c r="CX22" i="4"/>
  <c r="CU23" i="4"/>
  <c r="CV23" i="4"/>
  <c r="CU24" i="4"/>
  <c r="CV24" i="4"/>
  <c r="CX24" i="4"/>
  <c r="CU25" i="4"/>
  <c r="CV25" i="4"/>
  <c r="CW25" i="4"/>
  <c r="CX25" i="4"/>
  <c r="CU26" i="4"/>
  <c r="CV26" i="4"/>
  <c r="CX26" i="4"/>
  <c r="CU27" i="4"/>
  <c r="CV27" i="4"/>
  <c r="CU28" i="4"/>
  <c r="CV28" i="4"/>
  <c r="CX28" i="4"/>
  <c r="CU29" i="4"/>
  <c r="CV29" i="4"/>
  <c r="CX29" i="4"/>
  <c r="CU30" i="4"/>
  <c r="CV30" i="4"/>
  <c r="CU31" i="4"/>
  <c r="CV31" i="4"/>
  <c r="CX31" i="4"/>
  <c r="CU32" i="4"/>
  <c r="CV32" i="4"/>
  <c r="CW32" i="4"/>
  <c r="CX32" i="4"/>
  <c r="CU33" i="4"/>
  <c r="CV33" i="4"/>
  <c r="CX33" i="4"/>
  <c r="CU34" i="4"/>
  <c r="CV34" i="4"/>
  <c r="CW34" i="4"/>
  <c r="CX34" i="4"/>
  <c r="CU35" i="4"/>
  <c r="CV35" i="4"/>
  <c r="CX35" i="4"/>
  <c r="CU36" i="4"/>
  <c r="CV36" i="4"/>
  <c r="CW36" i="4"/>
  <c r="CX36" i="4"/>
  <c r="CV14" i="4"/>
  <c r="CU14" i="4"/>
  <c r="CX13" i="4"/>
  <c r="CW13" i="4"/>
  <c r="CV13" i="4"/>
  <c r="CU13" i="4"/>
  <c r="BI15" i="4"/>
  <c r="BJ15" i="4"/>
  <c r="BJ16" i="4"/>
  <c r="BI17" i="4"/>
  <c r="BJ17" i="4"/>
  <c r="BJ18" i="4"/>
  <c r="BI19" i="4"/>
  <c r="BJ19" i="4"/>
  <c r="BJ20" i="4"/>
  <c r="BJ21" i="4"/>
  <c r="BI22" i="4"/>
  <c r="BJ22" i="4"/>
  <c r="BI25" i="4"/>
  <c r="BJ25" i="4"/>
  <c r="BJ28" i="4"/>
  <c r="BJ29" i="4"/>
  <c r="BJ31" i="4"/>
  <c r="BI32" i="4"/>
  <c r="BJ32" i="4"/>
  <c r="BI34" i="4"/>
  <c r="BJ34" i="4"/>
  <c r="BJ35" i="4"/>
  <c r="BI36" i="4"/>
  <c r="BJ36" i="4"/>
  <c r="BJ13" i="4"/>
  <c r="BI13" i="4"/>
  <c r="BG14" i="4"/>
  <c r="BH14" i="4"/>
  <c r="BG15" i="4"/>
  <c r="BH15" i="4"/>
  <c r="BG16" i="4"/>
  <c r="BH16" i="4"/>
  <c r="BG17" i="4"/>
  <c r="BH17" i="4"/>
  <c r="BG18" i="4"/>
  <c r="BH18" i="4"/>
  <c r="BG19" i="4"/>
  <c r="BH19" i="4"/>
  <c r="BG20" i="4"/>
  <c r="BH20" i="4"/>
  <c r="BG21" i="4"/>
  <c r="BH21" i="4"/>
  <c r="BG22" i="4"/>
  <c r="BH22" i="4"/>
  <c r="BG23" i="4"/>
  <c r="BH23" i="4"/>
  <c r="BG24" i="4"/>
  <c r="BH24" i="4"/>
  <c r="BG25" i="4"/>
  <c r="BH25" i="4"/>
  <c r="BG26" i="4"/>
  <c r="BH26" i="4"/>
  <c r="BG27" i="4"/>
  <c r="BH27" i="4"/>
  <c r="BG28" i="4"/>
  <c r="BH28" i="4"/>
  <c r="BG29" i="4"/>
  <c r="BH29" i="4"/>
  <c r="BG30" i="4"/>
  <c r="BH30" i="4"/>
  <c r="BG31" i="4"/>
  <c r="BH31" i="4"/>
  <c r="BG32" i="4"/>
  <c r="BH32" i="4"/>
  <c r="BG33" i="4"/>
  <c r="BH33" i="4"/>
  <c r="BG34" i="4"/>
  <c r="BH34" i="4"/>
  <c r="BG35" i="4"/>
  <c r="BH35" i="4"/>
  <c r="BG36" i="4"/>
  <c r="BH36" i="4"/>
  <c r="BH13" i="4"/>
  <c r="BG13" i="4"/>
  <c r="S36" i="4"/>
  <c r="T36" i="4"/>
  <c r="V15" i="4"/>
  <c r="V16" i="4"/>
  <c r="V17" i="4"/>
  <c r="V18" i="4"/>
  <c r="V19" i="4"/>
  <c r="V20" i="4"/>
  <c r="V21" i="4"/>
  <c r="V22" i="4"/>
  <c r="V23" i="4"/>
  <c r="V24" i="4"/>
  <c r="V25" i="4"/>
  <c r="V26" i="4"/>
  <c r="V28" i="4"/>
  <c r="V29" i="4"/>
  <c r="V31" i="4"/>
  <c r="V32" i="4"/>
  <c r="V33" i="4"/>
  <c r="V34" i="4"/>
  <c r="V35" i="4"/>
  <c r="V36" i="4"/>
  <c r="U15" i="4"/>
  <c r="U17" i="4"/>
  <c r="U19" i="4"/>
  <c r="U22" i="4"/>
  <c r="U25" i="4"/>
  <c r="U32" i="4"/>
  <c r="U34" i="4"/>
  <c r="U35" i="4"/>
  <c r="U36" i="4"/>
  <c r="V13" i="4"/>
  <c r="U13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14" i="4"/>
  <c r="T13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14" i="4"/>
  <c r="S13" i="4"/>
  <c r="CV64" i="4" l="1"/>
  <c r="CU64" i="4"/>
  <c r="BG64" i="4"/>
  <c r="T64" i="4"/>
  <c r="S64" i="4"/>
  <c r="CV37" i="4"/>
  <c r="CU37" i="4"/>
  <c r="BH37" i="4"/>
  <c r="BG37" i="4"/>
  <c r="T37" i="4"/>
  <c r="S37" i="4"/>
  <c r="CS54" i="4"/>
  <c r="CX54" i="4" s="1"/>
  <c r="CR54" i="4"/>
  <c r="CS27" i="4"/>
  <c r="CX27" i="4" s="1"/>
  <c r="CR27" i="4"/>
  <c r="BE54" i="4"/>
  <c r="BJ54" i="4" s="1"/>
  <c r="BD54" i="4"/>
  <c r="BE27" i="4"/>
  <c r="BJ27" i="4" s="1"/>
  <c r="BD27" i="4"/>
  <c r="Q54" i="4"/>
  <c r="V54" i="4" s="1"/>
  <c r="P54" i="4"/>
  <c r="Q27" i="4"/>
  <c r="V27" i="4" s="1"/>
  <c r="P27" i="4"/>
  <c r="CQ45" i="4" l="1"/>
  <c r="CQ18" i="4"/>
  <c r="BC45" i="4"/>
  <c r="BC18" i="4"/>
  <c r="O45" i="4"/>
  <c r="O18" i="4"/>
  <c r="CW45" i="4" l="1"/>
  <c r="DL45" i="4"/>
  <c r="BI45" i="4"/>
  <c r="BX45" i="4"/>
  <c r="U45" i="4"/>
  <c r="AJ45" i="4"/>
  <c r="CW18" i="4"/>
  <c r="DL18" i="4"/>
  <c r="BI18" i="4"/>
  <c r="BX18" i="4"/>
  <c r="U18" i="4"/>
  <c r="AJ18" i="4"/>
  <c r="CQ48" i="4"/>
  <c r="CQ21" i="4"/>
  <c r="BC48" i="4"/>
  <c r="BC21" i="4"/>
  <c r="O48" i="4"/>
  <c r="O21" i="4"/>
  <c r="CW48" i="4" l="1"/>
  <c r="DL48" i="4"/>
  <c r="BI48" i="4"/>
  <c r="BX48" i="4"/>
  <c r="U48" i="4"/>
  <c r="AJ48" i="4"/>
  <c r="CW21" i="4"/>
  <c r="DL21" i="4"/>
  <c r="CW31" i="4"/>
  <c r="DL31" i="4"/>
  <c r="BI21" i="4"/>
  <c r="BX21" i="4"/>
  <c r="U21" i="4"/>
  <c r="AJ21" i="4"/>
  <c r="CR42" i="4"/>
  <c r="CW42" i="4" s="1"/>
  <c r="CR43" i="4"/>
  <c r="CW43" i="4" s="1"/>
  <c r="BD43" i="4"/>
  <c r="BI43" i="4" s="1"/>
  <c r="U43" i="4"/>
  <c r="CR16" i="4"/>
  <c r="CW16" i="4" s="1"/>
  <c r="BI16" i="4"/>
  <c r="U16" i="4"/>
  <c r="BD47" i="4" l="1"/>
  <c r="CQ58" i="4" l="1"/>
  <c r="BC31" i="4"/>
  <c r="O58" i="4"/>
  <c r="O31" i="4"/>
  <c r="CW58" i="4" l="1"/>
  <c r="DL58" i="4"/>
  <c r="U58" i="4"/>
  <c r="AJ58" i="4"/>
  <c r="BI31" i="4"/>
  <c r="BX31" i="4"/>
  <c r="U31" i="4"/>
  <c r="AJ31" i="4"/>
  <c r="CQ20" i="4"/>
  <c r="CW17" i="4" l="1"/>
  <c r="DL17" i="4"/>
  <c r="CW20" i="4"/>
  <c r="DL20" i="4"/>
  <c r="CR60" i="4"/>
  <c r="CR33" i="4"/>
  <c r="BE60" i="4"/>
  <c r="BJ60" i="4" s="1"/>
  <c r="BD60" i="4"/>
  <c r="BI60" i="4" s="1"/>
  <c r="BE33" i="4"/>
  <c r="BJ33" i="4" s="1"/>
  <c r="BD33" i="4"/>
  <c r="BI33" i="4" s="1"/>
  <c r="P60" i="4"/>
  <c r="U60" i="4" s="1"/>
  <c r="P33" i="4"/>
  <c r="U33" i="4" s="1"/>
  <c r="BE53" i="4" l="1"/>
  <c r="BJ53" i="4" s="1"/>
  <c r="BD53" i="4"/>
  <c r="BE26" i="4"/>
  <c r="BJ26" i="4" s="1"/>
  <c r="BD26" i="4"/>
  <c r="P53" i="4"/>
  <c r="P26" i="4"/>
  <c r="CT57" i="4"/>
  <c r="CS57" i="4"/>
  <c r="CR57" i="4"/>
  <c r="CT30" i="4"/>
  <c r="CS30" i="4"/>
  <c r="CR30" i="4"/>
  <c r="BE57" i="4"/>
  <c r="BJ57" i="4" s="1"/>
  <c r="BD57" i="4"/>
  <c r="BE30" i="4"/>
  <c r="BJ30" i="4" s="1"/>
  <c r="BD30" i="4"/>
  <c r="Q57" i="4"/>
  <c r="V57" i="4" s="1"/>
  <c r="P57" i="4"/>
  <c r="Q30" i="4"/>
  <c r="V30" i="4" s="1"/>
  <c r="P30" i="4"/>
  <c r="CR56" i="4"/>
  <c r="CR29" i="4"/>
  <c r="BD29" i="4"/>
  <c r="P56" i="4"/>
  <c r="P29" i="4"/>
  <c r="BE51" i="4"/>
  <c r="BJ51" i="4" s="1"/>
  <c r="BE24" i="4"/>
  <c r="BJ24" i="4" s="1"/>
  <c r="P51" i="4"/>
  <c r="P24" i="4"/>
  <c r="CX57" i="4" l="1"/>
  <c r="CX30" i="4"/>
  <c r="CT41" i="4" l="1"/>
  <c r="CS41" i="4"/>
  <c r="CR41" i="4"/>
  <c r="CQ41" i="4"/>
  <c r="DL41" i="4" s="1"/>
  <c r="CT14" i="4"/>
  <c r="CS14" i="4"/>
  <c r="CR14" i="4"/>
  <c r="CQ14" i="4"/>
  <c r="DL14" i="4" s="1"/>
  <c r="BF41" i="4"/>
  <c r="BE41" i="4"/>
  <c r="BD41" i="4"/>
  <c r="BC41" i="4"/>
  <c r="BX41" i="4" s="1"/>
  <c r="BF14" i="4"/>
  <c r="BE14" i="4"/>
  <c r="BD14" i="4"/>
  <c r="BC14" i="4"/>
  <c r="BX14" i="4" s="1"/>
  <c r="R41" i="4"/>
  <c r="Q41" i="4"/>
  <c r="P41" i="4"/>
  <c r="O41" i="4"/>
  <c r="AJ41" i="4" s="1"/>
  <c r="R14" i="4"/>
  <c r="Q14" i="4"/>
  <c r="P14" i="4"/>
  <c r="O14" i="4"/>
  <c r="AJ14" i="4" s="1"/>
  <c r="BI41" i="4" l="1"/>
  <c r="BJ41" i="4"/>
  <c r="CW41" i="4"/>
  <c r="CX41" i="4"/>
  <c r="U41" i="4"/>
  <c r="V41" i="4"/>
  <c r="CW14" i="4"/>
  <c r="CX14" i="4"/>
  <c r="BI14" i="4"/>
  <c r="BJ14" i="4"/>
  <c r="U14" i="4"/>
  <c r="V14" i="4"/>
  <c r="Z40" i="4" l="1"/>
  <c r="X40" i="4"/>
  <c r="Z13" i="4"/>
  <c r="X13" i="4"/>
  <c r="AD40" i="4" l="1"/>
  <c r="AB40" i="4"/>
  <c r="AD13" i="4"/>
  <c r="AB13" i="4"/>
  <c r="AF46" i="4" l="1"/>
  <c r="AH46" i="4" s="1"/>
  <c r="AF49" i="4"/>
  <c r="AH49" i="4" s="1"/>
  <c r="AF52" i="4"/>
  <c r="AH52" i="4" s="1"/>
  <c r="AF58" i="4"/>
  <c r="AH58" i="4" s="1"/>
  <c r="AF43" i="4"/>
  <c r="AH43" i="4" s="1"/>
  <c r="AF56" i="4"/>
  <c r="AH56" i="4" s="1"/>
  <c r="AF60" i="4"/>
  <c r="AH60" i="4" s="1"/>
  <c r="AF62" i="4"/>
  <c r="AH62" i="4" s="1"/>
  <c r="AF40" i="4"/>
  <c r="AH40" i="4" s="1"/>
  <c r="AF42" i="4"/>
  <c r="AH42" i="4" s="1"/>
  <c r="AF45" i="4"/>
  <c r="AH45" i="4" s="1"/>
  <c r="AF48" i="4"/>
  <c r="AH48" i="4" s="1"/>
  <c r="AF51" i="4"/>
  <c r="AH51" i="4" s="1"/>
  <c r="AF55" i="4"/>
  <c r="AH55" i="4" s="1"/>
  <c r="AF59" i="4"/>
  <c r="AH59" i="4" s="1"/>
  <c r="AF44" i="4"/>
  <c r="AH44" i="4" s="1"/>
  <c r="AF47" i="4"/>
  <c r="AH47" i="4" s="1"/>
  <c r="AF50" i="4"/>
  <c r="AH50" i="4" s="1"/>
  <c r="AF53" i="4"/>
  <c r="AH53" i="4" s="1"/>
  <c r="AF61" i="4"/>
  <c r="AH61" i="4" s="1"/>
  <c r="AF63" i="4"/>
  <c r="AH63" i="4" s="1"/>
  <c r="AF54" i="4"/>
  <c r="AH54" i="4" s="1"/>
  <c r="AF57" i="4"/>
  <c r="AH57" i="4" s="1"/>
  <c r="AF41" i="4"/>
  <c r="AH41" i="4" s="1"/>
  <c r="AF13" i="4"/>
  <c r="AH13" i="4" s="1"/>
  <c r="AF19" i="4"/>
  <c r="AH19" i="4" s="1"/>
  <c r="AF23" i="4"/>
  <c r="AH23" i="4" s="1"/>
  <c r="AF31" i="4"/>
  <c r="AH31" i="4" s="1"/>
  <c r="AF35" i="4"/>
  <c r="AH35" i="4" s="1"/>
  <c r="AF15" i="4"/>
  <c r="AH15" i="4" s="1"/>
  <c r="AF17" i="4"/>
  <c r="AH17" i="4" s="1"/>
  <c r="AF21" i="4"/>
  <c r="AH21" i="4" s="1"/>
  <c r="AF25" i="4"/>
  <c r="AH25" i="4" s="1"/>
  <c r="AF33" i="4"/>
  <c r="AH33" i="4" s="1"/>
  <c r="AF28" i="4"/>
  <c r="AH28" i="4" s="1"/>
  <c r="AF36" i="4"/>
  <c r="AH36" i="4" s="1"/>
  <c r="AF32" i="4"/>
  <c r="AH32" i="4" s="1"/>
  <c r="AF26" i="4"/>
  <c r="AH26" i="4" s="1"/>
  <c r="AF22" i="4"/>
  <c r="AH22" i="4" s="1"/>
  <c r="AF18" i="4"/>
  <c r="AH18" i="4" s="1"/>
  <c r="AF34" i="4"/>
  <c r="AH34" i="4" s="1"/>
  <c r="AF29" i="4"/>
  <c r="AH29" i="4" s="1"/>
  <c r="AF24" i="4"/>
  <c r="AH24" i="4" s="1"/>
  <c r="AF20" i="4"/>
  <c r="AH20" i="4" s="1"/>
  <c r="AF16" i="4"/>
  <c r="AH16" i="4" s="1"/>
  <c r="AF27" i="4"/>
  <c r="AH27" i="4" s="1"/>
  <c r="AF30" i="4"/>
  <c r="AH30" i="4" s="1"/>
  <c r="AF14" i="4"/>
  <c r="AH14" i="4" s="1"/>
  <c r="AH64" i="4" l="1"/>
  <c r="AH65" i="4" s="1"/>
  <c r="AH37" i="4"/>
  <c r="AH38" i="4" s="1"/>
  <c r="CQ57" i="4"/>
  <c r="CQ30" i="4"/>
  <c r="BC57" i="4"/>
  <c r="BC30" i="4"/>
  <c r="O57" i="4"/>
  <c r="O30" i="4"/>
  <c r="CW57" i="4" l="1"/>
  <c r="DL57" i="4"/>
  <c r="BI57" i="4"/>
  <c r="BX57" i="4"/>
  <c r="U57" i="4"/>
  <c r="AJ57" i="4"/>
  <c r="CW30" i="4"/>
  <c r="DL30" i="4"/>
  <c r="BI30" i="4"/>
  <c r="BX30" i="4"/>
  <c r="U30" i="4"/>
  <c r="AJ30" i="4"/>
  <c r="CQ24" i="4" l="1"/>
  <c r="CQ51" i="4"/>
  <c r="BC51" i="4"/>
  <c r="CW51" i="4" l="1"/>
  <c r="DL51" i="4"/>
  <c r="BI51" i="4"/>
  <c r="BX51" i="4"/>
  <c r="CW24" i="4"/>
  <c r="DL24" i="4"/>
  <c r="BC24" i="4"/>
  <c r="O51" i="4"/>
  <c r="O24" i="4"/>
  <c r="U51" i="4" l="1"/>
  <c r="AJ51" i="4"/>
  <c r="BI24" i="4"/>
  <c r="BX24" i="4"/>
  <c r="U24" i="4"/>
  <c r="AJ24" i="4"/>
  <c r="CQ62" i="4" l="1"/>
  <c r="BC62" i="4"/>
  <c r="CQ55" i="4"/>
  <c r="BC55" i="4"/>
  <c r="O55" i="4"/>
  <c r="CQ28" i="4"/>
  <c r="BC28" i="4"/>
  <c r="O28" i="4"/>
  <c r="CQ35" i="4"/>
  <c r="BC35" i="4"/>
  <c r="CW55" i="4" l="1"/>
  <c r="DL55" i="4"/>
  <c r="CW62" i="4"/>
  <c r="DL62" i="4"/>
  <c r="BI55" i="4"/>
  <c r="BX55" i="4"/>
  <c r="BI62" i="4"/>
  <c r="BX62" i="4"/>
  <c r="U55" i="4"/>
  <c r="AJ55" i="4"/>
  <c r="CW28" i="4"/>
  <c r="DL28" i="4"/>
  <c r="CW35" i="4"/>
  <c r="DL35" i="4"/>
  <c r="BI28" i="4"/>
  <c r="BX28" i="4"/>
  <c r="BI35" i="4"/>
  <c r="BX35" i="4"/>
  <c r="U28" i="4"/>
  <c r="AJ28" i="4"/>
  <c r="CQ47" i="4"/>
  <c r="BC47" i="4"/>
  <c r="P47" i="4"/>
  <c r="O47" i="4"/>
  <c r="AJ47" i="4" s="1"/>
  <c r="BD20" i="4"/>
  <c r="BC20" i="4"/>
  <c r="BX20" i="4" s="1"/>
  <c r="P20" i="4"/>
  <c r="O20" i="4"/>
  <c r="AJ20" i="4" s="1"/>
  <c r="CW47" i="4" l="1"/>
  <c r="DL47" i="4"/>
  <c r="BI47" i="4"/>
  <c r="BX47" i="4"/>
  <c r="U47" i="4"/>
  <c r="BI20" i="4"/>
  <c r="U20" i="4"/>
  <c r="CQ54" i="4" l="1"/>
  <c r="CQ27" i="4"/>
  <c r="BC54" i="4"/>
  <c r="BC27" i="4"/>
  <c r="O54" i="4"/>
  <c r="O27" i="4"/>
  <c r="CW54" i="4" l="1"/>
  <c r="DL54" i="4"/>
  <c r="BI54" i="4"/>
  <c r="BX54" i="4"/>
  <c r="U54" i="4"/>
  <c r="AJ54" i="4"/>
  <c r="CW27" i="4"/>
  <c r="DL27" i="4"/>
  <c r="BI27" i="4"/>
  <c r="BX27" i="4"/>
  <c r="U27" i="4"/>
  <c r="AJ27" i="4"/>
  <c r="CQ53" i="4"/>
  <c r="CQ26" i="4"/>
  <c r="BC53" i="4"/>
  <c r="BC26" i="4"/>
  <c r="O53" i="4"/>
  <c r="O26" i="4"/>
  <c r="CW53" i="4" l="1"/>
  <c r="DL53" i="4"/>
  <c r="BI53" i="4"/>
  <c r="BX53" i="4"/>
  <c r="U53" i="4"/>
  <c r="AJ53" i="4"/>
  <c r="CW26" i="4"/>
  <c r="DL26" i="4"/>
  <c r="BI26" i="4"/>
  <c r="BX26" i="4"/>
  <c r="U26" i="4"/>
  <c r="AJ26" i="4"/>
  <c r="O50" i="4"/>
  <c r="AJ50" i="4" s="1"/>
  <c r="P50" i="4"/>
  <c r="O56" i="4"/>
  <c r="CQ56" i="4"/>
  <c r="CQ29" i="4"/>
  <c r="BC56" i="4"/>
  <c r="BC29" i="4"/>
  <c r="O29" i="4"/>
  <c r="CW56" i="4" l="1"/>
  <c r="DL56" i="4"/>
  <c r="BI56" i="4"/>
  <c r="BX56" i="4"/>
  <c r="U56" i="4"/>
  <c r="AJ56" i="4"/>
  <c r="AK40" i="4" s="1"/>
  <c r="CW29" i="4"/>
  <c r="DL29" i="4"/>
  <c r="BI29" i="4"/>
  <c r="BX29" i="4"/>
  <c r="U29" i="4"/>
  <c r="AJ29" i="4"/>
  <c r="U50" i="4"/>
  <c r="CS50" i="4"/>
  <c r="CX50" i="4" s="1"/>
  <c r="CR50" i="4"/>
  <c r="CQ50" i="4"/>
  <c r="DL50" i="4" s="1"/>
  <c r="CS23" i="4"/>
  <c r="CX23" i="4" s="1"/>
  <c r="CR23" i="4"/>
  <c r="CQ23" i="4"/>
  <c r="DL23" i="4" s="1"/>
  <c r="BE50" i="4"/>
  <c r="BJ50" i="4" s="1"/>
  <c r="BD50" i="4"/>
  <c r="BC50" i="4"/>
  <c r="BX50" i="4" s="1"/>
  <c r="BE23" i="4"/>
  <c r="BJ23" i="4" s="1"/>
  <c r="BD23" i="4"/>
  <c r="BC23" i="4"/>
  <c r="BX23" i="4" s="1"/>
  <c r="P23" i="4"/>
  <c r="O23" i="4"/>
  <c r="AJ23" i="4" s="1"/>
  <c r="BY40" i="4" l="1"/>
  <c r="BZ40" i="4"/>
  <c r="BZ13" i="4"/>
  <c r="BY13" i="4"/>
  <c r="AL40" i="4"/>
  <c r="AN40" i="4" s="1"/>
  <c r="AK13" i="4"/>
  <c r="AL13" i="4"/>
  <c r="CZ40" i="4"/>
  <c r="DB40" i="4"/>
  <c r="BL40" i="4"/>
  <c r="BN40" i="4"/>
  <c r="BI50" i="4"/>
  <c r="CW50" i="4"/>
  <c r="Y40" i="4"/>
  <c r="W40" i="4"/>
  <c r="DB13" i="4"/>
  <c r="CZ13" i="4"/>
  <c r="CW23" i="4"/>
  <c r="BN13" i="4"/>
  <c r="BL13" i="4"/>
  <c r="BI23" i="4"/>
  <c r="U23" i="4"/>
  <c r="CQ60" i="4"/>
  <c r="CQ33" i="4"/>
  <c r="CW60" i="4" l="1"/>
  <c r="DA40" i="4" s="1"/>
  <c r="DL60" i="4"/>
  <c r="AM40" i="4"/>
  <c r="AO56" i="4" s="1"/>
  <c r="CA40" i="4"/>
  <c r="CB40" i="4"/>
  <c r="CW33" i="4"/>
  <c r="CY13" i="4" s="1"/>
  <c r="DL33" i="4"/>
  <c r="CB13" i="4"/>
  <c r="CA13" i="4"/>
  <c r="AN13" i="4"/>
  <c r="AM13" i="4"/>
  <c r="DF40" i="4"/>
  <c r="DD40" i="4"/>
  <c r="AA40" i="4"/>
  <c r="BK40" i="4"/>
  <c r="BM40" i="4"/>
  <c r="BR40" i="4"/>
  <c r="BP40" i="4"/>
  <c r="AC40" i="4"/>
  <c r="DD13" i="4"/>
  <c r="DF13" i="4"/>
  <c r="BR13" i="4"/>
  <c r="BP13" i="4"/>
  <c r="BK13" i="4"/>
  <c r="BM13" i="4"/>
  <c r="W13" i="4"/>
  <c r="Y13" i="4"/>
  <c r="DA13" i="4" l="1"/>
  <c r="DC13" i="4" s="1"/>
  <c r="DN40" i="4"/>
  <c r="DM40" i="4"/>
  <c r="DN13" i="4"/>
  <c r="DM13" i="4"/>
  <c r="CY40" i="4"/>
  <c r="DC40" i="4" s="1"/>
  <c r="AO51" i="4"/>
  <c r="AP51" i="4" s="1"/>
  <c r="AO50" i="4"/>
  <c r="AP50" i="4" s="1"/>
  <c r="AO40" i="4"/>
  <c r="AP40" i="4" s="1"/>
  <c r="AO47" i="4"/>
  <c r="AP47" i="4" s="1"/>
  <c r="AO48" i="4"/>
  <c r="AP48" i="4" s="1"/>
  <c r="AO60" i="4"/>
  <c r="AP60" i="4" s="1"/>
  <c r="AO41" i="4"/>
  <c r="AP41" i="4" s="1"/>
  <c r="AO43" i="4"/>
  <c r="AP43" i="4" s="1"/>
  <c r="AO42" i="4"/>
  <c r="AP42" i="4" s="1"/>
  <c r="AO46" i="4"/>
  <c r="AP46" i="4" s="1"/>
  <c r="AO53" i="4"/>
  <c r="AP53" i="4" s="1"/>
  <c r="AO54" i="4"/>
  <c r="AP54" i="4" s="1"/>
  <c r="AO55" i="4"/>
  <c r="AP55" i="4" s="1"/>
  <c r="AO57" i="4"/>
  <c r="AP57" i="4" s="1"/>
  <c r="AO58" i="4"/>
  <c r="AP58" i="4" s="1"/>
  <c r="AO45" i="4"/>
  <c r="AP45" i="4" s="1"/>
  <c r="AO61" i="4"/>
  <c r="AP61" i="4" s="1"/>
  <c r="AO44" i="4"/>
  <c r="AP44" i="4" s="1"/>
  <c r="AO62" i="4"/>
  <c r="AP62" i="4" s="1"/>
  <c r="AO52" i="4"/>
  <c r="AP52" i="4" s="1"/>
  <c r="AO59" i="4"/>
  <c r="AP59" i="4" s="1"/>
  <c r="AO63" i="4"/>
  <c r="AP63" i="4" s="1"/>
  <c r="AO49" i="4"/>
  <c r="AP49" i="4" s="1"/>
  <c r="CC46" i="4"/>
  <c r="CD46" i="4" s="1"/>
  <c r="CC52" i="4"/>
  <c r="CD52" i="4" s="1"/>
  <c r="CC40" i="4"/>
  <c r="CD40" i="4" s="1"/>
  <c r="CC42" i="4"/>
  <c r="CD42" i="4" s="1"/>
  <c r="CC44" i="4"/>
  <c r="CC59" i="4"/>
  <c r="CD59" i="4" s="1"/>
  <c r="CC61" i="4"/>
  <c r="CD61" i="4" s="1"/>
  <c r="CC49" i="4"/>
  <c r="CD49" i="4" s="1"/>
  <c r="CC43" i="4"/>
  <c r="CD43" i="4" s="1"/>
  <c r="CC58" i="4"/>
  <c r="CC60" i="4"/>
  <c r="CC63" i="4"/>
  <c r="CC45" i="4"/>
  <c r="CD45" i="4" s="1"/>
  <c r="CC48" i="4"/>
  <c r="CD48" i="4" s="1"/>
  <c r="CC41" i="4"/>
  <c r="CD41" i="4" s="1"/>
  <c r="CC57" i="4"/>
  <c r="CD57" i="4" s="1"/>
  <c r="CC51" i="4"/>
  <c r="CD51" i="4" s="1"/>
  <c r="CC62" i="4"/>
  <c r="CD62" i="4" s="1"/>
  <c r="CC55" i="4"/>
  <c r="CD55" i="4" s="1"/>
  <c r="CC47" i="4"/>
  <c r="CD47" i="4" s="1"/>
  <c r="CC54" i="4"/>
  <c r="CD54" i="4" s="1"/>
  <c r="CC53" i="4"/>
  <c r="CD53" i="4" s="1"/>
  <c r="CC50" i="4"/>
  <c r="CD50" i="4" s="1"/>
  <c r="CC56" i="4"/>
  <c r="CD56" i="4" s="1"/>
  <c r="CD44" i="4"/>
  <c r="CD58" i="4"/>
  <c r="CD60" i="4"/>
  <c r="CD63" i="4"/>
  <c r="AP56" i="4"/>
  <c r="CC34" i="4"/>
  <c r="CD34" i="4" s="1"/>
  <c r="CC16" i="4"/>
  <c r="CD16" i="4" s="1"/>
  <c r="CC36" i="4"/>
  <c r="CD36" i="4" s="1"/>
  <c r="CC19" i="4"/>
  <c r="CD19" i="4" s="1"/>
  <c r="CC25" i="4"/>
  <c r="CD25" i="4" s="1"/>
  <c r="CC33" i="4"/>
  <c r="CD33" i="4" s="1"/>
  <c r="CC15" i="4"/>
  <c r="CD15" i="4" s="1"/>
  <c r="CC17" i="4"/>
  <c r="CD17" i="4" s="1"/>
  <c r="CC13" i="4"/>
  <c r="CD13" i="4" s="1"/>
  <c r="CC22" i="4"/>
  <c r="CD22" i="4" s="1"/>
  <c r="CC32" i="4"/>
  <c r="CD32" i="4" s="1"/>
  <c r="CC18" i="4"/>
  <c r="CD18" i="4" s="1"/>
  <c r="CC21" i="4"/>
  <c r="CD21" i="4" s="1"/>
  <c r="CC31" i="4"/>
  <c r="CD31" i="4" s="1"/>
  <c r="CC14" i="4"/>
  <c r="CD14" i="4" s="1"/>
  <c r="CC30" i="4"/>
  <c r="CD30" i="4" s="1"/>
  <c r="CC24" i="4"/>
  <c r="CD24" i="4" s="1"/>
  <c r="CC20" i="4"/>
  <c r="CD20" i="4" s="1"/>
  <c r="CC28" i="4"/>
  <c r="CD28" i="4" s="1"/>
  <c r="CC35" i="4"/>
  <c r="CD35" i="4" s="1"/>
  <c r="CC27" i="4"/>
  <c r="CD27" i="4" s="1"/>
  <c r="CC26" i="4"/>
  <c r="CD26" i="4" s="1"/>
  <c r="CC23" i="4"/>
  <c r="CD23" i="4" s="1"/>
  <c r="CC29" i="4"/>
  <c r="CD29" i="4" s="1"/>
  <c r="AO35" i="4"/>
  <c r="AP35" i="4" s="1"/>
  <c r="AO33" i="4"/>
  <c r="AP33" i="4" s="1"/>
  <c r="AO25" i="4"/>
  <c r="AP25" i="4" s="1"/>
  <c r="AO17" i="4"/>
  <c r="AP17" i="4" s="1"/>
  <c r="AO22" i="4"/>
  <c r="AP22" i="4" s="1"/>
  <c r="AO19" i="4"/>
  <c r="AP19" i="4" s="1"/>
  <c r="AO16" i="4"/>
  <c r="AP16" i="4" s="1"/>
  <c r="AO36" i="4"/>
  <c r="AP36" i="4" s="1"/>
  <c r="AO34" i="4"/>
  <c r="AP34" i="4" s="1"/>
  <c r="AO32" i="4"/>
  <c r="AP32" i="4" s="1"/>
  <c r="AO13" i="4"/>
  <c r="AP13" i="4" s="1"/>
  <c r="AO15" i="4"/>
  <c r="AP15" i="4" s="1"/>
  <c r="AO18" i="4"/>
  <c r="AP18" i="4" s="1"/>
  <c r="AO21" i="4"/>
  <c r="AP21" i="4" s="1"/>
  <c r="AO31" i="4"/>
  <c r="AP31" i="4" s="1"/>
  <c r="AO14" i="4"/>
  <c r="AP14" i="4" s="1"/>
  <c r="AO30" i="4"/>
  <c r="AP30" i="4" s="1"/>
  <c r="AO24" i="4"/>
  <c r="AP24" i="4" s="1"/>
  <c r="AO28" i="4"/>
  <c r="AP28" i="4" s="1"/>
  <c r="AO20" i="4"/>
  <c r="AP20" i="4" s="1"/>
  <c r="AO27" i="4"/>
  <c r="AP27" i="4" s="1"/>
  <c r="AO26" i="4"/>
  <c r="AP26" i="4" s="1"/>
  <c r="AO23" i="4"/>
  <c r="AP23" i="4" s="1"/>
  <c r="AO29" i="4"/>
  <c r="AP29" i="4" s="1"/>
  <c r="DH43" i="4"/>
  <c r="DJ43" i="4" s="1"/>
  <c r="DH47" i="4"/>
  <c r="DJ47" i="4" s="1"/>
  <c r="DH52" i="4"/>
  <c r="DJ52" i="4" s="1"/>
  <c r="DH58" i="4"/>
  <c r="DJ58" i="4" s="1"/>
  <c r="DH62" i="4"/>
  <c r="DJ62" i="4" s="1"/>
  <c r="DH40" i="4"/>
  <c r="DJ40" i="4" s="1"/>
  <c r="DH55" i="4"/>
  <c r="DJ55" i="4" s="1"/>
  <c r="DH42" i="4"/>
  <c r="DJ42" i="4" s="1"/>
  <c r="DH45" i="4"/>
  <c r="DJ45" i="4" s="1"/>
  <c r="DH48" i="4"/>
  <c r="DJ48" i="4" s="1"/>
  <c r="DH56" i="4"/>
  <c r="DJ56" i="4" s="1"/>
  <c r="DH60" i="4"/>
  <c r="DJ60" i="4" s="1"/>
  <c r="DH44" i="4"/>
  <c r="DJ44" i="4" s="1"/>
  <c r="DH51" i="4"/>
  <c r="DJ51" i="4" s="1"/>
  <c r="DH59" i="4"/>
  <c r="DJ59" i="4" s="1"/>
  <c r="DH46" i="4"/>
  <c r="DJ46" i="4" s="1"/>
  <c r="DH49" i="4"/>
  <c r="DJ49" i="4" s="1"/>
  <c r="DH53" i="4"/>
  <c r="DJ53" i="4" s="1"/>
  <c r="DH61" i="4"/>
  <c r="DJ61" i="4" s="1"/>
  <c r="DH63" i="4"/>
  <c r="DJ63" i="4" s="1"/>
  <c r="DH54" i="4"/>
  <c r="DJ54" i="4" s="1"/>
  <c r="DH57" i="4"/>
  <c r="DJ57" i="4" s="1"/>
  <c r="DH41" i="4"/>
  <c r="DJ41" i="4" s="1"/>
  <c r="DH50" i="4"/>
  <c r="DJ50" i="4" s="1"/>
  <c r="AE63" i="4"/>
  <c r="BT43" i="4"/>
  <c r="BV43" i="4" s="1"/>
  <c r="BT55" i="4"/>
  <c r="BV55" i="4" s="1"/>
  <c r="BT62" i="4"/>
  <c r="BV62" i="4" s="1"/>
  <c r="BT40" i="4"/>
  <c r="BV40" i="4" s="1"/>
  <c r="BT46" i="4"/>
  <c r="BV46" i="4" s="1"/>
  <c r="BT49" i="4"/>
  <c r="BV49" i="4" s="1"/>
  <c r="BT56" i="4"/>
  <c r="BV56" i="4" s="1"/>
  <c r="BT59" i="4"/>
  <c r="BV59" i="4" s="1"/>
  <c r="BT44" i="4"/>
  <c r="BV44" i="4" s="1"/>
  <c r="BT47" i="4"/>
  <c r="BV47" i="4" s="1"/>
  <c r="BT63" i="4"/>
  <c r="BV63" i="4" s="1"/>
  <c r="BT42" i="4"/>
  <c r="BV42" i="4" s="1"/>
  <c r="BT45" i="4"/>
  <c r="BV45" i="4" s="1"/>
  <c r="BT48" i="4"/>
  <c r="BV48" i="4" s="1"/>
  <c r="BT52" i="4"/>
  <c r="BV52" i="4" s="1"/>
  <c r="BT58" i="4"/>
  <c r="BV58" i="4" s="1"/>
  <c r="BT61" i="4"/>
  <c r="BV61" i="4" s="1"/>
  <c r="BT54" i="4"/>
  <c r="BV54" i="4" s="1"/>
  <c r="BT60" i="4"/>
  <c r="BV60" i="4" s="1"/>
  <c r="BT53" i="4"/>
  <c r="BV53" i="4" s="1"/>
  <c r="BT57" i="4"/>
  <c r="BV57" i="4" s="1"/>
  <c r="BT51" i="4"/>
  <c r="BV51" i="4" s="1"/>
  <c r="BT41" i="4"/>
  <c r="BV41" i="4" s="1"/>
  <c r="BT50" i="4"/>
  <c r="BV50" i="4" s="1"/>
  <c r="AE41" i="4"/>
  <c r="AG41" i="4" s="1"/>
  <c r="AE50" i="4"/>
  <c r="AE62" i="4"/>
  <c r="AE47" i="4"/>
  <c r="AE48" i="4"/>
  <c r="AE40" i="4"/>
  <c r="AG40" i="4" s="1"/>
  <c r="AE53" i="4"/>
  <c r="AE51" i="4"/>
  <c r="AE58" i="4"/>
  <c r="AE59" i="4"/>
  <c r="AE49" i="4"/>
  <c r="AE44" i="4"/>
  <c r="BS63" i="4"/>
  <c r="BU63" i="4" s="1"/>
  <c r="BO40" i="4"/>
  <c r="BQ40" i="4"/>
  <c r="AE56" i="4"/>
  <c r="AE54" i="4"/>
  <c r="AE55" i="4"/>
  <c r="AE57" i="4"/>
  <c r="AE60" i="4"/>
  <c r="AE43" i="4"/>
  <c r="AE45" i="4"/>
  <c r="AG45" i="4" s="1"/>
  <c r="AE42" i="4"/>
  <c r="AE52" i="4"/>
  <c r="AE46" i="4"/>
  <c r="AE61" i="4"/>
  <c r="DH34" i="4"/>
  <c r="DJ34" i="4" s="1"/>
  <c r="DH29" i="4"/>
  <c r="DJ29" i="4" s="1"/>
  <c r="DH22" i="4"/>
  <c r="DJ22" i="4" s="1"/>
  <c r="DH19" i="4"/>
  <c r="DJ19" i="4" s="1"/>
  <c r="DH16" i="4"/>
  <c r="DJ16" i="4" s="1"/>
  <c r="DH35" i="4"/>
  <c r="DJ35" i="4" s="1"/>
  <c r="DH31" i="4"/>
  <c r="DJ31" i="4" s="1"/>
  <c r="DH25" i="4"/>
  <c r="DJ25" i="4" s="1"/>
  <c r="DH20" i="4"/>
  <c r="DJ20" i="4" s="1"/>
  <c r="DH15" i="4"/>
  <c r="DJ15" i="4" s="1"/>
  <c r="DH13" i="4"/>
  <c r="DJ13" i="4" s="1"/>
  <c r="DH33" i="4"/>
  <c r="DJ33" i="4" s="1"/>
  <c r="DH26" i="4"/>
  <c r="DJ26" i="4" s="1"/>
  <c r="DH21" i="4"/>
  <c r="DJ21" i="4" s="1"/>
  <c r="DH18" i="4"/>
  <c r="DJ18" i="4" s="1"/>
  <c r="DH36" i="4"/>
  <c r="DJ36" i="4" s="1"/>
  <c r="DH32" i="4"/>
  <c r="DJ32" i="4" s="1"/>
  <c r="DH28" i="4"/>
  <c r="DJ28" i="4" s="1"/>
  <c r="DH24" i="4"/>
  <c r="DJ24" i="4" s="1"/>
  <c r="DH17" i="4"/>
  <c r="DJ17" i="4" s="1"/>
  <c r="DH27" i="4"/>
  <c r="DJ27" i="4" s="1"/>
  <c r="DH30" i="4"/>
  <c r="DJ30" i="4" s="1"/>
  <c r="DH14" i="4"/>
  <c r="DJ14" i="4" s="1"/>
  <c r="DH23" i="4"/>
  <c r="DJ23" i="4" s="1"/>
  <c r="BQ13" i="4"/>
  <c r="BO13" i="4"/>
  <c r="BT13" i="4"/>
  <c r="BV13" i="4" s="1"/>
  <c r="BT32" i="4"/>
  <c r="BV32" i="4" s="1"/>
  <c r="BT28" i="4"/>
  <c r="BV28" i="4" s="1"/>
  <c r="BT16" i="4"/>
  <c r="BV16" i="4" s="1"/>
  <c r="BT35" i="4"/>
  <c r="BV35" i="4" s="1"/>
  <c r="BT25" i="4"/>
  <c r="BV25" i="4" s="1"/>
  <c r="BT21" i="4"/>
  <c r="BV21" i="4" s="1"/>
  <c r="BT18" i="4"/>
  <c r="BV18" i="4" s="1"/>
  <c r="BT15" i="4"/>
  <c r="BV15" i="4" s="1"/>
  <c r="BT34" i="4"/>
  <c r="BV34" i="4" s="1"/>
  <c r="BT31" i="4"/>
  <c r="BV31" i="4" s="1"/>
  <c r="BT20" i="4"/>
  <c r="BV20" i="4" s="1"/>
  <c r="BT17" i="4"/>
  <c r="BV17" i="4" s="1"/>
  <c r="BT36" i="4"/>
  <c r="BV36" i="4" s="1"/>
  <c r="BT29" i="4"/>
  <c r="BV29" i="4" s="1"/>
  <c r="BT22" i="4"/>
  <c r="BV22" i="4" s="1"/>
  <c r="BT19" i="4"/>
  <c r="BV19" i="4" s="1"/>
  <c r="BT27" i="4"/>
  <c r="BV27" i="4" s="1"/>
  <c r="BT33" i="4"/>
  <c r="BV33" i="4" s="1"/>
  <c r="BT30" i="4"/>
  <c r="BV30" i="4" s="1"/>
  <c r="BT24" i="4"/>
  <c r="BV24" i="4" s="1"/>
  <c r="BT26" i="4"/>
  <c r="BV26" i="4" s="1"/>
  <c r="BT14" i="4"/>
  <c r="BV14" i="4" s="1"/>
  <c r="BT23" i="4"/>
  <c r="BV23" i="4" s="1"/>
  <c r="AC13" i="4"/>
  <c r="AA13" i="4"/>
  <c r="DE40" i="4" l="1"/>
  <c r="DG52" i="4" s="1"/>
  <c r="DI52" i="4" s="1"/>
  <c r="DE13" i="4"/>
  <c r="DG13" i="4" s="1"/>
  <c r="DI13" i="4" s="1"/>
  <c r="DP40" i="4"/>
  <c r="DO40" i="4"/>
  <c r="CD64" i="4"/>
  <c r="CD65" i="4" s="1"/>
  <c r="AP64" i="4"/>
  <c r="AP65" i="4" s="1"/>
  <c r="DO13" i="4"/>
  <c r="DP13" i="4"/>
  <c r="CD37" i="4"/>
  <c r="CD38" i="4" s="1"/>
  <c r="AP37" i="4"/>
  <c r="AP38" i="4" s="1"/>
  <c r="DG61" i="4"/>
  <c r="DI61" i="4" s="1"/>
  <c r="DJ64" i="4"/>
  <c r="DJ65" i="4" s="1"/>
  <c r="BS40" i="4"/>
  <c r="BU40" i="4" s="1"/>
  <c r="BS46" i="4"/>
  <c r="BU46" i="4" s="1"/>
  <c r="BS49" i="4"/>
  <c r="BU49" i="4" s="1"/>
  <c r="BS59" i="4"/>
  <c r="BU59" i="4" s="1"/>
  <c r="BS44" i="4"/>
  <c r="BU44" i="4" s="1"/>
  <c r="BS42" i="4"/>
  <c r="BU42" i="4" s="1"/>
  <c r="BS52" i="4"/>
  <c r="BU52" i="4" s="1"/>
  <c r="BS58" i="4"/>
  <c r="BU58" i="4" s="1"/>
  <c r="BS61" i="4"/>
  <c r="BU61" i="4" s="1"/>
  <c r="BS45" i="4"/>
  <c r="BU45" i="4" s="1"/>
  <c r="BS48" i="4"/>
  <c r="BU48" i="4" s="1"/>
  <c r="BS43" i="4"/>
  <c r="BU43" i="4" s="1"/>
  <c r="BS60" i="4"/>
  <c r="BU60" i="4" s="1"/>
  <c r="BS41" i="4"/>
  <c r="BU41" i="4" s="1"/>
  <c r="BS57" i="4"/>
  <c r="BU57" i="4" s="1"/>
  <c r="BS51" i="4"/>
  <c r="BU51" i="4" s="1"/>
  <c r="BS62" i="4"/>
  <c r="BU62" i="4" s="1"/>
  <c r="BS55" i="4"/>
  <c r="BU55" i="4" s="1"/>
  <c r="BS47" i="4"/>
  <c r="BU47" i="4" s="1"/>
  <c r="BS54" i="4"/>
  <c r="BU54" i="4" s="1"/>
  <c r="BS53" i="4"/>
  <c r="BU53" i="4" s="1"/>
  <c r="BS56" i="4"/>
  <c r="BU56" i="4" s="1"/>
  <c r="BS50" i="4"/>
  <c r="BU50" i="4" s="1"/>
  <c r="BV64" i="4"/>
  <c r="BV65" i="4" s="1"/>
  <c r="DU65" i="4" s="1"/>
  <c r="AG44" i="4"/>
  <c r="AG49" i="4"/>
  <c r="AG59" i="4"/>
  <c r="AG62" i="4"/>
  <c r="AG42" i="4"/>
  <c r="AG46" i="4"/>
  <c r="AG52" i="4"/>
  <c r="AG61" i="4"/>
  <c r="AG63" i="4"/>
  <c r="AG48" i="4"/>
  <c r="AG43" i="4"/>
  <c r="AG58" i="4"/>
  <c r="AG60" i="4"/>
  <c r="AG57" i="4"/>
  <c r="AG51" i="4"/>
  <c r="AG55" i="4"/>
  <c r="AG47" i="4"/>
  <c r="AG54" i="4"/>
  <c r="AG53" i="4"/>
  <c r="AG56" i="4"/>
  <c r="AG50" i="4"/>
  <c r="DJ37" i="4"/>
  <c r="DJ38" i="4" s="1"/>
  <c r="BV37" i="4"/>
  <c r="BV38" i="4" s="1"/>
  <c r="BS36" i="4"/>
  <c r="BU36" i="4" s="1"/>
  <c r="BS22" i="4"/>
  <c r="BU22" i="4" s="1"/>
  <c r="BS19" i="4"/>
  <c r="BU19" i="4" s="1"/>
  <c r="BS13" i="4"/>
  <c r="BU13" i="4" s="1"/>
  <c r="BS32" i="4"/>
  <c r="BU32" i="4" s="1"/>
  <c r="BS25" i="4"/>
  <c r="BU25" i="4" s="1"/>
  <c r="BS15" i="4"/>
  <c r="BU15" i="4" s="1"/>
  <c r="BS34" i="4"/>
  <c r="BU34" i="4" s="1"/>
  <c r="BS17" i="4"/>
  <c r="BU17" i="4" s="1"/>
  <c r="BS18" i="4"/>
  <c r="BU18" i="4" s="1"/>
  <c r="BS21" i="4"/>
  <c r="BU21" i="4" s="1"/>
  <c r="BS16" i="4"/>
  <c r="BU16" i="4" s="1"/>
  <c r="BS31" i="4"/>
  <c r="BU31" i="4" s="1"/>
  <c r="BS33" i="4"/>
  <c r="BU33" i="4" s="1"/>
  <c r="BS14" i="4"/>
  <c r="BU14" i="4" s="1"/>
  <c r="BS30" i="4"/>
  <c r="BU30" i="4" s="1"/>
  <c r="BS24" i="4"/>
  <c r="BU24" i="4" s="1"/>
  <c r="BS35" i="4"/>
  <c r="BU35" i="4" s="1"/>
  <c r="BS28" i="4"/>
  <c r="BU28" i="4" s="1"/>
  <c r="BS20" i="4"/>
  <c r="BU20" i="4" s="1"/>
  <c r="BS27" i="4"/>
  <c r="BU27" i="4" s="1"/>
  <c r="BS26" i="4"/>
  <c r="BU26" i="4" s="1"/>
  <c r="BS29" i="4"/>
  <c r="BU29" i="4" s="1"/>
  <c r="BS23" i="4"/>
  <c r="BU23" i="4" s="1"/>
  <c r="AE13" i="4"/>
  <c r="AG13" i="4" s="1"/>
  <c r="AE15" i="4"/>
  <c r="AG15" i="4" s="1"/>
  <c r="AE19" i="4"/>
  <c r="AG19" i="4" s="1"/>
  <c r="AE25" i="4"/>
  <c r="AG25" i="4" s="1"/>
  <c r="AE36" i="4"/>
  <c r="AG36" i="4" s="1"/>
  <c r="AE35" i="4"/>
  <c r="AG35" i="4" s="1"/>
  <c r="AE22" i="4"/>
  <c r="AG22" i="4" s="1"/>
  <c r="AE34" i="4"/>
  <c r="AG34" i="4" s="1"/>
  <c r="AE32" i="4"/>
  <c r="AG32" i="4" s="1"/>
  <c r="AE17" i="4"/>
  <c r="AG17" i="4" s="1"/>
  <c r="AE18" i="4"/>
  <c r="AG18" i="4" s="1"/>
  <c r="AE21" i="4"/>
  <c r="AG21" i="4" s="1"/>
  <c r="AE16" i="4"/>
  <c r="AG16" i="4" s="1"/>
  <c r="AE31" i="4"/>
  <c r="AG31" i="4" s="1"/>
  <c r="AE33" i="4"/>
  <c r="AG33" i="4" s="1"/>
  <c r="AE14" i="4"/>
  <c r="AG14" i="4" s="1"/>
  <c r="AE30" i="4"/>
  <c r="AG30" i="4" s="1"/>
  <c r="AE24" i="4"/>
  <c r="AG24" i="4" s="1"/>
  <c r="AE28" i="4"/>
  <c r="AG28" i="4" s="1"/>
  <c r="AE20" i="4"/>
  <c r="AG20" i="4" s="1"/>
  <c r="AE27" i="4"/>
  <c r="AG27" i="4" s="1"/>
  <c r="AE26" i="4"/>
  <c r="AG26" i="4" s="1"/>
  <c r="AE29" i="4"/>
  <c r="AG29" i="4" s="1"/>
  <c r="AE23" i="4"/>
  <c r="AG23" i="4" s="1"/>
  <c r="DG50" i="4" l="1"/>
  <c r="DI50" i="4" s="1"/>
  <c r="DG41" i="4"/>
  <c r="DI41" i="4" s="1"/>
  <c r="DG56" i="4"/>
  <c r="DI56" i="4" s="1"/>
  <c r="DG48" i="4"/>
  <c r="DI48" i="4" s="1"/>
  <c r="DG51" i="4"/>
  <c r="DI51" i="4" s="1"/>
  <c r="DG36" i="4"/>
  <c r="DI36" i="4" s="1"/>
  <c r="DG31" i="4"/>
  <c r="DI31" i="4" s="1"/>
  <c r="DG55" i="4"/>
  <c r="DI55" i="4" s="1"/>
  <c r="DG40" i="4"/>
  <c r="DI40" i="4" s="1"/>
  <c r="DG54" i="4"/>
  <c r="DI54" i="4" s="1"/>
  <c r="DG43" i="4"/>
  <c r="DI43" i="4" s="1"/>
  <c r="DG46" i="4"/>
  <c r="DI46" i="4" s="1"/>
  <c r="DG59" i="4"/>
  <c r="DI59" i="4" s="1"/>
  <c r="DG24" i="4"/>
  <c r="DI24" i="4" s="1"/>
  <c r="DG60" i="4"/>
  <c r="DI60" i="4" s="1"/>
  <c r="DG47" i="4"/>
  <c r="DI47" i="4" s="1"/>
  <c r="DG57" i="4"/>
  <c r="DI57" i="4" s="1"/>
  <c r="DG42" i="4"/>
  <c r="DI42" i="4" s="1"/>
  <c r="DG44" i="4"/>
  <c r="DI44" i="4" s="1"/>
  <c r="DG49" i="4"/>
  <c r="DI49" i="4" s="1"/>
  <c r="DG53" i="4"/>
  <c r="DI53" i="4" s="1"/>
  <c r="DG62" i="4"/>
  <c r="DI62" i="4" s="1"/>
  <c r="DG58" i="4"/>
  <c r="DI58" i="4" s="1"/>
  <c r="DG45" i="4"/>
  <c r="DI45" i="4" s="1"/>
  <c r="DG63" i="4"/>
  <c r="DI63" i="4" s="1"/>
  <c r="DG18" i="4"/>
  <c r="DI18" i="4" s="1"/>
  <c r="DG25" i="4"/>
  <c r="DI25" i="4" s="1"/>
  <c r="DG28" i="4"/>
  <c r="DI28" i="4" s="1"/>
  <c r="DG32" i="4"/>
  <c r="DI32" i="4" s="1"/>
  <c r="DG17" i="4"/>
  <c r="DI17" i="4" s="1"/>
  <c r="DG26" i="4"/>
  <c r="DI26" i="4" s="1"/>
  <c r="DG15" i="4"/>
  <c r="DI15" i="4" s="1"/>
  <c r="DG20" i="4"/>
  <c r="DI20" i="4" s="1"/>
  <c r="DG29" i="4"/>
  <c r="DI29" i="4" s="1"/>
  <c r="DG34" i="4"/>
  <c r="DI34" i="4" s="1"/>
  <c r="DG21" i="4"/>
  <c r="DI21" i="4" s="1"/>
  <c r="DG14" i="4"/>
  <c r="DI14" i="4" s="1"/>
  <c r="DG35" i="4"/>
  <c r="DI35" i="4" s="1"/>
  <c r="DG33" i="4"/>
  <c r="DI33" i="4" s="1"/>
  <c r="DG22" i="4"/>
  <c r="DI22" i="4" s="1"/>
  <c r="DG19" i="4"/>
  <c r="DI19" i="4" s="1"/>
  <c r="DG16" i="4"/>
  <c r="DI16" i="4" s="1"/>
  <c r="DG30" i="4"/>
  <c r="DI30" i="4" s="1"/>
  <c r="DG27" i="4"/>
  <c r="DI27" i="4" s="1"/>
  <c r="DG23" i="4"/>
  <c r="DI23" i="4" s="1"/>
  <c r="DQ49" i="4"/>
  <c r="DR49" i="4" s="1"/>
  <c r="DQ59" i="4"/>
  <c r="DR59" i="4" s="1"/>
  <c r="DQ44" i="4"/>
  <c r="DR44" i="4" s="1"/>
  <c r="DQ46" i="4"/>
  <c r="DR46" i="4" s="1"/>
  <c r="DQ52" i="4"/>
  <c r="DR52" i="4" s="1"/>
  <c r="DQ63" i="4"/>
  <c r="DR63" i="4" s="1"/>
  <c r="DQ43" i="4"/>
  <c r="DR43" i="4" s="1"/>
  <c r="DQ61" i="4"/>
  <c r="DR61" i="4" s="1"/>
  <c r="DQ40" i="4"/>
  <c r="DR40" i="4" s="1"/>
  <c r="DQ42" i="4"/>
  <c r="DR42" i="4" s="1"/>
  <c r="DQ45" i="4"/>
  <c r="DR45" i="4" s="1"/>
  <c r="DQ48" i="4"/>
  <c r="DR48" i="4" s="1"/>
  <c r="DQ58" i="4"/>
  <c r="DR58" i="4" s="1"/>
  <c r="DQ41" i="4"/>
  <c r="DR41" i="4" s="1"/>
  <c r="DQ57" i="4"/>
  <c r="DR57" i="4" s="1"/>
  <c r="DQ51" i="4"/>
  <c r="DR51" i="4" s="1"/>
  <c r="DQ55" i="4"/>
  <c r="DR55" i="4" s="1"/>
  <c r="DQ62" i="4"/>
  <c r="DR62" i="4" s="1"/>
  <c r="DQ47" i="4"/>
  <c r="DR47" i="4" s="1"/>
  <c r="DQ54" i="4"/>
  <c r="DR54" i="4" s="1"/>
  <c r="DQ53" i="4"/>
  <c r="DR53" i="4" s="1"/>
  <c r="DQ50" i="4"/>
  <c r="DR50" i="4" s="1"/>
  <c r="DQ56" i="4"/>
  <c r="DR56" i="4" s="1"/>
  <c r="DQ60" i="4"/>
  <c r="DR60" i="4" s="1"/>
  <c r="DQ34" i="4"/>
  <c r="DR34" i="4" s="1"/>
  <c r="DQ16" i="4"/>
  <c r="DR16" i="4" s="1"/>
  <c r="DQ15" i="4"/>
  <c r="DR15" i="4" s="1"/>
  <c r="DQ22" i="4"/>
  <c r="DR22" i="4" s="1"/>
  <c r="DQ32" i="4"/>
  <c r="DR32" i="4" s="1"/>
  <c r="DQ13" i="4"/>
  <c r="DR13" i="4" s="1"/>
  <c r="DQ19" i="4"/>
  <c r="DR19" i="4" s="1"/>
  <c r="DQ25" i="4"/>
  <c r="DR25" i="4" s="1"/>
  <c r="DQ36" i="4"/>
  <c r="DR36" i="4" s="1"/>
  <c r="DQ18" i="4"/>
  <c r="DR18" i="4" s="1"/>
  <c r="DQ21" i="4"/>
  <c r="DR21" i="4" s="1"/>
  <c r="DQ31" i="4"/>
  <c r="DR31" i="4" s="1"/>
  <c r="DQ17" i="4"/>
  <c r="DR17" i="4" s="1"/>
  <c r="DQ20" i="4"/>
  <c r="DR20" i="4" s="1"/>
  <c r="DQ14" i="4"/>
  <c r="DR14" i="4" s="1"/>
  <c r="DQ30" i="4"/>
  <c r="DR30" i="4" s="1"/>
  <c r="DQ24" i="4"/>
  <c r="DR24" i="4" s="1"/>
  <c r="DQ28" i="4"/>
  <c r="DR28" i="4" s="1"/>
  <c r="DQ35" i="4"/>
  <c r="DR35" i="4" s="1"/>
  <c r="DQ27" i="4"/>
  <c r="DR27" i="4" s="1"/>
  <c r="DQ26" i="4"/>
  <c r="DR26" i="4" s="1"/>
  <c r="DQ29" i="4"/>
  <c r="DR29" i="4" s="1"/>
  <c r="DQ23" i="4"/>
  <c r="DR23" i="4" s="1"/>
  <c r="DQ33" i="4"/>
  <c r="DR33" i="4" s="1"/>
  <c r="DU38" i="4"/>
  <c r="BU64" i="4"/>
  <c r="BU65" i="4" s="1"/>
  <c r="AG64" i="4"/>
  <c r="AG65" i="4" s="1"/>
  <c r="BU37" i="4"/>
  <c r="BU38" i="4" s="1"/>
  <c r="AG37" i="4"/>
  <c r="AG38" i="4" s="1"/>
  <c r="DI64" i="4" l="1"/>
  <c r="DI65" i="4" s="1"/>
  <c r="DI37" i="4"/>
  <c r="DI38" i="4" s="1"/>
  <c r="DT38" i="4" s="1"/>
  <c r="DR37" i="4"/>
  <c r="DR38" i="4" s="1"/>
  <c r="DS38" i="4" s="1"/>
  <c r="DR64" i="4"/>
  <c r="DR65" i="4" s="1"/>
  <c r="DS65" i="4" s="1"/>
  <c r="DT65" i="4"/>
</calcChain>
</file>

<file path=xl/comments1.xml><?xml version="1.0" encoding="utf-8"?>
<comments xmlns="http://schemas.openxmlformats.org/spreadsheetml/2006/main">
  <authors>
    <author>pts22</author>
  </authors>
  <commentList>
    <comment ref="F768" authorId="0">
      <text>
        <r>
          <rPr>
            <b/>
            <sz val="9"/>
            <color indexed="81"/>
            <rFont val="Tahoma"/>
            <family val="2"/>
            <charset val="204"/>
          </rPr>
          <t>Количество средств коммерческого учета электрической энергии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768" authorId="0">
      <text>
        <r>
          <rPr>
            <b/>
            <sz val="9"/>
            <color indexed="81"/>
            <rFont val="Tahoma"/>
            <family val="2"/>
            <charset val="204"/>
          </rPr>
          <t>Количество средств коммерческого учета электрической энергии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R768" authorId="0">
      <text>
        <r>
          <rPr>
            <b/>
            <sz val="9"/>
            <color indexed="81"/>
            <rFont val="Tahoma"/>
            <family val="2"/>
            <charset val="204"/>
          </rPr>
          <t>Количество средств коммерческого учета электрической энергии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623" authorId="0">
      <text>
        <r>
          <rPr>
            <b/>
            <sz val="9"/>
            <color indexed="81"/>
            <rFont val="Tahoma"/>
            <family val="2"/>
            <charset val="204"/>
          </rPr>
          <t>Количество средств коммерческого учета электрической энергии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1623" authorId="0">
      <text>
        <r>
          <rPr>
            <b/>
            <sz val="9"/>
            <color indexed="81"/>
            <rFont val="Tahoma"/>
            <family val="2"/>
            <charset val="204"/>
          </rPr>
          <t>Количество средств коммерческого учета электрической энергии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R1623" authorId="0">
      <text>
        <r>
          <rPr>
            <b/>
            <sz val="9"/>
            <color indexed="81"/>
            <rFont val="Tahoma"/>
            <family val="2"/>
            <charset val="204"/>
          </rPr>
          <t>Количество средств коммерческого учета электрической энергии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3328" authorId="0">
      <text>
        <r>
          <rPr>
            <b/>
            <sz val="9"/>
            <color indexed="81"/>
            <rFont val="Tahoma"/>
            <family val="2"/>
            <charset val="204"/>
          </rPr>
          <t>Количество средств коммерческого учета электрической энергии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Y3328" authorId="0">
      <text>
        <r>
          <rPr>
            <b/>
            <sz val="9"/>
            <color indexed="81"/>
            <rFont val="Tahoma"/>
            <family val="2"/>
            <charset val="204"/>
          </rPr>
          <t>Количество средств коммерческого учета электрической энергии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R3328" authorId="0">
      <text>
        <r>
          <rPr>
            <b/>
            <sz val="9"/>
            <color indexed="81"/>
            <rFont val="Tahoma"/>
            <family val="2"/>
            <charset val="204"/>
          </rPr>
          <t>Количество средств коммерческого учета электрической энергии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Иванова Елена Алексеевна</author>
  </authors>
  <commentList>
    <comment ref="AE9" authorId="0">
      <text>
        <r>
          <rPr>
            <b/>
            <sz val="9"/>
            <color indexed="81"/>
            <rFont val="Tahoma"/>
            <family val="2"/>
            <charset val="204"/>
          </rPr>
          <t>Иванова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10"/>
            <color indexed="81"/>
            <rFont val="Tahoma"/>
            <family val="2"/>
            <charset val="204"/>
          </rPr>
          <t>не должны участвовать значения "0"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C30" authorId="0">
      <text>
        <r>
          <rPr>
            <b/>
            <sz val="9"/>
            <color indexed="81"/>
            <rFont val="Tahoma"/>
            <family val="2"/>
            <charset val="204"/>
          </rPr>
          <t>Иванова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Не совпадает с данными представленными на 2018 год</t>
        </r>
      </text>
    </comment>
    <comment ref="DC61" authorId="0">
      <text>
        <r>
          <rPr>
            <b/>
            <sz val="9"/>
            <color indexed="81"/>
            <rFont val="Tahoma"/>
            <family val="2"/>
            <charset val="204"/>
          </rPr>
          <t>Иванова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Не совпадает с данными, представленными на 2018 год</t>
        </r>
      </text>
    </comment>
  </commentList>
</comments>
</file>

<file path=xl/sharedStrings.xml><?xml version="1.0" encoding="utf-8"?>
<sst xmlns="http://schemas.openxmlformats.org/spreadsheetml/2006/main" count="17539" uniqueCount="6342">
  <si>
    <t>N п/п</t>
  </si>
  <si>
    <t>Объект электросетевого хозяйства</t>
  </si>
  <si>
    <t>Протяженность (для линий электропередачи), м</t>
  </si>
  <si>
    <t>1.</t>
  </si>
  <si>
    <t>2.</t>
  </si>
  <si>
    <t>3.</t>
  </si>
  <si>
    <t>4.</t>
  </si>
  <si>
    <t>5.</t>
  </si>
  <si>
    <t>6.</t>
  </si>
  <si>
    <t>АО "ДРСК"</t>
  </si>
  <si>
    <t>МУПВ "ВПЭС"</t>
  </si>
  <si>
    <t xml:space="preserve"> ООО "Артемовская электросетевая компания"</t>
  </si>
  <si>
    <t>ООО "ТЭСК"</t>
  </si>
  <si>
    <t>ООО "Энергия" с.Черниговка</t>
  </si>
  <si>
    <t>Хорольское МУП ЭС</t>
  </si>
  <si>
    <t>МУП "Уссурийск-электросеть"</t>
  </si>
  <si>
    <t>Октябрьское РМУП ЭС</t>
  </si>
  <si>
    <t>ООО "Кировская электросеть"</t>
  </si>
  <si>
    <t>АО "Спасскэлектросеть"</t>
  </si>
  <si>
    <t>ОАО "Михайловскагропромэнерго"</t>
  </si>
  <si>
    <t>ОАО "Оборонэнерго" филиал "Приморский"</t>
  </si>
  <si>
    <t>ЗАО "Коммунэлектросервис" г.Дальнегорск</t>
  </si>
  <si>
    <t>ОАО "Арсеньевэлектросервис"</t>
  </si>
  <si>
    <t>ОАО "Хасанкоммунэнерго"</t>
  </si>
  <si>
    <t>ООО "Электробытсервис"</t>
  </si>
  <si>
    <t>ООО "Коммунальные сети" г.Лесозаводск</t>
  </si>
  <si>
    <t>ООО "Энергетические сети Преображения"</t>
  </si>
  <si>
    <t>ООО "РЭС" г.Большой камень</t>
  </si>
  <si>
    <t>ООО "Спасскэлектроконтроль"</t>
  </si>
  <si>
    <t>ООО "Инфраструктура"</t>
  </si>
  <si>
    <t>ООО "Промышленные энергосети Приморского края"</t>
  </si>
  <si>
    <t>Результаты</t>
  </si>
  <si>
    <t>расчета экономически обоснованных расходов на выполнение</t>
  </si>
  <si>
    <t>мероприятий по технологическому присоединению,</t>
  </si>
  <si>
    <t>предусмотренных подпунктами "а" и "в" пункта 16</t>
  </si>
  <si>
    <t>Методических указаний</t>
  </si>
  <si>
    <t>руб. на одно присоединение</t>
  </si>
  <si>
    <t>Показатели</t>
  </si>
  <si>
    <t>Расходы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</si>
  <si>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</si>
  <si>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</si>
  <si>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Данные за 2015 год</t>
  </si>
  <si>
    <t>Данные за 2016 год</t>
  </si>
  <si>
    <t>1. Подготовка и выдача сетевой организацией технических условий Заявителю</t>
  </si>
  <si>
    <t>7.</t>
  </si>
  <si>
    <t>8.</t>
  </si>
  <si>
    <t>9.</t>
  </si>
  <si>
    <t>10.</t>
  </si>
  <si>
    <t xml:space="preserve">АО "Кавалеровская электросеть" 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</si>
  <si>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</si>
  <si>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</si>
  <si>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</si>
  <si>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</si>
  <si>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</si>
  <si>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</si>
  <si>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</si>
  <si>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</si>
  <si>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</si>
  <si>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</si>
  <si>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</si>
  <si>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</si>
  <si>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</si>
  <si>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2. Проверка сетевой организацией выполнения Заявителем</t>
  </si>
  <si>
    <t>до 15 кВт</t>
  </si>
  <si>
    <t>от 150 кВт до 670 кВт</t>
  </si>
  <si>
    <t>от 15 кВт до 150 кВт</t>
  </si>
  <si>
    <t>от 670 кВт до 10 МВт</t>
  </si>
  <si>
    <t>"Желдорэнерго" - филиал ООО "Энергопромсбыт"</t>
  </si>
  <si>
    <t>24.</t>
  </si>
  <si>
    <t>Расходы на одно присоединение</t>
  </si>
  <si>
    <t xml:space="preserve"> до 150 кВт</t>
  </si>
  <si>
    <t xml:space="preserve">от 150 кВт </t>
  </si>
  <si>
    <t>среднее</t>
  </si>
  <si>
    <t>отклонение</t>
  </si>
  <si>
    <t>мин</t>
  </si>
  <si>
    <t>мах</t>
  </si>
  <si>
    <t>если</t>
  </si>
  <si>
    <t>среднее сзначение расходов по выборке</t>
  </si>
  <si>
    <t>Стандартизированная тарифная ставка</t>
  </si>
  <si>
    <t>ср</t>
  </si>
  <si>
    <t>откл</t>
  </si>
  <si>
    <t>кол</t>
  </si>
  <si>
    <t xml:space="preserve">расх </t>
  </si>
  <si>
    <t xml:space="preserve"> до 15 кВт</t>
  </si>
  <si>
    <t xml:space="preserve"> до 50 кВт</t>
  </si>
  <si>
    <t>расход на 1 км</t>
  </si>
  <si>
    <t>расход на 1 квт</t>
  </si>
  <si>
    <t>ИПЦ</t>
  </si>
  <si>
    <t>Данные за 2017 год</t>
  </si>
  <si>
    <t>Предложение организации 2015 год</t>
  </si>
  <si>
    <t>Предложение департамента 2015 год</t>
  </si>
  <si>
    <t>Предложение организации 2016 год</t>
  </si>
  <si>
    <t>Предложение департамента 2016 год</t>
  </si>
  <si>
    <t>Предложение организации 2017 год</t>
  </si>
  <si>
    <t>Предложение департамента 2017 год</t>
  </si>
  <si>
    <t>Ставка на мощность</t>
  </si>
  <si>
    <t>Предложение организации 2017</t>
  </si>
  <si>
    <t>Предложение организации 2015</t>
  </si>
  <si>
    <t>Предложение организации 2016</t>
  </si>
  <si>
    <t>сумма до 150 кВт</t>
  </si>
  <si>
    <t>сумма от 150 кВт</t>
  </si>
  <si>
    <t>Данные за 2017 год на 1 мероприятие</t>
  </si>
  <si>
    <t>3+4</t>
  </si>
  <si>
    <t>5+6</t>
  </si>
  <si>
    <t>7+8</t>
  </si>
  <si>
    <t>9+10</t>
  </si>
  <si>
    <t>11+12</t>
  </si>
  <si>
    <t>13+14</t>
  </si>
  <si>
    <t>формула</t>
  </si>
  <si>
    <t>если, выборка на 1 присоединение</t>
  </si>
  <si>
    <t>Данные за 2017 год из выборки</t>
  </si>
  <si>
    <t>Данные за 2015 год на 1 мероприятие</t>
  </si>
  <si>
    <t>Данные за 2015 год из выборки</t>
  </si>
  <si>
    <t>Данные за 2016 год из выборки</t>
  </si>
  <si>
    <t>Данные за 2016 год на 1 мероприятие</t>
  </si>
  <si>
    <t>"0" ставить нельзя, клетки должны быть пустыми!</t>
  </si>
  <si>
    <t>Данные участвующие в выборке, перенесенные ручной формулой из данные за 2015-2017 годы ДТ ПК соответственно</t>
  </si>
  <si>
    <t xml:space="preserve"> "0" суммировать нельзя, суммируются вручную только те ячейки, где есть значение!</t>
  </si>
  <si>
    <t>проверка</t>
  </si>
  <si>
    <t>среднее значение расходов на 1 мероприятие по выборке</t>
  </si>
  <si>
    <t>среднее значение расходов на 1 кВт по выборке</t>
  </si>
  <si>
    <t>Предложение департамента 2017</t>
  </si>
  <si>
    <t>Предложение департамента 2015</t>
  </si>
  <si>
    <t>Предложение департамента 2016</t>
  </si>
  <si>
    <t>2016 год</t>
  </si>
  <si>
    <t>2017 год</t>
  </si>
  <si>
    <t>ИТОГО ставка С1</t>
  </si>
  <si>
    <t>Ставка С1.1</t>
  </si>
  <si>
    <t>Ставка С1.2</t>
  </si>
  <si>
    <t>Ставка С1.1 мах</t>
  </si>
  <si>
    <t>Ставка С1.2 мах</t>
  </si>
  <si>
    <t>Итого ставка С1 мах</t>
  </si>
  <si>
    <t>сумма по всем сетевым</t>
  </si>
  <si>
    <t>АО "Находкинский МТП"</t>
  </si>
  <si>
    <t>АО "Восточный порт"</t>
  </si>
  <si>
    <t>АО "Электробытсервис"</t>
  </si>
  <si>
    <t>сумма по всем</t>
  </si>
  <si>
    <t>по всем</t>
  </si>
  <si>
    <t>заявленная мощность потребителя</t>
  </si>
  <si>
    <t>Расходы на строительство объекта, тыс. руб., в т.ч.:</t>
  </si>
  <si>
    <t>Пропускная способность, кВт/Максимальная мощность, кВт, в т.ч.:</t>
  </si>
  <si>
    <t>Машины и механизны, тыс.руб.</t>
  </si>
  <si>
    <t>Способ выполнения работ</t>
  </si>
  <si>
    <t>1.1</t>
  </si>
  <si>
    <t>Отчетный период</t>
  </si>
  <si>
    <t>Наименование организации</t>
  </si>
  <si>
    <t>ИНН</t>
  </si>
  <si>
    <t>КПП</t>
  </si>
  <si>
    <t>Адрес организации</t>
  </si>
  <si>
    <t>Юридический адрес:</t>
  </si>
  <si>
    <t>Почтовый адрес:</t>
  </si>
  <si>
    <t>Руководитель</t>
  </si>
  <si>
    <t>Фамилия, имя, отчество</t>
  </si>
  <si>
    <t>(код) номер телефона</t>
  </si>
  <si>
    <t>Должностное лицо, ответственное за составление формы</t>
  </si>
  <si>
    <t>Должность</t>
  </si>
  <si>
    <t>e-mail</t>
  </si>
  <si>
    <t>Мощность заявителя до 150 кВт</t>
  </si>
  <si>
    <t>Фактические расходы (тыс.руб)</t>
  </si>
  <si>
    <t>расходы на 1 присоединение (тыс. руб.)</t>
  </si>
  <si>
    <t>расходы на 1 кВт (тыс.руб.)</t>
  </si>
  <si>
    <t>Мощность заявителя от 150 кВт и выше</t>
  </si>
  <si>
    <t>Год, на который утверждаются тарифы (n)</t>
  </si>
  <si>
    <t>Уровень напряжения</t>
  </si>
  <si>
    <t>проектные и изыскательские работы, тыс.руб.</t>
  </si>
  <si>
    <t>сметная прибыльы, тыс.руб.</t>
  </si>
  <si>
    <t>накладные расходы, тыс.руб.</t>
  </si>
  <si>
    <t>хозспособ</t>
  </si>
  <si>
    <t>Материалы и оборудование, тыс.руб., в т.ч.:</t>
  </si>
  <si>
    <t>стоимость 1 опоры, траншеи (для разд. 1-2)/оборудования (для разд. 3-6), тыс.руб./шт</t>
  </si>
  <si>
    <t>стоимость 1 км кабеля (для разд. 1-2)/ трансформатора (для разд. 3-6), тыс.руб./км(шт)</t>
  </si>
  <si>
    <t>опоры, траншеи (для разд. 1-2)/оборудование (для разд. 3-6), тыс.руб.</t>
  </si>
  <si>
    <t>кабель-провод (для разделов 1-2)/трансформатор (для разделов 3-6), тыс.руб.</t>
  </si>
  <si>
    <t>номер страницы обосновывающих документов в рассчетных материалах</t>
  </si>
  <si>
    <t xml:space="preserve"> Расходы на строительство введенных в эксплуатацию объектов электросетевого хозяйства для целей технологического присоединения и для целей реализации иных мероприятий инвестиционной программы территориальной сетевой организации для территорий городских населенных пунктов</t>
  </si>
  <si>
    <t>единственный поставщик</t>
  </si>
  <si>
    <t>Наименование поставщика/подрядчика</t>
  </si>
  <si>
    <t>Способ закупки материалов/выбора подрядчика***</t>
  </si>
  <si>
    <t>1</t>
  </si>
  <si>
    <t xml:space="preserve">Провод СИП-2 3*120+1*95  </t>
  </si>
  <si>
    <t>1.3.1.4.1</t>
  </si>
  <si>
    <t>Материал опоры (железобетонные (3), Тип провода (изолированный провод (1), Материал провода (алюминиевый (4), Сечение провода (диапазон до 50 квадратных мм включительно (1)</t>
  </si>
  <si>
    <t>2</t>
  </si>
  <si>
    <t>2.1</t>
  </si>
  <si>
    <t>3</t>
  </si>
  <si>
    <t>3.1</t>
  </si>
  <si>
    <t>4</t>
  </si>
  <si>
    <t>4.1</t>
  </si>
  <si>
    <t>Провод СИП-4 4*16</t>
  </si>
  <si>
    <t>5</t>
  </si>
  <si>
    <t>5.1</t>
  </si>
  <si>
    <t>Провод СИП-4 4*35</t>
  </si>
  <si>
    <t>Провод СИП-4 4*50</t>
  </si>
  <si>
    <t>Материал опоры (железобетонные (3), Тип провода (изолированный провод (1), Материал провода (алюминиевый (4), Сечение провода  (диапазон от 50 до 100 квадратных мм включительно (2)</t>
  </si>
  <si>
    <t>1.3.1.4.2</t>
  </si>
  <si>
    <t>Материал опоры (железобетонные (3), Тип провода (изолированный провод (1), Материал провода (алюминиевый (4), Сечение провода  (диапазон от 100 до 200 квадратных мм включительно (3)</t>
  </si>
  <si>
    <t>1.3.1.4.3</t>
  </si>
  <si>
    <t>Провод СИП-4 4*120</t>
  </si>
  <si>
    <t>2.1.2.2.2</t>
  </si>
  <si>
    <t>Способ прокладки кабельных линий (в траншеях (1), многожильные (2), Кабели с бумажной изоляцией (2), Сечение провода (диапазон от 50 до 100 квадратных мм включительно (2)</t>
  </si>
  <si>
    <t>2.1.2.2.3</t>
  </si>
  <si>
    <t>Кабель ААБл 1 4х150</t>
  </si>
  <si>
    <t xml:space="preserve">Кабель ААБл 6 3*150           </t>
  </si>
  <si>
    <t xml:space="preserve">Кабель ААБл 6 3х185   </t>
  </si>
  <si>
    <t>2.1.2.2.4</t>
  </si>
  <si>
    <t xml:space="preserve"> Способ прокладки кабельных линий (в траншеях (1), многожильные (2), Кабели с бумажной изоляцией (2), Сечение провода (диапазон от 200 до 500 квадратных мм включительно (4)</t>
  </si>
  <si>
    <t>Способ прокладки кабельных линий (в траншеях (1), многожильные (2), Кабели с бумажной изоляцией (2), Сечение провода (диапазон от 100 до 200 квадратных мм включительно (3)</t>
  </si>
  <si>
    <t>Кабель ААБл 1 4х240</t>
  </si>
  <si>
    <t xml:space="preserve"> Кабель ААБл 6 3*240    </t>
  </si>
  <si>
    <t xml:space="preserve">4.1.1.3 </t>
  </si>
  <si>
    <t>0,4</t>
  </si>
  <si>
    <t>Провод СИП-4 2*16</t>
  </si>
  <si>
    <t xml:space="preserve">Провод СИП-4 4*70        </t>
  </si>
  <si>
    <t>Провод СИП-4 4*95</t>
  </si>
  <si>
    <t>Провод СИП-3 1*70</t>
  </si>
  <si>
    <t>Провод СИП-3 1*95</t>
  </si>
  <si>
    <t>Кабель ААБл 1 4х70</t>
  </si>
  <si>
    <t>Кабель ААБл 1 4х120</t>
  </si>
  <si>
    <t xml:space="preserve">Кабель ААБл 6 3*120           </t>
  </si>
  <si>
    <t xml:space="preserve">4.1.2.4 </t>
  </si>
  <si>
    <t>Трансформаторные подстанции (ТП), за исключением распределительных трансформаторных подстанций (РТП) (1), однотрансформаторные (1), Трансформаторная мощность от 100 до 250 кВА включительно (3)</t>
  </si>
  <si>
    <t>Трансформаторные подстанции (ТП), за исключением распределительных трансформаторных подстанций (РТП) (1), двухтрансформаторные и более (2), Трансформаторная мощность от 250 до 500 кВА включительно (4)</t>
  </si>
  <si>
    <t>КТП 2*400</t>
  </si>
  <si>
    <t>КТПН 2*630</t>
  </si>
  <si>
    <t>КТП 2*630</t>
  </si>
  <si>
    <t>2БКТП 2*630</t>
  </si>
  <si>
    <t>Провод СИП-4 4*25</t>
  </si>
  <si>
    <t>СТП 1*100</t>
  </si>
  <si>
    <t>КТП 1*250</t>
  </si>
  <si>
    <t>СТП 1*250</t>
  </si>
  <si>
    <t>КТП 1*630</t>
  </si>
  <si>
    <t>БКТП 2*1000</t>
  </si>
  <si>
    <t xml:space="preserve">Кабель ААБл 6 3*240    </t>
  </si>
  <si>
    <t>ГНБ</t>
  </si>
  <si>
    <t>КТП ВС 1*250</t>
  </si>
  <si>
    <t>ООО "Прибой Плюс"</t>
  </si>
  <si>
    <t>КТП ВС 1*100</t>
  </si>
  <si>
    <t>№ ТУ</t>
  </si>
  <si>
    <t>251101001</t>
  </si>
  <si>
    <t>2511002019</t>
  </si>
  <si>
    <t>692519 г. Уссурийск, ул. Советская,15</t>
  </si>
  <si>
    <t>Можара Виктор Иванович</t>
  </si>
  <si>
    <t>Пуховая Оксана Алексеевна</t>
  </si>
  <si>
    <t>Итого по организационным мероприятиям</t>
  </si>
  <si>
    <t>Тел. (4234) 32-07-38, 32-08-30, Факс 32-97-11</t>
  </si>
  <si>
    <t>www.usselectro.net Е-mail: ussur_electro@mail.ru</t>
  </si>
  <si>
    <t>Тел. (4234) 32-07-38 Факс 32-97-11</t>
  </si>
  <si>
    <t>КТП 1*400</t>
  </si>
  <si>
    <t>КТПН 1*400</t>
  </si>
  <si>
    <t>МТП 1*160,   КТПВС 1*160</t>
  </si>
  <si>
    <t>КТПН 2*250,    КТП 2*250</t>
  </si>
  <si>
    <t>ПАО "МТС"</t>
  </si>
  <si>
    <t>Ворожейкина О.В.</t>
  </si>
  <si>
    <t>ООО "Мега-Лоджистик"</t>
  </si>
  <si>
    <t>ИП Гаранин Д.С.</t>
  </si>
  <si>
    <t>УМУПТС</t>
  </si>
  <si>
    <t>Обеспечение средствами коммерческого учета электрической энергии (мощности)</t>
  </si>
  <si>
    <t>7.1.</t>
  </si>
  <si>
    <t>7.2.1.</t>
  </si>
  <si>
    <t>7.2.2.</t>
  </si>
  <si>
    <t>7.2.3.</t>
  </si>
  <si>
    <t>Начальник</t>
  </si>
  <si>
    <t>КТПН 1*250  (КТПВС 1*250)</t>
  </si>
  <si>
    <t>однофазный (1)  (0,4 кВ и ниже без ТТ)</t>
  </si>
  <si>
    <t>трехфазный (2), прямого включения (1)  (0,4 кВ и ниже без ТТ)</t>
  </si>
  <si>
    <t>трехфазный (2), полукосвенного включения  (2)  (0,4 кВ и ниже с ТТ)</t>
  </si>
  <si>
    <t>трехфазный (2), косвенного включения   (3)  (1 - 20 кВ)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</si>
  <si>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</si>
  <si>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</si>
  <si>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</si>
  <si>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</si>
  <si>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</si>
  <si>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</si>
  <si>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</si>
  <si>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</si>
  <si>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</si>
  <si>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</si>
  <si>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</si>
  <si>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570-19</t>
  </si>
  <si>
    <t>730-18</t>
  </si>
  <si>
    <t>203-19</t>
  </si>
  <si>
    <t>771-19</t>
  </si>
  <si>
    <t>657-20</t>
  </si>
  <si>
    <t>КТП 1*25</t>
  </si>
  <si>
    <t>231-20</t>
  </si>
  <si>
    <t>600-19</t>
  </si>
  <si>
    <t>551-20</t>
  </si>
  <si>
    <t>361-20</t>
  </si>
  <si>
    <t>91-17</t>
  </si>
  <si>
    <t>491-20</t>
  </si>
  <si>
    <t>8.2.1.</t>
  </si>
  <si>
    <t>кабель-провод (для разделов 1-2)/трансформатор (для разделов 3-6), средство коммер. учета эл.энергии, тыс.руб.</t>
  </si>
  <si>
    <t>Соколова И.А.</t>
  </si>
  <si>
    <t>Пермяков А.Н.</t>
  </si>
  <si>
    <t>ФКУ ДСД "Дальний Восток"</t>
  </si>
  <si>
    <t>Быструшкин В.В.</t>
  </si>
  <si>
    <t>Ким П.Е.</t>
  </si>
  <si>
    <t>Костюченко Е.А.</t>
  </si>
  <si>
    <t>Строгая Н.А.</t>
  </si>
  <si>
    <t>Колобова Е.И.</t>
  </si>
  <si>
    <t>Разномасцев И.И.</t>
  </si>
  <si>
    <t>Сафронов Ю.А.</t>
  </si>
  <si>
    <t>ИП Галаев А.А.</t>
  </si>
  <si>
    <t>Меркулов И.В.</t>
  </si>
  <si>
    <t>ООО "Илиада"</t>
  </si>
  <si>
    <t>Шилина С.М.</t>
  </si>
  <si>
    <t>Чайковский Е.Г.</t>
  </si>
  <si>
    <t>558-20</t>
  </si>
  <si>
    <t>580-20</t>
  </si>
  <si>
    <t>509-20</t>
  </si>
  <si>
    <t>533-20</t>
  </si>
  <si>
    <t>865-20</t>
  </si>
  <si>
    <t>Попов В.В.</t>
  </si>
  <si>
    <t>Зеленская И.В.</t>
  </si>
  <si>
    <t>Нехай Д.А.</t>
  </si>
  <si>
    <t>Христодор А.П.</t>
  </si>
  <si>
    <t>Речкалов Е.В.</t>
  </si>
  <si>
    <t>Гаркуша В.В.</t>
  </si>
  <si>
    <t>Кинжалов В.А.</t>
  </si>
  <si>
    <t>Федяшкин В.Н.</t>
  </si>
  <si>
    <t>Гусинская И.А.</t>
  </si>
  <si>
    <t>Лящук К.К.</t>
  </si>
  <si>
    <t>ООО "Высота"</t>
  </si>
  <si>
    <t>957-20</t>
  </si>
  <si>
    <t>Батаев Э.В.</t>
  </si>
  <si>
    <t>СНТ "Мясокомбинат"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</si>
  <si>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</si>
  <si>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</si>
  <si>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</si>
  <si>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</si>
  <si>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</si>
  <si>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</si>
  <si>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</si>
  <si>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</si>
  <si>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</si>
  <si>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</si>
  <si>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</si>
  <si>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</si>
  <si>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</si>
  <si>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</si>
  <si>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</si>
  <si>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</si>
  <si>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</si>
  <si>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</si>
  <si>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</si>
  <si>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</si>
  <si>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</si>
  <si>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</si>
  <si>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</si>
  <si>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</si>
  <si>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</si>
  <si>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</si>
  <si>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</si>
  <si>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</si>
  <si>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</si>
  <si>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</si>
  <si>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</si>
  <si>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</si>
  <si>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</si>
  <si>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</si>
  <si>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</si>
  <si>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</si>
  <si>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</si>
  <si>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</si>
  <si>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</si>
  <si>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</si>
  <si>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</si>
  <si>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</si>
  <si>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</si>
  <si>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</si>
  <si>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</si>
  <si>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</si>
  <si>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</si>
  <si>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</si>
  <si>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</si>
  <si>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</si>
  <si>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</si>
  <si>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</si>
  <si>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</si>
  <si>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</si>
  <si>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</si>
  <si>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</si>
  <si>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</si>
  <si>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</si>
  <si>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</si>
  <si>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</si>
  <si>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</si>
  <si>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</si>
  <si>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</si>
  <si>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</si>
  <si>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</si>
  <si>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</si>
  <si>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</si>
  <si>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</si>
  <si>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</si>
  <si>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</si>
  <si>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</si>
  <si>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</si>
  <si>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</si>
  <si>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</si>
  <si>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</si>
  <si>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</si>
  <si>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</si>
  <si>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</si>
  <si>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</si>
  <si>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</si>
  <si>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</si>
  <si>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</si>
  <si>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</si>
  <si>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1082-20</t>
  </si>
  <si>
    <t>1092-20</t>
  </si>
  <si>
    <t>999-20</t>
  </si>
  <si>
    <t>323-20</t>
  </si>
  <si>
    <t>721-20</t>
  </si>
  <si>
    <t>246-2019</t>
  </si>
  <si>
    <t>732-20</t>
  </si>
  <si>
    <t>731-20</t>
  </si>
  <si>
    <t>669-20</t>
  </si>
  <si>
    <t>579-20</t>
  </si>
  <si>
    <t>814-20</t>
  </si>
  <si>
    <t>633-20</t>
  </si>
  <si>
    <t>405-20</t>
  </si>
  <si>
    <t>78-21</t>
  </si>
  <si>
    <t>212-20</t>
  </si>
  <si>
    <t>448-18</t>
  </si>
  <si>
    <t>205-20</t>
  </si>
  <si>
    <t>585-20</t>
  </si>
  <si>
    <t>542-20</t>
  </si>
  <si>
    <t>552-20</t>
  </si>
  <si>
    <t>739-20</t>
  </si>
  <si>
    <t>1106-20</t>
  </si>
  <si>
    <t>618-20</t>
  </si>
  <si>
    <t>937-20</t>
  </si>
  <si>
    <t>Провод СИП-3 1*120</t>
  </si>
  <si>
    <t>205-20 (1)</t>
  </si>
  <si>
    <t>205-20 (2)</t>
  </si>
  <si>
    <t>526-19</t>
  </si>
  <si>
    <t>870-20</t>
  </si>
  <si>
    <t>425-20</t>
  </si>
  <si>
    <t>88-21</t>
  </si>
  <si>
    <t>1168-20</t>
  </si>
  <si>
    <t>448-20</t>
  </si>
  <si>
    <t>413-20</t>
  </si>
  <si>
    <t>396-20</t>
  </si>
  <si>
    <t>1088-20</t>
  </si>
  <si>
    <t>650-20</t>
  </si>
  <si>
    <t>233-20</t>
  </si>
  <si>
    <t>1095-20</t>
  </si>
  <si>
    <t>942-20</t>
  </si>
  <si>
    <t>233-21</t>
  </si>
  <si>
    <t>792-20</t>
  </si>
  <si>
    <t>528-20</t>
  </si>
  <si>
    <t>409-20</t>
  </si>
  <si>
    <t>692-20</t>
  </si>
  <si>
    <t>5-21</t>
  </si>
  <si>
    <t>1080-20</t>
  </si>
  <si>
    <t>658-20</t>
  </si>
  <si>
    <t>1111-20</t>
  </si>
  <si>
    <t>567-20</t>
  </si>
  <si>
    <t>1133-20</t>
  </si>
  <si>
    <t>740-20</t>
  </si>
  <si>
    <t>788-20</t>
  </si>
  <si>
    <t>19-21</t>
  </si>
  <si>
    <t>1020-20</t>
  </si>
  <si>
    <t>820-20</t>
  </si>
  <si>
    <t>482-20</t>
  </si>
  <si>
    <t>817-20</t>
  </si>
  <si>
    <t>1169-20</t>
  </si>
  <si>
    <t>781-20</t>
  </si>
  <si>
    <t>978-20</t>
  </si>
  <si>
    <t>1024-20</t>
  </si>
  <si>
    <t>1011-20</t>
  </si>
  <si>
    <t>4,693,15</t>
  </si>
  <si>
    <t>207-21</t>
  </si>
  <si>
    <t>1085-20</t>
  </si>
  <si>
    <t>952-19</t>
  </si>
  <si>
    <t>404-20</t>
  </si>
  <si>
    <t>245-21</t>
  </si>
  <si>
    <t>387-20</t>
  </si>
  <si>
    <t>29-21</t>
  </si>
  <si>
    <t>306-21</t>
  </si>
  <si>
    <t>1128-20</t>
  </si>
  <si>
    <t>44-21</t>
  </si>
  <si>
    <t>253-21</t>
  </si>
  <si>
    <t>555-21</t>
  </si>
  <si>
    <t>504-21</t>
  </si>
  <si>
    <t>1051-20</t>
  </si>
  <si>
    <t>404-21</t>
  </si>
  <si>
    <t>157-21</t>
  </si>
  <si>
    <t>324-21</t>
  </si>
  <si>
    <t>1008-20</t>
  </si>
  <si>
    <t>325-20</t>
  </si>
  <si>
    <t>80-21</t>
  </si>
  <si>
    <t>231-21</t>
  </si>
  <si>
    <t>35-21</t>
  </si>
  <si>
    <t>265-21</t>
  </si>
  <si>
    <t>806-21</t>
  </si>
  <si>
    <t>199-21</t>
  </si>
  <si>
    <t>41-21</t>
  </si>
  <si>
    <t>149-21</t>
  </si>
  <si>
    <t>881-20</t>
  </si>
  <si>
    <t>883-20</t>
  </si>
  <si>
    <t>91-21</t>
  </si>
  <si>
    <t>1005-20</t>
  </si>
  <si>
    <t>262-20</t>
  </si>
  <si>
    <t>223-21</t>
  </si>
  <si>
    <t>291-21</t>
  </si>
  <si>
    <t>342-21</t>
  </si>
  <si>
    <t>153-21</t>
  </si>
  <si>
    <t>286-21</t>
  </si>
  <si>
    <t>113-21</t>
  </si>
  <si>
    <t>212-21</t>
  </si>
  <si>
    <t>675-21</t>
  </si>
  <si>
    <t>903-21</t>
  </si>
  <si>
    <t>906-21</t>
  </si>
  <si>
    <t>915-21</t>
  </si>
  <si>
    <t>289-21</t>
  </si>
  <si>
    <t>874-21</t>
  </si>
  <si>
    <t>416-21</t>
  </si>
  <si>
    <t>592-21</t>
  </si>
  <si>
    <t>360-21</t>
  </si>
  <si>
    <t>125-21</t>
  </si>
  <si>
    <t>293-21</t>
  </si>
  <si>
    <t>797-21</t>
  </si>
  <si>
    <t>892-21</t>
  </si>
  <si>
    <t>583-21</t>
  </si>
  <si>
    <t>194-21</t>
  </si>
  <si>
    <t>364-21</t>
  </si>
  <si>
    <t>134,,09</t>
  </si>
  <si>
    <t>384-21</t>
  </si>
  <si>
    <t>144-21</t>
  </si>
  <si>
    <t>197-21</t>
  </si>
  <si>
    <t>725-21</t>
  </si>
  <si>
    <t>1085-21</t>
  </si>
  <si>
    <t>520-21</t>
  </si>
  <si>
    <t>671-20</t>
  </si>
  <si>
    <t>500-21</t>
  </si>
  <si>
    <t>580-21</t>
  </si>
  <si>
    <t>999-21</t>
  </si>
  <si>
    <t>1042-21</t>
  </si>
  <si>
    <t>945-21</t>
  </si>
  <si>
    <t>944-21</t>
  </si>
  <si>
    <t>616-21</t>
  </si>
  <si>
    <t>993-21</t>
  </si>
  <si>
    <t>802-21</t>
  </si>
  <si>
    <t>537-21</t>
  </si>
  <si>
    <t>ИП Митус А.А.</t>
  </si>
  <si>
    <t>ИП Митус А.П.</t>
  </si>
  <si>
    <t>Корнеева А.П.</t>
  </si>
  <si>
    <t>Годованюк И.Л.</t>
  </si>
  <si>
    <t>Сухопаров М.А.</t>
  </si>
  <si>
    <t>Петросян С.В.</t>
  </si>
  <si>
    <t>Феоктистов Р.М.</t>
  </si>
  <si>
    <t>ИП Гурьян А.В.</t>
  </si>
  <si>
    <t>Постникова А.Н.</t>
  </si>
  <si>
    <t>Кузнецова А.О.</t>
  </si>
  <si>
    <t>Варакута А.Н.</t>
  </si>
  <si>
    <t>Власов Д.В.</t>
  </si>
  <si>
    <t>Коробкова Ю.Д.</t>
  </si>
  <si>
    <t>Тимофеев А.Ю.</t>
  </si>
  <si>
    <t>ИП Казновский Ф.А.</t>
  </si>
  <si>
    <t>ООО "ЭнергоАльянс"</t>
  </si>
  <si>
    <t>Заика В.М.</t>
  </si>
  <si>
    <t>Железнов Д.А.</t>
  </si>
  <si>
    <t>Аржевитина О.Ю.</t>
  </si>
  <si>
    <t>Антоненков В.А.</t>
  </si>
  <si>
    <t>Берг О.Н.</t>
  </si>
  <si>
    <t>Шалыгин К.Е.</t>
  </si>
  <si>
    <t>Попова И.В.</t>
  </si>
  <si>
    <t>Бреднев А.А.</t>
  </si>
  <si>
    <t>Решетняк М.С.</t>
  </si>
  <si>
    <t>Мазитова Н.В.</t>
  </si>
  <si>
    <t>Матвеева О.И.</t>
  </si>
  <si>
    <t>Кустова Т.Б.</t>
  </si>
  <si>
    <t>Саранцев С.В.</t>
  </si>
  <si>
    <t>ООО "Форум"</t>
  </si>
  <si>
    <t>ИП Аввакумов В.Н.</t>
  </si>
  <si>
    <t>Кулибаба С.Н.</t>
  </si>
  <si>
    <t>Ростоцкий В.В.</t>
  </si>
  <si>
    <t>Меховова Н.Е.</t>
  </si>
  <si>
    <t>ГБУЗ "КПБ № 1"</t>
  </si>
  <si>
    <t>Мирошник Н.В.</t>
  </si>
  <si>
    <t>Буниатян Э.С.</t>
  </si>
  <si>
    <t>ООО СЗ "ГМО"</t>
  </si>
  <si>
    <t>ИП Щербинкина Н.С.</t>
  </si>
  <si>
    <t>ГК "Ленинградский-1"</t>
  </si>
  <si>
    <t>Гаврикова С.В.</t>
  </si>
  <si>
    <t>Мирошников М.А.</t>
  </si>
  <si>
    <t>Цибулин А.А.</t>
  </si>
  <si>
    <t>Золотова В.В.</t>
  </si>
  <si>
    <t>Руденко Ю.В.</t>
  </si>
  <si>
    <t>Дудченко Р.В.</t>
  </si>
  <si>
    <t>Костенко О.Л.</t>
  </si>
  <si>
    <t>Тянутов В.В.</t>
  </si>
  <si>
    <t>Яровой В.П.</t>
  </si>
  <si>
    <t>Лысак С.В.</t>
  </si>
  <si>
    <t>Тасун Р.Ф.</t>
  </si>
  <si>
    <t>Колотилов М.Д.</t>
  </si>
  <si>
    <t>Семенов Н.Я.</t>
  </si>
  <si>
    <t>Кожемяк В,Ю,</t>
  </si>
  <si>
    <t>Бойцов К.А.</t>
  </si>
  <si>
    <t>ООО СЗ "ГлавМонтажОбъединение"</t>
  </si>
  <si>
    <t>ООО "СКА-1"</t>
  </si>
  <si>
    <t>ООО "УссурГарантСтрой"</t>
  </si>
  <si>
    <t>Головатюк Е.В.</t>
  </si>
  <si>
    <t>Иванова Т.Д.</t>
  </si>
  <si>
    <t>Попов И.В.</t>
  </si>
  <si>
    <t>Панченко Н.П.</t>
  </si>
  <si>
    <t>ИП Чумак О.А.</t>
  </si>
  <si>
    <t>ИП Кулабухова Н.В.</t>
  </si>
  <si>
    <t>Местная религиозная организация православный приход храма в честь "Казанской иконы "Божией Матери" настоятель Григорьев В.В.</t>
  </si>
  <si>
    <t>Лащенко К.А.</t>
  </si>
  <si>
    <t>Ференс В.Г.</t>
  </si>
  <si>
    <t>ИП Бордзо С.А.</t>
  </si>
  <si>
    <t>Бешенко Л.И.</t>
  </si>
  <si>
    <t>Макаров С.Б.</t>
  </si>
  <si>
    <t>Лавриненко Е.А.</t>
  </si>
  <si>
    <t>ООО "Специализированный застройщик "ИнвестСтрой ДВ"</t>
  </si>
  <si>
    <t>Аксенова О.Б.</t>
  </si>
  <si>
    <t>Плетнев В.А.</t>
  </si>
  <si>
    <t>ООО "Трансгаз"</t>
  </si>
  <si>
    <t>ООО "Фирма Исток-2"</t>
  </si>
  <si>
    <t>Горбачев Д.Ю.</t>
  </si>
  <si>
    <t>Фисенко Е.В.</t>
  </si>
  <si>
    <t>Песковская В.П.</t>
  </si>
  <si>
    <t>Кучин А.А.</t>
  </si>
  <si>
    <t>Шихарев А.В.</t>
  </si>
  <si>
    <t>ООО "Стройинвестгрупп"</t>
  </si>
  <si>
    <t>ООО СЗ "Высота"</t>
  </si>
  <si>
    <t>Соловьенко М.А.</t>
  </si>
  <si>
    <t>Цой З.М.</t>
  </si>
  <si>
    <t>Хван М.И.</t>
  </si>
  <si>
    <t>Саулин Ю.П.</t>
  </si>
  <si>
    <t>Бягай Р.А.</t>
  </si>
  <si>
    <t>Агошко Л.В.</t>
  </si>
  <si>
    <t>МБДОУ "Десткий сад №30"</t>
  </si>
  <si>
    <t>Федулов П.В.</t>
  </si>
  <si>
    <t>Яночков А.С.</t>
  </si>
  <si>
    <t>Печкин Е.А.</t>
  </si>
  <si>
    <t>Толстенко Н.Н.</t>
  </si>
  <si>
    <t>Килина Г.Н.</t>
  </si>
  <si>
    <t>ИП Махов Д.В.</t>
  </si>
  <si>
    <t>Федотов В.В.</t>
  </si>
  <si>
    <t>Бабчук А.М.</t>
  </si>
  <si>
    <t>Зайко Н.Е.</t>
  </si>
  <si>
    <t>Шумилова И.С.</t>
  </si>
  <si>
    <t>ИП Шипко А.Л.</t>
  </si>
  <si>
    <t>Птицын И.В.</t>
  </si>
  <si>
    <t>Черняг В.С.</t>
  </si>
  <si>
    <t>Малышко Г.И.</t>
  </si>
  <si>
    <t>Дедок А.С.</t>
  </si>
  <si>
    <t>Омельченко Т.Л.</t>
  </si>
  <si>
    <t>Петренко Т.А.</t>
  </si>
  <si>
    <t>Полещук В.С.</t>
  </si>
  <si>
    <t>Зубов И.В.</t>
  </si>
  <si>
    <t>Оноприенко А.М.</t>
  </si>
  <si>
    <t>Коростелёва С.В.</t>
  </si>
  <si>
    <t>Назаренко Н.Ю.</t>
  </si>
  <si>
    <t>ПАО "Ростелеком"</t>
  </si>
  <si>
    <t>Врубель А.И.</t>
  </si>
  <si>
    <t>Каграманян М.И.</t>
  </si>
  <si>
    <t>Карпина Л.В.</t>
  </si>
  <si>
    <t>Прошко С.С.</t>
  </si>
  <si>
    <t>Карпенок Г.Н.</t>
  </si>
  <si>
    <t>Енкудинов А.В.</t>
  </si>
  <si>
    <t>Ковальский В.В.</t>
  </si>
  <si>
    <t>423-20</t>
  </si>
  <si>
    <t>412-20</t>
  </si>
  <si>
    <t>411-20</t>
  </si>
  <si>
    <t>674-20</t>
  </si>
  <si>
    <t>728-20</t>
  </si>
  <si>
    <t>920-18</t>
  </si>
  <si>
    <t>134-18</t>
  </si>
  <si>
    <t>49-21</t>
  </si>
  <si>
    <t>55-20</t>
  </si>
  <si>
    <t>734-20</t>
  </si>
  <si>
    <t>733-20</t>
  </si>
  <si>
    <t>668-20</t>
  </si>
  <si>
    <t>976-20</t>
  </si>
  <si>
    <t>915-20</t>
  </si>
  <si>
    <t>726-20</t>
  </si>
  <si>
    <t>27-21</t>
  </si>
  <si>
    <t>800-19</t>
  </si>
  <si>
    <t>174-21</t>
  </si>
  <si>
    <t>175-21</t>
  </si>
  <si>
    <t>760-20</t>
  </si>
  <si>
    <t>470-20</t>
  </si>
  <si>
    <t>464-20</t>
  </si>
  <si>
    <t>862-20</t>
  </si>
  <si>
    <t>276-20</t>
  </si>
  <si>
    <t>1001-20</t>
  </si>
  <si>
    <t>1127-20</t>
  </si>
  <si>
    <t>880-20</t>
  </si>
  <si>
    <t>783-20</t>
  </si>
  <si>
    <t>590-20</t>
  </si>
  <si>
    <t>1021-20</t>
  </si>
  <si>
    <t>1046-20</t>
  </si>
  <si>
    <t>1017-20</t>
  </si>
  <si>
    <t>871-18</t>
  </si>
  <si>
    <t>1022-20</t>
  </si>
  <si>
    <t>858-20</t>
  </si>
  <si>
    <t>534-20</t>
  </si>
  <si>
    <t>15-21</t>
  </si>
  <si>
    <t>1160-20</t>
  </si>
  <si>
    <t>1000-20</t>
  </si>
  <si>
    <t>167-21</t>
  </si>
  <si>
    <t>1015-20</t>
  </si>
  <si>
    <t>609-20</t>
  </si>
  <si>
    <t>23-21</t>
  </si>
  <si>
    <t>134-21</t>
  </si>
  <si>
    <t>14-21</t>
  </si>
  <si>
    <t>822-20</t>
  </si>
  <si>
    <t>770-20</t>
  </si>
  <si>
    <t>499-20</t>
  </si>
  <si>
    <t>768-20</t>
  </si>
  <si>
    <t>766-20</t>
  </si>
  <si>
    <t>500-20</t>
  </si>
  <si>
    <t>599-20</t>
  </si>
  <si>
    <t>785-20</t>
  </si>
  <si>
    <t>776-20</t>
  </si>
  <si>
    <t>127-20</t>
  </si>
  <si>
    <t>1157-20</t>
  </si>
  <si>
    <t>964-20</t>
  </si>
  <si>
    <t>375-20</t>
  </si>
  <si>
    <t>1019-20</t>
  </si>
  <si>
    <t>126-21</t>
  </si>
  <si>
    <t>372-20</t>
  </si>
  <si>
    <t>168-21</t>
  </si>
  <si>
    <t>122-21</t>
  </si>
  <si>
    <t>128-21</t>
  </si>
  <si>
    <t>127-21</t>
  </si>
  <si>
    <t>249-21</t>
  </si>
  <si>
    <t>95-21</t>
  </si>
  <si>
    <t>363-21</t>
  </si>
  <si>
    <t>1130-20</t>
  </si>
  <si>
    <t>1123-20</t>
  </si>
  <si>
    <t>92-21</t>
  </si>
  <si>
    <t>70-21</t>
  </si>
  <si>
    <t>93-21</t>
  </si>
  <si>
    <t>72-21</t>
  </si>
  <si>
    <t>211-21</t>
  </si>
  <si>
    <t>217-21</t>
  </si>
  <si>
    <t>73-21</t>
  </si>
  <si>
    <t>71-21</t>
  </si>
  <si>
    <t>225-21</t>
  </si>
  <si>
    <t>58-21</t>
  </si>
  <si>
    <t>598-21</t>
  </si>
  <si>
    <t>357-21</t>
  </si>
  <si>
    <t>361-21</t>
  </si>
  <si>
    <t>268-21</t>
  </si>
  <si>
    <t>61-21</t>
  </si>
  <si>
    <t>301-21</t>
  </si>
  <si>
    <t>262-21</t>
  </si>
  <si>
    <t>465-20</t>
  </si>
  <si>
    <t>1132-20</t>
  </si>
  <si>
    <t>816-20</t>
  </si>
  <si>
    <t>376-21</t>
  </si>
  <si>
    <t>417-21</t>
  </si>
  <si>
    <t>177-21</t>
  </si>
  <si>
    <t>276-21</t>
  </si>
  <si>
    <t>387-21</t>
  </si>
  <si>
    <t>328-21</t>
  </si>
  <si>
    <t>393-21</t>
  </si>
  <si>
    <t>601-21</t>
  </si>
  <si>
    <t>321-21</t>
  </si>
  <si>
    <t>379-19</t>
  </si>
  <si>
    <t>605-21</t>
  </si>
  <si>
    <t>379-21</t>
  </si>
  <si>
    <t>331-21</t>
  </si>
  <si>
    <t>329-21</t>
  </si>
  <si>
    <t>327-21</t>
  </si>
  <si>
    <t>817-19</t>
  </si>
  <si>
    <t>262-19</t>
  </si>
  <si>
    <t>489-21</t>
  </si>
  <si>
    <t>418-21</t>
  </si>
  <si>
    <t>408-19</t>
  </si>
  <si>
    <t>530-21</t>
  </si>
  <si>
    <t>518-21</t>
  </si>
  <si>
    <t>354-21</t>
  </si>
  <si>
    <t>473-21</t>
  </si>
  <si>
    <t>886-21</t>
  </si>
  <si>
    <t>383-21</t>
  </si>
  <si>
    <t>677-21</t>
  </si>
  <si>
    <t>831-21</t>
  </si>
  <si>
    <t>332-21</t>
  </si>
  <si>
    <t>382-21</t>
  </si>
  <si>
    <t>330-21</t>
  </si>
  <si>
    <t>617-21</t>
  </si>
  <si>
    <t>608-21</t>
  </si>
  <si>
    <t>612-21</t>
  </si>
  <si>
    <t>628-21</t>
  </si>
  <si>
    <t>1032-21</t>
  </si>
  <si>
    <t>1076-21</t>
  </si>
  <si>
    <t>968-21</t>
  </si>
  <si>
    <t>979-21</t>
  </si>
  <si>
    <t>980-21</t>
  </si>
  <si>
    <t>982-21</t>
  </si>
  <si>
    <t>983-21</t>
  </si>
  <si>
    <t>1009-21</t>
  </si>
  <si>
    <t>974-21</t>
  </si>
  <si>
    <t>973-21</t>
  </si>
  <si>
    <t>972-21</t>
  </si>
  <si>
    <t>970-21</t>
  </si>
  <si>
    <t>975-21</t>
  </si>
  <si>
    <t>420-21</t>
  </si>
  <si>
    <t>424-21</t>
  </si>
  <si>
    <t>738-21</t>
  </si>
  <si>
    <t>483-21</t>
  </si>
  <si>
    <t>1006-21</t>
  </si>
  <si>
    <t>1005-21</t>
  </si>
  <si>
    <t>448-21</t>
  </si>
  <si>
    <t>651-21</t>
  </si>
  <si>
    <t>535-21</t>
  </si>
  <si>
    <t>1161-21</t>
  </si>
  <si>
    <t>695-21</t>
  </si>
  <si>
    <t>1177-21</t>
  </si>
  <si>
    <t>1199-21</t>
  </si>
  <si>
    <t>977-21</t>
  </si>
  <si>
    <t>969-21</t>
  </si>
  <si>
    <t>690-21</t>
  </si>
  <si>
    <t>619-21</t>
  </si>
  <si>
    <t>779-21</t>
  </si>
  <si>
    <t>805-21</t>
  </si>
  <si>
    <t>816-21</t>
  </si>
  <si>
    <t>1000-21</t>
  </si>
  <si>
    <t>946-21</t>
  </si>
  <si>
    <t>941-21</t>
  </si>
  <si>
    <t>1001-21</t>
  </si>
  <si>
    <t>1358-21</t>
  </si>
  <si>
    <t>966-21</t>
  </si>
  <si>
    <t>563-21</t>
  </si>
  <si>
    <t>818-21</t>
  </si>
  <si>
    <t>819-21</t>
  </si>
  <si>
    <t>584-21</t>
  </si>
  <si>
    <t>579-21</t>
  </si>
  <si>
    <t>569-21</t>
  </si>
  <si>
    <t>640-21</t>
  </si>
  <si>
    <t>821-21</t>
  </si>
  <si>
    <t>686-20</t>
  </si>
  <si>
    <t>693-20</t>
  </si>
  <si>
    <t>729-20</t>
  </si>
  <si>
    <t>712-20</t>
  </si>
  <si>
    <t>683-20</t>
  </si>
  <si>
    <t>889-18</t>
  </si>
  <si>
    <t>612-20</t>
  </si>
  <si>
    <t>717-20</t>
  </si>
  <si>
    <t>1091-20</t>
  </si>
  <si>
    <t>616-20</t>
  </si>
  <si>
    <t>662-20</t>
  </si>
  <si>
    <t>1125-20</t>
  </si>
  <si>
    <t>709-20</t>
  </si>
  <si>
    <t>1150-20</t>
  </si>
  <si>
    <t>819-20</t>
  </si>
  <si>
    <t>701-20</t>
  </si>
  <si>
    <t>337-20</t>
  </si>
  <si>
    <t>353-20</t>
  </si>
  <si>
    <t>687-20</t>
  </si>
  <si>
    <t>815-20</t>
  </si>
  <si>
    <t>757-20</t>
  </si>
  <si>
    <t>690-20</t>
  </si>
  <si>
    <t>1166-20</t>
  </si>
  <si>
    <t>778-20</t>
  </si>
  <si>
    <t>685-20</t>
  </si>
  <si>
    <t>874-20</t>
  </si>
  <si>
    <t>791-20</t>
  </si>
  <si>
    <t>388-20</t>
  </si>
  <si>
    <t>1050-20</t>
  </si>
  <si>
    <t>924-20</t>
  </si>
  <si>
    <t>854-20</t>
  </si>
  <si>
    <t>877-20</t>
  </si>
  <si>
    <t>989-20</t>
  </si>
  <si>
    <t>996-20</t>
  </si>
  <si>
    <t>848-20</t>
  </si>
  <si>
    <t>895-20</t>
  </si>
  <si>
    <t>758-20</t>
  </si>
  <si>
    <t>723-20</t>
  </si>
  <si>
    <t>1068-20</t>
  </si>
  <si>
    <t>754-20</t>
  </si>
  <si>
    <t>823-20</t>
  </si>
  <si>
    <t>697-20</t>
  </si>
  <si>
    <t>672-20</t>
  </si>
  <si>
    <t>1049-20</t>
  </si>
  <si>
    <t>871-20</t>
  </si>
  <si>
    <t>922-20</t>
  </si>
  <si>
    <t>787-20</t>
  </si>
  <si>
    <t>610-20</t>
  </si>
  <si>
    <t>1120-20</t>
  </si>
  <si>
    <t>1162-20</t>
  </si>
  <si>
    <t>597-20</t>
  </si>
  <si>
    <t>699-20</t>
  </si>
  <si>
    <t>738-20</t>
  </si>
  <si>
    <t>639-20</t>
  </si>
  <si>
    <t>794-20</t>
  </si>
  <si>
    <t>414-20</t>
  </si>
  <si>
    <t>744-19</t>
  </si>
  <si>
    <t>197-18</t>
  </si>
  <si>
    <t>59-20</t>
  </si>
  <si>
    <t>111-21</t>
  </si>
  <si>
    <t>691-20</t>
  </si>
  <si>
    <t>1084-20</t>
  </si>
  <si>
    <t>1094-20</t>
  </si>
  <si>
    <t>1070-20</t>
  </si>
  <si>
    <t>1081-20</t>
  </si>
  <si>
    <t>1124-20</t>
  </si>
  <si>
    <t>1118-20</t>
  </si>
  <si>
    <t>1064-20</t>
  </si>
  <si>
    <t>1059-20</t>
  </si>
  <si>
    <t>1073-20</t>
  </si>
  <si>
    <t>1069-20</t>
  </si>
  <si>
    <t>263-20</t>
  </si>
  <si>
    <t>698-20</t>
  </si>
  <si>
    <t>94-20</t>
  </si>
  <si>
    <t>529-20</t>
  </si>
  <si>
    <t>696-20</t>
  </si>
  <si>
    <t>667-20</t>
  </si>
  <si>
    <t>831-20</t>
  </si>
  <si>
    <t>180-21</t>
  </si>
  <si>
    <t>863-20</t>
  </si>
  <si>
    <t>163-21</t>
  </si>
  <si>
    <t>750-20</t>
  </si>
  <si>
    <t>1039-20</t>
  </si>
  <si>
    <t>226-21</t>
  </si>
  <si>
    <t>162-21</t>
  </si>
  <si>
    <t>316-21</t>
  </si>
  <si>
    <t>279-21</t>
  </si>
  <si>
    <t>802-20</t>
  </si>
  <si>
    <t>333-21</t>
  </si>
  <si>
    <t>239-21</t>
  </si>
  <si>
    <t>285-21</t>
  </si>
  <si>
    <t>506-20</t>
  </si>
  <si>
    <t>832-20</t>
  </si>
  <si>
    <t>403-20</t>
  </si>
  <si>
    <t>493-20</t>
  </si>
  <si>
    <t>31-21</t>
  </si>
  <si>
    <t>304-21</t>
  </si>
  <si>
    <t>56-21</t>
  </si>
  <si>
    <t>208-21</t>
  </si>
  <si>
    <t>280-21</t>
  </si>
  <si>
    <t>568-20</t>
  </si>
  <si>
    <t>274-21</t>
  </si>
  <si>
    <t>507-19</t>
  </si>
  <si>
    <t>203-21</t>
  </si>
  <si>
    <t>1078-20</t>
  </si>
  <si>
    <t>233-20 (1)</t>
  </si>
  <si>
    <t>233-20 (2)</t>
  </si>
  <si>
    <t>1154-20</t>
  </si>
  <si>
    <t>1144-20</t>
  </si>
  <si>
    <t>789-20</t>
  </si>
  <si>
    <t>752-20</t>
  </si>
  <si>
    <t>634-20</t>
  </si>
  <si>
    <t>288-21</t>
  </si>
  <si>
    <t>295-21</t>
  </si>
  <si>
    <t>64-21</t>
  </si>
  <si>
    <t>526-20</t>
  </si>
  <si>
    <t>1013-20</t>
  </si>
  <si>
    <t>940-20</t>
  </si>
  <si>
    <t>318-20</t>
  </si>
  <si>
    <t>100-21</t>
  </si>
  <si>
    <t>154-21</t>
  </si>
  <si>
    <t>195-21</t>
  </si>
  <si>
    <t>247-21</t>
  </si>
  <si>
    <t>441-21</t>
  </si>
  <si>
    <t>1066-20</t>
  </si>
  <si>
    <t>390-20</t>
  </si>
  <si>
    <t>16-21</t>
  </si>
  <si>
    <t>488-20</t>
  </si>
  <si>
    <t>884-20</t>
  </si>
  <si>
    <t>939-20</t>
  </si>
  <si>
    <t>150-21</t>
  </si>
  <si>
    <t>48-21</t>
  </si>
  <si>
    <t>1037-20</t>
  </si>
  <si>
    <t>313-21</t>
  </si>
  <si>
    <t>1023-20</t>
  </si>
  <si>
    <t>38-21</t>
  </si>
  <si>
    <t>278-21</t>
  </si>
  <si>
    <t>1044-20</t>
  </si>
  <si>
    <t>59-21</t>
  </si>
  <si>
    <t>129-21</t>
  </si>
  <si>
    <t>397-21</t>
  </si>
  <si>
    <t>17-21</t>
  </si>
  <si>
    <t>415-21</t>
  </si>
  <si>
    <t>1153-20</t>
  </si>
  <si>
    <t>1172-20</t>
  </si>
  <si>
    <t>1131-20</t>
  </si>
  <si>
    <t>2-21</t>
  </si>
  <si>
    <t>133-21</t>
  </si>
  <si>
    <t>1-21</t>
  </si>
  <si>
    <t>209-21</t>
  </si>
  <si>
    <t>140-21</t>
  </si>
  <si>
    <t>423-21</t>
  </si>
  <si>
    <t>378-21</t>
  </si>
  <si>
    <t>213-21</t>
  </si>
  <si>
    <t>422-21</t>
  </si>
  <si>
    <t>221-21</t>
  </si>
  <si>
    <t>314-21</t>
  </si>
  <si>
    <t>148-21</t>
  </si>
  <si>
    <t>159-21</t>
  </si>
  <si>
    <t>322-21</t>
  </si>
  <si>
    <t>102-21</t>
  </si>
  <si>
    <t>830-20</t>
  </si>
  <si>
    <t>855-20</t>
  </si>
  <si>
    <t>251-20</t>
  </si>
  <si>
    <t>333-17</t>
  </si>
  <si>
    <t>283-21</t>
  </si>
  <si>
    <t>503-21</t>
  </si>
  <si>
    <t>1147-20</t>
  </si>
  <si>
    <t>55-21</t>
  </si>
  <si>
    <t>99-21</t>
  </si>
  <si>
    <t>209-18</t>
  </si>
  <si>
    <t>348-20</t>
  </si>
  <si>
    <t>383-18</t>
  </si>
  <si>
    <t>362-21</t>
  </si>
  <si>
    <t>419-21</t>
  </si>
  <si>
    <t>681-20</t>
  </si>
  <si>
    <t>261-21</t>
  </si>
  <si>
    <t>232-21</t>
  </si>
  <si>
    <t>557-21</t>
  </si>
  <si>
    <t>558-21</t>
  </si>
  <si>
    <t>219-21</t>
  </si>
  <si>
    <t>554-21</t>
  </si>
  <si>
    <t>57-21</t>
  </si>
  <si>
    <t>69-21</t>
  </si>
  <si>
    <t>370-20</t>
  </si>
  <si>
    <t>959-20</t>
  </si>
  <si>
    <t>938-20</t>
  </si>
  <si>
    <t>76-21</t>
  </si>
  <si>
    <t>480-21</t>
  </si>
  <si>
    <t>479-21</t>
  </si>
  <si>
    <t>478-21</t>
  </si>
  <si>
    <t>234-21</t>
  </si>
  <si>
    <t>112-21</t>
  </si>
  <si>
    <t>220-21</t>
  </si>
  <si>
    <t>106-21</t>
  </si>
  <si>
    <t>52-21 (1)</t>
  </si>
  <si>
    <t>52-21 (2)</t>
  </si>
  <si>
    <t>556-21</t>
  </si>
  <si>
    <t>1101-20</t>
  </si>
  <si>
    <t>1096-20</t>
  </si>
  <si>
    <t>214-21</t>
  </si>
  <si>
    <t>11-21</t>
  </si>
  <si>
    <t>53-21</t>
  </si>
  <si>
    <t>515-21</t>
  </si>
  <si>
    <t>414-21</t>
  </si>
  <si>
    <t>624-21</t>
  </si>
  <si>
    <t>702-21</t>
  </si>
  <si>
    <t>470-21</t>
  </si>
  <si>
    <t>513-21</t>
  </si>
  <si>
    <t>402-21</t>
  </si>
  <si>
    <t>665-21</t>
  </si>
  <si>
    <t>501-21</t>
  </si>
  <si>
    <t>388-21</t>
  </si>
  <si>
    <t>793-20</t>
  </si>
  <si>
    <t>386-21</t>
  </si>
  <si>
    <t>613-21</t>
  </si>
  <si>
    <t>54-21</t>
  </si>
  <si>
    <t>666-21</t>
  </si>
  <si>
    <t>664-21</t>
  </si>
  <si>
    <t>67-21</t>
  </si>
  <si>
    <t>687-21</t>
  </si>
  <si>
    <t>685-21</t>
  </si>
  <si>
    <t>281-21</t>
  </si>
  <si>
    <t>350-21</t>
  </si>
  <si>
    <t>454-21</t>
  </si>
  <si>
    <t>355-21</t>
  </si>
  <si>
    <t>171-21</t>
  </si>
  <si>
    <t>359-21</t>
  </si>
  <si>
    <t>305-21</t>
  </si>
  <si>
    <t>801-19</t>
  </si>
  <si>
    <t>919-18</t>
  </si>
  <si>
    <t>319-20</t>
  </si>
  <si>
    <t>198-21</t>
  </si>
  <si>
    <t>204-21</t>
  </si>
  <si>
    <t>701-21</t>
  </si>
  <si>
    <t>762-21</t>
  </si>
  <si>
    <t>277-21</t>
  </si>
  <si>
    <t>464-21</t>
  </si>
  <si>
    <t>425-21</t>
  </si>
  <si>
    <t>290-21</t>
  </si>
  <si>
    <t>462-21</t>
  </si>
  <si>
    <t>229-21</t>
  </si>
  <si>
    <t>334-21</t>
  </si>
  <si>
    <t>763-21</t>
  </si>
  <si>
    <t>686-21</t>
  </si>
  <si>
    <t>351-21</t>
  </si>
  <si>
    <t>297-21</t>
  </si>
  <si>
    <t>199-19</t>
  </si>
  <si>
    <t>498-21</t>
  </si>
  <si>
    <t>389-21</t>
  </si>
  <si>
    <t>248-20</t>
  </si>
  <si>
    <t>438-21</t>
  </si>
  <si>
    <t>421-21</t>
  </si>
  <si>
    <t>407-21</t>
  </si>
  <si>
    <t>614-21</t>
  </si>
  <si>
    <t>547-21</t>
  </si>
  <si>
    <t>1119-20</t>
  </si>
  <si>
    <t>830-21</t>
  </si>
  <si>
    <t>807-21</t>
  </si>
  <si>
    <t>526-21</t>
  </si>
  <si>
    <t>609-21</t>
  </si>
  <si>
    <t>948-19</t>
  </si>
  <si>
    <t>380-21</t>
  </si>
  <si>
    <t>842-21</t>
  </si>
  <si>
    <t>783-21</t>
  </si>
  <si>
    <t>832-21</t>
  </si>
  <si>
    <t>817-21</t>
  </si>
  <si>
    <t>212-19</t>
  </si>
  <si>
    <t>607-21</t>
  </si>
  <si>
    <t>901-20</t>
  </si>
  <si>
    <t>808-21</t>
  </si>
  <si>
    <t>47-21</t>
  </si>
  <si>
    <t>833-21</t>
  </si>
  <si>
    <t>271-21 (1)</t>
  </si>
  <si>
    <t>271-21 (2)</t>
  </si>
  <si>
    <t>215-20</t>
  </si>
  <si>
    <t>766-21</t>
  </si>
  <si>
    <t>835-21</t>
  </si>
  <si>
    <t>861-21</t>
  </si>
  <si>
    <t>615-20</t>
  </si>
  <si>
    <t>590-21</t>
  </si>
  <si>
    <t>267-21</t>
  </si>
  <si>
    <t>269-21</t>
  </si>
  <si>
    <t>853-20</t>
  </si>
  <si>
    <t>852-21</t>
  </si>
  <si>
    <t>851-21</t>
  </si>
  <si>
    <t>199-17</t>
  </si>
  <si>
    <t>373-21</t>
  </si>
  <si>
    <t>428-21</t>
  </si>
  <si>
    <t>374-21</t>
  </si>
  <si>
    <t>348-21</t>
  </si>
  <si>
    <t>848-21</t>
  </si>
  <si>
    <t>344-21</t>
  </si>
  <si>
    <t>878-21</t>
  </si>
  <si>
    <t>692-21</t>
  </si>
  <si>
    <t>315-21</t>
  </si>
  <si>
    <t>401-21</t>
  </si>
  <si>
    <t>506-21</t>
  </si>
  <si>
    <t>841-21</t>
  </si>
  <si>
    <t>227-20 (1)</t>
  </si>
  <si>
    <t>227-20 (2)</t>
  </si>
  <si>
    <t>227-20 (3)</t>
  </si>
  <si>
    <t>1051-21</t>
  </si>
  <si>
    <t>962-21</t>
  </si>
  <si>
    <t>409-21</t>
  </si>
  <si>
    <t>21-21</t>
  </si>
  <si>
    <t>20-21</t>
  </si>
  <si>
    <t>145-21</t>
  </si>
  <si>
    <t>1013-21</t>
  </si>
  <si>
    <t>481-21</t>
  </si>
  <si>
    <t>730-21</t>
  </si>
  <si>
    <t>450-21</t>
  </si>
  <si>
    <t>649-21</t>
  </si>
  <si>
    <t>987-21</t>
  </si>
  <si>
    <t>1050-21</t>
  </si>
  <si>
    <t>925-21</t>
  </si>
  <si>
    <t>567-21</t>
  </si>
  <si>
    <t>881-21</t>
  </si>
  <si>
    <t>42-20</t>
  </si>
  <si>
    <t>935-21</t>
  </si>
  <si>
    <t>679-21</t>
  </si>
  <si>
    <t>458-21</t>
  </si>
  <si>
    <t>534-21</t>
  </si>
  <si>
    <t>648-21</t>
  </si>
  <si>
    <t>439-21</t>
  </si>
  <si>
    <t>625-21</t>
  </si>
  <si>
    <t>367-21</t>
  </si>
  <si>
    <t>68-21</t>
  </si>
  <si>
    <t>250-21</t>
  </si>
  <si>
    <t>992-21</t>
  </si>
  <si>
    <t>988-21</t>
  </si>
  <si>
    <t>964-21</t>
  </si>
  <si>
    <t>997-21</t>
  </si>
  <si>
    <t>733-21</t>
  </si>
  <si>
    <t>937-21</t>
  </si>
  <si>
    <t>760-21</t>
  </si>
  <si>
    <t>361-18</t>
  </si>
  <si>
    <t>1026-21</t>
  </si>
  <si>
    <t>431-21</t>
  </si>
  <si>
    <t>410-21</t>
  </si>
  <si>
    <t>644-21</t>
  </si>
  <si>
    <t>581-21</t>
  </si>
  <si>
    <t>391-21</t>
  </si>
  <si>
    <t>465-21</t>
  </si>
  <si>
    <t>490-21</t>
  </si>
  <si>
    <t>196-21</t>
  </si>
  <si>
    <t>50-21</t>
  </si>
  <si>
    <t>432-21</t>
  </si>
  <si>
    <t>447-21</t>
  </si>
  <si>
    <t>1140-21</t>
  </si>
  <si>
    <t>446-21</t>
  </si>
  <si>
    <t>914-21</t>
  </si>
  <si>
    <t>1079-21</t>
  </si>
  <si>
    <t>1157-21</t>
  </si>
  <si>
    <t>1156-21</t>
  </si>
  <si>
    <t>918-21</t>
  </si>
  <si>
    <t>792-21</t>
  </si>
  <si>
    <t>540-21</t>
  </si>
  <si>
    <t>789-21</t>
  </si>
  <si>
    <t>652-21</t>
  </si>
  <si>
    <t>620-21</t>
  </si>
  <si>
    <t>722-21</t>
  </si>
  <si>
    <t>790-21</t>
  </si>
  <si>
    <t>226-19</t>
  </si>
  <si>
    <t>667-21</t>
  </si>
  <si>
    <t>828-21</t>
  </si>
  <si>
    <t>430-21</t>
  </si>
  <si>
    <t>486-21</t>
  </si>
  <si>
    <t>626-21</t>
  </si>
  <si>
    <t>429-21</t>
  </si>
  <si>
    <t>1039-21</t>
  </si>
  <si>
    <t>778-19</t>
  </si>
  <si>
    <t>623-21</t>
  </si>
  <si>
    <t>474-21</t>
  </si>
  <si>
    <t>46-20</t>
  </si>
  <si>
    <t>990-21</t>
  </si>
  <si>
    <t>991-21</t>
  </si>
  <si>
    <t>758-21</t>
  </si>
  <si>
    <t>1036-21</t>
  </si>
  <si>
    <t>618-21</t>
  </si>
  <si>
    <t>455-21</t>
  </si>
  <si>
    <t>670-21</t>
  </si>
  <si>
    <t>864-21</t>
  </si>
  <si>
    <t>803-21</t>
  </si>
  <si>
    <t>810-21</t>
  </si>
  <si>
    <t>767-19</t>
  </si>
  <si>
    <t>793-21</t>
  </si>
  <si>
    <t>728-21</t>
  </si>
  <si>
    <t>1142-21</t>
  </si>
  <si>
    <t>1232-21</t>
  </si>
  <si>
    <t>1264-21</t>
  </si>
  <si>
    <t>1247-21</t>
  </si>
  <si>
    <t>909-21</t>
  </si>
  <si>
    <t>1263-21</t>
  </si>
  <si>
    <t>767-21</t>
  </si>
  <si>
    <t>145-20</t>
  </si>
  <si>
    <t>1271-21</t>
  </si>
  <si>
    <t>676-21</t>
  </si>
  <si>
    <t>829-21</t>
  </si>
  <si>
    <t>904-21</t>
  </si>
  <si>
    <t>1239-21</t>
  </si>
  <si>
    <t>778-21</t>
  </si>
  <si>
    <t>496-21</t>
  </si>
  <si>
    <t>1059-21</t>
  </si>
  <si>
    <t>827-21</t>
  </si>
  <si>
    <t>837-21</t>
  </si>
  <si>
    <t>539-21</t>
  </si>
  <si>
    <t>809-21</t>
  </si>
  <si>
    <t>153-20</t>
  </si>
  <si>
    <t>132-21</t>
  </si>
  <si>
    <t>781-21</t>
  </si>
  <si>
    <t>1249-21</t>
  </si>
  <si>
    <t>1223-21</t>
  </si>
  <si>
    <t>1308-21</t>
  </si>
  <si>
    <t>1159-21</t>
  </si>
  <si>
    <t>83-21</t>
  </si>
  <si>
    <t>338-21</t>
  </si>
  <si>
    <t>491-21</t>
  </si>
  <si>
    <t>574-21</t>
  </si>
  <si>
    <t>151-21</t>
  </si>
  <si>
    <t>131-21</t>
  </si>
  <si>
    <t>242-21</t>
  </si>
  <si>
    <t>499-21</t>
  </si>
  <si>
    <t>411-21</t>
  </si>
  <si>
    <t>178-21</t>
  </si>
  <si>
    <t>521-21</t>
  </si>
  <si>
    <t>568-21</t>
  </si>
  <si>
    <t>480-20</t>
  </si>
  <si>
    <t>415-20</t>
  </si>
  <si>
    <t>786-21</t>
  </si>
  <si>
    <t>519-21</t>
  </si>
  <si>
    <t>856-21</t>
  </si>
  <si>
    <t>1140-20</t>
  </si>
  <si>
    <t>82-21</t>
  </si>
  <si>
    <t>822-21</t>
  </si>
  <si>
    <t>633-21</t>
  </si>
  <si>
    <t>765-21</t>
  </si>
  <si>
    <t>1099-21</t>
  </si>
  <si>
    <t>550-21</t>
  </si>
  <si>
    <t>777-21</t>
  </si>
  <si>
    <t>606-21</t>
  </si>
  <si>
    <t>Дрепин Н.С.</t>
  </si>
  <si>
    <t>Горбунова Г.И.</t>
  </si>
  <si>
    <t>Рак Т.Н.</t>
  </si>
  <si>
    <t>Парамонова Н.И.</t>
  </si>
  <si>
    <t>Тугова А.В.</t>
  </si>
  <si>
    <t>Салисова С.Ю.</t>
  </si>
  <si>
    <t>Мисяк А.А.</t>
  </si>
  <si>
    <t>ООО "Пресса"</t>
  </si>
  <si>
    <t>Лехова Т.А.</t>
  </si>
  <si>
    <t>Якунин В.П.</t>
  </si>
  <si>
    <t>Малеванный В.П.</t>
  </si>
  <si>
    <t>Ильчаков М.Т.</t>
  </si>
  <si>
    <t>Полещук С.В.</t>
  </si>
  <si>
    <t>Гудзь Е.А.</t>
  </si>
  <si>
    <t>Манич В.А.</t>
  </si>
  <si>
    <t>Большаков А.А.</t>
  </si>
  <si>
    <t>Шмигида В.М.</t>
  </si>
  <si>
    <t>Пелих В.М.</t>
  </si>
  <si>
    <t>Ченцов Г.Г.</t>
  </si>
  <si>
    <t>Конов Е.В.</t>
  </si>
  <si>
    <t>Манахов А.П.</t>
  </si>
  <si>
    <t>Яковлева В.В.</t>
  </si>
  <si>
    <t>Шалыгина А.С.</t>
  </si>
  <si>
    <t>Антонов О.А.</t>
  </si>
  <si>
    <t>Афонская С.Р.</t>
  </si>
  <si>
    <t>Скрипкина Э.А.</t>
  </si>
  <si>
    <t>Проненко С.П.</t>
  </si>
  <si>
    <t>Бондарь В.В.</t>
  </si>
  <si>
    <t>Александрова Е.Д.</t>
  </si>
  <si>
    <t>Изюменко Л.Я.</t>
  </si>
  <si>
    <t>Шкилев В.Л.</t>
  </si>
  <si>
    <t>Ковальчук Т.И.</t>
  </si>
  <si>
    <t>Семикина Л.Л.</t>
  </si>
  <si>
    <t>Резников А.В.</t>
  </si>
  <si>
    <t>Иванов В.В.</t>
  </si>
  <si>
    <t>Долин В.Ю.</t>
  </si>
  <si>
    <t>Баранова В.А.</t>
  </si>
  <si>
    <t>Грулев Г.В.</t>
  </si>
  <si>
    <t>Кондратова Н.Г.</t>
  </si>
  <si>
    <t>ИП Барановская В.А.</t>
  </si>
  <si>
    <t>Резников В.А.</t>
  </si>
  <si>
    <t>Гуртовой Р.В.</t>
  </si>
  <si>
    <t>Речкин Е.А.</t>
  </si>
  <si>
    <t>Тетенькин М.В.</t>
  </si>
  <si>
    <t>Шальнева Е.И.</t>
  </si>
  <si>
    <t>Климова О.А.</t>
  </si>
  <si>
    <t>Ходыко М.Т.</t>
  </si>
  <si>
    <t>Дудрова Ф.Ф.</t>
  </si>
  <si>
    <t>Крикун Л.А.</t>
  </si>
  <si>
    <t>Федореев А.А.</t>
  </si>
  <si>
    <t>Коваленко А.В.</t>
  </si>
  <si>
    <t>Кудрявцев А.В.</t>
  </si>
  <si>
    <t>Морозова Г.П.</t>
  </si>
  <si>
    <t>Грищенко Т.С.</t>
  </si>
  <si>
    <t>Шевченко Т.А.</t>
  </si>
  <si>
    <t>Салова О.В.</t>
  </si>
  <si>
    <t>Свинарь В.Н.</t>
  </si>
  <si>
    <t>Козлов А.В.</t>
  </si>
  <si>
    <t>Журавлев П.Ф.</t>
  </si>
  <si>
    <t>Суязов А.А.</t>
  </si>
  <si>
    <t>Дидик В.П.</t>
  </si>
  <si>
    <t>Говорухин В.С.</t>
  </si>
  <si>
    <t>Ключник О.С.</t>
  </si>
  <si>
    <t>Иванова Е.В.</t>
  </si>
  <si>
    <t>Бутенко Н.И.</t>
  </si>
  <si>
    <t>Андрусенко А.С.</t>
  </si>
  <si>
    <t>Демко М.А.</t>
  </si>
  <si>
    <t>Орехов С.Н.</t>
  </si>
  <si>
    <t>Мун С.Г.</t>
  </si>
  <si>
    <t>Лобанов А.А.</t>
  </si>
  <si>
    <t>Шенкарюк Т.В.</t>
  </si>
  <si>
    <t>Бородулин В.А.</t>
  </si>
  <si>
    <t>Скворцов Н.Г.</t>
  </si>
  <si>
    <t>Калугин В.В.</t>
  </si>
  <si>
    <t>Татаренков С.В.</t>
  </si>
  <si>
    <t>Гапонов А.А.</t>
  </si>
  <si>
    <t>Ким М.С.</t>
  </si>
  <si>
    <t>Молодькава А.А.</t>
  </si>
  <si>
    <t>Власова Т.С.</t>
  </si>
  <si>
    <t>Хегай Л.И.</t>
  </si>
  <si>
    <t>Захаропуло  Н.Г.</t>
  </si>
  <si>
    <t>Федоренко Г.Г.</t>
  </si>
  <si>
    <t>Усачева Л.С.</t>
  </si>
  <si>
    <t>Подвалов С.Н.</t>
  </si>
  <si>
    <t>Тен А.М.</t>
  </si>
  <si>
    <t>Егоров А.Н.</t>
  </si>
  <si>
    <t>Мухин Д.А.</t>
  </si>
  <si>
    <t>Адаменко А.Н.</t>
  </si>
  <si>
    <t>Вартанянц Н.А.</t>
  </si>
  <si>
    <t>Апанович Н.С.</t>
  </si>
  <si>
    <t>Ким В.Б.</t>
  </si>
  <si>
    <t>Медведев В.Д.</t>
  </si>
  <si>
    <t>Зотова И.В.</t>
  </si>
  <si>
    <t>Игнаков М.Г.</t>
  </si>
  <si>
    <t>Егоров П.Г</t>
  </si>
  <si>
    <t>Бондарь Т.А.</t>
  </si>
  <si>
    <t>Заярный А.В.</t>
  </si>
  <si>
    <t>Скобельцын С.И.</t>
  </si>
  <si>
    <t>Кривенко И.С.</t>
  </si>
  <si>
    <t>Мамедова Н.Н.</t>
  </si>
  <si>
    <t>Тесленко Е.А.</t>
  </si>
  <si>
    <t>Цуканов А.Ю.</t>
  </si>
  <si>
    <t>Ли Е.В.</t>
  </si>
  <si>
    <t>Бочаров А. Б.</t>
  </si>
  <si>
    <t>Юзенкова В.Н.</t>
  </si>
  <si>
    <t>Перегуда Е.В.</t>
  </si>
  <si>
    <t>Забровская С.П.</t>
  </si>
  <si>
    <t>Князев С.В.</t>
  </si>
  <si>
    <t>Седых А.Г.</t>
  </si>
  <si>
    <t>Шабанова Л.М.</t>
  </si>
  <si>
    <t>Рябцев С.В.</t>
  </si>
  <si>
    <t>ИП Климаков О.В.</t>
  </si>
  <si>
    <t>Капарулин В.А.</t>
  </si>
  <si>
    <t>Скрипкина Г.В.</t>
  </si>
  <si>
    <t>Керлах И.П.</t>
  </si>
  <si>
    <t>Пешеходько А.Ф.</t>
  </si>
  <si>
    <t>Ермаков В.И.</t>
  </si>
  <si>
    <t>Букин В.С.</t>
  </si>
  <si>
    <t>Коротков С.Л.</t>
  </si>
  <si>
    <t>Полозов С.Г.</t>
  </si>
  <si>
    <t>Латыпов С.Р.</t>
  </si>
  <si>
    <t>Кулешов О.Н.</t>
  </si>
  <si>
    <t>Переверзева И.А.</t>
  </si>
  <si>
    <t>Вялкова Н.Л.</t>
  </si>
  <si>
    <t>Кивченко А.Н.</t>
  </si>
  <si>
    <t>Ли В.Г.</t>
  </si>
  <si>
    <t>Машканцева Н.М.</t>
  </si>
  <si>
    <t>Варванцева Е.В.</t>
  </si>
  <si>
    <t>Земскова Л.Д.</t>
  </si>
  <si>
    <t>Токарев Г.Г.</t>
  </si>
  <si>
    <t>Баранова О.Б.</t>
  </si>
  <si>
    <t>Крысина Н.Ф.</t>
  </si>
  <si>
    <t>Лановлюк Л.В.</t>
  </si>
  <si>
    <t>Содыль Т.С.</t>
  </si>
  <si>
    <t>Компанец С.М.</t>
  </si>
  <si>
    <t>ООО "Цифровое Приморье"</t>
  </si>
  <si>
    <t>Чергинец В.В.</t>
  </si>
  <si>
    <t>Лобков А.А.</t>
  </si>
  <si>
    <t>Ткаченко А.Ф.</t>
  </si>
  <si>
    <t>Володина Я.С.</t>
  </si>
  <si>
    <t>Зазимко Н.Н.</t>
  </si>
  <si>
    <t>Карпец Ю.И.</t>
  </si>
  <si>
    <t>Смашнев В.М.</t>
  </si>
  <si>
    <t>Смашнева М.А.</t>
  </si>
  <si>
    <t>Батюшева Г.М.</t>
  </si>
  <si>
    <t>Захарчук А.А.</t>
  </si>
  <si>
    <t>Плашинов В.И.</t>
  </si>
  <si>
    <t>Простокишин А.С.</t>
  </si>
  <si>
    <t>Исаева Н.Н.</t>
  </si>
  <si>
    <t>Шанин Р.В.</t>
  </si>
  <si>
    <t>Погудо Г.Н.</t>
  </si>
  <si>
    <t>Сырмолот Н.С.</t>
  </si>
  <si>
    <t>Артеменко К.И.</t>
  </si>
  <si>
    <t>Липина Н.А.</t>
  </si>
  <si>
    <t>Маковская И.Б.</t>
  </si>
  <si>
    <t>Пекурина О.С.</t>
  </si>
  <si>
    <t>Симакова Т.И.</t>
  </si>
  <si>
    <t>Мальцева Л.В.</t>
  </si>
  <si>
    <t>Стриж Т.Н.</t>
  </si>
  <si>
    <t>ИП Хан А.Л.</t>
  </si>
  <si>
    <t>Козлов М.Н.</t>
  </si>
  <si>
    <t>Щанкин В.И.</t>
  </si>
  <si>
    <t>Гринев А.В.</t>
  </si>
  <si>
    <t>Боровая Н.И.</t>
  </si>
  <si>
    <t>Трусов А.В.</t>
  </si>
  <si>
    <t>Нагорная Ю.М.</t>
  </si>
  <si>
    <t>Каршиев И.И.</t>
  </si>
  <si>
    <t>Васева С.М.</t>
  </si>
  <si>
    <t>Денисова А.И.</t>
  </si>
  <si>
    <t>Ли А.И.</t>
  </si>
  <si>
    <t>Лоцманов Д.В.</t>
  </si>
  <si>
    <t>Жиженко С.Г.</t>
  </si>
  <si>
    <t>Броворниченко М.В.</t>
  </si>
  <si>
    <t>Фисун О.В.</t>
  </si>
  <si>
    <t>Дедок Ю.А.</t>
  </si>
  <si>
    <t>Хачатрян А.Р.</t>
  </si>
  <si>
    <t>Ким А.А.</t>
  </si>
  <si>
    <t>Семиглазов Б.Л.</t>
  </si>
  <si>
    <t>Морозкин Д.А.</t>
  </si>
  <si>
    <t>Костыгин С.В.</t>
  </si>
  <si>
    <t>Когай В.Д.</t>
  </si>
  <si>
    <t>Маковийчук Т.Н.</t>
  </si>
  <si>
    <t>ГСК "Машиностроитель-6"</t>
  </si>
  <si>
    <t>Тарасов Р.В.</t>
  </si>
  <si>
    <t>Шастина Н.М.</t>
  </si>
  <si>
    <t>Денисова О.М.</t>
  </si>
  <si>
    <t>Абушаева Е.М.</t>
  </si>
  <si>
    <t>Павленко С.В.</t>
  </si>
  <si>
    <t>Двуречинская М.С.</t>
  </si>
  <si>
    <t>Золотарев А.А.</t>
  </si>
  <si>
    <t>Никитюк А.Г.</t>
  </si>
  <si>
    <t>Благини А.С.</t>
  </si>
  <si>
    <t>Кучеренко Н.В.</t>
  </si>
  <si>
    <t>ИП Авраменко О.А.</t>
  </si>
  <si>
    <t>Маплышев Д.Е.</t>
  </si>
  <si>
    <t>Мажуга О.Н.</t>
  </si>
  <si>
    <t>Колесник Р.Е.</t>
  </si>
  <si>
    <t>Федорова А.С.</t>
  </si>
  <si>
    <t>Хегай А.А.</t>
  </si>
  <si>
    <t>Жижко Н.В.</t>
  </si>
  <si>
    <t>Когай Э.</t>
  </si>
  <si>
    <t>Поваров К.С.</t>
  </si>
  <si>
    <t>Городцова Е.А.</t>
  </si>
  <si>
    <t>Храпко В.П.</t>
  </si>
  <si>
    <t>Ким Лаззат</t>
  </si>
  <si>
    <t>Домарев В.В.</t>
  </si>
  <si>
    <t>ИП Дектяренко В.Г.</t>
  </si>
  <si>
    <t>Ковалец С.Н.</t>
  </si>
  <si>
    <t>Кан С.К.</t>
  </si>
  <si>
    <t>Лазаревский С.В.</t>
  </si>
  <si>
    <t>Олейник И.Н.</t>
  </si>
  <si>
    <t>Маслова М.А.</t>
  </si>
  <si>
    <t>Поткур К.С.</t>
  </si>
  <si>
    <t>Лобунец ВГ.</t>
  </si>
  <si>
    <t>Филипенко А.Н.</t>
  </si>
  <si>
    <t>Соколов А.А.</t>
  </si>
  <si>
    <t>Тищенко М.В.</t>
  </si>
  <si>
    <t>Лопардина А.В.</t>
  </si>
  <si>
    <t>Кононов П.В.</t>
  </si>
  <si>
    <t>ИП Бабенко Р.Ф.</t>
  </si>
  <si>
    <t>Андрианов А.В.</t>
  </si>
  <si>
    <t>Барабаш В.В.</t>
  </si>
  <si>
    <t>Круглов Е.А.</t>
  </si>
  <si>
    <t>Сущенко Р.О.</t>
  </si>
  <si>
    <t>Завадская И.И.</t>
  </si>
  <si>
    <t>Ли И.А.</t>
  </si>
  <si>
    <t>Суховетченко В.Ю.</t>
  </si>
  <si>
    <t>Радченко В.Н.</t>
  </si>
  <si>
    <t>Крикус Г.Ф.</t>
  </si>
  <si>
    <t>Ли В. Д-Е</t>
  </si>
  <si>
    <t>Разумов А.С.</t>
  </si>
  <si>
    <t>Епураш И.А.</t>
  </si>
  <si>
    <t>Войтенко Н.Б.</t>
  </si>
  <si>
    <t>Лисин Д.В.</t>
  </si>
  <si>
    <t>ИП Тюрменко Г.Ф.</t>
  </si>
  <si>
    <t>Филончук Л.А.</t>
  </si>
  <si>
    <t>Арапко О.М.</t>
  </si>
  <si>
    <t>Ястребков О.С.</t>
  </si>
  <si>
    <t>Логинова М.В.</t>
  </si>
  <si>
    <t>Завгородний В.Р.</t>
  </si>
  <si>
    <t>Коренчак В.В.</t>
  </si>
  <si>
    <t>Волков А.А.</t>
  </si>
  <si>
    <t>Бескровная Т.А.</t>
  </si>
  <si>
    <t>Войцеховский А.Б.</t>
  </si>
  <si>
    <t>Коновалова Т.Е.</t>
  </si>
  <si>
    <t>Щеглов А.Н.</t>
  </si>
  <si>
    <t>Буйлова Т.И.</t>
  </si>
  <si>
    <t>Черний К.В.</t>
  </si>
  <si>
    <t>Арапко А.М.</t>
  </si>
  <si>
    <t>Камилов И.Т.</t>
  </si>
  <si>
    <t>Новикова О.В.</t>
  </si>
  <si>
    <t>Калинина О.В.</t>
  </si>
  <si>
    <t>ИП Азанов В.В.</t>
  </si>
  <si>
    <t>Гальцов В.А.</t>
  </si>
  <si>
    <t>Левченко С.В.</t>
  </si>
  <si>
    <t xml:space="preserve">ООО"Хлебная база №38" </t>
  </si>
  <si>
    <t>ГКУЗ "Краевой психоневрологический дом ребенка"</t>
  </si>
  <si>
    <t>Шенкаренко Ю.А.</t>
  </si>
  <si>
    <t>Манид Е.В.</t>
  </si>
  <si>
    <t>Лопатник А.П.</t>
  </si>
  <si>
    <t>Рощин И.Д.</t>
  </si>
  <si>
    <t>Пода М.С.</t>
  </si>
  <si>
    <t>Адамович И.М.</t>
  </si>
  <si>
    <t>Христодор П.П.</t>
  </si>
  <si>
    <t>Чесноков И.В.</t>
  </si>
  <si>
    <t>Хажибоева Ю.В.</t>
  </si>
  <si>
    <t>Прокопец О.М.</t>
  </si>
  <si>
    <t>Вершинина Н.В.</t>
  </si>
  <si>
    <t>Стёпина В.В.</t>
  </si>
  <si>
    <t>Антонова Н.В.</t>
  </si>
  <si>
    <t>Содель Ю.И.</t>
  </si>
  <si>
    <t>Росоха В.И.</t>
  </si>
  <si>
    <t>Зиновьев В.В.</t>
  </si>
  <si>
    <t>Арбаханов А.К.</t>
  </si>
  <si>
    <t>Вологина И.И.</t>
  </si>
  <si>
    <t>Ефремова Н.П.</t>
  </si>
  <si>
    <t>Ермолаев В.В.</t>
  </si>
  <si>
    <t>ИП Усиков Е.С.</t>
  </si>
  <si>
    <t>Топчивод К.В.</t>
  </si>
  <si>
    <t>Телеба А.В.</t>
  </si>
  <si>
    <t>Логинов А.В.</t>
  </si>
  <si>
    <t>Калиновская О.А.</t>
  </si>
  <si>
    <t>Моисеева А.Д.</t>
  </si>
  <si>
    <t>Потехина Е.А.</t>
  </si>
  <si>
    <t>Некрылова Г.В.</t>
  </si>
  <si>
    <t>Савчук В.Г.</t>
  </si>
  <si>
    <t>Никульников Р.В.</t>
  </si>
  <si>
    <t>Вялков П.В.</t>
  </si>
  <si>
    <t>Ким Н.М.</t>
  </si>
  <si>
    <t>Агальцов С.В.</t>
  </si>
  <si>
    <t>Селиванов А.С.</t>
  </si>
  <si>
    <t>Королева Т.С.</t>
  </si>
  <si>
    <t>Кацуба А.А.</t>
  </si>
  <si>
    <t>Банщиков Н.И.</t>
  </si>
  <si>
    <t>Мончева Н.С.</t>
  </si>
  <si>
    <t>Лянной П.Ю.</t>
  </si>
  <si>
    <t>Шекунов С.В.</t>
  </si>
  <si>
    <t>Распутная М.Н.</t>
  </si>
  <si>
    <t>Сальникова О.Е.</t>
  </si>
  <si>
    <t>Ильюшенко А.А.</t>
  </si>
  <si>
    <t>Рамазанова И.В.</t>
  </si>
  <si>
    <t>Евсеев А.В.</t>
  </si>
  <si>
    <t>Власов С.Л.</t>
  </si>
  <si>
    <t>Бойко К.М.</t>
  </si>
  <si>
    <t>Смирнов А.Ф.</t>
  </si>
  <si>
    <t>Курченко Д.В.</t>
  </si>
  <si>
    <t>Мамошин С.В.</t>
  </si>
  <si>
    <t>Ключников В.П.</t>
  </si>
  <si>
    <t>Шуляева Н.А.</t>
  </si>
  <si>
    <t>Ховрина Л.И.</t>
  </si>
  <si>
    <t>Раховицкий С.А.</t>
  </si>
  <si>
    <t>Плесовских М.Г.</t>
  </si>
  <si>
    <t>Казимирова Е.Я.</t>
  </si>
  <si>
    <t>Туш С.А.</t>
  </si>
  <si>
    <t>Чернов О.В.</t>
  </si>
  <si>
    <t>Юрова Л.С.</t>
  </si>
  <si>
    <t>Чуфарова Л.А.</t>
  </si>
  <si>
    <t>Ерофеев Ф.Г.</t>
  </si>
  <si>
    <t>Рябухина С.С.</t>
  </si>
  <si>
    <t>Кожевникова Е.В.</t>
  </si>
  <si>
    <t>Ситникова И.Н.</t>
  </si>
  <si>
    <t>Анопочкина Л.Ю.</t>
  </si>
  <si>
    <t>Лукина Я.В.</t>
  </si>
  <si>
    <t>Черноусова Г.В.</t>
  </si>
  <si>
    <t>Губанов С.А.</t>
  </si>
  <si>
    <t>Ярош А.Н.</t>
  </si>
  <si>
    <t>Жук С.П.</t>
  </si>
  <si>
    <t>Павлухина Е.С.</t>
  </si>
  <si>
    <t>Чебыкин М.А.</t>
  </si>
  <si>
    <t>Крапивная Л.Н.</t>
  </si>
  <si>
    <t xml:space="preserve">МАУК "Городские парки" </t>
  </si>
  <si>
    <t>Делиу Е.А.</t>
  </si>
  <si>
    <t>Скоробогатова Л.А.</t>
  </si>
  <si>
    <t>Семенова З.И.</t>
  </si>
  <si>
    <t>Мигашко Т.С.</t>
  </si>
  <si>
    <t>Рикмас С.Д.</t>
  </si>
  <si>
    <t>Гаранин Д.С.</t>
  </si>
  <si>
    <t>Шамсутдинова Ю.Х.</t>
  </si>
  <si>
    <t>Романцов Г.В.</t>
  </si>
  <si>
    <t>Беззубова Т.И.</t>
  </si>
  <si>
    <t>Жолобова Т.В.</t>
  </si>
  <si>
    <t>Шоев Т.Н.</t>
  </si>
  <si>
    <t>Масличенко С.А.</t>
  </si>
  <si>
    <t>Шоев Р.Н.</t>
  </si>
  <si>
    <t>Сатаров Р.Р.</t>
  </si>
  <si>
    <t>ИП Набока А.Г.</t>
  </si>
  <si>
    <t>Бессонова С.А.</t>
  </si>
  <si>
    <t>Тринкаль Д.В.</t>
  </si>
  <si>
    <t>Цой Г.В.</t>
  </si>
  <si>
    <t>Борисов Е.В.</t>
  </si>
  <si>
    <t>Федорова Л.Н.</t>
  </si>
  <si>
    <t>ИП Хан В.Н.</t>
  </si>
  <si>
    <t>Ким П.Н.</t>
  </si>
  <si>
    <t>Терчиев Р.М.</t>
  </si>
  <si>
    <t>Маточкин С.П.</t>
  </si>
  <si>
    <t>Волкова Е.С.</t>
  </si>
  <si>
    <t>Шагимарданов А.В.</t>
  </si>
  <si>
    <t>МАУК "Городские парки"</t>
  </si>
  <si>
    <t>Заколупин Н.В.</t>
  </si>
  <si>
    <t>Маранджян З.Б.</t>
  </si>
  <si>
    <t>Сидоренко О.Ю.</t>
  </si>
  <si>
    <t>Захаркин И.Е.</t>
  </si>
  <si>
    <t>Ли Э.Ч.</t>
  </si>
  <si>
    <t>Калиниченко О.В.</t>
  </si>
  <si>
    <t>ИП Мурадов И.С.</t>
  </si>
  <si>
    <t>Школьников А.В.</t>
  </si>
  <si>
    <t>Семенов А.П.</t>
  </si>
  <si>
    <t>Синенко А.М.</t>
  </si>
  <si>
    <t>Ямщикова Т.В.</t>
  </si>
  <si>
    <t>Машков В.Н.</t>
  </si>
  <si>
    <t>Корниенко Е.В.</t>
  </si>
  <si>
    <t>Ромаева Л.А.</t>
  </si>
  <si>
    <t>Кущ А.С.</t>
  </si>
  <si>
    <t>Гаранина А.С.</t>
  </si>
  <si>
    <t>ИП Дейкун М.В.</t>
  </si>
  <si>
    <t>Ветютнева А.В.</t>
  </si>
  <si>
    <t>Федорчук А.В.</t>
  </si>
  <si>
    <t>Долгун С.В.</t>
  </si>
  <si>
    <t>Миненко А.А.</t>
  </si>
  <si>
    <t>Аверин Р.С.</t>
  </si>
  <si>
    <t>Таров Д.С.</t>
  </si>
  <si>
    <t>Омельянова Г.А.</t>
  </si>
  <si>
    <t>Максименко М.А.</t>
  </si>
  <si>
    <t xml:space="preserve">ПАО "МТС" </t>
  </si>
  <si>
    <t>Мищенко А.А.</t>
  </si>
  <si>
    <t>Москвичев М.С.</t>
  </si>
  <si>
    <t>Марков А.А.</t>
  </si>
  <si>
    <t>Клочко Г.Д.</t>
  </si>
  <si>
    <t>Юсупова А.С.</t>
  </si>
  <si>
    <t>Скачко Р.Б.</t>
  </si>
  <si>
    <t>Мышако О.Е.</t>
  </si>
  <si>
    <t>Костырко М.В.</t>
  </si>
  <si>
    <t>Игнатенко А.А.</t>
  </si>
  <si>
    <t>Шалева Ю.В.</t>
  </si>
  <si>
    <t>Пак А.Г.</t>
  </si>
  <si>
    <t>Бережной Н.В.</t>
  </si>
  <si>
    <t>Горбач И.Г.</t>
  </si>
  <si>
    <t>Чукмасов Н.В.</t>
  </si>
  <si>
    <t>Турсунова Г.И.</t>
  </si>
  <si>
    <t>Смирнова Е.А.</t>
  </si>
  <si>
    <t>Гарибян С.Е.</t>
  </si>
  <si>
    <t>Коваленко М.А.</t>
  </si>
  <si>
    <t xml:space="preserve">ГСК "Звездочка-2"  </t>
  </si>
  <si>
    <t>Сидорова И.А.</t>
  </si>
  <si>
    <t>Костенко С.В.</t>
  </si>
  <si>
    <t>Алейников С.А.</t>
  </si>
  <si>
    <t>Иванова М.А.</t>
  </si>
  <si>
    <t>Гаранин А.В.</t>
  </si>
  <si>
    <t>Пушкин И.Г.</t>
  </si>
  <si>
    <t>Радионова М.В.</t>
  </si>
  <si>
    <t>Зленко О.Н.</t>
  </si>
  <si>
    <t>Бараболя Р.В.</t>
  </si>
  <si>
    <t>Стаммо Т.Н.</t>
  </si>
  <si>
    <t>Снопков В.И.</t>
  </si>
  <si>
    <t>Титоренко Р.А.</t>
  </si>
  <si>
    <t>Базыль В.А.</t>
  </si>
  <si>
    <t>Ильина Е.П.</t>
  </si>
  <si>
    <t>Осадчев К.Е.</t>
  </si>
  <si>
    <t>Елизарьев П.Ю.</t>
  </si>
  <si>
    <t>Ли Д.Р.</t>
  </si>
  <si>
    <t>Санжаровский В. А.</t>
  </si>
  <si>
    <t>Виловатая Е.С.</t>
  </si>
  <si>
    <t>Кошеленко А.Е.</t>
  </si>
  <si>
    <t>Иванюк О.А.</t>
  </si>
  <si>
    <t>Журавленко Д.В.</t>
  </si>
  <si>
    <t>Андреева Н.М.</t>
  </si>
  <si>
    <t>ООО "Трансгруз"</t>
  </si>
  <si>
    <t>Васильева Н.В.</t>
  </si>
  <si>
    <t>Рузиев С.И.</t>
  </si>
  <si>
    <t>Спец О.В.</t>
  </si>
  <si>
    <t>ИП Петрухина М.М.</t>
  </si>
  <si>
    <t>Давыденко С.В.</t>
  </si>
  <si>
    <t>Марушенко А.И.</t>
  </si>
  <si>
    <t>Демина Ю.Г.</t>
  </si>
  <si>
    <t>Демин В.В.</t>
  </si>
  <si>
    <t>Михайлов А.Ю.</t>
  </si>
  <si>
    <t>Сидельник А.А.</t>
  </si>
  <si>
    <t>Гордеев С.А.</t>
  </si>
  <si>
    <t>Медведева И.И.</t>
  </si>
  <si>
    <t>Чуваев А.Н.</t>
  </si>
  <si>
    <t>Покрашенко В.Н.</t>
  </si>
  <si>
    <t>КГБУЗ "УЦ Городская больница"</t>
  </si>
  <si>
    <t>Агальцова Е.В.</t>
  </si>
  <si>
    <t>Кузьменко Н.И.</t>
  </si>
  <si>
    <t>Лим Л.А.</t>
  </si>
  <si>
    <t>Коровин Е.В.</t>
  </si>
  <si>
    <t>Чернов Е.Н.</t>
  </si>
  <si>
    <t>Михайлова С.В.</t>
  </si>
  <si>
    <t>Лихограй О.А.</t>
  </si>
  <si>
    <t>Леперт Т.Г.</t>
  </si>
  <si>
    <t>Костятников Д.Ю.</t>
  </si>
  <si>
    <t>Поливода Т.И.</t>
  </si>
  <si>
    <t>ООО "Гранд-Сервис"</t>
  </si>
  <si>
    <t>Прутовых А.Г.</t>
  </si>
  <si>
    <t xml:space="preserve">Ли В. </t>
  </si>
  <si>
    <t>Самохин В.С.</t>
  </si>
  <si>
    <t>Пуртиев М.М.о.</t>
  </si>
  <si>
    <t>Стальский Д.И.</t>
  </si>
  <si>
    <t>Проклова О.А.</t>
  </si>
  <si>
    <t>Рачицкая В.А.</t>
  </si>
  <si>
    <t>Остапенко В.Н.</t>
  </si>
  <si>
    <t>Клименчук А.В.</t>
  </si>
  <si>
    <t>Макеев С.С.</t>
  </si>
  <si>
    <t>Герман Л.А.</t>
  </si>
  <si>
    <t>Фатиев Э.П.</t>
  </si>
  <si>
    <t>Бузак В.Н.</t>
  </si>
  <si>
    <t>Борисов А.В.</t>
  </si>
  <si>
    <t>Ломоносов Д.А.</t>
  </si>
  <si>
    <t>Кононко А.С.</t>
  </si>
  <si>
    <t>Михайлова Г.А.</t>
  </si>
  <si>
    <t>Скворцова И.А.</t>
  </si>
  <si>
    <t>Белкина-Михайлова Е.Г.</t>
  </si>
  <si>
    <t>Ковалев Д.Н.</t>
  </si>
  <si>
    <t>ИП Рзаев В.Т.о.</t>
  </si>
  <si>
    <t>Лопатин Д.В.</t>
  </si>
  <si>
    <t>Крикун В.В.</t>
  </si>
  <si>
    <t>Кузнецов Е.В.</t>
  </si>
  <si>
    <t>Прохоренко О.В.</t>
  </si>
  <si>
    <t>Сурмач И.А.</t>
  </si>
  <si>
    <t>Ткаченко Ю.А.</t>
  </si>
  <si>
    <t>Сенько Е.В.</t>
  </si>
  <si>
    <t>Штибель Д.В.</t>
  </si>
  <si>
    <t>Логинова Е.А.</t>
  </si>
  <si>
    <t>Ананина Н.Ю.</t>
  </si>
  <si>
    <t>Терехина М.С.</t>
  </si>
  <si>
    <t>Лобко К.Н.</t>
  </si>
  <si>
    <t>Меркулова А.Д.</t>
  </si>
  <si>
    <t>Лихтенвальд Ю.В.</t>
  </si>
  <si>
    <t>Бочаров С.А.</t>
  </si>
  <si>
    <t>Исмаилова О.Н.</t>
  </si>
  <si>
    <t>Листровой В.И.</t>
  </si>
  <si>
    <t>ИП Гуцал Я.А.</t>
  </si>
  <si>
    <t>Валенюк М.А.</t>
  </si>
  <si>
    <t>Плоткина Д.В.</t>
  </si>
  <si>
    <t>Золотухин С.В.</t>
  </si>
  <si>
    <t>Новоселова Е.А.</t>
  </si>
  <si>
    <t>Ковальчук А.А.</t>
  </si>
  <si>
    <t>Атаева П.В.</t>
  </si>
  <si>
    <t>Марченко А.В.</t>
  </si>
  <si>
    <t>Филиппов Д.Н.</t>
  </si>
  <si>
    <t>Сверчкова А.В.</t>
  </si>
  <si>
    <t>Борзых В.В.</t>
  </si>
  <si>
    <t>Руссу Д.М.</t>
  </si>
  <si>
    <t>Ковалева А.В.</t>
  </si>
  <si>
    <t>Сураев В.М.</t>
  </si>
  <si>
    <t>Фатькова Т.В.</t>
  </si>
  <si>
    <t>Ключников Д.П.</t>
  </si>
  <si>
    <t>Атамян В.Ю.</t>
  </si>
  <si>
    <t>Епифанова М.Н.</t>
  </si>
  <si>
    <t>Поплавский А.Е.</t>
  </si>
  <si>
    <t>Бурьянова В.А</t>
  </si>
  <si>
    <t>Толмачева В.А.</t>
  </si>
  <si>
    <t>Саидова С.Б.</t>
  </si>
  <si>
    <t>Соболева О.В.</t>
  </si>
  <si>
    <t>Пак Клим</t>
  </si>
  <si>
    <t>Алиева Ф.Б-К</t>
  </si>
  <si>
    <t>ИП Слинько В.Е.</t>
  </si>
  <si>
    <t>Бабина С.Г.</t>
  </si>
  <si>
    <t>Избенко С.В.</t>
  </si>
  <si>
    <t>ГСК "Тайга-6"</t>
  </si>
  <si>
    <t>Прокопенко Е.В.</t>
  </si>
  <si>
    <t>Стрельников А.А.</t>
  </si>
  <si>
    <t>Черных Е.В.</t>
  </si>
  <si>
    <t>Дуплик С.А.</t>
  </si>
  <si>
    <t>ГСК "Уссурийский"</t>
  </si>
  <si>
    <t>Мурадова Х.Г-К</t>
  </si>
  <si>
    <t>Цакунова А.Н.</t>
  </si>
  <si>
    <t>Близиров В.В.</t>
  </si>
  <si>
    <t>Пачколин С.А.</t>
  </si>
  <si>
    <t>Никулин Р.Л.</t>
  </si>
  <si>
    <t>ИП Багдасарян Г.Р.</t>
  </si>
  <si>
    <t>Ященко О.Л.</t>
  </si>
  <si>
    <t>Камнева М.С.</t>
  </si>
  <si>
    <t>Сиверина Е.М.</t>
  </si>
  <si>
    <t>Жихарева М.В.</t>
  </si>
  <si>
    <t>Козаченко В.Г.</t>
  </si>
  <si>
    <t>Садовникова Г.И.</t>
  </si>
  <si>
    <t>Бабчук С.С.</t>
  </si>
  <si>
    <t>Овсянкин В.И.</t>
  </si>
  <si>
    <t>Сущенко В.В.</t>
  </si>
  <si>
    <t>Перевалова Э.Е.</t>
  </si>
  <si>
    <t>Викторов Г.П.</t>
  </si>
  <si>
    <t>Беликова Л.В.</t>
  </si>
  <si>
    <t>Шестопалова О.В.</t>
  </si>
  <si>
    <t>Увакин В.А.</t>
  </si>
  <si>
    <t>Шайдуллин О.Р.</t>
  </si>
  <si>
    <t>Норкина О.С.</t>
  </si>
  <si>
    <t>Стеблин Д.Г.</t>
  </si>
  <si>
    <t>Закружный С.Ю.</t>
  </si>
  <si>
    <t>Гарибян В.Е.</t>
  </si>
  <si>
    <t>Форафонова Т.В.</t>
  </si>
  <si>
    <t>Северюгина Л.И.</t>
  </si>
  <si>
    <t>Таракановская Н.Е.</t>
  </si>
  <si>
    <t>Попова А.В.</t>
  </si>
  <si>
    <t>Вексер И.Е.</t>
  </si>
  <si>
    <t>Бедзюк А.М.</t>
  </si>
  <si>
    <t>Ковтун Д.В.</t>
  </si>
  <si>
    <t>Гусейнова У.А.к.</t>
  </si>
  <si>
    <t>ИП Игнатьев И.Н.</t>
  </si>
  <si>
    <t>Степанов А.В.</t>
  </si>
  <si>
    <t>ООО "Планета-Авто"</t>
  </si>
  <si>
    <t xml:space="preserve">Уссурийское РАЙПО </t>
  </si>
  <si>
    <t>ИП Цырульников А.В.</t>
  </si>
  <si>
    <t>ИП Митус В.А.</t>
  </si>
  <si>
    <t>ООО "Тихая обитель"</t>
  </si>
  <si>
    <t>ИП Бебик В.М.</t>
  </si>
  <si>
    <t>ООО "Корпорация Юг"</t>
  </si>
  <si>
    <t>ПАО "Ростелеком" МРФ "Дальний восток</t>
  </si>
  <si>
    <t>ООО "Радострой"</t>
  </si>
  <si>
    <t>ИП Шемякин Г.Ю.</t>
  </si>
  <si>
    <t>ООО "Фуджи"</t>
  </si>
  <si>
    <t>Володин С.В.</t>
  </si>
  <si>
    <t>Дубенский Д.И.</t>
  </si>
  <si>
    <t>ФКУ ДПО ДМУЦ ФСИН России</t>
  </si>
  <si>
    <t>ОАО"РЖД"</t>
  </si>
  <si>
    <t>ООО СПК"Ригель"</t>
  </si>
  <si>
    <t>ПАО "Вымпел-Коммуникации"</t>
  </si>
  <si>
    <t>Дегтярева И.А.</t>
  </si>
  <si>
    <t>Сидорова В.Г.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</si>
  <si>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</si>
  <si>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</si>
  <si>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</si>
  <si>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</si>
  <si>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</si>
  <si>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</si>
  <si>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</si>
  <si>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</si>
  <si>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</si>
  <si>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</si>
  <si>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</si>
  <si>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</si>
  <si>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</si>
  <si>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</si>
  <si>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</si>
  <si>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</si>
  <si>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</si>
  <si>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</si>
  <si>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</si>
  <si>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</si>
  <si>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</si>
  <si>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</si>
  <si>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</si>
  <si>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</si>
  <si>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</si>
  <si>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</si>
  <si>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</si>
  <si>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</si>
  <si>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</si>
  <si>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</si>
  <si>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</si>
  <si>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</si>
  <si>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</si>
  <si>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</si>
  <si>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</si>
  <si>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</si>
  <si>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</si>
  <si>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</si>
  <si>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</si>
  <si>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</si>
  <si>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</si>
  <si>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</si>
  <si>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</si>
  <si>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</si>
  <si>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</si>
  <si>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</si>
  <si>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</si>
  <si>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</si>
  <si>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</si>
  <si>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</si>
  <si>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</si>
  <si>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</si>
  <si>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</si>
  <si>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</si>
  <si>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</si>
  <si>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</si>
  <si>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</si>
  <si>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</si>
  <si>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</si>
  <si>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</si>
  <si>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</si>
  <si>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</si>
  <si>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</si>
  <si>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</si>
  <si>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</si>
  <si>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</si>
  <si>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</si>
  <si>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</si>
  <si>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</si>
  <si>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</si>
  <si>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</si>
  <si>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</si>
  <si>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</si>
  <si>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</si>
  <si>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</si>
  <si>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</si>
  <si>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</si>
  <si>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</si>
  <si>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</si>
  <si>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</si>
  <si>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</si>
  <si>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</si>
  <si>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</si>
  <si>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</si>
  <si>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</si>
  <si>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</si>
  <si>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</si>
  <si>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</si>
  <si>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</si>
  <si>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</si>
  <si>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</si>
  <si>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</si>
  <si>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</si>
  <si>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405-21</t>
  </si>
  <si>
    <t>Панихин А.Г.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</si>
  <si>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</si>
  <si>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</si>
  <si>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</si>
  <si>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</si>
  <si>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</si>
  <si>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</si>
  <si>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</si>
  <si>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</si>
  <si>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</si>
  <si>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</si>
  <si>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</si>
  <si>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</si>
  <si>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</si>
  <si>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</si>
  <si>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</si>
  <si>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</si>
  <si>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</si>
  <si>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</si>
  <si>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</si>
  <si>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</si>
  <si>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</si>
  <si>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</si>
  <si>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</si>
  <si>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</si>
  <si>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</si>
  <si>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</si>
  <si>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</si>
  <si>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</si>
  <si>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</si>
  <si>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</si>
  <si>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</si>
  <si>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</si>
  <si>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</si>
  <si>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</si>
  <si>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</si>
  <si>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</si>
  <si>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</si>
  <si>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</si>
  <si>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</si>
  <si>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</si>
  <si>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</si>
  <si>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</si>
  <si>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</si>
  <si>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</si>
  <si>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</si>
  <si>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</si>
  <si>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</si>
  <si>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</si>
  <si>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</si>
  <si>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</si>
  <si>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</si>
  <si>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</si>
  <si>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</si>
  <si>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</si>
  <si>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</si>
  <si>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</si>
  <si>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</si>
  <si>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</si>
  <si>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</si>
  <si>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</si>
  <si>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</si>
  <si>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</si>
  <si>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</si>
  <si>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</si>
  <si>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</si>
  <si>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</si>
  <si>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</si>
  <si>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</si>
  <si>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</si>
  <si>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</si>
  <si>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</si>
  <si>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</si>
  <si>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</si>
  <si>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</si>
  <si>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</si>
  <si>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</si>
  <si>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</si>
  <si>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</si>
  <si>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</si>
  <si>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</si>
  <si>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</si>
  <si>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</si>
  <si>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</si>
  <si>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</si>
  <si>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</si>
  <si>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</si>
  <si>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</si>
  <si>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</si>
  <si>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</si>
  <si>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</si>
  <si>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</si>
  <si>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</si>
  <si>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</si>
  <si>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</si>
  <si>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</si>
  <si>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</si>
  <si>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</si>
  <si>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</si>
  <si>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</si>
  <si>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</si>
  <si>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</si>
  <si>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</si>
  <si>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</si>
  <si>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</si>
  <si>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</si>
  <si>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</si>
  <si>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</si>
  <si>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</si>
  <si>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</si>
  <si>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</si>
  <si>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</si>
  <si>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</si>
  <si>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</si>
  <si>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</si>
  <si>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</si>
  <si>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</si>
  <si>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</si>
  <si>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</si>
  <si>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</si>
  <si>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</si>
  <si>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</si>
  <si>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</si>
  <si>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</si>
  <si>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</si>
  <si>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</si>
  <si>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</si>
  <si>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</si>
  <si>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</si>
  <si>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</si>
  <si>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</si>
  <si>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</si>
  <si>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</si>
  <si>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</si>
  <si>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</si>
  <si>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</si>
  <si>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</si>
  <si>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</si>
  <si>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</si>
  <si>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</si>
  <si>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</si>
  <si>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</si>
  <si>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</si>
  <si>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</si>
  <si>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</si>
  <si>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</si>
  <si>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</si>
  <si>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</si>
  <si>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</si>
  <si>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</si>
  <si>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</si>
  <si>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</si>
  <si>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</si>
  <si>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</si>
  <si>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</si>
  <si>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</si>
  <si>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</si>
  <si>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</si>
  <si>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</si>
  <si>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</si>
  <si>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</si>
  <si>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</si>
  <si>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</si>
  <si>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</si>
  <si>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</si>
  <si>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</si>
  <si>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</si>
  <si>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</si>
  <si>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</si>
  <si>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</si>
  <si>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</si>
  <si>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</si>
  <si>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</si>
  <si>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</si>
  <si>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</si>
  <si>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</si>
  <si>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</si>
  <si>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</si>
  <si>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</si>
  <si>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</si>
  <si>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</si>
  <si>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</si>
  <si>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</si>
  <si>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</si>
  <si>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</si>
  <si>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</si>
  <si>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</si>
  <si>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</si>
  <si>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</si>
  <si>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</si>
  <si>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</si>
  <si>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</si>
  <si>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</si>
  <si>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</si>
  <si>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</si>
  <si>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</si>
  <si>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</si>
  <si>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</si>
  <si>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</si>
  <si>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</si>
  <si>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</si>
  <si>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</si>
  <si>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</si>
  <si>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</si>
  <si>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</si>
  <si>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</si>
  <si>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</si>
  <si>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</si>
  <si>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</si>
  <si>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</si>
  <si>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</si>
  <si>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</si>
  <si>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</si>
  <si>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</si>
  <si>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</si>
  <si>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</si>
  <si>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</si>
  <si>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</si>
  <si>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</si>
  <si>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</si>
  <si>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</si>
  <si>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</si>
  <si>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</si>
  <si>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</si>
  <si>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</si>
  <si>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</si>
  <si>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</si>
  <si>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</si>
  <si>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</si>
  <si>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</si>
  <si>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</si>
  <si>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</si>
  <si>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</si>
  <si>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</si>
  <si>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</si>
  <si>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</si>
  <si>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</si>
  <si>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</si>
  <si>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</si>
  <si>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</si>
  <si>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</si>
  <si>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</si>
  <si>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</si>
  <si>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</si>
  <si>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</si>
  <si>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</si>
  <si>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</si>
  <si>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</si>
  <si>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</si>
  <si>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</si>
  <si>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</si>
  <si>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</si>
  <si>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</si>
  <si>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</si>
  <si>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</si>
  <si>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</si>
  <si>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</si>
  <si>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</si>
  <si>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</si>
  <si>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</si>
  <si>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</si>
  <si>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</si>
  <si>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</si>
  <si>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</si>
  <si>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</si>
  <si>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</si>
  <si>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</si>
  <si>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</si>
  <si>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</si>
  <si>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</si>
  <si>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</si>
  <si>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</si>
  <si>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</si>
  <si>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</si>
  <si>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</si>
  <si>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</si>
  <si>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</si>
  <si>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</si>
  <si>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</si>
  <si>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</si>
  <si>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</si>
  <si>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</si>
  <si>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</si>
  <si>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</si>
  <si>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</si>
  <si>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</si>
  <si>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</si>
  <si>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</si>
  <si>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</si>
  <si>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</si>
  <si>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</si>
  <si>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</si>
  <si>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</si>
  <si>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</si>
  <si>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</si>
  <si>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</si>
  <si>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</si>
  <si>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</si>
  <si>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</si>
  <si>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</si>
  <si>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</si>
  <si>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</si>
  <si>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</si>
  <si>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</si>
  <si>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271-21</t>
  </si>
  <si>
    <t>496</t>
  </si>
  <si>
    <t>1162-21</t>
  </si>
  <si>
    <t>АО "Оборонэнерго"</t>
  </si>
  <si>
    <t>329/ЗПТ/ПРМ-2018</t>
  </si>
  <si>
    <t>Местная религиозная организация православный приход храма в честь "Казанской иконы "Божией Матери"</t>
  </si>
  <si>
    <t>404-20 (1)</t>
  </si>
  <si>
    <t>404-20 (2)</t>
  </si>
  <si>
    <t>сметная прибыль, тыс.руб.</t>
  </si>
  <si>
    <r>
      <t xml:space="preserve">Пропускная </t>
    </r>
    <r>
      <rPr>
        <sz val="9"/>
        <color theme="1"/>
        <rFont val="Calibri"/>
        <family val="2"/>
        <charset val="204"/>
        <scheme val="minor"/>
      </rPr>
      <t>способность</t>
    </r>
    <r>
      <rPr>
        <sz val="10"/>
        <color theme="1"/>
        <rFont val="Calibri"/>
        <family val="2"/>
        <charset val="204"/>
        <scheme val="minor"/>
      </rPr>
      <t>, кВт/Максимал. мощность, кВт/Кол-во средств комм.учета</t>
    </r>
  </si>
  <si>
    <t>стоимость 1 км кабеля (для разд. 1-2)/ трансформатора (для разд. 3-6), средство коммер. учета эл.энергии, тыс.руб./км (шт)</t>
  </si>
  <si>
    <t>руб./км</t>
  </si>
  <si>
    <t>Заявленная мощность потребителя</t>
  </si>
  <si>
    <t>кабель-провод (для разд. 1-2)/трансформатор (для разд. 3-6), средство комм. учета эл.энергии, тыс.руб.</t>
  </si>
  <si>
    <t>стоимость 1 км кабеля (для разд. 1-2)/ трансфор.-ра (для разд. 3-6), средство комм. учета, тыс.руб./км (шт)</t>
  </si>
  <si>
    <r>
      <t>Пропускная способ., кВт/Макс. мощн., кВт/</t>
    </r>
    <r>
      <rPr>
        <sz val="9.5"/>
        <color theme="1"/>
        <rFont val="Calibri"/>
        <family val="2"/>
        <charset val="204"/>
        <scheme val="minor"/>
      </rPr>
      <t>Кол-во средств комм.учета</t>
    </r>
  </si>
  <si>
    <t>846-21</t>
  </si>
  <si>
    <t>Безверхая О.В.</t>
  </si>
  <si>
    <t>1335-21</t>
  </si>
  <si>
    <t>ИП Орлов А.Ю.</t>
  </si>
  <si>
    <t>144-22</t>
  </si>
  <si>
    <t>МКУ "СЕЗЗ" УГО</t>
  </si>
  <si>
    <t>301-22</t>
  </si>
  <si>
    <t>Коноплев Р.Ю.</t>
  </si>
  <si>
    <t>307-21</t>
  </si>
  <si>
    <t>Шпанкина Л.В.</t>
  </si>
  <si>
    <t>1064-21</t>
  </si>
  <si>
    <t>1094-21</t>
  </si>
  <si>
    <t>1066-21</t>
  </si>
  <si>
    <t>1073-21</t>
  </si>
  <si>
    <t>1072-21</t>
  </si>
  <si>
    <t>1071-21</t>
  </si>
  <si>
    <t>1074-21</t>
  </si>
  <si>
    <t>220-22</t>
  </si>
  <si>
    <t>Закревский Е.С.</t>
  </si>
  <si>
    <t>787-21</t>
  </si>
  <si>
    <t>Григорян К.А.</t>
  </si>
  <si>
    <t>73-22</t>
  </si>
  <si>
    <t>Алыпов А.А.</t>
  </si>
  <si>
    <t>1144-21</t>
  </si>
  <si>
    <t>Стеценко С.В.</t>
  </si>
  <si>
    <t>780-21</t>
  </si>
  <si>
    <t>Рябухина Н.И.</t>
  </si>
  <si>
    <t>981-21</t>
  </si>
  <si>
    <t>Юдаев А.М.</t>
  </si>
  <si>
    <t>654-21</t>
  </si>
  <si>
    <t>Рябых М.Д.</t>
  </si>
  <si>
    <t>826-21</t>
  </si>
  <si>
    <t>Ионов Ф.Н.</t>
  </si>
  <si>
    <t>674-21</t>
  </si>
  <si>
    <t>Донской А.С.</t>
  </si>
  <si>
    <t>358-21</t>
  </si>
  <si>
    <t>Никифорова О.С.</t>
  </si>
  <si>
    <t>541-21</t>
  </si>
  <si>
    <t>Резниченко Е.А.</t>
  </si>
  <si>
    <t>161-21</t>
  </si>
  <si>
    <t>Иванкина Т.И.</t>
  </si>
  <si>
    <t>507-22</t>
  </si>
  <si>
    <t>505-22</t>
  </si>
  <si>
    <t>508-22</t>
  </si>
  <si>
    <t>70-20</t>
  </si>
  <si>
    <t>ИП Папоян С.П.</t>
  </si>
  <si>
    <t>580-19</t>
  </si>
  <si>
    <t>Комогорцева Н.Я.</t>
  </si>
  <si>
    <t>93-22</t>
  </si>
  <si>
    <t>Скрыль В.С.</t>
  </si>
  <si>
    <t>1031-21</t>
  </si>
  <si>
    <t>Югай Н.Р.</t>
  </si>
  <si>
    <t>1088-21</t>
  </si>
  <si>
    <t>Броцкина Е.В.</t>
  </si>
  <si>
    <t>21-22</t>
  </si>
  <si>
    <t>Панасенко А.В.</t>
  </si>
  <si>
    <t>44-22</t>
  </si>
  <si>
    <t>Калиниченко  Н.А.</t>
  </si>
  <si>
    <t>53-22</t>
  </si>
  <si>
    <t>Баранов А.С.</t>
  </si>
  <si>
    <t>1366-21</t>
  </si>
  <si>
    <t>Пак Е.С.</t>
  </si>
  <si>
    <t>1345-21</t>
  </si>
  <si>
    <t>ИП Джибладзе Т.Л.</t>
  </si>
  <si>
    <t>1339-21</t>
  </si>
  <si>
    <t>Копылова А.Н.</t>
  </si>
  <si>
    <t>919-21</t>
  </si>
  <si>
    <t>Делис Е.И.</t>
  </si>
  <si>
    <t>574-22</t>
  </si>
  <si>
    <t>Лихидченко Т.В.</t>
  </si>
  <si>
    <t>466-21</t>
  </si>
  <si>
    <t>Васильева Л.И.</t>
  </si>
  <si>
    <t>1378-21</t>
  </si>
  <si>
    <t>Кузьмич Л.Д.</t>
  </si>
  <si>
    <t>134-22</t>
  </si>
  <si>
    <t>Михаревич В.В.</t>
  </si>
  <si>
    <t>39-22</t>
  </si>
  <si>
    <t>Яровикова Л.О.</t>
  </si>
  <si>
    <t>1019-21</t>
  </si>
  <si>
    <t>Фролов В.П.</t>
  </si>
  <si>
    <t>325-22</t>
  </si>
  <si>
    <t>Хухрий Ю.А.</t>
  </si>
  <si>
    <t>1212-21</t>
  </si>
  <si>
    <t>Грицун Е.П.</t>
  </si>
  <si>
    <t>165-22</t>
  </si>
  <si>
    <t>Погосов С.П.</t>
  </si>
  <si>
    <t>704-21</t>
  </si>
  <si>
    <t>ООО "ТурПримКам"</t>
  </si>
  <si>
    <t>1357-21</t>
  </si>
  <si>
    <t>Васильева С.К.</t>
  </si>
  <si>
    <t>1065-21</t>
  </si>
  <si>
    <t>164-22</t>
  </si>
  <si>
    <t>Герцен Н.В.</t>
  </si>
  <si>
    <t>1037-21</t>
  </si>
  <si>
    <t>Отабоева З.С.</t>
  </si>
  <si>
    <t>333-22</t>
  </si>
  <si>
    <t>Лазутина Д.П.</t>
  </si>
  <si>
    <t>1170-20</t>
  </si>
  <si>
    <t>Символокова И.С.</t>
  </si>
  <si>
    <t>1155-21</t>
  </si>
  <si>
    <t>Кочерин А.Н.</t>
  </si>
  <si>
    <t>72-22</t>
  </si>
  <si>
    <t>Богданов П.С.</t>
  </si>
  <si>
    <t>645-21</t>
  </si>
  <si>
    <t>МБОУ "СОШ №13"</t>
  </si>
  <si>
    <t>737-21</t>
  </si>
  <si>
    <t>Лобкова С.Н.</t>
  </si>
  <si>
    <t>1215-21</t>
  </si>
  <si>
    <t>Побегайло Д.А.</t>
  </si>
  <si>
    <t>24-22</t>
  </si>
  <si>
    <t>595-21</t>
  </si>
  <si>
    <t>Попов А.М.</t>
  </si>
  <si>
    <t>1324-21</t>
  </si>
  <si>
    <t>Кузина А.В.</t>
  </si>
  <si>
    <t>36-22</t>
  </si>
  <si>
    <t>Волохотюк Е.П.</t>
  </si>
  <si>
    <t>237-22</t>
  </si>
  <si>
    <t>Нукрадзе Е.В.</t>
  </si>
  <si>
    <t>372-21</t>
  </si>
  <si>
    <t>Здор Д.В.</t>
  </si>
  <si>
    <t>368-21</t>
  </si>
  <si>
    <t>Косьяненко С.И.</t>
  </si>
  <si>
    <t>529-21</t>
  </si>
  <si>
    <t>Лысенко А.В.</t>
  </si>
  <si>
    <t>Машины и механизмы, тыс.руб.</t>
  </si>
  <si>
    <t>1020-21</t>
  </si>
  <si>
    <t>Баранович С.М.</t>
  </si>
  <si>
    <t>853-21</t>
  </si>
  <si>
    <t>Юлдашева Л.Р.</t>
  </si>
  <si>
    <t>693-21</t>
  </si>
  <si>
    <t>Петрищенко И.В.</t>
  </si>
  <si>
    <t>371-21</t>
  </si>
  <si>
    <t>Ионова Н.А.</t>
  </si>
  <si>
    <t>900-21</t>
  </si>
  <si>
    <t>Логинов Т.А.</t>
  </si>
  <si>
    <t>1110-21</t>
  </si>
  <si>
    <t>Манякина Л.Н.</t>
  </si>
  <si>
    <t>1086-21</t>
  </si>
  <si>
    <t>Кукушкин А.Л.</t>
  </si>
  <si>
    <t>1022-21</t>
  </si>
  <si>
    <t>Шпуль А.В.</t>
  </si>
  <si>
    <t>1191-21</t>
  </si>
  <si>
    <t>Голеня Л.П.</t>
  </si>
  <si>
    <t>Шин В.К.</t>
  </si>
  <si>
    <t>659-22</t>
  </si>
  <si>
    <t>МАУ "МШ ТВС им Шевченко С.П." УГО</t>
  </si>
  <si>
    <t>87-22</t>
  </si>
  <si>
    <t>Позднякова Я.М.</t>
  </si>
  <si>
    <t>586-21</t>
  </si>
  <si>
    <t>Ткач О.В.</t>
  </si>
  <si>
    <t>876-21</t>
  </si>
  <si>
    <t>1012-21</t>
  </si>
  <si>
    <t>Затолокина Т.В.</t>
  </si>
  <si>
    <t>457-21</t>
  </si>
  <si>
    <t>Рыдкина Н.А.</t>
  </si>
  <si>
    <t>596-21</t>
  </si>
  <si>
    <t>Ващенко О.В.</t>
  </si>
  <si>
    <t>81-21</t>
  </si>
  <si>
    <t>Базылева Е.В.</t>
  </si>
  <si>
    <t>706-21</t>
  </si>
  <si>
    <t>Трохова О.В.</t>
  </si>
  <si>
    <t>622-21</t>
  </si>
  <si>
    <t>Михайличенко Е.А.</t>
  </si>
  <si>
    <t>739-21</t>
  </si>
  <si>
    <t>Кецкало С.С.</t>
  </si>
  <si>
    <t>772-21</t>
  </si>
  <si>
    <t>ООО "Восток-Автотранс"</t>
  </si>
  <si>
    <t>757-21</t>
  </si>
  <si>
    <t>ИП Речкалов Д.В.</t>
  </si>
  <si>
    <t>769-21</t>
  </si>
  <si>
    <t>ООО "Магазин №6"</t>
  </si>
  <si>
    <t>578-22</t>
  </si>
  <si>
    <t>ИП Плотникова О.В.</t>
  </si>
  <si>
    <t>539-22</t>
  </si>
  <si>
    <t>ИП Пенцев Д.С.</t>
  </si>
  <si>
    <t>479-20</t>
  </si>
  <si>
    <t xml:space="preserve">Кабель ААБл 6 3*70        </t>
  </si>
  <si>
    <t>1168-21</t>
  </si>
  <si>
    <t>ООО "ШУО ДА"</t>
  </si>
  <si>
    <t>ООО "СЗ "А-1"</t>
  </si>
  <si>
    <t>97-21 (1)</t>
  </si>
  <si>
    <t>97-21</t>
  </si>
  <si>
    <t>97-21 (2)</t>
  </si>
  <si>
    <t>147-22</t>
  </si>
  <si>
    <t>ООО "Вектор"</t>
  </si>
  <si>
    <t>46-21</t>
  </si>
  <si>
    <t>ИП Давидчук А.А.</t>
  </si>
  <si>
    <t>951-21</t>
  </si>
  <si>
    <t>ООО "Атмосфера строй"</t>
  </si>
  <si>
    <t>364-22</t>
  </si>
  <si>
    <t>565-21</t>
  </si>
  <si>
    <t>Метальников М.А.</t>
  </si>
  <si>
    <t>929-22</t>
  </si>
  <si>
    <t>1375-21</t>
  </si>
  <si>
    <t>ООО "Техник"</t>
  </si>
  <si>
    <t>175-22</t>
  </si>
  <si>
    <t>Капустин Я.С.</t>
  </si>
  <si>
    <t>173-22</t>
  </si>
  <si>
    <t>Сон А.Н.</t>
  </si>
  <si>
    <t>92-22</t>
  </si>
  <si>
    <t>Шевченко Е.В.</t>
  </si>
  <si>
    <t>489-22</t>
  </si>
  <si>
    <t>Красуля П.В.</t>
  </si>
  <si>
    <t>381-22</t>
  </si>
  <si>
    <t>Вачалина Т.А.</t>
  </si>
  <si>
    <t>476-22</t>
  </si>
  <si>
    <t>Роговенко О.В.</t>
  </si>
  <si>
    <t>505-21</t>
  </si>
  <si>
    <t>Посыпайко Е.В.</t>
  </si>
  <si>
    <t>1283-22</t>
  </si>
  <si>
    <t>Анисимов А.А.</t>
  </si>
  <si>
    <t>893-22</t>
  </si>
  <si>
    <t>Олешкевич Г.Б.</t>
  </si>
  <si>
    <t>884-21</t>
  </si>
  <si>
    <t>Брыкина О.В.</t>
  </si>
  <si>
    <t>872-22</t>
  </si>
  <si>
    <t>Недоросткова Н.М.</t>
  </si>
  <si>
    <t>79-21</t>
  </si>
  <si>
    <t>Ивахнюк М.В.</t>
  </si>
  <si>
    <t>589-22</t>
  </si>
  <si>
    <t>Попов А.В.</t>
  </si>
  <si>
    <t>379-22</t>
  </si>
  <si>
    <t>Бирдиназарова Е.В.</t>
  </si>
  <si>
    <t>376-22</t>
  </si>
  <si>
    <t>Гаманов А.П.</t>
  </si>
  <si>
    <t>681-22</t>
  </si>
  <si>
    <t>Яременко Д.А.</t>
  </si>
  <si>
    <t>837-22</t>
  </si>
  <si>
    <t>Андреев А.В.</t>
  </si>
  <si>
    <t>195-22</t>
  </si>
  <si>
    <t>Карпенко И.А.</t>
  </si>
  <si>
    <t>714-22</t>
  </si>
  <si>
    <t>Оганесян М.Е.</t>
  </si>
  <si>
    <t>783-22</t>
  </si>
  <si>
    <t>Сушков А.Г.</t>
  </si>
  <si>
    <t>440-22</t>
  </si>
  <si>
    <t>Григорьева В.М.</t>
  </si>
  <si>
    <t>649-22</t>
  </si>
  <si>
    <t>Черненко В.А.</t>
  </si>
  <si>
    <t>1494-22</t>
  </si>
  <si>
    <t>Федотова А.А.</t>
  </si>
  <si>
    <t>365-22</t>
  </si>
  <si>
    <t>ИП Бобровский Д.С.</t>
  </si>
  <si>
    <t>251-17</t>
  </si>
  <si>
    <t>Завертан А.А.</t>
  </si>
  <si>
    <t>196-22</t>
  </si>
  <si>
    <t>Запорожец Н.И.</t>
  </si>
  <si>
    <t>1090-22</t>
  </si>
  <si>
    <t>1017-21</t>
  </si>
  <si>
    <t>Ивашинников А.В.</t>
  </si>
  <si>
    <t>479-22</t>
  </si>
  <si>
    <t>Бэлэнеску С.П.</t>
  </si>
  <si>
    <t>1036-22</t>
  </si>
  <si>
    <t>Жусупов А.Т.</t>
  </si>
  <si>
    <t>891-21</t>
  </si>
  <si>
    <t>Паршиков Р.А.</t>
  </si>
  <si>
    <t>859-21</t>
  </si>
  <si>
    <t>Фадеева К.С.</t>
  </si>
  <si>
    <t>732-22</t>
  </si>
  <si>
    <t>Кущ И.И.</t>
  </si>
  <si>
    <t>1175-22</t>
  </si>
  <si>
    <t>Харламов А.В.</t>
  </si>
  <si>
    <t>89-22</t>
  </si>
  <si>
    <t>Саблукова А.Н.</t>
  </si>
  <si>
    <t>622-20</t>
  </si>
  <si>
    <t>Лутфуллоева С.Н.</t>
  </si>
  <si>
    <t>1360-22</t>
  </si>
  <si>
    <t>666-22</t>
  </si>
  <si>
    <t>Тарасова Т.Р.</t>
  </si>
  <si>
    <t>326-22</t>
  </si>
  <si>
    <t>Нарушевич В.М.</t>
  </si>
  <si>
    <t>469-21</t>
  </si>
  <si>
    <t>Алисеевич Р.М.</t>
  </si>
  <si>
    <t>374-22</t>
  </si>
  <si>
    <t>Кирсанов Е.А.</t>
  </si>
  <si>
    <t>274-22</t>
  </si>
  <si>
    <t>Втюрин Е.О.</t>
  </si>
  <si>
    <t>1453-22</t>
  </si>
  <si>
    <t>Чекмез А.А.</t>
  </si>
  <si>
    <t>1132-22</t>
  </si>
  <si>
    <t>Ивлева С.В.</t>
  </si>
  <si>
    <t>1514-22</t>
  </si>
  <si>
    <t>Ярунина А.С.</t>
  </si>
  <si>
    <t>566-22</t>
  </si>
  <si>
    <t>Бондаренко Л.С.</t>
  </si>
  <si>
    <t>263-22</t>
  </si>
  <si>
    <t>Боярко О.В.</t>
  </si>
  <si>
    <t>413-21</t>
  </si>
  <si>
    <t>Рыжов А.Е.</t>
  </si>
  <si>
    <t>1326-21</t>
  </si>
  <si>
    <t>Стаценко Е.В.</t>
  </si>
  <si>
    <t>1273-21</t>
  </si>
  <si>
    <t>Тюришева Р.Н.</t>
  </si>
  <si>
    <t>460-22</t>
  </si>
  <si>
    <t>Крайтор В.В.</t>
  </si>
  <si>
    <t>580-22</t>
  </si>
  <si>
    <t>Филиппенко Н.Я.</t>
  </si>
  <si>
    <t>471-21</t>
  </si>
  <si>
    <t>Лошманов А.И.</t>
  </si>
  <si>
    <t>1181-21</t>
  </si>
  <si>
    <t>ИП Хачатрян А.Р.</t>
  </si>
  <si>
    <t>885-22</t>
  </si>
  <si>
    <t>ООО "ТЭКС"</t>
  </si>
  <si>
    <t>169-22</t>
  </si>
  <si>
    <t>Науменко Д.В.</t>
  </si>
  <si>
    <t>593-21</t>
  </si>
  <si>
    <t>594-21</t>
  </si>
  <si>
    <t>1165-20</t>
  </si>
  <si>
    <t xml:space="preserve">ООО "Строительно-инвестиционная компания "Атлант" </t>
  </si>
  <si>
    <t>273-22</t>
  </si>
  <si>
    <t>ИП Макеев М.С.</t>
  </si>
  <si>
    <t>567-22</t>
  </si>
  <si>
    <t>Калашников А.В.</t>
  </si>
  <si>
    <t>589-21</t>
  </si>
  <si>
    <t>Достовалов М.В.</t>
  </si>
  <si>
    <t>1322-22</t>
  </si>
  <si>
    <t>Радченко О.Ф.</t>
  </si>
  <si>
    <t>1235-21</t>
  </si>
  <si>
    <t>528-21 (1)</t>
  </si>
  <si>
    <t>528-21 (2)</t>
  </si>
  <si>
    <t>104-21</t>
  </si>
  <si>
    <t>385-21 (1)</t>
  </si>
  <si>
    <t>ООО "СМК25"</t>
  </si>
  <si>
    <t>385-21 (2)</t>
  </si>
  <si>
    <t>1004-21 (2)</t>
  </si>
  <si>
    <t>1004-21 (1)</t>
  </si>
  <si>
    <t>451-21</t>
  </si>
  <si>
    <t>ООО "Примстройдом"</t>
  </si>
  <si>
    <t>236-21</t>
  </si>
  <si>
    <t>ООО СЗ "ИнвестСтрой ДВ"</t>
  </si>
  <si>
    <t>77-21</t>
  </si>
  <si>
    <t>ООО "ПремиумСтройСервис"</t>
  </si>
  <si>
    <t>77-21 (1)</t>
  </si>
  <si>
    <t>77-21 (2)</t>
  </si>
  <si>
    <t>273-21</t>
  </si>
  <si>
    <t>АО "УПТС"</t>
  </si>
  <si>
    <t>385-21</t>
  </si>
  <si>
    <t>236-21 (1)</t>
  </si>
  <si>
    <t>236-21 (2)</t>
  </si>
  <si>
    <t>310-21</t>
  </si>
  <si>
    <t>31-22</t>
  </si>
  <si>
    <t>264-22</t>
  </si>
  <si>
    <t>ИП Сухопаров М.А.</t>
  </si>
  <si>
    <t>КТП 1*1000</t>
  </si>
  <si>
    <t>1098-21</t>
  </si>
  <si>
    <t>352-21</t>
  </si>
  <si>
    <t>575-21</t>
  </si>
  <si>
    <t>691-21</t>
  </si>
  <si>
    <t>700-21</t>
  </si>
  <si>
    <t>873-21</t>
  </si>
  <si>
    <t>885-21</t>
  </si>
  <si>
    <t>902-21</t>
  </si>
  <si>
    <t>1044-21</t>
  </si>
  <si>
    <t>1045-21</t>
  </si>
  <si>
    <t>1046-21</t>
  </si>
  <si>
    <t>1200-21</t>
  </si>
  <si>
    <t>1202-21</t>
  </si>
  <si>
    <t>1203-21</t>
  </si>
  <si>
    <t>1204-21</t>
  </si>
  <si>
    <t>1205-21</t>
  </si>
  <si>
    <t>1206-21</t>
  </si>
  <si>
    <t>1207-21</t>
  </si>
  <si>
    <t>1208-21</t>
  </si>
  <si>
    <t>1209-21</t>
  </si>
  <si>
    <t>1210-21</t>
  </si>
  <si>
    <t>1225-21</t>
  </si>
  <si>
    <t>1286-21</t>
  </si>
  <si>
    <t>1287-21</t>
  </si>
  <si>
    <t>1288-21</t>
  </si>
  <si>
    <t>1289-21</t>
  </si>
  <si>
    <t>340-21</t>
  </si>
  <si>
    <t>426-21</t>
  </si>
  <si>
    <t>461-20</t>
  </si>
  <si>
    <t>562-21</t>
  </si>
  <si>
    <t>643-21</t>
  </si>
  <si>
    <t>681-21</t>
  </si>
  <si>
    <t>698-21</t>
  </si>
  <si>
    <t>705-21</t>
  </si>
  <si>
    <t>719-21</t>
  </si>
  <si>
    <t>764-21</t>
  </si>
  <si>
    <t>782-21</t>
  </si>
  <si>
    <t>949-21</t>
  </si>
  <si>
    <t>958-21</t>
  </si>
  <si>
    <t>967-21</t>
  </si>
  <si>
    <t>976-21</t>
  </si>
  <si>
    <t>1027-21</t>
  </si>
  <si>
    <t>1068-21</t>
  </si>
  <si>
    <t>1069-21</t>
  </si>
  <si>
    <t>1081-21</t>
  </si>
  <si>
    <t>1082-21</t>
  </si>
  <si>
    <t>1095-21</t>
  </si>
  <si>
    <t>1201-21</t>
  </si>
  <si>
    <t>1236-21</t>
  </si>
  <si>
    <t>3-22</t>
  </si>
  <si>
    <t>8-22</t>
  </si>
  <si>
    <t>11-22</t>
  </si>
  <si>
    <t>12-22</t>
  </si>
  <si>
    <t>13-22</t>
  </si>
  <si>
    <t>16-22</t>
  </si>
  <si>
    <t>17-22</t>
  </si>
  <si>
    <t>54-22</t>
  </si>
  <si>
    <t>70-22</t>
  </si>
  <si>
    <t>125-22</t>
  </si>
  <si>
    <t>179-22</t>
  </si>
  <si>
    <t>294-21</t>
  </si>
  <si>
    <t>370-21</t>
  </si>
  <si>
    <t>408-21</t>
  </si>
  <si>
    <t>434-21</t>
  </si>
  <si>
    <t>444-21</t>
  </si>
  <si>
    <t>456-21</t>
  </si>
  <si>
    <t>463-21</t>
  </si>
  <si>
    <t>472-21</t>
  </si>
  <si>
    <t>512-21</t>
  </si>
  <si>
    <t>524-21</t>
  </si>
  <si>
    <t>531-21</t>
  </si>
  <si>
    <t>538-21</t>
  </si>
  <si>
    <t>559-21</t>
  </si>
  <si>
    <t>573-21</t>
  </si>
  <si>
    <t>585-21</t>
  </si>
  <si>
    <t>587-21</t>
  </si>
  <si>
    <t>588-21</t>
  </si>
  <si>
    <t>600-21</t>
  </si>
  <si>
    <t>629-21</t>
  </si>
  <si>
    <t>630-21</t>
  </si>
  <si>
    <t>632-21</t>
  </si>
  <si>
    <t>634-21</t>
  </si>
  <si>
    <t>636-21</t>
  </si>
  <si>
    <t>673-21</t>
  </si>
  <si>
    <t>682-21</t>
  </si>
  <si>
    <t>684-21</t>
  </si>
  <si>
    <t>689-21</t>
  </si>
  <si>
    <t>694-21</t>
  </si>
  <si>
    <t>835-19</t>
  </si>
  <si>
    <t>857-21</t>
  </si>
  <si>
    <t>866-21</t>
  </si>
  <si>
    <t>1028-21</t>
  </si>
  <si>
    <t>1038-21</t>
  </si>
  <si>
    <t>1147-21</t>
  </si>
  <si>
    <t>1234-21</t>
  </si>
  <si>
    <t>1245-21</t>
  </si>
  <si>
    <t>1279-21</t>
  </si>
  <si>
    <t>1292-21</t>
  </si>
  <si>
    <t>1321-21</t>
  </si>
  <si>
    <t>1330-21</t>
  </si>
  <si>
    <t>1356-21</t>
  </si>
  <si>
    <t>1359-21</t>
  </si>
  <si>
    <t>1363-21</t>
  </si>
  <si>
    <t>1370-21</t>
  </si>
  <si>
    <t>1371-21</t>
  </si>
  <si>
    <t>1372-21</t>
  </si>
  <si>
    <t>71-22</t>
  </si>
  <si>
    <t>80-22</t>
  </si>
  <si>
    <t>138-21</t>
  </si>
  <si>
    <t>250-22</t>
  </si>
  <si>
    <t>252-21</t>
  </si>
  <si>
    <t>285-22</t>
  </si>
  <si>
    <t>369-21</t>
  </si>
  <si>
    <t>390-22</t>
  </si>
  <si>
    <t>433-21</t>
  </si>
  <si>
    <t>436-21</t>
  </si>
  <si>
    <t>445-21</t>
  </si>
  <si>
    <t>482-21</t>
  </si>
  <si>
    <t>495-21</t>
  </si>
  <si>
    <t>533-21</t>
  </si>
  <si>
    <t>545-21</t>
  </si>
  <si>
    <t>631-21</t>
  </si>
  <si>
    <t>696-21</t>
  </si>
  <si>
    <t>823-21</t>
  </si>
  <si>
    <t>1123-21</t>
  </si>
  <si>
    <t>1134-21</t>
  </si>
  <si>
    <t>1221-21</t>
  </si>
  <si>
    <t>1290-21</t>
  </si>
  <si>
    <t>1294-21</t>
  </si>
  <si>
    <t>1304-21</t>
  </si>
  <si>
    <t>1319-21</t>
  </si>
  <si>
    <t>1332-21</t>
  </si>
  <si>
    <t>1343-21</t>
  </si>
  <si>
    <t>1379-21</t>
  </si>
  <si>
    <t>118-22</t>
  </si>
  <si>
    <t>157-22</t>
  </si>
  <si>
    <t>194-22</t>
  </si>
  <si>
    <t>228-22</t>
  </si>
  <si>
    <t>229-22</t>
  </si>
  <si>
    <t>445-22</t>
  </si>
  <si>
    <t>691-22</t>
  </si>
  <si>
    <t>820-21</t>
  </si>
  <si>
    <t>833-18</t>
  </si>
  <si>
    <t>855-21</t>
  </si>
  <si>
    <t>1257-21</t>
  </si>
  <si>
    <t>64-22</t>
  </si>
  <si>
    <t>69-22</t>
  </si>
  <si>
    <t>110-22</t>
  </si>
  <si>
    <t>268-22</t>
  </si>
  <si>
    <t>338-22</t>
  </si>
  <si>
    <t>534-22</t>
  </si>
  <si>
    <t>596-22</t>
  </si>
  <si>
    <t>650-22</t>
  </si>
  <si>
    <t>718-22</t>
  </si>
  <si>
    <t>948-21</t>
  </si>
  <si>
    <t>1087-21</t>
  </si>
  <si>
    <t>1211-21</t>
  </si>
  <si>
    <t>1238-21</t>
  </si>
  <si>
    <t>1367-21</t>
  </si>
  <si>
    <t>189-22</t>
  </si>
  <si>
    <t>271-22</t>
  </si>
  <si>
    <t>284-22</t>
  </si>
  <si>
    <t>323-22</t>
  </si>
  <si>
    <t>429-22</t>
  </si>
  <si>
    <t>582-21</t>
  </si>
  <si>
    <t>592-22</t>
  </si>
  <si>
    <t>744-22</t>
  </si>
  <si>
    <t>130-22</t>
  </si>
  <si>
    <t>132-22</t>
  </si>
  <si>
    <t>133-22</t>
  </si>
  <si>
    <t>135-22</t>
  </si>
  <si>
    <t>136-22</t>
  </si>
  <si>
    <t>137-22</t>
  </si>
  <si>
    <t>138-22</t>
  </si>
  <si>
    <t>139-22</t>
  </si>
  <si>
    <t>140-22</t>
  </si>
  <si>
    <t>141-22</t>
  </si>
  <si>
    <t>142-22</t>
  </si>
  <si>
    <t>156-22</t>
  </si>
  <si>
    <t>172-22</t>
  </si>
  <si>
    <t>192-22</t>
  </si>
  <si>
    <t>230-22</t>
  </si>
  <si>
    <t>232-22</t>
  </si>
  <si>
    <t>238-22</t>
  </si>
  <si>
    <t>253-22</t>
  </si>
  <si>
    <t>317-22</t>
  </si>
  <si>
    <t>318-22</t>
  </si>
  <si>
    <t>341-22</t>
  </si>
  <si>
    <t>351-22</t>
  </si>
  <si>
    <t>359-22</t>
  </si>
  <si>
    <t>363-22</t>
  </si>
  <si>
    <t>399-22</t>
  </si>
  <si>
    <t>413-22</t>
  </si>
  <si>
    <t>422-22</t>
  </si>
  <si>
    <t>425-22</t>
  </si>
  <si>
    <t>438-22</t>
  </si>
  <si>
    <t>450-22</t>
  </si>
  <si>
    <t>854-21</t>
  </si>
  <si>
    <t>913-22</t>
  </si>
  <si>
    <t>1034-21</t>
  </si>
  <si>
    <t>1041-22</t>
  </si>
  <si>
    <t>167-22</t>
  </si>
  <si>
    <t>193-22</t>
  </si>
  <si>
    <t>200-22</t>
  </si>
  <si>
    <t>266-22</t>
  </si>
  <si>
    <t>319-22</t>
  </si>
  <si>
    <t>368-22</t>
  </si>
  <si>
    <t>373-22</t>
  </si>
  <si>
    <t>391-22</t>
  </si>
  <si>
    <t>398-22</t>
  </si>
  <si>
    <t>441-22</t>
  </si>
  <si>
    <t>455-22</t>
  </si>
  <si>
    <t>458-22</t>
  </si>
  <si>
    <t>475-22</t>
  </si>
  <si>
    <t>485-21</t>
  </si>
  <si>
    <t>506-22</t>
  </si>
  <si>
    <t>523-21</t>
  </si>
  <si>
    <t>545-22</t>
  </si>
  <si>
    <t>546-21</t>
  </si>
  <si>
    <t>775-22</t>
  </si>
  <si>
    <t>804-19</t>
  </si>
  <si>
    <t>1181-22</t>
  </si>
  <si>
    <t>1241-22</t>
  </si>
  <si>
    <t>170-20</t>
  </si>
  <si>
    <t>291-22</t>
  </si>
  <si>
    <t>361-22</t>
  </si>
  <si>
    <t>372-22</t>
  </si>
  <si>
    <t>557-22</t>
  </si>
  <si>
    <t>561-21</t>
  </si>
  <si>
    <t>570-21</t>
  </si>
  <si>
    <t>584-22</t>
  </si>
  <si>
    <t>585-22</t>
  </si>
  <si>
    <t>586-22</t>
  </si>
  <si>
    <t>588-22</t>
  </si>
  <si>
    <t>594-22</t>
  </si>
  <si>
    <t>607-22</t>
  </si>
  <si>
    <t>642-22</t>
  </si>
  <si>
    <t>676-22</t>
  </si>
  <si>
    <t>678-22</t>
  </si>
  <si>
    <t>679-22</t>
  </si>
  <si>
    <t>710-22</t>
  </si>
  <si>
    <t>722-22</t>
  </si>
  <si>
    <t>813-22</t>
  </si>
  <si>
    <t>835-22</t>
  </si>
  <si>
    <t>879-21</t>
  </si>
  <si>
    <t>1023-21</t>
  </si>
  <si>
    <t>1076-22</t>
  </si>
  <si>
    <t>1331-21</t>
  </si>
  <si>
    <t>533-22</t>
  </si>
  <si>
    <t>550-22</t>
  </si>
  <si>
    <t>561-22</t>
  </si>
  <si>
    <t>562-22</t>
  </si>
  <si>
    <t>587-22</t>
  </si>
  <si>
    <t>606-22</t>
  </si>
  <si>
    <t>615-22</t>
  </si>
  <si>
    <t>620-22</t>
  </si>
  <si>
    <t>626-22</t>
  </si>
  <si>
    <t>648-22</t>
  </si>
  <si>
    <t>675-22</t>
  </si>
  <si>
    <t>677-22</t>
  </si>
  <si>
    <t>720-22</t>
  </si>
  <si>
    <t>724-22</t>
  </si>
  <si>
    <t>725-22</t>
  </si>
  <si>
    <t>726-22</t>
  </si>
  <si>
    <t>727-22</t>
  </si>
  <si>
    <t>728-22</t>
  </si>
  <si>
    <t>730-22</t>
  </si>
  <si>
    <t>733-22</t>
  </si>
  <si>
    <t>741-22</t>
  </si>
  <si>
    <t>742-22</t>
  </si>
  <si>
    <t>743-22</t>
  </si>
  <si>
    <t>745-22</t>
  </si>
  <si>
    <t>750-22</t>
  </si>
  <si>
    <t>753-22</t>
  </si>
  <si>
    <t>755-22</t>
  </si>
  <si>
    <t>756-19</t>
  </si>
  <si>
    <t>769-22</t>
  </si>
  <si>
    <t>790-19</t>
  </si>
  <si>
    <t>797-22</t>
  </si>
  <si>
    <t>799-22</t>
  </si>
  <si>
    <t>804-22</t>
  </si>
  <si>
    <t>805-22</t>
  </si>
  <si>
    <t>806-22</t>
  </si>
  <si>
    <t>808-22</t>
  </si>
  <si>
    <t>825-22</t>
  </si>
  <si>
    <t>826-22</t>
  </si>
  <si>
    <t>864-22</t>
  </si>
  <si>
    <t>865-22</t>
  </si>
  <si>
    <t>896-22</t>
  </si>
  <si>
    <t>944-22</t>
  </si>
  <si>
    <t>948-22</t>
  </si>
  <si>
    <t>955-22</t>
  </si>
  <si>
    <t>1183-22</t>
  </si>
  <si>
    <t>1282-22</t>
  </si>
  <si>
    <t>1378-22</t>
  </si>
  <si>
    <t>1491-22</t>
  </si>
  <si>
    <t>334-22</t>
  </si>
  <si>
    <t>340-22</t>
  </si>
  <si>
    <t>477-22</t>
  </si>
  <si>
    <t>478-22</t>
  </si>
  <si>
    <t>520-22</t>
  </si>
  <si>
    <t>528-22</t>
  </si>
  <si>
    <t>548-22</t>
  </si>
  <si>
    <t>605-22</t>
  </si>
  <si>
    <t>664-22</t>
  </si>
  <si>
    <t>773-22</t>
  </si>
  <si>
    <t>776-22</t>
  </si>
  <si>
    <t>778-22</t>
  </si>
  <si>
    <t>781-22</t>
  </si>
  <si>
    <t>912-22</t>
  </si>
  <si>
    <t>915-22</t>
  </si>
  <si>
    <t>942-22</t>
  </si>
  <si>
    <t>954-22</t>
  </si>
  <si>
    <t>1006-22</t>
  </si>
  <si>
    <t>1011-22</t>
  </si>
  <si>
    <t>1072-22</t>
  </si>
  <si>
    <t>1123-22</t>
  </si>
  <si>
    <t>1124-22</t>
  </si>
  <si>
    <t>1147-22</t>
  </si>
  <si>
    <t>1152-22</t>
  </si>
  <si>
    <t>1193-22</t>
  </si>
  <si>
    <t>1493-22</t>
  </si>
  <si>
    <t>1501-22</t>
  </si>
  <si>
    <t>1518-22</t>
  </si>
  <si>
    <t>292-22</t>
  </si>
  <si>
    <t>339-22</t>
  </si>
  <si>
    <t>354-22</t>
  </si>
  <si>
    <t>473-22</t>
  </si>
  <si>
    <t>474-22</t>
  </si>
  <si>
    <t>652-22</t>
  </si>
  <si>
    <t>667-22</t>
  </si>
  <si>
    <t>686-22</t>
  </si>
  <si>
    <t>756-22</t>
  </si>
  <si>
    <t>922-22</t>
  </si>
  <si>
    <t>960-21</t>
  </si>
  <si>
    <t>989-22</t>
  </si>
  <si>
    <t>1067-22</t>
  </si>
  <si>
    <t>1070-22</t>
  </si>
  <si>
    <t>1109-22</t>
  </si>
  <si>
    <t>1148-22</t>
  </si>
  <si>
    <t>1166-22</t>
  </si>
  <si>
    <t>1190-22</t>
  </si>
  <si>
    <t>1264-22</t>
  </si>
  <si>
    <t>1273-22</t>
  </si>
  <si>
    <t>1302-22</t>
  </si>
  <si>
    <t>1315-22</t>
  </si>
  <si>
    <t>1486-22</t>
  </si>
  <si>
    <t>1487-22</t>
  </si>
  <si>
    <t>1541-22</t>
  </si>
  <si>
    <t>184-22</t>
  </si>
  <si>
    <t>147-20</t>
  </si>
  <si>
    <t>646-21</t>
  </si>
  <si>
    <t>785-21</t>
  </si>
  <si>
    <t>860-21</t>
  </si>
  <si>
    <t>862-21</t>
  </si>
  <si>
    <t>865-21</t>
  </si>
  <si>
    <t>871-21</t>
  </si>
  <si>
    <t>872-21</t>
  </si>
  <si>
    <t>882-21</t>
  </si>
  <si>
    <t>896-21</t>
  </si>
  <si>
    <t>897-21</t>
  </si>
  <si>
    <t>898-21</t>
  </si>
  <si>
    <t>913-21</t>
  </si>
  <si>
    <t>921-21</t>
  </si>
  <si>
    <t>924-21</t>
  </si>
  <si>
    <t>929-21</t>
  </si>
  <si>
    <t>1058-21</t>
  </si>
  <si>
    <t>1067-21</t>
  </si>
  <si>
    <t>1092-21</t>
  </si>
  <si>
    <t>1093-21</t>
  </si>
  <si>
    <t>2-22</t>
  </si>
  <si>
    <t>19-22</t>
  </si>
  <si>
    <t>22-22</t>
  </si>
  <si>
    <t>52-22</t>
  </si>
  <si>
    <t>58-22</t>
  </si>
  <si>
    <t>88-22</t>
  </si>
  <si>
    <t>114-22</t>
  </si>
  <si>
    <t>131-22</t>
  </si>
  <si>
    <t>135-21</t>
  </si>
  <si>
    <t>146-22</t>
  </si>
  <si>
    <t>158-22</t>
  </si>
  <si>
    <t>173-21</t>
  </si>
  <si>
    <t>353-21</t>
  </si>
  <si>
    <t>398-21</t>
  </si>
  <si>
    <t>460-20</t>
  </si>
  <si>
    <t>549-20</t>
  </si>
  <si>
    <t>550-20</t>
  </si>
  <si>
    <t>554-20</t>
  </si>
  <si>
    <t>697-21</t>
  </si>
  <si>
    <t>707-21</t>
  </si>
  <si>
    <t>732-21</t>
  </si>
  <si>
    <t>806-19</t>
  </si>
  <si>
    <t>858-21</t>
  </si>
  <si>
    <t>877-21</t>
  </si>
  <si>
    <t>888-21</t>
  </si>
  <si>
    <t>911-21</t>
  </si>
  <si>
    <t>922-21</t>
  </si>
  <si>
    <t>940-21</t>
  </si>
  <si>
    <t>984-21</t>
  </si>
  <si>
    <t>985-21</t>
  </si>
  <si>
    <t>1062-21</t>
  </si>
  <si>
    <t>1063-21</t>
  </si>
  <si>
    <t>1070-21</t>
  </si>
  <si>
    <t>1089-21</t>
  </si>
  <si>
    <t>1120-21</t>
  </si>
  <si>
    <t>1141-21</t>
  </si>
  <si>
    <t>1154-21</t>
  </si>
  <si>
    <t>1176-21</t>
  </si>
  <si>
    <t>1189-21</t>
  </si>
  <si>
    <t>1193-21</t>
  </si>
  <si>
    <t>1226-21</t>
  </si>
  <si>
    <t>1377-21</t>
  </si>
  <si>
    <t>18-22</t>
  </si>
  <si>
    <t>25-22</t>
  </si>
  <si>
    <t>26-22</t>
  </si>
  <si>
    <t>41-22</t>
  </si>
  <si>
    <t>51-22</t>
  </si>
  <si>
    <t>62-22</t>
  </si>
  <si>
    <t>87-19</t>
  </si>
  <si>
    <t>112-22</t>
  </si>
  <si>
    <t>116-22</t>
  </si>
  <si>
    <t>158-21</t>
  </si>
  <si>
    <t>159-22</t>
  </si>
  <si>
    <t>162-22</t>
  </si>
  <si>
    <t>170-22</t>
  </si>
  <si>
    <t>199-22</t>
  </si>
  <si>
    <t>225-22</t>
  </si>
  <si>
    <t>244-20</t>
  </si>
  <si>
    <t>278-22</t>
  </si>
  <si>
    <t>279-22</t>
  </si>
  <si>
    <t>280-22</t>
  </si>
  <si>
    <t>281-22</t>
  </si>
  <si>
    <t>282-22</t>
  </si>
  <si>
    <t>283-22</t>
  </si>
  <si>
    <t>287-22</t>
  </si>
  <si>
    <t>301-18</t>
  </si>
  <si>
    <t>318-19</t>
  </si>
  <si>
    <t>350-18</t>
  </si>
  <si>
    <t>484-21</t>
  </si>
  <si>
    <t>597-21</t>
  </si>
  <si>
    <t>599-21</t>
  </si>
  <si>
    <t>602-21</t>
  </si>
  <si>
    <t>695-20</t>
  </si>
  <si>
    <t>869-21</t>
  </si>
  <si>
    <t>870-21</t>
  </si>
  <si>
    <t>880-21</t>
  </si>
  <si>
    <t>883-21</t>
  </si>
  <si>
    <t>978-21</t>
  </si>
  <si>
    <t>1021-21</t>
  </si>
  <si>
    <t>1040-21</t>
  </si>
  <si>
    <t>1041-21</t>
  </si>
  <si>
    <t>1077-21</t>
  </si>
  <si>
    <t>1111-21</t>
  </si>
  <si>
    <t>1113-21</t>
  </si>
  <si>
    <t>1114-21</t>
  </si>
  <si>
    <t>1115-21</t>
  </si>
  <si>
    <t>1143-21</t>
  </si>
  <si>
    <t>1146-21</t>
  </si>
  <si>
    <t>1150-21</t>
  </si>
  <si>
    <t>1152-21</t>
  </si>
  <si>
    <t>1160-21</t>
  </si>
  <si>
    <t>1174-21</t>
  </si>
  <si>
    <t>1196-21</t>
  </si>
  <si>
    <t>1250-21</t>
  </si>
  <si>
    <t>1291-21</t>
  </si>
  <si>
    <t>1320-21</t>
  </si>
  <si>
    <t>1336-21</t>
  </si>
  <si>
    <t>1350-21</t>
  </si>
  <si>
    <t>1369-21</t>
  </si>
  <si>
    <t>82-22</t>
  </si>
  <si>
    <t>185-22</t>
  </si>
  <si>
    <t>217-22</t>
  </si>
  <si>
    <t>247-22</t>
  </si>
  <si>
    <t>276-22</t>
  </si>
  <si>
    <t>295-22</t>
  </si>
  <si>
    <t>296-22</t>
  </si>
  <si>
    <t>299-22</t>
  </si>
  <si>
    <t>337-22</t>
  </si>
  <si>
    <t>349-22</t>
  </si>
  <si>
    <t>388-22</t>
  </si>
  <si>
    <t>392-22</t>
  </si>
  <si>
    <t>414-22</t>
  </si>
  <si>
    <t>420-22</t>
  </si>
  <si>
    <t>427-22</t>
  </si>
  <si>
    <t>430-22</t>
  </si>
  <si>
    <t>444-22</t>
  </si>
  <si>
    <t>447-22</t>
  </si>
  <si>
    <t>490-22</t>
  </si>
  <si>
    <t>492-20</t>
  </si>
  <si>
    <t>503-19</t>
  </si>
  <si>
    <t>723-21</t>
  </si>
  <si>
    <t>1016-21</t>
  </si>
  <si>
    <t>1175-21</t>
  </si>
  <si>
    <t>1222-21</t>
  </si>
  <si>
    <t>1227-21</t>
  </si>
  <si>
    <t>1230-21</t>
  </si>
  <si>
    <t>1233-21</t>
  </si>
  <si>
    <t>1244-21</t>
  </si>
  <si>
    <t>1246-21</t>
  </si>
  <si>
    <t>1267-21</t>
  </si>
  <si>
    <t>1276-21</t>
  </si>
  <si>
    <t>1281-21</t>
  </si>
  <si>
    <t>1312-21</t>
  </si>
  <si>
    <t>1327-21</t>
  </si>
  <si>
    <t>1338-21</t>
  </si>
  <si>
    <t>1354-21</t>
  </si>
  <si>
    <t>1355-21</t>
  </si>
  <si>
    <t>1360-21</t>
  </si>
  <si>
    <t>1362-21</t>
  </si>
  <si>
    <t>1364-21</t>
  </si>
  <si>
    <t>1365-21</t>
  </si>
  <si>
    <t>1373-21</t>
  </si>
  <si>
    <t>1380-21</t>
  </si>
  <si>
    <t>23-22</t>
  </si>
  <si>
    <t>35-22</t>
  </si>
  <si>
    <t>40-22</t>
  </si>
  <si>
    <t>42-22</t>
  </si>
  <si>
    <t>47-22</t>
  </si>
  <si>
    <t>49-22</t>
  </si>
  <si>
    <t>55-22</t>
  </si>
  <si>
    <t>59-22</t>
  </si>
  <si>
    <t>77-22</t>
  </si>
  <si>
    <t>79-22</t>
  </si>
  <si>
    <t>491-22</t>
  </si>
  <si>
    <t>300-22</t>
  </si>
  <si>
    <t>355-22</t>
  </si>
  <si>
    <t>396-22</t>
  </si>
  <si>
    <t>412-22</t>
  </si>
  <si>
    <t>428-22</t>
  </si>
  <si>
    <t>433-22</t>
  </si>
  <si>
    <t>448-22</t>
  </si>
  <si>
    <t>459-22</t>
  </si>
  <si>
    <t>509-22</t>
  </si>
  <si>
    <t>510-22</t>
  </si>
  <si>
    <t>515-22</t>
  </si>
  <si>
    <t>516-22</t>
  </si>
  <si>
    <t>517-22</t>
  </si>
  <si>
    <t>554-22</t>
  </si>
  <si>
    <t>560-22</t>
  </si>
  <si>
    <t>569-22</t>
  </si>
  <si>
    <t>654-22</t>
  </si>
  <si>
    <t>1169-21</t>
  </si>
  <si>
    <t>1275-21</t>
  </si>
  <si>
    <t>1283-21</t>
  </si>
  <si>
    <t>6-22</t>
  </si>
  <si>
    <t>63-22</t>
  </si>
  <si>
    <t>66-22</t>
  </si>
  <si>
    <t>95-22</t>
  </si>
  <si>
    <t>102-22</t>
  </si>
  <si>
    <t>113-22</t>
  </si>
  <si>
    <t>148-22</t>
  </si>
  <si>
    <t>151-22</t>
  </si>
  <si>
    <t>152-22</t>
  </si>
  <si>
    <t>155-22</t>
  </si>
  <si>
    <t>177-22</t>
  </si>
  <si>
    <t>188-22</t>
  </si>
  <si>
    <t>198-22</t>
  </si>
  <si>
    <t>201-22</t>
  </si>
  <si>
    <t>224-22</t>
  </si>
  <si>
    <t>236-22</t>
  </si>
  <si>
    <t>244-22</t>
  </si>
  <si>
    <t>254-22</t>
  </si>
  <si>
    <t>259-21</t>
  </si>
  <si>
    <t>277-22</t>
  </si>
  <si>
    <t>347-22</t>
  </si>
  <si>
    <t>395-22</t>
  </si>
  <si>
    <t>468-22</t>
  </si>
  <si>
    <t>480-22</t>
  </si>
  <si>
    <t>608-22</t>
  </si>
  <si>
    <t>614-22</t>
  </si>
  <si>
    <t>699-22</t>
  </si>
  <si>
    <t>703-22</t>
  </si>
  <si>
    <t>716-22</t>
  </si>
  <si>
    <t>740-22</t>
  </si>
  <si>
    <t>752-22</t>
  </si>
  <si>
    <t>800-22</t>
  </si>
  <si>
    <t>832-22</t>
  </si>
  <si>
    <t>844-22</t>
  </si>
  <si>
    <t>866-22</t>
  </si>
  <si>
    <t>1062-19</t>
  </si>
  <si>
    <t>1105-21</t>
  </si>
  <si>
    <t>1309-21</t>
  </si>
  <si>
    <t>1329-21</t>
  </si>
  <si>
    <t>1334-21</t>
  </si>
  <si>
    <t>1342-21</t>
  </si>
  <si>
    <t>1351-21</t>
  </si>
  <si>
    <t>38-22</t>
  </si>
  <si>
    <t>160-22</t>
  </si>
  <si>
    <t>212-22</t>
  </si>
  <si>
    <t>261-22</t>
  </si>
  <si>
    <t>288-22</t>
  </si>
  <si>
    <t>298-22</t>
  </si>
  <si>
    <t>310-22</t>
  </si>
  <si>
    <t>342-22</t>
  </si>
  <si>
    <t>387-22</t>
  </si>
  <si>
    <t>419-22</t>
  </si>
  <si>
    <t>786-22</t>
  </si>
  <si>
    <t>842-22</t>
  </si>
  <si>
    <t>868-22</t>
  </si>
  <si>
    <t>900-22</t>
  </si>
  <si>
    <t>947-22</t>
  </si>
  <si>
    <t>951-22</t>
  </si>
  <si>
    <t>953-22</t>
  </si>
  <si>
    <t>974-22</t>
  </si>
  <si>
    <t>991-19</t>
  </si>
  <si>
    <t>213-22</t>
  </si>
  <si>
    <t>260-22</t>
  </si>
  <si>
    <t>272-22</t>
  </si>
  <si>
    <t>331-22</t>
  </si>
  <si>
    <t>332-22</t>
  </si>
  <si>
    <t>367-22</t>
  </si>
  <si>
    <t>371-22</t>
  </si>
  <si>
    <t>502-22</t>
  </si>
  <si>
    <t>651-22</t>
  </si>
  <si>
    <t>846-22</t>
  </si>
  <si>
    <t>897-22</t>
  </si>
  <si>
    <t>916-22</t>
  </si>
  <si>
    <t>958-22</t>
  </si>
  <si>
    <t>1002-22</t>
  </si>
  <si>
    <t>1004-22</t>
  </si>
  <si>
    <t>1005-22</t>
  </si>
  <si>
    <t>1278-22</t>
  </si>
  <si>
    <t>86-22</t>
  </si>
  <si>
    <t>146-21</t>
  </si>
  <si>
    <t>147-21</t>
  </si>
  <si>
    <t>154-22</t>
  </si>
  <si>
    <t>170-21</t>
  </si>
  <si>
    <t>179-21</t>
  </si>
  <si>
    <t>191-21</t>
  </si>
  <si>
    <t>192-21</t>
  </si>
  <si>
    <t>193-21</t>
  </si>
  <si>
    <t>227-21</t>
  </si>
  <si>
    <t>240-21</t>
  </si>
  <si>
    <t>259-22</t>
  </si>
  <si>
    <t>269-22</t>
  </si>
  <si>
    <t>312-22</t>
  </si>
  <si>
    <t>321-22</t>
  </si>
  <si>
    <t>358-22</t>
  </si>
  <si>
    <t>362-22</t>
  </si>
  <si>
    <t>375-22</t>
  </si>
  <si>
    <t>382-22</t>
  </si>
  <si>
    <t>389-22</t>
  </si>
  <si>
    <t>393-22</t>
  </si>
  <si>
    <t>400-22</t>
  </si>
  <si>
    <t>401-22</t>
  </si>
  <si>
    <t>406-22</t>
  </si>
  <si>
    <t>416-22</t>
  </si>
  <si>
    <t>421-22</t>
  </si>
  <si>
    <t>423-22</t>
  </si>
  <si>
    <t>437-22</t>
  </si>
  <si>
    <t>439-22</t>
  </si>
  <si>
    <t>446-22</t>
  </si>
  <si>
    <t>452-22</t>
  </si>
  <si>
    <t>453-22</t>
  </si>
  <si>
    <t>456-22</t>
  </si>
  <si>
    <t>457-22</t>
  </si>
  <si>
    <t>466-22</t>
  </si>
  <si>
    <t>481-22</t>
  </si>
  <si>
    <t>482-22</t>
  </si>
  <si>
    <t>483-22</t>
  </si>
  <si>
    <t>484-22</t>
  </si>
  <si>
    <t>485-22</t>
  </si>
  <si>
    <t>492-22</t>
  </si>
  <si>
    <t>493-22</t>
  </si>
  <si>
    <t>494-22</t>
  </si>
  <si>
    <t>509-21</t>
  </si>
  <si>
    <t>511-22</t>
  </si>
  <si>
    <t>513-22</t>
  </si>
  <si>
    <t>514-22</t>
  </si>
  <si>
    <t>532-21</t>
  </si>
  <si>
    <t>571-21</t>
  </si>
  <si>
    <t>572-21</t>
  </si>
  <si>
    <t>577-21</t>
  </si>
  <si>
    <t>625-22</t>
  </si>
  <si>
    <t>663-22</t>
  </si>
  <si>
    <t>796-19</t>
  </si>
  <si>
    <t>853-22</t>
  </si>
  <si>
    <t>888-22</t>
  </si>
  <si>
    <t>957-22</t>
  </si>
  <si>
    <t>1027-22</t>
  </si>
  <si>
    <t>1031-22</t>
  </si>
  <si>
    <t>1032-22</t>
  </si>
  <si>
    <t>1049-22</t>
  </si>
  <si>
    <t>1060-22</t>
  </si>
  <si>
    <t>1089-22</t>
  </si>
  <si>
    <t>1134-22</t>
  </si>
  <si>
    <t>1160-22</t>
  </si>
  <si>
    <t>1177-22</t>
  </si>
  <si>
    <t>1214-22</t>
  </si>
  <si>
    <t>1270-22</t>
  </si>
  <si>
    <t>1284-22</t>
  </si>
  <si>
    <t>1323-21</t>
  </si>
  <si>
    <t>1376-21</t>
  </si>
  <si>
    <t>152-19</t>
  </si>
  <si>
    <t>156-21</t>
  </si>
  <si>
    <t>195-19</t>
  </si>
  <si>
    <t>215-22</t>
  </si>
  <si>
    <t>216-21</t>
  </si>
  <si>
    <t>223-22</t>
  </si>
  <si>
    <t>245-22</t>
  </si>
  <si>
    <t>298-21</t>
  </si>
  <si>
    <t>323-21</t>
  </si>
  <si>
    <t>356-22</t>
  </si>
  <si>
    <t>386-22</t>
  </si>
  <si>
    <t>399-21</t>
  </si>
  <si>
    <t>442-21</t>
  </si>
  <si>
    <t>442-22</t>
  </si>
  <si>
    <t>443-21</t>
  </si>
  <si>
    <t>449-21</t>
  </si>
  <si>
    <t>524-22</t>
  </si>
  <si>
    <t>525-22</t>
  </si>
  <si>
    <t>551-22</t>
  </si>
  <si>
    <t>553-22</t>
  </si>
  <si>
    <t>555-22</t>
  </si>
  <si>
    <t>556-22</t>
  </si>
  <si>
    <t>581-22</t>
  </si>
  <si>
    <t>583-22</t>
  </si>
  <si>
    <t>591-22</t>
  </si>
  <si>
    <t>593-22</t>
  </si>
  <si>
    <t>597-22</t>
  </si>
  <si>
    <t>598-22</t>
  </si>
  <si>
    <t>599-22</t>
  </si>
  <si>
    <t>627-22</t>
  </si>
  <si>
    <t>629-22</t>
  </si>
  <si>
    <t>632-22</t>
  </si>
  <si>
    <t>636-22</t>
  </si>
  <si>
    <t>647-22</t>
  </si>
  <si>
    <t>655-22</t>
  </si>
  <si>
    <t>680-22</t>
  </si>
  <si>
    <t>682-22</t>
  </si>
  <si>
    <t>683-22</t>
  </si>
  <si>
    <t>689-22</t>
  </si>
  <si>
    <t>702-22</t>
  </si>
  <si>
    <t>704-22</t>
  </si>
  <si>
    <t>705-22</t>
  </si>
  <si>
    <t>715-22</t>
  </si>
  <si>
    <t>717-22</t>
  </si>
  <si>
    <t>834-17</t>
  </si>
  <si>
    <t>884-22</t>
  </si>
  <si>
    <t>996-19</t>
  </si>
  <si>
    <t>1024-21</t>
  </si>
  <si>
    <t>1030-21</t>
  </si>
  <si>
    <t>1043-22</t>
  </si>
  <si>
    <t>1320-22</t>
  </si>
  <si>
    <t>1324-22</t>
  </si>
  <si>
    <t>1329-22</t>
  </si>
  <si>
    <t>1385-22</t>
  </si>
  <si>
    <t>260-21</t>
  </si>
  <si>
    <t>522-22</t>
  </si>
  <si>
    <t>631-22</t>
  </si>
  <si>
    <t>697-22</t>
  </si>
  <si>
    <t>706-22</t>
  </si>
  <si>
    <t>731-22</t>
  </si>
  <si>
    <t>739-22</t>
  </si>
  <si>
    <t>746-22</t>
  </si>
  <si>
    <t>747-22</t>
  </si>
  <si>
    <t>748-22</t>
  </si>
  <si>
    <t>749-22</t>
  </si>
  <si>
    <t>754-22</t>
  </si>
  <si>
    <t>767-22</t>
  </si>
  <si>
    <t>770-22</t>
  </si>
  <si>
    <t>782-22</t>
  </si>
  <si>
    <t>802-22</t>
  </si>
  <si>
    <t>814-22</t>
  </si>
  <si>
    <t>817-22</t>
  </si>
  <si>
    <t>823-22</t>
  </si>
  <si>
    <t>828-22</t>
  </si>
  <si>
    <t>839-22</t>
  </si>
  <si>
    <t>843-22</t>
  </si>
  <si>
    <t>862-22</t>
  </si>
  <si>
    <t>869-22</t>
  </si>
  <si>
    <t>870-22</t>
  </si>
  <si>
    <t>871-22</t>
  </si>
  <si>
    <t>902-22</t>
  </si>
  <si>
    <t>919-22</t>
  </si>
  <si>
    <t>931-22</t>
  </si>
  <si>
    <t>940-22</t>
  </si>
  <si>
    <t>949-22</t>
  </si>
  <si>
    <t>966-22</t>
  </si>
  <si>
    <t>1003-22</t>
  </si>
  <si>
    <t>1029-22</t>
  </si>
  <si>
    <t>1212-22</t>
  </si>
  <si>
    <t>1269-22</t>
  </si>
  <si>
    <t>1303-22</t>
  </si>
  <si>
    <t>1304-22</t>
  </si>
  <si>
    <t>1305-22</t>
  </si>
  <si>
    <t>1332-22</t>
  </si>
  <si>
    <t xml:space="preserve">1360-22 </t>
  </si>
  <si>
    <t>1401-22</t>
  </si>
  <si>
    <t>1402-22</t>
  </si>
  <si>
    <t>1410-22</t>
  </si>
  <si>
    <t>1420-22</t>
  </si>
  <si>
    <t>1435-22</t>
  </si>
  <si>
    <t>1436-22</t>
  </si>
  <si>
    <t>1441-22</t>
  </si>
  <si>
    <t>1442-22</t>
  </si>
  <si>
    <t>1443-22</t>
  </si>
  <si>
    <t>1444-22</t>
  </si>
  <si>
    <t>1557-22</t>
  </si>
  <si>
    <t>267-22</t>
  </si>
  <si>
    <t>274-20</t>
  </si>
  <si>
    <t>335-22</t>
  </si>
  <si>
    <t>383-22</t>
  </si>
  <si>
    <t>472-22</t>
  </si>
  <si>
    <t>537-22</t>
  </si>
  <si>
    <t>542-22</t>
  </si>
  <si>
    <t>547-22</t>
  </si>
  <si>
    <t>622-22</t>
  </si>
  <si>
    <t>768-22</t>
  </si>
  <si>
    <t>771-22</t>
  </si>
  <si>
    <t>772-22</t>
  </si>
  <si>
    <t>774-22</t>
  </si>
  <si>
    <t>779-22</t>
  </si>
  <si>
    <t>789-22</t>
  </si>
  <si>
    <t>795-22</t>
  </si>
  <si>
    <t>824-21</t>
  </si>
  <si>
    <t>847-22</t>
  </si>
  <si>
    <t>849-22</t>
  </si>
  <si>
    <t>851-22</t>
  </si>
  <si>
    <t>855-22</t>
  </si>
  <si>
    <t>859-22</t>
  </si>
  <si>
    <t>889-22</t>
  </si>
  <si>
    <t>890-22</t>
  </si>
  <si>
    <t>891-22</t>
  </si>
  <si>
    <t>901-22</t>
  </si>
  <si>
    <t>906-22</t>
  </si>
  <si>
    <t>909-22</t>
  </si>
  <si>
    <t>917-22</t>
  </si>
  <si>
    <t>920-22</t>
  </si>
  <si>
    <t>926-22</t>
  </si>
  <si>
    <t>927-22</t>
  </si>
  <si>
    <t>935-22</t>
  </si>
  <si>
    <t>961-22</t>
  </si>
  <si>
    <t>964-22</t>
  </si>
  <si>
    <t>965-22</t>
  </si>
  <si>
    <t>985-22</t>
  </si>
  <si>
    <t>998-22</t>
  </si>
  <si>
    <t>1012-22</t>
  </si>
  <si>
    <t>1017-22</t>
  </si>
  <si>
    <t>1020-22</t>
  </si>
  <si>
    <t>1024-22</t>
  </si>
  <si>
    <t>1035-22</t>
  </si>
  <si>
    <t>1042-22</t>
  </si>
  <si>
    <t>1047-22</t>
  </si>
  <si>
    <t>1051-22</t>
  </si>
  <si>
    <t>1052-22</t>
  </si>
  <si>
    <t>1053-22</t>
  </si>
  <si>
    <t>1057-22</t>
  </si>
  <si>
    <t>1059-22</t>
  </si>
  <si>
    <t>1094-22</t>
  </si>
  <si>
    <t>1154-22</t>
  </si>
  <si>
    <t>1161-22</t>
  </si>
  <si>
    <t>1163-22</t>
  </si>
  <si>
    <t>1167-22</t>
  </si>
  <si>
    <t>1191-22</t>
  </si>
  <si>
    <t>1213-21</t>
  </si>
  <si>
    <t>1245-22</t>
  </si>
  <si>
    <t>1368-22</t>
  </si>
  <si>
    <t>1395-22</t>
  </si>
  <si>
    <t>1411-22</t>
  </si>
  <si>
    <t>1412-22</t>
  </si>
  <si>
    <t>1470-22</t>
  </si>
  <si>
    <t>1483-22</t>
  </si>
  <si>
    <t>1484-22</t>
  </si>
  <si>
    <t>1492-22</t>
  </si>
  <si>
    <t>1496-22</t>
  </si>
  <si>
    <t>1524-22</t>
  </si>
  <si>
    <t>1535-22</t>
  </si>
  <si>
    <t>1537-22</t>
  </si>
  <si>
    <t>1565-22</t>
  </si>
  <si>
    <t>1568-22</t>
  </si>
  <si>
    <t>85-22</t>
  </si>
  <si>
    <t>197-22</t>
  </si>
  <si>
    <t>206-19</t>
  </si>
  <si>
    <t>214-22</t>
  </si>
  <si>
    <t>328-22</t>
  </si>
  <si>
    <t>329-22</t>
  </si>
  <si>
    <t>331-18</t>
  </si>
  <si>
    <t>344-22</t>
  </si>
  <si>
    <t>388-18</t>
  </si>
  <si>
    <t>467-22</t>
  </si>
  <si>
    <t>530-22</t>
  </si>
  <si>
    <t>535-22</t>
  </si>
  <si>
    <t>543-22</t>
  </si>
  <si>
    <t>566-21</t>
  </si>
  <si>
    <t>634-22</t>
  </si>
  <si>
    <t>643-22</t>
  </si>
  <si>
    <t>646-22</t>
  </si>
  <si>
    <t>658-22</t>
  </si>
  <si>
    <t>669-22</t>
  </si>
  <si>
    <t>850-22</t>
  </si>
  <si>
    <t>894-22</t>
  </si>
  <si>
    <t>987-22</t>
  </si>
  <si>
    <t>1015-22</t>
  </si>
  <si>
    <t>1064-22</t>
  </si>
  <si>
    <t>1085-22</t>
  </si>
  <si>
    <t>1088-22</t>
  </si>
  <si>
    <t>1100-22</t>
  </si>
  <si>
    <t>1102-22</t>
  </si>
  <si>
    <t>1103-22</t>
  </si>
  <si>
    <t>1125-22</t>
  </si>
  <si>
    <t>1180-22</t>
  </si>
  <si>
    <t>1192-22</t>
  </si>
  <si>
    <t>1203-22</t>
  </si>
  <si>
    <t>1242-22</t>
  </si>
  <si>
    <t>1251-21</t>
  </si>
  <si>
    <t>1252-21</t>
  </si>
  <si>
    <t>1253-22</t>
  </si>
  <si>
    <t>1272-22</t>
  </si>
  <si>
    <t>1291-22</t>
  </si>
  <si>
    <t>1306-22</t>
  </si>
  <si>
    <t>1319-22</t>
  </si>
  <si>
    <t>1331-22</t>
  </si>
  <si>
    <t>1333-22</t>
  </si>
  <si>
    <t>1338-22</t>
  </si>
  <si>
    <t>1347-22</t>
  </si>
  <si>
    <t>1366-22</t>
  </si>
  <si>
    <t>1369-22</t>
  </si>
  <si>
    <t>1382-22</t>
  </si>
  <si>
    <t>1383-22</t>
  </si>
  <si>
    <t>1386-22</t>
  </si>
  <si>
    <t>1419-22</t>
  </si>
  <si>
    <t>1458-22</t>
  </si>
  <si>
    <t>1522-22</t>
  </si>
  <si>
    <t>1543-22</t>
  </si>
  <si>
    <t>1550-22</t>
  </si>
  <si>
    <t>1572-22</t>
  </si>
  <si>
    <t>1586-22</t>
  </si>
  <si>
    <t>1587-22</t>
  </si>
  <si>
    <t>1588-22</t>
  </si>
  <si>
    <t>1591-22</t>
  </si>
  <si>
    <t>1602-22</t>
  </si>
  <si>
    <t>1608-22</t>
  </si>
  <si>
    <t>1628-22</t>
  </si>
  <si>
    <t>1641-22</t>
  </si>
  <si>
    <t>1644-22</t>
  </si>
  <si>
    <t>1645-22</t>
  </si>
  <si>
    <t>1646-22</t>
  </si>
  <si>
    <t>1664-22</t>
  </si>
  <si>
    <t>350-22</t>
  </si>
  <si>
    <t>564-22</t>
  </si>
  <si>
    <t>838-21</t>
  </si>
  <si>
    <t>Тренев Д.С.</t>
  </si>
  <si>
    <t>Иванов В.А.</t>
  </si>
  <si>
    <t>Коротков Б.К.</t>
  </si>
  <si>
    <t>Рыжков И.Г.</t>
  </si>
  <si>
    <t>Цой Н.Н.</t>
  </si>
  <si>
    <t>Моисеенко Ю.С.</t>
  </si>
  <si>
    <t>Головенко А.А.</t>
  </si>
  <si>
    <t>Волобуев В.И.</t>
  </si>
  <si>
    <t>Куликова А.В.</t>
  </si>
  <si>
    <t>Гирнык В.Н.</t>
  </si>
  <si>
    <t>Судакова Т.В.</t>
  </si>
  <si>
    <t>Назарова Н.Н.</t>
  </si>
  <si>
    <t>Хорошко М.М.</t>
  </si>
  <si>
    <t>Пелих А.В.</t>
  </si>
  <si>
    <t>Лаврова Т.М.</t>
  </si>
  <si>
    <t>Данилова Н.А.</t>
  </si>
  <si>
    <t>Мочалов В.В.</t>
  </si>
  <si>
    <t>Александрова М.И.</t>
  </si>
  <si>
    <t>Тхор М.Д.</t>
  </si>
  <si>
    <t>Комиссаров А.В.</t>
  </si>
  <si>
    <t>Байдаров А.П.</t>
  </si>
  <si>
    <t>Ткач С.А.</t>
  </si>
  <si>
    <t>Ивашутин Р.С.</t>
  </si>
  <si>
    <t>Голов В.В.</t>
  </si>
  <si>
    <t>Кусков Ю.И.</t>
  </si>
  <si>
    <t>Кочубей И.А.</t>
  </si>
  <si>
    <t>Петренко Д.А.</t>
  </si>
  <si>
    <t>Сердюков А.А.</t>
  </si>
  <si>
    <t>Юрченко О.В.</t>
  </si>
  <si>
    <t>Богачук Е.В.</t>
  </si>
  <si>
    <t>Еникеев М.А.</t>
  </si>
  <si>
    <t>Хлыстенков В.А.</t>
  </si>
  <si>
    <t>Лысенко Н.Д.</t>
  </si>
  <si>
    <t>Ананьев Г.В.</t>
  </si>
  <si>
    <t>Пономарев П.П.</t>
  </si>
  <si>
    <t>Хихлуха В.Н.</t>
  </si>
  <si>
    <t>Сушкова А.В.</t>
  </si>
  <si>
    <t>МКУ "СЕЗЗ" УГО"</t>
  </si>
  <si>
    <t>Филатова А.А.</t>
  </si>
  <si>
    <t>Карнаух Ю.Т.</t>
  </si>
  <si>
    <t>Кравченко В.Н.</t>
  </si>
  <si>
    <t>Крутиков О.Л.</t>
  </si>
  <si>
    <t>Хомякова М.Л.</t>
  </si>
  <si>
    <t>Иванова С.М.</t>
  </si>
  <si>
    <t>Пономарева О.В.</t>
  </si>
  <si>
    <t>Радченко Е.С.</t>
  </si>
  <si>
    <t>Тарасюк Г.В.</t>
  </si>
  <si>
    <t>Почтарь Р.В.</t>
  </si>
  <si>
    <t>Чалиенко С.И.</t>
  </si>
  <si>
    <t>Ремизова Ж.В.</t>
  </si>
  <si>
    <t>Грачева А.О.</t>
  </si>
  <si>
    <t>Латанский В.С.</t>
  </si>
  <si>
    <t>Прохорова Н.И.</t>
  </si>
  <si>
    <t>Конюхова О.В.</t>
  </si>
  <si>
    <t>Кострякова С.Е.</t>
  </si>
  <si>
    <t>Добрыдина Е.Г.</t>
  </si>
  <si>
    <t>Куранов С.А.</t>
  </si>
  <si>
    <t>Тубольцева Р.П.</t>
  </si>
  <si>
    <t>Бочкарева Л.Г.</t>
  </si>
  <si>
    <t>Барановская Т.В.</t>
  </si>
  <si>
    <t>Наплеков Д.Е.</t>
  </si>
  <si>
    <t>Кузьменок С.П.</t>
  </si>
  <si>
    <t>Сорокина Л.В.</t>
  </si>
  <si>
    <t>Вознюк Т.В.</t>
  </si>
  <si>
    <t>Бондаренко Е.В.</t>
  </si>
  <si>
    <t>Кочергина О.Б.</t>
  </si>
  <si>
    <t>Марченко Г.В.</t>
  </si>
  <si>
    <t>Вздорик Т.П.</t>
  </si>
  <si>
    <t>Литвишко Т.Б.</t>
  </si>
  <si>
    <t>Потоцкая И.В.</t>
  </si>
  <si>
    <t>Ахмедова Э.Я.К.</t>
  </si>
  <si>
    <t>Можаровский И.И.</t>
  </si>
  <si>
    <t>Двоенко Р.В.</t>
  </si>
  <si>
    <t>Лотышев В.В.</t>
  </si>
  <si>
    <t>Звездкин С.Р.</t>
  </si>
  <si>
    <t>Казанцев В.А.</t>
  </si>
  <si>
    <t>Трофимчук Н.Г.</t>
  </si>
  <si>
    <t>Кондратьева Н.П.</t>
  </si>
  <si>
    <t>Криворотова И.Ю.</t>
  </si>
  <si>
    <t>Коншина Е.А.</t>
  </si>
  <si>
    <t>Рай П.В.</t>
  </si>
  <si>
    <t>Колесников П.П.</t>
  </si>
  <si>
    <t>Носкова Т.А.</t>
  </si>
  <si>
    <t>Тюриков В.А.</t>
  </si>
  <si>
    <t>Васильков Э.В.</t>
  </si>
  <si>
    <t>Антипина Н.В.</t>
  </si>
  <si>
    <t>Васильков В.В.</t>
  </si>
  <si>
    <t>Сахно В.Д.</t>
  </si>
  <si>
    <t>Ионов Б.И.</t>
  </si>
  <si>
    <t>Гречишко Н.Д.</t>
  </si>
  <si>
    <t>Аропитьянц О.И.</t>
  </si>
  <si>
    <t>Мартынюк Н.А.</t>
  </si>
  <si>
    <t>Василенко Н.А.</t>
  </si>
  <si>
    <t>Шекунова С.В.</t>
  </si>
  <si>
    <t>Матузная Е.А.</t>
  </si>
  <si>
    <t>Волошин А.С.</t>
  </si>
  <si>
    <t>Кульганик Л.Г.</t>
  </si>
  <si>
    <t>Архипенко Ю.И.</t>
  </si>
  <si>
    <t>Кулагина А.Н.</t>
  </si>
  <si>
    <t>Лубов В.Н.</t>
  </si>
  <si>
    <t>Зайчиков С.В.</t>
  </si>
  <si>
    <t>Антипов С.В.</t>
  </si>
  <si>
    <t>Унтилов В.П.</t>
  </si>
  <si>
    <t>Баев В.С.</t>
  </si>
  <si>
    <t>Смоляник О.Д.</t>
  </si>
  <si>
    <t>Мизь П.С.</t>
  </si>
  <si>
    <t>Горскин А.В.</t>
  </si>
  <si>
    <t>Абрамова А.Д.</t>
  </si>
  <si>
    <t>Дерябина И.О.</t>
  </si>
  <si>
    <t>Фисенко И.А.</t>
  </si>
  <si>
    <t>Рак С.В.</t>
  </si>
  <si>
    <t>Майборода М.В.</t>
  </si>
  <si>
    <t>Моисеенко О.Г.</t>
  </si>
  <si>
    <t>КГКУ "Примгосавтонадзор"</t>
  </si>
  <si>
    <t>Огородникова Г.С.</t>
  </si>
  <si>
    <t>Дикова В.А.</t>
  </si>
  <si>
    <t>Макарова Е.В.</t>
  </si>
  <si>
    <t>Положук О.А.</t>
  </si>
  <si>
    <t>Короткова Н.А.</t>
  </si>
  <si>
    <t>Посохов А.Н.</t>
  </si>
  <si>
    <t>Тасун А.В.</t>
  </si>
  <si>
    <t>Аниканова К.М.</t>
  </si>
  <si>
    <t>Гринчий Т.Л.</t>
  </si>
  <si>
    <t>Колмогорова Л.А.</t>
  </si>
  <si>
    <t>Соглаева И.В.</t>
  </si>
  <si>
    <t>Воробьева Л.Е.</t>
  </si>
  <si>
    <t>Морозова Г.А.</t>
  </si>
  <si>
    <t>Хабиров Р.Т.</t>
  </si>
  <si>
    <t>Кисель Т.В.</t>
  </si>
  <si>
    <t>Постовалов Б.В.</t>
  </si>
  <si>
    <t>Гинзбург М.В.</t>
  </si>
  <si>
    <t>Ростовцева Е.М.</t>
  </si>
  <si>
    <t>Бучакчиян М.С.</t>
  </si>
  <si>
    <t>Шелег П.В.</t>
  </si>
  <si>
    <t>Письмеров П.В.</t>
  </si>
  <si>
    <t>Тарасов Р.Д.</t>
  </si>
  <si>
    <t>Гурьев О.Г.</t>
  </si>
  <si>
    <t>Невмержицкий А.А.</t>
  </si>
  <si>
    <t>ИП Перегуда И.Е.</t>
  </si>
  <si>
    <t>Дуравкин А.П.</t>
  </si>
  <si>
    <t>Ионова А.В.</t>
  </si>
  <si>
    <t>Лехов Р.А.</t>
  </si>
  <si>
    <t>Сизоненко Д.В.</t>
  </si>
  <si>
    <t>Санников В.П.</t>
  </si>
  <si>
    <t>Леонченко Р.А.</t>
  </si>
  <si>
    <t>Шилов В.Н.</t>
  </si>
  <si>
    <t>Никитин В.А.</t>
  </si>
  <si>
    <t>Миронов В.Ю.</t>
  </si>
  <si>
    <t>Васькин В.И.</t>
  </si>
  <si>
    <t>Севоловская Г.С.</t>
  </si>
  <si>
    <t>Двоенко Л.А.</t>
  </si>
  <si>
    <t>Супрун Л.В.</t>
  </si>
  <si>
    <t>Шевчук Е.А.</t>
  </si>
  <si>
    <t>Грабин В.С.</t>
  </si>
  <si>
    <t>Чумаков С.А.</t>
  </si>
  <si>
    <t>Павлова С.В.</t>
  </si>
  <si>
    <t>Распевалова Н.С.</t>
  </si>
  <si>
    <t>Столбовая А.В.</t>
  </si>
  <si>
    <t>Абинякина Е.Г.</t>
  </si>
  <si>
    <t>Железкова Н.Т.</t>
  </si>
  <si>
    <t>Епишкина Л.И.</t>
  </si>
  <si>
    <t>Колпакова Т.З.</t>
  </si>
  <si>
    <t>Еременко Н.В.</t>
  </si>
  <si>
    <t>Шаповалов В.А.</t>
  </si>
  <si>
    <t>Ребик Ю.П.</t>
  </si>
  <si>
    <t>Ярош А.П.</t>
  </si>
  <si>
    <t>Боровик В.В.</t>
  </si>
  <si>
    <t>Песцова Н.Н.</t>
  </si>
  <si>
    <t>Колпаков А.А.</t>
  </si>
  <si>
    <t>Сухоруких О.С.</t>
  </si>
  <si>
    <t>Ворсин В.В.</t>
  </si>
  <si>
    <t>Наумчик Л.Г.</t>
  </si>
  <si>
    <t>Шупруто В.Я.</t>
  </si>
  <si>
    <t>Солдатенков О.В.</t>
  </si>
  <si>
    <t>Смольянинов А.В.</t>
  </si>
  <si>
    <t>Науменко И.Е.</t>
  </si>
  <si>
    <t>Гришина С.И.</t>
  </si>
  <si>
    <t>Бацула  Е.И.</t>
  </si>
  <si>
    <t>Закаблуковский А.Н.</t>
  </si>
  <si>
    <t>Захаров А.В.</t>
  </si>
  <si>
    <t>Сильченко Е.А.</t>
  </si>
  <si>
    <t>Меркулов Н.Г.</t>
  </si>
  <si>
    <t>Колодяжная В.С.</t>
  </si>
  <si>
    <t>Гордеева Н.И.</t>
  </si>
  <si>
    <t>Жабский С.А.</t>
  </si>
  <si>
    <t>Крылова С.В.</t>
  </si>
  <si>
    <t>Шадрина Г.А.</t>
  </si>
  <si>
    <t>Скворчинская А.В.</t>
  </si>
  <si>
    <t>Бубнова Н.Л.</t>
  </si>
  <si>
    <t>Поляк Т.Н.</t>
  </si>
  <si>
    <t>Коленчук Т.В.</t>
  </si>
  <si>
    <t>Андросенко Ю.А.</t>
  </si>
  <si>
    <t>Шиманис Г.Н.</t>
  </si>
  <si>
    <t>Хортова И.А.</t>
  </si>
  <si>
    <t>Белова Л.И.</t>
  </si>
  <si>
    <t>Лошовский В.Л.</t>
  </si>
  <si>
    <t>Моцкевич Н.В.</t>
  </si>
  <si>
    <t>Кяльбиева  О.Л.</t>
  </si>
  <si>
    <t>Лободенко С.К.</t>
  </si>
  <si>
    <t>Демьяненко Л.Б.</t>
  </si>
  <si>
    <t>Остапенко Н.А.</t>
  </si>
  <si>
    <t>Савина Л.В.</t>
  </si>
  <si>
    <t>Гринцевич Н.Е.</t>
  </si>
  <si>
    <t>Бобровская Л. А.</t>
  </si>
  <si>
    <t>Глинов В.Н.</t>
  </si>
  <si>
    <t>Гончаева Л.Н.</t>
  </si>
  <si>
    <t>Молодык Е.А.</t>
  </si>
  <si>
    <t>Лугинец Е.И.</t>
  </si>
  <si>
    <t>Кравченко Т.Я.</t>
  </si>
  <si>
    <t>Плотникова В.И.</t>
  </si>
  <si>
    <t>Тимошенко А.П.</t>
  </si>
  <si>
    <t>Бибик В.Н.</t>
  </si>
  <si>
    <t>Гончаренко А.В.</t>
  </si>
  <si>
    <t>Заикин В.А.</t>
  </si>
  <si>
    <t>Вароди Н.Г.</t>
  </si>
  <si>
    <t>Пестерев М.Л.</t>
  </si>
  <si>
    <t>Мухин Ю.М.</t>
  </si>
  <si>
    <t>Кузнецов С.Ф.</t>
  </si>
  <si>
    <t>Чепелев Д.П.</t>
  </si>
  <si>
    <t>Алфёров А.А.</t>
  </si>
  <si>
    <t>Асаенок С.И.</t>
  </si>
  <si>
    <t>Осипова Л.А.</t>
  </si>
  <si>
    <t>Чарнош А.И.</t>
  </si>
  <si>
    <t>Осипенко С. А.</t>
  </si>
  <si>
    <t>Дидик З.А.</t>
  </si>
  <si>
    <t>Виловатый А.В.</t>
  </si>
  <si>
    <t>Съемщикова И.С.</t>
  </si>
  <si>
    <t>Берташ В.И.</t>
  </si>
  <si>
    <t>Пономарев Д.Ю.</t>
  </si>
  <si>
    <t>Хабарова Н.Н.</t>
  </si>
  <si>
    <t>Акинфеев А.А.</t>
  </si>
  <si>
    <t>Попов В.Н.</t>
  </si>
  <si>
    <t>Мышалов Е.Л.</t>
  </si>
  <si>
    <t>Титченко А.В.</t>
  </si>
  <si>
    <t>Лучкина Н.Г.</t>
  </si>
  <si>
    <t>Наумов С.Н.</t>
  </si>
  <si>
    <t>Жовтенко О.А.</t>
  </si>
  <si>
    <t>Кривенюк В.Д.</t>
  </si>
  <si>
    <t>Сурганова В.Е.</t>
  </si>
  <si>
    <t>Серкевич А.С.</t>
  </si>
  <si>
    <t>Воробьева Т.С.</t>
  </si>
  <si>
    <t>Винская Ю.О.</t>
  </si>
  <si>
    <t>Дурнева А.Н.</t>
  </si>
  <si>
    <t>Лебедева О.В.</t>
  </si>
  <si>
    <t>Козырис И.Н.</t>
  </si>
  <si>
    <t>Розенберг А.Е.</t>
  </si>
  <si>
    <t>Трагель А.П.</t>
  </si>
  <si>
    <t>Сидоркин Н.Б.</t>
  </si>
  <si>
    <t>Андриенко Н.Г.</t>
  </si>
  <si>
    <t>Коротаева О.Д.</t>
  </si>
  <si>
    <t>Алилуева Н.С.</t>
  </si>
  <si>
    <t>Бабич П.Н.</t>
  </si>
  <si>
    <t>Шестакова М.Ф.</t>
  </si>
  <si>
    <t>Мищенко А. Ф.</t>
  </si>
  <si>
    <t>Судомоева Н.Е.</t>
  </si>
  <si>
    <t>Кривич Л. И.</t>
  </si>
  <si>
    <t>Кравчук В.В.</t>
  </si>
  <si>
    <t>Пермяков С.В.</t>
  </si>
  <si>
    <t>Ларченко С.В.</t>
  </si>
  <si>
    <t>Орлинская Н.В.</t>
  </si>
  <si>
    <t>Яшин А.И.</t>
  </si>
  <si>
    <t>Мокина О.С.</t>
  </si>
  <si>
    <t>Селюк Г.И.</t>
  </si>
  <si>
    <t>Торкунова Л.Н.</t>
  </si>
  <si>
    <t>Махотина И.С.</t>
  </si>
  <si>
    <t>Трусова Л.И.</t>
  </si>
  <si>
    <t>Мара Г.В.</t>
  </si>
  <si>
    <t>Карасева Т.И.</t>
  </si>
  <si>
    <t>Шевелев В.А.</t>
  </si>
  <si>
    <t>Купченко Е.А.</t>
  </si>
  <si>
    <t>Козлова Т.А.</t>
  </si>
  <si>
    <t>Лукащук К.А.</t>
  </si>
  <si>
    <t>Галайда Т.В.</t>
  </si>
  <si>
    <t>Антоненко А.А.</t>
  </si>
  <si>
    <t>Крутилина Л.Г.</t>
  </si>
  <si>
    <t>Куприн А.В.</t>
  </si>
  <si>
    <t>Шакиров А.Ж.</t>
  </si>
  <si>
    <t>Абрашин И.С.</t>
  </si>
  <si>
    <t>Марков А.В.</t>
  </si>
  <si>
    <t>Сивковский А.А.</t>
  </si>
  <si>
    <t>Пшеничная О.А.</t>
  </si>
  <si>
    <t>Хегай С.В.</t>
  </si>
  <si>
    <t>Денищенко В.Я.</t>
  </si>
  <si>
    <t>Жириков В.Н.</t>
  </si>
  <si>
    <t>Довиденко О. И.</t>
  </si>
  <si>
    <t>Годяев В.В.</t>
  </si>
  <si>
    <t>Скороход О.А.</t>
  </si>
  <si>
    <t>Левицкая Н.А.</t>
  </si>
  <si>
    <t>Костаракова Т.В.</t>
  </si>
  <si>
    <t>Карпенок А.А.</t>
  </si>
  <si>
    <t>Еськова А.П.</t>
  </si>
  <si>
    <t>Гаврыш А.А.</t>
  </si>
  <si>
    <t>Литвин Г.С.</t>
  </si>
  <si>
    <t>Лемесев В.К.</t>
  </si>
  <si>
    <t>Джабиев И.Г.</t>
  </si>
  <si>
    <t>Шкредова Ю.А.</t>
  </si>
  <si>
    <t>Власов В.В.</t>
  </si>
  <si>
    <t>Кабилов А.Г.</t>
  </si>
  <si>
    <t>Малкин Н. С.</t>
  </si>
  <si>
    <t>Булатов С.А.</t>
  </si>
  <si>
    <t>Нарядова В.Л.</t>
  </si>
  <si>
    <t>Гвозденко И.М.</t>
  </si>
  <si>
    <t>Слободской В.В.</t>
  </si>
  <si>
    <t>Минхайдаров В.Ю.</t>
  </si>
  <si>
    <t>Подашов А. В.</t>
  </si>
  <si>
    <t>Либак С.Н.</t>
  </si>
  <si>
    <t>Александров Л.Н.</t>
  </si>
  <si>
    <t>Гладкова А.Г.</t>
  </si>
  <si>
    <t>Димова Е.И.</t>
  </si>
  <si>
    <t>Петрова Т.И.</t>
  </si>
  <si>
    <t>Волкова О.В.</t>
  </si>
  <si>
    <t>Таран Ю.Л.</t>
  </si>
  <si>
    <t>Бояркин Д.И.</t>
  </si>
  <si>
    <t>Рубан Д.Ф.</t>
  </si>
  <si>
    <t>Заикин Р.Н.</t>
  </si>
  <si>
    <t>Пастушенко В.А.</t>
  </si>
  <si>
    <t>Коломицева Е.О.</t>
  </si>
  <si>
    <t>Марин И.И.</t>
  </si>
  <si>
    <t>Романова Е.С.</t>
  </si>
  <si>
    <t>Самусев Д.Н.</t>
  </si>
  <si>
    <t>Баранович А.С.</t>
  </si>
  <si>
    <t>Макарский А.В.</t>
  </si>
  <si>
    <t>Дубоделова Е.В.</t>
  </si>
  <si>
    <t>Михалдыка И.С.</t>
  </si>
  <si>
    <t>Шамсутдинов С.А.</t>
  </si>
  <si>
    <t>Шин И.С.</t>
  </si>
  <si>
    <t>Кашеверова Т.В.</t>
  </si>
  <si>
    <t>Лось В.М.</t>
  </si>
  <si>
    <t>Тен А.М</t>
  </si>
  <si>
    <t>Сыч Л.Н.</t>
  </si>
  <si>
    <t>Чупин А.А.</t>
  </si>
  <si>
    <t>Колесникова А.А.</t>
  </si>
  <si>
    <t>Машарова Н.А.</t>
  </si>
  <si>
    <t>Тищенко В.И.</t>
  </si>
  <si>
    <t>Ли Д.О.</t>
  </si>
  <si>
    <t>Ерошенков А.Е.</t>
  </si>
  <si>
    <t>Базылев А.Л.</t>
  </si>
  <si>
    <t>Газарян С.В.</t>
  </si>
  <si>
    <t>Плещева Н.В.</t>
  </si>
  <si>
    <t>Пугин С.В.</t>
  </si>
  <si>
    <t>Названов А.В.</t>
  </si>
  <si>
    <t>Ларгина А.И.</t>
  </si>
  <si>
    <t>Андрейченко Е.В.</t>
  </si>
  <si>
    <t>Гусак Л.В.</t>
  </si>
  <si>
    <t>Русинов С.В.</t>
  </si>
  <si>
    <t>Нуруллина Н.И.</t>
  </si>
  <si>
    <t>Козлова Н.В.</t>
  </si>
  <si>
    <t>Логинова А.В.</t>
  </si>
  <si>
    <t>Фисунова М.А.</t>
  </si>
  <si>
    <t>Меньщиков Е.А.</t>
  </si>
  <si>
    <t>ФГБУ "Гидроспецгеология"</t>
  </si>
  <si>
    <t>Горбатенко С.А.</t>
  </si>
  <si>
    <t>Коваленко Р.С.</t>
  </si>
  <si>
    <t>Зиновьев А.С.</t>
  </si>
  <si>
    <t>Косолапова В.В.</t>
  </si>
  <si>
    <t>Каримов Ш.Н.</t>
  </si>
  <si>
    <t>Осипов Д.В.</t>
  </si>
  <si>
    <t>Незговоров П.А.</t>
  </si>
  <si>
    <t>Чупин А.М.</t>
  </si>
  <si>
    <t>Саласина М.Г.</t>
  </si>
  <si>
    <t>Баранюк И.А.</t>
  </si>
  <si>
    <t>Зотова Н.А.</t>
  </si>
  <si>
    <t>Колесник А.Т.</t>
  </si>
  <si>
    <t>Зайчикова В.В.</t>
  </si>
  <si>
    <t>Амбросенок Л.Л.</t>
  </si>
  <si>
    <t>Никитенко Е.А.</t>
  </si>
  <si>
    <t>Карпенко Р.И.</t>
  </si>
  <si>
    <t>Ягнич П.П.</t>
  </si>
  <si>
    <t>Ким С.Г.</t>
  </si>
  <si>
    <t>Савченко Т.И.</t>
  </si>
  <si>
    <t>Загородняя С.В.</t>
  </si>
  <si>
    <t>ООО "УСМУ"</t>
  </si>
  <si>
    <t>Азаров Р.А.</t>
  </si>
  <si>
    <t>Каршиев Ф.И.</t>
  </si>
  <si>
    <t>Мишура Л.С.</t>
  </si>
  <si>
    <t>Ли В.Э.</t>
  </si>
  <si>
    <t>ИП Рожкова О.В.</t>
  </si>
  <si>
    <t>Грабовский И.Н.</t>
  </si>
  <si>
    <t>Добряк Е.В.</t>
  </si>
  <si>
    <t>Попов Ю.И.</t>
  </si>
  <si>
    <t>Павленко И.В.</t>
  </si>
  <si>
    <t>Кравченко С.П.</t>
  </si>
  <si>
    <t>Синенко В.А.</t>
  </si>
  <si>
    <t>Гусинский Д.А.</t>
  </si>
  <si>
    <t>Новикова Т.В.</t>
  </si>
  <si>
    <t>Герасименко Т.С.</t>
  </si>
  <si>
    <t>Золотаревич И.С.</t>
  </si>
  <si>
    <t>Мирошникова Н.С.</t>
  </si>
  <si>
    <t>Ведерникова А. Н</t>
  </si>
  <si>
    <t>Пщебильский К.О.</t>
  </si>
  <si>
    <t>Малышева А.А.</t>
  </si>
  <si>
    <t>Сандалова Ж.С.</t>
  </si>
  <si>
    <t>Кондрин Р.А.</t>
  </si>
  <si>
    <t>Барабицкая Н.И.</t>
  </si>
  <si>
    <t>Борисевич Н.М.</t>
  </si>
  <si>
    <t>Мирошник Е.Ю.</t>
  </si>
  <si>
    <t>Поддубный И.В.</t>
  </si>
  <si>
    <t>Сорокин В.С.</t>
  </si>
  <si>
    <t>Суровцева Н.В.</t>
  </si>
  <si>
    <t>Лях И.С.</t>
  </si>
  <si>
    <t>Клеймёнов В.А.</t>
  </si>
  <si>
    <t>Матвеева Л.М.</t>
  </si>
  <si>
    <t>Попова О.Н.</t>
  </si>
  <si>
    <t>Палеха О.А.</t>
  </si>
  <si>
    <t>Перевозник С.Ю.</t>
  </si>
  <si>
    <t>Тербах А.В.</t>
  </si>
  <si>
    <t>Сериченко В.В.</t>
  </si>
  <si>
    <t>Калугина  О.В.</t>
  </si>
  <si>
    <t>Носанова М.П.</t>
  </si>
  <si>
    <t>Федоренко О.А.</t>
  </si>
  <si>
    <t>Никитенкова С.Н.</t>
  </si>
  <si>
    <t>Козлова С.А.</t>
  </si>
  <si>
    <t>Радченко Р.А.</t>
  </si>
  <si>
    <t>Кузьмина А.С.</t>
  </si>
  <si>
    <t>Речкалов В.В.</t>
  </si>
  <si>
    <t>Субанова Н.А.</t>
  </si>
  <si>
    <t>Нань Чансун</t>
  </si>
  <si>
    <t>Дзюба В.Н.</t>
  </si>
  <si>
    <t>ООО "Орхидея"</t>
  </si>
  <si>
    <t>Черныш С.В.</t>
  </si>
  <si>
    <t>Чистякова Е.А.</t>
  </si>
  <si>
    <t>Байдюк А.М.</t>
  </si>
  <si>
    <t>Дегай Л.А.</t>
  </si>
  <si>
    <t>Сазонкин А.В.</t>
  </si>
  <si>
    <t>Терехов С.А.</t>
  </si>
  <si>
    <t>Дербенева Е.М.</t>
  </si>
  <si>
    <t>Величко В.Э.</t>
  </si>
  <si>
    <t>Ан Е.</t>
  </si>
  <si>
    <t>Губарев Д.А.</t>
  </si>
  <si>
    <t>Москвитин А.Н.</t>
  </si>
  <si>
    <t>Котляр П.П.</t>
  </si>
  <si>
    <t>Радченко В.В.</t>
  </si>
  <si>
    <t>Поклонская С.А.</t>
  </si>
  <si>
    <t>Корнеев И.Ю.</t>
  </si>
  <si>
    <t>Баротов У.Д.</t>
  </si>
  <si>
    <t>Клеймёнова И.А.</t>
  </si>
  <si>
    <t>ИП Алиев Э.М-о</t>
  </si>
  <si>
    <t>Румянцев А.О.</t>
  </si>
  <si>
    <t>Кудря А.В.</t>
  </si>
  <si>
    <t>Марьина А.А.</t>
  </si>
  <si>
    <t>Снимщикова Н.Ю.</t>
  </si>
  <si>
    <t>Балыко И.А.</t>
  </si>
  <si>
    <t>Теплова М.С.</t>
  </si>
  <si>
    <t>Тернюк В.А.</t>
  </si>
  <si>
    <t>Колотьева В.А.</t>
  </si>
  <si>
    <t>Приходько Н.В.</t>
  </si>
  <si>
    <t>Егорченко Е.Н.</t>
  </si>
  <si>
    <t>Рубан Л.Г.</t>
  </si>
  <si>
    <t>Ходыко А.Н.</t>
  </si>
  <si>
    <t>Пономарчук А.А.</t>
  </si>
  <si>
    <t>Постников З.И.</t>
  </si>
  <si>
    <t>Баевский В.В.</t>
  </si>
  <si>
    <t>Прибыльский С.В.</t>
  </si>
  <si>
    <t>Ким Е.А.</t>
  </si>
  <si>
    <t>Калединцева Г.А.</t>
  </si>
  <si>
    <t>Снетков Г.А.</t>
  </si>
  <si>
    <t>Овчарик Н.М.</t>
  </si>
  <si>
    <t>Христодор Л.А.</t>
  </si>
  <si>
    <t>Салтовская М.А.</t>
  </si>
  <si>
    <t>Ли О.С.</t>
  </si>
  <si>
    <t>Рогачева Е.В.</t>
  </si>
  <si>
    <t>Трунов В.А.</t>
  </si>
  <si>
    <t>Пикулин Р.В.</t>
  </si>
  <si>
    <t>Янькова С.В.</t>
  </si>
  <si>
    <t>Панкратова О.В.</t>
  </si>
  <si>
    <t>Кан Ю.Б.</t>
  </si>
  <si>
    <t>Медведева И.Н.</t>
  </si>
  <si>
    <t>Гурьева Е.И.</t>
  </si>
  <si>
    <t>Вербицкий Р.В.</t>
  </si>
  <si>
    <t>Ирклиенко И.Ю.</t>
  </si>
  <si>
    <t>Руденко В.Н.</t>
  </si>
  <si>
    <t>Серпилов И.Б.</t>
  </si>
  <si>
    <t>Смирнов М.В.</t>
  </si>
  <si>
    <t>Волдинер А.Н.</t>
  </si>
  <si>
    <t>Плотникова О.В.</t>
  </si>
  <si>
    <t>Вакаева О.В.</t>
  </si>
  <si>
    <t>Романов С.В.</t>
  </si>
  <si>
    <t>Каппушев Д.М.</t>
  </si>
  <si>
    <t>Шелег А.В.</t>
  </si>
  <si>
    <t>Обыбок С.Н.</t>
  </si>
  <si>
    <t>Тен М.</t>
  </si>
  <si>
    <t>Те Х.Г.</t>
  </si>
  <si>
    <t>Сенчик Н.В.</t>
  </si>
  <si>
    <t>Шарин С.И.</t>
  </si>
  <si>
    <t>Митряйкин Д.Ю.</t>
  </si>
  <si>
    <t>ИП Буянов С.И.</t>
  </si>
  <si>
    <t>Веселова Э.С.</t>
  </si>
  <si>
    <t>Школа Е.В.</t>
  </si>
  <si>
    <t>Березин С.М.</t>
  </si>
  <si>
    <t>Шутова К.К.</t>
  </si>
  <si>
    <t>Абашникова Г.Н.</t>
  </si>
  <si>
    <t>Кугук О.В.</t>
  </si>
  <si>
    <t>Плохотнюк Л.В.</t>
  </si>
  <si>
    <t>Евтушенко А.А.</t>
  </si>
  <si>
    <t>Цыренов П.Б.</t>
  </si>
  <si>
    <t>Шкиль О.В.</t>
  </si>
  <si>
    <t>ИП Петросян С.В.</t>
  </si>
  <si>
    <t>Чебуркова Н.А.</t>
  </si>
  <si>
    <t>Гайдашева С.Н.</t>
  </si>
  <si>
    <t>Новикова А.В.</t>
  </si>
  <si>
    <t>Серебряков Е.А.</t>
  </si>
  <si>
    <t>Киверов М.Г.</t>
  </si>
  <si>
    <t>Попова Э.Д.</t>
  </si>
  <si>
    <t>Балян Е.И.</t>
  </si>
  <si>
    <t>Буниатян А.С.</t>
  </si>
  <si>
    <t>Алиаббасов Р.Р.</t>
  </si>
  <si>
    <t>Романько Ю.И.</t>
  </si>
  <si>
    <t>Самойлова Е.Х.</t>
  </si>
  <si>
    <t>Ким А.К.</t>
  </si>
  <si>
    <t>Мамонов И.И.</t>
  </si>
  <si>
    <t>Ситников А.В.</t>
  </si>
  <si>
    <t>Богословский С.В.</t>
  </si>
  <si>
    <t>Олейников О.А.</t>
  </si>
  <si>
    <t>Бовыкин В.Н.</t>
  </si>
  <si>
    <t>Васюченко Н.А.</t>
  </si>
  <si>
    <t>Лаврентьева В.О.</t>
  </si>
  <si>
    <t>Леонченко Т.М.</t>
  </si>
  <si>
    <t>Саторов Р.Ш.</t>
  </si>
  <si>
    <t>Гюльалиев М.Б.о.</t>
  </si>
  <si>
    <t>Киселев Н.И.</t>
  </si>
  <si>
    <t>Романович О.Г.</t>
  </si>
  <si>
    <t>Барц Т.В.</t>
  </si>
  <si>
    <t>Чебалова М.А.</t>
  </si>
  <si>
    <t>Жезлов Ю.А.</t>
  </si>
  <si>
    <t>Красильникова О.В.</t>
  </si>
  <si>
    <t>Макиенко А.Е.</t>
  </si>
  <si>
    <t>Кочергин И.С.</t>
  </si>
  <si>
    <t>Исанбетова Е.И.</t>
  </si>
  <si>
    <t>Пальчук К.П.</t>
  </si>
  <si>
    <t>Зимерев С.И.</t>
  </si>
  <si>
    <t>Алейникова С.А.</t>
  </si>
  <si>
    <t>Чайка З.А.</t>
  </si>
  <si>
    <t>Жук В.А.</t>
  </si>
  <si>
    <t>Ляхова Ю.Ф.</t>
  </si>
  <si>
    <t>Цыганкова Т.С.</t>
  </si>
  <si>
    <t>Нечай Д.М.</t>
  </si>
  <si>
    <t>Герьятович С.Ю.</t>
  </si>
  <si>
    <t>Деменко В.В.</t>
  </si>
  <si>
    <t>Фарафонов В.В.</t>
  </si>
  <si>
    <t>Полещук Р.П.</t>
  </si>
  <si>
    <t>Тягло Л.И.</t>
  </si>
  <si>
    <t>Иванцова Н.М.</t>
  </si>
  <si>
    <t>Мажуга А.П.</t>
  </si>
  <si>
    <t>Турдиев Х.О.</t>
  </si>
  <si>
    <t>Лосева Л.Т.</t>
  </si>
  <si>
    <t>Рудневская М.П.</t>
  </si>
  <si>
    <t>Тюлемишев Е.З</t>
  </si>
  <si>
    <t>Медведев Г.И.</t>
  </si>
  <si>
    <t>Щекач Е.В.</t>
  </si>
  <si>
    <t>Тураносов А.Н.</t>
  </si>
  <si>
    <t>Нагай Е.В.</t>
  </si>
  <si>
    <t>Бородин Д.А.</t>
  </si>
  <si>
    <t>Чупракова С.А</t>
  </si>
  <si>
    <t>Шкрыль В.С.</t>
  </si>
  <si>
    <t>Смирнов А.Н.</t>
  </si>
  <si>
    <t>Чекулаев С.А.</t>
  </si>
  <si>
    <t>Штода Г.В.</t>
  </si>
  <si>
    <t>Федоренко Е.В.</t>
  </si>
  <si>
    <t>Штепа О.Л.</t>
  </si>
  <si>
    <t>Бондарь И.Н.</t>
  </si>
  <si>
    <t>Кац Г.М.</t>
  </si>
  <si>
    <t>Найденова Н.Г.</t>
  </si>
  <si>
    <t>Макарова С.В.</t>
  </si>
  <si>
    <t>Машукова Е.Л.</t>
  </si>
  <si>
    <t>Овсюк Е.А.</t>
  </si>
  <si>
    <t>Петренко О.Ю.</t>
  </si>
  <si>
    <t>Захаркина Т.С.</t>
  </si>
  <si>
    <t>Фадеев Д.В.</t>
  </si>
  <si>
    <t>Павелко Н.Н.</t>
  </si>
  <si>
    <t>Мизенко Т.С.</t>
  </si>
  <si>
    <t>Тимофеева Н.В.</t>
  </si>
  <si>
    <t>Пилипишина Ю.А.</t>
  </si>
  <si>
    <t>Маханов А.А.</t>
  </si>
  <si>
    <t>Тузюк А.П.</t>
  </si>
  <si>
    <t>Миколюк А.В.</t>
  </si>
  <si>
    <t>Кочанова Г.А.</t>
  </si>
  <si>
    <t>Барышев С.А.</t>
  </si>
  <si>
    <t>Чекрыгина Т.М.</t>
  </si>
  <si>
    <t>Рыбьякова А.С.</t>
  </si>
  <si>
    <t>Чернушина М.Г.</t>
  </si>
  <si>
    <t>Дегтярева О.И.</t>
  </si>
  <si>
    <t>Елизарьева Н.С.</t>
  </si>
  <si>
    <t>Долгих Д.Г.</t>
  </si>
  <si>
    <t>Русанова Л.Ю.</t>
  </si>
  <si>
    <t>Денисов Е.Ю.</t>
  </si>
  <si>
    <t>Бежан О.П.</t>
  </si>
  <si>
    <t>Муравьева Е.Н.</t>
  </si>
  <si>
    <t>Крылова С.И.</t>
  </si>
  <si>
    <t>Зырянов В.Н.</t>
  </si>
  <si>
    <t>Кузьминых Ю.В.</t>
  </si>
  <si>
    <t>Игнатенко Е.Н.</t>
  </si>
  <si>
    <t>ЧОУ "Перфект-гимназия"</t>
  </si>
  <si>
    <t>Горлов А.А.</t>
  </si>
  <si>
    <t>Макотра П.А.</t>
  </si>
  <si>
    <t>Швецов В.А.</t>
  </si>
  <si>
    <t>Юдов Л.Л.</t>
  </si>
  <si>
    <t>Баранова З.В.</t>
  </si>
  <si>
    <t>Батраева Л.Ю.</t>
  </si>
  <si>
    <t>Иванов А. Н.</t>
  </si>
  <si>
    <t>Иванов Е.С.</t>
  </si>
  <si>
    <t>Мартынов А.Л.</t>
  </si>
  <si>
    <t>Ли Р. Бан-Чунович</t>
  </si>
  <si>
    <t>Турков Д.Г.</t>
  </si>
  <si>
    <t>Ан Г.П.</t>
  </si>
  <si>
    <t>Никитин Е.Е.</t>
  </si>
  <si>
    <t>Джониев М.И.</t>
  </si>
  <si>
    <t>Джониев Р.И.</t>
  </si>
  <si>
    <t>Склярова В.В.</t>
  </si>
  <si>
    <t>Шувалова Т.В.</t>
  </si>
  <si>
    <t>Поддубный А.В.</t>
  </si>
  <si>
    <t>Лукшайтис А.Ю.</t>
  </si>
  <si>
    <t>ГСК "Заозерный"</t>
  </si>
  <si>
    <t>Решетько Н. И.</t>
  </si>
  <si>
    <t>Рыбалко А.А.</t>
  </si>
  <si>
    <t>Матяш Е.О.</t>
  </si>
  <si>
    <t>Шалыгина О.П.</t>
  </si>
  <si>
    <t>Храмов А.В.</t>
  </si>
  <si>
    <t>Подлягин А.В.</t>
  </si>
  <si>
    <t>Симонов И.А.</t>
  </si>
  <si>
    <t>Семенов В.А.</t>
  </si>
  <si>
    <t>Желковский В.М.</t>
  </si>
  <si>
    <t>Василенко Е.В.</t>
  </si>
  <si>
    <t>Пилюгина И.А.</t>
  </si>
  <si>
    <t>Пасечник Р.П.</t>
  </si>
  <si>
    <t>Хрещатая Е.Б.</t>
  </si>
  <si>
    <t>Денисова О.Г.</t>
  </si>
  <si>
    <t>Орзулов В.А.</t>
  </si>
  <si>
    <t>Ружанский Д.А.</t>
  </si>
  <si>
    <t>Дубей Р.М.</t>
  </si>
  <si>
    <t>Шутов А.С.</t>
  </si>
  <si>
    <t>Левченко Т.В.</t>
  </si>
  <si>
    <t>Курашевич Е.В.</t>
  </si>
  <si>
    <t>Гордеева М.Н.</t>
  </si>
  <si>
    <t>Карпенко И.Г.</t>
  </si>
  <si>
    <t>Иванов И.А.</t>
  </si>
  <si>
    <t>Зеленский Е.В.</t>
  </si>
  <si>
    <t>Ким А.С.</t>
  </si>
  <si>
    <t>Рубанов В.Н.</t>
  </si>
  <si>
    <t>Хиврич Н.И.</t>
  </si>
  <si>
    <t>Савченко Н.А.</t>
  </si>
  <si>
    <t>Горохова Н.М.</t>
  </si>
  <si>
    <t>Лыков Д.И.</t>
  </si>
  <si>
    <t>Галютина Т.А.</t>
  </si>
  <si>
    <t>Лигун Е.Ю.</t>
  </si>
  <si>
    <t>Винникова Е.В.</t>
  </si>
  <si>
    <t>Ларченко К. А.</t>
  </si>
  <si>
    <t>Полосина М. В.</t>
  </si>
  <si>
    <t>Рябчиков А. Е.</t>
  </si>
  <si>
    <t>Толстых Т. И.</t>
  </si>
  <si>
    <t>Слободян О.А.</t>
  </si>
  <si>
    <t>Сгибнева Т.Т.</t>
  </si>
  <si>
    <t>Чекмарев П.А.</t>
  </si>
  <si>
    <t>Сынчугова Т.В.</t>
  </si>
  <si>
    <t>Аскерова Е.В.</t>
  </si>
  <si>
    <t>Зичковский Е.С.</t>
  </si>
  <si>
    <t>Захаркин А.В.</t>
  </si>
  <si>
    <t>Кириенко В.В.</t>
  </si>
  <si>
    <t>Губернаторова Т.В.</t>
  </si>
  <si>
    <t>Черней Е.А.</t>
  </si>
  <si>
    <t>ИП Сулейманов Г.М.о.</t>
  </si>
  <si>
    <t>Харичкова Е.В.</t>
  </si>
  <si>
    <t>Матвеев С.Н.</t>
  </si>
  <si>
    <t>Фатьков Е.П.</t>
  </si>
  <si>
    <t>Ли Р.В.</t>
  </si>
  <si>
    <t>Потенко Е.А.</t>
  </si>
  <si>
    <t>Негрей И. С.</t>
  </si>
  <si>
    <t>Кашицын А.В.</t>
  </si>
  <si>
    <t>Боклаг И.А.</t>
  </si>
  <si>
    <t>Баротов Г.С.</t>
  </si>
  <si>
    <t>Рябцев А. И.</t>
  </si>
  <si>
    <t>Мищук А.В.</t>
  </si>
  <si>
    <t>Мостовой С.А.</t>
  </si>
  <si>
    <t>Воронин И.В.</t>
  </si>
  <si>
    <t>Ли А.Б.</t>
  </si>
  <si>
    <t>Дурков А.Г.</t>
  </si>
  <si>
    <t>Климец Е.В.</t>
  </si>
  <si>
    <t>Насадюк Е.А.</t>
  </si>
  <si>
    <t>Хен Л.В.</t>
  </si>
  <si>
    <t>Соврасов Д.С.</t>
  </si>
  <si>
    <t>Суровый В.Г.</t>
  </si>
  <si>
    <t>Горбунова Н.В.</t>
  </si>
  <si>
    <t>Шайдуллина Г.А.</t>
  </si>
  <si>
    <t>Картунова Е.В.</t>
  </si>
  <si>
    <t>Лотоков А.И.</t>
  </si>
  <si>
    <t>Мельникова О.В.</t>
  </si>
  <si>
    <t>Хамзина Д.Н</t>
  </si>
  <si>
    <t>Черепанова А.В.</t>
  </si>
  <si>
    <t>Мизгирева С.Г.</t>
  </si>
  <si>
    <t>Гребенюк А.А.</t>
  </si>
  <si>
    <t>Клейменова Л. М.</t>
  </si>
  <si>
    <t>Грабчук В.А.</t>
  </si>
  <si>
    <t>Решетнева И. В.</t>
  </si>
  <si>
    <t>Вагин В. С.</t>
  </si>
  <si>
    <t>Николаева Т.К.</t>
  </si>
  <si>
    <t>Дьордь И.М.</t>
  </si>
  <si>
    <t>Миненко Г.А.</t>
  </si>
  <si>
    <t>Лысенко Т.И.</t>
  </si>
  <si>
    <t>Истомин А,А.</t>
  </si>
  <si>
    <t>Рой И.П.</t>
  </si>
  <si>
    <t>Процан Е.В.</t>
  </si>
  <si>
    <t>Лысов Е.Ю.</t>
  </si>
  <si>
    <t>Середина Т.А.</t>
  </si>
  <si>
    <t>Кафизова А.А.</t>
  </si>
  <si>
    <t>Сокирченко В.Н.</t>
  </si>
  <si>
    <t>Пак А.Ю.</t>
  </si>
  <si>
    <t>Могель А.А.</t>
  </si>
  <si>
    <t>Шерстянкина Т.Ю.</t>
  </si>
  <si>
    <t>Цой Ш.Н.</t>
  </si>
  <si>
    <t>Жданова В.С.</t>
  </si>
  <si>
    <t>Корниевская Г.М.</t>
  </si>
  <si>
    <t>Гончаров Р.С.</t>
  </si>
  <si>
    <t>Гижицкая О.В.</t>
  </si>
  <si>
    <t>ООО "Восточный рай"</t>
  </si>
  <si>
    <t>Свих Э.Г.</t>
  </si>
  <si>
    <t>Буглак Л.С.</t>
  </si>
  <si>
    <t>Крылов А.С.</t>
  </si>
  <si>
    <t>Козлова Л.П.</t>
  </si>
  <si>
    <t>Филипьева Т.К.</t>
  </si>
  <si>
    <t>Бычков А.В.</t>
  </si>
  <si>
    <t>Лещенко А.Г.</t>
  </si>
  <si>
    <t>Ким В.Р.</t>
  </si>
  <si>
    <t>Федореева О.Е.</t>
  </si>
  <si>
    <t>Починский А.С.</t>
  </si>
  <si>
    <t>Манченко Л.Н.</t>
  </si>
  <si>
    <t>Татусь Р.Г.</t>
  </si>
  <si>
    <t>Макеева Р.И.</t>
  </si>
  <si>
    <t>Ярмоленко Г.Г.</t>
  </si>
  <si>
    <t>Явтушенко И.И.</t>
  </si>
  <si>
    <t>Корнеев А.И.</t>
  </si>
  <si>
    <t>Ющенко В.С.</t>
  </si>
  <si>
    <t>Шапошникова Р.П.</t>
  </si>
  <si>
    <t>Качановский Н.А.</t>
  </si>
  <si>
    <t>Хвалеева Я.Э.</t>
  </si>
  <si>
    <t>Стрельникова С.Ю.</t>
  </si>
  <si>
    <t>Ковалев А.Н.</t>
  </si>
  <si>
    <t>Корнеев Р.А.</t>
  </si>
  <si>
    <t>Кочегарова Е.А.</t>
  </si>
  <si>
    <t>Корчуганова О.В.</t>
  </si>
  <si>
    <t>Солонин М.М.</t>
  </si>
  <si>
    <t>Ким О.Н.</t>
  </si>
  <si>
    <t>Гвоздева Л.А.</t>
  </si>
  <si>
    <t>Ситкевич В.Е.</t>
  </si>
  <si>
    <t>Глуговский С.А.</t>
  </si>
  <si>
    <t>Шандра М.Ю.</t>
  </si>
  <si>
    <t>Чухно Н.И.</t>
  </si>
  <si>
    <t>Морозова Н.С.</t>
  </si>
  <si>
    <t>Киршина А.Г.</t>
  </si>
  <si>
    <t>Хвостов А.А.</t>
  </si>
  <si>
    <t>Воеводенко М.В.</t>
  </si>
  <si>
    <t>Хадоскин М.В.</t>
  </si>
  <si>
    <t>Романов Ю.А.</t>
  </si>
  <si>
    <t>Шелепов А.А.</t>
  </si>
  <si>
    <t>Барабаш Д.Ю.</t>
  </si>
  <si>
    <t>Ли В.А.</t>
  </si>
  <si>
    <t>Мелехина С.В.</t>
  </si>
  <si>
    <t>Иванько В.В.</t>
  </si>
  <si>
    <t>Юрин А.Н.</t>
  </si>
  <si>
    <t>Шустов Е.В.</t>
  </si>
  <si>
    <t>Куценко Т.В.</t>
  </si>
  <si>
    <t>Зоркова Е.М.</t>
  </si>
  <si>
    <t>Девяткина А.Н.</t>
  </si>
  <si>
    <t>Ким А.П.</t>
  </si>
  <si>
    <t>Казарин О.М.</t>
  </si>
  <si>
    <t>Ким Л. С.</t>
  </si>
  <si>
    <t>Медведева Е.В.</t>
  </si>
  <si>
    <t>Рыберт В.И.</t>
  </si>
  <si>
    <t>Маточкин С.А.</t>
  </si>
  <si>
    <t>ИП Ким Т.Е.</t>
  </si>
  <si>
    <t>Гончарова А.А.</t>
  </si>
  <si>
    <t>Алеев А.В.</t>
  </si>
  <si>
    <t>ИП Киселева В.В.</t>
  </si>
  <si>
    <t>ООО "СтройПромТранс"</t>
  </si>
  <si>
    <t>Муравьев Д.В.</t>
  </si>
  <si>
    <t>Бойчук Е.А.</t>
  </si>
  <si>
    <t>ИП Серов Д.И.</t>
  </si>
  <si>
    <t>Кардемук Т.Ф.</t>
  </si>
  <si>
    <t>Алексеев Н.Ю.</t>
  </si>
  <si>
    <t>Письменная Е.В.</t>
  </si>
  <si>
    <t>Орлова Н.В.</t>
  </si>
  <si>
    <t>Лавренчук Е.К.</t>
  </si>
  <si>
    <t>Ерош В.В.</t>
  </si>
  <si>
    <t>Нестерова О.П.</t>
  </si>
  <si>
    <t>Гладких Р.А.</t>
  </si>
  <si>
    <t>Амиров Н.Д.о.</t>
  </si>
  <si>
    <t>Баева Л.А.</t>
  </si>
  <si>
    <t>Малютина В.С.</t>
  </si>
  <si>
    <t>Каптел П.А.</t>
  </si>
  <si>
    <t>Иванкин Д.В.</t>
  </si>
  <si>
    <t>Уссурийское РАЙПО</t>
  </si>
  <si>
    <t>Карзевич Д. Г.</t>
  </si>
  <si>
    <t>Лукащук С.А.</t>
  </si>
  <si>
    <t>Денискина А.Н.</t>
  </si>
  <si>
    <t>Моисеенко А.В.</t>
  </si>
  <si>
    <t>Орещин А.Ю.</t>
  </si>
  <si>
    <t>Ковтанюк Н.А.</t>
  </si>
  <si>
    <t>ИП Ляповка А. Н.</t>
  </si>
  <si>
    <t>Заболотный Е.С.</t>
  </si>
  <si>
    <t>Мазеева В.Г.</t>
  </si>
  <si>
    <t>Денискина А.В.</t>
  </si>
  <si>
    <t>Куницкая Л.П.</t>
  </si>
  <si>
    <t>Гаврильчик А.А.</t>
  </si>
  <si>
    <t>Романова Е.А.</t>
  </si>
  <si>
    <t>Карманова Н.Н.</t>
  </si>
  <si>
    <t>Волончук Л. В.</t>
  </si>
  <si>
    <t>Терентьев О.Г.</t>
  </si>
  <si>
    <t>Чутченко Д.В.</t>
  </si>
  <si>
    <t>Туганова Л.Д.</t>
  </si>
  <si>
    <t>Аношкина Е.Л.</t>
  </si>
  <si>
    <t>Войсковая часть № 16662</t>
  </si>
  <si>
    <t>Балаганова Т.И.</t>
  </si>
  <si>
    <t>АО "Первая Башенная Компания"</t>
  </si>
  <si>
    <t>Тен Н.Э.</t>
  </si>
  <si>
    <t>Кравец А.А.</t>
  </si>
  <si>
    <t>Елизарова О.Т.</t>
  </si>
  <si>
    <t>Угай Фрося</t>
  </si>
  <si>
    <t>Галушко С.В.</t>
  </si>
  <si>
    <t>Алекперов М.Т.О.</t>
  </si>
  <si>
    <t>Дударева Е.А.</t>
  </si>
  <si>
    <t>Хоменко И.А.</t>
  </si>
  <si>
    <t>Афанасьев Е.А.</t>
  </si>
  <si>
    <t>Веремчук А.А.</t>
  </si>
  <si>
    <t>Алексенко Д.А.</t>
  </si>
  <si>
    <t>Теличко А.Ю.</t>
  </si>
  <si>
    <t>Колесников Н.С.</t>
  </si>
  <si>
    <t>ИП Бредман О.Г.</t>
  </si>
  <si>
    <t>Сердюк А.Г.</t>
  </si>
  <si>
    <t>Сураев Ю.В.</t>
  </si>
  <si>
    <t>Тен В.В.</t>
  </si>
  <si>
    <t>ИП Захаркин Е.В.</t>
  </si>
  <si>
    <t>Михайловский А.В.</t>
  </si>
  <si>
    <t>Сканцева С.Ю.</t>
  </si>
  <si>
    <t>ГК "Железнодорожник-2"</t>
  </si>
  <si>
    <t>Киселев К.Р.</t>
  </si>
  <si>
    <t>Карташов А.В.</t>
  </si>
  <si>
    <t>Арапко С.М.</t>
  </si>
  <si>
    <t>Лалабекян А.Ж.</t>
  </si>
  <si>
    <t>Боярский А.Н.</t>
  </si>
  <si>
    <t>Акционерное общество "Уссурийск-Электросеть" Уссурийского городского округа</t>
  </si>
  <si>
    <t>Кабель ААБл 1 4*240</t>
  </si>
  <si>
    <t>Кабель ААБл 1 4*70</t>
  </si>
  <si>
    <t>Кабель ААБл 1 4*95</t>
  </si>
  <si>
    <t>104-21 (1)</t>
  </si>
  <si>
    <t>104-21 (2)</t>
  </si>
  <si>
    <t>КГБУЗ "Уссурийская ЦГБ"</t>
  </si>
  <si>
    <t>Федоренко Н.С.</t>
  </si>
  <si>
    <t>1355-22</t>
  </si>
  <si>
    <r>
      <t>252/23</t>
    </r>
    <r>
      <rPr>
        <sz val="10"/>
        <rFont val="Calibri"/>
        <family val="2"/>
        <charset val="204"/>
        <scheme val="minor"/>
      </rPr>
      <t>-3Д/4</t>
    </r>
  </si>
  <si>
    <t>ИП Арутюнян Р.Э.</t>
  </si>
  <si>
    <t>ООО "Сказка"</t>
  </si>
  <si>
    <t xml:space="preserve">ООО "Механизм сервис" </t>
  </si>
  <si>
    <t>ИП Кирилюк А.Г.</t>
  </si>
  <si>
    <t>ООО "КХ "Виктория"</t>
  </si>
  <si>
    <t>ООО "СИК "Атлант"</t>
  </si>
  <si>
    <t>Гостев А.А.</t>
  </si>
  <si>
    <t>ИП Абибулаев Р.Ш.</t>
  </si>
  <si>
    <t xml:space="preserve">ООО "Фуджи" </t>
  </si>
  <si>
    <t>ИП Козлов В.В.</t>
  </si>
  <si>
    <t>Калинина В.В.</t>
  </si>
  <si>
    <t>ООО СЗ "Ар.Сей"</t>
  </si>
  <si>
    <t>ИП Михайлин А.Е.</t>
  </si>
  <si>
    <t>МБОУ "СОШ №14"</t>
  </si>
  <si>
    <t>ИП Эм В.В.</t>
  </si>
  <si>
    <t>ИП Малахов В.А.</t>
  </si>
  <si>
    <t xml:space="preserve">859-21 </t>
  </si>
  <si>
    <t>Инвестиционная программа 2022г.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</si>
  <si>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</si>
  <si>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</si>
  <si>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</si>
  <si>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</si>
  <si>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</si>
  <si>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</si>
  <si>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</si>
  <si>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</si>
  <si>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</si>
  <si>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</si>
  <si>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</si>
  <si>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</si>
  <si>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</si>
  <si>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</si>
  <si>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</si>
  <si>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</si>
  <si>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</si>
  <si>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</si>
  <si>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</si>
  <si>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</si>
  <si>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</si>
  <si>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</si>
  <si>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</si>
  <si>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</si>
  <si>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</si>
  <si>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</si>
  <si>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</si>
  <si>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</si>
  <si>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</si>
  <si>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</si>
  <si>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</si>
  <si>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</si>
  <si>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</si>
  <si>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</si>
  <si>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</si>
  <si>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</si>
  <si>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</si>
  <si>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</si>
  <si>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</si>
  <si>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</si>
  <si>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</si>
  <si>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</si>
  <si>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</si>
  <si>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</si>
  <si>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</si>
  <si>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</si>
  <si>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</si>
  <si>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</si>
  <si>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</si>
  <si>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</si>
  <si>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</si>
  <si>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</si>
  <si>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</si>
  <si>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</si>
  <si>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</si>
  <si>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</si>
  <si>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</si>
  <si>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</si>
  <si>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</si>
  <si>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</si>
  <si>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</si>
  <si>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</si>
  <si>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</si>
  <si>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</si>
  <si>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</si>
  <si>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</si>
  <si>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</si>
  <si>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</si>
  <si>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</si>
  <si>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</si>
  <si>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</si>
  <si>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</si>
  <si>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</si>
  <si>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</si>
  <si>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</si>
  <si>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</si>
  <si>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</si>
  <si>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</si>
  <si>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</si>
  <si>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</si>
  <si>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</si>
  <si>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</si>
  <si>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</si>
  <si>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</si>
  <si>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</si>
  <si>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</si>
  <si>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</si>
  <si>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</si>
  <si>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</si>
  <si>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</si>
  <si>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</si>
  <si>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</si>
  <si>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</si>
  <si>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</si>
  <si>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</si>
  <si>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</si>
  <si>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</si>
  <si>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</si>
  <si>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</si>
  <si>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</si>
  <si>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</si>
  <si>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</si>
  <si>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</si>
  <si>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</si>
  <si>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</si>
  <si>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</si>
  <si>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</si>
  <si>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</si>
  <si>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</si>
  <si>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</si>
  <si>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</si>
  <si>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</si>
  <si>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</si>
  <si>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</si>
  <si>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</si>
  <si>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</si>
  <si>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</si>
  <si>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</si>
  <si>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</si>
  <si>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</si>
  <si>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</si>
  <si>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</si>
  <si>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</si>
  <si>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</si>
  <si>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</si>
  <si>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</si>
  <si>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</si>
  <si>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</si>
  <si>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</si>
  <si>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</si>
  <si>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</si>
  <si>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</si>
  <si>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</si>
  <si>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</si>
  <si>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</si>
  <si>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</si>
  <si>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</si>
  <si>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</si>
  <si>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</si>
  <si>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</si>
  <si>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</si>
  <si>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</si>
  <si>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</si>
  <si>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</si>
  <si>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</si>
  <si>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</si>
  <si>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</si>
  <si>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</si>
  <si>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</si>
  <si>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</si>
  <si>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</si>
  <si>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</si>
  <si>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</si>
  <si>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</si>
  <si>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</si>
  <si>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</si>
  <si>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</si>
  <si>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</si>
  <si>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</si>
  <si>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</si>
  <si>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</si>
  <si>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</si>
  <si>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</si>
  <si>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</si>
  <si>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</si>
  <si>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</si>
  <si>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</si>
  <si>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</si>
  <si>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</si>
  <si>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</si>
  <si>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</si>
  <si>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</si>
  <si>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</si>
  <si>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</si>
  <si>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</si>
  <si>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</si>
  <si>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</si>
  <si>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</si>
  <si>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</si>
  <si>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</si>
  <si>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</si>
  <si>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</si>
  <si>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</si>
  <si>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</si>
  <si>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</si>
  <si>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</si>
  <si>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684</t>
  </si>
  <si>
    <t>685</t>
  </si>
  <si>
    <t>686</t>
  </si>
  <si>
    <t>687</t>
  </si>
  <si>
    <t>688</t>
  </si>
  <si>
    <t>3.1.2.2.2.1</t>
  </si>
  <si>
    <t>3.1.2.2.3.1</t>
  </si>
  <si>
    <t>1 каб</t>
  </si>
  <si>
    <t>2 каб</t>
  </si>
  <si>
    <t>3 каб</t>
  </si>
  <si>
    <t>6 каб</t>
  </si>
  <si>
    <t>4 каб</t>
  </si>
  <si>
    <t>3.1.2.2.3.2</t>
  </si>
  <si>
    <t>3.1.2.2.3.3</t>
  </si>
  <si>
    <t>3.6.2.2.3.1</t>
  </si>
  <si>
    <t>3.1.2.2.3.5</t>
  </si>
  <si>
    <t>2 трубы</t>
  </si>
  <si>
    <t>3.6.2.2.3.2</t>
  </si>
  <si>
    <t>3.6.2.2.3.4</t>
  </si>
  <si>
    <t>4 трубы</t>
  </si>
  <si>
    <t xml:space="preserve"> 1165-20</t>
  </si>
  <si>
    <t>5.1.2.1</t>
  </si>
  <si>
    <t>5.1.3.1</t>
  </si>
  <si>
    <t>5.1.4.2</t>
  </si>
  <si>
    <t>5.1.3.2</t>
  </si>
  <si>
    <t>5.1.5.2</t>
  </si>
  <si>
    <t>5.2.4.2</t>
  </si>
  <si>
    <t>5.2.5.2</t>
  </si>
  <si>
    <t>5.2.6.2</t>
  </si>
  <si>
    <t>1010-22</t>
  </si>
  <si>
    <t>532-22</t>
  </si>
  <si>
    <t>МТП 1*250</t>
  </si>
  <si>
    <t>ИП Пелипаченко А.А.</t>
  </si>
  <si>
    <t>Цой В.Н.</t>
  </si>
  <si>
    <t>ООО "Александрия"</t>
  </si>
  <si>
    <t>255/н-НН/10 (1)</t>
  </si>
  <si>
    <t>255/н-НН/10 (2)</t>
  </si>
  <si>
    <t>255/н-НН/10 (3)</t>
  </si>
  <si>
    <t>255/н-НН/10 (4)</t>
  </si>
  <si>
    <t>1269-22 (1)</t>
  </si>
  <si>
    <t>1269-22 (2)</t>
  </si>
  <si>
    <t>1269-22 (3)</t>
  </si>
  <si>
    <t>Волков В.В.</t>
  </si>
  <si>
    <t>352-22</t>
  </si>
  <si>
    <t>Викол А.И.</t>
  </si>
  <si>
    <t>178-22</t>
  </si>
  <si>
    <t>923-22</t>
  </si>
  <si>
    <t>Мелькевич В.А.</t>
  </si>
  <si>
    <t>1026-22</t>
  </si>
  <si>
    <t>Бабкина Н.В.</t>
  </si>
  <si>
    <t>ДСД "Дальний Восток"</t>
  </si>
  <si>
    <t>1172-22</t>
  </si>
  <si>
    <t>ИП Лунин В.Г.</t>
  </si>
  <si>
    <t>1676-22</t>
  </si>
  <si>
    <t>122-22</t>
  </si>
  <si>
    <t>Герасименко А.В.</t>
  </si>
  <si>
    <t>Потапенко В.В.</t>
  </si>
  <si>
    <t>760-22</t>
  </si>
  <si>
    <t>203-22</t>
  </si>
  <si>
    <t>1321-22</t>
  </si>
  <si>
    <t>Некрашевич А.Ю.</t>
  </si>
  <si>
    <t>941-22</t>
  </si>
  <si>
    <t>Коус О. Ю.</t>
  </si>
  <si>
    <t>975-22</t>
  </si>
  <si>
    <t>Кропова А.Е.</t>
  </si>
  <si>
    <t>565-22</t>
  </si>
  <si>
    <t>Зарочинцев А.В.</t>
  </si>
  <si>
    <t>807-22</t>
  </si>
  <si>
    <t>Торопов В.Г.</t>
  </si>
  <si>
    <t>1566-22</t>
  </si>
  <si>
    <t>ИП Тищенко Е.В.</t>
  </si>
  <si>
    <t>1688-22</t>
  </si>
  <si>
    <t>Федоров Е.Ф.</t>
  </si>
  <si>
    <t>914-22</t>
  </si>
  <si>
    <t>Абибулаев Р.Ш.</t>
  </si>
  <si>
    <t>1074-22</t>
  </si>
  <si>
    <t>Доманов А.Н. (Савранский В.Г.)</t>
  </si>
  <si>
    <t>1698-22</t>
  </si>
  <si>
    <t>АО"Электрозарядные станции РусГидро"</t>
  </si>
  <si>
    <t>1699-22</t>
  </si>
  <si>
    <t>1391-22</t>
  </si>
  <si>
    <t>1226-22</t>
  </si>
  <si>
    <t>Шаповалова Ю.Н.</t>
  </si>
  <si>
    <t>1696-22</t>
  </si>
  <si>
    <t>ООО "Вектор-М"</t>
  </si>
  <si>
    <t>1136-22</t>
  </si>
  <si>
    <t>Раков Д.Ю.</t>
  </si>
  <si>
    <t>613-22</t>
  </si>
  <si>
    <t>801-22</t>
  </si>
  <si>
    <t>Рябов Д.А.</t>
  </si>
  <si>
    <t>Вавилова Н.Б.</t>
  </si>
  <si>
    <t>662-22</t>
  </si>
  <si>
    <t>Прускавцова Е.А.</t>
  </si>
  <si>
    <t>1063-22</t>
  </si>
  <si>
    <t>1396-22</t>
  </si>
  <si>
    <t>Корчуганов А.В.</t>
  </si>
  <si>
    <t>570-22</t>
  </si>
  <si>
    <t>Дягилева Ю.В.</t>
  </si>
  <si>
    <t>1120-22</t>
  </si>
  <si>
    <t>Шелкун А.В.</t>
  </si>
  <si>
    <t>1023-22</t>
  </si>
  <si>
    <t>Созинова В.Ю.</t>
  </si>
  <si>
    <t>1150-22</t>
  </si>
  <si>
    <t>573-22</t>
  </si>
  <si>
    <t>ИП Гараев С.А.о.</t>
  </si>
  <si>
    <t>322-22</t>
  </si>
  <si>
    <t>Двоенко О.В.</t>
  </si>
  <si>
    <t>262-22</t>
  </si>
  <si>
    <t>Санжаровский Д.В.</t>
  </si>
  <si>
    <t>Кипер М.Ф.</t>
  </si>
  <si>
    <t>309-22</t>
  </si>
  <si>
    <t>1405-22</t>
  </si>
  <si>
    <t>АО "Газпром ДВ"</t>
  </si>
  <si>
    <t>981-22</t>
  </si>
  <si>
    <t>Карпенко В.Г.</t>
  </si>
  <si>
    <t>178-23</t>
  </si>
  <si>
    <t>Донина И.В.</t>
  </si>
  <si>
    <t>1232-22</t>
  </si>
  <si>
    <t>Дроздова А.В.</t>
  </si>
  <si>
    <t>1406-22</t>
  </si>
  <si>
    <t>1022-22</t>
  </si>
  <si>
    <t>Князева Н.М.</t>
  </si>
  <si>
    <t>735-22</t>
  </si>
  <si>
    <t>Постовалова В.А.</t>
  </si>
  <si>
    <t>290-22</t>
  </si>
  <si>
    <t>Мурашко М.В.</t>
  </si>
  <si>
    <t>136-23</t>
  </si>
  <si>
    <t>Вишневский В.П.</t>
  </si>
  <si>
    <t>713-22</t>
  </si>
  <si>
    <t>Иващук Т.В.</t>
  </si>
  <si>
    <t>1551-22</t>
  </si>
  <si>
    <t>Завальная А.Д.</t>
  </si>
  <si>
    <t>1570-22</t>
  </si>
  <si>
    <t>549-22</t>
  </si>
  <si>
    <t>ИП Рыбников М.А.</t>
  </si>
  <si>
    <t>231-22</t>
  </si>
  <si>
    <t>Маслов П.А.</t>
  </si>
  <si>
    <t>759-22</t>
  </si>
  <si>
    <t>Якубенко А.В.</t>
  </si>
  <si>
    <t>43-23</t>
  </si>
  <si>
    <t>АО "ЭЗС РусГидро"</t>
  </si>
  <si>
    <t>134-23</t>
  </si>
  <si>
    <t>ИП Багдасарян Б.С.</t>
  </si>
  <si>
    <t>934-22</t>
  </si>
  <si>
    <t>Черноусов А. А.</t>
  </si>
  <si>
    <t>464-22 (1)</t>
  </si>
  <si>
    <t>Смирнова А.В.</t>
  </si>
  <si>
    <t>464-22 (2)</t>
  </si>
  <si>
    <t>464-22 (3)</t>
  </si>
  <si>
    <t>Гижицкий М.И.</t>
  </si>
  <si>
    <t>692-22 (2)</t>
  </si>
  <si>
    <t>692-22 (1)</t>
  </si>
  <si>
    <t>287-23</t>
  </si>
  <si>
    <t>Суховеева М.Н.</t>
  </si>
  <si>
    <t>Васильева Л.Г.</t>
  </si>
  <si>
    <t>945-22</t>
  </si>
  <si>
    <t>1143-22</t>
  </si>
  <si>
    <t>Горохов А.Н.</t>
  </si>
  <si>
    <t>46-23</t>
  </si>
  <si>
    <t>719-22</t>
  </si>
  <si>
    <t>Данильченко Н.М.</t>
  </si>
  <si>
    <t>ООО "СЗ "Высота"</t>
  </si>
  <si>
    <t>576-22</t>
  </si>
  <si>
    <t>Гурьева И.А.</t>
  </si>
  <si>
    <t>665-22</t>
  </si>
  <si>
    <t>Леонова Т.Д.</t>
  </si>
  <si>
    <t>184-21 (1)</t>
  </si>
  <si>
    <t>184-21 (2)</t>
  </si>
  <si>
    <t>184-21 (3)</t>
  </si>
  <si>
    <t>166-23</t>
  </si>
  <si>
    <t>Кислый А.В.</t>
  </si>
  <si>
    <t>265-22 (2)</t>
  </si>
  <si>
    <t>265-22 (1)</t>
  </si>
  <si>
    <t>431-22 (1)</t>
  </si>
  <si>
    <t>431-22 (2)</t>
  </si>
  <si>
    <t>431-22 (3)</t>
  </si>
  <si>
    <t>784-22</t>
  </si>
  <si>
    <t>Коваленко П.М.</t>
  </si>
  <si>
    <t>1376-22</t>
  </si>
  <si>
    <t>Сидоренко А.А.</t>
  </si>
  <si>
    <t>ООО "Вавилонстрой" (ООО "Квартал-М СЗ")</t>
  </si>
  <si>
    <t>261-20 (1)</t>
  </si>
  <si>
    <t>Кабель ААБл 1 4*120 с одним кабелем в траншее</t>
  </si>
  <si>
    <t>Кабель ААБл 1 4*120 с двумя кабелями в траншее</t>
  </si>
  <si>
    <t>Кабель ААБл 1 4*120 с тремя кабелями в траншее</t>
  </si>
  <si>
    <t>Кабель ААБл 1 4*120 более четырех кабелей в траншее</t>
  </si>
  <si>
    <t>261-20 (2)</t>
  </si>
  <si>
    <t>1086-22</t>
  </si>
  <si>
    <t>Трушкин А.С.</t>
  </si>
  <si>
    <t>541-22</t>
  </si>
  <si>
    <t>645-22</t>
  </si>
  <si>
    <t>Лейбутина А.П.</t>
  </si>
  <si>
    <t>1632-22</t>
  </si>
  <si>
    <t>Юдакова О.М.</t>
  </si>
  <si>
    <t>937-22</t>
  </si>
  <si>
    <t>Михайлова Э.Л.</t>
  </si>
  <si>
    <t>950-22</t>
  </si>
  <si>
    <t>Раззоков Х.И.</t>
  </si>
  <si>
    <t>175-23</t>
  </si>
  <si>
    <t>Жусупова А.И.</t>
  </si>
  <si>
    <t>947-21 (1)</t>
  </si>
  <si>
    <t>947-21 (2)</t>
  </si>
  <si>
    <t>947-21 (3)</t>
  </si>
  <si>
    <t>24-19</t>
  </si>
  <si>
    <t>Еранская О.А.</t>
  </si>
  <si>
    <t>1606-22</t>
  </si>
  <si>
    <t>ИП Касатов Д.В.</t>
  </si>
  <si>
    <t>950-21 (1)</t>
  </si>
  <si>
    <t>ООО "ДомаСК СЗ"</t>
  </si>
  <si>
    <t>950-21 (2)</t>
  </si>
  <si>
    <t>1069-22</t>
  </si>
  <si>
    <t>Басыров А.Ю.</t>
  </si>
  <si>
    <t>298-23</t>
  </si>
  <si>
    <t>Даневич М.Э.</t>
  </si>
  <si>
    <t>1575-22</t>
  </si>
  <si>
    <t>1635-22</t>
  </si>
  <si>
    <t>1361-22</t>
  </si>
  <si>
    <t>467-23</t>
  </si>
  <si>
    <t>Крысин С.С.</t>
  </si>
  <si>
    <t>577-22</t>
  </si>
  <si>
    <t>Змиевский Р.Ю.</t>
  </si>
  <si>
    <t>396-23</t>
  </si>
  <si>
    <t>Храм Покрова Пресвятой Богородицы</t>
  </si>
  <si>
    <t>466-23</t>
  </si>
  <si>
    <t>ООО "Карбон"</t>
  </si>
  <si>
    <t>434-22</t>
  </si>
  <si>
    <t>422-23</t>
  </si>
  <si>
    <t>Гусинский Л.А.</t>
  </si>
  <si>
    <t>85-23</t>
  </si>
  <si>
    <t>Тригуб С.Г.</t>
  </si>
  <si>
    <t>1218-22</t>
  </si>
  <si>
    <t>Болгова А.А.</t>
  </si>
  <si>
    <t>1288-22</t>
  </si>
  <si>
    <t>Степанов К.Ю.</t>
  </si>
  <si>
    <t>1716-22 (1)</t>
  </si>
  <si>
    <t>1716-22 (2)</t>
  </si>
  <si>
    <t>1631-22 (1)</t>
  </si>
  <si>
    <t>329/ЗТП/ПРМ</t>
  </si>
  <si>
    <t>68-23</t>
  </si>
  <si>
    <t>Ермолаева Н.А.</t>
  </si>
  <si>
    <t>109-22</t>
  </si>
  <si>
    <t>Шарпило И.В.</t>
  </si>
  <si>
    <t>217-23</t>
  </si>
  <si>
    <t>Гладышенко В.А.</t>
  </si>
  <si>
    <t>644-22</t>
  </si>
  <si>
    <t>Охрименко Т.В.</t>
  </si>
  <si>
    <t>535-23</t>
  </si>
  <si>
    <t>ООО"Склад ДВ"</t>
  </si>
  <si>
    <t>788-22</t>
  </si>
  <si>
    <t>Ромашкина Е.В.</t>
  </si>
  <si>
    <t>71-23</t>
  </si>
  <si>
    <t>Окунева О.Г.</t>
  </si>
  <si>
    <t>687-22 (1)</t>
  </si>
  <si>
    <t>687-22 (2)</t>
  </si>
  <si>
    <t>777-23</t>
  </si>
  <si>
    <t>Гордиенко Е.А.</t>
  </si>
  <si>
    <t>738-23</t>
  </si>
  <si>
    <t>ИП Черныш Е.А.</t>
  </si>
  <si>
    <t>395-23</t>
  </si>
  <si>
    <t>Козлова О.Ю.</t>
  </si>
  <si>
    <t>619-23</t>
  </si>
  <si>
    <t>ИП Тян В.А.</t>
  </si>
  <si>
    <t>558-23</t>
  </si>
  <si>
    <t>ООО "Авангард"</t>
  </si>
  <si>
    <t>582-23</t>
  </si>
  <si>
    <t>Афанасьев А.В.</t>
  </si>
  <si>
    <t>763-23</t>
  </si>
  <si>
    <t>Промотаева З.В.</t>
  </si>
  <si>
    <t>723-22</t>
  </si>
  <si>
    <t>Журавлев В.В.</t>
  </si>
  <si>
    <t>313-23</t>
  </si>
  <si>
    <t>Бондаренко И.Н.</t>
  </si>
  <si>
    <t>213-23</t>
  </si>
  <si>
    <t>Бойко С.М.</t>
  </si>
  <si>
    <t>618-23</t>
  </si>
  <si>
    <t>Данейкин В.А.</t>
  </si>
  <si>
    <t>398-23</t>
  </si>
  <si>
    <t>Пилявец А.С.</t>
  </si>
  <si>
    <t>176-23</t>
  </si>
  <si>
    <t>ИП Газарян В.С.</t>
  </si>
  <si>
    <t>446-23</t>
  </si>
  <si>
    <t>Синкин Д.В.</t>
  </si>
  <si>
    <t>245-23</t>
  </si>
  <si>
    <t>Лашина Л.Г.</t>
  </si>
  <si>
    <t>251-22</t>
  </si>
  <si>
    <t>Павлик Н.В.</t>
  </si>
  <si>
    <t>1398-22</t>
  </si>
  <si>
    <t>Цыганок И.А.</t>
  </si>
  <si>
    <t>263-23</t>
  </si>
  <si>
    <t>Ярлыкова Н.Г.</t>
  </si>
  <si>
    <t>587-23 (1)</t>
  </si>
  <si>
    <t>МБОУ СОШ №14</t>
  </si>
  <si>
    <t>587-23 (2)</t>
  </si>
  <si>
    <t>106-23</t>
  </si>
  <si>
    <t>Топчивод В.Н.</t>
  </si>
  <si>
    <t>575-23</t>
  </si>
  <si>
    <t>Цой А.О.</t>
  </si>
  <si>
    <t>1561-22</t>
  </si>
  <si>
    <t>Горбачев А.А.</t>
  </si>
  <si>
    <t>151-23</t>
  </si>
  <si>
    <t>Чугунов А.С.</t>
  </si>
  <si>
    <t>616-23</t>
  </si>
  <si>
    <t>Сидоренко В.А.</t>
  </si>
  <si>
    <t>976-22</t>
  </si>
  <si>
    <t>Кропов Д.В.</t>
  </si>
  <si>
    <t>167-23</t>
  </si>
  <si>
    <t>Дейнега И.В.</t>
  </si>
  <si>
    <t>707-22</t>
  </si>
  <si>
    <t>Безруков В.А.</t>
  </si>
  <si>
    <t>383-23</t>
  </si>
  <si>
    <t>Попова Э.Е.</t>
  </si>
  <si>
    <t>143-23</t>
  </si>
  <si>
    <t>ИП Кузин А.А.</t>
  </si>
  <si>
    <t>323-23</t>
  </si>
  <si>
    <t>Маслова В.Н.</t>
  </si>
  <si>
    <t>428-23</t>
  </si>
  <si>
    <t>Трубина А.В.</t>
  </si>
  <si>
    <t>462-23</t>
  </si>
  <si>
    <t>Мараховская Т.А.</t>
  </si>
  <si>
    <t>710-23</t>
  </si>
  <si>
    <t>Коваль Д.А.</t>
  </si>
  <si>
    <t>615-23</t>
  </si>
  <si>
    <t>Василина Е.В.</t>
  </si>
  <si>
    <t>291-23</t>
  </si>
  <si>
    <t>Новикова Е.М.</t>
  </si>
  <si>
    <t>918-23</t>
  </si>
  <si>
    <t>523-23</t>
  </si>
  <si>
    <t>Налбандян И.С.</t>
  </si>
  <si>
    <t>801-21</t>
  </si>
  <si>
    <t>Инжеватов Р.А.</t>
  </si>
  <si>
    <t>295-23</t>
  </si>
  <si>
    <t>Марченко М.В.</t>
  </si>
  <si>
    <t>107-23</t>
  </si>
  <si>
    <t>Дубровина С.Е.</t>
  </si>
  <si>
    <t>549-23</t>
  </si>
  <si>
    <t>Федорусенко А.В.</t>
  </si>
  <si>
    <t>499-23</t>
  </si>
  <si>
    <t>Калугина В.В.</t>
  </si>
  <si>
    <t>840-23</t>
  </si>
  <si>
    <t>Жукова Н.В.</t>
  </si>
  <si>
    <t>720-23</t>
  </si>
  <si>
    <t>Седышкина С.Е.</t>
  </si>
  <si>
    <t>519-23</t>
  </si>
  <si>
    <t>Жукова Е.В.</t>
  </si>
  <si>
    <t>774-23</t>
  </si>
  <si>
    <t>Шевченко В.П.</t>
  </si>
  <si>
    <t>792-22</t>
  </si>
  <si>
    <t>Кунакова М.Е.</t>
  </si>
  <si>
    <t>182-21 (1)</t>
  </si>
  <si>
    <t>ООО "Регион"</t>
  </si>
  <si>
    <t>182-21 (2)</t>
  </si>
  <si>
    <t>182-21 (3)</t>
  </si>
  <si>
    <t>182-21 (4)</t>
  </si>
  <si>
    <t>182-21 (5)</t>
  </si>
  <si>
    <t>182-21 (6)</t>
  </si>
  <si>
    <t>182-21 (7)</t>
  </si>
  <si>
    <t>65-22 (1)</t>
  </si>
  <si>
    <t>65-22 (2)</t>
  </si>
  <si>
    <t>65-22 (3)</t>
  </si>
  <si>
    <t>65-22 (4)</t>
  </si>
  <si>
    <t>65-22 (5)</t>
  </si>
  <si>
    <t>65-22 (6)</t>
  </si>
  <si>
    <t>65-22 (7)</t>
  </si>
  <si>
    <t>65-22 (8)</t>
  </si>
  <si>
    <t>65-22 (9)</t>
  </si>
  <si>
    <t>65-22 (10)</t>
  </si>
  <si>
    <t>65-22 (11)</t>
  </si>
  <si>
    <t>65-22 (12)</t>
  </si>
  <si>
    <t>65-22 (13)</t>
  </si>
  <si>
    <t>КГБУ "Уссурийская ЦГБ"</t>
  </si>
  <si>
    <t>АНО "Центр по изучению и сохране-нию популяции амурского тигра"</t>
  </si>
  <si>
    <t>670-22</t>
  </si>
  <si>
    <t>Сафина Р.А.</t>
  </si>
  <si>
    <t>Чазова Н.А.</t>
  </si>
  <si>
    <t>787-22</t>
  </si>
  <si>
    <t>904-22</t>
  </si>
  <si>
    <t>Пак Г.Н.</t>
  </si>
  <si>
    <t>Лесик М.В.</t>
  </si>
  <si>
    <t>905-22</t>
  </si>
  <si>
    <t>Перебоева Е.В.</t>
  </si>
  <si>
    <t>907-22</t>
  </si>
  <si>
    <t>Кутовой В. В.</t>
  </si>
  <si>
    <t>946-22</t>
  </si>
  <si>
    <t>1007-22</t>
  </si>
  <si>
    <t>1068-22</t>
  </si>
  <si>
    <t>Морозова М.М.</t>
  </si>
  <si>
    <t>1073-22</t>
  </si>
  <si>
    <t>Коробов С.А.</t>
  </si>
  <si>
    <t>Рудаков С.В.</t>
  </si>
  <si>
    <t>1097-22</t>
  </si>
  <si>
    <t>Буркавцова Е.В.</t>
  </si>
  <si>
    <t>1098-22</t>
  </si>
  <si>
    <t>Сивоконев Н.А.</t>
  </si>
  <si>
    <t>1113-22</t>
  </si>
  <si>
    <t>Закарадзе С.М.</t>
  </si>
  <si>
    <t>1162-22</t>
  </si>
  <si>
    <t>Сердюк Н.Г.</t>
  </si>
  <si>
    <t>1165-22</t>
  </si>
  <si>
    <t>1249-22</t>
  </si>
  <si>
    <t>Кобцева Н.П.</t>
  </si>
  <si>
    <t>Гончаров П.В.</t>
  </si>
  <si>
    <t>1263-22</t>
  </si>
  <si>
    <t>Заруцкий Р.В.</t>
  </si>
  <si>
    <t>1399-22</t>
  </si>
  <si>
    <t>Григорьева Н.П.</t>
  </si>
  <si>
    <t>1409-22</t>
  </si>
  <si>
    <t>110-23</t>
  </si>
  <si>
    <t>Касьяненко П.Г.</t>
  </si>
  <si>
    <t>Кирпичников С.В.</t>
  </si>
  <si>
    <t>111-23</t>
  </si>
  <si>
    <t>113-23</t>
  </si>
  <si>
    <t>ИП Боженко А.С.</t>
  </si>
  <si>
    <t>249-20</t>
  </si>
  <si>
    <t>Гончаров Р.В.</t>
  </si>
  <si>
    <t>610-22</t>
  </si>
  <si>
    <t>Темерова Е.М.</t>
  </si>
  <si>
    <t>857-22</t>
  </si>
  <si>
    <t>Карзевич Г.В.</t>
  </si>
  <si>
    <t>898-22</t>
  </si>
  <si>
    <t>Мацагор Н.В.</t>
  </si>
  <si>
    <t>1104-22</t>
  </si>
  <si>
    <t>1105-22</t>
  </si>
  <si>
    <t>Чупрынин В.Ю.</t>
  </si>
  <si>
    <t>Фертих В.Ф.</t>
  </si>
  <si>
    <t>1365-22</t>
  </si>
  <si>
    <t>Максакова С.А.</t>
  </si>
  <si>
    <t>1460-22</t>
  </si>
  <si>
    <t>ИП Купченко О.С.</t>
  </si>
  <si>
    <t>1538-22</t>
  </si>
  <si>
    <t>Цысь П.Ю.</t>
  </si>
  <si>
    <t>1558-22</t>
  </si>
  <si>
    <t>Томчак Т.Е.</t>
  </si>
  <si>
    <t>1564-22</t>
  </si>
  <si>
    <t>Рашевская Д.В.</t>
  </si>
  <si>
    <t>1573-22</t>
  </si>
  <si>
    <t>1689-22</t>
  </si>
  <si>
    <t>Неровный Е.В.</t>
  </si>
  <si>
    <t>Марушенко С.И.</t>
  </si>
  <si>
    <t>19-23</t>
  </si>
  <si>
    <t>МКУ УГО "СЕЗЗ"</t>
  </si>
  <si>
    <t>28-23</t>
  </si>
  <si>
    <t>Тюряков В.А.</t>
  </si>
  <si>
    <t>35-23</t>
  </si>
  <si>
    <t>Дега А.Л..</t>
  </si>
  <si>
    <t>36-23</t>
  </si>
  <si>
    <t>Рыженко Н.В.</t>
  </si>
  <si>
    <t>216-22</t>
  </si>
  <si>
    <t>338-18</t>
  </si>
  <si>
    <t>Папета Д.В.</t>
  </si>
  <si>
    <t>Петренко А.И.</t>
  </si>
  <si>
    <t>668-22</t>
  </si>
  <si>
    <t>Васюкова О.М.</t>
  </si>
  <si>
    <t>903-22</t>
  </si>
  <si>
    <t>928-22</t>
  </si>
  <si>
    <t>Сорокина Е.В.</t>
  </si>
  <si>
    <t>938-22</t>
  </si>
  <si>
    <t>ИП Ефименко А.А.</t>
  </si>
  <si>
    <t>1008-22</t>
  </si>
  <si>
    <t>ИП Ефименко Ю.А.</t>
  </si>
  <si>
    <t>1009-22</t>
  </si>
  <si>
    <t>Лысенко С.П.</t>
  </si>
  <si>
    <t>1013-22</t>
  </si>
  <si>
    <t>ИП Довиденко Д.С.</t>
  </si>
  <si>
    <t>1018-22</t>
  </si>
  <si>
    <t>Еникеев Р.М.</t>
  </si>
  <si>
    <t>1092-22</t>
  </si>
  <si>
    <t>Ковальчук В.А.</t>
  </si>
  <si>
    <t>1093-22</t>
  </si>
  <si>
    <t>Закрыжевская Н.Я.</t>
  </si>
  <si>
    <t>1106-22</t>
  </si>
  <si>
    <t>Савин А.В.</t>
  </si>
  <si>
    <t>1108-22</t>
  </si>
  <si>
    <t>Колганов Д.И.</t>
  </si>
  <si>
    <t>1119-22</t>
  </si>
  <si>
    <t>Землякова Н. В.</t>
  </si>
  <si>
    <t>1194-22</t>
  </si>
  <si>
    <t>1299-22</t>
  </si>
  <si>
    <t>Доброезжев Л.Л.</t>
  </si>
  <si>
    <t>1340-22</t>
  </si>
  <si>
    <t>Федоряка Л.Н.</t>
  </si>
  <si>
    <t>1356-22</t>
  </si>
  <si>
    <t>Пирожков В.В.</t>
  </si>
  <si>
    <t>1404-22</t>
  </si>
  <si>
    <t>ГСК "Шинник"</t>
  </si>
  <si>
    <t>1415-22</t>
  </si>
  <si>
    <t>Сальникова С.Н.</t>
  </si>
  <si>
    <t>1577-22</t>
  </si>
  <si>
    <t>Псищева И.Е.</t>
  </si>
  <si>
    <t>1613-22</t>
  </si>
  <si>
    <t>Романюк М.В.</t>
  </si>
  <si>
    <t>1669-22</t>
  </si>
  <si>
    <t>1710-22</t>
  </si>
  <si>
    <t>1711-22</t>
  </si>
  <si>
    <t>90-23</t>
  </si>
  <si>
    <t>Жульева Н.А.</t>
  </si>
  <si>
    <t>664-19</t>
  </si>
  <si>
    <t>Каверин А.В.</t>
  </si>
  <si>
    <t>1114-22</t>
  </si>
  <si>
    <t>Игумнова Н.Н.</t>
  </si>
  <si>
    <t>1159-22</t>
  </si>
  <si>
    <t>Старикова А.А.</t>
  </si>
  <si>
    <t>1173-22</t>
  </si>
  <si>
    <t>1222-22</t>
  </si>
  <si>
    <t>Камоза Н.Н.</t>
  </si>
  <si>
    <t>1296-22</t>
  </si>
  <si>
    <t>Ли Т.Р.</t>
  </si>
  <si>
    <t>1330-22</t>
  </si>
  <si>
    <t>Ширяева Н.П.</t>
  </si>
  <si>
    <t>1351-22</t>
  </si>
  <si>
    <t>Демидова Н.В.</t>
  </si>
  <si>
    <t>1379-22</t>
  </si>
  <si>
    <t>1407-22</t>
  </si>
  <si>
    <t>1408-22</t>
  </si>
  <si>
    <t>Дворовенко Н.С.</t>
  </si>
  <si>
    <t>1433-22</t>
  </si>
  <si>
    <t>Игнатова О.Г.</t>
  </si>
  <si>
    <t>1463-22</t>
  </si>
  <si>
    <t>Черевко Н.Г.</t>
  </si>
  <si>
    <t>1475-22</t>
  </si>
  <si>
    <t>Сливченко А.В.</t>
  </si>
  <si>
    <t>1477-22</t>
  </si>
  <si>
    <t>1482-22</t>
  </si>
  <si>
    <t>Белов Р.Э.</t>
  </si>
  <si>
    <t>1506-22</t>
  </si>
  <si>
    <t>Цветков С.В.</t>
  </si>
  <si>
    <t>1517-22</t>
  </si>
  <si>
    <t>Дроздова Л.П.</t>
  </si>
  <si>
    <t>1539-22</t>
  </si>
  <si>
    <t>Мажуга О.И.</t>
  </si>
  <si>
    <t>1547-22</t>
  </si>
  <si>
    <t>Арсентьев А.Р.</t>
  </si>
  <si>
    <t>30-23</t>
  </si>
  <si>
    <t>Соколов В.Г.</t>
  </si>
  <si>
    <t>73-23</t>
  </si>
  <si>
    <t>135-23</t>
  </si>
  <si>
    <t>Зальцман С.М.</t>
  </si>
  <si>
    <t>140-23</t>
  </si>
  <si>
    <t>Якубенко В.М.</t>
  </si>
  <si>
    <t>709-22</t>
  </si>
  <si>
    <t>Грищенко Е. П.</t>
  </si>
  <si>
    <t>757-22</t>
  </si>
  <si>
    <t>Игнатова Т.Б.</t>
  </si>
  <si>
    <t>881-22</t>
  </si>
  <si>
    <t>Завгородний В.И.</t>
  </si>
  <si>
    <t>1016-22</t>
  </si>
  <si>
    <t>Юкова Н.Н.</t>
  </si>
  <si>
    <t>1096-22</t>
  </si>
  <si>
    <t>Исмаилов И. Д.о.</t>
  </si>
  <si>
    <t>1107-22</t>
  </si>
  <si>
    <t>Никулина И.В.</t>
  </si>
  <si>
    <t>1139-22</t>
  </si>
  <si>
    <t>Федоров С. И.</t>
  </si>
  <si>
    <t>1179-22</t>
  </si>
  <si>
    <t>Мудряков Ю.А.</t>
  </si>
  <si>
    <t>1268-22</t>
  </si>
  <si>
    <t>Ларина Л.И.</t>
  </si>
  <si>
    <t>1280-22</t>
  </si>
  <si>
    <t>Хвоин В.Б.</t>
  </si>
  <si>
    <t>1323-22</t>
  </si>
  <si>
    <t>Любимская И.В.</t>
  </si>
  <si>
    <t>1342-22</t>
  </si>
  <si>
    <t>Догадова Т.В.</t>
  </si>
  <si>
    <t>1353-22</t>
  </si>
  <si>
    <t>Бутковская Г.П.</t>
  </si>
  <si>
    <t>1377-22</t>
  </si>
  <si>
    <t>Исаев С.Г.</t>
  </si>
  <si>
    <t>1390-22</t>
  </si>
  <si>
    <t>Устянский Д.В.</t>
  </si>
  <si>
    <t>1454-22</t>
  </si>
  <si>
    <t>Пахомова Е.Н.</t>
  </si>
  <si>
    <t>1474-22</t>
  </si>
  <si>
    <t>Артюх А.А.</t>
  </si>
  <si>
    <t>1520-22</t>
  </si>
  <si>
    <t>Большакова Н.Д.</t>
  </si>
  <si>
    <t>1611-22</t>
  </si>
  <si>
    <t>Кучменок Е.В.</t>
  </si>
  <si>
    <t>1622-22</t>
  </si>
  <si>
    <t>Скибицкая О.В.</t>
  </si>
  <si>
    <t>1626-22</t>
  </si>
  <si>
    <t>Панченко С.Н.</t>
  </si>
  <si>
    <t>1660-22</t>
  </si>
  <si>
    <t>Акулов С.А.</t>
  </si>
  <si>
    <t>1685-22</t>
  </si>
  <si>
    <t>Туркина Н.Н.</t>
  </si>
  <si>
    <t>1686-22</t>
  </si>
  <si>
    <t>Карасенко Д.Г.</t>
  </si>
  <si>
    <t>1705-22</t>
  </si>
  <si>
    <t>Ким С.Ю.</t>
  </si>
  <si>
    <t>78-23</t>
  </si>
  <si>
    <t>Лычуха С.А.</t>
  </si>
  <si>
    <t>84-23</t>
  </si>
  <si>
    <t>Шайтанов Е.А.</t>
  </si>
  <si>
    <t>91-23</t>
  </si>
  <si>
    <t>92-23</t>
  </si>
  <si>
    <t>Бойко Е.А.</t>
  </si>
  <si>
    <t>120-23</t>
  </si>
  <si>
    <t>129-23</t>
  </si>
  <si>
    <t>142-23</t>
  </si>
  <si>
    <t>Михалко Н.Н.</t>
  </si>
  <si>
    <t>147-23</t>
  </si>
  <si>
    <t>Хворостинов Д.Н.</t>
  </si>
  <si>
    <t>149-23</t>
  </si>
  <si>
    <t>Мешков А.С.</t>
  </si>
  <si>
    <t>164-23</t>
  </si>
  <si>
    <t>Набожейко С.В.</t>
  </si>
  <si>
    <t>171-23</t>
  </si>
  <si>
    <t>758-22</t>
  </si>
  <si>
    <t>Болгов К.О.</t>
  </si>
  <si>
    <t>803-22</t>
  </si>
  <si>
    <t>Устенко А.А.</t>
  </si>
  <si>
    <t>983-22</t>
  </si>
  <si>
    <t>1004-21</t>
  </si>
  <si>
    <t>Стародубцева Т.В.</t>
  </si>
  <si>
    <t>1061-22</t>
  </si>
  <si>
    <t xml:space="preserve">Доманов А.Н. </t>
  </si>
  <si>
    <t>Рябченко В.В.</t>
  </si>
  <si>
    <t>1101-22</t>
  </si>
  <si>
    <t>Беляева К.Ю.</t>
  </si>
  <si>
    <t>1182-22</t>
  </si>
  <si>
    <t>Подденкевич З.В.</t>
  </si>
  <si>
    <t>1279-22</t>
  </si>
  <si>
    <t>Гареев Р. Г.</t>
  </si>
  <si>
    <t>1281-22</t>
  </si>
  <si>
    <t>Прагер А.Е.</t>
  </si>
  <si>
    <t>1476-22</t>
  </si>
  <si>
    <t>Клещевникова Е.А.</t>
  </si>
  <si>
    <t>1528-22</t>
  </si>
  <si>
    <t>Земидова Г.Н.</t>
  </si>
  <si>
    <t>1604-22</t>
  </si>
  <si>
    <t>1617-22</t>
  </si>
  <si>
    <t>Лавренов А.А.</t>
  </si>
  <si>
    <t>1636-22</t>
  </si>
  <si>
    <t>Конькова И.В.</t>
  </si>
  <si>
    <t>1638-22</t>
  </si>
  <si>
    <t>Клейменов В.А.</t>
  </si>
  <si>
    <t>1651-22</t>
  </si>
  <si>
    <t>Долгих Д.А.</t>
  </si>
  <si>
    <t>1683-22</t>
  </si>
  <si>
    <t>Супряга С.А.</t>
  </si>
  <si>
    <t>1687-22</t>
  </si>
  <si>
    <t>Рахмонов Р.Х.</t>
  </si>
  <si>
    <t>1714-22</t>
  </si>
  <si>
    <t>Зайцева Н.А.</t>
  </si>
  <si>
    <t>Кущ В.В.</t>
  </si>
  <si>
    <t>5-23</t>
  </si>
  <si>
    <t>9-23</t>
  </si>
  <si>
    <t>Ким Г.С.</t>
  </si>
  <si>
    <t>12-23</t>
  </si>
  <si>
    <t>Касатов Д.В.</t>
  </si>
  <si>
    <t>83-22</t>
  </si>
  <si>
    <t>Нерода С.Ф.</t>
  </si>
  <si>
    <t>187-23</t>
  </si>
  <si>
    <t>Шемякина Е.А.</t>
  </si>
  <si>
    <t>188-23</t>
  </si>
  <si>
    <t>Трусов В.Ф.</t>
  </si>
  <si>
    <t>529-22</t>
  </si>
  <si>
    <t>Бокслер Г.Р.</t>
  </si>
  <si>
    <t>579-22</t>
  </si>
  <si>
    <t>Сойченко В.А.</t>
  </si>
  <si>
    <t>738-22</t>
  </si>
  <si>
    <t>Лисицина Т.С.</t>
  </si>
  <si>
    <t>882-22</t>
  </si>
  <si>
    <t>Дубко Л.В.</t>
  </si>
  <si>
    <t>1048-22</t>
  </si>
  <si>
    <t>Балыкова О.Н.</t>
  </si>
  <si>
    <t>1084-22</t>
  </si>
  <si>
    <t>Краснов Г.Н.</t>
  </si>
  <si>
    <t>1115-22</t>
  </si>
  <si>
    <t>Погосов А.П.</t>
  </si>
  <si>
    <t>1117-22</t>
  </si>
  <si>
    <t>Приходько Г.П.</t>
  </si>
  <si>
    <t>1266-22</t>
  </si>
  <si>
    <t>Деркач Е.Э.</t>
  </si>
  <si>
    <t>1690-22</t>
  </si>
  <si>
    <t>Карро Д.С.</t>
  </si>
  <si>
    <t>3-23</t>
  </si>
  <si>
    <t>8-23</t>
  </si>
  <si>
    <t>Столярова Е.С.</t>
  </si>
  <si>
    <t>20-23</t>
  </si>
  <si>
    <t>Мацак А.С.</t>
  </si>
  <si>
    <t>21-23</t>
  </si>
  <si>
    <t>Соляник С.В.</t>
  </si>
  <si>
    <t>23-23</t>
  </si>
  <si>
    <t>Харис Л.П.</t>
  </si>
  <si>
    <t>39-23</t>
  </si>
  <si>
    <t>Мирошников Д.В.</t>
  </si>
  <si>
    <t>48-23</t>
  </si>
  <si>
    <t>Омельянова К.Г.</t>
  </si>
  <si>
    <t>51-23</t>
  </si>
  <si>
    <t>Беспалова Н.А.</t>
  </si>
  <si>
    <t>52-23</t>
  </si>
  <si>
    <t>Коваленко С.В.</t>
  </si>
  <si>
    <t>123-23</t>
  </si>
  <si>
    <t>Воронкова В.В.</t>
  </si>
  <si>
    <t>182-23</t>
  </si>
  <si>
    <t>183-23</t>
  </si>
  <si>
    <t>Орел М.А.</t>
  </si>
  <si>
    <t>186-23</t>
  </si>
  <si>
    <t>Бахмани С.</t>
  </si>
  <si>
    <t>198-23</t>
  </si>
  <si>
    <t>202-23</t>
  </si>
  <si>
    <t>Лысов А.М.</t>
  </si>
  <si>
    <t>203-23</t>
  </si>
  <si>
    <t>Удалова И.В.</t>
  </si>
  <si>
    <t>207-23</t>
  </si>
  <si>
    <t>210-23</t>
  </si>
  <si>
    <t>218-23</t>
  </si>
  <si>
    <t>Фарафонова К.А.</t>
  </si>
  <si>
    <t>220-23</t>
  </si>
  <si>
    <t>Вохидов И.С.</t>
  </si>
  <si>
    <t>222-23</t>
  </si>
  <si>
    <t>Трунов И.А.</t>
  </si>
  <si>
    <t>226-23</t>
  </si>
  <si>
    <t>Поддубный И.А.</t>
  </si>
  <si>
    <t>239-23</t>
  </si>
  <si>
    <t>240-23</t>
  </si>
  <si>
    <t>241-23</t>
  </si>
  <si>
    <t>242-23</t>
  </si>
  <si>
    <t>243-23</t>
  </si>
  <si>
    <t>248-23</t>
  </si>
  <si>
    <t>249-23</t>
  </si>
  <si>
    <t>Шек А.В.</t>
  </si>
  <si>
    <t>253-23</t>
  </si>
  <si>
    <t>582-22</t>
  </si>
  <si>
    <t>Скорикова А.Д.</t>
  </si>
  <si>
    <t>Смоленко Р.В.</t>
  </si>
  <si>
    <t>600-22</t>
  </si>
  <si>
    <t>Дикарева З.П.</t>
  </si>
  <si>
    <t>734-22</t>
  </si>
  <si>
    <t>Ким А.О.</t>
  </si>
  <si>
    <t>757-18</t>
  </si>
  <si>
    <t>Кравченко Е.В.</t>
  </si>
  <si>
    <t>910-22</t>
  </si>
  <si>
    <t>Артемчик М.И.</t>
  </si>
  <si>
    <t>936-22</t>
  </si>
  <si>
    <t>Лендыч К.М.</t>
  </si>
  <si>
    <t>1066-22</t>
  </si>
  <si>
    <t>Белецкая Н.Л.</t>
  </si>
  <si>
    <t>1099-22</t>
  </si>
  <si>
    <t>Монахова Н.В.</t>
  </si>
  <si>
    <t>1164-22</t>
  </si>
  <si>
    <t>Рой Н.С.</t>
  </si>
  <si>
    <t>1258-22</t>
  </si>
  <si>
    <t>Гаевская Н.Г.</t>
  </si>
  <si>
    <t>1478-22</t>
  </si>
  <si>
    <t>Кан С.С.</t>
  </si>
  <si>
    <t>1540-22</t>
  </si>
  <si>
    <t>Липатова В.В.</t>
  </si>
  <si>
    <t>1553-22</t>
  </si>
  <si>
    <t>Геворгян Г.К.</t>
  </si>
  <si>
    <t>1597-22</t>
  </si>
  <si>
    <t>Ершов А.Е.</t>
  </si>
  <si>
    <t>1630-22</t>
  </si>
  <si>
    <t>Доляченко А.В.</t>
  </si>
  <si>
    <t>1668-22</t>
  </si>
  <si>
    <t>2-23</t>
  </si>
  <si>
    <t>Андрианова А.А.</t>
  </si>
  <si>
    <t>4-23</t>
  </si>
  <si>
    <t>Малыгина Е.А.</t>
  </si>
  <si>
    <t>31-23</t>
  </si>
  <si>
    <t>Вдовин М.А.</t>
  </si>
  <si>
    <t>54-23</t>
  </si>
  <si>
    <t>Зуев С.П.</t>
  </si>
  <si>
    <t>Зоткин А.С.</t>
  </si>
  <si>
    <t>266-23</t>
  </si>
  <si>
    <t>Лотник А.П.</t>
  </si>
  <si>
    <t>609-22</t>
  </si>
  <si>
    <t>Пашкуров В.М.</t>
  </si>
  <si>
    <t>623-22</t>
  </si>
  <si>
    <t>809-22</t>
  </si>
  <si>
    <t>Бедин О.О.</t>
  </si>
  <si>
    <t>Безъязыкова Н.П.</t>
  </si>
  <si>
    <t>829-22</t>
  </si>
  <si>
    <t>Борка А.И.</t>
  </si>
  <si>
    <t>1077-22</t>
  </si>
  <si>
    <t>Мысенков А.В.</t>
  </si>
  <si>
    <t>1079-22</t>
  </si>
  <si>
    <t>Макаров В.П.</t>
  </si>
  <si>
    <t>1080-22</t>
  </si>
  <si>
    <t>1127-22</t>
  </si>
  <si>
    <t>Тарасенко В. Т.</t>
  </si>
  <si>
    <t>1216-22</t>
  </si>
  <si>
    <t>Ващенко Т.Н.</t>
  </si>
  <si>
    <t>1397-22</t>
  </si>
  <si>
    <t>Лучкина М.И.</t>
  </si>
  <si>
    <t>1521-22</t>
  </si>
  <si>
    <t>Кулютин В.Ф.</t>
  </si>
  <si>
    <t>82-23</t>
  </si>
  <si>
    <t>Кочегаров Е.А.</t>
  </si>
  <si>
    <t>176-22</t>
  </si>
  <si>
    <t>Тураходжаева Е.В.</t>
  </si>
  <si>
    <t>218-20</t>
  </si>
  <si>
    <t>Черненко П.В.</t>
  </si>
  <si>
    <t>227-23</t>
  </si>
  <si>
    <t>Лаврешина И.В.</t>
  </si>
  <si>
    <t>234-23</t>
  </si>
  <si>
    <t>Галич А.В.</t>
  </si>
  <si>
    <t>237-23</t>
  </si>
  <si>
    <t>Руденко С.Н.</t>
  </si>
  <si>
    <t>238-23</t>
  </si>
  <si>
    <t>Рачицкий А.С.</t>
  </si>
  <si>
    <t>252-23</t>
  </si>
  <si>
    <t>260-23</t>
  </si>
  <si>
    <t>261-23</t>
  </si>
  <si>
    <t>Григорьева О.А.</t>
  </si>
  <si>
    <t>267-23</t>
  </si>
  <si>
    <t>Рачицкая Е.В.</t>
  </si>
  <si>
    <t>Евсеев И.И.</t>
  </si>
  <si>
    <t>273-23</t>
  </si>
  <si>
    <t>Кислицын А.П.</t>
  </si>
  <si>
    <t>293-23</t>
  </si>
  <si>
    <t>Ленцова М.В.</t>
  </si>
  <si>
    <t>297-20</t>
  </si>
  <si>
    <t>310-23</t>
  </si>
  <si>
    <t>311-23</t>
  </si>
  <si>
    <t>Зуева Л.М.</t>
  </si>
  <si>
    <t>335-23</t>
  </si>
  <si>
    <t>Антипов А.В.</t>
  </si>
  <si>
    <t>338-23</t>
  </si>
  <si>
    <t>341-23</t>
  </si>
  <si>
    <t>Чернов С.И.</t>
  </si>
  <si>
    <t>349-23</t>
  </si>
  <si>
    <t>Антипова К.С.</t>
  </si>
  <si>
    <t>563-22</t>
  </si>
  <si>
    <t>Сафин М.И.</t>
  </si>
  <si>
    <t>798-22</t>
  </si>
  <si>
    <t>Жук Н.В.</t>
  </si>
  <si>
    <t>993-22</t>
  </si>
  <si>
    <t>Прохорова Н.Н.</t>
  </si>
  <si>
    <t>1019-22</t>
  </si>
  <si>
    <t>Добрынина И.В.</t>
  </si>
  <si>
    <t>1065-22</t>
  </si>
  <si>
    <t>Краснюк С.В.</t>
  </si>
  <si>
    <t>1151-22</t>
  </si>
  <si>
    <t>Алеева М.Б.</t>
  </si>
  <si>
    <t>1371-22</t>
  </si>
  <si>
    <t>Кочерга В.В.</t>
  </si>
  <si>
    <t>1677-22</t>
  </si>
  <si>
    <t>Гордейчук П.М.</t>
  </si>
  <si>
    <t>Лоза Е.Н.</t>
  </si>
  <si>
    <t>7-23</t>
  </si>
  <si>
    <t>10-23</t>
  </si>
  <si>
    <t>Романенко В.А.</t>
  </si>
  <si>
    <t>61-23</t>
  </si>
  <si>
    <t>Овсениченко С.В.</t>
  </si>
  <si>
    <t>62-23</t>
  </si>
  <si>
    <t>74-23</t>
  </si>
  <si>
    <t>Шкрыль Е.Н.</t>
  </si>
  <si>
    <t>79-23</t>
  </si>
  <si>
    <t>Озеринникова Е.Р.</t>
  </si>
  <si>
    <t>80-23</t>
  </si>
  <si>
    <t>Попов С.А.</t>
  </si>
  <si>
    <t>83-23</t>
  </si>
  <si>
    <t>Лачугин А.К.</t>
  </si>
  <si>
    <t>100-23</t>
  </si>
  <si>
    <t>Галимов И.З.</t>
  </si>
  <si>
    <t>126-23</t>
  </si>
  <si>
    <t>Баранников А.А.</t>
  </si>
  <si>
    <t>127-23</t>
  </si>
  <si>
    <t>Кодиров Б.Р.</t>
  </si>
  <si>
    <t>144-23</t>
  </si>
  <si>
    <t>Емельянова О.Н.</t>
  </si>
  <si>
    <t>157-23</t>
  </si>
  <si>
    <t>Исаева О.В.</t>
  </si>
  <si>
    <t>160-23</t>
  </si>
  <si>
    <t>ООО "Восток Медснам"</t>
  </si>
  <si>
    <t>229-23</t>
  </si>
  <si>
    <t>265-22</t>
  </si>
  <si>
    <t>Беловодский Р.А.</t>
  </si>
  <si>
    <t>302-22</t>
  </si>
  <si>
    <t>Суковатенко И.Т.</t>
  </si>
  <si>
    <t>305-22</t>
  </si>
  <si>
    <t>Ларин Н.А.</t>
  </si>
  <si>
    <t>385-22</t>
  </si>
  <si>
    <t>389-23</t>
  </si>
  <si>
    <t>Закревская О.Н.</t>
  </si>
  <si>
    <t>Капитулин В.Е.</t>
  </si>
  <si>
    <t>400-23</t>
  </si>
  <si>
    <t>Мельников Д.А.</t>
  </si>
  <si>
    <t>461-22</t>
  </si>
  <si>
    <t>Шевченко М.Г.</t>
  </si>
  <si>
    <t>531-22</t>
  </si>
  <si>
    <t>Лутов А. В.</t>
  </si>
  <si>
    <t>637-22</t>
  </si>
  <si>
    <t>Черникова И.Г.</t>
  </si>
  <si>
    <t>671-22</t>
  </si>
  <si>
    <t>Киверова А.О.</t>
  </si>
  <si>
    <t>674-22</t>
  </si>
  <si>
    <t>Ярошенко Т.В.</t>
  </si>
  <si>
    <t>815-22</t>
  </si>
  <si>
    <t>Матвеева О.Ю.</t>
  </si>
  <si>
    <t>827-22</t>
  </si>
  <si>
    <t>Анненкова М.П.</t>
  </si>
  <si>
    <t>908-22</t>
  </si>
  <si>
    <t>Васина О.К.</t>
  </si>
  <si>
    <t>1095-22</t>
  </si>
  <si>
    <t>Андреев А.И.</t>
  </si>
  <si>
    <t>1546-22</t>
  </si>
  <si>
    <t>Бобрик М.В.</t>
  </si>
  <si>
    <t>1623-22</t>
  </si>
  <si>
    <t>Ждан Н.И.</t>
  </si>
  <si>
    <t>1625-22</t>
  </si>
  <si>
    <t>Воронина Т.В.</t>
  </si>
  <si>
    <t>63-23</t>
  </si>
  <si>
    <t>Лян Т.И.</t>
  </si>
  <si>
    <t>65-23</t>
  </si>
  <si>
    <t>Пак Л.Р.</t>
  </si>
  <si>
    <t>66-23</t>
  </si>
  <si>
    <t>Гринько С.Н.</t>
  </si>
  <si>
    <t>75-23</t>
  </si>
  <si>
    <t>Трофимович О.П.</t>
  </si>
  <si>
    <t>93-23</t>
  </si>
  <si>
    <t>Гусинская В.А.</t>
  </si>
  <si>
    <t>96-23</t>
  </si>
  <si>
    <t>Джурабоева Ш.Ш.</t>
  </si>
  <si>
    <t>98-23</t>
  </si>
  <si>
    <t>Геворгян Э.В.</t>
  </si>
  <si>
    <t>101-23</t>
  </si>
  <si>
    <t>Трубицына И.В.</t>
  </si>
  <si>
    <t>105-23</t>
  </si>
  <si>
    <t>ИП Зайцев С.Л.</t>
  </si>
  <si>
    <t>109-23</t>
  </si>
  <si>
    <t>Кузнецов П.А.</t>
  </si>
  <si>
    <t>128-23</t>
  </si>
  <si>
    <t>Люхо М.Г.</t>
  </si>
  <si>
    <t>138-23</t>
  </si>
  <si>
    <t>139-23</t>
  </si>
  <si>
    <t>Тимошенко А.А.</t>
  </si>
  <si>
    <t>145-23</t>
  </si>
  <si>
    <t>Войтышин Д.Е.</t>
  </si>
  <si>
    <t>158-23</t>
  </si>
  <si>
    <t>Гриценко А.В.</t>
  </si>
  <si>
    <t>159-23</t>
  </si>
  <si>
    <t>Будунов И.С.</t>
  </si>
  <si>
    <t>165-23</t>
  </si>
  <si>
    <t>Енякин Е.А.</t>
  </si>
  <si>
    <t>170-23</t>
  </si>
  <si>
    <t>Федорова В.В.</t>
  </si>
  <si>
    <t>181-23</t>
  </si>
  <si>
    <t>Шевченко С.М.</t>
  </si>
  <si>
    <t>189-23</t>
  </si>
  <si>
    <t>Лысенко Н.С.</t>
  </si>
  <si>
    <t>219-23</t>
  </si>
  <si>
    <t>Горбачевская К.В.</t>
  </si>
  <si>
    <t>232-23</t>
  </si>
  <si>
    <t>Овчинников Н.А.</t>
  </si>
  <si>
    <t>235-23</t>
  </si>
  <si>
    <t>Корнеев А.А.</t>
  </si>
  <si>
    <t>278-23</t>
  </si>
  <si>
    <t>Коноплева Е.С.</t>
  </si>
  <si>
    <t>303-22</t>
  </si>
  <si>
    <t>Нечепуренко Е.Г.</t>
  </si>
  <si>
    <t>305-23</t>
  </si>
  <si>
    <t>Ляховенко Т.В.</t>
  </si>
  <si>
    <t>306-22</t>
  </si>
  <si>
    <t>ИП Еловский А.О.</t>
  </si>
  <si>
    <t>312-23</t>
  </si>
  <si>
    <t>Поричук Е.В.</t>
  </si>
  <si>
    <t>352-23</t>
  </si>
  <si>
    <t>Перетолчина А.Ю.</t>
  </si>
  <si>
    <t>359-23</t>
  </si>
  <si>
    <t>Ильина Т.В.</t>
  </si>
  <si>
    <t>366-23</t>
  </si>
  <si>
    <t>Черенкова В.Д.</t>
  </si>
  <si>
    <t>373-23</t>
  </si>
  <si>
    <t>394-23</t>
  </si>
  <si>
    <t>407-23</t>
  </si>
  <si>
    <t>Лоха Т.И.</t>
  </si>
  <si>
    <t>420-23</t>
  </si>
  <si>
    <t>Смолянюк О.Д.</t>
  </si>
  <si>
    <t>423-23</t>
  </si>
  <si>
    <t>Минаев О.В.</t>
  </si>
  <si>
    <t>426-23</t>
  </si>
  <si>
    <t>Шин И.В.</t>
  </si>
  <si>
    <t>441-23</t>
  </si>
  <si>
    <t>Зимушкин С.А.</t>
  </si>
  <si>
    <t>450-23</t>
  </si>
  <si>
    <t>Цыганкова А.В.</t>
  </si>
  <si>
    <t>452-23</t>
  </si>
  <si>
    <t>ИП Йулдошев Э.Э.У.</t>
  </si>
  <si>
    <t>457-23</t>
  </si>
  <si>
    <t>Зимушкина А.В.</t>
  </si>
  <si>
    <t>458-23</t>
  </si>
  <si>
    <t>Бердников А.А.</t>
  </si>
  <si>
    <t>471-23</t>
  </si>
  <si>
    <t>Евсютин А.А.</t>
  </si>
  <si>
    <t>572-22</t>
  </si>
  <si>
    <t>Жук И.В.</t>
  </si>
  <si>
    <t>672-22</t>
  </si>
  <si>
    <t>Квитко С.В.</t>
  </si>
  <si>
    <t>880-22</t>
  </si>
  <si>
    <t>Коляда И.В.</t>
  </si>
  <si>
    <t>1110-22</t>
  </si>
  <si>
    <t>Костенко А.В.</t>
  </si>
  <si>
    <t>1462-22</t>
  </si>
  <si>
    <t>Мечик Д.С.</t>
  </si>
  <si>
    <t>1567-22</t>
  </si>
  <si>
    <t>Султанов З.О.</t>
  </si>
  <si>
    <t>1712-22</t>
  </si>
  <si>
    <t>17-23</t>
  </si>
  <si>
    <t>Шейко Р.П.</t>
  </si>
  <si>
    <t>72-20</t>
  </si>
  <si>
    <t>Аликина Н.В.</t>
  </si>
  <si>
    <t>154-23</t>
  </si>
  <si>
    <t>Мосиашвили Е.В.</t>
  </si>
  <si>
    <t>156-23</t>
  </si>
  <si>
    <t>Мирошниченко Г.О.</t>
  </si>
  <si>
    <t>177-23</t>
  </si>
  <si>
    <t>Климова В.С.</t>
  </si>
  <si>
    <t>199-23</t>
  </si>
  <si>
    <t>Фадеева Т.П.</t>
  </si>
  <si>
    <t>201-23</t>
  </si>
  <si>
    <t>Полежаев А.К.</t>
  </si>
  <si>
    <t>208-23</t>
  </si>
  <si>
    <t>Курепко С.В.</t>
  </si>
  <si>
    <t>209-23</t>
  </si>
  <si>
    <t>Коноплева Т.И.</t>
  </si>
  <si>
    <t>214-23</t>
  </si>
  <si>
    <t>Кишкин А.П.</t>
  </si>
  <si>
    <t>228-23</t>
  </si>
  <si>
    <t>Холмогоров Д.Г.</t>
  </si>
  <si>
    <t>251-23</t>
  </si>
  <si>
    <t>Дерий О.Л.</t>
  </si>
  <si>
    <t>254-23</t>
  </si>
  <si>
    <t>Смычников В.И.</t>
  </si>
  <si>
    <t>255-23</t>
  </si>
  <si>
    <t>Курзина И.Л.</t>
  </si>
  <si>
    <t>271-23</t>
  </si>
  <si>
    <t>Токарев В.В.</t>
  </si>
  <si>
    <t>272-23</t>
  </si>
  <si>
    <t>Мухачев Е.А.</t>
  </si>
  <si>
    <t>324-23</t>
  </si>
  <si>
    <t>Крячек Т.В.</t>
  </si>
  <si>
    <t>358-23</t>
  </si>
  <si>
    <t>Ткалич С.И.</t>
  </si>
  <si>
    <t>382-23</t>
  </si>
  <si>
    <t>Шведова Л.В.</t>
  </si>
  <si>
    <t>405-22</t>
  </si>
  <si>
    <t>Скрипина И.В.</t>
  </si>
  <si>
    <t>407-22</t>
  </si>
  <si>
    <t>Вербицкая Н.Ю.</t>
  </si>
  <si>
    <t>447-23</t>
  </si>
  <si>
    <t>Пак С.В.</t>
  </si>
  <si>
    <t>448-23</t>
  </si>
  <si>
    <t>Сергиенко И.И.</t>
  </si>
  <si>
    <t>471-22</t>
  </si>
  <si>
    <t>Поляк В.К.</t>
  </si>
  <si>
    <t>495-23</t>
  </si>
  <si>
    <t>506-23</t>
  </si>
  <si>
    <t>ИП Пенцева С.А.</t>
  </si>
  <si>
    <t>Столбовая Н.А.</t>
  </si>
  <si>
    <t>511-23</t>
  </si>
  <si>
    <t>522-23</t>
  </si>
  <si>
    <t>Степанова Н.Н.</t>
  </si>
  <si>
    <t>524-23</t>
  </si>
  <si>
    <t>Остапенко С.М.</t>
  </si>
  <si>
    <t>525-23</t>
  </si>
  <si>
    <t>Нестеренко Н.А.</t>
  </si>
  <si>
    <t>544-23</t>
  </si>
  <si>
    <t>Обухов Д.С.</t>
  </si>
  <si>
    <t>574-23</t>
  </si>
  <si>
    <t>Белозерова Г.В.</t>
  </si>
  <si>
    <t>810-22</t>
  </si>
  <si>
    <t>Ильина Н.Ю.</t>
  </si>
  <si>
    <t>811-22</t>
  </si>
  <si>
    <t>Могильный А.С.</t>
  </si>
  <si>
    <t>982-22</t>
  </si>
  <si>
    <t>Коломеец Т.Ю.</t>
  </si>
  <si>
    <t>1040-22</t>
  </si>
  <si>
    <t>Михайлов Г.М.</t>
  </si>
  <si>
    <t>1071-22</t>
  </si>
  <si>
    <t>Борисова Г.Я.</t>
  </si>
  <si>
    <t>1112-22</t>
  </si>
  <si>
    <t>Хантелев А.В.</t>
  </si>
  <si>
    <t>1343-22</t>
  </si>
  <si>
    <t>Тен Т</t>
  </si>
  <si>
    <t>1417-22</t>
  </si>
  <si>
    <t>Глебов И.В.</t>
  </si>
  <si>
    <t>1527-22</t>
  </si>
  <si>
    <t>Захаров О.В.</t>
  </si>
  <si>
    <t>1612-22</t>
  </si>
  <si>
    <t>Тирских Д.С.</t>
  </si>
  <si>
    <t>191-23</t>
  </si>
  <si>
    <t>Ландик И.А.</t>
  </si>
  <si>
    <t>204-23</t>
  </si>
  <si>
    <t>Огинская Т.А.</t>
  </si>
  <si>
    <t>206-23</t>
  </si>
  <si>
    <t>Литвяков А.Л.</t>
  </si>
  <si>
    <t>212-23</t>
  </si>
  <si>
    <t>Руссакова Е.Г.</t>
  </si>
  <si>
    <t>247-23</t>
  </si>
  <si>
    <t>Шуляк Ж.В.</t>
  </si>
  <si>
    <t>264-23</t>
  </si>
  <si>
    <t>Хакимов Н.Т.</t>
  </si>
  <si>
    <t>286-22</t>
  </si>
  <si>
    <t>Фертиков В.А.</t>
  </si>
  <si>
    <t>353-23</t>
  </si>
  <si>
    <t>Кенжаев Р.Б.</t>
  </si>
  <si>
    <t>380-23</t>
  </si>
  <si>
    <t>Двухречная М.В.</t>
  </si>
  <si>
    <t>418-23</t>
  </si>
  <si>
    <t>Климов Р.Е.</t>
  </si>
  <si>
    <t>421-23</t>
  </si>
  <si>
    <t>Вепрева Д.С.</t>
  </si>
  <si>
    <t>468-23</t>
  </si>
  <si>
    <t>Бабешко В.Л.</t>
  </si>
  <si>
    <t>470-23</t>
  </si>
  <si>
    <t>Быструшкина Р.И.</t>
  </si>
  <si>
    <t>479-23</t>
  </si>
  <si>
    <t>494-23</t>
  </si>
  <si>
    <t>Короткая А.В.</t>
  </si>
  <si>
    <t>496-23</t>
  </si>
  <si>
    <t>Савенков Д.В.</t>
  </si>
  <si>
    <t>497-23</t>
  </si>
  <si>
    <t>Снопкова З.В.</t>
  </si>
  <si>
    <t>501-23</t>
  </si>
  <si>
    <t>Гудзь Л.В.</t>
  </si>
  <si>
    <t>503-23</t>
  </si>
  <si>
    <t>Барон Н.П.</t>
  </si>
  <si>
    <t>526-23</t>
  </si>
  <si>
    <t>545-23</t>
  </si>
  <si>
    <t>ИП Алекперова Э.И.</t>
  </si>
  <si>
    <t>581-23</t>
  </si>
  <si>
    <t>Шпачук В.А.</t>
  </si>
  <si>
    <t>621-22</t>
  </si>
  <si>
    <t>Конищева Т.А.</t>
  </si>
  <si>
    <t>708-22</t>
  </si>
  <si>
    <t>Коровко А.И.</t>
  </si>
  <si>
    <t>1014-21</t>
  </si>
  <si>
    <t>Кропов В.И.</t>
  </si>
  <si>
    <t>1034-22</t>
  </si>
  <si>
    <t>Мелешко А.С.</t>
  </si>
  <si>
    <t>1129-22</t>
  </si>
  <si>
    <t>1149-22</t>
  </si>
  <si>
    <t>Угай Р.Э.</t>
  </si>
  <si>
    <t>1310-22</t>
  </si>
  <si>
    <t>1576-22</t>
  </si>
  <si>
    <t>Житников С.И.</t>
  </si>
  <si>
    <t>1596-22</t>
  </si>
  <si>
    <t>Федосеева Н.Н.</t>
  </si>
  <si>
    <t>1695-22</t>
  </si>
  <si>
    <t>Радионцева И.Н.</t>
  </si>
  <si>
    <t>271-20</t>
  </si>
  <si>
    <t>Кривоносов Д.В.</t>
  </si>
  <si>
    <t>371-23</t>
  </si>
  <si>
    <t>Агафонова Н.А.</t>
  </si>
  <si>
    <t>374-23</t>
  </si>
  <si>
    <t>Берсенева Н.В.</t>
  </si>
  <si>
    <t>179-23</t>
  </si>
  <si>
    <t>Быков А.В.</t>
  </si>
  <si>
    <t>277-23</t>
  </si>
  <si>
    <t>Шарина О.П.</t>
  </si>
  <si>
    <t>356-23</t>
  </si>
  <si>
    <t>Раджабова А.В.</t>
  </si>
  <si>
    <t>360-23</t>
  </si>
  <si>
    <t>Сыч Р.А.</t>
  </si>
  <si>
    <t>Пилявец В.С.</t>
  </si>
  <si>
    <t>365-23</t>
  </si>
  <si>
    <t>367-23</t>
  </si>
  <si>
    <t>Мясоедова М.Н.</t>
  </si>
  <si>
    <t>368-23</t>
  </si>
  <si>
    <t>Эркабаев А.А.</t>
  </si>
  <si>
    <t>379-23</t>
  </si>
  <si>
    <t>Москаленко М.П.</t>
  </si>
  <si>
    <t>384-23</t>
  </si>
  <si>
    <t>Алимов О.В.</t>
  </si>
  <si>
    <t>387-23</t>
  </si>
  <si>
    <t>Титова О.А.</t>
  </si>
  <si>
    <t>411-23</t>
  </si>
  <si>
    <t>Лобановская Э.А.</t>
  </si>
  <si>
    <t>416-23</t>
  </si>
  <si>
    <t>Дмитриев С.И.</t>
  </si>
  <si>
    <t>486-23</t>
  </si>
  <si>
    <t>Шкурпела Н.С.</t>
  </si>
  <si>
    <t>507-20</t>
  </si>
  <si>
    <t>Косицына О.Е.</t>
  </si>
  <si>
    <t>528-23</t>
  </si>
  <si>
    <t>541-23</t>
  </si>
  <si>
    <t>600-23</t>
  </si>
  <si>
    <t>601-23</t>
  </si>
  <si>
    <t>Вогри Н.П.</t>
  </si>
  <si>
    <t>604-23</t>
  </si>
  <si>
    <t>Подубный И.А.</t>
  </si>
  <si>
    <t>634-23</t>
  </si>
  <si>
    <t>635-23</t>
  </si>
  <si>
    <t>636-23</t>
  </si>
  <si>
    <t>637-23</t>
  </si>
  <si>
    <t>Сазонов В.А.</t>
  </si>
  <si>
    <t>648-23</t>
  </si>
  <si>
    <t>Пинчук В.А.</t>
  </si>
  <si>
    <t>649-23</t>
  </si>
  <si>
    <t>Якименко Г.О.</t>
  </si>
  <si>
    <t>69-23</t>
  </si>
  <si>
    <t>Васильева Н.Н.</t>
  </si>
  <si>
    <t>280-23</t>
  </si>
  <si>
    <t>Зорина И.В.</t>
  </si>
  <si>
    <t>301-23</t>
  </si>
  <si>
    <t>Горбунов Н.Н.</t>
  </si>
  <si>
    <t>302-23</t>
  </si>
  <si>
    <t>Силков А.П.</t>
  </si>
  <si>
    <t>332-23</t>
  </si>
  <si>
    <t>Литвинова Н.С.</t>
  </si>
  <si>
    <t>354-23</t>
  </si>
  <si>
    <t>Богинская Н.В.</t>
  </si>
  <si>
    <t>363-23</t>
  </si>
  <si>
    <t>381-21</t>
  </si>
  <si>
    <t>Лузанчук В.М.</t>
  </si>
  <si>
    <t>505-23</t>
  </si>
  <si>
    <t>Рубанский М.И.</t>
  </si>
  <si>
    <t>148-19</t>
  </si>
  <si>
    <t>197-23</t>
  </si>
  <si>
    <t>Горбачев Р.Ю.</t>
  </si>
  <si>
    <t>269-23</t>
  </si>
  <si>
    <t>Лотышева О.В.</t>
  </si>
  <si>
    <t>283-23</t>
  </si>
  <si>
    <t>Губская Н.Ф.</t>
  </si>
  <si>
    <t>284-23</t>
  </si>
  <si>
    <t>Тимофеев И.А.</t>
  </si>
  <si>
    <t>290-23</t>
  </si>
  <si>
    <t>Чекус В.В.</t>
  </si>
  <si>
    <t>294-23</t>
  </si>
  <si>
    <t>Кудрявцев Р.А.</t>
  </si>
  <si>
    <t>304-23</t>
  </si>
  <si>
    <t>Кузьмин М.В.</t>
  </si>
  <si>
    <t>336-23</t>
  </si>
  <si>
    <t>Кочин В.А.</t>
  </si>
  <si>
    <t>340-23</t>
  </si>
  <si>
    <t>Татаренко С.А.</t>
  </si>
  <si>
    <t>357-23</t>
  </si>
  <si>
    <t>360-19</t>
  </si>
  <si>
    <t>Сидорова Н.А.</t>
  </si>
  <si>
    <t>364-23</t>
  </si>
  <si>
    <t>Нуралиев Ш.С.</t>
  </si>
  <si>
    <t>370-23</t>
  </si>
  <si>
    <t>Клименко Н.В.</t>
  </si>
  <si>
    <t>376-23</t>
  </si>
  <si>
    <t>381-23</t>
  </si>
  <si>
    <t>Марушенко М.М.</t>
  </si>
  <si>
    <t>451-23</t>
  </si>
  <si>
    <t>Лукьянов И.В.</t>
  </si>
  <si>
    <t>518-23</t>
  </si>
  <si>
    <t>Осипова Е.Б.</t>
  </si>
  <si>
    <t>555-23</t>
  </si>
  <si>
    <t>Дрозд Ю.Р.</t>
  </si>
  <si>
    <t>593-23</t>
  </si>
  <si>
    <t>ИП Дейкун К.А.</t>
  </si>
  <si>
    <t>610-23</t>
  </si>
  <si>
    <t>624-23</t>
  </si>
  <si>
    <t>Иванюк Д.В.</t>
  </si>
  <si>
    <t>632-23</t>
  </si>
  <si>
    <t>Попова Е.И.</t>
  </si>
  <si>
    <t>644-23</t>
  </si>
  <si>
    <t>ИП Бакунц А.В.</t>
  </si>
  <si>
    <t>646-23</t>
  </si>
  <si>
    <t>Перепелица Ю.Г.</t>
  </si>
  <si>
    <t>655-23</t>
  </si>
  <si>
    <t>Пягай А.Н.</t>
  </si>
  <si>
    <t>657-23</t>
  </si>
  <si>
    <t>659-23</t>
  </si>
  <si>
    <t>Гончаренко В.Ю.</t>
  </si>
  <si>
    <t>664-23</t>
  </si>
  <si>
    <t>Суюнов Н.Б.</t>
  </si>
  <si>
    <t>669-23</t>
  </si>
  <si>
    <t>675-23</t>
  </si>
  <si>
    <t>Новиков А.Ю.</t>
  </si>
  <si>
    <t>679-23</t>
  </si>
  <si>
    <t>Елизарова А.Е.</t>
  </si>
  <si>
    <t>691-23</t>
  </si>
  <si>
    <t>ИП Черная О.П.</t>
  </si>
  <si>
    <t>697-23</t>
  </si>
  <si>
    <t>702-23</t>
  </si>
  <si>
    <t>Горбунков И.А.</t>
  </si>
  <si>
    <t>709-23</t>
  </si>
  <si>
    <t>Ракута А. И.</t>
  </si>
  <si>
    <t>873-22</t>
  </si>
  <si>
    <t>Дианова И.Ф.</t>
  </si>
  <si>
    <t>104-23</t>
  </si>
  <si>
    <t>Гусаченко Р.С.</t>
  </si>
  <si>
    <t>200-23</t>
  </si>
  <si>
    <t>Родик С.Г.</t>
  </si>
  <si>
    <t>320-23</t>
  </si>
  <si>
    <t>Вощевоз Н.А.</t>
  </si>
  <si>
    <t>329-23</t>
  </si>
  <si>
    <t>Мазонко Т.Л.</t>
  </si>
  <si>
    <t>337-23</t>
  </si>
  <si>
    <t>Саркисян С.Л.</t>
  </si>
  <si>
    <t>402-23</t>
  </si>
  <si>
    <t>Рещук М.С.</t>
  </si>
  <si>
    <t>405-23</t>
  </si>
  <si>
    <t>406-23</t>
  </si>
  <si>
    <t>Кривотулов М.А.</t>
  </si>
  <si>
    <t>410-23</t>
  </si>
  <si>
    <t>Сырмолот В.Г.</t>
  </si>
  <si>
    <t>413-23</t>
  </si>
  <si>
    <t>Кувшинова Л.А.</t>
  </si>
  <si>
    <t>430-23</t>
  </si>
  <si>
    <t>433-23</t>
  </si>
  <si>
    <t>Ковалюк К.В.</t>
  </si>
  <si>
    <t>435-23</t>
  </si>
  <si>
    <t>Елисеева Н.А.</t>
  </si>
  <si>
    <t>482-23</t>
  </si>
  <si>
    <t>Ким Н.Б.</t>
  </si>
  <si>
    <t>484-23</t>
  </si>
  <si>
    <t>Матвеева Т.Б.</t>
  </si>
  <si>
    <t>485-23</t>
  </si>
  <si>
    <t>487-23</t>
  </si>
  <si>
    <t>Полончук И.В.</t>
  </si>
  <si>
    <t>520-23</t>
  </si>
  <si>
    <t>Десятник Я.С.</t>
  </si>
  <si>
    <t>603-23</t>
  </si>
  <si>
    <t>ИП Багиров Ш.Ф..о.</t>
  </si>
  <si>
    <t>750-23</t>
  </si>
  <si>
    <t>Кравцова О.А.</t>
  </si>
  <si>
    <t>772-19</t>
  </si>
  <si>
    <t>Бочкарева Т.М.</t>
  </si>
  <si>
    <t>812-22</t>
  </si>
  <si>
    <t>Осокина И.М.</t>
  </si>
  <si>
    <t>15-23</t>
  </si>
  <si>
    <t>Говоруха Л.Ю.</t>
  </si>
  <si>
    <t>70-23</t>
  </si>
  <si>
    <t>Ким Р.П.</t>
  </si>
  <si>
    <t>184-23</t>
  </si>
  <si>
    <t>Беляев А.С.</t>
  </si>
  <si>
    <t>221-23</t>
  </si>
  <si>
    <t>Пак Ю.С.</t>
  </si>
  <si>
    <t>223-23</t>
  </si>
  <si>
    <t>Хегай Т.А.</t>
  </si>
  <si>
    <t>224-23</t>
  </si>
  <si>
    <t>327-23</t>
  </si>
  <si>
    <t>Богданов Т.В.</t>
  </si>
  <si>
    <t>397-23</t>
  </si>
  <si>
    <t>Кислый В.И.</t>
  </si>
  <si>
    <t>415-23</t>
  </si>
  <si>
    <t>Стволовой А.В.</t>
  </si>
  <si>
    <t>417-23</t>
  </si>
  <si>
    <t>Банщиков В.А.</t>
  </si>
  <si>
    <t>419-23</t>
  </si>
  <si>
    <t>ИП Рай П.В.</t>
  </si>
  <si>
    <t>424-23</t>
  </si>
  <si>
    <t>Ли Хюн Сук</t>
  </si>
  <si>
    <t>432-23</t>
  </si>
  <si>
    <t>Хегай В.А.</t>
  </si>
  <si>
    <t>454-23</t>
  </si>
  <si>
    <t>455-23</t>
  </si>
  <si>
    <t>456-23</t>
  </si>
  <si>
    <t>Шулаева Ю.А.</t>
  </si>
  <si>
    <t>461-23</t>
  </si>
  <si>
    <t>Коваленко И.В.</t>
  </si>
  <si>
    <t>472-23</t>
  </si>
  <si>
    <t>Пилявец А.А.</t>
  </si>
  <si>
    <t>476-23</t>
  </si>
  <si>
    <t>Гибаев И.Г.</t>
  </si>
  <si>
    <t>477-23</t>
  </si>
  <si>
    <t>Санин А.А.</t>
  </si>
  <si>
    <t>489-23</t>
  </si>
  <si>
    <t>Батурина К.И.</t>
  </si>
  <si>
    <t>502-23</t>
  </si>
  <si>
    <t>Чагай Н.С.</t>
  </si>
  <si>
    <t>516-23</t>
  </si>
  <si>
    <t>547-23</t>
  </si>
  <si>
    <t>Чупров П.П.</t>
  </si>
  <si>
    <t>551-19</t>
  </si>
  <si>
    <t>Гутников М.С.</t>
  </si>
  <si>
    <t>557-23</t>
  </si>
  <si>
    <t>Верещак Л.Н.</t>
  </si>
  <si>
    <t>572-23</t>
  </si>
  <si>
    <t>Ильесова Н.С.</t>
  </si>
  <si>
    <t>590-23</t>
  </si>
  <si>
    <t>ООО "РСК-ПРИМ"</t>
  </si>
  <si>
    <t>605-23</t>
  </si>
  <si>
    <t>Авакян М.А.</t>
  </si>
  <si>
    <t>663-23</t>
  </si>
  <si>
    <t>Кулматова Ч.Ш.</t>
  </si>
  <si>
    <t>690-23</t>
  </si>
  <si>
    <t>Магеровская С.Г.</t>
  </si>
  <si>
    <t>703-23</t>
  </si>
  <si>
    <t>Артемьев С.Б.</t>
  </si>
  <si>
    <t>711-23</t>
  </si>
  <si>
    <t>Власов Д.А.</t>
  </si>
  <si>
    <t>731-23</t>
  </si>
  <si>
    <t>Соснина А.Е.</t>
  </si>
  <si>
    <t>732-23</t>
  </si>
  <si>
    <t>742-23</t>
  </si>
  <si>
    <t>Чумак А.Н.</t>
  </si>
  <si>
    <t>755-23</t>
  </si>
  <si>
    <t>Музыченко Д.А.</t>
  </si>
  <si>
    <t>759-23</t>
  </si>
  <si>
    <t>Власова Г.С.</t>
  </si>
  <si>
    <t>760-23</t>
  </si>
  <si>
    <t>Волков С.М.</t>
  </si>
  <si>
    <t>761-23</t>
  </si>
  <si>
    <t>Кочерга А.Л.</t>
  </si>
  <si>
    <t>775-23</t>
  </si>
  <si>
    <t>Якимов А.Б.</t>
  </si>
  <si>
    <t>848-22</t>
  </si>
  <si>
    <t>Министерство транспорта и дорожного хозяйства Приморского края</t>
  </si>
  <si>
    <t>129-20</t>
  </si>
  <si>
    <t>130-20</t>
  </si>
  <si>
    <t>Милоенко Е.С.</t>
  </si>
  <si>
    <t>372-23</t>
  </si>
  <si>
    <t>Лаевская Р.Н.</t>
  </si>
  <si>
    <t>504-23</t>
  </si>
  <si>
    <t>Журов А.А.</t>
  </si>
  <si>
    <t>512-23</t>
  </si>
  <si>
    <t>Степанов Б.В.</t>
  </si>
  <si>
    <t>530-23</t>
  </si>
  <si>
    <t>Голивец Ю.В.</t>
  </si>
  <si>
    <t>537-23</t>
  </si>
  <si>
    <t>Макарова Н.В.</t>
  </si>
  <si>
    <t>546-23</t>
  </si>
  <si>
    <t>Краснов Ю.А.</t>
  </si>
  <si>
    <t>550-23</t>
  </si>
  <si>
    <t>Давыдов Е.В.</t>
  </si>
  <si>
    <t>556-23</t>
  </si>
  <si>
    <t>Савинова М.А.</t>
  </si>
  <si>
    <t>576-23</t>
  </si>
  <si>
    <t>Милюшина Н.В.</t>
  </si>
  <si>
    <t>577-23</t>
  </si>
  <si>
    <t>Мизгирев А.И.</t>
  </si>
  <si>
    <t>579-23</t>
  </si>
  <si>
    <t>580-23</t>
  </si>
  <si>
    <t>Федоренко Е.А.</t>
  </si>
  <si>
    <t>661-23</t>
  </si>
  <si>
    <t>Шкарлет В.А.</t>
  </si>
  <si>
    <t>689-23</t>
  </si>
  <si>
    <t>Грищенков Н.Е.</t>
  </si>
  <si>
    <t>692-23</t>
  </si>
  <si>
    <t>Ермоченко Ю.В.</t>
  </si>
  <si>
    <t>785-22</t>
  </si>
  <si>
    <t>852-23</t>
  </si>
  <si>
    <t>Черняк В.В.</t>
  </si>
  <si>
    <t>1021-22</t>
  </si>
  <si>
    <t>ООО "УссурийскСпортСервис"</t>
  </si>
  <si>
    <t>165-20</t>
  </si>
  <si>
    <t>316-23</t>
  </si>
  <si>
    <t>Нянько В.Н.</t>
  </si>
  <si>
    <t>500-23</t>
  </si>
  <si>
    <t>Негру С.С.</t>
  </si>
  <si>
    <t>513-23</t>
  </si>
  <si>
    <t>Щербаков А.В.</t>
  </si>
  <si>
    <t>514-23</t>
  </si>
  <si>
    <t>Карсакова И.В.</t>
  </si>
  <si>
    <t>536-23</t>
  </si>
  <si>
    <t>Шафорост Л.В.</t>
  </si>
  <si>
    <t>548-23</t>
  </si>
  <si>
    <t>Маркова М.А.</t>
  </si>
  <si>
    <t>560-23</t>
  </si>
  <si>
    <t>Ткаченко В.В.</t>
  </si>
  <si>
    <t>564-23</t>
  </si>
  <si>
    <t>566-23</t>
  </si>
  <si>
    <t>Самойленко С.Н.</t>
  </si>
  <si>
    <t>569-23</t>
  </si>
  <si>
    <t>Лавжель А.В.</t>
  </si>
  <si>
    <t>597-23</t>
  </si>
  <si>
    <t>Кочанов С.В.</t>
  </si>
  <si>
    <t>599-23</t>
  </si>
  <si>
    <t>Журавлев В.Г.</t>
  </si>
  <si>
    <t>627-23</t>
  </si>
  <si>
    <t>Крысина Ю.О.</t>
  </si>
  <si>
    <t>631-23</t>
  </si>
  <si>
    <t>652-23</t>
  </si>
  <si>
    <t>ИП Сухомлинов Ю.Ю.</t>
  </si>
  <si>
    <t>656-23</t>
  </si>
  <si>
    <t>Силантьев С.А.</t>
  </si>
  <si>
    <t>695-23</t>
  </si>
  <si>
    <t>Стасенко А.А.</t>
  </si>
  <si>
    <t>696-23</t>
  </si>
  <si>
    <t>Сычова И.О.</t>
  </si>
  <si>
    <t>721-22</t>
  </si>
  <si>
    <t>Ли Д.Д.</t>
  </si>
  <si>
    <t>741-23</t>
  </si>
  <si>
    <t>769-23</t>
  </si>
  <si>
    <t>770-23</t>
  </si>
  <si>
    <t>771-23</t>
  </si>
  <si>
    <t>772-23</t>
  </si>
  <si>
    <t>Лесняк А.В.</t>
  </si>
  <si>
    <t>781-23</t>
  </si>
  <si>
    <t>Ермаков Д.В.</t>
  </si>
  <si>
    <t>786-23</t>
  </si>
  <si>
    <t>Мельник Э.А.</t>
  </si>
  <si>
    <t>789-23</t>
  </si>
  <si>
    <t>Абдуллаев Р.Т.</t>
  </si>
  <si>
    <t>793-23</t>
  </si>
  <si>
    <t>Галстян Р.М.</t>
  </si>
  <si>
    <t>797-23</t>
  </si>
  <si>
    <t>Запорожец М.В.</t>
  </si>
  <si>
    <t>800-23</t>
  </si>
  <si>
    <t>806-23</t>
  </si>
  <si>
    <t>824-23</t>
  </si>
  <si>
    <t>825-23</t>
  </si>
  <si>
    <t>Чернов С.С.</t>
  </si>
  <si>
    <t>826-23</t>
  </si>
  <si>
    <t>828-23</t>
  </si>
  <si>
    <t>829-23</t>
  </si>
  <si>
    <t>Сураева Н.А.</t>
  </si>
  <si>
    <t>839-23</t>
  </si>
  <si>
    <t>ИП Шаронов М.Е.</t>
  </si>
  <si>
    <t>842-23</t>
  </si>
  <si>
    <t>844-23</t>
  </si>
  <si>
    <t>846-23</t>
  </si>
  <si>
    <t>Павлинова Е.В.</t>
  </si>
  <si>
    <t>847-23</t>
  </si>
  <si>
    <t>Прутовых В.В.</t>
  </si>
  <si>
    <t>850-23</t>
  </si>
  <si>
    <t>Цой А.Г.</t>
  </si>
  <si>
    <t>858-23</t>
  </si>
  <si>
    <t>859-23</t>
  </si>
  <si>
    <t>ИП Доброезжев Л.Л.</t>
  </si>
  <si>
    <t>860-23</t>
  </si>
  <si>
    <t>Прохорова В.И.</t>
  </si>
  <si>
    <t>861-23</t>
  </si>
  <si>
    <t>Романов Д.П.</t>
  </si>
  <si>
    <t>862-23</t>
  </si>
  <si>
    <t>Пономаренко Н.В.</t>
  </si>
  <si>
    <t>863-23</t>
  </si>
  <si>
    <t>Хон Е.С.</t>
  </si>
  <si>
    <t>865-23</t>
  </si>
  <si>
    <t>867-23</t>
  </si>
  <si>
    <t>Усаев Н.У.</t>
  </si>
  <si>
    <t>871-23</t>
  </si>
  <si>
    <t>Хотамова З.</t>
  </si>
  <si>
    <t>876-23</t>
  </si>
  <si>
    <t>Киргизова Т.Я.</t>
  </si>
  <si>
    <t>882-23</t>
  </si>
  <si>
    <t>Марушенко Т.В.</t>
  </si>
  <si>
    <t>883-23</t>
  </si>
  <si>
    <t>Самус Ю.И.</t>
  </si>
  <si>
    <t>921-23</t>
  </si>
  <si>
    <t>Кислицин А.П.</t>
  </si>
  <si>
    <t>948-23</t>
  </si>
  <si>
    <t>951-23</t>
  </si>
  <si>
    <t>Морев А.А.</t>
  </si>
  <si>
    <t>6-23</t>
  </si>
  <si>
    <t>Пишняк Т.В.</t>
  </si>
  <si>
    <t>246-19</t>
  </si>
  <si>
    <t>Шевченко Н.К.</t>
  </si>
  <si>
    <t>561-23</t>
  </si>
  <si>
    <t>623-23</t>
  </si>
  <si>
    <t>Кузнецов Г.А.</t>
  </si>
  <si>
    <t>654-23</t>
  </si>
  <si>
    <t>688-23</t>
  </si>
  <si>
    <t>Хорошко О.А.</t>
  </si>
  <si>
    <t>754-23</t>
  </si>
  <si>
    <t>Васильев В.П.   (Карпечкина Г.В.)</t>
  </si>
  <si>
    <t>788/325</t>
  </si>
  <si>
    <t>КГБУ "Уссурийская центральная городская больница"</t>
  </si>
  <si>
    <t>Сивашов С.Г.</t>
  </si>
  <si>
    <t>976-23</t>
  </si>
  <si>
    <t>Моськина О.О.</t>
  </si>
  <si>
    <t>195-20</t>
  </si>
  <si>
    <t>Некраш К.М.</t>
  </si>
  <si>
    <t>342-23</t>
  </si>
  <si>
    <t>Мазбутов З.Р.</t>
  </si>
  <si>
    <t>425-23</t>
  </si>
  <si>
    <t>Захарова О.П.</t>
  </si>
  <si>
    <t>473-23</t>
  </si>
  <si>
    <t>Решетникова Н.П.</t>
  </si>
  <si>
    <t>529-23</t>
  </si>
  <si>
    <t>Маслов С.Б.</t>
  </si>
  <si>
    <t>573-23</t>
  </si>
  <si>
    <t xml:space="preserve">ООО "Т2 Мобайл" </t>
  </si>
  <si>
    <t>578-23</t>
  </si>
  <si>
    <t>Сапегин В.В.</t>
  </si>
  <si>
    <t>592-23</t>
  </si>
  <si>
    <t>612-23</t>
  </si>
  <si>
    <t>Губарь С.Г.</t>
  </si>
  <si>
    <t>647-23</t>
  </si>
  <si>
    <t>Цыганков В.А.</t>
  </si>
  <si>
    <t>721-23</t>
  </si>
  <si>
    <t>Сильченко А.Н.</t>
  </si>
  <si>
    <t>764-23</t>
  </si>
  <si>
    <t>Гладких М.Ю.</t>
  </si>
  <si>
    <t>787-23</t>
  </si>
  <si>
    <t>Бабак В.С.</t>
  </si>
  <si>
    <t>799-23</t>
  </si>
  <si>
    <t>Адиятова О.Н.</t>
  </si>
  <si>
    <t>808-23</t>
  </si>
  <si>
    <t>ИП Харитонов Г.Г.</t>
  </si>
  <si>
    <t>810-23</t>
  </si>
  <si>
    <t>Васильев Р.Б.</t>
  </si>
  <si>
    <t>855-23</t>
  </si>
  <si>
    <t>881-23</t>
  </si>
  <si>
    <t>Шпак Е.Е.</t>
  </si>
  <si>
    <t>894-23</t>
  </si>
  <si>
    <t>ИП Двоенко Н.Р.</t>
  </si>
  <si>
    <t>902-23</t>
  </si>
  <si>
    <t>Седова О.В.</t>
  </si>
  <si>
    <t>917-23</t>
  </si>
  <si>
    <t>Бабаков В.А.</t>
  </si>
  <si>
    <t>919-23</t>
  </si>
  <si>
    <t>Бруховецкий В.С.</t>
  </si>
  <si>
    <t>922-23</t>
  </si>
  <si>
    <t>928-23</t>
  </si>
  <si>
    <t>Краснюков А.А.</t>
  </si>
  <si>
    <t>930-23</t>
  </si>
  <si>
    <t>Козлова О.Н.</t>
  </si>
  <si>
    <t>931-23</t>
  </si>
  <si>
    <t>Чернышева А.С.</t>
  </si>
  <si>
    <t>935-23</t>
  </si>
  <si>
    <t>Домбровская И.Э.</t>
  </si>
  <si>
    <t>940-23</t>
  </si>
  <si>
    <t>Бердник Е.И.</t>
  </si>
  <si>
    <t>956-23</t>
  </si>
  <si>
    <t>ИП Внукова Е.С.</t>
  </si>
  <si>
    <t>989-23</t>
  </si>
  <si>
    <t>Круковский В.С.</t>
  </si>
  <si>
    <t>990-23</t>
  </si>
  <si>
    <t>Андриянов А.В.</t>
  </si>
  <si>
    <t>991-23</t>
  </si>
  <si>
    <t>ООО "Новая Эра"</t>
  </si>
  <si>
    <t>997-23</t>
  </si>
  <si>
    <t>Арджанов Р.К.</t>
  </si>
  <si>
    <t>1015-23</t>
  </si>
  <si>
    <t>Бердиуз А.А.</t>
  </si>
  <si>
    <t>1016-23</t>
  </si>
  <si>
    <t>Игнатенко А.В.</t>
  </si>
  <si>
    <t>1021-23</t>
  </si>
  <si>
    <t>1022-23</t>
  </si>
  <si>
    <t>ООО "Никольск-3"</t>
  </si>
  <si>
    <t>1025-23</t>
  </si>
  <si>
    <t>ИП Зиновьев В.В.</t>
  </si>
  <si>
    <t>1137-22</t>
  </si>
  <si>
    <t>ООО "Гарант-1"</t>
  </si>
  <si>
    <t>89-23</t>
  </si>
  <si>
    <t>255/н</t>
  </si>
  <si>
    <t>88-23</t>
  </si>
  <si>
    <t>692-22</t>
  </si>
  <si>
    <t>Моренко Ю.И.</t>
  </si>
  <si>
    <t>1300-22</t>
  </si>
  <si>
    <t>ИП Ястребкова И.Н.</t>
  </si>
  <si>
    <t>1367-22</t>
  </si>
  <si>
    <t>АО "Электрозарядные станции РусГидро"</t>
  </si>
  <si>
    <t>1697-22</t>
  </si>
  <si>
    <t>153-23</t>
  </si>
  <si>
    <t>ООО "Дубовая роща"</t>
  </si>
  <si>
    <t>246-23</t>
  </si>
  <si>
    <t>947-21</t>
  </si>
  <si>
    <t>ИП Бенгер Э.Б.</t>
  </si>
  <si>
    <t>1262-22</t>
  </si>
  <si>
    <t>ИП Г.Э.М.о.</t>
  </si>
  <si>
    <t>1471-22</t>
  </si>
  <si>
    <t>Ткачук В.С.</t>
  </si>
  <si>
    <t>18-23</t>
  </si>
  <si>
    <t>ИП Юхнова О.А.</t>
  </si>
  <si>
    <t>118-23</t>
  </si>
  <si>
    <t>308-22</t>
  </si>
  <si>
    <t>344-23</t>
  </si>
  <si>
    <t>431-22</t>
  </si>
  <si>
    <t>ИП Григорьев А.В.</t>
  </si>
  <si>
    <t>539-23</t>
  </si>
  <si>
    <t>Макеев М.С.</t>
  </si>
  <si>
    <t>980-22</t>
  </si>
  <si>
    <t>ИП Гасанов Э.М.о</t>
  </si>
  <si>
    <t>1102-20</t>
  </si>
  <si>
    <t>Рахимова Г.Н.к</t>
  </si>
  <si>
    <t>1571-22</t>
  </si>
  <si>
    <t>1631-22</t>
  </si>
  <si>
    <t>1716-22</t>
  </si>
  <si>
    <t>130-23</t>
  </si>
  <si>
    <t>ООО "Склад ДВ"</t>
  </si>
  <si>
    <t>ИП Ястребков М.О.</t>
  </si>
  <si>
    <t>625-23</t>
  </si>
  <si>
    <t>ИП Давидян Р.И.</t>
  </si>
  <si>
    <t>674-23</t>
  </si>
  <si>
    <t>АО "Уссурийское предприятие тепловых сетей"</t>
  </si>
  <si>
    <t>289-23 (1)</t>
  </si>
  <si>
    <t>289-23 (2)</t>
  </si>
  <si>
    <t>Бабаков А.В.</t>
  </si>
  <si>
    <t>540-23</t>
  </si>
  <si>
    <t>ИП Азаренко А.Ю.</t>
  </si>
  <si>
    <t>766-23</t>
  </si>
  <si>
    <t>ООО "Дельта-Уссури"</t>
  </si>
  <si>
    <t>286-23</t>
  </si>
  <si>
    <t>ИП Г.А.К.о.</t>
  </si>
  <si>
    <t>492-23</t>
  </si>
  <si>
    <t>1308-22</t>
  </si>
  <si>
    <t>Хоменко Е.С.</t>
  </si>
  <si>
    <t>990-22</t>
  </si>
  <si>
    <t>587-23</t>
  </si>
  <si>
    <t>ООО "ДВ Энергия"</t>
  </si>
  <si>
    <t>848-23</t>
  </si>
  <si>
    <t>Кабель ААБл 1 4*150 с двумя кабелями в траншее</t>
  </si>
  <si>
    <t>Кабель ААБл 1 4*150 с четырьмя кабелями в траншее</t>
  </si>
  <si>
    <t>Кабель ААБл 1 4*150 с одним кабелем в траншее</t>
  </si>
  <si>
    <t>Кабель ААБл 1 4*185 с одним кабелем в траншее</t>
  </si>
  <si>
    <t>Кабель ААБл 1 4*185 с двумя кабелями в траншее</t>
  </si>
  <si>
    <t>Кабель ААБл 1 4*185 с тремя кабелями в траншее</t>
  </si>
  <si>
    <t>Кабель ААБл 1 4*185 с четырьмя кабелями в траншее</t>
  </si>
  <si>
    <t>Кабель ААБл 6 3*120 с одним кабелем в траншее</t>
  </si>
  <si>
    <t>Кабель ААБл 6 3*120  с двумя кабелями в траншее</t>
  </si>
  <si>
    <t xml:space="preserve">Кабель ААБл 6 3*150 с одним кабелем в траншее          </t>
  </si>
  <si>
    <t>Кабель ААБл 6 3*150 с двумя кабелями в траншее</t>
  </si>
  <si>
    <t>Кабель ААБл 1 4*120 с одной трубой в скважине</t>
  </si>
  <si>
    <t>Кабель ААБл 1 4*120 с двумя трубами в скважине</t>
  </si>
  <si>
    <t>Кабель ААБл 1 4*150 с одной трубой в скважине</t>
  </si>
  <si>
    <t>Кабель ААБл 1 4*150 с четырьмя трубами в скважине</t>
  </si>
  <si>
    <t>Кабель ААБл 6 3*120 с одной трубой в скважине</t>
  </si>
  <si>
    <t>Кабель ААБл 6 3*120 с двумя трубами в скважине</t>
  </si>
  <si>
    <t>Кабель ААБл 6 3*150 с двумя трубами в скважине</t>
  </si>
  <si>
    <t xml:space="preserve">Кабель ААБл 1 4*185 с одной трубой в скважине   </t>
  </si>
  <si>
    <t>2.3.1.3.1.1</t>
  </si>
  <si>
    <t>Воздушные линии на железобетонных опорах (3) изолированным (1) сталеалюминиевым проводом (3), сечением до 50 квадратных мм включительно (1) одноцепные (1)</t>
  </si>
  <si>
    <t>2.3.1.3.2.1</t>
  </si>
  <si>
    <t>Воздушные линии на железобетонных опорах (3) изолированным (1) сталеалюминиевым проводом (3), сечением от 50 до 100 квадратных мм включительно (2) одноцепные (1)</t>
  </si>
  <si>
    <t>2.3.1.3.3.1</t>
  </si>
  <si>
    <t>Воздушные линии на железобетонных опорах (3) изолированным (1) сталеалюминиевым проводом (3), сечением от 50 до 100 квадратных мм включительно (3) одноцепные (1)</t>
  </si>
  <si>
    <t>Кабельные линии в траншеях (1), многожильные (2) с бумажной изоляцией (2) сечением провода от 50 до 100 квадратных мм включительно (2) с одним кабелем в траншее (1)</t>
  </si>
  <si>
    <t>Кабельные линии в траншеях (1), многожильные (2) с бумажной изоляцией (2) сечением провода от 100 до 200 квадратных мм включительно (2) с одним кабелем в траншее (1)</t>
  </si>
  <si>
    <t xml:space="preserve">Кабель ААБл 6 3*185 с одним кабелем в траншее  </t>
  </si>
  <si>
    <t>3.1.2.2.4.1</t>
  </si>
  <si>
    <t>Кабельные линии в траншеях (1), многожильные (2) с бумажной изоляцией (2) сечением провода от 200 до 250 квадратных мм включительно (4) с одним кабелем в траншее (1)</t>
  </si>
  <si>
    <t>Кабельные линии, прокладываемые методом горизонтального наклонного бурения (6), многожильные (2) с бумажной изоляцией (2) сечением провода от 100 до 200 квадратных мм включительно (3) с одной трубой в скважине (1)</t>
  </si>
  <si>
    <t>Кабель ААБл 6 3*185  с одной трубой в скважине</t>
  </si>
  <si>
    <t>Однотрансформаторные подстанции (за исключением РТП) (1) мощностью от 100 до 250 кВА включительно (3) столбового/мачтового типа (1)</t>
  </si>
  <si>
    <t>Однотрансформаторные подстанции (за исключением РТП) (1) мощностью от 25 до 100 кВА включительно (2) столбового/мачтового типа (1)</t>
  </si>
  <si>
    <t>Однотрансформаторные подстанции (за исключением РТП) (1) мощностью от 250 кВА включительно (4) столбового/мачтового типа (1), шкафного или киоскового типа (2)</t>
  </si>
  <si>
    <t>5.1.4</t>
  </si>
  <si>
    <t>5.1.4.1</t>
  </si>
  <si>
    <t>5.2.3.2</t>
  </si>
  <si>
    <t>Двухтрансформаторные и более  подстанции (за исключением РТП) (2) мощностью от 100 до 250 кВА включительно (3) шкафного или киоскового типа (2)</t>
  </si>
  <si>
    <t>Двухтрансформаторные и более  подстанции (за исключением РТП) (2) мощностью от 250 до 400 кВА включительно (4) шкафного или киоскового типа (2)</t>
  </si>
  <si>
    <t>Двухтрансформаторные и более  подстанции (за исключением РТП) (2) мощностью от 400 до 630 кВА включительно (4) шкафного или киоскового типа (2)</t>
  </si>
  <si>
    <t>5.2.5.3</t>
  </si>
  <si>
    <t>Двухтрансформаторные и более  подстанции (за исключением РТП) (2) мощностью от 630 до 1000 кВА включительно (6) шкафного или киоскового типа (2)</t>
  </si>
  <si>
    <t>Средства коммерческого учета электрической энергии (мощности) однофазные прямого включения</t>
  </si>
  <si>
    <t>8.1.1</t>
  </si>
  <si>
    <t>Средства коммерческого учета электрической энергии (мощности) трехфазные прямого включения</t>
  </si>
  <si>
    <t>Средства коммерческого учета электрической энергии (мощности) трехфазные полукосвенного включения</t>
  </si>
  <si>
    <t>Средства коммерческого учета электрической энергии (мощности) трехфазные косвенного включения</t>
  </si>
  <si>
    <t>8.2.2</t>
  </si>
  <si>
    <t>8.2.3</t>
  </si>
  <si>
    <t>268-23</t>
  </si>
  <si>
    <t xml:space="preserve"> Расходы на строительство введенных в эксплуатацию объектов электросетевого хозяйства для целей технологического присоединения и для целей реализации иных мероприятий инвестиционной программы территориальной сетевой организации для территорий не городских населенных пунктов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</si>
</sst>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00"/>
    <numFmt numFmtId="166" formatCode="0.000"/>
    <numFmt numFmtId="167" formatCode="_-* #,##0.000_р_._-;\-* #,##0.000_р_._-;_-* &quot;-&quot;???_р_._-;_-@_-"/>
    <numFmt numFmtId="168" formatCode="0.0"/>
  </numFmts>
  <fonts count="3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indexed="81"/>
      <name val="Tahoma"/>
      <family val="2"/>
      <charset val="204"/>
    </font>
    <font>
      <sz val="16"/>
      <color theme="1"/>
      <name val="Calibri"/>
      <family val="2"/>
      <charset val="204"/>
      <scheme val="minor"/>
    </font>
    <font>
      <sz val="10"/>
      <color indexed="63"/>
      <name val="Tahoma"/>
      <family val="2"/>
      <charset val="204"/>
    </font>
    <font>
      <sz val="9"/>
      <name val="Tahoma"/>
      <family val="2"/>
      <charset val="204"/>
    </font>
    <font>
      <sz val="9"/>
      <color indexed="63"/>
      <name val="Tahoma"/>
      <family val="2"/>
      <charset val="204"/>
    </font>
    <font>
      <sz val="8"/>
      <name val="Verdana"/>
      <family val="2"/>
      <charset val="204"/>
    </font>
    <font>
      <b/>
      <sz val="10"/>
      <color indexed="63"/>
      <name val="Tahoma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10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</fonts>
  <fills count="4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C52C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396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D2BC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A6CC9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CC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FDB57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7DC2D5"/>
        <bgColor indexed="64"/>
      </patternFill>
    </fill>
    <fill>
      <patternFill patternType="solid">
        <fgColor rgb="FF7FC1D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99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55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5" fillId="0" borderId="0"/>
    <xf numFmtId="164" fontId="6" fillId="0" borderId="0" applyFont="0" applyFill="0" applyBorder="0" applyAlignment="0" applyProtection="0"/>
    <xf numFmtId="0" fontId="6" fillId="0" borderId="0"/>
    <xf numFmtId="0" fontId="13" fillId="0" borderId="0">
      <alignment horizontal="left" vertical="center"/>
    </xf>
    <xf numFmtId="0" fontId="15" fillId="0" borderId="0"/>
    <xf numFmtId="43" fontId="3" fillId="0" borderId="0" applyFont="0" applyFill="0" applyBorder="0" applyAlignment="0" applyProtection="0"/>
    <xf numFmtId="0" fontId="17" fillId="34" borderId="0" applyNumberFormat="0" applyBorder="0" applyAlignment="0" applyProtection="0"/>
  </cellStyleXfs>
  <cellXfs count="702">
    <xf numFmtId="0" fontId="0" fillId="0" borderId="0" xfId="0"/>
    <xf numFmtId="0" fontId="34" fillId="43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0" xfId="0"/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right" vertical="center"/>
    </xf>
    <xf numFmtId="0" fontId="0" fillId="0" borderId="2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4" fontId="0" fillId="0" borderId="7" xfId="0" applyNumberFormat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 wrapText="1"/>
    </xf>
    <xf numFmtId="4" fontId="0" fillId="0" borderId="9" xfId="0" applyNumberFormat="1" applyBorder="1" applyAlignment="1">
      <alignment horizontal="center" vertical="center" wrapText="1"/>
    </xf>
    <xf numFmtId="0" fontId="0" fillId="0" borderId="7" xfId="0" applyNumberFormat="1" applyBorder="1" applyAlignment="1">
      <alignment horizontal="center" vertical="center" wrapText="1"/>
    </xf>
    <xf numFmtId="0" fontId="0" fillId="0" borderId="8" xfId="0" applyNumberFormat="1" applyBorder="1" applyAlignment="1">
      <alignment horizontal="center" vertical="center" wrapText="1"/>
    </xf>
    <xf numFmtId="0" fontId="0" fillId="0" borderId="9" xfId="0" applyNumberForma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" vertical="center" wrapText="1"/>
    </xf>
    <xf numFmtId="4" fontId="0" fillId="0" borderId="14" xfId="0" applyNumberFormat="1" applyBorder="1" applyAlignment="1">
      <alignment horizontal="center" vertical="center" wrapText="1"/>
    </xf>
    <xf numFmtId="0" fontId="0" fillId="0" borderId="32" xfId="0" applyBorder="1"/>
    <xf numFmtId="0" fontId="0" fillId="0" borderId="0" xfId="0" applyBorder="1"/>
    <xf numFmtId="0" fontId="0" fillId="0" borderId="33" xfId="0" applyBorder="1"/>
    <xf numFmtId="0" fontId="0" fillId="2" borderId="36" xfId="0" applyFill="1" applyBorder="1" applyAlignment="1">
      <alignment vertical="center" wrapText="1"/>
    </xf>
    <xf numFmtId="0" fontId="0" fillId="2" borderId="38" xfId="0" applyFill="1" applyBorder="1" applyAlignment="1">
      <alignment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4" xfId="0" applyNumberFormat="1" applyBorder="1" applyAlignment="1">
      <alignment horizontal="center" vertical="center" wrapText="1"/>
    </xf>
    <xf numFmtId="0" fontId="0" fillId="10" borderId="36" xfId="0" applyFill="1" applyBorder="1" applyAlignment="1">
      <alignment vertical="center" wrapText="1"/>
    </xf>
    <xf numFmtId="0" fontId="0" fillId="10" borderId="38" xfId="0" applyFill="1" applyBorder="1" applyAlignment="1">
      <alignment vertical="center" wrapText="1"/>
    </xf>
    <xf numFmtId="0" fontId="0" fillId="0" borderId="45" xfId="0" applyBorder="1"/>
    <xf numFmtId="0" fontId="0" fillId="0" borderId="30" xfId="0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" fontId="0" fillId="2" borderId="5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" fontId="0" fillId="2" borderId="6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6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" fontId="0" fillId="0" borderId="12" xfId="0" applyNumberFormat="1" applyBorder="1" applyAlignment="1">
      <alignment horizontal="center" vertical="center" wrapText="1"/>
    </xf>
    <xf numFmtId="4" fontId="0" fillId="0" borderId="12" xfId="0" applyNumberForma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29" xfId="0" applyNumberFormat="1" applyBorder="1" applyAlignment="1">
      <alignment horizontal="center" vertical="center" wrapText="1"/>
    </xf>
    <xf numFmtId="0" fontId="0" fillId="13" borderId="36" xfId="0" applyFill="1" applyBorder="1" applyAlignment="1">
      <alignment vertical="center" wrapText="1"/>
    </xf>
    <xf numFmtId="0" fontId="0" fillId="13" borderId="38" xfId="0" applyFill="1" applyBorder="1" applyAlignment="1">
      <alignment vertical="center" wrapText="1"/>
    </xf>
    <xf numFmtId="0" fontId="0" fillId="13" borderId="37" xfId="0" applyFill="1" applyBorder="1" applyAlignment="1">
      <alignment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4" fontId="0" fillId="0" borderId="5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4" fontId="0" fillId="0" borderId="6" xfId="0" applyNumberFormat="1" applyBorder="1" applyAlignment="1">
      <alignment horizontal="center" vertical="center" wrapText="1"/>
    </xf>
    <xf numFmtId="0" fontId="0" fillId="9" borderId="36" xfId="0" applyFill="1" applyBorder="1" applyAlignment="1">
      <alignment vertical="center" wrapText="1"/>
    </xf>
    <xf numFmtId="0" fontId="0" fillId="9" borderId="43" xfId="0" applyFill="1" applyBorder="1" applyAlignment="1">
      <alignment vertical="center" wrapText="1"/>
    </xf>
    <xf numFmtId="0" fontId="0" fillId="9" borderId="38" xfId="0" applyFill="1" applyBorder="1" applyAlignment="1">
      <alignment vertical="center" wrapText="1"/>
    </xf>
    <xf numFmtId="0" fontId="0" fillId="9" borderId="32" xfId="0" applyFill="1" applyBorder="1" applyAlignment="1">
      <alignment vertical="center" wrapText="1"/>
    </xf>
    <xf numFmtId="4" fontId="0" fillId="0" borderId="3" xfId="0" applyNumberFormat="1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 wrapText="1"/>
    </xf>
    <xf numFmtId="4" fontId="0" fillId="0" borderId="29" xfId="0" applyNumberFormat="1" applyBorder="1" applyAlignment="1">
      <alignment horizontal="center" vertical="center" wrapText="1"/>
    </xf>
    <xf numFmtId="4" fontId="0" fillId="0" borderId="46" xfId="0" applyNumberFormat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2" xfId="0" applyNumberFormat="1" applyBorder="1" applyAlignment="1">
      <alignment horizontal="center" vertical="center" wrapText="1"/>
    </xf>
    <xf numFmtId="0" fontId="0" fillId="0" borderId="14" xfId="0" applyNumberFormat="1" applyBorder="1" applyAlignment="1">
      <alignment horizontal="center" vertical="center" wrapText="1"/>
    </xf>
    <xf numFmtId="4" fontId="0" fillId="0" borderId="13" xfId="0" applyNumberFormat="1" applyBorder="1" applyAlignment="1">
      <alignment horizontal="center" vertical="center" wrapText="1"/>
    </xf>
    <xf numFmtId="0" fontId="0" fillId="14" borderId="4" xfId="0" applyNumberFormat="1" applyFill="1" applyBorder="1" applyAlignment="1">
      <alignment horizontal="center" vertical="center" wrapText="1"/>
    </xf>
    <xf numFmtId="0" fontId="0" fillId="14" borderId="1" xfId="0" applyNumberFormat="1" applyFill="1" applyBorder="1" applyAlignment="1">
      <alignment horizontal="center" vertical="center" wrapText="1"/>
    </xf>
    <xf numFmtId="0" fontId="0" fillId="14" borderId="8" xfId="0" applyNumberFormat="1" applyFill="1" applyBorder="1" applyAlignment="1">
      <alignment horizontal="center" vertical="center" wrapText="1"/>
    </xf>
    <xf numFmtId="0" fontId="0" fillId="17" borderId="3" xfId="0" applyNumberFormat="1" applyFill="1" applyBorder="1" applyAlignment="1">
      <alignment horizontal="center" vertical="center" wrapText="1"/>
    </xf>
    <xf numFmtId="0" fontId="0" fillId="17" borderId="4" xfId="0" applyNumberFormat="1" applyFill="1" applyBorder="1" applyAlignment="1">
      <alignment horizontal="center" vertical="center" wrapText="1"/>
    </xf>
    <xf numFmtId="0" fontId="0" fillId="17" borderId="5" xfId="0" applyNumberFormat="1" applyFill="1" applyBorder="1" applyAlignment="1">
      <alignment horizontal="center" vertical="center" wrapText="1"/>
    </xf>
    <xf numFmtId="0" fontId="0" fillId="17" borderId="1" xfId="0" applyNumberFormat="1" applyFill="1" applyBorder="1" applyAlignment="1">
      <alignment horizontal="center" vertical="center" wrapText="1"/>
    </xf>
    <xf numFmtId="0" fontId="0" fillId="14" borderId="29" xfId="0" applyNumberFormat="1" applyFill="1" applyBorder="1" applyAlignment="1">
      <alignment horizontal="center" vertical="center" wrapText="1"/>
    </xf>
    <xf numFmtId="0" fontId="0" fillId="14" borderId="6" xfId="0" applyNumberFormat="1" applyFill="1" applyBorder="1" applyAlignment="1">
      <alignment horizontal="center" vertical="center" wrapText="1"/>
    </xf>
    <xf numFmtId="0" fontId="0" fillId="14" borderId="9" xfId="0" applyNumberFormat="1" applyFill="1" applyBorder="1" applyAlignment="1">
      <alignment horizontal="center" vertical="center" wrapText="1"/>
    </xf>
    <xf numFmtId="0" fontId="0" fillId="18" borderId="4" xfId="0" applyNumberFormat="1" applyFill="1" applyBorder="1" applyAlignment="1">
      <alignment horizontal="center" vertical="center" wrapText="1"/>
    </xf>
    <xf numFmtId="0" fontId="0" fillId="18" borderId="29" xfId="0" applyNumberFormat="1" applyFill="1" applyBorder="1" applyAlignment="1">
      <alignment horizontal="center" vertical="center" wrapText="1"/>
    </xf>
    <xf numFmtId="0" fontId="0" fillId="18" borderId="1" xfId="0" applyNumberFormat="1" applyFill="1" applyBorder="1" applyAlignment="1">
      <alignment horizontal="center" vertical="center" wrapText="1"/>
    </xf>
    <xf numFmtId="0" fontId="0" fillId="18" borderId="6" xfId="0" applyNumberFormat="1" applyFill="1" applyBorder="1" applyAlignment="1">
      <alignment horizontal="center" vertical="center" wrapText="1"/>
    </xf>
    <xf numFmtId="0" fontId="0" fillId="18" borderId="8" xfId="0" applyNumberFormat="1" applyFill="1" applyBorder="1" applyAlignment="1">
      <alignment horizontal="center" vertical="center" wrapText="1"/>
    </xf>
    <xf numFmtId="4" fontId="0" fillId="19" borderId="4" xfId="0" applyNumberFormat="1" applyFill="1" applyBorder="1" applyAlignment="1">
      <alignment horizontal="center" vertical="center" wrapText="1"/>
    </xf>
    <xf numFmtId="4" fontId="0" fillId="19" borderId="1" xfId="0" applyNumberFormat="1" applyFill="1" applyBorder="1" applyAlignment="1">
      <alignment horizontal="center" vertical="center" wrapText="1"/>
    </xf>
    <xf numFmtId="4" fontId="0" fillId="11" borderId="3" xfId="0" applyNumberFormat="1" applyFill="1" applyBorder="1" applyAlignment="1">
      <alignment horizontal="center" vertical="center" wrapText="1"/>
    </xf>
    <xf numFmtId="4" fontId="0" fillId="11" borderId="4" xfId="0" applyNumberFormat="1" applyFill="1" applyBorder="1" applyAlignment="1">
      <alignment horizontal="center" vertical="center" wrapText="1"/>
    </xf>
    <xf numFmtId="4" fontId="0" fillId="11" borderId="5" xfId="0" applyNumberFormat="1" applyFill="1" applyBorder="1" applyAlignment="1">
      <alignment horizontal="center" vertical="center" wrapText="1"/>
    </xf>
    <xf numFmtId="4" fontId="0" fillId="11" borderId="1" xfId="0" applyNumberFormat="1" applyFill="1" applyBorder="1" applyAlignment="1">
      <alignment horizontal="center" vertical="center" wrapText="1"/>
    </xf>
    <xf numFmtId="4" fontId="0" fillId="11" borderId="7" xfId="0" applyNumberFormat="1" applyFill="1" applyBorder="1" applyAlignment="1">
      <alignment horizontal="center" vertical="center" wrapText="1"/>
    </xf>
    <xf numFmtId="4" fontId="0" fillId="11" borderId="8" xfId="0" applyNumberFormat="1" applyFill="1" applyBorder="1" applyAlignment="1">
      <alignment horizontal="center" vertical="center" wrapText="1"/>
    </xf>
    <xf numFmtId="4" fontId="0" fillId="15" borderId="4" xfId="0" applyNumberFormat="1" applyFill="1" applyBorder="1" applyAlignment="1">
      <alignment horizontal="center" vertical="center" wrapText="1"/>
    </xf>
    <xf numFmtId="4" fontId="0" fillId="15" borderId="29" xfId="0" applyNumberFormat="1" applyFill="1" applyBorder="1" applyAlignment="1">
      <alignment horizontal="center" vertical="center" wrapText="1"/>
    </xf>
    <xf numFmtId="4" fontId="0" fillId="15" borderId="1" xfId="0" applyNumberFormat="1" applyFill="1" applyBorder="1" applyAlignment="1">
      <alignment horizontal="center" vertical="center" wrapText="1"/>
    </xf>
    <xf numFmtId="4" fontId="0" fillId="15" borderId="6" xfId="0" applyNumberFormat="1" applyFill="1" applyBorder="1" applyAlignment="1">
      <alignment horizontal="center" vertical="center" wrapText="1"/>
    </xf>
    <xf numFmtId="4" fontId="0" fillId="15" borderId="8" xfId="0" applyNumberFormat="1" applyFill="1" applyBorder="1" applyAlignment="1">
      <alignment horizontal="center" vertical="center" wrapText="1"/>
    </xf>
    <xf numFmtId="4" fontId="0" fillId="15" borderId="9" xfId="0" applyNumberFormat="1" applyFill="1" applyBorder="1" applyAlignment="1">
      <alignment horizontal="center" vertical="center" wrapText="1"/>
    </xf>
    <xf numFmtId="4" fontId="0" fillId="19" borderId="29" xfId="0" applyNumberFormat="1" applyFill="1" applyBorder="1" applyAlignment="1">
      <alignment horizontal="center" vertical="center" wrapText="1"/>
    </xf>
    <xf numFmtId="4" fontId="0" fillId="19" borderId="6" xfId="0" applyNumberFormat="1" applyFill="1" applyBorder="1" applyAlignment="1">
      <alignment horizontal="center" vertical="center" wrapText="1"/>
    </xf>
    <xf numFmtId="4" fontId="0" fillId="2" borderId="3" xfId="0" applyNumberFormat="1" applyFill="1" applyBorder="1" applyAlignment="1">
      <alignment horizontal="center" vertical="center" wrapText="1"/>
    </xf>
    <xf numFmtId="4" fontId="0" fillId="5" borderId="29" xfId="0" applyNumberFormat="1" applyFill="1" applyBorder="1" applyAlignment="1">
      <alignment horizontal="center" vertical="center" wrapText="1"/>
    </xf>
    <xf numFmtId="4" fontId="0" fillId="5" borderId="6" xfId="0" applyNumberFormat="1" applyFill="1" applyBorder="1" applyAlignment="1">
      <alignment horizontal="center" vertical="center" wrapText="1"/>
    </xf>
    <xf numFmtId="4" fontId="0" fillId="6" borderId="6" xfId="0" applyNumberFormat="1" applyFill="1" applyBorder="1" applyAlignment="1">
      <alignment horizontal="center" vertical="center" wrapText="1"/>
    </xf>
    <xf numFmtId="0" fontId="0" fillId="0" borderId="12" xfId="0" applyNumberFormat="1" applyFill="1" applyBorder="1" applyAlignment="1">
      <alignment horizontal="center" vertical="center" wrapText="1"/>
    </xf>
    <xf numFmtId="4" fontId="0" fillId="0" borderId="10" xfId="0" applyNumberFormat="1" applyBorder="1" applyAlignment="1">
      <alignment horizontal="center" vertical="center" wrapText="1"/>
    </xf>
    <xf numFmtId="4" fontId="0" fillId="3" borderId="13" xfId="0" applyNumberFormat="1" applyFill="1" applyBorder="1" applyAlignment="1">
      <alignment horizontal="center" vertical="center" wrapText="1"/>
    </xf>
    <xf numFmtId="4" fontId="0" fillId="4" borderId="3" xfId="0" applyNumberFormat="1" applyFill="1" applyBorder="1" applyAlignment="1">
      <alignment horizontal="center" vertical="center" wrapText="1"/>
    </xf>
    <xf numFmtId="4" fontId="0" fillId="7" borderId="3" xfId="0" applyNumberFormat="1" applyFill="1" applyBorder="1" applyAlignment="1">
      <alignment horizontal="center" vertical="center" wrapText="1"/>
    </xf>
    <xf numFmtId="4" fontId="0" fillId="7" borderId="5" xfId="0" applyNumberFormat="1" applyFill="1" applyBorder="1" applyAlignment="1">
      <alignment horizontal="center" vertical="center" wrapText="1"/>
    </xf>
    <xf numFmtId="0" fontId="0" fillId="7" borderId="4" xfId="0" applyNumberFormat="1" applyFill="1" applyBorder="1" applyAlignment="1">
      <alignment horizontal="center" vertical="center" wrapText="1"/>
    </xf>
    <xf numFmtId="0" fontId="0" fillId="7" borderId="1" xfId="0" applyNumberForma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4" fontId="0" fillId="0" borderId="0" xfId="0" applyNumberFormat="1" applyBorder="1" applyAlignment="1">
      <alignment horizontal="center" vertical="center" wrapText="1"/>
    </xf>
    <xf numFmtId="0" fontId="0" fillId="17" borderId="0" xfId="0" applyNumberFormat="1" applyFill="1" applyBorder="1" applyAlignment="1">
      <alignment horizontal="center" vertical="center" wrapText="1"/>
    </xf>
    <xf numFmtId="0" fontId="0" fillId="18" borderId="0" xfId="0" applyNumberFormat="1" applyFill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 wrapText="1"/>
    </xf>
    <xf numFmtId="4" fontId="0" fillId="11" borderId="0" xfId="0" applyNumberFormat="1" applyFill="1" applyBorder="1" applyAlignment="1">
      <alignment horizontal="center" vertical="center" wrapText="1"/>
    </xf>
    <xf numFmtId="4" fontId="0" fillId="19" borderId="0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" fontId="0" fillId="0" borderId="33" xfId="0" applyNumberFormat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4" fontId="0" fillId="0" borderId="0" xfId="0" applyNumberForma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4" fontId="0" fillId="0" borderId="33" xfId="0" applyNumberFormat="1" applyFill="1" applyBorder="1" applyAlignment="1">
      <alignment horizontal="center" vertical="center" wrapText="1"/>
    </xf>
    <xf numFmtId="0" fontId="0" fillId="0" borderId="48" xfId="0" applyNumberFormat="1" applyBorder="1" applyAlignment="1">
      <alignment horizontal="center" vertical="center" wrapText="1"/>
    </xf>
    <xf numFmtId="4" fontId="0" fillId="16" borderId="13" xfId="0" applyNumberFormat="1" applyFill="1" applyBorder="1" applyAlignment="1">
      <alignment horizontal="center" vertical="center" wrapText="1"/>
    </xf>
    <xf numFmtId="4" fontId="0" fillId="16" borderId="12" xfId="0" applyNumberFormat="1" applyFill="1" applyBorder="1" applyAlignment="1">
      <alignment horizontal="center" vertical="center" wrapText="1"/>
    </xf>
    <xf numFmtId="0" fontId="0" fillId="16" borderId="13" xfId="0" applyNumberFormat="1" applyFill="1" applyBorder="1" applyAlignment="1">
      <alignment horizontal="center" vertical="center" wrapText="1"/>
    </xf>
    <xf numFmtId="0" fontId="0" fillId="16" borderId="12" xfId="0" applyNumberFormat="1" applyFill="1" applyBorder="1" applyAlignment="1">
      <alignment horizontal="center" vertical="center" wrapText="1"/>
    </xf>
    <xf numFmtId="4" fontId="0" fillId="0" borderId="40" xfId="0" applyNumberFormat="1" applyBorder="1" applyAlignment="1">
      <alignment horizontal="center" vertical="center" wrapText="1"/>
    </xf>
    <xf numFmtId="0" fontId="2" fillId="12" borderId="26" xfId="0" applyNumberFormat="1" applyFont="1" applyFill="1" applyBorder="1" applyAlignment="1">
      <alignment horizontal="center" vertical="center" wrapText="1"/>
    </xf>
    <xf numFmtId="0" fontId="2" fillId="0" borderId="26" xfId="0" applyNumberFormat="1" applyFont="1" applyFill="1" applyBorder="1" applyAlignment="1">
      <alignment horizontal="center" vertical="center" wrapText="1"/>
    </xf>
    <xf numFmtId="4" fontId="0" fillId="12" borderId="49" xfId="0" applyNumberFormat="1" applyFill="1" applyBorder="1" applyAlignment="1">
      <alignment horizontal="center" vertical="center" wrapText="1"/>
    </xf>
    <xf numFmtId="4" fontId="2" fillId="12" borderId="49" xfId="0" applyNumberFormat="1" applyFont="1" applyFill="1" applyBorder="1" applyAlignment="1">
      <alignment horizontal="center" vertical="center" wrapText="1"/>
    </xf>
    <xf numFmtId="4" fontId="2" fillId="12" borderId="50" xfId="0" applyNumberFormat="1" applyFont="1" applyFill="1" applyBorder="1" applyAlignment="1">
      <alignment horizontal="center" vertical="center" wrapText="1"/>
    </xf>
    <xf numFmtId="4" fontId="0" fillId="12" borderId="16" xfId="0" applyNumberFormat="1" applyFill="1" applyBorder="1" applyAlignment="1">
      <alignment horizontal="center" vertical="center" wrapText="1"/>
    </xf>
    <xf numFmtId="4" fontId="0" fillId="12" borderId="26" xfId="0" applyNumberFormat="1" applyFill="1" applyBorder="1" applyAlignment="1">
      <alignment horizontal="center" vertical="center" wrapText="1"/>
    </xf>
    <xf numFmtId="0" fontId="0" fillId="8" borderId="3" xfId="0" applyNumberFormat="1" applyFill="1" applyBorder="1" applyAlignment="1">
      <alignment horizontal="center" vertical="center" wrapText="1"/>
    </xf>
    <xf numFmtId="0" fontId="0" fillId="8" borderId="4" xfId="0" applyNumberFormat="1" applyFill="1" applyBorder="1" applyAlignment="1">
      <alignment horizontal="center" vertical="center" wrapText="1"/>
    </xf>
    <xf numFmtId="0" fontId="0" fillId="8" borderId="5" xfId="0" applyNumberFormat="1" applyFill="1" applyBorder="1" applyAlignment="1">
      <alignment horizontal="center" vertical="center" wrapText="1"/>
    </xf>
    <xf numFmtId="0" fontId="0" fillId="8" borderId="1" xfId="0" applyNumberFormat="1" applyFill="1" applyBorder="1" applyAlignment="1">
      <alignment horizontal="center" vertical="center" wrapText="1"/>
    </xf>
    <xf numFmtId="0" fontId="0" fillId="8" borderId="7" xfId="0" applyNumberFormat="1" applyFill="1" applyBorder="1" applyAlignment="1">
      <alignment horizontal="center" vertical="center" wrapText="1"/>
    </xf>
    <xf numFmtId="0" fontId="0" fillId="8" borderId="8" xfId="0" applyNumberFormat="1" applyFill="1" applyBorder="1" applyAlignment="1">
      <alignment horizontal="center" vertical="center" wrapText="1"/>
    </xf>
    <xf numFmtId="4" fontId="0" fillId="20" borderId="4" xfId="0" applyNumberFormat="1" applyFill="1" applyBorder="1" applyAlignment="1">
      <alignment horizontal="center" vertical="center" wrapText="1"/>
    </xf>
    <xf numFmtId="4" fontId="0" fillId="20" borderId="1" xfId="0" applyNumberFormat="1" applyFill="1" applyBorder="1" applyAlignment="1">
      <alignment horizontal="center" vertical="center" wrapText="1"/>
    </xf>
    <xf numFmtId="4" fontId="0" fillId="20" borderId="8" xfId="0" applyNumberFormat="1" applyFill="1" applyBorder="1" applyAlignment="1">
      <alignment horizontal="center" vertical="center" wrapText="1"/>
    </xf>
    <xf numFmtId="4" fontId="0" fillId="4" borderId="4" xfId="0" applyNumberFormat="1" applyFill="1" applyBorder="1" applyAlignment="1">
      <alignment horizontal="center" vertical="center" wrapText="1"/>
    </xf>
    <xf numFmtId="4" fontId="0" fillId="3" borderId="4" xfId="0" applyNumberFormat="1" applyFill="1" applyBorder="1" applyAlignment="1">
      <alignment horizontal="center" vertical="center" wrapText="1"/>
    </xf>
    <xf numFmtId="4" fontId="0" fillId="3" borderId="29" xfId="0" applyNumberFormat="1" applyFill="1" applyBorder="1" applyAlignment="1">
      <alignment horizontal="center" vertical="center" wrapText="1"/>
    </xf>
    <xf numFmtId="0" fontId="0" fillId="7" borderId="3" xfId="0" applyNumberFormat="1" applyFill="1" applyBorder="1" applyAlignment="1">
      <alignment horizontal="center" vertical="center" wrapText="1"/>
    </xf>
    <xf numFmtId="0" fontId="0" fillId="7" borderId="5" xfId="0" applyNumberFormat="1" applyFill="1" applyBorder="1" applyAlignment="1">
      <alignment horizontal="center" vertical="center" wrapText="1"/>
    </xf>
    <xf numFmtId="4" fontId="0" fillId="20" borderId="13" xfId="0" applyNumberFormat="1" applyFill="1" applyBorder="1" applyAlignment="1">
      <alignment horizontal="center" vertical="center" wrapText="1"/>
    </xf>
    <xf numFmtId="4" fontId="0" fillId="20" borderId="12" xfId="0" applyNumberFormat="1" applyFill="1" applyBorder="1" applyAlignment="1">
      <alignment horizontal="center" vertical="center" wrapText="1"/>
    </xf>
    <xf numFmtId="4" fontId="0" fillId="20" borderId="14" xfId="0" applyNumberFormat="1" applyFill="1" applyBorder="1" applyAlignment="1">
      <alignment horizontal="center" vertical="center" wrapText="1"/>
    </xf>
    <xf numFmtId="4" fontId="0" fillId="22" borderId="29" xfId="0" applyNumberFormat="1" applyFill="1" applyBorder="1" applyAlignment="1">
      <alignment horizontal="center" vertical="center" wrapText="1"/>
    </xf>
    <xf numFmtId="4" fontId="0" fillId="22" borderId="6" xfId="0" applyNumberFormat="1" applyFill="1" applyBorder="1" applyAlignment="1">
      <alignment horizontal="center" vertical="center" wrapText="1"/>
    </xf>
    <xf numFmtId="0" fontId="0" fillId="22" borderId="13" xfId="0" applyNumberFormat="1" applyFill="1" applyBorder="1" applyAlignment="1">
      <alignment horizontal="center" vertical="center" wrapText="1"/>
    </xf>
    <xf numFmtId="0" fontId="0" fillId="22" borderId="12" xfId="0" applyNumberFormat="1" applyFill="1" applyBorder="1" applyAlignment="1">
      <alignment horizontal="center" vertical="center" wrapText="1"/>
    </xf>
    <xf numFmtId="4" fontId="0" fillId="22" borderId="13" xfId="0" applyNumberFormat="1" applyFill="1" applyBorder="1" applyAlignment="1">
      <alignment horizontal="center" vertical="center" wrapText="1"/>
    </xf>
    <xf numFmtId="4" fontId="0" fillId="22" borderId="12" xfId="0" applyNumberFormat="1" applyFill="1" applyBorder="1" applyAlignment="1">
      <alignment horizontal="center" vertical="center" wrapText="1"/>
    </xf>
    <xf numFmtId="4" fontId="0" fillId="0" borderId="3" xfId="0" applyNumberFormat="1" applyFill="1" applyBorder="1" applyAlignment="1">
      <alignment horizontal="center" vertical="center" wrapText="1"/>
    </xf>
    <xf numFmtId="4" fontId="0" fillId="21" borderId="3" xfId="0" applyNumberFormat="1" applyFill="1" applyBorder="1" applyAlignment="1">
      <alignment horizontal="center" vertical="center" wrapText="1"/>
    </xf>
    <xf numFmtId="4" fontId="0" fillId="21" borderId="5" xfId="0" applyNumberFormat="1" applyFill="1" applyBorder="1" applyAlignment="1">
      <alignment horizontal="center" vertical="center" wrapText="1"/>
    </xf>
    <xf numFmtId="4" fontId="0" fillId="21" borderId="7" xfId="0" applyNumberFormat="1" applyFill="1" applyBorder="1" applyAlignment="1">
      <alignment horizontal="center" vertical="center" wrapText="1"/>
    </xf>
    <xf numFmtId="4" fontId="0" fillId="0" borderId="9" xfId="0" applyNumberForma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0" fillId="21" borderId="5" xfId="0" applyNumberFormat="1" applyFill="1" applyBorder="1" applyAlignment="1">
      <alignment horizontal="center" vertical="center" wrapText="1"/>
    </xf>
    <xf numFmtId="0" fontId="0" fillId="21" borderId="40" xfId="0" applyNumberFormat="1" applyFill="1" applyBorder="1" applyAlignment="1">
      <alignment horizontal="center" vertical="center" wrapText="1"/>
    </xf>
    <xf numFmtId="0" fontId="0" fillId="0" borderId="48" xfId="0" applyNumberFormat="1" applyFill="1" applyBorder="1" applyAlignment="1">
      <alignment horizontal="center" vertical="center" wrapText="1"/>
    </xf>
    <xf numFmtId="4" fontId="2" fillId="12" borderId="16" xfId="0" applyNumberFormat="1" applyFont="1" applyFill="1" applyBorder="1" applyAlignment="1">
      <alignment horizontal="center" vertical="center" wrapText="1"/>
    </xf>
    <xf numFmtId="4" fontId="2" fillId="12" borderId="18" xfId="0" applyNumberFormat="1" applyFont="1" applyFill="1" applyBorder="1" applyAlignment="1">
      <alignment horizontal="center" vertical="center" wrapText="1"/>
    </xf>
    <xf numFmtId="4" fontId="0" fillId="0" borderId="14" xfId="0" applyNumberFormat="1" applyFill="1" applyBorder="1" applyAlignment="1">
      <alignment horizontal="center" vertical="center" wrapText="1"/>
    </xf>
    <xf numFmtId="0" fontId="0" fillId="21" borderId="4" xfId="0" applyNumberFormat="1" applyFill="1" applyBorder="1" applyAlignment="1">
      <alignment horizontal="center" vertical="center" wrapText="1"/>
    </xf>
    <xf numFmtId="0" fontId="0" fillId="21" borderId="1" xfId="0" applyNumberFormat="1" applyFill="1" applyBorder="1" applyAlignment="1">
      <alignment horizontal="center" vertical="center" wrapText="1"/>
    </xf>
    <xf numFmtId="0" fontId="0" fillId="0" borderId="44" xfId="0" applyNumberFormat="1" applyFill="1" applyBorder="1" applyAlignment="1">
      <alignment horizontal="center" vertical="center" wrapText="1"/>
    </xf>
    <xf numFmtId="4" fontId="0" fillId="0" borderId="7" xfId="0" applyNumberFormat="1" applyFill="1" applyBorder="1" applyAlignment="1">
      <alignment horizontal="center" vertical="center" wrapText="1"/>
    </xf>
    <xf numFmtId="0" fontId="0" fillId="18" borderId="3" xfId="0" applyNumberFormat="1" applyFill="1" applyBorder="1" applyAlignment="1">
      <alignment horizontal="center" vertical="center" wrapText="1"/>
    </xf>
    <xf numFmtId="0" fontId="0" fillId="18" borderId="5" xfId="0" applyNumberFormat="1" applyFill="1" applyBorder="1" applyAlignment="1">
      <alignment horizontal="center" vertical="center" wrapText="1"/>
    </xf>
    <xf numFmtId="0" fontId="0" fillId="18" borderId="7" xfId="0" applyNumberFormat="1" applyFill="1" applyBorder="1" applyAlignment="1">
      <alignment horizontal="center" vertical="center" wrapText="1"/>
    </xf>
    <xf numFmtId="0" fontId="0" fillId="21" borderId="44" xfId="0" applyNumberFormat="1" applyFill="1" applyBorder="1" applyAlignment="1">
      <alignment horizontal="center" vertical="center" wrapText="1"/>
    </xf>
    <xf numFmtId="4" fontId="0" fillId="12" borderId="34" xfId="0" applyNumberFormat="1" applyFill="1" applyBorder="1" applyAlignment="1">
      <alignment horizontal="center" vertical="center" wrapText="1"/>
    </xf>
    <xf numFmtId="4" fontId="0" fillId="0" borderId="41" xfId="0" applyNumberFormat="1" applyBorder="1" applyAlignment="1">
      <alignment horizontal="center" vertical="center" wrapText="1"/>
    </xf>
    <xf numFmtId="4" fontId="2" fillId="12" borderId="34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4" fontId="0" fillId="0" borderId="51" xfId="0" applyNumberFormat="1" applyBorder="1" applyAlignment="1">
      <alignment horizontal="center" vertical="center" wrapText="1"/>
    </xf>
    <xf numFmtId="4" fontId="0" fillId="0" borderId="47" xfId="0" applyNumberFormat="1" applyBorder="1" applyAlignment="1">
      <alignment horizontal="center" vertical="center" wrapText="1"/>
    </xf>
    <xf numFmtId="4" fontId="0" fillId="0" borderId="52" xfId="0" applyNumberFormat="1" applyBorder="1" applyAlignment="1">
      <alignment horizontal="center" vertical="center" wrapText="1"/>
    </xf>
    <xf numFmtId="4" fontId="2" fillId="12" borderId="0" xfId="0" applyNumberFormat="1" applyFont="1" applyFill="1" applyBorder="1" applyAlignment="1">
      <alignment horizontal="center" vertical="center" wrapText="1"/>
    </xf>
    <xf numFmtId="0" fontId="0" fillId="23" borderId="1" xfId="0" applyNumberFormat="1" applyFill="1" applyBorder="1" applyAlignment="1">
      <alignment horizontal="center" vertical="center" wrapText="1"/>
    </xf>
    <xf numFmtId="4" fontId="0" fillId="24" borderId="1" xfId="0" applyNumberForma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4" fontId="0" fillId="23" borderId="1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4" fontId="0" fillId="0" borderId="53" xfId="0" applyNumberFormat="1" applyBorder="1" applyAlignment="1">
      <alignment horizontal="center" vertical="center" wrapText="1"/>
    </xf>
    <xf numFmtId="0" fontId="0" fillId="0" borderId="11" xfId="0" applyBorder="1"/>
    <xf numFmtId="0" fontId="0" fillId="0" borderId="17" xfId="0" applyFill="1" applyBorder="1" applyAlignment="1">
      <alignment horizontal="center" vertical="center" wrapText="1"/>
    </xf>
    <xf numFmtId="4" fontId="0" fillId="0" borderId="47" xfId="0" applyNumberFormat="1" applyFill="1" applyBorder="1" applyAlignment="1">
      <alignment horizontal="center" vertical="center" wrapText="1"/>
    </xf>
    <xf numFmtId="4" fontId="0" fillId="25" borderId="0" xfId="0" applyNumberFormat="1" applyFill="1" applyBorder="1" applyAlignment="1">
      <alignment horizontal="center" vertical="center" wrapText="1"/>
    </xf>
    <xf numFmtId="4" fontId="0" fillId="25" borderId="16" xfId="0" applyNumberFormat="1" applyFill="1" applyBorder="1" applyAlignment="1">
      <alignment horizontal="center" vertical="center" wrapText="1"/>
    </xf>
    <xf numFmtId="4" fontId="0" fillId="25" borderId="26" xfId="0" applyNumberFormat="1" applyFill="1" applyBorder="1" applyAlignment="1">
      <alignment horizontal="center" vertical="center" wrapText="1"/>
    </xf>
    <xf numFmtId="4" fontId="2" fillId="26" borderId="1" xfId="0" applyNumberFormat="1" applyFont="1" applyFill="1" applyBorder="1"/>
    <xf numFmtId="4" fontId="0" fillId="6" borderId="1" xfId="0" applyNumberFormat="1" applyFill="1" applyBorder="1" applyAlignment="1">
      <alignment horizontal="center" vertical="center" wrapText="1"/>
    </xf>
    <xf numFmtId="0" fontId="0" fillId="0" borderId="1" xfId="0" applyFill="1" applyBorder="1"/>
    <xf numFmtId="0" fontId="0" fillId="10" borderId="1" xfId="0" applyFill="1" applyBorder="1" applyAlignment="1">
      <alignment horizontal="center" vertical="center" wrapText="1"/>
    </xf>
    <xf numFmtId="0" fontId="0" fillId="28" borderId="0" xfId="0" applyFill="1"/>
    <xf numFmtId="0" fontId="0" fillId="29" borderId="1" xfId="0" applyFill="1" applyBorder="1" applyAlignment="1">
      <alignment horizontal="center" vertical="center" wrapText="1"/>
    </xf>
    <xf numFmtId="0" fontId="0" fillId="28" borderId="36" xfId="0" applyFill="1" applyBorder="1" applyAlignment="1">
      <alignment vertical="center" wrapText="1"/>
    </xf>
    <xf numFmtId="0" fontId="0" fillId="28" borderId="38" xfId="0" applyFill="1" applyBorder="1" applyAlignment="1">
      <alignment vertical="center" wrapText="1"/>
    </xf>
    <xf numFmtId="0" fontId="0" fillId="28" borderId="35" xfId="0" applyFill="1" applyBorder="1" applyAlignment="1">
      <alignment vertical="center" wrapText="1"/>
    </xf>
    <xf numFmtId="4" fontId="0" fillId="29" borderId="5" xfId="0" applyNumberFormat="1" applyFill="1" applyBorder="1" applyAlignment="1">
      <alignment horizontal="center" vertical="center" wrapText="1"/>
    </xf>
    <xf numFmtId="4" fontId="0" fillId="29" borderId="1" xfId="0" applyNumberFormat="1" applyFill="1" applyBorder="1" applyAlignment="1">
      <alignment horizontal="center" vertical="center" wrapText="1"/>
    </xf>
    <xf numFmtId="4" fontId="0" fillId="29" borderId="6" xfId="0" applyNumberFormat="1" applyFill="1" applyBorder="1" applyAlignment="1">
      <alignment horizontal="center" vertical="center" wrapText="1"/>
    </xf>
    <xf numFmtId="0" fontId="0" fillId="29" borderId="5" xfId="0" applyNumberFormat="1" applyFill="1" applyBorder="1" applyAlignment="1">
      <alignment horizontal="center" vertical="center" wrapText="1"/>
    </xf>
    <xf numFmtId="0" fontId="0" fillId="29" borderId="1" xfId="0" applyNumberFormat="1" applyFill="1" applyBorder="1" applyAlignment="1">
      <alignment horizontal="center" vertical="center" wrapText="1"/>
    </xf>
    <xf numFmtId="0" fontId="0" fillId="29" borderId="6" xfId="0" applyNumberFormat="1" applyFill="1" applyBorder="1" applyAlignment="1">
      <alignment horizontal="center" vertical="center" wrapText="1"/>
    </xf>
    <xf numFmtId="4" fontId="0" fillId="29" borderId="7" xfId="0" applyNumberFormat="1" applyFill="1" applyBorder="1" applyAlignment="1">
      <alignment horizontal="center" vertical="center" wrapText="1"/>
    </xf>
    <xf numFmtId="4" fontId="0" fillId="29" borderId="8" xfId="0" applyNumberFormat="1" applyFill="1" applyBorder="1" applyAlignment="1">
      <alignment horizontal="center" vertical="center" wrapText="1"/>
    </xf>
    <xf numFmtId="4" fontId="0" fillId="29" borderId="9" xfId="0" applyNumberFormat="1" applyFill="1" applyBorder="1" applyAlignment="1">
      <alignment horizontal="center" vertical="center" wrapText="1"/>
    </xf>
    <xf numFmtId="0" fontId="0" fillId="29" borderId="7" xfId="0" applyNumberFormat="1" applyFill="1" applyBorder="1" applyAlignment="1">
      <alignment horizontal="center" vertical="center" wrapText="1"/>
    </xf>
    <xf numFmtId="0" fontId="0" fillId="29" borderId="8" xfId="0" applyNumberFormat="1" applyFill="1" applyBorder="1" applyAlignment="1">
      <alignment horizontal="center" vertical="center" wrapText="1"/>
    </xf>
    <xf numFmtId="0" fontId="0" fillId="29" borderId="9" xfId="0" applyNumberFormat="1" applyFill="1" applyBorder="1" applyAlignment="1">
      <alignment horizontal="center" vertical="center" wrapText="1"/>
    </xf>
    <xf numFmtId="4" fontId="0" fillId="29" borderId="2" xfId="0" applyNumberFormat="1" applyFill="1" applyBorder="1" applyAlignment="1">
      <alignment horizontal="center" vertical="center" wrapText="1"/>
    </xf>
    <xf numFmtId="4" fontId="0" fillId="29" borderId="12" xfId="0" applyNumberFormat="1" applyFill="1" applyBorder="1" applyAlignment="1">
      <alignment horizontal="center" vertical="center" wrapText="1"/>
    </xf>
    <xf numFmtId="0" fontId="0" fillId="28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4" fontId="0" fillId="28" borderId="1" xfId="0" applyNumberFormat="1" applyFill="1" applyBorder="1" applyAlignment="1">
      <alignment horizontal="center" vertical="center" wrapText="1"/>
    </xf>
    <xf numFmtId="0" fontId="0" fillId="28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vertical="center" wrapText="1"/>
    </xf>
    <xf numFmtId="0" fontId="0" fillId="28" borderId="1" xfId="0" applyFill="1" applyBorder="1" applyAlignment="1">
      <alignment vertical="center" wrapText="1"/>
    </xf>
    <xf numFmtId="0" fontId="0" fillId="0" borderId="0" xfId="0" applyFill="1" applyBorder="1"/>
    <xf numFmtId="0" fontId="0" fillId="0" borderId="1" xfId="0" applyBorder="1" applyAlignment="1">
      <alignment horizontal="left" vertical="center" wrapText="1"/>
    </xf>
    <xf numFmtId="4" fontId="0" fillId="29" borderId="0" xfId="0" applyNumberFormat="1" applyFill="1" applyBorder="1" applyAlignment="1">
      <alignment horizontal="center" vertical="center" wrapText="1"/>
    </xf>
    <xf numFmtId="0" fontId="0" fillId="28" borderId="1" xfId="0" applyFill="1" applyBorder="1"/>
    <xf numFmtId="4" fontId="2" fillId="0" borderId="0" xfId="0" applyNumberFormat="1" applyFont="1" applyFill="1" applyBorder="1"/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/>
    <xf numFmtId="0" fontId="0" fillId="31" borderId="1" xfId="0" applyFill="1" applyBorder="1" applyAlignment="1">
      <alignment horizontal="center" vertical="center" wrapText="1"/>
    </xf>
    <xf numFmtId="0" fontId="0" fillId="31" borderId="1" xfId="0" applyFill="1" applyBorder="1" applyAlignment="1">
      <alignment horizontal="left" vertical="center" wrapText="1"/>
    </xf>
    <xf numFmtId="4" fontId="0" fillId="31" borderId="1" xfId="0" applyNumberFormat="1" applyFill="1" applyBorder="1" applyAlignment="1">
      <alignment horizontal="center" vertical="center" wrapText="1"/>
    </xf>
    <xf numFmtId="0" fontId="0" fillId="31" borderId="1" xfId="0" applyNumberFormat="1" applyFill="1" applyBorder="1" applyAlignment="1">
      <alignment horizontal="center" vertical="center" wrapText="1"/>
    </xf>
    <xf numFmtId="0" fontId="0" fillId="29" borderId="1" xfId="0" applyFill="1" applyBorder="1" applyAlignment="1">
      <alignment horizontal="left" vertical="center" wrapText="1"/>
    </xf>
    <xf numFmtId="0" fontId="0" fillId="10" borderId="1" xfId="0" applyFill="1" applyBorder="1"/>
    <xf numFmtId="4" fontId="0" fillId="10" borderId="1" xfId="0" applyNumberFormat="1" applyFill="1" applyBorder="1" applyAlignment="1">
      <alignment horizontal="center" vertical="center" wrapText="1"/>
    </xf>
    <xf numFmtId="0" fontId="0" fillId="10" borderId="1" xfId="0" applyNumberFormat="1" applyFill="1" applyBorder="1" applyAlignment="1">
      <alignment horizontal="center" vertical="center" wrapText="1"/>
    </xf>
    <xf numFmtId="4" fontId="0" fillId="10" borderId="0" xfId="0" applyNumberFormat="1" applyFill="1" applyBorder="1" applyAlignment="1">
      <alignment horizontal="center" vertical="center" wrapText="1"/>
    </xf>
    <xf numFmtId="0" fontId="0" fillId="10" borderId="0" xfId="0" applyNumberFormat="1" applyFill="1" applyBorder="1" applyAlignment="1">
      <alignment horizontal="center" vertical="center" wrapText="1"/>
    </xf>
    <xf numFmtId="0" fontId="0" fillId="10" borderId="0" xfId="0" applyFill="1" applyBorder="1" applyAlignment="1"/>
    <xf numFmtId="0" fontId="0" fillId="29" borderId="0" xfId="0" applyNumberFormat="1" applyFill="1" applyBorder="1" applyAlignment="1">
      <alignment horizontal="center" vertical="center" wrapText="1"/>
    </xf>
    <xf numFmtId="0" fontId="0" fillId="29" borderId="0" xfId="0" applyFill="1" applyBorder="1" applyAlignment="1">
      <alignment horizontal="left" vertical="center" wrapText="1"/>
    </xf>
    <xf numFmtId="4" fontId="0" fillId="31" borderId="0" xfId="0" applyNumberFormat="1" applyFill="1" applyBorder="1" applyAlignment="1">
      <alignment horizontal="center" vertical="center" wrapText="1"/>
    </xf>
    <xf numFmtId="0" fontId="0" fillId="31" borderId="0" xfId="0" applyNumberFormat="1" applyFill="1" applyBorder="1" applyAlignment="1">
      <alignment horizontal="center" vertical="center" wrapText="1"/>
    </xf>
    <xf numFmtId="0" fontId="0" fillId="31" borderId="0" xfId="0" applyFill="1" applyBorder="1" applyAlignment="1">
      <alignment horizontal="center" vertical="center" wrapText="1"/>
    </xf>
    <xf numFmtId="0" fontId="0" fillId="31" borderId="0" xfId="0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ont="1" applyFill="1" applyBorder="1" applyAlignment="1">
      <alignment horizontal="center" vertical="center" wrapText="1"/>
    </xf>
    <xf numFmtId="0" fontId="0" fillId="30" borderId="1" xfId="0" applyFill="1" applyBorder="1" applyAlignment="1">
      <alignment vertical="center" wrapText="1"/>
    </xf>
    <xf numFmtId="4" fontId="0" fillId="30" borderId="1" xfId="0" applyNumberFormat="1" applyFill="1" applyBorder="1" applyAlignment="1">
      <alignment horizontal="center" vertical="center" wrapText="1"/>
    </xf>
    <xf numFmtId="4" fontId="0" fillId="3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29" borderId="0" xfId="0" applyFill="1" applyBorder="1" applyAlignment="1">
      <alignment horizontal="center" vertical="center" wrapText="1"/>
    </xf>
    <xf numFmtId="0" fontId="0" fillId="29" borderId="0" xfId="0" applyFill="1" applyBorder="1"/>
    <xf numFmtId="0" fontId="0" fillId="31" borderId="0" xfId="0" applyFill="1" applyBorder="1"/>
    <xf numFmtId="4" fontId="0" fillId="28" borderId="1" xfId="0" applyNumberFormat="1" applyFont="1" applyFill="1" applyBorder="1" applyAlignment="1">
      <alignment horizontal="center" vertical="center" wrapText="1"/>
    </xf>
    <xf numFmtId="0" fontId="0" fillId="6" borderId="0" xfId="0" applyNumberFormat="1" applyFill="1" applyBorder="1" applyAlignment="1">
      <alignment horizontal="center" vertical="center" wrapText="1"/>
    </xf>
    <xf numFmtId="0" fontId="0" fillId="10" borderId="0" xfId="0" applyFill="1" applyBorder="1" applyAlignment="1">
      <alignment horizontal="center" vertical="center" wrapText="1"/>
    </xf>
    <xf numFmtId="0" fontId="0" fillId="10" borderId="0" xfId="0" applyFill="1" applyBorder="1"/>
    <xf numFmtId="3" fontId="0" fillId="10" borderId="1" xfId="0" applyNumberFormat="1" applyFill="1" applyBorder="1" applyAlignment="1">
      <alignment horizontal="center" vertical="center" wrapText="1"/>
    </xf>
    <xf numFmtId="4" fontId="0" fillId="26" borderId="1" xfId="0" applyNumberFormat="1" applyFill="1" applyBorder="1" applyAlignment="1">
      <alignment horizontal="center" vertical="center"/>
    </xf>
    <xf numFmtId="4" fontId="2" fillId="26" borderId="1" xfId="0" applyNumberFormat="1" applyFont="1" applyFill="1" applyBorder="1" applyAlignment="1">
      <alignment horizontal="center" vertical="center"/>
    </xf>
    <xf numFmtId="0" fontId="0" fillId="0" borderId="47" xfId="0" applyBorder="1" applyAlignment="1"/>
    <xf numFmtId="0" fontId="0" fillId="0" borderId="1" xfId="0" applyBorder="1" applyAlignment="1">
      <alignment horizontal="center" vertical="center" wrapText="1"/>
    </xf>
    <xf numFmtId="0" fontId="0" fillId="31" borderId="2" xfId="0" applyFill="1" applyBorder="1" applyAlignment="1">
      <alignment horizontal="center" vertical="center" wrapText="1"/>
    </xf>
    <xf numFmtId="0" fontId="0" fillId="10" borderId="47" xfId="0" applyFill="1" applyBorder="1" applyAlignment="1">
      <alignment horizontal="center" vertical="center" wrapText="1"/>
    </xf>
    <xf numFmtId="0" fontId="0" fillId="31" borderId="12" xfId="0" applyFill="1" applyBorder="1" applyAlignment="1">
      <alignment horizontal="center"/>
    </xf>
    <xf numFmtId="0" fontId="0" fillId="29" borderId="12" xfId="0" applyFill="1" applyBorder="1" applyAlignment="1">
      <alignment horizontal="center"/>
    </xf>
    <xf numFmtId="4" fontId="2" fillId="27" borderId="1" xfId="0" applyNumberFormat="1" applyFont="1" applyFill="1" applyBorder="1" applyAlignment="1">
      <alignment horizontal="center" vertical="center"/>
    </xf>
    <xf numFmtId="4" fontId="0" fillId="27" borderId="1" xfId="0" applyNumberFormat="1" applyFill="1" applyBorder="1" applyAlignment="1">
      <alignment horizontal="center" vertical="center"/>
    </xf>
    <xf numFmtId="0" fontId="0" fillId="30" borderId="1" xfId="0" applyFill="1" applyBorder="1" applyAlignment="1">
      <alignment horizontal="center" vertical="center"/>
    </xf>
    <xf numFmtId="166" fontId="0" fillId="30" borderId="1" xfId="0" applyNumberFormat="1" applyFill="1" applyBorder="1" applyAlignment="1">
      <alignment horizontal="center" vertical="center"/>
    </xf>
    <xf numFmtId="0" fontId="7" fillId="0" borderId="0" xfId="0" applyFont="1" applyFill="1"/>
    <xf numFmtId="0" fontId="7" fillId="0" borderId="13" xfId="0" applyFont="1" applyFill="1" applyBorder="1" applyAlignment="1">
      <alignment horizontal="center" vertical="center" wrapText="1"/>
    </xf>
    <xf numFmtId="0" fontId="0" fillId="32" borderId="0" xfId="0" applyFill="1"/>
    <xf numFmtId="0" fontId="0" fillId="0" borderId="0" xfId="0" applyFill="1" applyAlignment="1">
      <alignment horizontal="center" vertical="center"/>
    </xf>
    <xf numFmtId="0" fontId="0" fillId="0" borderId="54" xfId="0" applyFill="1" applyBorder="1" applyAlignment="1">
      <alignment horizontal="center" vertical="center" wrapText="1"/>
    </xf>
    <xf numFmtId="49" fontId="0" fillId="0" borderId="0" xfId="0" applyNumberFormat="1" applyFill="1"/>
    <xf numFmtId="49" fontId="0" fillId="0" borderId="3" xfId="0" applyNumberFormat="1" applyFill="1" applyBorder="1" applyAlignment="1">
      <alignment horizontal="center" vertical="center" wrapText="1"/>
    </xf>
    <xf numFmtId="0" fontId="12" fillId="33" borderId="55" xfId="7" applyFont="1" applyFill="1" applyBorder="1" applyAlignment="1" applyProtection="1">
      <alignment vertical="center" wrapText="1"/>
    </xf>
    <xf numFmtId="0" fontId="12" fillId="33" borderId="0" xfId="7" applyFont="1" applyFill="1" applyBorder="1" applyAlignment="1" applyProtection="1">
      <alignment vertical="center" wrapText="1"/>
    </xf>
    <xf numFmtId="0" fontId="12" fillId="33" borderId="55" xfId="9" applyNumberFormat="1" applyFont="1" applyFill="1" applyBorder="1" applyAlignment="1" applyProtection="1">
      <alignment horizontal="center" wrapText="1"/>
    </xf>
    <xf numFmtId="14" fontId="12" fillId="33" borderId="1" xfId="9" applyNumberFormat="1" applyFont="1" applyFill="1" applyBorder="1" applyAlignment="1" applyProtection="1">
      <alignment horizontal="center" vertical="center" wrapText="1"/>
    </xf>
    <xf numFmtId="49" fontId="12" fillId="33" borderId="1" xfId="9" applyNumberFormat="1" applyFont="1" applyFill="1" applyBorder="1" applyAlignment="1" applyProtection="1">
      <alignment horizontal="center" vertical="center" wrapText="1"/>
    </xf>
    <xf numFmtId="0" fontId="12" fillId="0" borderId="1" xfId="9" applyNumberFormat="1" applyFont="1" applyFill="1" applyBorder="1" applyAlignment="1" applyProtection="1">
      <alignment horizontal="center" vertical="center" wrapText="1"/>
    </xf>
    <xf numFmtId="0" fontId="14" fillId="33" borderId="1" xfId="8" applyFont="1" applyFill="1" applyBorder="1" applyAlignment="1" applyProtection="1">
      <alignment horizontal="center" vertical="center" wrapText="1"/>
    </xf>
    <xf numFmtId="0" fontId="12" fillId="33" borderId="1" xfId="7" applyFont="1" applyFill="1" applyBorder="1" applyAlignment="1" applyProtection="1">
      <alignment vertical="center" wrapText="1"/>
    </xf>
    <xf numFmtId="0" fontId="12" fillId="0" borderId="55" xfId="7" applyFont="1" applyFill="1" applyBorder="1" applyAlignment="1" applyProtection="1">
      <alignment vertical="center" wrapText="1"/>
    </xf>
    <xf numFmtId="0" fontId="12" fillId="0" borderId="0" xfId="7" applyFont="1" applyFill="1" applyBorder="1" applyAlignment="1" applyProtection="1">
      <alignment vertical="center" wrapText="1"/>
    </xf>
    <xf numFmtId="0" fontId="12" fillId="0" borderId="0" xfId="9" applyNumberFormat="1" applyFont="1" applyFill="1" applyBorder="1" applyAlignment="1" applyProtection="1">
      <alignment horizontal="center" vertical="center" wrapText="1"/>
    </xf>
    <xf numFmtId="0" fontId="14" fillId="0" borderId="0" xfId="9" applyNumberFormat="1" applyFont="1" applyFill="1" applyBorder="1" applyAlignment="1" applyProtection="1">
      <alignment horizontal="center" vertical="center" wrapText="1"/>
    </xf>
    <xf numFmtId="0" fontId="14" fillId="0" borderId="0" xfId="8" applyFont="1" applyFill="1" applyBorder="1" applyAlignment="1" applyProtection="1">
      <alignment horizontal="right" vertical="center" wrapText="1" indent="1"/>
    </xf>
    <xf numFmtId="49" fontId="12" fillId="0" borderId="0" xfId="9" applyNumberFormat="1" applyFont="1" applyFill="1" applyBorder="1" applyAlignment="1" applyProtection="1">
      <alignment horizontal="center" vertical="center" wrapText="1"/>
    </xf>
    <xf numFmtId="0" fontId="16" fillId="0" borderId="0" xfId="9" applyNumberFormat="1" applyFont="1" applyFill="1" applyBorder="1" applyAlignment="1" applyProtection="1">
      <alignment horizontal="center" vertical="center" wrapText="1"/>
    </xf>
    <xf numFmtId="49" fontId="14" fillId="0" borderId="0" xfId="8" applyNumberFormat="1" applyFont="1" applyFill="1" applyBorder="1" applyAlignment="1" applyProtection="1">
      <alignment horizontal="right" vertical="center" wrapText="1" indent="1"/>
    </xf>
    <xf numFmtId="0" fontId="11" fillId="0" borderId="0" xfId="0" applyFont="1"/>
    <xf numFmtId="0" fontId="0" fillId="0" borderId="44" xfId="0" applyBorder="1"/>
    <xf numFmtId="0" fontId="7" fillId="0" borderId="1" xfId="0" applyFont="1" applyFill="1" applyBorder="1" applyAlignment="1">
      <alignment horizontal="center" vertical="center" wrapText="1"/>
    </xf>
    <xf numFmtId="49" fontId="14" fillId="22" borderId="1" xfId="8" applyNumberFormat="1" applyFont="1" applyFill="1" applyBorder="1" applyAlignment="1" applyProtection="1">
      <alignment horizontal="center" vertical="center" wrapText="1"/>
      <protection locked="0"/>
    </xf>
    <xf numFmtId="0" fontId="0" fillId="0" borderId="54" xfId="0" applyFill="1" applyBorder="1" applyAlignment="1">
      <alignment horizontal="center" vertical="top" wrapText="1"/>
    </xf>
    <xf numFmtId="3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167" fontId="20" fillId="0" borderId="1" xfId="11" applyNumberFormat="1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 wrapText="1"/>
    </xf>
    <xf numFmtId="1" fontId="22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2" fontId="0" fillId="20" borderId="1" xfId="0" applyNumberFormat="1" applyFill="1" applyBorder="1" applyAlignment="1">
      <alignment horizontal="center" vertical="center" wrapText="1"/>
    </xf>
    <xf numFmtId="167" fontId="20" fillId="0" borderId="1" xfId="11" applyNumberFormat="1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left" vertical="center" wrapText="1"/>
    </xf>
    <xf numFmtId="49" fontId="21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left" vertical="center" wrapText="1"/>
    </xf>
    <xf numFmtId="49" fontId="18" fillId="0" borderId="1" xfId="0" applyNumberFormat="1" applyFont="1" applyFill="1" applyBorder="1" applyAlignment="1">
      <alignment horizontal="left" vertical="center" wrapText="1"/>
    </xf>
    <xf numFmtId="2" fontId="18" fillId="0" borderId="1" xfId="0" applyNumberFormat="1" applyFont="1" applyFill="1" applyBorder="1" applyAlignment="1">
      <alignment horizontal="center" vertical="center" wrapText="1"/>
    </xf>
    <xf numFmtId="1" fontId="18" fillId="0" borderId="1" xfId="0" applyNumberFormat="1" applyFont="1" applyFill="1" applyBorder="1" applyAlignment="1">
      <alignment horizontal="center" vertical="center" wrapText="1"/>
    </xf>
    <xf numFmtId="49" fontId="0" fillId="20" borderId="1" xfId="0" applyNumberFormat="1" applyFill="1" applyBorder="1" applyAlignment="1">
      <alignment vertical="center"/>
    </xf>
    <xf numFmtId="49" fontId="7" fillId="20" borderId="1" xfId="0" applyNumberFormat="1" applyFont="1" applyFill="1" applyBorder="1" applyAlignment="1">
      <alignment vertical="center"/>
    </xf>
    <xf numFmtId="0" fontId="7" fillId="20" borderId="1" xfId="0" applyFont="1" applyFill="1" applyBorder="1" applyAlignment="1">
      <alignment horizontal="center" vertical="center"/>
    </xf>
    <xf numFmtId="0" fontId="0" fillId="20" borderId="1" xfId="0" applyFill="1" applyBorder="1" applyAlignment="1">
      <alignment vertical="center"/>
    </xf>
    <xf numFmtId="0" fontId="0" fillId="0" borderId="0" xfId="0" applyFill="1" applyAlignment="1">
      <alignment vertical="center"/>
    </xf>
    <xf numFmtId="49" fontId="0" fillId="0" borderId="1" xfId="0" applyNumberForma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left" vertical="center" wrapText="1"/>
    </xf>
    <xf numFmtId="2" fontId="0" fillId="0" borderId="1" xfId="0" applyNumberForma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center" vertical="center" wrapText="1"/>
    </xf>
    <xf numFmtId="1" fontId="21" fillId="0" borderId="1" xfId="3" applyNumberFormat="1" applyFont="1" applyFill="1" applyBorder="1" applyAlignment="1">
      <alignment horizontal="center" vertical="center" wrapText="1"/>
    </xf>
    <xf numFmtId="0" fontId="0" fillId="0" borderId="40" xfId="0" applyNumberFormat="1" applyFill="1" applyBorder="1" applyAlignment="1">
      <alignment horizontal="center" vertical="center" wrapText="1"/>
    </xf>
    <xf numFmtId="0" fontId="7" fillId="0" borderId="48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166" fontId="0" fillId="20" borderId="1" xfId="0" applyNumberFormat="1" applyFill="1" applyBorder="1" applyAlignment="1">
      <alignment horizontal="right" vertical="center" wrapText="1"/>
    </xf>
    <xf numFmtId="166" fontId="0" fillId="0" borderId="1" xfId="0" applyNumberFormat="1" applyFill="1" applyBorder="1" applyAlignment="1">
      <alignment horizontal="right" vertical="center"/>
    </xf>
    <xf numFmtId="166" fontId="21" fillId="0" borderId="1" xfId="0" applyNumberFormat="1" applyFont="1" applyFill="1" applyBorder="1" applyAlignment="1">
      <alignment horizontal="right" vertical="center" wrapText="1"/>
    </xf>
    <xf numFmtId="166" fontId="18" fillId="0" borderId="1" xfId="0" applyNumberFormat="1" applyFont="1" applyFill="1" applyBorder="1" applyAlignment="1">
      <alignment horizontal="right" vertical="center" wrapText="1"/>
    </xf>
    <xf numFmtId="166" fontId="25" fillId="0" borderId="1" xfId="0" applyNumberFormat="1" applyFont="1" applyFill="1" applyBorder="1" applyAlignment="1">
      <alignment horizontal="right" vertical="center"/>
    </xf>
    <xf numFmtId="49" fontId="24" fillId="0" borderId="1" xfId="0" applyNumberFormat="1" applyFont="1" applyFill="1" applyBorder="1" applyAlignment="1">
      <alignment horizontal="left" vertical="center" wrapText="1"/>
    </xf>
    <xf numFmtId="166" fontId="1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left" vertical="center" wrapText="1"/>
    </xf>
    <xf numFmtId="166" fontId="23" fillId="0" borderId="1" xfId="10" applyNumberFormat="1" applyFont="1" applyFill="1" applyBorder="1" applyAlignment="1">
      <alignment horizontal="right" vertical="center"/>
    </xf>
    <xf numFmtId="166" fontId="0" fillId="20" borderId="1" xfId="0" applyNumberFormat="1" applyFill="1" applyBorder="1" applyAlignment="1">
      <alignment horizontal="right" vertical="center"/>
    </xf>
    <xf numFmtId="165" fontId="2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0" fillId="0" borderId="0" xfId="0" applyNumberFormat="1" applyFill="1" applyAlignment="1">
      <alignment horizontal="center" vertical="center"/>
    </xf>
    <xf numFmtId="0" fontId="7" fillId="0" borderId="12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0" fontId="0" fillId="0" borderId="0" xfId="0" applyFont="1" applyFill="1"/>
    <xf numFmtId="0" fontId="0" fillId="0" borderId="0" xfId="0" applyFont="1" applyFill="1" applyAlignment="1">
      <alignment horizontal="center" vertical="center"/>
    </xf>
    <xf numFmtId="0" fontId="0" fillId="0" borderId="40" xfId="0" applyNumberFormat="1" applyFont="1" applyFill="1" applyBorder="1" applyAlignment="1">
      <alignment horizontal="center" vertical="center" wrapText="1"/>
    </xf>
    <xf numFmtId="1" fontId="0" fillId="20" borderId="1" xfId="0" applyNumberFormat="1" applyFont="1" applyFill="1" applyBorder="1" applyAlignment="1">
      <alignment horizontal="center" vertical="center" wrapText="1"/>
    </xf>
    <xf numFmtId="166" fontId="0" fillId="20" borderId="1" xfId="0" applyNumberFormat="1" applyFont="1" applyFill="1" applyBorder="1" applyAlignment="1">
      <alignment horizontal="right" vertical="center" wrapText="1"/>
    </xf>
    <xf numFmtId="0" fontId="0" fillId="20" borderId="1" xfId="0" applyFont="1" applyFill="1" applyBorder="1" applyAlignment="1">
      <alignment vertical="center"/>
    </xf>
    <xf numFmtId="166" fontId="0" fillId="20" borderId="1" xfId="0" applyNumberFormat="1" applyFont="1" applyFill="1" applyBorder="1" applyAlignment="1">
      <alignment vertical="center"/>
    </xf>
    <xf numFmtId="1" fontId="0" fillId="0" borderId="1" xfId="0" applyNumberFormat="1" applyFont="1" applyFill="1" applyBorder="1" applyAlignment="1">
      <alignment horizontal="center" vertical="center"/>
    </xf>
    <xf numFmtId="166" fontId="0" fillId="0" borderId="1" xfId="0" applyNumberFormat="1" applyFont="1" applyFill="1" applyBorder="1" applyAlignment="1">
      <alignment horizontal="right" vertical="center"/>
    </xf>
    <xf numFmtId="166" fontId="0" fillId="0" borderId="1" xfId="0" applyNumberFormat="1" applyFont="1" applyFill="1" applyBorder="1" applyAlignment="1">
      <alignment vertical="center"/>
    </xf>
    <xf numFmtId="1" fontId="24" fillId="0" borderId="1" xfId="3" applyNumberFormat="1" applyFont="1" applyFill="1" applyBorder="1" applyAlignment="1">
      <alignment horizontal="center" vertical="center" wrapText="1"/>
    </xf>
    <xf numFmtId="1" fontId="20" fillId="0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vertical="center"/>
    </xf>
    <xf numFmtId="166" fontId="20" fillId="0" borderId="1" xfId="0" applyNumberFormat="1" applyFont="1" applyFill="1" applyBorder="1" applyAlignment="1">
      <alignment horizontal="right" vertical="center" wrapText="1"/>
    </xf>
    <xf numFmtId="166" fontId="7" fillId="0" borderId="1" xfId="10" applyNumberFormat="1" applyFont="1" applyFill="1" applyBorder="1" applyAlignment="1">
      <alignment horizontal="right" vertical="center"/>
    </xf>
    <xf numFmtId="166" fontId="24" fillId="0" borderId="1" xfId="0" applyNumberFormat="1" applyFont="1" applyFill="1" applyBorder="1" applyAlignment="1">
      <alignment horizontal="right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0" xfId="0" applyFont="1"/>
    <xf numFmtId="0" fontId="0" fillId="32" borderId="0" xfId="0" applyFont="1" applyFill="1"/>
    <xf numFmtId="0" fontId="0" fillId="0" borderId="0" xfId="0" applyFont="1" applyAlignment="1">
      <alignment horizontal="center" vertical="center"/>
    </xf>
    <xf numFmtId="168" fontId="0" fillId="0" borderId="1" xfId="0" applyNumberFormat="1" applyFont="1" applyFill="1" applyBorder="1" applyAlignment="1">
      <alignment horizontal="center" vertical="center"/>
    </xf>
    <xf numFmtId="0" fontId="7" fillId="0" borderId="1" xfId="11" applyNumberFormat="1" applyFont="1" applyFill="1" applyBorder="1" applyAlignment="1">
      <alignment horizontal="left" vertical="center" wrapText="1"/>
    </xf>
    <xf numFmtId="165" fontId="30" fillId="0" borderId="1" xfId="0" applyNumberFormat="1" applyFont="1" applyFill="1" applyBorder="1" applyAlignment="1">
      <alignment horizontal="center" vertical="center" wrapText="1"/>
    </xf>
    <xf numFmtId="0" fontId="7" fillId="0" borderId="53" xfId="0" applyNumberFormat="1" applyFont="1" applyFill="1" applyBorder="1" applyAlignment="1">
      <alignment horizontal="center" vertical="center" wrapText="1"/>
    </xf>
    <xf numFmtId="49" fontId="0" fillId="38" borderId="1" xfId="0" applyNumberFormat="1" applyFill="1" applyBorder="1" applyAlignment="1">
      <alignment vertical="center"/>
    </xf>
    <xf numFmtId="0" fontId="29" fillId="38" borderId="1" xfId="0" applyFont="1" applyFill="1" applyBorder="1" applyAlignment="1">
      <alignment vertical="center" wrapText="1"/>
    </xf>
    <xf numFmtId="49" fontId="7" fillId="38" borderId="1" xfId="0" applyNumberFormat="1" applyFont="1" applyFill="1" applyBorder="1" applyAlignment="1">
      <alignment horizontal="center" vertical="center" wrapText="1"/>
    </xf>
    <xf numFmtId="1" fontId="0" fillId="38" borderId="1" xfId="0" applyNumberFormat="1" applyFont="1" applyFill="1" applyBorder="1" applyAlignment="1">
      <alignment horizontal="center" vertical="center" wrapText="1"/>
    </xf>
    <xf numFmtId="166" fontId="0" fillId="38" borderId="1" xfId="0" applyNumberFormat="1" applyFont="1" applyFill="1" applyBorder="1" applyAlignment="1">
      <alignment horizontal="right" vertical="center" wrapText="1"/>
    </xf>
    <xf numFmtId="0" fontId="0" fillId="38" borderId="1" xfId="0" applyFont="1" applyFill="1" applyBorder="1" applyAlignment="1">
      <alignment vertical="center"/>
    </xf>
    <xf numFmtId="166" fontId="0" fillId="38" borderId="1" xfId="0" applyNumberFormat="1" applyFont="1" applyFill="1" applyBorder="1" applyAlignment="1">
      <alignment vertical="center"/>
    </xf>
    <xf numFmtId="49" fontId="0" fillId="39" borderId="1" xfId="0" applyNumberFormat="1" applyFill="1" applyBorder="1" applyAlignment="1">
      <alignment vertical="center"/>
    </xf>
    <xf numFmtId="0" fontId="29" fillId="39" borderId="1" xfId="0" applyFont="1" applyFill="1" applyBorder="1" applyAlignment="1">
      <alignment vertical="center" wrapText="1"/>
    </xf>
    <xf numFmtId="49" fontId="7" fillId="39" borderId="1" xfId="0" applyNumberFormat="1" applyFont="1" applyFill="1" applyBorder="1" applyAlignment="1">
      <alignment horizontal="center" vertical="center" wrapText="1"/>
    </xf>
    <xf numFmtId="1" fontId="0" fillId="39" borderId="1" xfId="0" applyNumberFormat="1" applyFont="1" applyFill="1" applyBorder="1" applyAlignment="1">
      <alignment horizontal="center" vertical="center" wrapText="1"/>
    </xf>
    <xf numFmtId="166" fontId="0" fillId="39" borderId="1" xfId="0" applyNumberFormat="1" applyFont="1" applyFill="1" applyBorder="1" applyAlignment="1">
      <alignment horizontal="right" vertical="center" wrapText="1"/>
    </xf>
    <xf numFmtId="0" fontId="0" fillId="39" borderId="1" xfId="0" applyFont="1" applyFill="1" applyBorder="1" applyAlignment="1">
      <alignment vertical="center"/>
    </xf>
    <xf numFmtId="166" fontId="0" fillId="39" borderId="1" xfId="0" applyNumberFormat="1" applyFont="1" applyFill="1" applyBorder="1" applyAlignment="1">
      <alignment vertical="center"/>
    </xf>
    <xf numFmtId="0" fontId="19" fillId="39" borderId="1" xfId="0" applyFont="1" applyFill="1" applyBorder="1" applyAlignment="1">
      <alignment vertical="center" wrapText="1"/>
    </xf>
    <xf numFmtId="2" fontId="0" fillId="39" borderId="1" xfId="0" applyNumberFormat="1" applyFill="1" applyBorder="1" applyAlignment="1">
      <alignment horizontal="center" vertical="center" wrapText="1"/>
    </xf>
    <xf numFmtId="166" fontId="0" fillId="39" borderId="1" xfId="0" applyNumberFormat="1" applyFill="1" applyBorder="1" applyAlignment="1">
      <alignment horizontal="right" vertical="center" wrapText="1"/>
    </xf>
    <xf numFmtId="0" fontId="0" fillId="39" borderId="1" xfId="0" applyFill="1" applyBorder="1" applyAlignment="1">
      <alignment vertical="center"/>
    </xf>
    <xf numFmtId="166" fontId="0" fillId="39" borderId="1" xfId="0" applyNumberFormat="1" applyFill="1" applyBorder="1" applyAlignment="1">
      <alignment horizontal="right" vertical="center"/>
    </xf>
    <xf numFmtId="0" fontId="19" fillId="38" borderId="1" xfId="0" applyFont="1" applyFill="1" applyBorder="1" applyAlignment="1">
      <alignment vertical="center" wrapText="1"/>
    </xf>
    <xf numFmtId="2" fontId="0" fillId="38" borderId="1" xfId="0" applyNumberFormat="1" applyFill="1" applyBorder="1" applyAlignment="1">
      <alignment horizontal="center" vertical="center" wrapText="1"/>
    </xf>
    <xf numFmtId="166" fontId="0" fillId="38" borderId="1" xfId="0" applyNumberFormat="1" applyFill="1" applyBorder="1" applyAlignment="1">
      <alignment horizontal="right" vertical="center" wrapText="1"/>
    </xf>
    <xf numFmtId="0" fontId="0" fillId="38" borderId="1" xfId="0" applyFill="1" applyBorder="1" applyAlignment="1">
      <alignment vertical="center"/>
    </xf>
    <xf numFmtId="166" fontId="0" fillId="38" borderId="1" xfId="0" applyNumberFormat="1" applyFill="1" applyBorder="1" applyAlignment="1">
      <alignment horizontal="right" vertical="center"/>
    </xf>
    <xf numFmtId="0" fontId="0" fillId="40" borderId="54" xfId="0" applyFill="1" applyBorder="1" applyAlignment="1">
      <alignment horizontal="center" vertical="center" wrapText="1"/>
    </xf>
    <xf numFmtId="49" fontId="0" fillId="41" borderId="1" xfId="0" applyNumberFormat="1" applyFill="1" applyBorder="1" applyAlignment="1">
      <alignment vertical="center"/>
    </xf>
    <xf numFmtId="49" fontId="7" fillId="41" borderId="1" xfId="0" applyNumberFormat="1" applyFont="1" applyFill="1" applyBorder="1" applyAlignment="1">
      <alignment horizontal="center" vertical="center" wrapText="1"/>
    </xf>
    <xf numFmtId="1" fontId="0" fillId="41" borderId="1" xfId="0" applyNumberFormat="1" applyFont="1" applyFill="1" applyBorder="1" applyAlignment="1">
      <alignment horizontal="center" vertical="center" wrapText="1"/>
    </xf>
    <xf numFmtId="166" fontId="0" fillId="41" borderId="1" xfId="0" applyNumberFormat="1" applyFont="1" applyFill="1" applyBorder="1" applyAlignment="1">
      <alignment horizontal="right" vertical="center" wrapText="1"/>
    </xf>
    <xf numFmtId="0" fontId="0" fillId="41" borderId="1" xfId="0" applyFont="1" applyFill="1" applyBorder="1" applyAlignment="1">
      <alignment vertical="center"/>
    </xf>
    <xf numFmtId="166" fontId="0" fillId="41" borderId="1" xfId="0" applyNumberFormat="1" applyFont="1" applyFill="1" applyBorder="1" applyAlignment="1">
      <alignment vertical="center"/>
    </xf>
    <xf numFmtId="0" fontId="19" fillId="41" borderId="1" xfId="0" applyFont="1" applyFill="1" applyBorder="1" applyAlignment="1">
      <alignment vertical="center" wrapText="1"/>
    </xf>
    <xf numFmtId="2" fontId="0" fillId="41" borderId="1" xfId="0" applyNumberFormat="1" applyFill="1" applyBorder="1" applyAlignment="1">
      <alignment horizontal="center" vertical="center" wrapText="1"/>
    </xf>
    <xf numFmtId="166" fontId="0" fillId="41" borderId="1" xfId="0" applyNumberFormat="1" applyFill="1" applyBorder="1" applyAlignment="1">
      <alignment horizontal="right" vertical="center" wrapText="1"/>
    </xf>
    <xf numFmtId="0" fontId="0" fillId="41" borderId="1" xfId="0" applyFill="1" applyBorder="1" applyAlignment="1">
      <alignment vertical="center"/>
    </xf>
    <xf numFmtId="166" fontId="0" fillId="41" borderId="1" xfId="0" applyNumberFormat="1" applyFill="1" applyBorder="1" applyAlignment="1">
      <alignment horizontal="right" vertical="center"/>
    </xf>
    <xf numFmtId="49" fontId="0" fillId="42" borderId="1" xfId="0" applyNumberFormat="1" applyFill="1" applyBorder="1" applyAlignment="1">
      <alignment vertical="center"/>
    </xf>
    <xf numFmtId="0" fontId="29" fillId="42" borderId="1" xfId="0" applyFont="1" applyFill="1" applyBorder="1" applyAlignment="1">
      <alignment vertical="center" wrapText="1"/>
    </xf>
    <xf numFmtId="49" fontId="7" fillId="42" borderId="1" xfId="0" applyNumberFormat="1" applyFont="1" applyFill="1" applyBorder="1" applyAlignment="1">
      <alignment horizontal="center" vertical="center" wrapText="1"/>
    </xf>
    <xf numFmtId="1" fontId="0" fillId="42" borderId="1" xfId="0" applyNumberFormat="1" applyFont="1" applyFill="1" applyBorder="1" applyAlignment="1">
      <alignment horizontal="center" vertical="center" wrapText="1"/>
    </xf>
    <xf numFmtId="166" fontId="0" fillId="42" borderId="1" xfId="0" applyNumberFormat="1" applyFont="1" applyFill="1" applyBorder="1" applyAlignment="1">
      <alignment horizontal="right" vertical="center" wrapText="1"/>
    </xf>
    <xf numFmtId="0" fontId="0" fillId="42" borderId="1" xfId="0" applyFont="1" applyFill="1" applyBorder="1" applyAlignment="1">
      <alignment vertical="center"/>
    </xf>
    <xf numFmtId="166" fontId="0" fillId="42" borderId="1" xfId="0" applyNumberFormat="1" applyFont="1" applyFill="1" applyBorder="1" applyAlignment="1">
      <alignment vertical="center"/>
    </xf>
    <xf numFmtId="49" fontId="31" fillId="0" borderId="0" xfId="0" applyNumberFormat="1" applyFont="1" applyFill="1"/>
    <xf numFmtId="0" fontId="32" fillId="0" borderId="0" xfId="0" applyFont="1" applyFill="1"/>
    <xf numFmtId="0" fontId="32" fillId="0" borderId="0" xfId="0" applyNumberFormat="1" applyFont="1" applyFill="1" applyAlignment="1">
      <alignment horizontal="left" vertical="center"/>
    </xf>
    <xf numFmtId="0" fontId="32" fillId="0" borderId="0" xfId="0" applyFont="1" applyFill="1" applyAlignment="1">
      <alignment horizontal="center" vertical="center"/>
    </xf>
    <xf numFmtId="0" fontId="31" fillId="28" borderId="0" xfId="0" applyFont="1" applyFill="1"/>
    <xf numFmtId="1" fontId="0" fillId="0" borderId="0" xfId="0" applyNumberFormat="1" applyFill="1"/>
    <xf numFmtId="1" fontId="0" fillId="0" borderId="1" xfId="0" applyNumberFormat="1" applyFill="1" applyBorder="1" applyAlignment="1">
      <alignment horizontal="center" vertical="top" wrapText="1"/>
    </xf>
    <xf numFmtId="1" fontId="0" fillId="0" borderId="40" xfId="0" applyNumberFormat="1" applyFill="1" applyBorder="1" applyAlignment="1">
      <alignment horizontal="center" vertical="center" wrapText="1"/>
    </xf>
    <xf numFmtId="1" fontId="0" fillId="38" borderId="1" xfId="0" applyNumberFormat="1" applyFill="1" applyBorder="1" applyAlignment="1">
      <alignment horizontal="center" vertical="center" wrapText="1"/>
    </xf>
    <xf numFmtId="1" fontId="0" fillId="20" borderId="1" xfId="0" applyNumberFormat="1" applyFill="1" applyBorder="1" applyAlignment="1">
      <alignment horizontal="center" vertical="center" wrapText="1"/>
    </xf>
    <xf numFmtId="1" fontId="27" fillId="0" borderId="1" xfId="0" applyNumberFormat="1" applyFont="1" applyFill="1" applyBorder="1" applyAlignment="1">
      <alignment horizontal="center" vertical="center" wrapText="1"/>
    </xf>
    <xf numFmtId="1" fontId="18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ill="1" applyBorder="1" applyAlignment="1">
      <alignment vertical="center"/>
    </xf>
    <xf numFmtId="1" fontId="0" fillId="39" borderId="1" xfId="0" applyNumberFormat="1" applyFill="1" applyBorder="1" applyAlignment="1">
      <alignment horizontal="center" vertical="center" wrapText="1"/>
    </xf>
    <xf numFmtId="1" fontId="18" fillId="0" borderId="1" xfId="10" applyNumberFormat="1" applyFont="1" applyFill="1" applyBorder="1" applyAlignment="1">
      <alignment horizontal="center" vertical="center"/>
    </xf>
    <xf numFmtId="1" fontId="21" fillId="0" borderId="1" xfId="0" applyNumberFormat="1" applyFont="1" applyFill="1" applyBorder="1" applyAlignment="1">
      <alignment horizontal="center" vertical="center" wrapText="1"/>
    </xf>
    <xf numFmtId="1" fontId="0" fillId="41" borderId="1" xfId="0" applyNumberFormat="1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/>
    </xf>
    <xf numFmtId="1" fontId="0" fillId="0" borderId="0" xfId="0" applyNumberFormat="1"/>
    <xf numFmtId="0" fontId="0" fillId="0" borderId="1" xfId="0" applyFont="1" applyFill="1" applyBorder="1" applyAlignment="1">
      <alignment vertical="center" wrapText="1"/>
    </xf>
    <xf numFmtId="0" fontId="0" fillId="38" borderId="1" xfId="0" applyFont="1" applyFill="1" applyBorder="1" applyAlignment="1">
      <alignment horizontal="center" vertical="center"/>
    </xf>
    <xf numFmtId="0" fontId="0" fillId="2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39" borderId="1" xfId="0" applyFont="1" applyFill="1" applyBorder="1" applyAlignment="1">
      <alignment horizontal="center" vertical="center"/>
    </xf>
    <xf numFmtId="0" fontId="0" fillId="42" borderId="1" xfId="0" applyFont="1" applyFill="1" applyBorder="1" applyAlignment="1">
      <alignment horizontal="center" vertical="center"/>
    </xf>
    <xf numFmtId="0" fontId="0" fillId="41" borderId="1" xfId="0" applyFont="1" applyFill="1" applyBorder="1" applyAlignment="1">
      <alignment horizontal="center" vertical="center"/>
    </xf>
    <xf numFmtId="0" fontId="0" fillId="38" borderId="1" xfId="0" applyFill="1" applyBorder="1" applyAlignment="1">
      <alignment horizontal="center" vertical="center"/>
    </xf>
    <xf numFmtId="0" fontId="0" fillId="20" borderId="1" xfId="0" applyFill="1" applyBorder="1" applyAlignment="1">
      <alignment horizontal="center" vertical="center"/>
    </xf>
    <xf numFmtId="0" fontId="0" fillId="39" borderId="1" xfId="0" applyFill="1" applyBorder="1" applyAlignment="1">
      <alignment horizontal="center" vertical="center"/>
    </xf>
    <xf numFmtId="0" fontId="0" fillId="41" borderId="1" xfId="0" applyFill="1" applyBorder="1" applyAlignment="1">
      <alignment horizontal="center" vertical="center"/>
    </xf>
    <xf numFmtId="167" fontId="7" fillId="0" borderId="1" xfId="11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vertical="center"/>
    </xf>
    <xf numFmtId="0" fontId="0" fillId="21" borderId="1" xfId="0" applyFill="1" applyBorder="1" applyAlignment="1">
      <alignment horizontal="center" vertical="center" wrapText="1"/>
    </xf>
    <xf numFmtId="0" fontId="0" fillId="21" borderId="1" xfId="0" applyFill="1" applyBorder="1"/>
    <xf numFmtId="0" fontId="0" fillId="21" borderId="1" xfId="0" applyFill="1" applyBorder="1" applyAlignment="1">
      <alignment wrapText="1"/>
    </xf>
    <xf numFmtId="0" fontId="0" fillId="20" borderId="1" xfId="0" applyFill="1" applyBorder="1" applyAlignment="1">
      <alignment horizontal="left" vertical="center" wrapText="1"/>
    </xf>
    <xf numFmtId="0" fontId="0" fillId="22" borderId="1" xfId="0" applyFill="1" applyBorder="1" applyAlignment="1">
      <alignment horizontal="left" vertical="center" wrapText="1"/>
    </xf>
    <xf numFmtId="0" fontId="0" fillId="22" borderId="1" xfId="0" applyFill="1" applyBorder="1"/>
    <xf numFmtId="0" fontId="14" fillId="21" borderId="1" xfId="8" applyFont="1" applyFill="1" applyBorder="1" applyAlignment="1" applyProtection="1">
      <alignment horizontal="center" vertical="center"/>
      <protection locked="0"/>
    </xf>
    <xf numFmtId="49" fontId="14" fillId="20" borderId="1" xfId="8" applyNumberFormat="1" applyFont="1" applyFill="1" applyBorder="1" applyAlignment="1" applyProtection="1">
      <alignment horizontal="center" vertical="center" wrapText="1"/>
    </xf>
    <xf numFmtId="0" fontId="0" fillId="20" borderId="1" xfId="7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9" fontId="0" fillId="7" borderId="1" xfId="0" applyNumberFormat="1" applyFill="1" applyBorder="1" applyAlignment="1">
      <alignment vertical="center"/>
    </xf>
    <xf numFmtId="0" fontId="29" fillId="7" borderId="1" xfId="0" applyFont="1" applyFill="1" applyBorder="1" applyAlignment="1">
      <alignment vertical="center" wrapText="1"/>
    </xf>
    <xf numFmtId="0" fontId="29" fillId="7" borderId="1" xfId="0" applyNumberFormat="1" applyFont="1" applyFill="1" applyBorder="1" applyAlignment="1">
      <alignment horizontal="left" vertical="center" wrapText="1"/>
    </xf>
    <xf numFmtId="49" fontId="7" fillId="7" borderId="1" xfId="0" applyNumberFormat="1" applyFont="1" applyFill="1" applyBorder="1" applyAlignment="1">
      <alignment horizontal="center" vertical="center" wrapText="1"/>
    </xf>
    <xf numFmtId="1" fontId="0" fillId="7" borderId="1" xfId="0" applyNumberFormat="1" applyFont="1" applyFill="1" applyBorder="1" applyAlignment="1">
      <alignment horizontal="center" vertical="center" wrapText="1"/>
    </xf>
    <xf numFmtId="166" fontId="0" fillId="7" borderId="1" xfId="0" applyNumberFormat="1" applyFont="1" applyFill="1" applyBorder="1" applyAlignment="1">
      <alignment horizontal="right" vertical="center" wrapText="1"/>
    </xf>
    <xf numFmtId="0" fontId="0" fillId="7" borderId="1" xfId="0" applyFont="1" applyFill="1" applyBorder="1" applyAlignment="1">
      <alignment vertical="center"/>
    </xf>
    <xf numFmtId="0" fontId="0" fillId="7" borderId="1" xfId="0" applyFont="1" applyFill="1" applyBorder="1" applyAlignment="1">
      <alignment horizontal="center" vertical="center"/>
    </xf>
    <xf numFmtId="166" fontId="0" fillId="7" borderId="1" xfId="0" applyNumberFormat="1" applyFont="1" applyFill="1" applyBorder="1" applyAlignment="1">
      <alignment vertical="center"/>
    </xf>
    <xf numFmtId="49" fontId="0" fillId="21" borderId="1" xfId="0" applyNumberFormat="1" applyFill="1" applyBorder="1" applyAlignment="1">
      <alignment vertical="center"/>
    </xf>
    <xf numFmtId="1" fontId="0" fillId="21" borderId="1" xfId="0" applyNumberFormat="1" applyFont="1" applyFill="1" applyBorder="1" applyAlignment="1">
      <alignment horizontal="center" vertical="center" wrapText="1"/>
    </xf>
    <xf numFmtId="166" fontId="0" fillId="21" borderId="1" xfId="0" applyNumberFormat="1" applyFont="1" applyFill="1" applyBorder="1" applyAlignment="1">
      <alignment horizontal="right" vertical="center" wrapText="1"/>
    </xf>
    <xf numFmtId="0" fontId="0" fillId="21" borderId="1" xfId="0" applyFont="1" applyFill="1" applyBorder="1" applyAlignment="1">
      <alignment vertical="center"/>
    </xf>
    <xf numFmtId="0" fontId="0" fillId="21" borderId="1" xfId="0" applyFont="1" applyFill="1" applyBorder="1" applyAlignment="1">
      <alignment horizontal="center" vertical="center"/>
    </xf>
    <xf numFmtId="166" fontId="0" fillId="21" borderId="1" xfId="0" applyNumberFormat="1" applyFont="1" applyFill="1" applyBorder="1" applyAlignment="1">
      <alignment vertical="center"/>
    </xf>
    <xf numFmtId="0" fontId="7" fillId="21" borderId="1" xfId="0" applyNumberFormat="1" applyFont="1" applyFill="1" applyBorder="1" applyAlignment="1">
      <alignment horizontal="left" vertical="center"/>
    </xf>
    <xf numFmtId="0" fontId="7" fillId="21" borderId="1" xfId="0" applyFont="1" applyFill="1" applyBorder="1" applyAlignment="1">
      <alignment horizontal="center" vertical="center"/>
    </xf>
    <xf numFmtId="49" fontId="7" fillId="21" borderId="1" xfId="0" applyNumberFormat="1" applyFont="1" applyFill="1" applyBorder="1" applyAlignment="1">
      <alignment vertical="center" wrapText="1"/>
    </xf>
    <xf numFmtId="0" fontId="7" fillId="0" borderId="56" xfId="0" applyFont="1" applyFill="1" applyBorder="1" applyAlignment="1">
      <alignment horizontal="left" vertical="center" wrapText="1" shrinkToFit="1"/>
    </xf>
    <xf numFmtId="2" fontId="7" fillId="0" borderId="1" xfId="0" applyNumberFormat="1" applyFont="1" applyFill="1" applyBorder="1" applyAlignment="1">
      <alignment horizontal="center" vertical="center" wrapText="1"/>
    </xf>
    <xf numFmtId="166" fontId="0" fillId="2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 wrapText="1"/>
    </xf>
    <xf numFmtId="166" fontId="7" fillId="2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Fill="1" applyBorder="1" applyAlignment="1">
      <alignment horizontal="right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7" fillId="0" borderId="56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1" fontId="0" fillId="0" borderId="1" xfId="3" applyNumberFormat="1" applyFont="1" applyFill="1" applyBorder="1" applyAlignment="1">
      <alignment horizontal="center" vertical="center" wrapText="1"/>
    </xf>
    <xf numFmtId="168" fontId="7" fillId="0" borderId="1" xfId="0" applyNumberFormat="1" applyFont="1" applyFill="1" applyBorder="1" applyAlignment="1">
      <alignment horizontal="center" vertical="center" wrapText="1"/>
    </xf>
    <xf numFmtId="1" fontId="29" fillId="0" borderId="1" xfId="0" applyNumberFormat="1" applyFont="1" applyFill="1" applyBorder="1" applyAlignment="1">
      <alignment horizontal="center" vertical="center" wrapText="1"/>
    </xf>
    <xf numFmtId="1" fontId="7" fillId="0" borderId="1" xfId="3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/>
    </xf>
    <xf numFmtId="1" fontId="7" fillId="0" borderId="1" xfId="1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 wrapText="1"/>
    </xf>
    <xf numFmtId="1" fontId="0" fillId="20" borderId="1" xfId="1" applyNumberFormat="1" applyFont="1" applyFill="1" applyBorder="1" applyAlignment="1">
      <alignment horizontal="center" vertical="center" wrapText="1"/>
    </xf>
    <xf numFmtId="0" fontId="7" fillId="43" borderId="1" xfId="0" applyFont="1" applyFill="1" applyBorder="1" applyAlignment="1">
      <alignment vertical="center"/>
    </xf>
    <xf numFmtId="0" fontId="7" fillId="43" borderId="1" xfId="0" applyFont="1" applyFill="1" applyBorder="1" applyAlignment="1">
      <alignment horizontal="left" vertical="center" wrapText="1"/>
    </xf>
    <xf numFmtId="0" fontId="7" fillId="43" borderId="12" xfId="0" applyFont="1" applyFill="1" applyBorder="1" applyAlignment="1">
      <alignment horizontal="left" vertical="center" wrapText="1"/>
    </xf>
    <xf numFmtId="0" fontId="7" fillId="43" borderId="56" xfId="0" applyFont="1" applyFill="1" applyBorder="1" applyAlignment="1">
      <alignment horizontal="left" vertical="center" wrapText="1"/>
    </xf>
    <xf numFmtId="0" fontId="7" fillId="43" borderId="1" xfId="0" applyFont="1" applyFill="1" applyBorder="1" applyAlignment="1">
      <alignment horizontal="left" vertical="center" wrapText="1" shrinkToFit="1"/>
    </xf>
    <xf numFmtId="0" fontId="7" fillId="43" borderId="56" xfId="0" applyFont="1" applyFill="1" applyBorder="1" applyAlignment="1">
      <alignment horizontal="left" vertical="center" wrapText="1" shrinkToFit="1"/>
    </xf>
    <xf numFmtId="166" fontId="0" fillId="43" borderId="1" xfId="0" applyNumberFormat="1" applyFont="1" applyFill="1" applyBorder="1" applyAlignment="1">
      <alignment horizontal="right" vertical="center"/>
    </xf>
    <xf numFmtId="166" fontId="7" fillId="43" borderId="1" xfId="10" applyNumberFormat="1" applyFont="1" applyFill="1" applyBorder="1" applyAlignment="1">
      <alignment horizontal="right" vertical="center"/>
    </xf>
    <xf numFmtId="166" fontId="7" fillId="43" borderId="1" xfId="0" applyNumberFormat="1" applyFont="1" applyFill="1" applyBorder="1" applyAlignment="1">
      <alignment horizontal="right" vertical="center" wrapText="1"/>
    </xf>
    <xf numFmtId="166" fontId="1" fillId="43" borderId="1" xfId="0" applyNumberFormat="1" applyFont="1" applyFill="1" applyBorder="1" applyAlignment="1">
      <alignment horizontal="right" vertical="center"/>
    </xf>
    <xf numFmtId="0" fontId="32" fillId="0" borderId="1" xfId="11" applyNumberFormat="1" applyFont="1" applyFill="1" applyBorder="1" applyAlignment="1">
      <alignment horizontal="left" vertical="center" wrapText="1"/>
    </xf>
    <xf numFmtId="0" fontId="31" fillId="0" borderId="1" xfId="0" applyNumberFormat="1" applyFont="1" applyFill="1" applyBorder="1" applyAlignment="1">
      <alignment horizontal="left" vertical="center" wrapText="1"/>
    </xf>
    <xf numFmtId="0" fontId="31" fillId="0" borderId="1" xfId="0" applyNumberFormat="1" applyFont="1" applyFill="1" applyBorder="1" applyAlignment="1">
      <alignment horizontal="left" vertical="center"/>
    </xf>
    <xf numFmtId="0" fontId="32" fillId="0" borderId="1" xfId="0" applyNumberFormat="1" applyFont="1" applyFill="1" applyBorder="1" applyAlignment="1">
      <alignment horizontal="left" vertical="center"/>
    </xf>
    <xf numFmtId="49" fontId="32" fillId="0" borderId="1" xfId="11" applyNumberFormat="1" applyFont="1" applyFill="1" applyBorder="1" applyAlignment="1">
      <alignment horizontal="left" vertical="center" wrapText="1"/>
    </xf>
    <xf numFmtId="0" fontId="32" fillId="0" borderId="1" xfId="0" applyNumberFormat="1" applyFont="1" applyFill="1" applyBorder="1" applyAlignment="1">
      <alignment horizontal="left" vertical="center" wrapText="1"/>
    </xf>
    <xf numFmtId="1" fontId="3" fillId="0" borderId="1" xfId="3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166" fontId="3" fillId="43" borderId="1" xfId="0" applyNumberFormat="1" applyFont="1" applyFill="1" applyBorder="1" applyAlignment="1">
      <alignment horizontal="right" vertical="center" wrapText="1"/>
    </xf>
    <xf numFmtId="166" fontId="3" fillId="0" borderId="1" xfId="0" applyNumberFormat="1" applyFont="1" applyFill="1" applyBorder="1" applyAlignment="1">
      <alignment horizontal="right" vertical="center"/>
    </xf>
    <xf numFmtId="166" fontId="3" fillId="0" borderId="1" xfId="0" applyNumberFormat="1" applyFont="1" applyFill="1" applyBorder="1" applyAlignment="1">
      <alignment horizontal="right" vertical="center" wrapText="1"/>
    </xf>
    <xf numFmtId="0" fontId="20" fillId="43" borderId="1" xfId="0" applyFont="1" applyFill="1" applyBorder="1" applyAlignment="1">
      <alignment horizontal="left" vertical="center" wrapText="1"/>
    </xf>
    <xf numFmtId="49" fontId="24" fillId="0" borderId="3" xfId="0" applyNumberFormat="1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top" wrapText="1"/>
    </xf>
    <xf numFmtId="0" fontId="24" fillId="0" borderId="54" xfId="0" applyFont="1" applyFill="1" applyBorder="1" applyAlignment="1">
      <alignment horizontal="center" vertical="center" wrapText="1"/>
    </xf>
    <xf numFmtId="0" fontId="24" fillId="0" borderId="54" xfId="0" applyFont="1" applyFill="1" applyBorder="1" applyAlignment="1">
      <alignment horizontal="center" vertical="top" wrapText="1"/>
    </xf>
    <xf numFmtId="0" fontId="24" fillId="40" borderId="54" xfId="0" applyFont="1" applyFill="1" applyBorder="1" applyAlignment="1">
      <alignment horizontal="center" vertical="center" wrapText="1"/>
    </xf>
    <xf numFmtId="0" fontId="24" fillId="0" borderId="0" xfId="0" applyFont="1" applyFill="1"/>
    <xf numFmtId="165" fontId="0" fillId="0" borderId="0" xfId="0" applyNumberFormat="1"/>
    <xf numFmtId="49" fontId="7" fillId="0" borderId="0" xfId="0" applyNumberFormat="1" applyFont="1" applyFill="1" applyBorder="1" applyAlignment="1">
      <alignment vertical="center"/>
    </xf>
    <xf numFmtId="165" fontId="31" fillId="0" borderId="0" xfId="0" applyNumberFormat="1" applyFont="1"/>
    <xf numFmtId="0" fontId="31" fillId="0" borderId="0" xfId="0" applyFont="1"/>
    <xf numFmtId="165" fontId="2" fillId="0" borderId="0" xfId="0" applyNumberFormat="1" applyFont="1" applyAlignment="1">
      <alignment horizontal="right"/>
    </xf>
    <xf numFmtId="0" fontId="7" fillId="25" borderId="1" xfId="0" applyFont="1" applyFill="1" applyBorder="1" applyAlignment="1">
      <alignment vertical="center"/>
    </xf>
    <xf numFmtId="166" fontId="0" fillId="25" borderId="1" xfId="0" applyNumberFormat="1" applyFont="1" applyFill="1" applyBorder="1" applyAlignment="1">
      <alignment horizontal="right" vertical="center"/>
    </xf>
    <xf numFmtId="0" fontId="7" fillId="25" borderId="1" xfId="0" applyFont="1" applyFill="1" applyBorder="1" applyAlignment="1">
      <alignment horizontal="left" vertical="center" wrapText="1"/>
    </xf>
    <xf numFmtId="166" fontId="7" fillId="25" borderId="1" xfId="0" applyNumberFormat="1" applyFont="1" applyFill="1" applyBorder="1" applyAlignment="1">
      <alignment horizontal="right" vertical="center" wrapText="1"/>
    </xf>
    <xf numFmtId="0" fontId="7" fillId="25" borderId="12" xfId="0" applyFont="1" applyFill="1" applyBorder="1" applyAlignment="1">
      <alignment horizontal="left" vertical="center" wrapText="1"/>
    </xf>
    <xf numFmtId="166" fontId="7" fillId="25" borderId="1" xfId="10" applyNumberFormat="1" applyFont="1" applyFill="1" applyBorder="1" applyAlignment="1">
      <alignment horizontal="right" vertical="center"/>
    </xf>
    <xf numFmtId="166" fontId="24" fillId="25" borderId="1" xfId="0" applyNumberFormat="1" applyFont="1" applyFill="1" applyBorder="1" applyAlignment="1">
      <alignment horizontal="right" vertical="center" wrapText="1"/>
    </xf>
    <xf numFmtId="0" fontId="7" fillId="25" borderId="56" xfId="0" applyFont="1" applyFill="1" applyBorder="1" applyAlignment="1">
      <alignment horizontal="left" vertical="center" wrapText="1"/>
    </xf>
    <xf numFmtId="166" fontId="3" fillId="25" borderId="1" xfId="0" applyNumberFormat="1" applyFont="1" applyFill="1" applyBorder="1" applyAlignment="1">
      <alignment horizontal="right" vertical="center" wrapText="1"/>
    </xf>
    <xf numFmtId="0" fontId="7" fillId="25" borderId="1" xfId="0" applyFont="1" applyFill="1" applyBorder="1" applyAlignment="1">
      <alignment horizontal="left" vertical="center" wrapText="1" shrinkToFit="1"/>
    </xf>
    <xf numFmtId="0" fontId="7" fillId="25" borderId="56" xfId="0" applyFont="1" applyFill="1" applyBorder="1" applyAlignment="1">
      <alignment horizontal="left" vertical="center" wrapText="1" shrinkToFit="1"/>
    </xf>
    <xf numFmtId="0" fontId="36" fillId="0" borderId="54" xfId="0" applyFont="1" applyFill="1" applyBorder="1" applyAlignment="1">
      <alignment horizontal="center" vertical="top" wrapText="1"/>
    </xf>
    <xf numFmtId="166" fontId="1" fillId="25" borderId="1" xfId="0" applyNumberFormat="1" applyFont="1" applyFill="1" applyBorder="1" applyAlignment="1">
      <alignment horizontal="right" vertical="center"/>
    </xf>
    <xf numFmtId="49" fontId="32" fillId="0" borderId="1" xfId="0" applyNumberFormat="1" applyFont="1" applyBorder="1" applyAlignment="1">
      <alignment horizontal="left" vertical="center" wrapText="1"/>
    </xf>
    <xf numFmtId="0" fontId="32" fillId="0" borderId="1" xfId="0" applyNumberFormat="1" applyFont="1" applyFill="1" applyBorder="1" applyAlignment="1">
      <alignment horizontal="center" vertical="center" wrapText="1"/>
    </xf>
    <xf numFmtId="0" fontId="32" fillId="0" borderId="53" xfId="0" applyNumberFormat="1" applyFont="1" applyFill="1" applyBorder="1" applyAlignment="1">
      <alignment horizontal="left" vertical="center" wrapText="1"/>
    </xf>
    <xf numFmtId="0" fontId="37" fillId="38" borderId="1" xfId="0" applyNumberFormat="1" applyFont="1" applyFill="1" applyBorder="1" applyAlignment="1">
      <alignment horizontal="left" vertical="center" wrapText="1"/>
    </xf>
    <xf numFmtId="0" fontId="32" fillId="20" borderId="1" xfId="0" applyNumberFormat="1" applyFont="1" applyFill="1" applyBorder="1" applyAlignment="1">
      <alignment horizontal="left" vertical="center"/>
    </xf>
    <xf numFmtId="0" fontId="37" fillId="0" borderId="1" xfId="0" applyNumberFormat="1" applyFont="1" applyFill="1" applyBorder="1" applyAlignment="1">
      <alignment horizontal="left" vertical="center" wrapText="1"/>
    </xf>
    <xf numFmtId="0" fontId="37" fillId="39" borderId="1" xfId="0" applyNumberFormat="1" applyFont="1" applyFill="1" applyBorder="1" applyAlignment="1">
      <alignment horizontal="left" vertical="center" wrapText="1"/>
    </xf>
    <xf numFmtId="0" fontId="38" fillId="0" borderId="1" xfId="11" applyNumberFormat="1" applyFont="1" applyFill="1" applyBorder="1" applyAlignment="1">
      <alignment horizontal="left" vertical="center" wrapText="1"/>
    </xf>
    <xf numFmtId="0" fontId="37" fillId="41" borderId="1" xfId="0" applyNumberFormat="1" applyFont="1" applyFill="1" applyBorder="1" applyAlignment="1">
      <alignment horizontal="left" vertical="center" wrapText="1"/>
    </xf>
    <xf numFmtId="0" fontId="31" fillId="0" borderId="0" xfId="0" applyNumberFormat="1" applyFont="1" applyFill="1" applyAlignment="1">
      <alignment horizontal="left" vertical="center"/>
    </xf>
    <xf numFmtId="0" fontId="37" fillId="7" borderId="1" xfId="0" applyNumberFormat="1" applyFont="1" applyFill="1" applyBorder="1" applyAlignment="1">
      <alignment horizontal="left" vertical="center" wrapText="1"/>
    </xf>
    <xf numFmtId="0" fontId="32" fillId="21" borderId="1" xfId="0" applyNumberFormat="1" applyFont="1" applyFill="1" applyBorder="1" applyAlignment="1">
      <alignment horizontal="left" vertical="center"/>
    </xf>
    <xf numFmtId="0" fontId="33" fillId="39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66" fontId="0" fillId="25" borderId="1" xfId="0" applyNumberFormat="1" applyFont="1" applyFill="1" applyBorder="1" applyAlignment="1">
      <alignment horizontal="right" vertical="center" wrapText="1"/>
    </xf>
    <xf numFmtId="0" fontId="7" fillId="10" borderId="1" xfId="0" applyFont="1" applyFill="1" applyBorder="1" applyAlignment="1">
      <alignment horizontal="center" vertical="center"/>
    </xf>
    <xf numFmtId="0" fontId="7" fillId="44" borderId="1" xfId="0" applyFont="1" applyFill="1" applyBorder="1" applyAlignment="1">
      <alignment vertical="center"/>
    </xf>
    <xf numFmtId="166" fontId="0" fillId="44" borderId="1" xfId="0" applyNumberFormat="1" applyFont="1" applyFill="1" applyBorder="1" applyAlignment="1">
      <alignment horizontal="right" vertical="center"/>
    </xf>
    <xf numFmtId="49" fontId="32" fillId="0" borderId="1" xfId="0" applyNumberFormat="1" applyFont="1" applyFill="1" applyBorder="1" applyAlignment="1">
      <alignment horizontal="left" vertical="center" wrapText="1"/>
    </xf>
    <xf numFmtId="0" fontId="7" fillId="44" borderId="1" xfId="0" applyFont="1" applyFill="1" applyBorder="1" applyAlignment="1">
      <alignment horizontal="left" vertical="center" wrapText="1"/>
    </xf>
    <xf numFmtId="49" fontId="7" fillId="20" borderId="1" xfId="0" applyNumberFormat="1" applyFont="1" applyFill="1" applyBorder="1" applyAlignment="1">
      <alignment vertical="center" wrapText="1"/>
    </xf>
    <xf numFmtId="0" fontId="7" fillId="44" borderId="1" xfId="0" applyFont="1" applyFill="1" applyBorder="1" applyAlignment="1">
      <alignment vertical="center" wrapText="1"/>
    </xf>
    <xf numFmtId="49" fontId="7" fillId="12" borderId="1" xfId="0" applyNumberFormat="1" applyFont="1" applyFill="1" applyBorder="1" applyAlignment="1">
      <alignment horizontal="center" vertical="center" wrapText="1"/>
    </xf>
    <xf numFmtId="49" fontId="7" fillId="45" borderId="1" xfId="0" applyNumberFormat="1" applyFont="1" applyFill="1" applyBorder="1" applyAlignment="1">
      <alignment horizontal="center" vertical="center" wrapText="1"/>
    </xf>
    <xf numFmtId="0" fontId="7" fillId="45" borderId="1" xfId="0" applyFont="1" applyFill="1" applyBorder="1" applyAlignment="1">
      <alignment horizontal="center" vertical="center"/>
    </xf>
    <xf numFmtId="0" fontId="7" fillId="12" borderId="1" xfId="0" applyFont="1" applyFill="1" applyBorder="1" applyAlignment="1">
      <alignment horizontal="center" vertical="center"/>
    </xf>
    <xf numFmtId="49" fontId="31" fillId="0" borderId="1" xfId="0" applyNumberFormat="1" applyFont="1" applyFill="1" applyBorder="1" applyAlignment="1">
      <alignment horizontal="left" vertical="center"/>
    </xf>
    <xf numFmtId="0" fontId="20" fillId="44" borderId="1" xfId="0" applyFont="1" applyFill="1" applyBorder="1" applyAlignment="1">
      <alignment horizontal="left" vertical="center" wrapText="1"/>
    </xf>
    <xf numFmtId="0" fontId="32" fillId="20" borderId="1" xfId="11" applyNumberFormat="1" applyFont="1" applyFill="1" applyBorder="1" applyAlignment="1">
      <alignment horizontal="left" vertical="center" wrapText="1"/>
    </xf>
    <xf numFmtId="1" fontId="0" fillId="20" borderId="1" xfId="3" applyNumberFormat="1" applyFont="1" applyFill="1" applyBorder="1" applyAlignment="1">
      <alignment horizontal="center" vertical="center" wrapText="1"/>
    </xf>
    <xf numFmtId="166" fontId="7" fillId="20" borderId="1" xfId="0" applyNumberFormat="1" applyFont="1" applyFill="1" applyBorder="1" applyAlignment="1">
      <alignment horizontal="right" vertical="center" wrapText="1"/>
    </xf>
    <xf numFmtId="165" fontId="28" fillId="20" borderId="1" xfId="0" applyNumberFormat="1" applyFont="1" applyFill="1" applyBorder="1" applyAlignment="1">
      <alignment horizontal="center" vertical="center" wrapText="1"/>
    </xf>
    <xf numFmtId="165" fontId="30" fillId="20" borderId="1" xfId="0" applyNumberFormat="1" applyFont="1" applyFill="1" applyBorder="1" applyAlignment="1">
      <alignment horizontal="center" vertical="center" wrapText="1"/>
    </xf>
    <xf numFmtId="49" fontId="32" fillId="21" borderId="1" xfId="0" applyNumberFormat="1" applyFont="1" applyFill="1" applyBorder="1" applyAlignment="1">
      <alignment horizontal="left" vertical="center"/>
    </xf>
    <xf numFmtId="49" fontId="32" fillId="46" borderId="1" xfId="0" applyNumberFormat="1" applyFont="1" applyFill="1" applyBorder="1" applyAlignment="1">
      <alignment horizontal="left" vertical="center"/>
    </xf>
    <xf numFmtId="0" fontId="31" fillId="46" borderId="1" xfId="0" applyNumberFormat="1" applyFont="1" applyFill="1" applyBorder="1" applyAlignment="1">
      <alignment horizontal="left" vertical="center"/>
    </xf>
    <xf numFmtId="0" fontId="34" fillId="25" borderId="1" xfId="0" applyFont="1" applyFill="1" applyBorder="1" applyAlignment="1">
      <alignment horizontal="center" vertical="center" wrapText="1"/>
    </xf>
    <xf numFmtId="0" fontId="34" fillId="44" borderId="1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Alignment="1"/>
    <xf numFmtId="0" fontId="2" fillId="0" borderId="1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37" borderId="1" xfId="0" applyFill="1" applyBorder="1" applyAlignment="1">
      <alignment horizontal="center"/>
    </xf>
    <xf numFmtId="0" fontId="0" fillId="35" borderId="1" xfId="0" applyFill="1" applyBorder="1" applyAlignment="1">
      <alignment horizontal="center"/>
    </xf>
    <xf numFmtId="0" fontId="0" fillId="36" borderId="1" xfId="0" applyFill="1" applyBorder="1" applyAlignment="1">
      <alignment horizontal="center"/>
    </xf>
    <xf numFmtId="0" fontId="2" fillId="0" borderId="12" xfId="0" applyFont="1" applyFill="1" applyBorder="1" applyAlignment="1">
      <alignment vertical="center" wrapText="1"/>
    </xf>
    <xf numFmtId="4" fontId="0" fillId="6" borderId="12" xfId="0" applyNumberFormat="1" applyFill="1" applyBorder="1" applyAlignment="1">
      <alignment horizontal="center" vertical="center" wrapText="1"/>
    </xf>
    <xf numFmtId="0" fontId="0" fillId="6" borderId="47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31" borderId="12" xfId="0" applyFill="1" applyBorder="1" applyAlignment="1">
      <alignment horizontal="center" vertical="center" wrapText="1"/>
    </xf>
    <xf numFmtId="0" fontId="0" fillId="31" borderId="47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29" borderId="12" xfId="0" applyFill="1" applyBorder="1" applyAlignment="1">
      <alignment horizontal="center" vertical="center" wrapText="1"/>
    </xf>
    <xf numFmtId="0" fontId="0" fillId="29" borderId="47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4" borderId="12" xfId="0" applyFill="1" applyBorder="1" applyAlignment="1">
      <alignment horizontal="center"/>
    </xf>
    <xf numFmtId="0" fontId="0" fillId="4" borderId="47" xfId="0" applyFill="1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2" xfId="0" applyBorder="1" applyAlignment="1">
      <alignment horizontal="center"/>
    </xf>
    <xf numFmtId="4" fontId="0" fillId="0" borderId="47" xfId="0" applyNumberFormat="1" applyFill="1" applyBorder="1" applyAlignment="1">
      <alignment horizontal="center" vertical="center" wrapText="1"/>
    </xf>
    <xf numFmtId="0" fontId="0" fillId="0" borderId="47" xfId="0" applyBorder="1" applyAlignment="1"/>
    <xf numFmtId="4" fontId="0" fillId="6" borderId="47" xfId="0" applyNumberFormat="1" applyFill="1" applyBorder="1" applyAlignment="1">
      <alignment horizontal="center" vertical="center" wrapText="1"/>
    </xf>
    <xf numFmtId="4" fontId="0" fillId="0" borderId="12" xfId="0" applyNumberFormat="1" applyFill="1" applyBorder="1" applyAlignment="1">
      <alignment horizontal="center" vertical="center" wrapText="1"/>
    </xf>
    <xf numFmtId="0" fontId="0" fillId="27" borderId="1" xfId="0" applyFill="1" applyBorder="1" applyAlignment="1">
      <alignment horizontal="center" vertical="center" wrapText="1"/>
    </xf>
    <xf numFmtId="0" fontId="0" fillId="27" borderId="1" xfId="0" applyFill="1" applyBorder="1" applyAlignment="1"/>
    <xf numFmtId="0" fontId="0" fillId="31" borderId="1" xfId="0" applyFill="1" applyBorder="1" applyAlignment="1">
      <alignment horizontal="center"/>
    </xf>
    <xf numFmtId="0" fontId="0" fillId="29" borderId="1" xfId="0" applyFill="1" applyBorder="1" applyAlignment="1">
      <alignment horizontal="center"/>
    </xf>
    <xf numFmtId="0" fontId="0" fillId="31" borderId="2" xfId="0" applyFill="1" applyBorder="1" applyAlignment="1">
      <alignment horizontal="center" vertical="center" wrapText="1"/>
    </xf>
    <xf numFmtId="0" fontId="0" fillId="10" borderId="12" xfId="0" applyFill="1" applyBorder="1" applyAlignment="1">
      <alignment horizontal="center" vertical="center" wrapText="1"/>
    </xf>
    <xf numFmtId="0" fontId="0" fillId="10" borderId="47" xfId="0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 wrapText="1"/>
    </xf>
    <xf numFmtId="0" fontId="0" fillId="30" borderId="12" xfId="0" applyFill="1" applyBorder="1" applyAlignment="1">
      <alignment horizontal="center" vertical="center"/>
    </xf>
    <xf numFmtId="0" fontId="0" fillId="30" borderId="47" xfId="0" applyFill="1" applyBorder="1" applyAlignment="1"/>
    <xf numFmtId="0" fontId="0" fillId="30" borderId="2" xfId="0" applyFill="1" applyBorder="1" applyAlignment="1"/>
    <xf numFmtId="0" fontId="0" fillId="26" borderId="12" xfId="0" applyFill="1" applyBorder="1" applyAlignment="1">
      <alignment horizontal="center" vertical="center" wrapText="1"/>
    </xf>
    <xf numFmtId="0" fontId="0" fillId="26" borderId="47" xfId="0" applyFill="1" applyBorder="1" applyAlignment="1">
      <alignment horizontal="center" vertical="center" wrapText="1"/>
    </xf>
    <xf numFmtId="4" fontId="0" fillId="6" borderId="48" xfId="0" applyNumberFormat="1" applyFill="1" applyBorder="1" applyAlignment="1">
      <alignment horizontal="center" vertical="center" wrapText="1"/>
    </xf>
    <xf numFmtId="0" fontId="0" fillId="6" borderId="53" xfId="0" applyFill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3" borderId="12" xfId="0" applyFill="1" applyBorder="1" applyAlignment="1">
      <alignment horizontal="center"/>
    </xf>
    <xf numFmtId="0" fontId="0" fillId="3" borderId="47" xfId="0" applyFill="1" applyBorder="1" applyAlignment="1">
      <alignment horizontal="center"/>
    </xf>
    <xf numFmtId="4" fontId="0" fillId="6" borderId="53" xfId="0" applyNumberFormat="1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/>
    </xf>
    <xf numFmtId="0" fontId="0" fillId="5" borderId="47" xfId="0" applyFill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0" fillId="10" borderId="47" xfId="0" applyFill="1" applyBorder="1" applyAlignment="1">
      <alignment horizontal="center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6" borderId="16" xfId="0" applyFill="1" applyBorder="1" applyAlignment="1">
      <alignment horizontal="center" vertical="center" wrapText="1"/>
    </xf>
    <xf numFmtId="0" fontId="0" fillId="6" borderId="17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26" borderId="17" xfId="0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5" borderId="16" xfId="0" applyFill="1" applyBorder="1" applyAlignment="1">
      <alignment horizontal="center"/>
    </xf>
    <xf numFmtId="0" fontId="0" fillId="5" borderId="17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34" fillId="47" borderId="1" xfId="0" applyFont="1" applyFill="1" applyBorder="1" applyAlignment="1">
      <alignment horizontal="center" vertical="center" wrapText="1"/>
    </xf>
  </cellXfs>
  <cellStyles count="12">
    <cellStyle name="Обычный" xfId="0" builtinId="0"/>
    <cellStyle name="Обычный 2" xfId="2"/>
    <cellStyle name="Обычный 3" xfId="3"/>
    <cellStyle name="Обычный 3 2" xfId="4"/>
    <cellStyle name="Обычный 4" xfId="5"/>
    <cellStyle name="Обычный_SIMPLE_1_massive2" xfId="8"/>
    <cellStyle name="Обычный_ЖКУ_проект3" xfId="7"/>
    <cellStyle name="Обычный_форма 1 водопровод для орг_CALC.KV.4.78(v1.0)" xfId="9"/>
    <cellStyle name="УровеньСтолб_1" xfId="1" builtinId="2" iLevel="0"/>
    <cellStyle name="Финансовый" xfId="10" builtinId="3"/>
    <cellStyle name="Финансовый 2" xfId="6"/>
    <cellStyle name="Хороший" xfId="11" builtinId="26"/>
  </cellStyles>
  <dxfs count="119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FF99"/>
      <color rgb="FF66FFFF"/>
      <color rgb="FFFFFFCC"/>
      <color rgb="FFFFCCCC"/>
      <color rgb="FF9999FF"/>
      <color rgb="FF99CC00"/>
      <color rgb="FFFF9999"/>
      <color rgb="FFFFCC66"/>
      <color rgb="FF99FFCC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urmach_mv/Desktop/46EP.ST(v2.3)-%202017%20&#1075;&#1086;&#107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mod_01"/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">
          <cell r="D2" t="str">
            <v>январь</v>
          </cell>
          <cell r="E2">
            <v>2016</v>
          </cell>
          <cell r="F2" t="str">
            <v>Да</v>
          </cell>
        </row>
        <row r="3">
          <cell r="D3" t="str">
            <v>февраль</v>
          </cell>
          <cell r="E3">
            <v>2017</v>
          </cell>
          <cell r="F3" t="str">
            <v>Нет</v>
          </cell>
        </row>
        <row r="4">
          <cell r="D4" t="str">
            <v>март</v>
          </cell>
          <cell r="E4">
            <v>2018</v>
          </cell>
        </row>
        <row r="5">
          <cell r="D5" t="str">
            <v>апрель</v>
          </cell>
          <cell r="E5">
            <v>2019</v>
          </cell>
        </row>
        <row r="6">
          <cell r="D6" t="str">
            <v>май</v>
          </cell>
          <cell r="E6">
            <v>2020</v>
          </cell>
        </row>
        <row r="7">
          <cell r="D7" t="str">
            <v>июнь</v>
          </cell>
        </row>
        <row r="8">
          <cell r="D8" t="str">
            <v>июль</v>
          </cell>
        </row>
        <row r="9">
          <cell r="D9" t="str">
            <v>август</v>
          </cell>
        </row>
        <row r="10">
          <cell r="D10" t="str">
            <v>сентябрь</v>
          </cell>
        </row>
        <row r="11">
          <cell r="D11" t="str">
            <v>октябрь</v>
          </cell>
        </row>
        <row r="12">
          <cell r="D12" t="str">
            <v>ноябрь</v>
          </cell>
        </row>
        <row r="13">
          <cell r="D13" t="str">
            <v>декабрь</v>
          </cell>
        </row>
        <row r="14">
          <cell r="D14" t="str">
            <v>год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2">
          <cell r="E2" t="str">
            <v>Анучинский муниципальный район</v>
          </cell>
        </row>
        <row r="3">
          <cell r="E3" t="str">
            <v>Арсеньевский городской округ</v>
          </cell>
        </row>
        <row r="4">
          <cell r="E4" t="str">
            <v>Артемовский городской округ</v>
          </cell>
        </row>
        <row r="5">
          <cell r="E5" t="str">
            <v>Владивостокский городской округ</v>
          </cell>
        </row>
        <row r="6">
          <cell r="E6" t="str">
            <v>Городской округ Спасск-Дальний</v>
          </cell>
        </row>
        <row r="7">
          <cell r="E7" t="str">
            <v>Дальнегорский городской округ</v>
          </cell>
        </row>
        <row r="8">
          <cell r="E8" t="str">
            <v>Дальнереченский городской округ</v>
          </cell>
        </row>
        <row r="9">
          <cell r="B9" t="str">
            <v>Владивостокский городской округ</v>
          </cell>
          <cell r="E9" t="str">
            <v>Дальнереченский муниципальный район</v>
          </cell>
        </row>
        <row r="10">
          <cell r="E10" t="str">
            <v>Кавалеровский муниципальный район</v>
          </cell>
        </row>
        <row r="11">
          <cell r="E11" t="str">
            <v>Кировский муниципальный район</v>
          </cell>
        </row>
        <row r="12">
          <cell r="E12" t="str">
            <v>Красноармейский муниципальный район</v>
          </cell>
        </row>
        <row r="13">
          <cell r="E13" t="str">
            <v>Лазовский муниципальный район</v>
          </cell>
        </row>
        <row r="14">
          <cell r="E14" t="str">
            <v>Лесозаводский городской округ</v>
          </cell>
        </row>
        <row r="15">
          <cell r="E15" t="str">
            <v>Михайловский муниципальный район</v>
          </cell>
        </row>
        <row r="16">
          <cell r="E16" t="str">
            <v>Надеждинский муниципальный район</v>
          </cell>
        </row>
        <row r="17">
          <cell r="E17" t="str">
            <v>Находкинский городской округ</v>
          </cell>
        </row>
        <row r="18">
          <cell r="E18" t="str">
            <v>Октябрьский муниципальный район</v>
          </cell>
        </row>
        <row r="19">
          <cell r="E19" t="str">
            <v>Ольгинский муниципальный район</v>
          </cell>
        </row>
        <row r="20">
          <cell r="E20" t="str">
            <v>Партизанский городской округ</v>
          </cell>
        </row>
        <row r="21">
          <cell r="E21" t="str">
            <v>Партизанский муниципальный район</v>
          </cell>
        </row>
        <row r="22">
          <cell r="E22" t="str">
            <v>Пограничный муниципальный район</v>
          </cell>
        </row>
        <row r="23">
          <cell r="E23" t="str">
            <v>Пожарский муниципальный район</v>
          </cell>
        </row>
        <row r="24">
          <cell r="E24" t="str">
            <v>Спасский муниципальный район</v>
          </cell>
        </row>
        <row r="25">
          <cell r="E25" t="str">
            <v>Тернейский муниципальный район</v>
          </cell>
        </row>
        <row r="26">
          <cell r="E26" t="str">
            <v>Уссурийский городской округ</v>
          </cell>
        </row>
        <row r="27">
          <cell r="E27" t="str">
            <v>Ханкайский муниципальный район</v>
          </cell>
        </row>
        <row r="28">
          <cell r="E28" t="str">
            <v>Хасанский муниципальный район</v>
          </cell>
        </row>
        <row r="29">
          <cell r="E29" t="str">
            <v>Хорольский муниципальный район</v>
          </cell>
        </row>
        <row r="30">
          <cell r="E30" t="str">
            <v>Черниговский муниципальный район</v>
          </cell>
        </row>
        <row r="31">
          <cell r="E31" t="str">
            <v>Чугуевский муниципальный район</v>
          </cell>
        </row>
        <row r="32">
          <cell r="E32" t="str">
            <v>Шкотовский муниципальный район</v>
          </cell>
        </row>
        <row r="33">
          <cell r="E33" t="str">
            <v>Яковлевский муниципальный район</v>
          </cell>
        </row>
        <row r="34">
          <cell r="E34" t="str">
            <v>городской округ Большой Камень</v>
          </cell>
        </row>
        <row r="35">
          <cell r="E35" t="str">
            <v>городской округ ЗАТО Фокино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2.vml"/><Relationship Id="rId3" Type="http://schemas.openxmlformats.org/officeDocument/2006/relationships/printerSettings" Target="../printerSettings/printerSettings6.bin"/><Relationship Id="rId7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6" Type="http://schemas.openxmlformats.org/officeDocument/2006/relationships/printerSettings" Target="../printerSettings/printerSettings9.bin"/><Relationship Id="rId5" Type="http://schemas.openxmlformats.org/officeDocument/2006/relationships/printerSettings" Target="../printerSettings/printerSettings8.bin"/><Relationship Id="rId4" Type="http://schemas.openxmlformats.org/officeDocument/2006/relationships/printerSettings" Target="../printerSettings/printerSettings7.bin"/><Relationship Id="rId9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13.bin"/><Relationship Id="rId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6" Type="http://schemas.openxmlformats.org/officeDocument/2006/relationships/printerSettings" Target="../printerSettings/printerSettings16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Relationship Id="rId9" Type="http://schemas.openxmlformats.org/officeDocument/2006/relationships/printerSettings" Target="../printerSettings/printerSettings19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F11" sqref="F11"/>
    </sheetView>
  </sheetViews>
  <sheetFormatPr defaultRowHeight="14.4" x14ac:dyDescent="0.3"/>
  <cols>
    <col min="1" max="1" width="5.109375" customWidth="1"/>
    <col min="2" max="2" width="39.88671875" customWidth="1"/>
    <col min="3" max="3" width="52.5546875" customWidth="1"/>
  </cols>
  <sheetData>
    <row r="1" spans="1:3" x14ac:dyDescent="0.3">
      <c r="A1" s="46"/>
      <c r="B1" s="46"/>
    </row>
    <row r="2" spans="1:3" x14ac:dyDescent="0.3">
      <c r="A2" s="327"/>
      <c r="B2" s="327"/>
      <c r="C2" s="319"/>
    </row>
    <row r="3" spans="1:3" x14ac:dyDescent="0.3">
      <c r="A3" s="328"/>
      <c r="B3" s="328"/>
      <c r="C3" s="320"/>
    </row>
    <row r="4" spans="1:3" x14ac:dyDescent="0.3">
      <c r="A4" s="329"/>
      <c r="B4" s="330"/>
      <c r="C4" s="321" t="s">
        <v>144</v>
      </c>
    </row>
    <row r="5" spans="1:3" x14ac:dyDescent="0.3">
      <c r="A5" s="329"/>
      <c r="B5" s="331" t="s">
        <v>162</v>
      </c>
      <c r="C5" s="493">
        <v>2024</v>
      </c>
    </row>
    <row r="6" spans="1:3" x14ac:dyDescent="0.3">
      <c r="A6" s="329"/>
      <c r="B6" s="332"/>
      <c r="C6" s="322"/>
    </row>
    <row r="7" spans="1:3" ht="28.8" x14ac:dyDescent="0.3">
      <c r="A7" s="329"/>
      <c r="B7" s="331" t="s">
        <v>145</v>
      </c>
      <c r="C7" s="495" t="s">
        <v>4395</v>
      </c>
    </row>
    <row r="8" spans="1:3" x14ac:dyDescent="0.3">
      <c r="A8" s="329"/>
      <c r="B8" s="331" t="s">
        <v>146</v>
      </c>
      <c r="C8" s="494" t="s">
        <v>239</v>
      </c>
    </row>
    <row r="9" spans="1:3" x14ac:dyDescent="0.3">
      <c r="A9" s="329"/>
      <c r="B9" s="331" t="s">
        <v>147</v>
      </c>
      <c r="C9" s="494" t="s">
        <v>238</v>
      </c>
    </row>
    <row r="10" spans="1:3" x14ac:dyDescent="0.3">
      <c r="A10" s="329"/>
      <c r="B10" s="329"/>
      <c r="C10" s="323"/>
    </row>
    <row r="11" spans="1:3" x14ac:dyDescent="0.3">
      <c r="A11" s="329"/>
      <c r="B11" s="333"/>
      <c r="C11" s="324"/>
    </row>
    <row r="12" spans="1:3" x14ac:dyDescent="0.3">
      <c r="A12" s="329"/>
      <c r="B12" s="331"/>
      <c r="C12" s="325" t="s">
        <v>148</v>
      </c>
    </row>
    <row r="13" spans="1:3" x14ac:dyDescent="0.3">
      <c r="A13" s="328"/>
      <c r="B13" s="331" t="s">
        <v>149</v>
      </c>
      <c r="C13" s="338" t="s">
        <v>240</v>
      </c>
    </row>
    <row r="14" spans="1:3" x14ac:dyDescent="0.3">
      <c r="A14" s="328"/>
      <c r="B14" s="331" t="s">
        <v>150</v>
      </c>
      <c r="C14" s="338" t="s">
        <v>240</v>
      </c>
    </row>
    <row r="15" spans="1:3" x14ac:dyDescent="0.3">
      <c r="A15" s="329"/>
      <c r="B15" s="331"/>
      <c r="C15" s="326"/>
    </row>
    <row r="16" spans="1:3" x14ac:dyDescent="0.3">
      <c r="A16" s="328"/>
      <c r="B16" s="331"/>
      <c r="C16" s="325" t="s">
        <v>151</v>
      </c>
    </row>
    <row r="17" spans="1:3" x14ac:dyDescent="0.3">
      <c r="A17" s="328"/>
      <c r="B17" s="334" t="s">
        <v>152</v>
      </c>
      <c r="C17" s="338" t="s">
        <v>241</v>
      </c>
    </row>
    <row r="18" spans="1:3" x14ac:dyDescent="0.3">
      <c r="A18" s="328"/>
      <c r="B18" s="334" t="s">
        <v>153</v>
      </c>
      <c r="C18" s="338" t="s">
        <v>246</v>
      </c>
    </row>
    <row r="19" spans="1:3" x14ac:dyDescent="0.3">
      <c r="A19" s="329"/>
      <c r="B19" s="331"/>
      <c r="C19" s="326"/>
    </row>
    <row r="20" spans="1:3" x14ac:dyDescent="0.3">
      <c r="A20" s="328"/>
      <c r="B20" s="331"/>
      <c r="C20" s="325" t="s">
        <v>154</v>
      </c>
    </row>
    <row r="21" spans="1:3" x14ac:dyDescent="0.3">
      <c r="A21" s="332"/>
      <c r="B21" s="334" t="s">
        <v>152</v>
      </c>
      <c r="C21" s="338" t="s">
        <v>242</v>
      </c>
    </row>
    <row r="22" spans="1:3" x14ac:dyDescent="0.3">
      <c r="A22" s="332"/>
      <c r="B22" s="334" t="s">
        <v>155</v>
      </c>
      <c r="C22" s="338" t="s">
        <v>261</v>
      </c>
    </row>
    <row r="23" spans="1:3" x14ac:dyDescent="0.3">
      <c r="A23" s="332"/>
      <c r="B23" s="334" t="s">
        <v>153</v>
      </c>
      <c r="C23" s="338" t="s">
        <v>244</v>
      </c>
    </row>
    <row r="24" spans="1:3" x14ac:dyDescent="0.3">
      <c r="A24" s="332"/>
      <c r="B24" s="334" t="s">
        <v>156</v>
      </c>
      <c r="C24" s="338" t="s">
        <v>245</v>
      </c>
    </row>
    <row r="25" spans="1:3" x14ac:dyDescent="0.3">
      <c r="A25" s="46"/>
      <c r="B25" s="46"/>
    </row>
    <row r="26" spans="1:3" x14ac:dyDescent="0.3">
      <c r="A26" s="46"/>
      <c r="B26" s="46"/>
    </row>
  </sheetData>
  <dataValidations count="5">
    <dataValidation allowBlank="1" showInputMessage="1" promptTitle="Ввод" sqref="C7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C5">
      <formula1>YEAR</formula1>
    </dataValidation>
    <dataValidation operator="equal" allowBlank="1" showInputMessage="1" showErrorMessage="1" sqref="C10"/>
    <dataValidation type="textLength" operator="equal" allowBlank="1" showInputMessage="1" showErrorMessage="1" sqref="C11">
      <formula1>9</formula1>
    </dataValidation>
    <dataValidation type="textLength" operator="lessThanOrEqual" allowBlank="1" showInputMessage="1" showErrorMessage="1" errorTitle="Ошибка" error="Допускается ввод не более 900 символов!" sqref="C21:C24 C13:C14 C17:C18">
      <formula1>900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BJ15949"/>
  <sheetViews>
    <sheetView topLeftCell="AQ1" zoomScale="70" zoomScaleNormal="70" zoomScaleSheetLayoutView="75" workbookViewId="0">
      <pane ySplit="8" topLeftCell="A9" activePane="bottomLeft" state="frozen"/>
      <selection pane="bottomLeft" activeCell="B2" sqref="B2:BI4"/>
    </sheetView>
  </sheetViews>
  <sheetFormatPr defaultColWidth="9.109375" defaultRowHeight="15.6" outlineLevelCol="3" x14ac:dyDescent="0.3"/>
  <cols>
    <col min="1" max="1" width="10.6640625" style="317" customWidth="1"/>
    <col min="2" max="2" width="35.6640625" style="312" customWidth="1"/>
    <col min="3" max="3" width="10.21875" style="455" customWidth="1"/>
    <col min="4" max="4" width="6.44140625" style="370" customWidth="1"/>
    <col min="5" max="5" width="8.77734375" style="403" hidden="1" customWidth="1" outlineLevel="3"/>
    <col min="6" max="6" width="9.77734375" style="405" hidden="1" customWidth="1" outlineLevel="3"/>
    <col min="7" max="7" width="8.77734375" style="405" hidden="1" customWidth="1" outlineLevel="3"/>
    <col min="8" max="8" width="14.77734375" style="403" hidden="1" customWidth="1" outlineLevel="3"/>
    <col min="9" max="9" width="11.88671875" style="403" hidden="1" customWidth="1" outlineLevel="3"/>
    <col min="10" max="10" width="13.21875" style="403" hidden="1" customWidth="1" outlineLevel="3"/>
    <col min="11" max="11" width="12.88671875" style="403" hidden="1" customWidth="1" outlineLevel="3"/>
    <col min="12" max="12" width="13.77734375" style="403" hidden="1" customWidth="1" outlineLevel="3"/>
    <col min="13" max="14" width="10.77734375" style="403" hidden="1" customWidth="1" outlineLevel="3"/>
    <col min="15" max="15" width="12.21875" style="403" hidden="1" customWidth="1" outlineLevel="3"/>
    <col min="16" max="17" width="12.77734375" style="403" hidden="1" customWidth="1" outlineLevel="3"/>
    <col min="18" max="20" width="9.77734375" style="403" hidden="1" customWidth="1" outlineLevel="3"/>
    <col min="21" max="21" width="9.77734375" style="405" hidden="1" customWidth="1" outlineLevel="3"/>
    <col min="22" max="22" width="10.77734375" style="404" hidden="1" customWidth="1" outlineLevel="3"/>
    <col min="23" max="23" width="9.6640625" style="404" hidden="1" customWidth="1" outlineLevel="3"/>
    <col min="24" max="24" width="8.77734375" style="403" hidden="1" customWidth="1" outlineLevel="2"/>
    <col min="25" max="25" width="9.77734375" style="405" hidden="1" customWidth="1" outlineLevel="2"/>
    <col min="26" max="26" width="8.77734375" style="405" hidden="1" customWidth="1" outlineLevel="2"/>
    <col min="27" max="27" width="14.77734375" style="403" hidden="1" customWidth="1" outlineLevel="2"/>
    <col min="28" max="28" width="11.88671875" style="403" hidden="1" customWidth="1" outlineLevel="2"/>
    <col min="29" max="29" width="13.21875" style="403" hidden="1" customWidth="1" outlineLevel="2"/>
    <col min="30" max="30" width="12.88671875" style="403" hidden="1" customWidth="1" outlineLevel="2"/>
    <col min="31" max="31" width="13.77734375" style="403" hidden="1" customWidth="1" outlineLevel="2"/>
    <col min="32" max="33" width="10.77734375" style="403" hidden="1" customWidth="1" outlineLevel="2"/>
    <col min="34" max="34" width="12.21875" style="403" hidden="1" customWidth="1" outlineLevel="2"/>
    <col min="35" max="36" width="12.77734375" style="403" hidden="1" customWidth="1" outlineLevel="2"/>
    <col min="37" max="39" width="9.77734375" style="403" hidden="1" customWidth="1" outlineLevel="2"/>
    <col min="40" max="40" width="9.77734375" style="405" hidden="1" customWidth="1" outlineLevel="2"/>
    <col min="41" max="41" width="10.77734375" style="404" hidden="1" customWidth="1" outlineLevel="2"/>
    <col min="42" max="42" width="9.77734375" style="404" hidden="1" customWidth="1" outlineLevel="2"/>
    <col min="43" max="43" width="8.77734375" style="403" customWidth="1" outlineLevel="1" collapsed="1"/>
    <col min="44" max="44" width="9.77734375" style="405" customWidth="1" outlineLevel="1"/>
    <col min="45" max="45" width="8.77734375" style="405" customWidth="1" outlineLevel="1"/>
    <col min="46" max="46" width="14.77734375" style="403" customWidth="1" outlineLevel="1"/>
    <col min="47" max="47" width="11.88671875" style="403" customWidth="1" outlineLevel="1"/>
    <col min="48" max="48" width="13.21875" style="403" customWidth="1" outlineLevel="1"/>
    <col min="49" max="49" width="12.88671875" style="403" customWidth="1" outlineLevel="1"/>
    <col min="50" max="50" width="13.77734375" style="403" customWidth="1" outlineLevel="1"/>
    <col min="51" max="52" width="10.77734375" style="403" customWidth="1" outlineLevel="1"/>
    <col min="53" max="53" width="12.21875" style="403" customWidth="1" outlineLevel="1"/>
    <col min="54" max="55" width="12.77734375" style="403" customWidth="1" outlineLevel="1"/>
    <col min="56" max="58" width="9.77734375" style="403" customWidth="1" outlineLevel="1"/>
    <col min="59" max="59" width="9.77734375" style="405" customWidth="1" outlineLevel="1"/>
    <col min="60" max="60" width="10.77734375" style="404" customWidth="1" outlineLevel="1"/>
    <col min="61" max="61" width="9.77734375" style="404" customWidth="1" outlineLevel="1"/>
    <col min="62" max="16384" width="9.109375" style="6"/>
  </cols>
  <sheetData>
    <row r="1" spans="1:61" s="46" customFormat="1" ht="12.45" customHeight="1" x14ac:dyDescent="0.3">
      <c r="A1" s="317"/>
      <c r="B1" s="312"/>
      <c r="C1" s="455"/>
      <c r="D1" s="370"/>
      <c r="E1" s="527"/>
      <c r="F1" s="527"/>
      <c r="G1" s="527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527"/>
      <c r="W1" s="2"/>
      <c r="X1" s="527"/>
      <c r="Y1" s="527"/>
      <c r="Z1" s="527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527"/>
      <c r="AP1" s="2"/>
      <c r="AQ1" s="527"/>
      <c r="AR1" s="527"/>
      <c r="AS1" s="527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527"/>
      <c r="BI1" s="2"/>
    </row>
    <row r="2" spans="1:61" s="46" customFormat="1" ht="12" customHeight="1" x14ac:dyDescent="0.3">
      <c r="A2" s="317"/>
      <c r="B2" s="621" t="s">
        <v>174</v>
      </c>
      <c r="C2" s="622"/>
      <c r="D2" s="622"/>
      <c r="E2" s="623"/>
      <c r="F2" s="623"/>
      <c r="G2" s="623"/>
      <c r="H2" s="623"/>
      <c r="I2" s="623"/>
      <c r="J2" s="623"/>
      <c r="K2" s="623"/>
      <c r="L2" s="623"/>
      <c r="M2" s="623"/>
      <c r="N2" s="623"/>
      <c r="O2" s="623"/>
      <c r="P2" s="623"/>
      <c r="Q2" s="623"/>
      <c r="R2" s="623"/>
      <c r="S2" s="623"/>
      <c r="T2" s="623"/>
      <c r="U2" s="623"/>
      <c r="V2" s="623"/>
      <c r="W2" s="623"/>
      <c r="X2" s="623"/>
      <c r="Y2" s="623"/>
      <c r="Z2" s="623"/>
      <c r="AA2" s="623"/>
      <c r="AB2" s="623"/>
      <c r="AC2" s="623"/>
      <c r="AD2" s="623"/>
      <c r="AE2" s="623"/>
      <c r="AF2" s="623"/>
      <c r="AG2" s="623"/>
      <c r="AH2" s="623"/>
      <c r="AI2" s="623"/>
      <c r="AJ2" s="623"/>
      <c r="AK2" s="623"/>
      <c r="AL2" s="623"/>
      <c r="AM2" s="623"/>
      <c r="AN2" s="623"/>
      <c r="AO2" s="623"/>
      <c r="AP2" s="623"/>
      <c r="AQ2" s="623"/>
      <c r="AR2" s="623"/>
      <c r="AS2" s="623"/>
      <c r="AT2" s="623"/>
      <c r="AU2" s="623"/>
      <c r="AV2" s="623"/>
      <c r="AW2" s="623"/>
      <c r="AX2" s="623"/>
      <c r="AY2" s="623"/>
      <c r="AZ2" s="623"/>
      <c r="BA2" s="623"/>
      <c r="BB2" s="623"/>
      <c r="BC2" s="623"/>
      <c r="BD2" s="623"/>
      <c r="BE2" s="623"/>
      <c r="BF2" s="623"/>
      <c r="BG2" s="623"/>
      <c r="BH2" s="623"/>
      <c r="BI2" s="623"/>
    </row>
    <row r="3" spans="1:61" s="46" customFormat="1" ht="12" customHeight="1" x14ac:dyDescent="0.3">
      <c r="A3" s="317"/>
      <c r="B3" s="622"/>
      <c r="C3" s="622"/>
      <c r="D3" s="622"/>
      <c r="E3" s="623"/>
      <c r="F3" s="623"/>
      <c r="G3" s="623"/>
      <c r="H3" s="623"/>
      <c r="I3" s="623"/>
      <c r="J3" s="623"/>
      <c r="K3" s="623"/>
      <c r="L3" s="623"/>
      <c r="M3" s="623"/>
      <c r="N3" s="623"/>
      <c r="O3" s="623"/>
      <c r="P3" s="623"/>
      <c r="Q3" s="623"/>
      <c r="R3" s="623"/>
      <c r="S3" s="623"/>
      <c r="T3" s="623"/>
      <c r="U3" s="623"/>
      <c r="V3" s="623"/>
      <c r="W3" s="623"/>
      <c r="X3" s="623"/>
      <c r="Y3" s="623"/>
      <c r="Z3" s="623"/>
      <c r="AA3" s="623"/>
      <c r="AB3" s="623"/>
      <c r="AC3" s="623"/>
      <c r="AD3" s="623"/>
      <c r="AE3" s="623"/>
      <c r="AF3" s="623"/>
      <c r="AG3" s="623"/>
      <c r="AH3" s="623"/>
      <c r="AI3" s="623"/>
      <c r="AJ3" s="623"/>
      <c r="AK3" s="623"/>
      <c r="AL3" s="623"/>
      <c r="AM3" s="623"/>
      <c r="AN3" s="623"/>
      <c r="AO3" s="623"/>
      <c r="AP3" s="623"/>
      <c r="AQ3" s="623"/>
      <c r="AR3" s="623"/>
      <c r="AS3" s="623"/>
      <c r="AT3" s="623"/>
      <c r="AU3" s="623"/>
      <c r="AV3" s="623"/>
      <c r="AW3" s="623"/>
      <c r="AX3" s="623"/>
      <c r="AY3" s="623"/>
      <c r="AZ3" s="623"/>
      <c r="BA3" s="623"/>
      <c r="BB3" s="623"/>
      <c r="BC3" s="623"/>
      <c r="BD3" s="623"/>
      <c r="BE3" s="623"/>
      <c r="BF3" s="623"/>
      <c r="BG3" s="623"/>
      <c r="BH3" s="623"/>
      <c r="BI3" s="623"/>
    </row>
    <row r="4" spans="1:61" s="46" customFormat="1" ht="12" customHeight="1" x14ac:dyDescent="0.3">
      <c r="A4" s="317"/>
      <c r="B4" s="622"/>
      <c r="C4" s="622"/>
      <c r="D4" s="622"/>
      <c r="E4" s="623"/>
      <c r="F4" s="623"/>
      <c r="G4" s="623"/>
      <c r="H4" s="623"/>
      <c r="I4" s="623"/>
      <c r="J4" s="623"/>
      <c r="K4" s="623"/>
      <c r="L4" s="623"/>
      <c r="M4" s="623"/>
      <c r="N4" s="623"/>
      <c r="O4" s="623"/>
      <c r="P4" s="623"/>
      <c r="Q4" s="623"/>
      <c r="R4" s="623"/>
      <c r="S4" s="623"/>
      <c r="T4" s="623"/>
      <c r="U4" s="623"/>
      <c r="V4" s="623"/>
      <c r="W4" s="623"/>
      <c r="X4" s="623"/>
      <c r="Y4" s="623"/>
      <c r="Z4" s="623"/>
      <c r="AA4" s="623"/>
      <c r="AB4" s="623"/>
      <c r="AC4" s="623"/>
      <c r="AD4" s="623"/>
      <c r="AE4" s="623"/>
      <c r="AF4" s="623"/>
      <c r="AG4" s="623"/>
      <c r="AH4" s="623"/>
      <c r="AI4" s="623"/>
      <c r="AJ4" s="623"/>
      <c r="AK4" s="623"/>
      <c r="AL4" s="623"/>
      <c r="AM4" s="623"/>
      <c r="AN4" s="623"/>
      <c r="AO4" s="623"/>
      <c r="AP4" s="623"/>
      <c r="AQ4" s="623"/>
      <c r="AR4" s="623"/>
      <c r="AS4" s="623"/>
      <c r="AT4" s="623"/>
      <c r="AU4" s="623"/>
      <c r="AV4" s="623"/>
      <c r="AW4" s="623"/>
      <c r="AX4" s="623"/>
      <c r="AY4" s="623"/>
      <c r="AZ4" s="623"/>
      <c r="BA4" s="623"/>
      <c r="BB4" s="623"/>
      <c r="BC4" s="623"/>
      <c r="BD4" s="623"/>
      <c r="BE4" s="623"/>
      <c r="BF4" s="623"/>
      <c r="BG4" s="623"/>
      <c r="BH4" s="623"/>
      <c r="BI4" s="623"/>
    </row>
    <row r="5" spans="1:61" s="46" customFormat="1" ht="12.45" customHeight="1" x14ac:dyDescent="0.3">
      <c r="A5" s="317"/>
      <c r="B5" s="312"/>
      <c r="C5" s="455"/>
      <c r="D5" s="370"/>
      <c r="E5" s="386"/>
      <c r="F5" s="387"/>
      <c r="G5" s="387"/>
      <c r="H5" s="386"/>
      <c r="I5" s="386"/>
      <c r="J5" s="386"/>
      <c r="K5" s="386"/>
      <c r="L5" s="386"/>
      <c r="M5" s="386"/>
      <c r="N5" s="386"/>
      <c r="O5" s="386"/>
      <c r="P5" s="386"/>
      <c r="Q5" s="386"/>
      <c r="R5" s="386"/>
      <c r="S5" s="386"/>
      <c r="T5" s="386"/>
      <c r="U5" s="387"/>
      <c r="V5" s="386"/>
      <c r="W5" s="386"/>
      <c r="X5" s="386"/>
      <c r="Y5" s="387"/>
      <c r="Z5" s="387"/>
      <c r="AA5" s="386"/>
      <c r="AB5" s="386"/>
      <c r="AC5" s="386"/>
      <c r="AD5" s="386"/>
      <c r="AE5" s="386"/>
      <c r="AF5" s="386"/>
      <c r="AG5" s="386"/>
      <c r="AH5" s="386"/>
      <c r="AI5" s="386"/>
      <c r="AJ5" s="386"/>
      <c r="AK5" s="386"/>
      <c r="AL5" s="386"/>
      <c r="AM5" s="386"/>
      <c r="AN5" s="387"/>
      <c r="AO5" s="386"/>
      <c r="AP5" s="386"/>
      <c r="AQ5" s="386"/>
      <c r="AR5" s="387"/>
      <c r="AS5" s="387"/>
      <c r="AT5" s="386"/>
      <c r="AU5" s="386"/>
      <c r="AV5" s="386"/>
      <c r="AW5" s="386"/>
      <c r="AX5" s="386"/>
      <c r="AY5" s="386"/>
      <c r="AZ5" s="386"/>
      <c r="BA5" s="386"/>
      <c r="BB5" s="386"/>
      <c r="BC5" s="386"/>
      <c r="BD5" s="386"/>
      <c r="BE5" s="386"/>
      <c r="BF5" s="386"/>
      <c r="BG5" s="387"/>
      <c r="BH5" s="386"/>
      <c r="BI5" s="386"/>
    </row>
    <row r="6" spans="1:61" s="457" customFormat="1" ht="24" customHeight="1" thickBot="1" x14ac:dyDescent="0.35">
      <c r="A6" s="453"/>
      <c r="B6" s="454"/>
      <c r="C6" s="455"/>
      <c r="D6" s="456"/>
      <c r="E6" s="1">
        <v>2021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619">
        <v>2022</v>
      </c>
      <c r="Y6" s="619"/>
      <c r="Z6" s="619"/>
      <c r="AA6" s="619"/>
      <c r="AB6" s="619"/>
      <c r="AC6" s="619"/>
      <c r="AD6" s="619"/>
      <c r="AE6" s="619"/>
      <c r="AF6" s="619"/>
      <c r="AG6" s="619"/>
      <c r="AH6" s="619"/>
      <c r="AI6" s="619"/>
      <c r="AJ6" s="619"/>
      <c r="AK6" s="619"/>
      <c r="AL6" s="619"/>
      <c r="AM6" s="619"/>
      <c r="AN6" s="619"/>
      <c r="AO6" s="619"/>
      <c r="AP6" s="619"/>
      <c r="AQ6" s="620">
        <v>2023</v>
      </c>
      <c r="AR6" s="620"/>
      <c r="AS6" s="620"/>
      <c r="AT6" s="620"/>
      <c r="AU6" s="620"/>
      <c r="AV6" s="620"/>
      <c r="AW6" s="620"/>
      <c r="AX6" s="620"/>
      <c r="AY6" s="620"/>
      <c r="AZ6" s="620"/>
      <c r="BA6" s="620"/>
      <c r="BB6" s="620"/>
      <c r="BC6" s="620"/>
      <c r="BD6" s="620"/>
      <c r="BE6" s="620"/>
      <c r="BF6" s="620"/>
      <c r="BG6" s="620"/>
      <c r="BH6" s="620"/>
      <c r="BI6" s="620"/>
    </row>
    <row r="7" spans="1:61" s="564" customFormat="1" ht="101.4" customHeight="1" x14ac:dyDescent="0.3">
      <c r="A7" s="558" t="s">
        <v>0</v>
      </c>
      <c r="B7" s="559" t="s">
        <v>1</v>
      </c>
      <c r="C7" s="584" t="s">
        <v>237</v>
      </c>
      <c r="D7" s="525" t="s">
        <v>163</v>
      </c>
      <c r="E7" s="560" t="s">
        <v>2</v>
      </c>
      <c r="F7" s="561" t="s">
        <v>2265</v>
      </c>
      <c r="G7" s="562" t="s">
        <v>138</v>
      </c>
      <c r="H7" s="562" t="s">
        <v>139</v>
      </c>
      <c r="I7" s="561" t="s">
        <v>168</v>
      </c>
      <c r="J7" s="562" t="s">
        <v>291</v>
      </c>
      <c r="K7" s="562" t="s">
        <v>171</v>
      </c>
      <c r="L7" s="561" t="s">
        <v>141</v>
      </c>
      <c r="M7" s="561" t="s">
        <v>164</v>
      </c>
      <c r="N7" s="561" t="s">
        <v>2264</v>
      </c>
      <c r="O7" s="561" t="s">
        <v>166</v>
      </c>
      <c r="P7" s="562" t="s">
        <v>2266</v>
      </c>
      <c r="Q7" s="562" t="s">
        <v>169</v>
      </c>
      <c r="R7" s="562" t="s">
        <v>142</v>
      </c>
      <c r="S7" s="562" t="s">
        <v>177</v>
      </c>
      <c r="T7" s="562" t="s">
        <v>176</v>
      </c>
      <c r="U7" s="562" t="s">
        <v>173</v>
      </c>
      <c r="V7" s="563" t="s">
        <v>85</v>
      </c>
      <c r="W7" s="563" t="s">
        <v>86</v>
      </c>
      <c r="X7" s="560" t="s">
        <v>2</v>
      </c>
      <c r="Y7" s="561" t="s">
        <v>2271</v>
      </c>
      <c r="Z7" s="562" t="s">
        <v>2268</v>
      </c>
      <c r="AA7" s="562" t="s">
        <v>139</v>
      </c>
      <c r="AB7" s="561" t="s">
        <v>168</v>
      </c>
      <c r="AC7" s="562" t="s">
        <v>2269</v>
      </c>
      <c r="AD7" s="562" t="s">
        <v>171</v>
      </c>
      <c r="AE7" s="561" t="s">
        <v>2396</v>
      </c>
      <c r="AF7" s="561" t="s">
        <v>164</v>
      </c>
      <c r="AG7" s="561" t="s">
        <v>2264</v>
      </c>
      <c r="AH7" s="561" t="s">
        <v>166</v>
      </c>
      <c r="AI7" s="562" t="s">
        <v>2270</v>
      </c>
      <c r="AJ7" s="562" t="s">
        <v>169</v>
      </c>
      <c r="AK7" s="562" t="s">
        <v>142</v>
      </c>
      <c r="AL7" s="562" t="s">
        <v>177</v>
      </c>
      <c r="AM7" s="562" t="s">
        <v>176</v>
      </c>
      <c r="AN7" s="581" t="s">
        <v>173</v>
      </c>
      <c r="AO7" s="563" t="s">
        <v>85</v>
      </c>
      <c r="AP7" s="563" t="s">
        <v>86</v>
      </c>
      <c r="AQ7" s="560" t="s">
        <v>2</v>
      </c>
      <c r="AR7" s="561" t="s">
        <v>2271</v>
      </c>
      <c r="AS7" s="562" t="s">
        <v>2268</v>
      </c>
      <c r="AT7" s="562" t="s">
        <v>139</v>
      </c>
      <c r="AU7" s="561" t="s">
        <v>168</v>
      </c>
      <c r="AV7" s="562" t="s">
        <v>2269</v>
      </c>
      <c r="AW7" s="562" t="s">
        <v>171</v>
      </c>
      <c r="AX7" s="561" t="s">
        <v>2396</v>
      </c>
      <c r="AY7" s="561" t="s">
        <v>164</v>
      </c>
      <c r="AZ7" s="561" t="s">
        <v>2264</v>
      </c>
      <c r="BA7" s="561" t="s">
        <v>166</v>
      </c>
      <c r="BB7" s="562" t="s">
        <v>2270</v>
      </c>
      <c r="BC7" s="562" t="s">
        <v>169</v>
      </c>
      <c r="BD7" s="562" t="s">
        <v>142</v>
      </c>
      <c r="BE7" s="562" t="s">
        <v>177</v>
      </c>
      <c r="BF7" s="562" t="s">
        <v>176</v>
      </c>
      <c r="BG7" s="581" t="s">
        <v>173</v>
      </c>
      <c r="BH7" s="563" t="s">
        <v>85</v>
      </c>
      <c r="BI7" s="563" t="s">
        <v>86</v>
      </c>
    </row>
    <row r="8" spans="1:61" s="383" customFormat="1" x14ac:dyDescent="0.3">
      <c r="A8" s="368">
        <v>1</v>
      </c>
      <c r="B8" s="369">
        <v>2</v>
      </c>
      <c r="C8" s="585"/>
      <c r="D8" s="388">
        <v>3</v>
      </c>
      <c r="E8" s="388">
        <v>42</v>
      </c>
      <c r="F8" s="388">
        <v>43</v>
      </c>
      <c r="G8" s="369">
        <v>44</v>
      </c>
      <c r="H8" s="388">
        <v>45</v>
      </c>
      <c r="I8" s="388">
        <v>46</v>
      </c>
      <c r="J8" s="369">
        <v>47</v>
      </c>
      <c r="K8" s="388">
        <v>48</v>
      </c>
      <c r="L8" s="388">
        <v>49</v>
      </c>
      <c r="M8" s="369">
        <v>50</v>
      </c>
      <c r="N8" s="388">
        <v>51</v>
      </c>
      <c r="O8" s="388">
        <v>52</v>
      </c>
      <c r="P8" s="369">
        <v>53</v>
      </c>
      <c r="Q8" s="388">
        <v>54</v>
      </c>
      <c r="R8" s="388">
        <v>55</v>
      </c>
      <c r="S8" s="369">
        <v>56</v>
      </c>
      <c r="T8" s="388">
        <v>57</v>
      </c>
      <c r="U8" s="388">
        <v>58</v>
      </c>
      <c r="V8" s="369">
        <v>59</v>
      </c>
      <c r="W8" s="388">
        <v>60</v>
      </c>
      <c r="X8" s="388">
        <v>42</v>
      </c>
      <c r="Y8" s="388">
        <v>43</v>
      </c>
      <c r="Z8" s="369">
        <v>44</v>
      </c>
      <c r="AA8" s="388">
        <v>45</v>
      </c>
      <c r="AB8" s="388">
        <v>46</v>
      </c>
      <c r="AC8" s="369">
        <v>47</v>
      </c>
      <c r="AD8" s="388">
        <v>48</v>
      </c>
      <c r="AE8" s="388">
        <v>49</v>
      </c>
      <c r="AF8" s="369">
        <v>50</v>
      </c>
      <c r="AG8" s="388">
        <v>51</v>
      </c>
      <c r="AH8" s="388">
        <v>52</v>
      </c>
      <c r="AI8" s="369">
        <v>53</v>
      </c>
      <c r="AJ8" s="388">
        <v>54</v>
      </c>
      <c r="AK8" s="388">
        <v>55</v>
      </c>
      <c r="AL8" s="369">
        <v>56</v>
      </c>
      <c r="AM8" s="388">
        <v>57</v>
      </c>
      <c r="AN8" s="388">
        <v>58</v>
      </c>
      <c r="AO8" s="369">
        <v>59</v>
      </c>
      <c r="AP8" s="388">
        <v>60</v>
      </c>
      <c r="AQ8" s="388">
        <v>42</v>
      </c>
      <c r="AR8" s="388">
        <v>43</v>
      </c>
      <c r="AS8" s="369">
        <v>44</v>
      </c>
      <c r="AT8" s="388">
        <v>45</v>
      </c>
      <c r="AU8" s="388">
        <v>46</v>
      </c>
      <c r="AV8" s="369">
        <v>47</v>
      </c>
      <c r="AW8" s="388">
        <v>48</v>
      </c>
      <c r="AX8" s="388">
        <v>49</v>
      </c>
      <c r="AY8" s="369">
        <v>50</v>
      </c>
      <c r="AZ8" s="388">
        <v>51</v>
      </c>
      <c r="BA8" s="388">
        <v>52</v>
      </c>
      <c r="BB8" s="369">
        <v>53</v>
      </c>
      <c r="BC8" s="388">
        <v>54</v>
      </c>
      <c r="BD8" s="388">
        <v>55</v>
      </c>
      <c r="BE8" s="369">
        <v>56</v>
      </c>
      <c r="BF8" s="388">
        <v>57</v>
      </c>
      <c r="BG8" s="388">
        <v>58</v>
      </c>
      <c r="BH8" s="369">
        <v>59</v>
      </c>
      <c r="BI8" s="388">
        <v>60</v>
      </c>
    </row>
    <row r="9" spans="1:61" s="358" customFormat="1" ht="72" x14ac:dyDescent="0.3">
      <c r="A9" s="410" t="s">
        <v>6309</v>
      </c>
      <c r="B9" s="411" t="s">
        <v>6310</v>
      </c>
      <c r="C9" s="586"/>
      <c r="D9" s="412"/>
      <c r="E9" s="413">
        <f t="shared" ref="E9:Q9" si="0">E10+E21+E166+E214+E300</f>
        <v>8430</v>
      </c>
      <c r="F9" s="413">
        <f t="shared" si="0"/>
        <v>1591</v>
      </c>
      <c r="G9" s="413">
        <f t="shared" si="0"/>
        <v>1591</v>
      </c>
      <c r="H9" s="414">
        <f t="shared" si="0"/>
        <v>6583.4249199999995</v>
      </c>
      <c r="I9" s="414">
        <f t="shared" si="0"/>
        <v>3842.4180560000004</v>
      </c>
      <c r="J9" s="414">
        <f t="shared" si="0"/>
        <v>881.75189999999998</v>
      </c>
      <c r="K9" s="414">
        <f t="shared" si="0"/>
        <v>3149.2923999999998</v>
      </c>
      <c r="L9" s="414">
        <f t="shared" si="0"/>
        <v>880.15866000000005</v>
      </c>
      <c r="M9" s="414">
        <f t="shared" si="0"/>
        <v>0</v>
      </c>
      <c r="N9" s="414">
        <f t="shared" si="0"/>
        <v>0</v>
      </c>
      <c r="O9" s="414">
        <f t="shared" si="0"/>
        <v>548.73612000000003</v>
      </c>
      <c r="P9" s="414">
        <f t="shared" si="0"/>
        <v>8780.3900000000031</v>
      </c>
      <c r="Q9" s="414">
        <f t="shared" si="0"/>
        <v>1052.6029200000003</v>
      </c>
      <c r="R9" s="415"/>
      <c r="S9" s="415"/>
      <c r="T9" s="415"/>
      <c r="U9" s="473"/>
      <c r="V9" s="416">
        <f t="shared" ref="V9:V10" si="1">H9/E9*1000</f>
        <v>780.9519478054566</v>
      </c>
      <c r="W9" s="416">
        <f t="shared" ref="W9:W10" si="2">H9/F9</f>
        <v>4.1379163544940285</v>
      </c>
      <c r="X9" s="413">
        <f t="shared" ref="X9:AJ9" si="3">X10+X21+X166+X214+X300</f>
        <v>14344</v>
      </c>
      <c r="Y9" s="413">
        <f t="shared" si="3"/>
        <v>2021</v>
      </c>
      <c r="Z9" s="413">
        <f t="shared" si="3"/>
        <v>2021</v>
      </c>
      <c r="AA9" s="414">
        <f t="shared" si="3"/>
        <v>14076.174489999999</v>
      </c>
      <c r="AB9" s="414">
        <f t="shared" si="3"/>
        <v>7267.6423699999987</v>
      </c>
      <c r="AC9" s="414">
        <f t="shared" si="3"/>
        <v>1936.97585</v>
      </c>
      <c r="AD9" s="414">
        <f t="shared" si="3"/>
        <v>6963.3917299999994</v>
      </c>
      <c r="AE9" s="414">
        <f t="shared" si="3"/>
        <v>1912.45453</v>
      </c>
      <c r="AF9" s="414">
        <f t="shared" si="3"/>
        <v>0</v>
      </c>
      <c r="AG9" s="414">
        <f t="shared" si="3"/>
        <v>0</v>
      </c>
      <c r="AH9" s="414">
        <f t="shared" si="3"/>
        <v>1071.03142</v>
      </c>
      <c r="AI9" s="414">
        <f t="shared" si="3"/>
        <v>15.125880000000004</v>
      </c>
      <c r="AJ9" s="414">
        <f t="shared" si="3"/>
        <v>1646.2640000000001</v>
      </c>
      <c r="AK9" s="415"/>
      <c r="AL9" s="415"/>
      <c r="AM9" s="415"/>
      <c r="AN9" s="473"/>
      <c r="AO9" s="416">
        <f t="shared" ref="AO9:AO10" si="4">AA9/X9*1000</f>
        <v>981.32839445064133</v>
      </c>
      <c r="AP9" s="416">
        <f t="shared" ref="AP9:AP10" si="5">AA9/Y9</f>
        <v>6.9649552152399803</v>
      </c>
      <c r="AQ9" s="413">
        <f t="shared" ref="AQ9:BC9" si="6">AQ10+AQ21+AQ166+AQ214+AQ300</f>
        <v>10976</v>
      </c>
      <c r="AR9" s="413">
        <f t="shared" si="6"/>
        <v>1927</v>
      </c>
      <c r="AS9" s="413">
        <f t="shared" si="6"/>
        <v>1927</v>
      </c>
      <c r="AT9" s="414">
        <f t="shared" si="6"/>
        <v>10164.215329999999</v>
      </c>
      <c r="AU9" s="414">
        <f t="shared" si="6"/>
        <v>5385.6256889999986</v>
      </c>
      <c r="AV9" s="414">
        <f t="shared" si="6"/>
        <v>1817.0737100000001</v>
      </c>
      <c r="AW9" s="414">
        <f t="shared" si="6"/>
        <v>4471.2231500000007</v>
      </c>
      <c r="AX9" s="414">
        <f t="shared" si="6"/>
        <v>1242.6629600000001</v>
      </c>
      <c r="AY9" s="414">
        <f t="shared" si="6"/>
        <v>0</v>
      </c>
      <c r="AZ9" s="414">
        <f t="shared" si="6"/>
        <v>0</v>
      </c>
      <c r="BA9" s="414">
        <f t="shared" si="6"/>
        <v>889.46238999999991</v>
      </c>
      <c r="BB9" s="414">
        <f t="shared" si="6"/>
        <v>16.422670000000004</v>
      </c>
      <c r="BC9" s="414">
        <f t="shared" si="6"/>
        <v>1196.8636599999998</v>
      </c>
      <c r="BD9" s="415"/>
      <c r="BE9" s="415"/>
      <c r="BF9" s="415"/>
      <c r="BG9" s="473"/>
      <c r="BH9" s="416">
        <f t="shared" ref="BH9:BH10" si="7">AT9/AQ9*1000</f>
        <v>926.04002642128273</v>
      </c>
      <c r="BI9" s="416">
        <f t="shared" ref="BI9:BI10" si="8">AT9/AR9</f>
        <v>5.2746317228853137</v>
      </c>
    </row>
    <row r="10" spans="1:61" s="358" customFormat="1" ht="24.6" customHeight="1" x14ac:dyDescent="0.3">
      <c r="A10" s="354" t="s">
        <v>6309</v>
      </c>
      <c r="B10" s="355" t="s">
        <v>211</v>
      </c>
      <c r="C10" s="587"/>
      <c r="D10" s="356">
        <v>0.4</v>
      </c>
      <c r="E10" s="389">
        <f t="shared" ref="E10:Q10" si="9">SUM(E11:E20)</f>
        <v>97</v>
      </c>
      <c r="F10" s="389">
        <f t="shared" si="9"/>
        <v>20</v>
      </c>
      <c r="G10" s="389">
        <f t="shared" si="9"/>
        <v>20</v>
      </c>
      <c r="H10" s="390">
        <f t="shared" si="9"/>
        <v>49.345329999999997</v>
      </c>
      <c r="I10" s="390">
        <f t="shared" si="9"/>
        <v>33.426749999999998</v>
      </c>
      <c r="J10" s="390">
        <f t="shared" si="9"/>
        <v>3.4315600000000002</v>
      </c>
      <c r="K10" s="390">
        <f t="shared" si="9"/>
        <v>23.888550000000002</v>
      </c>
      <c r="L10" s="390">
        <f t="shared" si="9"/>
        <v>7.1973900000000004</v>
      </c>
      <c r="M10" s="390">
        <f t="shared" si="9"/>
        <v>0</v>
      </c>
      <c r="N10" s="390">
        <f t="shared" si="9"/>
        <v>0</v>
      </c>
      <c r="O10" s="390">
        <f t="shared" si="9"/>
        <v>4.3171300000000006</v>
      </c>
      <c r="P10" s="390">
        <f t="shared" si="9"/>
        <v>70.73</v>
      </c>
      <c r="Q10" s="390">
        <f t="shared" si="9"/>
        <v>23.888550000000002</v>
      </c>
      <c r="R10" s="391"/>
      <c r="S10" s="391"/>
      <c r="T10" s="391"/>
      <c r="U10" s="474"/>
      <c r="V10" s="392">
        <f t="shared" si="1"/>
        <v>508.71474226804128</v>
      </c>
      <c r="W10" s="392">
        <f t="shared" si="2"/>
        <v>2.4672665</v>
      </c>
      <c r="X10" s="389">
        <f t="shared" ref="X10:AJ10" si="10">SUM(X11:X20)</f>
        <v>130</v>
      </c>
      <c r="Y10" s="389">
        <f t="shared" si="10"/>
        <v>30</v>
      </c>
      <c r="Z10" s="389">
        <f t="shared" si="10"/>
        <v>30</v>
      </c>
      <c r="AA10" s="390">
        <f t="shared" si="10"/>
        <v>88.903419999999997</v>
      </c>
      <c r="AB10" s="390">
        <f t="shared" si="10"/>
        <v>59.783110000000001</v>
      </c>
      <c r="AC10" s="390">
        <f t="shared" si="10"/>
        <v>4.6189</v>
      </c>
      <c r="AD10" s="390">
        <f t="shared" si="10"/>
        <v>50.565550000000002</v>
      </c>
      <c r="AE10" s="390">
        <f t="shared" si="10"/>
        <v>13.199479999999999</v>
      </c>
      <c r="AF10" s="390">
        <f t="shared" si="10"/>
        <v>0</v>
      </c>
      <c r="AG10" s="390">
        <f t="shared" si="10"/>
        <v>0</v>
      </c>
      <c r="AH10" s="390">
        <f t="shared" si="10"/>
        <v>7.7849899999999996</v>
      </c>
      <c r="AI10" s="390">
        <f t="shared" si="10"/>
        <v>7.1059999999999998E-2</v>
      </c>
      <c r="AJ10" s="390">
        <f t="shared" si="10"/>
        <v>25.454609999999999</v>
      </c>
      <c r="AK10" s="391"/>
      <c r="AL10" s="391"/>
      <c r="AM10" s="391"/>
      <c r="AN10" s="474"/>
      <c r="AO10" s="392">
        <f t="shared" si="4"/>
        <v>683.87246153846149</v>
      </c>
      <c r="AP10" s="392">
        <f t="shared" si="5"/>
        <v>2.9634473333333333</v>
      </c>
      <c r="AQ10" s="389">
        <f t="shared" ref="AQ10:BC10" si="11">SUM(AQ11:AQ20)</f>
        <v>205</v>
      </c>
      <c r="AR10" s="389">
        <f t="shared" si="11"/>
        <v>46</v>
      </c>
      <c r="AS10" s="389">
        <f t="shared" si="11"/>
        <v>46</v>
      </c>
      <c r="AT10" s="390">
        <f t="shared" si="11"/>
        <v>101.10469000000001</v>
      </c>
      <c r="AU10" s="390">
        <f t="shared" si="11"/>
        <v>62.644459999999995</v>
      </c>
      <c r="AV10" s="390">
        <f t="shared" si="11"/>
        <v>8.8559999999999999</v>
      </c>
      <c r="AW10" s="390">
        <f t="shared" si="11"/>
        <v>44.84637</v>
      </c>
      <c r="AX10" s="390">
        <f t="shared" si="11"/>
        <v>13.997289999999998</v>
      </c>
      <c r="AY10" s="390">
        <f t="shared" si="11"/>
        <v>0</v>
      </c>
      <c r="AZ10" s="390">
        <f t="shared" si="11"/>
        <v>0</v>
      </c>
      <c r="BA10" s="390">
        <f t="shared" si="11"/>
        <v>12.001340000000001</v>
      </c>
      <c r="BB10" s="390">
        <f t="shared" si="11"/>
        <v>0.6048</v>
      </c>
      <c r="BC10" s="390">
        <f t="shared" si="11"/>
        <v>33.548839999999998</v>
      </c>
      <c r="BD10" s="391"/>
      <c r="BE10" s="391"/>
      <c r="BF10" s="391"/>
      <c r="BG10" s="474"/>
      <c r="BH10" s="392">
        <f t="shared" si="7"/>
        <v>493.1936097560976</v>
      </c>
      <c r="BI10" s="392">
        <f t="shared" si="8"/>
        <v>2.1979280434782611</v>
      </c>
    </row>
    <row r="11" spans="1:61" s="358" customFormat="1" ht="19.2" x14ac:dyDescent="0.3">
      <c r="A11" s="359" t="s">
        <v>178</v>
      </c>
      <c r="B11" s="536" t="s">
        <v>566</v>
      </c>
      <c r="C11" s="549" t="s">
        <v>431</v>
      </c>
      <c r="D11" s="360">
        <v>0.22</v>
      </c>
      <c r="E11" s="528">
        <v>45</v>
      </c>
      <c r="F11" s="523">
        <v>15</v>
      </c>
      <c r="G11" s="393">
        <v>15</v>
      </c>
      <c r="H11" s="542">
        <v>24.607299999999999</v>
      </c>
      <c r="I11" s="394">
        <v>17.39256</v>
      </c>
      <c r="J11" s="394">
        <v>1.5840000000000001</v>
      </c>
      <c r="K11" s="394">
        <v>11.34398</v>
      </c>
      <c r="L11" s="394">
        <v>3.2789600000000001</v>
      </c>
      <c r="M11" s="394">
        <v>0</v>
      </c>
      <c r="N11" s="394">
        <v>0</v>
      </c>
      <c r="O11" s="394">
        <v>1.9483600000000001</v>
      </c>
      <c r="P11" s="394">
        <v>35.200000000000003</v>
      </c>
      <c r="Q11" s="394">
        <v>11.34398</v>
      </c>
      <c r="R11" s="381" t="s">
        <v>167</v>
      </c>
      <c r="S11" s="408" t="s">
        <v>175</v>
      </c>
      <c r="T11" s="385"/>
      <c r="U11" s="475">
        <v>2</v>
      </c>
      <c r="V11" s="395">
        <f t="shared" ref="V11:V12" si="12">H11/E11*1000</f>
        <v>546.82888888888886</v>
      </c>
      <c r="W11" s="395">
        <f t="shared" ref="W11:W12" si="13">H11/F11</f>
        <v>1.6404866666666666</v>
      </c>
      <c r="X11" s="528"/>
      <c r="Y11" s="523"/>
      <c r="Z11" s="393"/>
      <c r="AA11" s="542"/>
      <c r="AB11" s="394"/>
      <c r="AC11" s="394"/>
      <c r="AD11" s="394"/>
      <c r="AE11" s="394"/>
      <c r="AF11" s="394"/>
      <c r="AG11" s="394"/>
      <c r="AH11" s="394"/>
      <c r="AI11" s="394"/>
      <c r="AJ11" s="394"/>
      <c r="AK11" s="381"/>
      <c r="AL11" s="408"/>
      <c r="AM11" s="385"/>
      <c r="AN11" s="475"/>
      <c r="AO11" s="395" t="e">
        <f t="shared" ref="AO11:AO166" si="14">AA11/X11*1000</f>
        <v>#DIV/0!</v>
      </c>
      <c r="AP11" s="395" t="e">
        <f t="shared" ref="AP11:AP166" si="15">AA11/Y11</f>
        <v>#DIV/0!</v>
      </c>
      <c r="AQ11" s="528"/>
      <c r="AR11" s="523"/>
      <c r="AS11" s="393"/>
      <c r="AT11" s="542"/>
      <c r="AU11" s="394"/>
      <c r="AV11" s="394"/>
      <c r="AW11" s="394"/>
      <c r="AX11" s="394"/>
      <c r="AY11" s="394"/>
      <c r="AZ11" s="394"/>
      <c r="BA11" s="394"/>
      <c r="BB11" s="394"/>
      <c r="BC11" s="394"/>
      <c r="BD11" s="381"/>
      <c r="BE11" s="408"/>
      <c r="BF11" s="385"/>
      <c r="BG11" s="475"/>
      <c r="BH11" s="395" t="e">
        <f t="shared" ref="BH11:BH166" si="16">AT11/AQ11*1000</f>
        <v>#DIV/0!</v>
      </c>
      <c r="BI11" s="395" t="e">
        <f t="shared" ref="BI11:BI166" si="17">AT11/AR11</f>
        <v>#DIV/0!</v>
      </c>
    </row>
    <row r="12" spans="1:61" s="358" customFormat="1" ht="19.2" x14ac:dyDescent="0.3">
      <c r="A12" s="359" t="s">
        <v>182</v>
      </c>
      <c r="B12" s="536" t="s">
        <v>646</v>
      </c>
      <c r="C12" s="549" t="s">
        <v>524</v>
      </c>
      <c r="D12" s="360">
        <v>0.22</v>
      </c>
      <c r="E12" s="528">
        <v>52</v>
      </c>
      <c r="F12" s="523">
        <v>5</v>
      </c>
      <c r="G12" s="393">
        <v>5</v>
      </c>
      <c r="H12" s="542">
        <v>24.738029999999998</v>
      </c>
      <c r="I12" s="394">
        <v>16.034189999999999</v>
      </c>
      <c r="J12" s="394">
        <v>1.8475600000000001</v>
      </c>
      <c r="K12" s="394">
        <v>12.54457</v>
      </c>
      <c r="L12" s="394">
        <v>3.9184299999999999</v>
      </c>
      <c r="M12" s="394">
        <v>0</v>
      </c>
      <c r="N12" s="394">
        <v>0</v>
      </c>
      <c r="O12" s="394">
        <v>2.36877</v>
      </c>
      <c r="P12" s="394">
        <v>35.53</v>
      </c>
      <c r="Q12" s="394">
        <v>12.54457</v>
      </c>
      <c r="R12" s="381" t="s">
        <v>167</v>
      </c>
      <c r="S12" s="408" t="s">
        <v>175</v>
      </c>
      <c r="T12" s="385"/>
      <c r="U12" s="475">
        <v>4</v>
      </c>
      <c r="V12" s="395">
        <f t="shared" si="12"/>
        <v>475.73134615384612</v>
      </c>
      <c r="W12" s="395">
        <f t="shared" si="13"/>
        <v>4.9476059999999995</v>
      </c>
      <c r="X12" s="528"/>
      <c r="Y12" s="523"/>
      <c r="Z12" s="393"/>
      <c r="AA12" s="542"/>
      <c r="AB12" s="394"/>
      <c r="AC12" s="394"/>
      <c r="AD12" s="394"/>
      <c r="AE12" s="394"/>
      <c r="AF12" s="394"/>
      <c r="AG12" s="394"/>
      <c r="AH12" s="394"/>
      <c r="AI12" s="394"/>
      <c r="AJ12" s="394"/>
      <c r="AK12" s="381"/>
      <c r="AL12" s="408"/>
      <c r="AM12" s="385"/>
      <c r="AN12" s="475"/>
      <c r="AO12" s="395" t="e">
        <f t="shared" si="14"/>
        <v>#DIV/0!</v>
      </c>
      <c r="AP12" s="395" t="e">
        <f t="shared" si="15"/>
        <v>#DIV/0!</v>
      </c>
      <c r="AQ12" s="528"/>
      <c r="AR12" s="523"/>
      <c r="AS12" s="393"/>
      <c r="AT12" s="542"/>
      <c r="AU12" s="394"/>
      <c r="AV12" s="394"/>
      <c r="AW12" s="394"/>
      <c r="AX12" s="394"/>
      <c r="AY12" s="394"/>
      <c r="AZ12" s="394"/>
      <c r="BA12" s="394"/>
      <c r="BB12" s="394"/>
      <c r="BC12" s="394"/>
      <c r="BD12" s="381"/>
      <c r="BE12" s="408"/>
      <c r="BF12" s="385"/>
      <c r="BG12" s="475"/>
      <c r="BH12" s="395" t="e">
        <f t="shared" si="16"/>
        <v>#DIV/0!</v>
      </c>
      <c r="BI12" s="395" t="e">
        <f t="shared" si="17"/>
        <v>#DIV/0!</v>
      </c>
    </row>
    <row r="13" spans="1:61" s="358" customFormat="1" ht="19.2" x14ac:dyDescent="0.3">
      <c r="A13" s="359" t="s">
        <v>178</v>
      </c>
      <c r="B13" s="570" t="s">
        <v>2273</v>
      </c>
      <c r="C13" s="549" t="s">
        <v>2272</v>
      </c>
      <c r="D13" s="360">
        <v>0.22</v>
      </c>
      <c r="E13" s="528"/>
      <c r="F13" s="523"/>
      <c r="G13" s="393"/>
      <c r="H13" s="571"/>
      <c r="I13" s="394"/>
      <c r="J13" s="394"/>
      <c r="K13" s="394"/>
      <c r="L13" s="394"/>
      <c r="M13" s="394"/>
      <c r="N13" s="394"/>
      <c r="O13" s="394"/>
      <c r="P13" s="394"/>
      <c r="Q13" s="394"/>
      <c r="R13" s="381"/>
      <c r="S13" s="408"/>
      <c r="T13" s="385"/>
      <c r="U13" s="475"/>
      <c r="V13" s="395"/>
      <c r="W13" s="395"/>
      <c r="X13" s="528">
        <v>95</v>
      </c>
      <c r="Y13" s="523">
        <v>15</v>
      </c>
      <c r="Z13" s="393">
        <v>15</v>
      </c>
      <c r="AA13" s="571">
        <v>64.772909999999996</v>
      </c>
      <c r="AB13" s="394">
        <v>43.77084</v>
      </c>
      <c r="AC13" s="394">
        <v>3.3753500000000001</v>
      </c>
      <c r="AD13" s="394">
        <v>37.666409999999999</v>
      </c>
      <c r="AE13" s="394">
        <v>9.5795999999999992</v>
      </c>
      <c r="AF13" s="394">
        <v>0</v>
      </c>
      <c r="AG13" s="394">
        <v>0</v>
      </c>
      <c r="AH13" s="394">
        <v>5.5841599999999998</v>
      </c>
      <c r="AI13" s="394">
        <v>3.5529999999999999E-2</v>
      </c>
      <c r="AJ13" s="394">
        <v>12.55547</v>
      </c>
      <c r="AK13" s="381" t="s">
        <v>167</v>
      </c>
      <c r="AL13" s="408" t="s">
        <v>175</v>
      </c>
      <c r="AM13" s="385"/>
      <c r="AN13" s="475">
        <v>1</v>
      </c>
      <c r="AO13" s="395">
        <f t="shared" ref="AO13:AO14" si="18">AA13/X13*1000</f>
        <v>681.82010526315787</v>
      </c>
      <c r="AP13" s="395">
        <f t="shared" ref="AP13:AP14" si="19">AA13/Y13</f>
        <v>4.3181940000000001</v>
      </c>
      <c r="AQ13" s="528"/>
      <c r="AR13" s="523"/>
      <c r="AS13" s="393"/>
      <c r="AT13" s="571"/>
      <c r="AU13" s="394"/>
      <c r="AV13" s="394"/>
      <c r="AW13" s="394"/>
      <c r="AX13" s="394"/>
      <c r="AY13" s="394"/>
      <c r="AZ13" s="394"/>
      <c r="BA13" s="394"/>
      <c r="BB13" s="394"/>
      <c r="BC13" s="394"/>
      <c r="BD13" s="381"/>
      <c r="BE13" s="408"/>
      <c r="BF13" s="385"/>
      <c r="BG13" s="475"/>
      <c r="BH13" s="395" t="e">
        <f t="shared" si="16"/>
        <v>#DIV/0!</v>
      </c>
      <c r="BI13" s="395" t="e">
        <f t="shared" si="17"/>
        <v>#DIV/0!</v>
      </c>
    </row>
    <row r="14" spans="1:61" s="358" customFormat="1" ht="19.2" x14ac:dyDescent="0.3">
      <c r="A14" s="359" t="s">
        <v>182</v>
      </c>
      <c r="B14" s="570" t="s">
        <v>2275</v>
      </c>
      <c r="C14" s="549" t="s">
        <v>2274</v>
      </c>
      <c r="D14" s="360">
        <v>0.22</v>
      </c>
      <c r="E14" s="528"/>
      <c r="F14" s="523"/>
      <c r="G14" s="393"/>
      <c r="H14" s="571"/>
      <c r="I14" s="394"/>
      <c r="J14" s="394"/>
      <c r="K14" s="394"/>
      <c r="L14" s="394"/>
      <c r="M14" s="394"/>
      <c r="N14" s="394"/>
      <c r="O14" s="394"/>
      <c r="P14" s="394"/>
      <c r="Q14" s="394"/>
      <c r="R14" s="381"/>
      <c r="S14" s="408"/>
      <c r="T14" s="385"/>
      <c r="U14" s="475"/>
      <c r="V14" s="395"/>
      <c r="W14" s="395"/>
      <c r="X14" s="528">
        <v>35</v>
      </c>
      <c r="Y14" s="523">
        <v>15</v>
      </c>
      <c r="Z14" s="393">
        <v>15</v>
      </c>
      <c r="AA14" s="571">
        <v>24.130510000000001</v>
      </c>
      <c r="AB14" s="394">
        <v>16.012270000000001</v>
      </c>
      <c r="AC14" s="394">
        <v>1.2435499999999999</v>
      </c>
      <c r="AD14" s="394">
        <v>12.899139999999999</v>
      </c>
      <c r="AE14" s="394">
        <v>3.6198800000000002</v>
      </c>
      <c r="AF14" s="394">
        <v>0</v>
      </c>
      <c r="AG14" s="394">
        <v>0</v>
      </c>
      <c r="AH14" s="394">
        <v>2.2008299999999998</v>
      </c>
      <c r="AI14" s="394">
        <v>3.5529999999999999E-2</v>
      </c>
      <c r="AJ14" s="394">
        <v>12.899139999999999</v>
      </c>
      <c r="AK14" s="381" t="s">
        <v>167</v>
      </c>
      <c r="AL14" s="408" t="s">
        <v>175</v>
      </c>
      <c r="AM14" s="385"/>
      <c r="AN14" s="475">
        <v>3</v>
      </c>
      <c r="AO14" s="395">
        <f t="shared" si="18"/>
        <v>689.4431428571429</v>
      </c>
      <c r="AP14" s="395">
        <f t="shared" si="19"/>
        <v>1.6087006666666668</v>
      </c>
      <c r="AQ14" s="528"/>
      <c r="AR14" s="523"/>
      <c r="AS14" s="393"/>
      <c r="AT14" s="571"/>
      <c r="AU14" s="394"/>
      <c r="AV14" s="394"/>
      <c r="AW14" s="394"/>
      <c r="AX14" s="394"/>
      <c r="AY14" s="394"/>
      <c r="AZ14" s="394"/>
      <c r="BA14" s="394"/>
      <c r="BB14" s="394"/>
      <c r="BC14" s="394"/>
      <c r="BD14" s="381"/>
      <c r="BE14" s="408"/>
      <c r="BF14" s="385"/>
      <c r="BG14" s="475"/>
      <c r="BH14" s="395" t="e">
        <f t="shared" si="16"/>
        <v>#DIV/0!</v>
      </c>
      <c r="BI14" s="395" t="e">
        <f t="shared" si="17"/>
        <v>#DIV/0!</v>
      </c>
    </row>
    <row r="15" spans="1:61" s="358" customFormat="1" ht="19.2" x14ac:dyDescent="0.3">
      <c r="A15" s="359" t="s">
        <v>178</v>
      </c>
      <c r="B15" s="599" t="s">
        <v>4763</v>
      </c>
      <c r="C15" s="549" t="s">
        <v>4764</v>
      </c>
      <c r="D15" s="360">
        <v>0.22</v>
      </c>
      <c r="E15" s="528"/>
      <c r="F15" s="523"/>
      <c r="G15" s="393"/>
      <c r="H15" s="394"/>
      <c r="I15" s="394"/>
      <c r="J15" s="394"/>
      <c r="K15" s="394"/>
      <c r="L15" s="394"/>
      <c r="M15" s="394"/>
      <c r="N15" s="394"/>
      <c r="O15" s="394"/>
      <c r="P15" s="394"/>
      <c r="Q15" s="394"/>
      <c r="R15" s="381"/>
      <c r="S15" s="408"/>
      <c r="T15" s="385"/>
      <c r="U15" s="475"/>
      <c r="V15" s="395"/>
      <c r="W15" s="395"/>
      <c r="X15" s="528"/>
      <c r="Y15" s="523"/>
      <c r="Z15" s="393"/>
      <c r="AA15" s="394"/>
      <c r="AB15" s="394"/>
      <c r="AC15" s="394"/>
      <c r="AD15" s="394"/>
      <c r="AE15" s="394"/>
      <c r="AF15" s="394"/>
      <c r="AG15" s="394"/>
      <c r="AH15" s="394"/>
      <c r="AI15" s="394"/>
      <c r="AJ15" s="394"/>
      <c r="AK15" s="381"/>
      <c r="AL15" s="408"/>
      <c r="AM15" s="385"/>
      <c r="AN15" s="475"/>
      <c r="AO15" s="395"/>
      <c r="AP15" s="395"/>
      <c r="AQ15" s="528">
        <v>45</v>
      </c>
      <c r="AR15" s="523">
        <v>15</v>
      </c>
      <c r="AS15" s="393">
        <v>15</v>
      </c>
      <c r="AT15" s="600">
        <v>23.353760000000001</v>
      </c>
      <c r="AU15" s="394">
        <v>14.399319999999999</v>
      </c>
      <c r="AV15" s="394">
        <v>1.944</v>
      </c>
      <c r="AW15" s="394">
        <v>10.94042</v>
      </c>
      <c r="AX15" s="394">
        <v>3.1834899999999999</v>
      </c>
      <c r="AY15" s="394">
        <v>0</v>
      </c>
      <c r="AZ15" s="394">
        <v>0</v>
      </c>
      <c r="BA15" s="394">
        <v>2.8281499999999999</v>
      </c>
      <c r="BB15" s="394">
        <v>0.432</v>
      </c>
      <c r="BC15" s="394">
        <v>10.94042</v>
      </c>
      <c r="BD15" s="381" t="s">
        <v>167</v>
      </c>
      <c r="BE15" s="408" t="s">
        <v>175</v>
      </c>
      <c r="BF15" s="385"/>
      <c r="BG15" s="475">
        <v>1</v>
      </c>
      <c r="BH15" s="395">
        <f t="shared" ref="BH15:BH17" si="20">AT15/AQ15*1000</f>
        <v>518.97244444444448</v>
      </c>
      <c r="BI15" s="395">
        <f t="shared" ref="BI15:BI17" si="21">AT15/AR15</f>
        <v>1.5569173333333335</v>
      </c>
    </row>
    <row r="16" spans="1:61" s="358" customFormat="1" ht="19.2" x14ac:dyDescent="0.3">
      <c r="A16" s="359" t="s">
        <v>182</v>
      </c>
      <c r="B16" s="599" t="s">
        <v>4866</v>
      </c>
      <c r="C16" s="549" t="s">
        <v>4865</v>
      </c>
      <c r="D16" s="360">
        <v>0.22</v>
      </c>
      <c r="E16" s="528"/>
      <c r="F16" s="523"/>
      <c r="G16" s="393"/>
      <c r="H16" s="394"/>
      <c r="I16" s="394"/>
      <c r="J16" s="394"/>
      <c r="K16" s="394"/>
      <c r="L16" s="394"/>
      <c r="M16" s="394"/>
      <c r="N16" s="394"/>
      <c r="O16" s="394"/>
      <c r="P16" s="394"/>
      <c r="Q16" s="394"/>
      <c r="R16" s="381"/>
      <c r="S16" s="408"/>
      <c r="T16" s="385"/>
      <c r="U16" s="475"/>
      <c r="V16" s="395"/>
      <c r="W16" s="395"/>
      <c r="X16" s="528"/>
      <c r="Y16" s="523"/>
      <c r="Z16" s="393"/>
      <c r="AA16" s="394"/>
      <c r="AB16" s="394"/>
      <c r="AC16" s="394"/>
      <c r="AD16" s="394"/>
      <c r="AE16" s="394"/>
      <c r="AF16" s="394"/>
      <c r="AG16" s="394"/>
      <c r="AH16" s="394"/>
      <c r="AI16" s="394"/>
      <c r="AJ16" s="394"/>
      <c r="AK16" s="381"/>
      <c r="AL16" s="408"/>
      <c r="AM16" s="385"/>
      <c r="AN16" s="475"/>
      <c r="AO16" s="395"/>
      <c r="AP16" s="395"/>
      <c r="AQ16" s="528">
        <v>40</v>
      </c>
      <c r="AR16" s="523">
        <v>5</v>
      </c>
      <c r="AS16" s="393">
        <v>5</v>
      </c>
      <c r="AT16" s="600">
        <v>6.6986699999999999</v>
      </c>
      <c r="AU16" s="394">
        <v>3.2671999999999999</v>
      </c>
      <c r="AV16" s="394">
        <v>1.728</v>
      </c>
      <c r="AW16" s="394"/>
      <c r="AX16" s="394">
        <v>1.2248399999999999</v>
      </c>
      <c r="AY16" s="394">
        <v>0</v>
      </c>
      <c r="AZ16" s="394">
        <v>0</v>
      </c>
      <c r="BA16" s="394">
        <v>1.10199</v>
      </c>
      <c r="BB16" s="394">
        <v>4.3200000000000002E-2</v>
      </c>
      <c r="BC16" s="394"/>
      <c r="BD16" s="381" t="s">
        <v>167</v>
      </c>
      <c r="BE16" s="408" t="s">
        <v>175</v>
      </c>
      <c r="BF16" s="385"/>
      <c r="BG16" s="475">
        <v>3</v>
      </c>
      <c r="BH16" s="395">
        <f t="shared" si="20"/>
        <v>167.46674999999999</v>
      </c>
      <c r="BI16" s="395">
        <f t="shared" si="21"/>
        <v>1.339734</v>
      </c>
    </row>
    <row r="17" spans="1:61" s="358" customFormat="1" ht="19.2" x14ac:dyDescent="0.3">
      <c r="A17" s="359" t="s">
        <v>184</v>
      </c>
      <c r="B17" s="599" t="s">
        <v>4907</v>
      </c>
      <c r="C17" s="549" t="s">
        <v>4906</v>
      </c>
      <c r="D17" s="360">
        <v>0.22</v>
      </c>
      <c r="E17" s="528"/>
      <c r="F17" s="523"/>
      <c r="G17" s="393"/>
      <c r="H17" s="394"/>
      <c r="I17" s="394"/>
      <c r="J17" s="394"/>
      <c r="K17" s="394"/>
      <c r="L17" s="394"/>
      <c r="M17" s="394"/>
      <c r="N17" s="394"/>
      <c r="O17" s="394"/>
      <c r="P17" s="394"/>
      <c r="Q17" s="394"/>
      <c r="R17" s="381"/>
      <c r="S17" s="408"/>
      <c r="T17" s="385"/>
      <c r="U17" s="475"/>
      <c r="V17" s="395"/>
      <c r="W17" s="395"/>
      <c r="X17" s="528"/>
      <c r="Y17" s="523"/>
      <c r="Z17" s="393"/>
      <c r="AA17" s="394"/>
      <c r="AB17" s="394"/>
      <c r="AC17" s="394"/>
      <c r="AD17" s="394"/>
      <c r="AE17" s="394"/>
      <c r="AF17" s="394"/>
      <c r="AG17" s="394"/>
      <c r="AH17" s="394"/>
      <c r="AI17" s="394"/>
      <c r="AJ17" s="394"/>
      <c r="AK17" s="381"/>
      <c r="AL17" s="408"/>
      <c r="AM17" s="385"/>
      <c r="AN17" s="475"/>
      <c r="AO17" s="395"/>
      <c r="AP17" s="395"/>
      <c r="AQ17" s="528">
        <v>38</v>
      </c>
      <c r="AR17" s="523">
        <v>6</v>
      </c>
      <c r="AS17" s="393">
        <v>6</v>
      </c>
      <c r="AT17" s="600">
        <v>6.5488299999999997</v>
      </c>
      <c r="AU17" s="394">
        <v>3.2889300000000001</v>
      </c>
      <c r="AV17" s="394">
        <v>1.6415999999999999</v>
      </c>
      <c r="AW17" s="394"/>
      <c r="AX17" s="394">
        <v>1.1636</v>
      </c>
      <c r="AY17" s="394">
        <v>0</v>
      </c>
      <c r="AZ17" s="394">
        <v>0</v>
      </c>
      <c r="BA17" s="394">
        <v>1.0468900000000001</v>
      </c>
      <c r="BB17" s="394">
        <v>4.3200000000000002E-2</v>
      </c>
      <c r="BC17" s="394"/>
      <c r="BD17" s="381" t="s">
        <v>167</v>
      </c>
      <c r="BE17" s="408" t="s">
        <v>175</v>
      </c>
      <c r="BF17" s="385"/>
      <c r="BG17" s="475">
        <v>4</v>
      </c>
      <c r="BH17" s="395">
        <f t="shared" si="20"/>
        <v>172.33763157894737</v>
      </c>
      <c r="BI17" s="395">
        <f t="shared" si="21"/>
        <v>1.0914716666666666</v>
      </c>
    </row>
    <row r="18" spans="1:61" s="358" customFormat="1" ht="19.2" x14ac:dyDescent="0.3">
      <c r="A18" s="359" t="s">
        <v>186</v>
      </c>
      <c r="B18" s="599" t="s">
        <v>4933</v>
      </c>
      <c r="C18" s="549" t="s">
        <v>4932</v>
      </c>
      <c r="D18" s="360">
        <v>0.22</v>
      </c>
      <c r="E18" s="528"/>
      <c r="F18" s="523"/>
      <c r="G18" s="393"/>
      <c r="H18" s="394"/>
      <c r="I18" s="394"/>
      <c r="J18" s="394"/>
      <c r="K18" s="394"/>
      <c r="L18" s="394"/>
      <c r="M18" s="394"/>
      <c r="N18" s="394"/>
      <c r="O18" s="394"/>
      <c r="P18" s="394"/>
      <c r="Q18" s="394"/>
      <c r="R18" s="381"/>
      <c r="S18" s="408"/>
      <c r="T18" s="385"/>
      <c r="U18" s="475"/>
      <c r="V18" s="395"/>
      <c r="W18" s="395"/>
      <c r="X18" s="528"/>
      <c r="Y18" s="523"/>
      <c r="Z18" s="393"/>
      <c r="AA18" s="394"/>
      <c r="AB18" s="394"/>
      <c r="AC18" s="394"/>
      <c r="AD18" s="394"/>
      <c r="AE18" s="394"/>
      <c r="AF18" s="394"/>
      <c r="AG18" s="394"/>
      <c r="AH18" s="394"/>
      <c r="AI18" s="394"/>
      <c r="AJ18" s="394"/>
      <c r="AK18" s="381"/>
      <c r="AL18" s="408"/>
      <c r="AM18" s="385"/>
      <c r="AN18" s="475"/>
      <c r="AO18" s="395"/>
      <c r="AP18" s="395"/>
      <c r="AQ18" s="528">
        <v>50</v>
      </c>
      <c r="AR18" s="523">
        <v>15</v>
      </c>
      <c r="AS18" s="393">
        <v>15</v>
      </c>
      <c r="AT18" s="600">
        <v>42.156289999999998</v>
      </c>
      <c r="AU18" s="394">
        <v>27.347010000000001</v>
      </c>
      <c r="AV18" s="394">
        <v>2.16</v>
      </c>
      <c r="AW18" s="394">
        <v>22.59506</v>
      </c>
      <c r="AX18" s="394">
        <v>5.4740099999999998</v>
      </c>
      <c r="AY18" s="394">
        <v>0</v>
      </c>
      <c r="AZ18" s="394">
        <v>0</v>
      </c>
      <c r="BA18" s="394">
        <v>4.5543100000000001</v>
      </c>
      <c r="BB18" s="394">
        <v>4.3200000000000002E-2</v>
      </c>
      <c r="BC18" s="394">
        <v>11.29753</v>
      </c>
      <c r="BD18" s="381" t="s">
        <v>167</v>
      </c>
      <c r="BE18" s="408" t="s">
        <v>175</v>
      </c>
      <c r="BF18" s="385"/>
      <c r="BG18" s="475">
        <v>5</v>
      </c>
      <c r="BH18" s="395">
        <f t="shared" ref="BH18:BH19" si="22">AT18/AQ18*1000</f>
        <v>843.12579999999991</v>
      </c>
      <c r="BI18" s="395">
        <f t="shared" ref="BI18:BI19" si="23">AT18/AR18</f>
        <v>2.8104193333333334</v>
      </c>
    </row>
    <row r="19" spans="1:61" s="358" customFormat="1" ht="19.2" x14ac:dyDescent="0.3">
      <c r="A19" s="359" t="s">
        <v>189</v>
      </c>
      <c r="B19" s="604" t="s">
        <v>4978</v>
      </c>
      <c r="C19" s="549" t="s">
        <v>4934</v>
      </c>
      <c r="D19" s="360">
        <v>0.22</v>
      </c>
      <c r="E19" s="528"/>
      <c r="F19" s="523"/>
      <c r="G19" s="393"/>
      <c r="H19" s="394"/>
      <c r="I19" s="394"/>
      <c r="J19" s="394"/>
      <c r="K19" s="394"/>
      <c r="L19" s="394"/>
      <c r="M19" s="394"/>
      <c r="N19" s="394"/>
      <c r="O19" s="394"/>
      <c r="P19" s="394"/>
      <c r="Q19" s="394"/>
      <c r="R19" s="381"/>
      <c r="S19" s="408"/>
      <c r="T19" s="385"/>
      <c r="U19" s="475"/>
      <c r="V19" s="395"/>
      <c r="W19" s="395"/>
      <c r="X19" s="528"/>
      <c r="Y19" s="523"/>
      <c r="Z19" s="393"/>
      <c r="AA19" s="394"/>
      <c r="AB19" s="394"/>
      <c r="AC19" s="394"/>
      <c r="AD19" s="394"/>
      <c r="AE19" s="394"/>
      <c r="AF19" s="394"/>
      <c r="AG19" s="394"/>
      <c r="AH19" s="394"/>
      <c r="AI19" s="394"/>
      <c r="AJ19" s="394"/>
      <c r="AK19" s="381"/>
      <c r="AL19" s="408"/>
      <c r="AM19" s="385"/>
      <c r="AN19" s="475"/>
      <c r="AO19" s="395"/>
      <c r="AP19" s="395"/>
      <c r="AQ19" s="528">
        <v>32</v>
      </c>
      <c r="AR19" s="523">
        <v>5</v>
      </c>
      <c r="AS19" s="393">
        <v>5</v>
      </c>
      <c r="AT19" s="600">
        <v>22.34714</v>
      </c>
      <c r="AU19" s="394">
        <v>14.342000000000001</v>
      </c>
      <c r="AV19" s="394">
        <v>1.3824000000000001</v>
      </c>
      <c r="AW19" s="394">
        <v>11.310890000000001</v>
      </c>
      <c r="AX19" s="394">
        <v>2.9513500000000001</v>
      </c>
      <c r="AY19" s="394">
        <v>0</v>
      </c>
      <c r="AZ19" s="394">
        <v>0</v>
      </c>
      <c r="BA19" s="394">
        <v>2.4700000000000002</v>
      </c>
      <c r="BB19" s="394">
        <v>4.3200000000000002E-2</v>
      </c>
      <c r="BC19" s="394">
        <v>11.310890000000001</v>
      </c>
      <c r="BD19" s="381" t="s">
        <v>167</v>
      </c>
      <c r="BE19" s="408" t="s">
        <v>175</v>
      </c>
      <c r="BF19" s="385"/>
      <c r="BG19" s="475">
        <v>7</v>
      </c>
      <c r="BH19" s="395">
        <f t="shared" si="22"/>
        <v>698.34812499999998</v>
      </c>
      <c r="BI19" s="395">
        <f t="shared" si="23"/>
        <v>4.4694279999999997</v>
      </c>
    </row>
    <row r="20" spans="1:61" s="358" customFormat="1" x14ac:dyDescent="0.3">
      <c r="A20" s="359"/>
      <c r="B20" s="382"/>
      <c r="C20" s="549"/>
      <c r="D20" s="360"/>
      <c r="E20" s="528"/>
      <c r="F20" s="523"/>
      <c r="G20" s="393"/>
      <c r="H20" s="394"/>
      <c r="I20" s="394"/>
      <c r="J20" s="394"/>
      <c r="K20" s="394"/>
      <c r="L20" s="394"/>
      <c r="M20" s="394"/>
      <c r="N20" s="394"/>
      <c r="O20" s="394"/>
      <c r="P20" s="394"/>
      <c r="Q20" s="394"/>
      <c r="R20" s="385"/>
      <c r="S20" s="385"/>
      <c r="T20" s="385"/>
      <c r="U20" s="475"/>
      <c r="V20" s="395" t="e">
        <f t="shared" ref="V20:V166" si="24">H20/E20*1000</f>
        <v>#DIV/0!</v>
      </c>
      <c r="W20" s="395" t="e">
        <f t="shared" ref="W20:W166" si="25">H20/F20</f>
        <v>#DIV/0!</v>
      </c>
      <c r="X20" s="528"/>
      <c r="Y20" s="523"/>
      <c r="Z20" s="393"/>
      <c r="AA20" s="394"/>
      <c r="AB20" s="394"/>
      <c r="AC20" s="394"/>
      <c r="AD20" s="394"/>
      <c r="AE20" s="394"/>
      <c r="AF20" s="394"/>
      <c r="AG20" s="394"/>
      <c r="AH20" s="394"/>
      <c r="AI20" s="394"/>
      <c r="AJ20" s="394"/>
      <c r="AK20" s="385"/>
      <c r="AL20" s="385"/>
      <c r="AM20" s="385"/>
      <c r="AN20" s="475"/>
      <c r="AO20" s="395" t="e">
        <f t="shared" si="14"/>
        <v>#DIV/0!</v>
      </c>
      <c r="AP20" s="395" t="e">
        <f t="shared" si="15"/>
        <v>#DIV/0!</v>
      </c>
      <c r="AQ20" s="528"/>
      <c r="AR20" s="523"/>
      <c r="AS20" s="393"/>
      <c r="AT20" s="394"/>
      <c r="AU20" s="394"/>
      <c r="AV20" s="394"/>
      <c r="AW20" s="394"/>
      <c r="AX20" s="394"/>
      <c r="AY20" s="394"/>
      <c r="AZ20" s="394"/>
      <c r="BA20" s="394"/>
      <c r="BB20" s="394"/>
      <c r="BC20" s="394"/>
      <c r="BD20" s="385"/>
      <c r="BE20" s="385"/>
      <c r="BF20" s="385"/>
      <c r="BG20" s="475"/>
      <c r="BH20" s="395" t="e">
        <f t="shared" si="16"/>
        <v>#DIV/0!</v>
      </c>
      <c r="BI20" s="395" t="e">
        <f t="shared" si="17"/>
        <v>#DIV/0!</v>
      </c>
    </row>
    <row r="21" spans="1:61" s="358" customFormat="1" ht="24.6" customHeight="1" x14ac:dyDescent="0.3">
      <c r="A21" s="354" t="s">
        <v>6309</v>
      </c>
      <c r="B21" s="355" t="s">
        <v>188</v>
      </c>
      <c r="C21" s="587"/>
      <c r="D21" s="356">
        <v>0.4</v>
      </c>
      <c r="E21" s="389">
        <f>SUM(E22:E165)</f>
        <v>1705</v>
      </c>
      <c r="F21" s="389">
        <f>SUM(F22:F165)</f>
        <v>308</v>
      </c>
      <c r="G21" s="389">
        <f>SUM(G22:G165)</f>
        <v>308</v>
      </c>
      <c r="H21" s="390">
        <f>SUM(H22:H165)</f>
        <v>1144.9525299999998</v>
      </c>
      <c r="I21" s="390"/>
      <c r="J21" s="390">
        <f t="shared" ref="J21:Q21" si="26">SUM(J22:J165)</f>
        <v>121.49355</v>
      </c>
      <c r="K21" s="390">
        <f t="shared" si="26"/>
        <v>533.91079999999988</v>
      </c>
      <c r="L21" s="390">
        <f t="shared" si="26"/>
        <v>181.57928000000001</v>
      </c>
      <c r="M21" s="390">
        <f t="shared" si="26"/>
        <v>0</v>
      </c>
      <c r="N21" s="390">
        <f t="shared" si="26"/>
        <v>0</v>
      </c>
      <c r="O21" s="390">
        <f t="shared" si="26"/>
        <v>109.35664000000001</v>
      </c>
      <c r="P21" s="390">
        <f t="shared" si="26"/>
        <v>1502.8100000000002</v>
      </c>
      <c r="Q21" s="390">
        <f t="shared" si="26"/>
        <v>293.10320999999999</v>
      </c>
      <c r="R21" s="391"/>
      <c r="S21" s="391"/>
      <c r="T21" s="391"/>
      <c r="U21" s="474"/>
      <c r="V21" s="392">
        <f t="shared" si="24"/>
        <v>671.5264105571847</v>
      </c>
      <c r="W21" s="392">
        <f t="shared" si="25"/>
        <v>3.7173783441558435</v>
      </c>
      <c r="X21" s="389">
        <f>SUM(X22:X165)</f>
        <v>4727</v>
      </c>
      <c r="Y21" s="389">
        <f>SUM(Y22:Y165)</f>
        <v>764</v>
      </c>
      <c r="Z21" s="389">
        <f>SUM(Z22:Z165)</f>
        <v>764</v>
      </c>
      <c r="AA21" s="390">
        <f>SUM(AA22:AA165)</f>
        <v>3952.3038900000006</v>
      </c>
      <c r="AB21" s="390"/>
      <c r="AC21" s="390">
        <f t="shared" ref="AC21:AJ21" si="27">SUM(AC22:AC165)</f>
        <v>311.04555999999985</v>
      </c>
      <c r="AD21" s="390">
        <f t="shared" si="27"/>
        <v>2078.89005</v>
      </c>
      <c r="AE21" s="390">
        <f t="shared" si="27"/>
        <v>578.54567999999995</v>
      </c>
      <c r="AF21" s="390">
        <f t="shared" si="27"/>
        <v>0</v>
      </c>
      <c r="AG21" s="390">
        <f t="shared" si="27"/>
        <v>0</v>
      </c>
      <c r="AH21" s="390">
        <f t="shared" si="27"/>
        <v>325.25112999999993</v>
      </c>
      <c r="AI21" s="390">
        <f t="shared" si="27"/>
        <v>3.9432500000000017</v>
      </c>
      <c r="AJ21" s="390">
        <f t="shared" si="27"/>
        <v>724.96372000000008</v>
      </c>
      <c r="AK21" s="391"/>
      <c r="AL21" s="391"/>
      <c r="AM21" s="391"/>
      <c r="AN21" s="474"/>
      <c r="AO21" s="392">
        <f t="shared" si="14"/>
        <v>836.11252168394344</v>
      </c>
      <c r="AP21" s="392">
        <f t="shared" si="15"/>
        <v>5.1731726308900532</v>
      </c>
      <c r="AQ21" s="389">
        <f>SUM(AQ22:AQ165)</f>
        <v>3604</v>
      </c>
      <c r="AR21" s="389">
        <f>SUM(AR22:AR165)</f>
        <v>869</v>
      </c>
      <c r="AS21" s="389">
        <f>SUM(AS22:AS165)</f>
        <v>869</v>
      </c>
      <c r="AT21" s="390">
        <f>SUM(AT22:AT165)</f>
        <v>2559.7171099999996</v>
      </c>
      <c r="AU21" s="390"/>
      <c r="AV21" s="390">
        <f t="shared" ref="AV21:BC21" si="28">SUM(AV22:AV165)</f>
        <v>293.4575999999999</v>
      </c>
      <c r="AW21" s="390">
        <f t="shared" si="28"/>
        <v>1177.8486100000002</v>
      </c>
      <c r="AX21" s="390">
        <f t="shared" si="28"/>
        <v>343.65218000000016</v>
      </c>
      <c r="AY21" s="390">
        <f t="shared" si="28"/>
        <v>0</v>
      </c>
      <c r="AZ21" s="390">
        <f t="shared" si="28"/>
        <v>0</v>
      </c>
      <c r="BA21" s="390">
        <f t="shared" si="28"/>
        <v>250.30379000000002</v>
      </c>
      <c r="BB21" s="390">
        <f t="shared" si="28"/>
        <v>5.1445000000000034</v>
      </c>
      <c r="BC21" s="390">
        <f t="shared" si="28"/>
        <v>598.29142999999999</v>
      </c>
      <c r="BD21" s="391"/>
      <c r="BE21" s="391"/>
      <c r="BF21" s="391"/>
      <c r="BG21" s="474"/>
      <c r="BH21" s="392">
        <f t="shared" si="16"/>
        <v>710.24337125416196</v>
      </c>
      <c r="BI21" s="392">
        <f t="shared" si="17"/>
        <v>2.9455893095512078</v>
      </c>
    </row>
    <row r="22" spans="1:61" s="358" customFormat="1" ht="19.2" x14ac:dyDescent="0.3">
      <c r="A22" s="359" t="s">
        <v>178</v>
      </c>
      <c r="B22" s="537" t="s">
        <v>562</v>
      </c>
      <c r="C22" s="546" t="s">
        <v>427</v>
      </c>
      <c r="D22" s="360">
        <v>0.4</v>
      </c>
      <c r="E22" s="528">
        <v>92</v>
      </c>
      <c r="F22" s="523">
        <v>15</v>
      </c>
      <c r="G22" s="393">
        <v>15</v>
      </c>
      <c r="H22" s="542">
        <v>74.839770000000001</v>
      </c>
      <c r="I22" s="394">
        <v>51.48892</v>
      </c>
      <c r="J22" s="394">
        <v>5.5751999999999997</v>
      </c>
      <c r="K22" s="394">
        <f>19.72668+19.72668</f>
        <v>39.453360000000004</v>
      </c>
      <c r="L22" s="394">
        <v>10.88805</v>
      </c>
      <c r="M22" s="394">
        <v>0</v>
      </c>
      <c r="N22" s="394">
        <v>0</v>
      </c>
      <c r="O22" s="394">
        <v>6.1685100000000004</v>
      </c>
      <c r="P22" s="394">
        <v>60.6</v>
      </c>
      <c r="Q22" s="394">
        <v>9.8633400000000009</v>
      </c>
      <c r="R22" s="381" t="s">
        <v>167</v>
      </c>
      <c r="S22" s="408" t="s">
        <v>175</v>
      </c>
      <c r="T22" s="385"/>
      <c r="U22" s="475">
        <v>6</v>
      </c>
      <c r="V22" s="395">
        <f t="shared" ref="V22:V32" si="29">H22/E22*1000</f>
        <v>813.47576086956519</v>
      </c>
      <c r="W22" s="395">
        <f t="shared" ref="W22:W32" si="30">H22/F22</f>
        <v>4.9893179999999999</v>
      </c>
      <c r="X22" s="528"/>
      <c r="Y22" s="523"/>
      <c r="Z22" s="393"/>
      <c r="AA22" s="542"/>
      <c r="AB22" s="394"/>
      <c r="AC22" s="394"/>
      <c r="AD22" s="394"/>
      <c r="AE22" s="394"/>
      <c r="AF22" s="394"/>
      <c r="AG22" s="394"/>
      <c r="AH22" s="394"/>
      <c r="AI22" s="394"/>
      <c r="AJ22" s="394"/>
      <c r="AK22" s="381"/>
      <c r="AL22" s="408"/>
      <c r="AM22" s="385"/>
      <c r="AN22" s="475"/>
      <c r="AO22" s="395" t="e">
        <f t="shared" si="14"/>
        <v>#DIV/0!</v>
      </c>
      <c r="AP22" s="395" t="e">
        <f t="shared" si="15"/>
        <v>#DIV/0!</v>
      </c>
      <c r="AQ22" s="528"/>
      <c r="AR22" s="523"/>
      <c r="AS22" s="393"/>
      <c r="AT22" s="542"/>
      <c r="AU22" s="394"/>
      <c r="AV22" s="394"/>
      <c r="AW22" s="394"/>
      <c r="AX22" s="394"/>
      <c r="AY22" s="394"/>
      <c r="AZ22" s="394"/>
      <c r="BA22" s="394"/>
      <c r="BB22" s="394"/>
      <c r="BC22" s="394"/>
      <c r="BD22" s="381"/>
      <c r="BE22" s="408"/>
      <c r="BF22" s="385"/>
      <c r="BG22" s="475"/>
      <c r="BH22" s="395" t="e">
        <f t="shared" si="16"/>
        <v>#DIV/0!</v>
      </c>
      <c r="BI22" s="395" t="e">
        <f t="shared" si="17"/>
        <v>#DIV/0!</v>
      </c>
    </row>
    <row r="23" spans="1:61" s="358" customFormat="1" ht="19.2" x14ac:dyDescent="0.3">
      <c r="A23" s="359" t="s">
        <v>182</v>
      </c>
      <c r="B23" s="537" t="s">
        <v>579</v>
      </c>
      <c r="C23" s="546" t="s">
        <v>449</v>
      </c>
      <c r="D23" s="360">
        <v>0.4</v>
      </c>
      <c r="E23" s="528">
        <v>100</v>
      </c>
      <c r="F23" s="523">
        <v>15</v>
      </c>
      <c r="G23" s="393">
        <v>15</v>
      </c>
      <c r="H23" s="542">
        <v>67.880219999999994</v>
      </c>
      <c r="I23" s="394">
        <v>46.46857</v>
      </c>
      <c r="J23" s="394">
        <v>6.1159999999999997</v>
      </c>
      <c r="K23" s="394">
        <f>11.7896+23.5792</f>
        <v>35.3688</v>
      </c>
      <c r="L23" s="394">
        <v>9.5476600000000005</v>
      </c>
      <c r="M23" s="394">
        <v>0</v>
      </c>
      <c r="N23" s="394">
        <v>0</v>
      </c>
      <c r="O23" s="394">
        <v>5.8916000000000004</v>
      </c>
      <c r="P23" s="394">
        <v>61.16</v>
      </c>
      <c r="Q23" s="394">
        <v>11.7896</v>
      </c>
      <c r="R23" s="381" t="s">
        <v>167</v>
      </c>
      <c r="S23" s="408" t="s">
        <v>175</v>
      </c>
      <c r="T23" s="385"/>
      <c r="U23" s="475">
        <v>8</v>
      </c>
      <c r="V23" s="395">
        <f t="shared" si="29"/>
        <v>678.80219999999986</v>
      </c>
      <c r="W23" s="395">
        <f t="shared" si="30"/>
        <v>4.5253479999999993</v>
      </c>
      <c r="X23" s="528"/>
      <c r="Y23" s="523"/>
      <c r="Z23" s="393"/>
      <c r="AA23" s="542"/>
      <c r="AB23" s="394"/>
      <c r="AC23" s="394"/>
      <c r="AD23" s="394"/>
      <c r="AE23" s="394"/>
      <c r="AF23" s="394"/>
      <c r="AG23" s="394"/>
      <c r="AH23" s="394"/>
      <c r="AI23" s="394"/>
      <c r="AJ23" s="394"/>
      <c r="AK23" s="381"/>
      <c r="AL23" s="408"/>
      <c r="AM23" s="385"/>
      <c r="AN23" s="475"/>
      <c r="AO23" s="395" t="e">
        <f t="shared" si="14"/>
        <v>#DIV/0!</v>
      </c>
      <c r="AP23" s="395" t="e">
        <f t="shared" si="15"/>
        <v>#DIV/0!</v>
      </c>
      <c r="AQ23" s="528"/>
      <c r="AR23" s="523"/>
      <c r="AS23" s="393"/>
      <c r="AT23" s="542"/>
      <c r="AU23" s="394"/>
      <c r="AV23" s="394"/>
      <c r="AW23" s="394"/>
      <c r="AX23" s="394"/>
      <c r="AY23" s="394"/>
      <c r="AZ23" s="394"/>
      <c r="BA23" s="394"/>
      <c r="BB23" s="394"/>
      <c r="BC23" s="394"/>
      <c r="BD23" s="381"/>
      <c r="BE23" s="408"/>
      <c r="BF23" s="385"/>
      <c r="BG23" s="475"/>
      <c r="BH23" s="395" t="e">
        <f t="shared" si="16"/>
        <v>#DIV/0!</v>
      </c>
      <c r="BI23" s="395" t="e">
        <f t="shared" si="17"/>
        <v>#DIV/0!</v>
      </c>
    </row>
    <row r="24" spans="1:61" s="358" customFormat="1" ht="19.2" x14ac:dyDescent="0.3">
      <c r="A24" s="359" t="s">
        <v>184</v>
      </c>
      <c r="B24" s="537" t="s">
        <v>584</v>
      </c>
      <c r="C24" s="546" t="s">
        <v>455</v>
      </c>
      <c r="D24" s="360">
        <v>0.4</v>
      </c>
      <c r="E24" s="528">
        <v>75</v>
      </c>
      <c r="F24" s="523">
        <v>15</v>
      </c>
      <c r="G24" s="393">
        <v>15</v>
      </c>
      <c r="H24" s="542">
        <v>45.769550000000002</v>
      </c>
      <c r="I24" s="394">
        <v>30.975069999999999</v>
      </c>
      <c r="J24" s="394">
        <v>4.5869999999999997</v>
      </c>
      <c r="K24" s="394">
        <v>23.84102</v>
      </c>
      <c r="L24" s="394">
        <v>6.4462999999999999</v>
      </c>
      <c r="M24" s="394">
        <v>0</v>
      </c>
      <c r="N24" s="394">
        <v>0</v>
      </c>
      <c r="O24" s="394">
        <v>4.1209899999999999</v>
      </c>
      <c r="P24" s="394">
        <v>61.16</v>
      </c>
      <c r="Q24" s="394">
        <v>11.92051</v>
      </c>
      <c r="R24" s="381" t="s">
        <v>167</v>
      </c>
      <c r="S24" s="408" t="s">
        <v>175</v>
      </c>
      <c r="T24" s="385"/>
      <c r="U24" s="475">
        <v>10</v>
      </c>
      <c r="V24" s="395">
        <f t="shared" si="29"/>
        <v>610.26066666666668</v>
      </c>
      <c r="W24" s="395">
        <f t="shared" si="30"/>
        <v>3.0513033333333337</v>
      </c>
      <c r="X24" s="528"/>
      <c r="Y24" s="523"/>
      <c r="Z24" s="393"/>
      <c r="AA24" s="542"/>
      <c r="AB24" s="394"/>
      <c r="AC24" s="394"/>
      <c r="AD24" s="394"/>
      <c r="AE24" s="394"/>
      <c r="AF24" s="394"/>
      <c r="AG24" s="394"/>
      <c r="AH24" s="394"/>
      <c r="AI24" s="394"/>
      <c r="AJ24" s="394"/>
      <c r="AK24" s="381"/>
      <c r="AL24" s="408"/>
      <c r="AM24" s="385"/>
      <c r="AN24" s="475"/>
      <c r="AO24" s="395" t="e">
        <f t="shared" si="14"/>
        <v>#DIV/0!</v>
      </c>
      <c r="AP24" s="395" t="e">
        <f t="shared" si="15"/>
        <v>#DIV/0!</v>
      </c>
      <c r="AQ24" s="528"/>
      <c r="AR24" s="523"/>
      <c r="AS24" s="393"/>
      <c r="AT24" s="542"/>
      <c r="AU24" s="394"/>
      <c r="AV24" s="394"/>
      <c r="AW24" s="394"/>
      <c r="AX24" s="394"/>
      <c r="AY24" s="394"/>
      <c r="AZ24" s="394"/>
      <c r="BA24" s="394"/>
      <c r="BB24" s="394"/>
      <c r="BC24" s="394"/>
      <c r="BD24" s="381"/>
      <c r="BE24" s="408"/>
      <c r="BF24" s="385"/>
      <c r="BG24" s="475"/>
      <c r="BH24" s="395" t="e">
        <f t="shared" si="16"/>
        <v>#DIV/0!</v>
      </c>
      <c r="BI24" s="395" t="e">
        <f t="shared" si="17"/>
        <v>#DIV/0!</v>
      </c>
    </row>
    <row r="25" spans="1:61" s="358" customFormat="1" ht="19.2" x14ac:dyDescent="0.3">
      <c r="A25" s="359" t="s">
        <v>186</v>
      </c>
      <c r="B25" s="537" t="s">
        <v>585</v>
      </c>
      <c r="C25" s="546" t="s">
        <v>457</v>
      </c>
      <c r="D25" s="360">
        <v>0.4</v>
      </c>
      <c r="E25" s="528">
        <v>110</v>
      </c>
      <c r="F25" s="523">
        <v>15</v>
      </c>
      <c r="G25" s="393">
        <v>15</v>
      </c>
      <c r="H25" s="542">
        <v>68.801169999999999</v>
      </c>
      <c r="I25" s="394">
        <v>46.796410000000002</v>
      </c>
      <c r="J25" s="394">
        <v>6.7275999999999998</v>
      </c>
      <c r="K25" s="394">
        <v>35.76153</v>
      </c>
      <c r="L25" s="394">
        <v>9.5878800000000002</v>
      </c>
      <c r="M25" s="394">
        <v>0</v>
      </c>
      <c r="N25" s="394">
        <v>0</v>
      </c>
      <c r="O25" s="394">
        <v>6.1283399999999997</v>
      </c>
      <c r="P25" s="394">
        <v>61.16</v>
      </c>
      <c r="Q25" s="394">
        <v>11.92051</v>
      </c>
      <c r="R25" s="381" t="s">
        <v>167</v>
      </c>
      <c r="S25" s="408" t="s">
        <v>175</v>
      </c>
      <c r="T25" s="385"/>
      <c r="U25" s="475">
        <v>12</v>
      </c>
      <c r="V25" s="395">
        <f t="shared" ref="V25:V31" si="31">H25/E25*1000</f>
        <v>625.4651818181818</v>
      </c>
      <c r="W25" s="395">
        <f t="shared" ref="W25:W31" si="32">H25/F25</f>
        <v>4.5867446666666662</v>
      </c>
      <c r="X25" s="528"/>
      <c r="Y25" s="523"/>
      <c r="Z25" s="393"/>
      <c r="AA25" s="542"/>
      <c r="AB25" s="394"/>
      <c r="AC25" s="394"/>
      <c r="AD25" s="394"/>
      <c r="AE25" s="394"/>
      <c r="AF25" s="394"/>
      <c r="AG25" s="394"/>
      <c r="AH25" s="394"/>
      <c r="AI25" s="394"/>
      <c r="AJ25" s="394"/>
      <c r="AK25" s="381"/>
      <c r="AL25" s="408"/>
      <c r="AM25" s="385"/>
      <c r="AN25" s="475"/>
      <c r="AO25" s="395" t="e">
        <f t="shared" si="14"/>
        <v>#DIV/0!</v>
      </c>
      <c r="AP25" s="395" t="e">
        <f t="shared" si="15"/>
        <v>#DIV/0!</v>
      </c>
      <c r="AQ25" s="528"/>
      <c r="AR25" s="523"/>
      <c r="AS25" s="393"/>
      <c r="AT25" s="542"/>
      <c r="AU25" s="394"/>
      <c r="AV25" s="394"/>
      <c r="AW25" s="394"/>
      <c r="AX25" s="394"/>
      <c r="AY25" s="394"/>
      <c r="AZ25" s="394"/>
      <c r="BA25" s="394"/>
      <c r="BB25" s="394"/>
      <c r="BC25" s="394"/>
      <c r="BD25" s="381"/>
      <c r="BE25" s="408"/>
      <c r="BF25" s="385"/>
      <c r="BG25" s="475"/>
      <c r="BH25" s="395" t="e">
        <f t="shared" si="16"/>
        <v>#DIV/0!</v>
      </c>
      <c r="BI25" s="395" t="e">
        <f t="shared" si="17"/>
        <v>#DIV/0!</v>
      </c>
    </row>
    <row r="26" spans="1:61" s="358" customFormat="1" ht="19.2" x14ac:dyDescent="0.3">
      <c r="A26" s="359" t="s">
        <v>189</v>
      </c>
      <c r="B26" s="537" t="s">
        <v>586</v>
      </c>
      <c r="C26" s="546" t="s">
        <v>458</v>
      </c>
      <c r="D26" s="360">
        <v>0.4</v>
      </c>
      <c r="E26" s="528">
        <v>40</v>
      </c>
      <c r="F26" s="523">
        <v>5</v>
      </c>
      <c r="G26" s="393">
        <v>5</v>
      </c>
      <c r="H26" s="542">
        <v>32.531309999999998</v>
      </c>
      <c r="I26" s="394">
        <v>19.994769999999999</v>
      </c>
      <c r="J26" s="394">
        <v>2.4464000000000001</v>
      </c>
      <c r="K26" s="394">
        <v>11.92051</v>
      </c>
      <c r="L26" s="394">
        <v>3.67022</v>
      </c>
      <c r="M26" s="394">
        <v>0</v>
      </c>
      <c r="N26" s="394">
        <v>0</v>
      </c>
      <c r="O26" s="394">
        <v>3.8249499999999999</v>
      </c>
      <c r="P26" s="394">
        <v>61.16</v>
      </c>
      <c r="Q26" s="394">
        <v>11.92051</v>
      </c>
      <c r="R26" s="381" t="s">
        <v>167</v>
      </c>
      <c r="S26" s="408" t="s">
        <v>175</v>
      </c>
      <c r="T26" s="385"/>
      <c r="U26" s="475">
        <v>14</v>
      </c>
      <c r="V26" s="395">
        <f t="shared" si="31"/>
        <v>813.28274999999996</v>
      </c>
      <c r="W26" s="395">
        <f t="shared" si="32"/>
        <v>6.5062619999999995</v>
      </c>
      <c r="X26" s="528"/>
      <c r="Y26" s="523"/>
      <c r="Z26" s="393"/>
      <c r="AA26" s="542"/>
      <c r="AB26" s="394"/>
      <c r="AC26" s="394"/>
      <c r="AD26" s="394"/>
      <c r="AE26" s="394"/>
      <c r="AF26" s="394"/>
      <c r="AG26" s="394"/>
      <c r="AH26" s="394"/>
      <c r="AI26" s="394"/>
      <c r="AJ26" s="394"/>
      <c r="AK26" s="381"/>
      <c r="AL26" s="408"/>
      <c r="AM26" s="385"/>
      <c r="AN26" s="475"/>
      <c r="AO26" s="395" t="e">
        <f t="shared" si="14"/>
        <v>#DIV/0!</v>
      </c>
      <c r="AP26" s="395" t="e">
        <f t="shared" si="15"/>
        <v>#DIV/0!</v>
      </c>
      <c r="AQ26" s="528"/>
      <c r="AR26" s="523"/>
      <c r="AS26" s="393"/>
      <c r="AT26" s="542"/>
      <c r="AU26" s="394"/>
      <c r="AV26" s="394"/>
      <c r="AW26" s="394"/>
      <c r="AX26" s="394"/>
      <c r="AY26" s="394"/>
      <c r="AZ26" s="394"/>
      <c r="BA26" s="394"/>
      <c r="BB26" s="394"/>
      <c r="BC26" s="394"/>
      <c r="BD26" s="381"/>
      <c r="BE26" s="408"/>
      <c r="BF26" s="385"/>
      <c r="BG26" s="475"/>
      <c r="BH26" s="395" t="e">
        <f t="shared" si="16"/>
        <v>#DIV/0!</v>
      </c>
      <c r="BI26" s="395" t="e">
        <f t="shared" si="17"/>
        <v>#DIV/0!</v>
      </c>
    </row>
    <row r="27" spans="1:61" s="358" customFormat="1" ht="19.2" x14ac:dyDescent="0.3">
      <c r="A27" s="359" t="s">
        <v>267</v>
      </c>
      <c r="B27" s="537" t="s">
        <v>590</v>
      </c>
      <c r="C27" s="546" t="s">
        <v>462</v>
      </c>
      <c r="D27" s="360">
        <v>0.4</v>
      </c>
      <c r="E27" s="528">
        <v>40</v>
      </c>
      <c r="F27" s="523">
        <v>15</v>
      </c>
      <c r="G27" s="393">
        <v>15</v>
      </c>
      <c r="H27" s="542">
        <v>24.267399999999999</v>
      </c>
      <c r="I27" s="394">
        <v>16.68318</v>
      </c>
      <c r="J27" s="394">
        <v>2.4464000000000001</v>
      </c>
      <c r="K27" s="394">
        <v>11.92051</v>
      </c>
      <c r="L27" s="394">
        <v>3.3047200000000001</v>
      </c>
      <c r="M27" s="394">
        <v>0</v>
      </c>
      <c r="N27" s="394">
        <v>0</v>
      </c>
      <c r="O27" s="394">
        <v>2.1136499999999998</v>
      </c>
      <c r="P27" s="394">
        <v>61.16</v>
      </c>
      <c r="Q27" s="394">
        <v>11.92051</v>
      </c>
      <c r="R27" s="381" t="s">
        <v>167</v>
      </c>
      <c r="S27" s="408" t="s">
        <v>175</v>
      </c>
      <c r="T27" s="385"/>
      <c r="U27" s="475">
        <v>17</v>
      </c>
      <c r="V27" s="395">
        <f t="shared" si="31"/>
        <v>606.68499999999995</v>
      </c>
      <c r="W27" s="395">
        <f t="shared" si="32"/>
        <v>1.6178266666666665</v>
      </c>
      <c r="X27" s="528"/>
      <c r="Y27" s="523"/>
      <c r="Z27" s="393"/>
      <c r="AA27" s="542"/>
      <c r="AB27" s="394"/>
      <c r="AC27" s="394"/>
      <c r="AD27" s="394"/>
      <c r="AE27" s="394"/>
      <c r="AF27" s="394"/>
      <c r="AG27" s="394"/>
      <c r="AH27" s="394"/>
      <c r="AI27" s="394"/>
      <c r="AJ27" s="394"/>
      <c r="AK27" s="381"/>
      <c r="AL27" s="408"/>
      <c r="AM27" s="385"/>
      <c r="AN27" s="475"/>
      <c r="AO27" s="395" t="e">
        <f t="shared" si="14"/>
        <v>#DIV/0!</v>
      </c>
      <c r="AP27" s="395" t="e">
        <f t="shared" si="15"/>
        <v>#DIV/0!</v>
      </c>
      <c r="AQ27" s="528"/>
      <c r="AR27" s="523"/>
      <c r="AS27" s="393"/>
      <c r="AT27" s="542"/>
      <c r="AU27" s="394"/>
      <c r="AV27" s="394"/>
      <c r="AW27" s="394"/>
      <c r="AX27" s="394"/>
      <c r="AY27" s="394"/>
      <c r="AZ27" s="394"/>
      <c r="BA27" s="394"/>
      <c r="BB27" s="394"/>
      <c r="BC27" s="394"/>
      <c r="BD27" s="381"/>
      <c r="BE27" s="408"/>
      <c r="BF27" s="385"/>
      <c r="BG27" s="475"/>
      <c r="BH27" s="395" t="e">
        <f t="shared" si="16"/>
        <v>#DIV/0!</v>
      </c>
      <c r="BI27" s="395" t="e">
        <f t="shared" si="17"/>
        <v>#DIV/0!</v>
      </c>
    </row>
    <row r="28" spans="1:61" s="358" customFormat="1" ht="19.2" x14ac:dyDescent="0.3">
      <c r="A28" s="359" t="s">
        <v>268</v>
      </c>
      <c r="B28" s="537" t="s">
        <v>593</v>
      </c>
      <c r="C28" s="546" t="s">
        <v>465</v>
      </c>
      <c r="D28" s="360">
        <v>0.4</v>
      </c>
      <c r="E28" s="528">
        <v>40</v>
      </c>
      <c r="F28" s="523">
        <v>15</v>
      </c>
      <c r="G28" s="393">
        <v>15</v>
      </c>
      <c r="H28" s="542">
        <v>24.267399999999999</v>
      </c>
      <c r="I28" s="394">
        <v>16.68318</v>
      </c>
      <c r="J28" s="394">
        <v>2.4464000000000001</v>
      </c>
      <c r="K28" s="394">
        <v>11.92051</v>
      </c>
      <c r="L28" s="394">
        <v>3.3047200000000001</v>
      </c>
      <c r="M28" s="394">
        <v>0</v>
      </c>
      <c r="N28" s="394">
        <v>0</v>
      </c>
      <c r="O28" s="394">
        <v>2.1136499999999998</v>
      </c>
      <c r="P28" s="394">
        <v>61.16</v>
      </c>
      <c r="Q28" s="394">
        <v>11.92051</v>
      </c>
      <c r="R28" s="381" t="s">
        <v>167</v>
      </c>
      <c r="S28" s="408" t="s">
        <v>175</v>
      </c>
      <c r="T28" s="385"/>
      <c r="U28" s="475">
        <v>19</v>
      </c>
      <c r="V28" s="395">
        <f t="shared" si="31"/>
        <v>606.68499999999995</v>
      </c>
      <c r="W28" s="395">
        <f t="shared" si="32"/>
        <v>1.6178266666666665</v>
      </c>
      <c r="X28" s="528"/>
      <c r="Y28" s="523"/>
      <c r="Z28" s="393"/>
      <c r="AA28" s="542"/>
      <c r="AB28" s="394"/>
      <c r="AC28" s="394"/>
      <c r="AD28" s="394"/>
      <c r="AE28" s="394"/>
      <c r="AF28" s="394"/>
      <c r="AG28" s="394"/>
      <c r="AH28" s="394"/>
      <c r="AI28" s="394"/>
      <c r="AJ28" s="394"/>
      <c r="AK28" s="381"/>
      <c r="AL28" s="408"/>
      <c r="AM28" s="385"/>
      <c r="AN28" s="475"/>
      <c r="AO28" s="395" t="e">
        <f t="shared" si="14"/>
        <v>#DIV/0!</v>
      </c>
      <c r="AP28" s="395" t="e">
        <f t="shared" si="15"/>
        <v>#DIV/0!</v>
      </c>
      <c r="AQ28" s="528"/>
      <c r="AR28" s="523"/>
      <c r="AS28" s="393"/>
      <c r="AT28" s="542"/>
      <c r="AU28" s="394"/>
      <c r="AV28" s="394"/>
      <c r="AW28" s="394"/>
      <c r="AX28" s="394"/>
      <c r="AY28" s="394"/>
      <c r="AZ28" s="394"/>
      <c r="BA28" s="394"/>
      <c r="BB28" s="394"/>
      <c r="BC28" s="394"/>
      <c r="BD28" s="381"/>
      <c r="BE28" s="408"/>
      <c r="BF28" s="385"/>
      <c r="BG28" s="475"/>
      <c r="BH28" s="395" t="e">
        <f t="shared" si="16"/>
        <v>#DIV/0!</v>
      </c>
      <c r="BI28" s="395" t="e">
        <f t="shared" si="17"/>
        <v>#DIV/0!</v>
      </c>
    </row>
    <row r="29" spans="1:61" s="358" customFormat="1" ht="19.2" x14ac:dyDescent="0.3">
      <c r="A29" s="359" t="s">
        <v>269</v>
      </c>
      <c r="B29" s="537" t="s">
        <v>598</v>
      </c>
      <c r="C29" s="546" t="s">
        <v>470</v>
      </c>
      <c r="D29" s="360">
        <v>0.4</v>
      </c>
      <c r="E29" s="528">
        <v>43</v>
      </c>
      <c r="F29" s="523">
        <v>15</v>
      </c>
      <c r="G29" s="393">
        <v>15</v>
      </c>
      <c r="H29" s="542">
        <v>24.904689999999999</v>
      </c>
      <c r="I29" s="394">
        <v>17.09412</v>
      </c>
      <c r="J29" s="394">
        <v>2.62988</v>
      </c>
      <c r="K29" s="394">
        <v>11.92051</v>
      </c>
      <c r="L29" s="394">
        <v>3.4026000000000001</v>
      </c>
      <c r="M29" s="394">
        <v>0</v>
      </c>
      <c r="N29" s="394">
        <v>0</v>
      </c>
      <c r="O29" s="394">
        <v>2.1774300000000002</v>
      </c>
      <c r="P29" s="394">
        <v>61.16</v>
      </c>
      <c r="Q29" s="394">
        <v>11.92051</v>
      </c>
      <c r="R29" s="381" t="s">
        <v>167</v>
      </c>
      <c r="S29" s="408" t="s">
        <v>175</v>
      </c>
      <c r="T29" s="385"/>
      <c r="U29" s="475">
        <v>21</v>
      </c>
      <c r="V29" s="395">
        <f t="shared" si="31"/>
        <v>579.17883720930229</v>
      </c>
      <c r="W29" s="395">
        <f t="shared" si="32"/>
        <v>1.6603126666666665</v>
      </c>
      <c r="X29" s="528"/>
      <c r="Y29" s="523"/>
      <c r="Z29" s="393"/>
      <c r="AA29" s="542"/>
      <c r="AB29" s="394"/>
      <c r="AC29" s="394"/>
      <c r="AD29" s="394"/>
      <c r="AE29" s="394"/>
      <c r="AF29" s="394"/>
      <c r="AG29" s="394"/>
      <c r="AH29" s="394"/>
      <c r="AI29" s="394"/>
      <c r="AJ29" s="394"/>
      <c r="AK29" s="381"/>
      <c r="AL29" s="408"/>
      <c r="AM29" s="385"/>
      <c r="AN29" s="475"/>
      <c r="AO29" s="395" t="e">
        <f t="shared" si="14"/>
        <v>#DIV/0!</v>
      </c>
      <c r="AP29" s="395" t="e">
        <f t="shared" si="15"/>
        <v>#DIV/0!</v>
      </c>
      <c r="AQ29" s="528"/>
      <c r="AR29" s="523"/>
      <c r="AS29" s="393"/>
      <c r="AT29" s="542"/>
      <c r="AU29" s="394"/>
      <c r="AV29" s="394"/>
      <c r="AW29" s="394"/>
      <c r="AX29" s="394"/>
      <c r="AY29" s="394"/>
      <c r="AZ29" s="394"/>
      <c r="BA29" s="394"/>
      <c r="BB29" s="394"/>
      <c r="BC29" s="394"/>
      <c r="BD29" s="381"/>
      <c r="BE29" s="408"/>
      <c r="BF29" s="385"/>
      <c r="BG29" s="475"/>
      <c r="BH29" s="395" t="e">
        <f t="shared" si="16"/>
        <v>#DIV/0!</v>
      </c>
      <c r="BI29" s="395" t="e">
        <f t="shared" si="17"/>
        <v>#DIV/0!</v>
      </c>
    </row>
    <row r="30" spans="1:61" s="358" customFormat="1" ht="19.2" x14ac:dyDescent="0.3">
      <c r="A30" s="359" t="s">
        <v>270</v>
      </c>
      <c r="B30" s="537" t="s">
        <v>604</v>
      </c>
      <c r="C30" s="546" t="s">
        <v>477</v>
      </c>
      <c r="D30" s="360">
        <v>0.4</v>
      </c>
      <c r="E30" s="528">
        <v>35</v>
      </c>
      <c r="F30" s="523">
        <v>15</v>
      </c>
      <c r="G30" s="393">
        <v>15</v>
      </c>
      <c r="H30" s="542">
        <v>23.152699999999999</v>
      </c>
      <c r="I30" s="394">
        <v>15.785019999999999</v>
      </c>
      <c r="J30" s="394">
        <v>2.1406000000000001</v>
      </c>
      <c r="K30" s="394">
        <v>12.04426</v>
      </c>
      <c r="L30" s="394">
        <v>3.2989799999999998</v>
      </c>
      <c r="M30" s="394">
        <v>0</v>
      </c>
      <c r="N30" s="394">
        <v>0</v>
      </c>
      <c r="O30" s="394">
        <v>2.0073500000000002</v>
      </c>
      <c r="P30" s="394">
        <v>61.16</v>
      </c>
      <c r="Q30" s="394">
        <v>12.04426</v>
      </c>
      <c r="R30" s="381" t="s">
        <v>167</v>
      </c>
      <c r="S30" s="408" t="s">
        <v>175</v>
      </c>
      <c r="T30" s="385"/>
      <c r="U30" s="475">
        <v>23</v>
      </c>
      <c r="V30" s="395">
        <f t="shared" si="31"/>
        <v>661.50571428571425</v>
      </c>
      <c r="W30" s="395">
        <f t="shared" si="32"/>
        <v>1.5435133333333333</v>
      </c>
      <c r="X30" s="528"/>
      <c r="Y30" s="523"/>
      <c r="Z30" s="393"/>
      <c r="AA30" s="542"/>
      <c r="AB30" s="394"/>
      <c r="AC30" s="394"/>
      <c r="AD30" s="394"/>
      <c r="AE30" s="394"/>
      <c r="AF30" s="394"/>
      <c r="AG30" s="394"/>
      <c r="AH30" s="394"/>
      <c r="AI30" s="394"/>
      <c r="AJ30" s="394"/>
      <c r="AK30" s="381"/>
      <c r="AL30" s="408"/>
      <c r="AM30" s="385"/>
      <c r="AN30" s="475"/>
      <c r="AO30" s="395" t="e">
        <f t="shared" si="14"/>
        <v>#DIV/0!</v>
      </c>
      <c r="AP30" s="395" t="e">
        <f t="shared" si="15"/>
        <v>#DIV/0!</v>
      </c>
      <c r="AQ30" s="528"/>
      <c r="AR30" s="523"/>
      <c r="AS30" s="393"/>
      <c r="AT30" s="542"/>
      <c r="AU30" s="394"/>
      <c r="AV30" s="394"/>
      <c r="AW30" s="394"/>
      <c r="AX30" s="394"/>
      <c r="AY30" s="394"/>
      <c r="AZ30" s="394"/>
      <c r="BA30" s="394"/>
      <c r="BB30" s="394"/>
      <c r="BC30" s="394"/>
      <c r="BD30" s="381"/>
      <c r="BE30" s="408"/>
      <c r="BF30" s="385"/>
      <c r="BG30" s="475"/>
      <c r="BH30" s="395" t="e">
        <f t="shared" si="16"/>
        <v>#DIV/0!</v>
      </c>
      <c r="BI30" s="395" t="e">
        <f t="shared" si="17"/>
        <v>#DIV/0!</v>
      </c>
    </row>
    <row r="31" spans="1:61" s="358" customFormat="1" ht="19.2" x14ac:dyDescent="0.3">
      <c r="A31" s="359" t="s">
        <v>271</v>
      </c>
      <c r="B31" s="537" t="s">
        <v>619</v>
      </c>
      <c r="C31" s="546" t="s">
        <v>494</v>
      </c>
      <c r="D31" s="360">
        <v>0.4</v>
      </c>
      <c r="E31" s="528"/>
      <c r="F31" s="523">
        <v>15</v>
      </c>
      <c r="G31" s="393">
        <v>15</v>
      </c>
      <c r="H31" s="542">
        <v>58.709220000000002</v>
      </c>
      <c r="I31" s="394">
        <v>28.29543</v>
      </c>
      <c r="J31" s="394">
        <v>18.16452</v>
      </c>
      <c r="K31" s="394"/>
      <c r="L31" s="394">
        <v>28.29543</v>
      </c>
      <c r="M31" s="394">
        <v>0</v>
      </c>
      <c r="N31" s="394">
        <v>0</v>
      </c>
      <c r="O31" s="394">
        <v>9.6544000000000008</v>
      </c>
      <c r="P31" s="394">
        <v>61.16</v>
      </c>
      <c r="Q31" s="394"/>
      <c r="R31" s="381" t="s">
        <v>167</v>
      </c>
      <c r="S31" s="408" t="s">
        <v>175</v>
      </c>
      <c r="T31" s="385"/>
      <c r="U31" s="475">
        <v>24</v>
      </c>
      <c r="V31" s="395" t="e">
        <f t="shared" si="31"/>
        <v>#DIV/0!</v>
      </c>
      <c r="W31" s="395">
        <f t="shared" si="32"/>
        <v>3.913948</v>
      </c>
      <c r="X31" s="528"/>
      <c r="Y31" s="523"/>
      <c r="Z31" s="393"/>
      <c r="AA31" s="542"/>
      <c r="AB31" s="394"/>
      <c r="AC31" s="394"/>
      <c r="AD31" s="394"/>
      <c r="AE31" s="394"/>
      <c r="AF31" s="394"/>
      <c r="AG31" s="394"/>
      <c r="AH31" s="394"/>
      <c r="AI31" s="394"/>
      <c r="AJ31" s="394"/>
      <c r="AK31" s="381"/>
      <c r="AL31" s="408"/>
      <c r="AM31" s="385"/>
      <c r="AN31" s="475"/>
      <c r="AO31" s="395" t="e">
        <f t="shared" si="14"/>
        <v>#DIV/0!</v>
      </c>
      <c r="AP31" s="395" t="e">
        <f t="shared" si="15"/>
        <v>#DIV/0!</v>
      </c>
      <c r="AQ31" s="528"/>
      <c r="AR31" s="523"/>
      <c r="AS31" s="393"/>
      <c r="AT31" s="542"/>
      <c r="AU31" s="394"/>
      <c r="AV31" s="394"/>
      <c r="AW31" s="394"/>
      <c r="AX31" s="394"/>
      <c r="AY31" s="394"/>
      <c r="AZ31" s="394"/>
      <c r="BA31" s="394"/>
      <c r="BB31" s="394"/>
      <c r="BC31" s="394"/>
      <c r="BD31" s="381"/>
      <c r="BE31" s="408"/>
      <c r="BF31" s="385"/>
      <c r="BG31" s="475"/>
      <c r="BH31" s="395" t="e">
        <f t="shared" si="16"/>
        <v>#DIV/0!</v>
      </c>
      <c r="BI31" s="395" t="e">
        <f t="shared" si="17"/>
        <v>#DIV/0!</v>
      </c>
    </row>
    <row r="32" spans="1:61" s="358" customFormat="1" ht="19.2" x14ac:dyDescent="0.3">
      <c r="A32" s="359" t="s">
        <v>272</v>
      </c>
      <c r="B32" s="537" t="s">
        <v>630</v>
      </c>
      <c r="C32" s="546" t="s">
        <v>506</v>
      </c>
      <c r="D32" s="360">
        <v>0.4</v>
      </c>
      <c r="E32" s="528">
        <v>40</v>
      </c>
      <c r="F32" s="523">
        <v>15</v>
      </c>
      <c r="G32" s="393">
        <v>15</v>
      </c>
      <c r="H32" s="542">
        <v>26.396439999999998</v>
      </c>
      <c r="I32" s="394">
        <v>16.696539999999999</v>
      </c>
      <c r="J32" s="394">
        <v>2.4464000000000001</v>
      </c>
      <c r="K32" s="394">
        <v>12.47301</v>
      </c>
      <c r="L32" s="394">
        <v>3.3047200000000001</v>
      </c>
      <c r="M32" s="394">
        <v>0</v>
      </c>
      <c r="N32" s="394">
        <v>0</v>
      </c>
      <c r="O32" s="394">
        <v>2.9209299999999998</v>
      </c>
      <c r="P32" s="394">
        <v>61.16</v>
      </c>
      <c r="Q32" s="394">
        <v>12.47301</v>
      </c>
      <c r="R32" s="381" t="s">
        <v>167</v>
      </c>
      <c r="S32" s="408" t="s">
        <v>175</v>
      </c>
      <c r="T32" s="385"/>
      <c r="U32" s="475">
        <v>26</v>
      </c>
      <c r="V32" s="395">
        <f t="shared" si="29"/>
        <v>659.91099999999994</v>
      </c>
      <c r="W32" s="395">
        <f t="shared" si="30"/>
        <v>1.7597626666666666</v>
      </c>
      <c r="X32" s="528"/>
      <c r="Y32" s="523"/>
      <c r="Z32" s="393"/>
      <c r="AA32" s="542"/>
      <c r="AB32" s="394"/>
      <c r="AC32" s="394"/>
      <c r="AD32" s="394"/>
      <c r="AE32" s="394"/>
      <c r="AF32" s="394"/>
      <c r="AG32" s="394"/>
      <c r="AH32" s="394"/>
      <c r="AI32" s="394"/>
      <c r="AJ32" s="394"/>
      <c r="AK32" s="381"/>
      <c r="AL32" s="408"/>
      <c r="AM32" s="385"/>
      <c r="AN32" s="475"/>
      <c r="AO32" s="395" t="e">
        <f t="shared" si="14"/>
        <v>#DIV/0!</v>
      </c>
      <c r="AP32" s="395" t="e">
        <f t="shared" si="15"/>
        <v>#DIV/0!</v>
      </c>
      <c r="AQ32" s="528"/>
      <c r="AR32" s="523"/>
      <c r="AS32" s="393"/>
      <c r="AT32" s="542"/>
      <c r="AU32" s="394"/>
      <c r="AV32" s="394"/>
      <c r="AW32" s="394"/>
      <c r="AX32" s="394"/>
      <c r="AY32" s="394"/>
      <c r="AZ32" s="394"/>
      <c r="BA32" s="394"/>
      <c r="BB32" s="394"/>
      <c r="BC32" s="394"/>
      <c r="BD32" s="381"/>
      <c r="BE32" s="408"/>
      <c r="BF32" s="385"/>
      <c r="BG32" s="475"/>
      <c r="BH32" s="395" t="e">
        <f t="shared" si="16"/>
        <v>#DIV/0!</v>
      </c>
      <c r="BI32" s="395" t="e">
        <f t="shared" si="17"/>
        <v>#DIV/0!</v>
      </c>
    </row>
    <row r="33" spans="1:61" s="358" customFormat="1" ht="19.2" x14ac:dyDescent="0.3">
      <c r="A33" s="359" t="s">
        <v>273</v>
      </c>
      <c r="B33" s="537" t="s">
        <v>636</v>
      </c>
      <c r="C33" s="546" t="s">
        <v>513</v>
      </c>
      <c r="D33" s="360">
        <v>0.4</v>
      </c>
      <c r="E33" s="528">
        <v>178</v>
      </c>
      <c r="F33" s="523">
        <v>15</v>
      </c>
      <c r="G33" s="393">
        <v>15</v>
      </c>
      <c r="H33" s="542">
        <v>93.752529999999993</v>
      </c>
      <c r="I33" s="394">
        <v>56.98395</v>
      </c>
      <c r="J33" s="394">
        <v>10.886480000000001</v>
      </c>
      <c r="K33" s="394">
        <f>37.61565+1.5138</f>
        <v>39.129450000000006</v>
      </c>
      <c r="L33" s="394">
        <v>16.852350000000001</v>
      </c>
      <c r="M33" s="394">
        <v>0</v>
      </c>
      <c r="N33" s="394">
        <v>0</v>
      </c>
      <c r="O33" s="394">
        <v>9.8799100000000006</v>
      </c>
      <c r="P33" s="394">
        <v>61.16</v>
      </c>
      <c r="Q33" s="394">
        <v>12.538550000000001</v>
      </c>
      <c r="R33" s="381" t="s">
        <v>167</v>
      </c>
      <c r="S33" s="408" t="s">
        <v>175</v>
      </c>
      <c r="T33" s="385"/>
      <c r="U33" s="475">
        <v>28</v>
      </c>
      <c r="V33" s="395">
        <f t="shared" ref="V33:V46" si="33">H33/E33*1000</f>
        <v>526.69960674157301</v>
      </c>
      <c r="W33" s="395">
        <f t="shared" ref="W33:W46" si="34">H33/F33</f>
        <v>6.2501686666666663</v>
      </c>
      <c r="X33" s="528"/>
      <c r="Y33" s="523"/>
      <c r="Z33" s="393"/>
      <c r="AA33" s="542"/>
      <c r="AB33" s="394"/>
      <c r="AC33" s="394"/>
      <c r="AD33" s="394"/>
      <c r="AE33" s="394"/>
      <c r="AF33" s="394"/>
      <c r="AG33" s="394"/>
      <c r="AH33" s="394"/>
      <c r="AI33" s="394"/>
      <c r="AJ33" s="394"/>
      <c r="AK33" s="381"/>
      <c r="AL33" s="408"/>
      <c r="AM33" s="385"/>
      <c r="AN33" s="475"/>
      <c r="AO33" s="395" t="e">
        <f t="shared" si="14"/>
        <v>#DIV/0!</v>
      </c>
      <c r="AP33" s="395" t="e">
        <f t="shared" si="15"/>
        <v>#DIV/0!</v>
      </c>
      <c r="AQ33" s="528"/>
      <c r="AR33" s="523"/>
      <c r="AS33" s="393"/>
      <c r="AT33" s="542"/>
      <c r="AU33" s="394"/>
      <c r="AV33" s="394"/>
      <c r="AW33" s="394"/>
      <c r="AX33" s="394"/>
      <c r="AY33" s="394"/>
      <c r="AZ33" s="394"/>
      <c r="BA33" s="394"/>
      <c r="BB33" s="394"/>
      <c r="BC33" s="394"/>
      <c r="BD33" s="381"/>
      <c r="BE33" s="408"/>
      <c r="BF33" s="385"/>
      <c r="BG33" s="475"/>
      <c r="BH33" s="395" t="e">
        <f t="shared" si="16"/>
        <v>#DIV/0!</v>
      </c>
      <c r="BI33" s="395" t="e">
        <f t="shared" si="17"/>
        <v>#DIV/0!</v>
      </c>
    </row>
    <row r="34" spans="1:61" s="358" customFormat="1" ht="19.2" x14ac:dyDescent="0.3">
      <c r="A34" s="359" t="s">
        <v>274</v>
      </c>
      <c r="B34" s="537" t="s">
        <v>637</v>
      </c>
      <c r="C34" s="546" t="s">
        <v>515</v>
      </c>
      <c r="D34" s="360">
        <v>0.4</v>
      </c>
      <c r="E34" s="528">
        <v>42</v>
      </c>
      <c r="F34" s="523">
        <v>15</v>
      </c>
      <c r="G34" s="393">
        <v>15</v>
      </c>
      <c r="H34" s="542">
        <v>26.881119999999999</v>
      </c>
      <c r="I34" s="394">
        <v>16.741109999999999</v>
      </c>
      <c r="J34" s="394">
        <v>2.5687199999999999</v>
      </c>
      <c r="K34" s="394">
        <v>12.53612</v>
      </c>
      <c r="L34" s="394">
        <v>3.5830899999999999</v>
      </c>
      <c r="M34" s="394">
        <v>0</v>
      </c>
      <c r="N34" s="394">
        <v>0</v>
      </c>
      <c r="O34" s="394">
        <v>3.0038100000000001</v>
      </c>
      <c r="P34" s="394">
        <v>61.16</v>
      </c>
      <c r="Q34" s="394">
        <v>12.53612</v>
      </c>
      <c r="R34" s="381" t="s">
        <v>167</v>
      </c>
      <c r="S34" s="408" t="s">
        <v>175</v>
      </c>
      <c r="T34" s="385"/>
      <c r="U34" s="475">
        <v>30</v>
      </c>
      <c r="V34" s="395">
        <f t="shared" si="33"/>
        <v>640.02666666666664</v>
      </c>
      <c r="W34" s="395">
        <f t="shared" si="34"/>
        <v>1.7920746666666667</v>
      </c>
      <c r="X34" s="528"/>
      <c r="Y34" s="523"/>
      <c r="Z34" s="393"/>
      <c r="AA34" s="542"/>
      <c r="AB34" s="394"/>
      <c r="AC34" s="394"/>
      <c r="AD34" s="394"/>
      <c r="AE34" s="394"/>
      <c r="AF34" s="394"/>
      <c r="AG34" s="394"/>
      <c r="AH34" s="394"/>
      <c r="AI34" s="394"/>
      <c r="AJ34" s="394"/>
      <c r="AK34" s="381"/>
      <c r="AL34" s="408"/>
      <c r="AM34" s="385"/>
      <c r="AN34" s="475"/>
      <c r="AO34" s="395" t="e">
        <f t="shared" si="14"/>
        <v>#DIV/0!</v>
      </c>
      <c r="AP34" s="395" t="e">
        <f t="shared" si="15"/>
        <v>#DIV/0!</v>
      </c>
      <c r="AQ34" s="528"/>
      <c r="AR34" s="523"/>
      <c r="AS34" s="393"/>
      <c r="AT34" s="542"/>
      <c r="AU34" s="394"/>
      <c r="AV34" s="394"/>
      <c r="AW34" s="394"/>
      <c r="AX34" s="394"/>
      <c r="AY34" s="394"/>
      <c r="AZ34" s="394"/>
      <c r="BA34" s="394"/>
      <c r="BB34" s="394"/>
      <c r="BC34" s="394"/>
      <c r="BD34" s="381"/>
      <c r="BE34" s="408"/>
      <c r="BF34" s="385"/>
      <c r="BG34" s="475"/>
      <c r="BH34" s="395" t="e">
        <f t="shared" si="16"/>
        <v>#DIV/0!</v>
      </c>
      <c r="BI34" s="395" t="e">
        <f t="shared" si="17"/>
        <v>#DIV/0!</v>
      </c>
    </row>
    <row r="35" spans="1:61" s="358" customFormat="1" ht="19.2" x14ac:dyDescent="0.3">
      <c r="A35" s="359" t="s">
        <v>275</v>
      </c>
      <c r="B35" s="537" t="s">
        <v>639</v>
      </c>
      <c r="C35" s="546" t="s">
        <v>517</v>
      </c>
      <c r="D35" s="360">
        <v>0.4</v>
      </c>
      <c r="E35" s="528">
        <v>35</v>
      </c>
      <c r="F35" s="523">
        <v>10</v>
      </c>
      <c r="G35" s="393">
        <v>10</v>
      </c>
      <c r="H35" s="542">
        <v>25.05172</v>
      </c>
      <c r="I35" s="394">
        <v>15.807079999999999</v>
      </c>
      <c r="J35" s="394">
        <v>1.2435499999999999</v>
      </c>
      <c r="K35" s="394">
        <v>12.538550000000001</v>
      </c>
      <c r="L35" s="394">
        <v>3.3483499999999999</v>
      </c>
      <c r="M35" s="394">
        <v>0</v>
      </c>
      <c r="N35" s="394">
        <v>0</v>
      </c>
      <c r="O35" s="394">
        <v>2.7137199999999999</v>
      </c>
      <c r="P35" s="394">
        <v>35.53</v>
      </c>
      <c r="Q35" s="394">
        <v>12.538550000000001</v>
      </c>
      <c r="R35" s="381" t="s">
        <v>167</v>
      </c>
      <c r="S35" s="408" t="s">
        <v>175</v>
      </c>
      <c r="T35" s="385"/>
      <c r="U35" s="475">
        <v>32</v>
      </c>
      <c r="V35" s="395">
        <f t="shared" si="33"/>
        <v>715.76342857142856</v>
      </c>
      <c r="W35" s="395">
        <f t="shared" si="34"/>
        <v>2.505172</v>
      </c>
      <c r="X35" s="528"/>
      <c r="Y35" s="523"/>
      <c r="Z35" s="393"/>
      <c r="AA35" s="542"/>
      <c r="AB35" s="394"/>
      <c r="AC35" s="394"/>
      <c r="AD35" s="394"/>
      <c r="AE35" s="394"/>
      <c r="AF35" s="394"/>
      <c r="AG35" s="394"/>
      <c r="AH35" s="394"/>
      <c r="AI35" s="394"/>
      <c r="AJ35" s="394"/>
      <c r="AK35" s="381"/>
      <c r="AL35" s="408"/>
      <c r="AM35" s="385"/>
      <c r="AN35" s="475"/>
      <c r="AO35" s="395" t="e">
        <f t="shared" si="14"/>
        <v>#DIV/0!</v>
      </c>
      <c r="AP35" s="395" t="e">
        <f t="shared" si="15"/>
        <v>#DIV/0!</v>
      </c>
      <c r="AQ35" s="528"/>
      <c r="AR35" s="523"/>
      <c r="AS35" s="393"/>
      <c r="AT35" s="542"/>
      <c r="AU35" s="394"/>
      <c r="AV35" s="394"/>
      <c r="AW35" s="394"/>
      <c r="AX35" s="394"/>
      <c r="AY35" s="394"/>
      <c r="AZ35" s="394"/>
      <c r="BA35" s="394"/>
      <c r="BB35" s="394"/>
      <c r="BC35" s="394"/>
      <c r="BD35" s="381"/>
      <c r="BE35" s="408"/>
      <c r="BF35" s="385"/>
      <c r="BG35" s="475"/>
      <c r="BH35" s="395" t="e">
        <f t="shared" si="16"/>
        <v>#DIV/0!</v>
      </c>
      <c r="BI35" s="395" t="e">
        <f t="shared" si="17"/>
        <v>#DIV/0!</v>
      </c>
    </row>
    <row r="36" spans="1:61" s="358" customFormat="1" ht="19.2" x14ac:dyDescent="0.3">
      <c r="A36" s="359" t="s">
        <v>276</v>
      </c>
      <c r="B36" s="537" t="s">
        <v>643</v>
      </c>
      <c r="C36" s="546" t="s">
        <v>521</v>
      </c>
      <c r="D36" s="360">
        <v>0.4</v>
      </c>
      <c r="E36" s="528">
        <v>92</v>
      </c>
      <c r="F36" s="523">
        <v>15</v>
      </c>
      <c r="G36" s="393">
        <v>15</v>
      </c>
      <c r="H36" s="542">
        <v>49.874920000000003</v>
      </c>
      <c r="I36" s="394">
        <v>7.3270299999999997</v>
      </c>
      <c r="J36" s="394">
        <v>5.6267199999999997</v>
      </c>
      <c r="K36" s="394">
        <v>24.648019999999999</v>
      </c>
      <c r="L36" s="394">
        <v>7.3270299999999997</v>
      </c>
      <c r="M36" s="394">
        <v>0</v>
      </c>
      <c r="N36" s="394">
        <v>0</v>
      </c>
      <c r="O36" s="394">
        <v>4.4045399999999999</v>
      </c>
      <c r="P36" s="394">
        <v>61.16</v>
      </c>
      <c r="Q36" s="394">
        <v>12.324009999999999</v>
      </c>
      <c r="R36" s="381" t="s">
        <v>167</v>
      </c>
      <c r="S36" s="408" t="s">
        <v>175</v>
      </c>
      <c r="T36" s="385"/>
      <c r="U36" s="475">
        <v>34</v>
      </c>
      <c r="V36" s="395">
        <f t="shared" si="33"/>
        <v>542.11869565217398</v>
      </c>
      <c r="W36" s="395">
        <f t="shared" si="34"/>
        <v>3.324994666666667</v>
      </c>
      <c r="X36" s="528"/>
      <c r="Y36" s="523"/>
      <c r="Z36" s="393"/>
      <c r="AA36" s="542"/>
      <c r="AB36" s="394"/>
      <c r="AC36" s="394"/>
      <c r="AD36" s="394"/>
      <c r="AE36" s="394"/>
      <c r="AF36" s="394"/>
      <c r="AG36" s="394"/>
      <c r="AH36" s="394"/>
      <c r="AI36" s="394"/>
      <c r="AJ36" s="394"/>
      <c r="AK36" s="381"/>
      <c r="AL36" s="408"/>
      <c r="AM36" s="385"/>
      <c r="AN36" s="475"/>
      <c r="AO36" s="395" t="e">
        <f t="shared" si="14"/>
        <v>#DIV/0!</v>
      </c>
      <c r="AP36" s="395" t="e">
        <f t="shared" si="15"/>
        <v>#DIV/0!</v>
      </c>
      <c r="AQ36" s="528"/>
      <c r="AR36" s="523"/>
      <c r="AS36" s="393"/>
      <c r="AT36" s="542"/>
      <c r="AU36" s="394"/>
      <c r="AV36" s="394"/>
      <c r="AW36" s="394"/>
      <c r="AX36" s="394"/>
      <c r="AY36" s="394"/>
      <c r="AZ36" s="394"/>
      <c r="BA36" s="394"/>
      <c r="BB36" s="394"/>
      <c r="BC36" s="394"/>
      <c r="BD36" s="381"/>
      <c r="BE36" s="408"/>
      <c r="BF36" s="385"/>
      <c r="BG36" s="475"/>
      <c r="BH36" s="395" t="e">
        <f t="shared" si="16"/>
        <v>#DIV/0!</v>
      </c>
      <c r="BI36" s="395" t="e">
        <f t="shared" si="17"/>
        <v>#DIV/0!</v>
      </c>
    </row>
    <row r="37" spans="1:61" s="358" customFormat="1" ht="19.2" x14ac:dyDescent="0.3">
      <c r="A37" s="359" t="s">
        <v>277</v>
      </c>
      <c r="B37" s="537" t="s">
        <v>645</v>
      </c>
      <c r="C37" s="546" t="s">
        <v>523</v>
      </c>
      <c r="D37" s="360">
        <v>0.4</v>
      </c>
      <c r="E37" s="528">
        <v>75</v>
      </c>
      <c r="F37" s="523">
        <v>15</v>
      </c>
      <c r="G37" s="393">
        <v>15</v>
      </c>
      <c r="H37" s="542">
        <v>48.849600000000002</v>
      </c>
      <c r="I37" s="394">
        <v>33.637050000000002</v>
      </c>
      <c r="J37" s="394">
        <v>4.5869999999999997</v>
      </c>
      <c r="K37" s="394">
        <v>25.088380000000001</v>
      </c>
      <c r="L37" s="394">
        <v>6.8643700000000001</v>
      </c>
      <c r="M37" s="394">
        <v>0</v>
      </c>
      <c r="N37" s="394">
        <v>0</v>
      </c>
      <c r="O37" s="394">
        <v>4.1209899999999999</v>
      </c>
      <c r="P37" s="394">
        <v>61.16</v>
      </c>
      <c r="Q37" s="394">
        <v>12.54419</v>
      </c>
      <c r="R37" s="381" t="s">
        <v>167</v>
      </c>
      <c r="S37" s="408" t="s">
        <v>175</v>
      </c>
      <c r="T37" s="385"/>
      <c r="U37" s="475">
        <v>36</v>
      </c>
      <c r="V37" s="395">
        <f t="shared" si="33"/>
        <v>651.32799999999997</v>
      </c>
      <c r="W37" s="395">
        <f t="shared" si="34"/>
        <v>3.25664</v>
      </c>
      <c r="X37" s="528"/>
      <c r="Y37" s="523"/>
      <c r="Z37" s="393"/>
      <c r="AA37" s="542"/>
      <c r="AB37" s="394"/>
      <c r="AC37" s="394"/>
      <c r="AD37" s="394"/>
      <c r="AE37" s="394"/>
      <c r="AF37" s="394"/>
      <c r="AG37" s="394"/>
      <c r="AH37" s="394"/>
      <c r="AI37" s="394"/>
      <c r="AJ37" s="394"/>
      <c r="AK37" s="381"/>
      <c r="AL37" s="408"/>
      <c r="AM37" s="385"/>
      <c r="AN37" s="475"/>
      <c r="AO37" s="395" t="e">
        <f t="shared" si="14"/>
        <v>#DIV/0!</v>
      </c>
      <c r="AP37" s="395" t="e">
        <f t="shared" si="15"/>
        <v>#DIV/0!</v>
      </c>
      <c r="AQ37" s="528"/>
      <c r="AR37" s="523"/>
      <c r="AS37" s="393"/>
      <c r="AT37" s="542"/>
      <c r="AU37" s="394"/>
      <c r="AV37" s="394"/>
      <c r="AW37" s="394"/>
      <c r="AX37" s="394"/>
      <c r="AY37" s="394"/>
      <c r="AZ37" s="394"/>
      <c r="BA37" s="394"/>
      <c r="BB37" s="394"/>
      <c r="BC37" s="394"/>
      <c r="BD37" s="381"/>
      <c r="BE37" s="408"/>
      <c r="BF37" s="385"/>
      <c r="BG37" s="475"/>
      <c r="BH37" s="395" t="e">
        <f t="shared" si="16"/>
        <v>#DIV/0!</v>
      </c>
      <c r="BI37" s="395" t="e">
        <f t="shared" si="17"/>
        <v>#DIV/0!</v>
      </c>
    </row>
    <row r="38" spans="1:61" s="358" customFormat="1" ht="19.2" x14ac:dyDescent="0.3">
      <c r="A38" s="359" t="s">
        <v>326</v>
      </c>
      <c r="B38" s="537" t="s">
        <v>647</v>
      </c>
      <c r="C38" s="546" t="s">
        <v>525</v>
      </c>
      <c r="D38" s="360">
        <v>0.4</v>
      </c>
      <c r="E38" s="528">
        <v>123</v>
      </c>
      <c r="F38" s="523">
        <v>15</v>
      </c>
      <c r="G38" s="393">
        <v>15</v>
      </c>
      <c r="H38" s="542">
        <v>94.422309999999996</v>
      </c>
      <c r="I38" s="394">
        <v>66.040970000000002</v>
      </c>
      <c r="J38" s="394">
        <v>7.5226800000000003</v>
      </c>
      <c r="K38" s="394">
        <v>50.212960000000002</v>
      </c>
      <c r="L38" s="394">
        <v>12.8233</v>
      </c>
      <c r="M38" s="394">
        <v>0</v>
      </c>
      <c r="N38" s="394">
        <v>0</v>
      </c>
      <c r="O38" s="394">
        <v>7.6679500000000003</v>
      </c>
      <c r="P38" s="394">
        <v>61.16</v>
      </c>
      <c r="Q38" s="394">
        <v>12.553240000000001</v>
      </c>
      <c r="R38" s="381" t="s">
        <v>167</v>
      </c>
      <c r="S38" s="408" t="s">
        <v>175</v>
      </c>
      <c r="T38" s="385"/>
      <c r="U38" s="475">
        <v>38</v>
      </c>
      <c r="V38" s="395">
        <f t="shared" si="33"/>
        <v>767.66105691056907</v>
      </c>
      <c r="W38" s="395">
        <f t="shared" si="34"/>
        <v>6.2948206666666664</v>
      </c>
      <c r="X38" s="528"/>
      <c r="Y38" s="523"/>
      <c r="Z38" s="393"/>
      <c r="AA38" s="542"/>
      <c r="AB38" s="394"/>
      <c r="AC38" s="394"/>
      <c r="AD38" s="394"/>
      <c r="AE38" s="394"/>
      <c r="AF38" s="394"/>
      <c r="AG38" s="394"/>
      <c r="AH38" s="394"/>
      <c r="AI38" s="394"/>
      <c r="AJ38" s="394"/>
      <c r="AK38" s="381"/>
      <c r="AL38" s="408"/>
      <c r="AM38" s="385"/>
      <c r="AN38" s="475"/>
      <c r="AO38" s="395" t="e">
        <f t="shared" si="14"/>
        <v>#DIV/0!</v>
      </c>
      <c r="AP38" s="395" t="e">
        <f t="shared" si="15"/>
        <v>#DIV/0!</v>
      </c>
      <c r="AQ38" s="528"/>
      <c r="AR38" s="523"/>
      <c r="AS38" s="393"/>
      <c r="AT38" s="542"/>
      <c r="AU38" s="394"/>
      <c r="AV38" s="394"/>
      <c r="AW38" s="394"/>
      <c r="AX38" s="394"/>
      <c r="AY38" s="394"/>
      <c r="AZ38" s="394"/>
      <c r="BA38" s="394"/>
      <c r="BB38" s="394"/>
      <c r="BC38" s="394"/>
      <c r="BD38" s="381"/>
      <c r="BE38" s="408"/>
      <c r="BF38" s="385"/>
      <c r="BG38" s="475"/>
      <c r="BH38" s="395" t="e">
        <f t="shared" si="16"/>
        <v>#DIV/0!</v>
      </c>
      <c r="BI38" s="395" t="e">
        <f t="shared" si="17"/>
        <v>#DIV/0!</v>
      </c>
    </row>
    <row r="39" spans="1:61" s="358" customFormat="1" ht="19.2" x14ac:dyDescent="0.3">
      <c r="A39" s="359" t="s">
        <v>327</v>
      </c>
      <c r="B39" s="537" t="s">
        <v>651</v>
      </c>
      <c r="C39" s="546" t="s">
        <v>530</v>
      </c>
      <c r="D39" s="360">
        <v>0.4</v>
      </c>
      <c r="E39" s="528">
        <v>55</v>
      </c>
      <c r="F39" s="523">
        <v>15</v>
      </c>
      <c r="G39" s="393">
        <v>15</v>
      </c>
      <c r="H39" s="542">
        <v>47.61101</v>
      </c>
      <c r="I39" s="394">
        <v>31.040420000000001</v>
      </c>
      <c r="J39" s="394">
        <v>3.3637999999999999</v>
      </c>
      <c r="K39" s="394">
        <v>25.088740000000001</v>
      </c>
      <c r="L39" s="394">
        <v>6.1936799999999996</v>
      </c>
      <c r="M39" s="394">
        <v>0</v>
      </c>
      <c r="N39" s="394">
        <v>0</v>
      </c>
      <c r="O39" s="394">
        <v>4.80579</v>
      </c>
      <c r="P39" s="394">
        <v>61.16</v>
      </c>
      <c r="Q39" s="394">
        <v>12.544370000000001</v>
      </c>
      <c r="R39" s="381" t="s">
        <v>167</v>
      </c>
      <c r="S39" s="408" t="s">
        <v>175</v>
      </c>
      <c r="T39" s="385"/>
      <c r="U39" s="475">
        <v>40</v>
      </c>
      <c r="V39" s="395">
        <f t="shared" si="33"/>
        <v>865.65472727272731</v>
      </c>
      <c r="W39" s="395">
        <f t="shared" si="34"/>
        <v>3.1740673333333334</v>
      </c>
      <c r="X39" s="528"/>
      <c r="Y39" s="523"/>
      <c r="Z39" s="393"/>
      <c r="AA39" s="542"/>
      <c r="AB39" s="394"/>
      <c r="AC39" s="394"/>
      <c r="AD39" s="394"/>
      <c r="AE39" s="394"/>
      <c r="AF39" s="394"/>
      <c r="AG39" s="394"/>
      <c r="AH39" s="394"/>
      <c r="AI39" s="394"/>
      <c r="AJ39" s="394"/>
      <c r="AK39" s="381"/>
      <c r="AL39" s="408"/>
      <c r="AM39" s="385"/>
      <c r="AN39" s="475"/>
      <c r="AO39" s="395" t="e">
        <f t="shared" si="14"/>
        <v>#DIV/0!</v>
      </c>
      <c r="AP39" s="395" t="e">
        <f t="shared" si="15"/>
        <v>#DIV/0!</v>
      </c>
      <c r="AQ39" s="528"/>
      <c r="AR39" s="523"/>
      <c r="AS39" s="393"/>
      <c r="AT39" s="542"/>
      <c r="AU39" s="394"/>
      <c r="AV39" s="394"/>
      <c r="AW39" s="394"/>
      <c r="AX39" s="394"/>
      <c r="AY39" s="394"/>
      <c r="AZ39" s="394"/>
      <c r="BA39" s="394"/>
      <c r="BB39" s="394"/>
      <c r="BC39" s="394"/>
      <c r="BD39" s="381"/>
      <c r="BE39" s="408"/>
      <c r="BF39" s="385"/>
      <c r="BG39" s="475"/>
      <c r="BH39" s="395" t="e">
        <f t="shared" si="16"/>
        <v>#DIV/0!</v>
      </c>
      <c r="BI39" s="395" t="e">
        <f t="shared" si="17"/>
        <v>#DIV/0!</v>
      </c>
    </row>
    <row r="40" spans="1:61" s="358" customFormat="1" ht="19.2" x14ac:dyDescent="0.3">
      <c r="A40" s="359" t="s">
        <v>328</v>
      </c>
      <c r="B40" s="537" t="s">
        <v>652</v>
      </c>
      <c r="C40" s="546" t="s">
        <v>531</v>
      </c>
      <c r="D40" s="360">
        <v>0.4</v>
      </c>
      <c r="E40" s="528">
        <v>80</v>
      </c>
      <c r="F40" s="523">
        <v>15</v>
      </c>
      <c r="G40" s="393">
        <v>15</v>
      </c>
      <c r="H40" s="542">
        <v>37.304729999999999</v>
      </c>
      <c r="I40" s="394">
        <v>22.30406</v>
      </c>
      <c r="J40" s="394">
        <v>4.8928000000000003</v>
      </c>
      <c r="K40" s="394">
        <v>12.510439999999999</v>
      </c>
      <c r="L40" s="394">
        <v>4.8574000000000002</v>
      </c>
      <c r="M40" s="394">
        <v>0</v>
      </c>
      <c r="N40" s="394">
        <v>0</v>
      </c>
      <c r="O40" s="394">
        <v>4.57864</v>
      </c>
      <c r="P40" s="394">
        <v>61.16</v>
      </c>
      <c r="Q40" s="394">
        <v>12.510439999999999</v>
      </c>
      <c r="R40" s="381" t="s">
        <v>167</v>
      </c>
      <c r="S40" s="408" t="s">
        <v>175</v>
      </c>
      <c r="T40" s="385"/>
      <c r="U40" s="475">
        <v>42</v>
      </c>
      <c r="V40" s="395">
        <f t="shared" si="33"/>
        <v>466.30912499999999</v>
      </c>
      <c r="W40" s="395">
        <f t="shared" si="34"/>
        <v>2.4869819999999998</v>
      </c>
      <c r="X40" s="528"/>
      <c r="Y40" s="523"/>
      <c r="Z40" s="393"/>
      <c r="AA40" s="542"/>
      <c r="AB40" s="394"/>
      <c r="AC40" s="394"/>
      <c r="AD40" s="394"/>
      <c r="AE40" s="394"/>
      <c r="AF40" s="394"/>
      <c r="AG40" s="394"/>
      <c r="AH40" s="394"/>
      <c r="AI40" s="394"/>
      <c r="AJ40" s="394"/>
      <c r="AK40" s="381"/>
      <c r="AL40" s="408"/>
      <c r="AM40" s="385"/>
      <c r="AN40" s="475"/>
      <c r="AO40" s="395" t="e">
        <f t="shared" si="14"/>
        <v>#DIV/0!</v>
      </c>
      <c r="AP40" s="395" t="e">
        <f t="shared" si="15"/>
        <v>#DIV/0!</v>
      </c>
      <c r="AQ40" s="528"/>
      <c r="AR40" s="523"/>
      <c r="AS40" s="393"/>
      <c r="AT40" s="542"/>
      <c r="AU40" s="394"/>
      <c r="AV40" s="394"/>
      <c r="AW40" s="394"/>
      <c r="AX40" s="394"/>
      <c r="AY40" s="394"/>
      <c r="AZ40" s="394"/>
      <c r="BA40" s="394"/>
      <c r="BB40" s="394"/>
      <c r="BC40" s="394"/>
      <c r="BD40" s="381"/>
      <c r="BE40" s="408"/>
      <c r="BF40" s="385"/>
      <c r="BG40" s="475"/>
      <c r="BH40" s="395" t="e">
        <f t="shared" si="16"/>
        <v>#DIV/0!</v>
      </c>
      <c r="BI40" s="395" t="e">
        <f t="shared" si="17"/>
        <v>#DIV/0!</v>
      </c>
    </row>
    <row r="41" spans="1:61" s="358" customFormat="1" ht="19.2" x14ac:dyDescent="0.3">
      <c r="A41" s="359" t="s">
        <v>329</v>
      </c>
      <c r="B41" s="537" t="s">
        <v>658</v>
      </c>
      <c r="C41" s="546" t="s">
        <v>538</v>
      </c>
      <c r="D41" s="360">
        <v>0.4</v>
      </c>
      <c r="E41" s="528">
        <v>60</v>
      </c>
      <c r="F41" s="523">
        <v>2</v>
      </c>
      <c r="G41" s="393">
        <v>2</v>
      </c>
      <c r="H41" s="542">
        <v>28.492529999999999</v>
      </c>
      <c r="I41" s="394">
        <v>19.183119999999999</v>
      </c>
      <c r="J41" s="394">
        <v>3.6696</v>
      </c>
      <c r="K41" s="394">
        <v>12.55341</v>
      </c>
      <c r="L41" s="394">
        <v>4.1867099999999997</v>
      </c>
      <c r="M41" s="394">
        <v>0</v>
      </c>
      <c r="N41" s="394">
        <v>0</v>
      </c>
      <c r="O41" s="394">
        <v>2.5388600000000001</v>
      </c>
      <c r="P41" s="394">
        <v>61.16</v>
      </c>
      <c r="Q41" s="394">
        <v>12.55341</v>
      </c>
      <c r="R41" s="381" t="s">
        <v>167</v>
      </c>
      <c r="S41" s="408" t="s">
        <v>175</v>
      </c>
      <c r="T41" s="385"/>
      <c r="U41" s="475">
        <v>44</v>
      </c>
      <c r="V41" s="395">
        <f t="shared" si="33"/>
        <v>474.87549999999993</v>
      </c>
      <c r="W41" s="395">
        <f t="shared" si="34"/>
        <v>14.246264999999999</v>
      </c>
      <c r="X41" s="528"/>
      <c r="Y41" s="523"/>
      <c r="Z41" s="393"/>
      <c r="AA41" s="542"/>
      <c r="AB41" s="394"/>
      <c r="AC41" s="394"/>
      <c r="AD41" s="394"/>
      <c r="AE41" s="394"/>
      <c r="AF41" s="394"/>
      <c r="AG41" s="394"/>
      <c r="AH41" s="394"/>
      <c r="AI41" s="394"/>
      <c r="AJ41" s="394"/>
      <c r="AK41" s="381"/>
      <c r="AL41" s="408"/>
      <c r="AM41" s="385"/>
      <c r="AN41" s="475"/>
      <c r="AO41" s="395" t="e">
        <f t="shared" si="14"/>
        <v>#DIV/0!</v>
      </c>
      <c r="AP41" s="395" t="e">
        <f t="shared" si="15"/>
        <v>#DIV/0!</v>
      </c>
      <c r="AQ41" s="528"/>
      <c r="AR41" s="523"/>
      <c r="AS41" s="393"/>
      <c r="AT41" s="542"/>
      <c r="AU41" s="394"/>
      <c r="AV41" s="394"/>
      <c r="AW41" s="394"/>
      <c r="AX41" s="394"/>
      <c r="AY41" s="394"/>
      <c r="AZ41" s="394"/>
      <c r="BA41" s="394"/>
      <c r="BB41" s="394"/>
      <c r="BC41" s="394"/>
      <c r="BD41" s="381"/>
      <c r="BE41" s="408"/>
      <c r="BF41" s="385"/>
      <c r="BG41" s="475"/>
      <c r="BH41" s="395" t="e">
        <f t="shared" si="16"/>
        <v>#DIV/0!</v>
      </c>
      <c r="BI41" s="395" t="e">
        <f t="shared" si="17"/>
        <v>#DIV/0!</v>
      </c>
    </row>
    <row r="42" spans="1:61" s="358" customFormat="1" ht="19.2" x14ac:dyDescent="0.3">
      <c r="A42" s="359" t="s">
        <v>330</v>
      </c>
      <c r="B42" s="537" t="s">
        <v>658</v>
      </c>
      <c r="C42" s="546" t="s">
        <v>539</v>
      </c>
      <c r="D42" s="360">
        <v>0.4</v>
      </c>
      <c r="E42" s="528">
        <v>85</v>
      </c>
      <c r="F42" s="523">
        <v>2</v>
      </c>
      <c r="G42" s="393">
        <v>2</v>
      </c>
      <c r="H42" s="542">
        <v>50.748489999999997</v>
      </c>
      <c r="I42" s="394">
        <v>34.77899</v>
      </c>
      <c r="J42" s="394">
        <v>5.1985999999999999</v>
      </c>
      <c r="K42" s="394">
        <v>25.106819999999999</v>
      </c>
      <c r="L42" s="394">
        <v>7.1997099999999996</v>
      </c>
      <c r="M42" s="394">
        <v>0</v>
      </c>
      <c r="N42" s="394">
        <v>0</v>
      </c>
      <c r="O42" s="394">
        <v>4.3335999999999997</v>
      </c>
      <c r="P42" s="394">
        <v>61.16</v>
      </c>
      <c r="Q42" s="394">
        <v>12.55341</v>
      </c>
      <c r="R42" s="381" t="s">
        <v>167</v>
      </c>
      <c r="S42" s="408" t="s">
        <v>175</v>
      </c>
      <c r="T42" s="385"/>
      <c r="U42" s="475">
        <v>46</v>
      </c>
      <c r="V42" s="395">
        <f t="shared" si="33"/>
        <v>597.0410588235294</v>
      </c>
      <c r="W42" s="395">
        <f t="shared" si="34"/>
        <v>25.374244999999998</v>
      </c>
      <c r="X42" s="528"/>
      <c r="Y42" s="523"/>
      <c r="Z42" s="393"/>
      <c r="AA42" s="542"/>
      <c r="AB42" s="394"/>
      <c r="AC42" s="394"/>
      <c r="AD42" s="394"/>
      <c r="AE42" s="394"/>
      <c r="AF42" s="394"/>
      <c r="AG42" s="394"/>
      <c r="AH42" s="394"/>
      <c r="AI42" s="394"/>
      <c r="AJ42" s="394"/>
      <c r="AK42" s="381"/>
      <c r="AL42" s="408"/>
      <c r="AM42" s="385"/>
      <c r="AN42" s="475"/>
      <c r="AO42" s="395" t="e">
        <f t="shared" si="14"/>
        <v>#DIV/0!</v>
      </c>
      <c r="AP42" s="395" t="e">
        <f t="shared" si="15"/>
        <v>#DIV/0!</v>
      </c>
      <c r="AQ42" s="528"/>
      <c r="AR42" s="523"/>
      <c r="AS42" s="393"/>
      <c r="AT42" s="542"/>
      <c r="AU42" s="394"/>
      <c r="AV42" s="394"/>
      <c r="AW42" s="394"/>
      <c r="AX42" s="394"/>
      <c r="AY42" s="394"/>
      <c r="AZ42" s="394"/>
      <c r="BA42" s="394"/>
      <c r="BB42" s="394"/>
      <c r="BC42" s="394"/>
      <c r="BD42" s="381"/>
      <c r="BE42" s="408"/>
      <c r="BF42" s="385"/>
      <c r="BG42" s="475"/>
      <c r="BH42" s="395" t="e">
        <f t="shared" si="16"/>
        <v>#DIV/0!</v>
      </c>
      <c r="BI42" s="395" t="e">
        <f t="shared" si="17"/>
        <v>#DIV/0!</v>
      </c>
    </row>
    <row r="43" spans="1:61" s="358" customFormat="1" ht="19.2" x14ac:dyDescent="0.3">
      <c r="A43" s="359" t="s">
        <v>331</v>
      </c>
      <c r="B43" s="537" t="s">
        <v>658</v>
      </c>
      <c r="C43" s="546" t="s">
        <v>540</v>
      </c>
      <c r="D43" s="360">
        <v>0.4</v>
      </c>
      <c r="E43" s="528">
        <v>30</v>
      </c>
      <c r="F43" s="523">
        <v>2</v>
      </c>
      <c r="G43" s="393">
        <v>2</v>
      </c>
      <c r="H43" s="542">
        <v>24.06758</v>
      </c>
      <c r="I43" s="394">
        <v>17.029019999999999</v>
      </c>
      <c r="J43" s="394">
        <v>1.8346</v>
      </c>
      <c r="K43" s="394">
        <v>12.55341</v>
      </c>
      <c r="L43" s="394">
        <v>3.1806700000000001</v>
      </c>
      <c r="M43" s="394">
        <v>0</v>
      </c>
      <c r="N43" s="394">
        <v>0</v>
      </c>
      <c r="O43" s="394">
        <v>1.9010400000000001</v>
      </c>
      <c r="P43" s="394">
        <v>61.16</v>
      </c>
      <c r="Q43" s="394">
        <v>12.55341</v>
      </c>
      <c r="R43" s="381" t="s">
        <v>167</v>
      </c>
      <c r="S43" s="408" t="s">
        <v>175</v>
      </c>
      <c r="T43" s="385"/>
      <c r="U43" s="475">
        <v>48</v>
      </c>
      <c r="V43" s="395">
        <f t="shared" ref="V43:V45" si="35">H43/E43*1000</f>
        <v>802.25266666666664</v>
      </c>
      <c r="W43" s="395">
        <f t="shared" ref="W43:W45" si="36">H43/F43</f>
        <v>12.03379</v>
      </c>
      <c r="X43" s="528"/>
      <c r="Y43" s="523"/>
      <c r="Z43" s="393"/>
      <c r="AA43" s="542"/>
      <c r="AB43" s="394"/>
      <c r="AC43" s="394"/>
      <c r="AD43" s="394"/>
      <c r="AE43" s="394"/>
      <c r="AF43" s="394"/>
      <c r="AG43" s="394"/>
      <c r="AH43" s="394"/>
      <c r="AI43" s="394"/>
      <c r="AJ43" s="394"/>
      <c r="AK43" s="381"/>
      <c r="AL43" s="408"/>
      <c r="AM43" s="385"/>
      <c r="AN43" s="475"/>
      <c r="AO43" s="395" t="e">
        <f t="shared" si="14"/>
        <v>#DIV/0!</v>
      </c>
      <c r="AP43" s="395" t="e">
        <f t="shared" si="15"/>
        <v>#DIV/0!</v>
      </c>
      <c r="AQ43" s="528"/>
      <c r="AR43" s="523"/>
      <c r="AS43" s="393"/>
      <c r="AT43" s="542"/>
      <c r="AU43" s="394"/>
      <c r="AV43" s="394"/>
      <c r="AW43" s="394"/>
      <c r="AX43" s="394"/>
      <c r="AY43" s="394"/>
      <c r="AZ43" s="394"/>
      <c r="BA43" s="394"/>
      <c r="BB43" s="394"/>
      <c r="BC43" s="394"/>
      <c r="BD43" s="381"/>
      <c r="BE43" s="408"/>
      <c r="BF43" s="385"/>
      <c r="BG43" s="475"/>
      <c r="BH43" s="395" t="e">
        <f t="shared" si="16"/>
        <v>#DIV/0!</v>
      </c>
      <c r="BI43" s="395" t="e">
        <f t="shared" si="17"/>
        <v>#DIV/0!</v>
      </c>
    </row>
    <row r="44" spans="1:61" s="358" customFormat="1" ht="19.2" x14ac:dyDescent="0.3">
      <c r="A44" s="359" t="s">
        <v>332</v>
      </c>
      <c r="B44" s="537" t="s">
        <v>658</v>
      </c>
      <c r="C44" s="546" t="s">
        <v>541</v>
      </c>
      <c r="D44" s="360">
        <v>0.4</v>
      </c>
      <c r="E44" s="528">
        <v>150</v>
      </c>
      <c r="F44" s="523">
        <v>2</v>
      </c>
      <c r="G44" s="393">
        <v>2</v>
      </c>
      <c r="H44" s="542">
        <v>59.68721</v>
      </c>
      <c r="I44" s="394">
        <v>38.797559999999997</v>
      </c>
      <c r="J44" s="394">
        <v>9.1739999999999995</v>
      </c>
      <c r="K44" s="394">
        <v>25.106819999999999</v>
      </c>
      <c r="L44" s="394">
        <v>9.3794500000000003</v>
      </c>
      <c r="M44" s="394">
        <v>0</v>
      </c>
      <c r="N44" s="394">
        <v>0</v>
      </c>
      <c r="O44" s="394">
        <v>5.7155399999999998</v>
      </c>
      <c r="P44" s="394">
        <v>61.16</v>
      </c>
      <c r="Q44" s="394">
        <v>12.55341</v>
      </c>
      <c r="R44" s="381" t="s">
        <v>167</v>
      </c>
      <c r="S44" s="408" t="s">
        <v>175</v>
      </c>
      <c r="T44" s="385"/>
      <c r="U44" s="475">
        <v>50</v>
      </c>
      <c r="V44" s="395">
        <f t="shared" si="35"/>
        <v>397.91473333333334</v>
      </c>
      <c r="W44" s="395">
        <f t="shared" si="36"/>
        <v>29.843605</v>
      </c>
      <c r="X44" s="528"/>
      <c r="Y44" s="523"/>
      <c r="Z44" s="393"/>
      <c r="AA44" s="542"/>
      <c r="AB44" s="394"/>
      <c r="AC44" s="394"/>
      <c r="AD44" s="394"/>
      <c r="AE44" s="394"/>
      <c r="AF44" s="394"/>
      <c r="AG44" s="394"/>
      <c r="AH44" s="394"/>
      <c r="AI44" s="394"/>
      <c r="AJ44" s="394"/>
      <c r="AK44" s="381"/>
      <c r="AL44" s="408"/>
      <c r="AM44" s="385"/>
      <c r="AN44" s="475"/>
      <c r="AO44" s="395" t="e">
        <f t="shared" si="14"/>
        <v>#DIV/0!</v>
      </c>
      <c r="AP44" s="395" t="e">
        <f t="shared" si="15"/>
        <v>#DIV/0!</v>
      </c>
      <c r="AQ44" s="528"/>
      <c r="AR44" s="523"/>
      <c r="AS44" s="393"/>
      <c r="AT44" s="542"/>
      <c r="AU44" s="394"/>
      <c r="AV44" s="394"/>
      <c r="AW44" s="394"/>
      <c r="AX44" s="394"/>
      <c r="AY44" s="394"/>
      <c r="AZ44" s="394"/>
      <c r="BA44" s="394"/>
      <c r="BB44" s="394"/>
      <c r="BC44" s="394"/>
      <c r="BD44" s="381"/>
      <c r="BE44" s="408"/>
      <c r="BF44" s="385"/>
      <c r="BG44" s="475"/>
      <c r="BH44" s="395" t="e">
        <f t="shared" si="16"/>
        <v>#DIV/0!</v>
      </c>
      <c r="BI44" s="395" t="e">
        <f t="shared" si="17"/>
        <v>#DIV/0!</v>
      </c>
    </row>
    <row r="45" spans="1:61" s="358" customFormat="1" ht="19.2" x14ac:dyDescent="0.3">
      <c r="A45" s="359" t="s">
        <v>333</v>
      </c>
      <c r="B45" s="537" t="s">
        <v>659</v>
      </c>
      <c r="C45" s="546" t="s">
        <v>542</v>
      </c>
      <c r="D45" s="360">
        <v>0.4</v>
      </c>
      <c r="E45" s="528">
        <v>35</v>
      </c>
      <c r="F45" s="523">
        <v>15</v>
      </c>
      <c r="G45" s="393">
        <v>15</v>
      </c>
      <c r="H45" s="542">
        <v>40.787329999999997</v>
      </c>
      <c r="I45" s="394">
        <v>29.89892</v>
      </c>
      <c r="J45" s="394">
        <v>2.1406000000000001</v>
      </c>
      <c r="K45" s="394">
        <v>25.106819999999999</v>
      </c>
      <c r="L45" s="394">
        <v>4.7058900000000001</v>
      </c>
      <c r="M45" s="394">
        <v>0</v>
      </c>
      <c r="N45" s="394">
        <v>0</v>
      </c>
      <c r="O45" s="394">
        <v>2.9809700000000001</v>
      </c>
      <c r="P45" s="394">
        <v>61.16</v>
      </c>
      <c r="Q45" s="394">
        <v>12.55341</v>
      </c>
      <c r="R45" s="381" t="s">
        <v>167</v>
      </c>
      <c r="S45" s="408" t="s">
        <v>175</v>
      </c>
      <c r="T45" s="385"/>
      <c r="U45" s="475">
        <v>52</v>
      </c>
      <c r="V45" s="395">
        <f t="shared" si="35"/>
        <v>1165.3522857142857</v>
      </c>
      <c r="W45" s="395">
        <f t="shared" si="36"/>
        <v>2.7191553333333331</v>
      </c>
      <c r="X45" s="528"/>
      <c r="Y45" s="523"/>
      <c r="Z45" s="393"/>
      <c r="AA45" s="542"/>
      <c r="AB45" s="394"/>
      <c r="AC45" s="394"/>
      <c r="AD45" s="394"/>
      <c r="AE45" s="394"/>
      <c r="AF45" s="394"/>
      <c r="AG45" s="394"/>
      <c r="AH45" s="394"/>
      <c r="AI45" s="394"/>
      <c r="AJ45" s="394"/>
      <c r="AK45" s="381"/>
      <c r="AL45" s="408"/>
      <c r="AM45" s="385"/>
      <c r="AN45" s="475"/>
      <c r="AO45" s="395" t="e">
        <f t="shared" si="14"/>
        <v>#DIV/0!</v>
      </c>
      <c r="AP45" s="395" t="e">
        <f t="shared" si="15"/>
        <v>#DIV/0!</v>
      </c>
      <c r="AQ45" s="528"/>
      <c r="AR45" s="523"/>
      <c r="AS45" s="393"/>
      <c r="AT45" s="542"/>
      <c r="AU45" s="394"/>
      <c r="AV45" s="394"/>
      <c r="AW45" s="394"/>
      <c r="AX45" s="394"/>
      <c r="AY45" s="394"/>
      <c r="AZ45" s="394"/>
      <c r="BA45" s="394"/>
      <c r="BB45" s="394"/>
      <c r="BC45" s="394"/>
      <c r="BD45" s="381"/>
      <c r="BE45" s="408"/>
      <c r="BF45" s="385"/>
      <c r="BG45" s="475"/>
      <c r="BH45" s="395" t="e">
        <f t="shared" si="16"/>
        <v>#DIV/0!</v>
      </c>
      <c r="BI45" s="395" t="e">
        <f t="shared" si="17"/>
        <v>#DIV/0!</v>
      </c>
    </row>
    <row r="46" spans="1:61" s="358" customFormat="1" ht="19.2" x14ac:dyDescent="0.3">
      <c r="A46" s="359" t="s">
        <v>334</v>
      </c>
      <c r="B46" s="537" t="s">
        <v>660</v>
      </c>
      <c r="C46" s="546" t="s">
        <v>543</v>
      </c>
      <c r="D46" s="360">
        <v>0.4</v>
      </c>
      <c r="E46" s="528">
        <v>50</v>
      </c>
      <c r="F46" s="523">
        <v>15</v>
      </c>
      <c r="G46" s="393">
        <v>15</v>
      </c>
      <c r="H46" s="542">
        <v>45.901580000000003</v>
      </c>
      <c r="I46" s="394">
        <v>32.581400000000002</v>
      </c>
      <c r="J46" s="394">
        <v>3.0579999999999998</v>
      </c>
      <c r="K46" s="394">
        <v>25.106839999999998</v>
      </c>
      <c r="L46" s="394">
        <v>6.0259999999999998</v>
      </c>
      <c r="M46" s="394">
        <v>0</v>
      </c>
      <c r="N46" s="394">
        <v>0</v>
      </c>
      <c r="O46" s="394">
        <v>3.58948</v>
      </c>
      <c r="P46" s="394">
        <v>61.16</v>
      </c>
      <c r="Q46" s="394">
        <v>12.553419999999999</v>
      </c>
      <c r="R46" s="381" t="s">
        <v>167</v>
      </c>
      <c r="S46" s="408" t="s">
        <v>175</v>
      </c>
      <c r="T46" s="385"/>
      <c r="U46" s="475">
        <v>54</v>
      </c>
      <c r="V46" s="395">
        <f t="shared" si="33"/>
        <v>918.03160000000003</v>
      </c>
      <c r="W46" s="395">
        <f t="shared" si="34"/>
        <v>3.0601053333333335</v>
      </c>
      <c r="X46" s="528"/>
      <c r="Y46" s="523"/>
      <c r="Z46" s="393"/>
      <c r="AA46" s="542"/>
      <c r="AB46" s="394"/>
      <c r="AC46" s="394"/>
      <c r="AD46" s="394"/>
      <c r="AE46" s="394"/>
      <c r="AF46" s="394"/>
      <c r="AG46" s="394"/>
      <c r="AH46" s="394"/>
      <c r="AI46" s="394"/>
      <c r="AJ46" s="394"/>
      <c r="AK46" s="381"/>
      <c r="AL46" s="408"/>
      <c r="AM46" s="385"/>
      <c r="AN46" s="475"/>
      <c r="AO46" s="395" t="e">
        <f t="shared" si="14"/>
        <v>#DIV/0!</v>
      </c>
      <c r="AP46" s="395" t="e">
        <f t="shared" si="15"/>
        <v>#DIV/0!</v>
      </c>
      <c r="AQ46" s="528"/>
      <c r="AR46" s="523"/>
      <c r="AS46" s="393"/>
      <c r="AT46" s="542"/>
      <c r="AU46" s="394"/>
      <c r="AV46" s="394"/>
      <c r="AW46" s="394"/>
      <c r="AX46" s="394"/>
      <c r="AY46" s="394"/>
      <c r="AZ46" s="394"/>
      <c r="BA46" s="394"/>
      <c r="BB46" s="394"/>
      <c r="BC46" s="394"/>
      <c r="BD46" s="381"/>
      <c r="BE46" s="408"/>
      <c r="BF46" s="385"/>
      <c r="BG46" s="475"/>
      <c r="BH46" s="395" t="e">
        <f t="shared" si="16"/>
        <v>#DIV/0!</v>
      </c>
      <c r="BI46" s="395" t="e">
        <f t="shared" si="17"/>
        <v>#DIV/0!</v>
      </c>
    </row>
    <row r="47" spans="1:61" s="358" customFormat="1" ht="19.2" x14ac:dyDescent="0.3">
      <c r="A47" s="359" t="s">
        <v>178</v>
      </c>
      <c r="B47" s="572" t="s">
        <v>2277</v>
      </c>
      <c r="C47" s="546" t="s">
        <v>2276</v>
      </c>
      <c r="D47" s="360">
        <v>0.4</v>
      </c>
      <c r="E47" s="528"/>
      <c r="F47" s="523"/>
      <c r="G47" s="393"/>
      <c r="H47" s="571"/>
      <c r="I47" s="394"/>
      <c r="J47" s="394"/>
      <c r="K47" s="394"/>
      <c r="L47" s="394"/>
      <c r="M47" s="394"/>
      <c r="N47" s="394"/>
      <c r="O47" s="394"/>
      <c r="P47" s="394"/>
      <c r="Q47" s="394"/>
      <c r="R47" s="381"/>
      <c r="S47" s="408"/>
      <c r="T47" s="385"/>
      <c r="U47" s="475"/>
      <c r="V47" s="395"/>
      <c r="W47" s="395"/>
      <c r="X47" s="528">
        <v>204</v>
      </c>
      <c r="Y47" s="523">
        <v>3</v>
      </c>
      <c r="Z47" s="393">
        <v>3</v>
      </c>
      <c r="AA47" s="571">
        <v>181.71033</v>
      </c>
      <c r="AB47" s="394">
        <v>122.85442999999999</v>
      </c>
      <c r="AC47" s="394">
        <v>12.47664</v>
      </c>
      <c r="AD47" s="394">
        <f>51.59656+51.50132</f>
        <v>103.09788</v>
      </c>
      <c r="AE47" s="394">
        <v>26.78341</v>
      </c>
      <c r="AF47" s="394">
        <v>0</v>
      </c>
      <c r="AG47" s="394">
        <v>0</v>
      </c>
      <c r="AH47" s="394">
        <v>15.742179999999999</v>
      </c>
      <c r="AI47" s="394">
        <v>6.1159999999999999E-2</v>
      </c>
      <c r="AJ47" s="394">
        <v>12.87533</v>
      </c>
      <c r="AK47" s="381" t="s">
        <v>167</v>
      </c>
      <c r="AL47" s="408" t="s">
        <v>175</v>
      </c>
      <c r="AM47" s="385"/>
      <c r="AN47" s="475">
        <v>5</v>
      </c>
      <c r="AO47" s="395">
        <f t="shared" ref="AO47:AO50" si="37">AA47/X47*1000</f>
        <v>890.73691176470595</v>
      </c>
      <c r="AP47" s="395">
        <f t="shared" ref="AP47:AP50" si="38">AA47/Y47</f>
        <v>60.57011</v>
      </c>
      <c r="AQ47" s="528"/>
      <c r="AR47" s="523"/>
      <c r="AS47" s="393"/>
      <c r="AT47" s="571"/>
      <c r="AU47" s="394"/>
      <c r="AV47" s="394"/>
      <c r="AW47" s="394"/>
      <c r="AX47" s="394"/>
      <c r="AY47" s="394"/>
      <c r="AZ47" s="394"/>
      <c r="BA47" s="394"/>
      <c r="BB47" s="394"/>
      <c r="BC47" s="394"/>
      <c r="BD47" s="381"/>
      <c r="BE47" s="408"/>
      <c r="BF47" s="385"/>
      <c r="BG47" s="475"/>
      <c r="BH47" s="395" t="e">
        <f t="shared" si="16"/>
        <v>#DIV/0!</v>
      </c>
      <c r="BI47" s="395" t="e">
        <f t="shared" si="17"/>
        <v>#DIV/0!</v>
      </c>
    </row>
    <row r="48" spans="1:61" s="358" customFormat="1" ht="19.2" x14ac:dyDescent="0.3">
      <c r="A48" s="359" t="s">
        <v>182</v>
      </c>
      <c r="B48" s="572" t="s">
        <v>2279</v>
      </c>
      <c r="C48" s="546" t="s">
        <v>2278</v>
      </c>
      <c r="D48" s="360">
        <v>0.4</v>
      </c>
      <c r="E48" s="528"/>
      <c r="F48" s="523"/>
      <c r="G48" s="393"/>
      <c r="H48" s="571"/>
      <c r="I48" s="394"/>
      <c r="J48" s="394"/>
      <c r="K48" s="394"/>
      <c r="L48" s="394"/>
      <c r="M48" s="394"/>
      <c r="N48" s="394"/>
      <c r="O48" s="394"/>
      <c r="P48" s="394"/>
      <c r="Q48" s="394"/>
      <c r="R48" s="381"/>
      <c r="S48" s="408"/>
      <c r="T48" s="385"/>
      <c r="U48" s="475"/>
      <c r="V48" s="395"/>
      <c r="W48" s="395"/>
      <c r="X48" s="528">
        <v>110</v>
      </c>
      <c r="Y48" s="523">
        <v>15</v>
      </c>
      <c r="Z48" s="393">
        <v>15</v>
      </c>
      <c r="AA48" s="571">
        <v>93.965699999999998</v>
      </c>
      <c r="AB48" s="394">
        <v>63.862679999999997</v>
      </c>
      <c r="AC48" s="394">
        <v>6.7275999999999998</v>
      </c>
      <c r="AD48" s="394">
        <f>25.7592+25.7592</f>
        <v>51.5184</v>
      </c>
      <c r="AE48" s="394">
        <v>13.686030000000001</v>
      </c>
      <c r="AF48" s="394">
        <v>0</v>
      </c>
      <c r="AG48" s="394">
        <v>0</v>
      </c>
      <c r="AH48" s="394">
        <v>8.0612600000000008</v>
      </c>
      <c r="AI48" s="394">
        <v>6.1159999999999999E-2</v>
      </c>
      <c r="AJ48" s="394">
        <v>12.8796</v>
      </c>
      <c r="AK48" s="381" t="s">
        <v>167</v>
      </c>
      <c r="AL48" s="408" t="s">
        <v>175</v>
      </c>
      <c r="AM48" s="385"/>
      <c r="AN48" s="475">
        <v>7</v>
      </c>
      <c r="AO48" s="395">
        <f t="shared" si="37"/>
        <v>854.23363636363638</v>
      </c>
      <c r="AP48" s="395">
        <f t="shared" si="38"/>
        <v>6.2643800000000001</v>
      </c>
      <c r="AQ48" s="528"/>
      <c r="AR48" s="523"/>
      <c r="AS48" s="393"/>
      <c r="AT48" s="571"/>
      <c r="AU48" s="394"/>
      <c r="AV48" s="394"/>
      <c r="AW48" s="394"/>
      <c r="AX48" s="394"/>
      <c r="AY48" s="394"/>
      <c r="AZ48" s="394"/>
      <c r="BA48" s="394"/>
      <c r="BB48" s="394"/>
      <c r="BC48" s="394"/>
      <c r="BD48" s="381"/>
      <c r="BE48" s="408"/>
      <c r="BF48" s="385"/>
      <c r="BG48" s="475"/>
      <c r="BH48" s="395" t="e">
        <f t="shared" si="16"/>
        <v>#DIV/0!</v>
      </c>
      <c r="BI48" s="395" t="e">
        <f t="shared" si="17"/>
        <v>#DIV/0!</v>
      </c>
    </row>
    <row r="49" spans="1:61" s="358" customFormat="1" ht="19.2" x14ac:dyDescent="0.3">
      <c r="A49" s="359" t="s">
        <v>184</v>
      </c>
      <c r="B49" s="572" t="s">
        <v>2281</v>
      </c>
      <c r="C49" s="546" t="s">
        <v>2280</v>
      </c>
      <c r="D49" s="360">
        <v>0.4</v>
      </c>
      <c r="E49" s="528"/>
      <c r="F49" s="523"/>
      <c r="G49" s="393"/>
      <c r="H49" s="571"/>
      <c r="I49" s="394"/>
      <c r="J49" s="394"/>
      <c r="K49" s="394"/>
      <c r="L49" s="394"/>
      <c r="M49" s="394"/>
      <c r="N49" s="394"/>
      <c r="O49" s="394"/>
      <c r="P49" s="394"/>
      <c r="Q49" s="394"/>
      <c r="R49" s="381"/>
      <c r="S49" s="408"/>
      <c r="T49" s="385"/>
      <c r="U49" s="475"/>
      <c r="V49" s="395"/>
      <c r="W49" s="395"/>
      <c r="X49" s="528">
        <v>45</v>
      </c>
      <c r="Y49" s="523">
        <v>15</v>
      </c>
      <c r="Z49" s="393">
        <v>15</v>
      </c>
      <c r="AA49" s="571">
        <v>25.771139999999999</v>
      </c>
      <c r="AB49" s="394">
        <v>17.765309999999999</v>
      </c>
      <c r="AC49" s="394">
        <v>2.7522000000000002</v>
      </c>
      <c r="AD49" s="394">
        <v>12.55542</v>
      </c>
      <c r="AE49" s="394">
        <v>3.6416400000000002</v>
      </c>
      <c r="AF49" s="394">
        <v>0</v>
      </c>
      <c r="AG49" s="394">
        <v>0</v>
      </c>
      <c r="AH49" s="394">
        <v>2.1394600000000001</v>
      </c>
      <c r="AI49" s="394">
        <v>6.1159999999999999E-2</v>
      </c>
      <c r="AJ49" s="394">
        <v>12.55542</v>
      </c>
      <c r="AK49" s="381" t="s">
        <v>167</v>
      </c>
      <c r="AL49" s="408" t="s">
        <v>175</v>
      </c>
      <c r="AM49" s="385"/>
      <c r="AN49" s="475">
        <v>9</v>
      </c>
      <c r="AO49" s="395">
        <f t="shared" si="37"/>
        <v>572.69200000000001</v>
      </c>
      <c r="AP49" s="395">
        <f t="shared" si="38"/>
        <v>1.7180759999999999</v>
      </c>
      <c r="AQ49" s="528"/>
      <c r="AR49" s="523"/>
      <c r="AS49" s="393"/>
      <c r="AT49" s="571"/>
      <c r="AU49" s="394"/>
      <c r="AV49" s="394"/>
      <c r="AW49" s="394"/>
      <c r="AX49" s="394"/>
      <c r="AY49" s="394"/>
      <c r="AZ49" s="394"/>
      <c r="BA49" s="394"/>
      <c r="BB49" s="394"/>
      <c r="BC49" s="394"/>
      <c r="BD49" s="381"/>
      <c r="BE49" s="408"/>
      <c r="BF49" s="385"/>
      <c r="BG49" s="475"/>
      <c r="BH49" s="395" t="e">
        <f t="shared" si="16"/>
        <v>#DIV/0!</v>
      </c>
      <c r="BI49" s="395" t="e">
        <f t="shared" si="17"/>
        <v>#DIV/0!</v>
      </c>
    </row>
    <row r="50" spans="1:61" s="358" customFormat="1" ht="19.2" x14ac:dyDescent="0.3">
      <c r="A50" s="359" t="s">
        <v>186</v>
      </c>
      <c r="B50" s="572" t="s">
        <v>1414</v>
      </c>
      <c r="C50" s="583" t="s">
        <v>2282</v>
      </c>
      <c r="D50" s="360">
        <v>0.4</v>
      </c>
      <c r="E50" s="528"/>
      <c r="F50" s="523"/>
      <c r="G50" s="393"/>
      <c r="H50" s="571"/>
      <c r="I50" s="394"/>
      <c r="J50" s="394"/>
      <c r="K50" s="394"/>
      <c r="L50" s="394"/>
      <c r="M50" s="394"/>
      <c r="N50" s="394"/>
      <c r="O50" s="394"/>
      <c r="P50" s="394"/>
      <c r="Q50" s="394"/>
      <c r="R50" s="381"/>
      <c r="S50" s="408"/>
      <c r="T50" s="385"/>
      <c r="U50" s="475"/>
      <c r="V50" s="395"/>
      <c r="W50" s="395"/>
      <c r="X50" s="528">
        <v>75</v>
      </c>
      <c r="Y50" s="523">
        <v>2</v>
      </c>
      <c r="Z50" s="393">
        <v>2</v>
      </c>
      <c r="AA50" s="571">
        <v>49.092120000000001</v>
      </c>
      <c r="AB50" s="394">
        <v>34.211269999999999</v>
      </c>
      <c r="AC50" s="394">
        <v>4.5869999999999997</v>
      </c>
      <c r="AD50" s="394">
        <v>25.110939999999999</v>
      </c>
      <c r="AE50" s="394">
        <v>6.7787899999999999</v>
      </c>
      <c r="AF50" s="394">
        <v>0</v>
      </c>
      <c r="AG50" s="394">
        <v>0</v>
      </c>
      <c r="AH50" s="394">
        <v>3.9660899999999999</v>
      </c>
      <c r="AI50" s="394">
        <v>6.1159999999999999E-2</v>
      </c>
      <c r="AJ50" s="394">
        <v>12.55547</v>
      </c>
      <c r="AK50" s="381" t="s">
        <v>167</v>
      </c>
      <c r="AL50" s="408" t="s">
        <v>175</v>
      </c>
      <c r="AM50" s="385"/>
      <c r="AN50" s="475">
        <v>11</v>
      </c>
      <c r="AO50" s="395">
        <f t="shared" si="37"/>
        <v>654.5616</v>
      </c>
      <c r="AP50" s="395">
        <f t="shared" si="38"/>
        <v>24.546060000000001</v>
      </c>
      <c r="AQ50" s="528"/>
      <c r="AR50" s="523"/>
      <c r="AS50" s="393"/>
      <c r="AT50" s="571"/>
      <c r="AU50" s="394"/>
      <c r="AV50" s="394"/>
      <c r="AW50" s="394"/>
      <c r="AX50" s="394"/>
      <c r="AY50" s="394"/>
      <c r="AZ50" s="394"/>
      <c r="BA50" s="394"/>
      <c r="BB50" s="394"/>
      <c r="BC50" s="394"/>
      <c r="BD50" s="381"/>
      <c r="BE50" s="408"/>
      <c r="BF50" s="385"/>
      <c r="BG50" s="475"/>
      <c r="BH50" s="395" t="e">
        <f t="shared" si="16"/>
        <v>#DIV/0!</v>
      </c>
      <c r="BI50" s="395" t="e">
        <f t="shared" si="17"/>
        <v>#DIV/0!</v>
      </c>
    </row>
    <row r="51" spans="1:61" s="358" customFormat="1" ht="19.2" x14ac:dyDescent="0.3">
      <c r="A51" s="359" t="s">
        <v>189</v>
      </c>
      <c r="B51" s="572" t="s">
        <v>1414</v>
      </c>
      <c r="C51" s="583" t="s">
        <v>2283</v>
      </c>
      <c r="D51" s="360">
        <v>0.4</v>
      </c>
      <c r="E51" s="528"/>
      <c r="F51" s="523"/>
      <c r="G51" s="393"/>
      <c r="H51" s="571"/>
      <c r="I51" s="394"/>
      <c r="J51" s="394"/>
      <c r="K51" s="394"/>
      <c r="L51" s="394"/>
      <c r="M51" s="394"/>
      <c r="N51" s="394"/>
      <c r="O51" s="394"/>
      <c r="P51" s="394"/>
      <c r="Q51" s="394"/>
      <c r="R51" s="381"/>
      <c r="S51" s="408"/>
      <c r="T51" s="385"/>
      <c r="U51" s="475"/>
      <c r="V51" s="395"/>
      <c r="W51" s="395"/>
      <c r="X51" s="528">
        <v>90</v>
      </c>
      <c r="Y51" s="523">
        <v>2</v>
      </c>
      <c r="Z51" s="393">
        <v>2</v>
      </c>
      <c r="AA51" s="571">
        <v>70.630369999999999</v>
      </c>
      <c r="AB51" s="394">
        <v>50.005330000000001</v>
      </c>
      <c r="AC51" s="394">
        <v>5.5044000000000004</v>
      </c>
      <c r="AD51" s="394">
        <v>37.666409999999999</v>
      </c>
      <c r="AE51" s="394">
        <v>9.4114299999999993</v>
      </c>
      <c r="AF51" s="394">
        <v>0</v>
      </c>
      <c r="AG51" s="394">
        <v>0</v>
      </c>
      <c r="AH51" s="394">
        <v>5.4798900000000001</v>
      </c>
      <c r="AI51" s="394">
        <v>6.1159999999999999E-2</v>
      </c>
      <c r="AJ51" s="394">
        <v>12.55547</v>
      </c>
      <c r="AK51" s="381" t="s">
        <v>167</v>
      </c>
      <c r="AL51" s="408" t="s">
        <v>175</v>
      </c>
      <c r="AM51" s="385"/>
      <c r="AN51" s="475">
        <v>13</v>
      </c>
      <c r="AO51" s="395">
        <f t="shared" ref="AO51:AO65" si="39">AA51/X51*1000</f>
        <v>784.78188888888894</v>
      </c>
      <c r="AP51" s="395">
        <f t="shared" ref="AP51:AP65" si="40">AA51/Y51</f>
        <v>35.315185</v>
      </c>
      <c r="AQ51" s="528"/>
      <c r="AR51" s="523"/>
      <c r="AS51" s="393"/>
      <c r="AT51" s="571"/>
      <c r="AU51" s="394"/>
      <c r="AV51" s="394"/>
      <c r="AW51" s="394"/>
      <c r="AX51" s="394"/>
      <c r="AY51" s="394"/>
      <c r="AZ51" s="394"/>
      <c r="BA51" s="394"/>
      <c r="BB51" s="394"/>
      <c r="BC51" s="394"/>
      <c r="BD51" s="381"/>
      <c r="BE51" s="408"/>
      <c r="BF51" s="385"/>
      <c r="BG51" s="475"/>
      <c r="BH51" s="395" t="e">
        <f t="shared" si="16"/>
        <v>#DIV/0!</v>
      </c>
      <c r="BI51" s="395" t="e">
        <f t="shared" si="17"/>
        <v>#DIV/0!</v>
      </c>
    </row>
    <row r="52" spans="1:61" s="358" customFormat="1" ht="19.2" x14ac:dyDescent="0.3">
      <c r="A52" s="359" t="s">
        <v>267</v>
      </c>
      <c r="B52" s="572" t="s">
        <v>1414</v>
      </c>
      <c r="C52" s="583" t="s">
        <v>2284</v>
      </c>
      <c r="D52" s="360">
        <v>0.4</v>
      </c>
      <c r="E52" s="528"/>
      <c r="F52" s="523"/>
      <c r="G52" s="393"/>
      <c r="H52" s="571"/>
      <c r="I52" s="394"/>
      <c r="J52" s="394"/>
      <c r="K52" s="394"/>
      <c r="L52" s="394"/>
      <c r="M52" s="394"/>
      <c r="N52" s="394"/>
      <c r="O52" s="394"/>
      <c r="P52" s="394"/>
      <c r="Q52" s="394"/>
      <c r="R52" s="381"/>
      <c r="S52" s="408"/>
      <c r="T52" s="385"/>
      <c r="U52" s="475"/>
      <c r="V52" s="395"/>
      <c r="W52" s="395"/>
      <c r="X52" s="528">
        <v>122</v>
      </c>
      <c r="Y52" s="523">
        <v>2</v>
      </c>
      <c r="Z52" s="393">
        <v>2</v>
      </c>
      <c r="AA52" s="571">
        <v>91.053039999999996</v>
      </c>
      <c r="AB52" s="394">
        <v>63.402230000000003</v>
      </c>
      <c r="AC52" s="394">
        <v>7.4615200000000002</v>
      </c>
      <c r="AD52" s="394">
        <v>50.221879999999999</v>
      </c>
      <c r="AE52" s="394">
        <v>12.61584</v>
      </c>
      <c r="AF52" s="394">
        <v>0</v>
      </c>
      <c r="AG52" s="394">
        <v>0</v>
      </c>
      <c r="AH52" s="394">
        <v>7.3482200000000004</v>
      </c>
      <c r="AI52" s="394">
        <v>6.1159999999999999E-2</v>
      </c>
      <c r="AJ52" s="394">
        <v>12.55547</v>
      </c>
      <c r="AK52" s="381" t="s">
        <v>167</v>
      </c>
      <c r="AL52" s="408" t="s">
        <v>175</v>
      </c>
      <c r="AM52" s="385"/>
      <c r="AN52" s="475">
        <v>15</v>
      </c>
      <c r="AO52" s="395">
        <f t="shared" si="39"/>
        <v>746.33639344262292</v>
      </c>
      <c r="AP52" s="395">
        <f t="shared" si="40"/>
        <v>45.526519999999998</v>
      </c>
      <c r="AQ52" s="528"/>
      <c r="AR52" s="523"/>
      <c r="AS52" s="393"/>
      <c r="AT52" s="571"/>
      <c r="AU52" s="394"/>
      <c r="AV52" s="394"/>
      <c r="AW52" s="394"/>
      <c r="AX52" s="394"/>
      <c r="AY52" s="394"/>
      <c r="AZ52" s="394"/>
      <c r="BA52" s="394"/>
      <c r="BB52" s="394"/>
      <c r="BC52" s="394"/>
      <c r="BD52" s="381"/>
      <c r="BE52" s="408"/>
      <c r="BF52" s="385"/>
      <c r="BG52" s="475"/>
      <c r="BH52" s="395" t="e">
        <f t="shared" si="16"/>
        <v>#DIV/0!</v>
      </c>
      <c r="BI52" s="395" t="e">
        <f t="shared" si="17"/>
        <v>#DIV/0!</v>
      </c>
    </row>
    <row r="53" spans="1:61" s="358" customFormat="1" ht="19.2" x14ac:dyDescent="0.3">
      <c r="A53" s="359" t="s">
        <v>268</v>
      </c>
      <c r="B53" s="572" t="s">
        <v>1414</v>
      </c>
      <c r="C53" s="583" t="s">
        <v>2285</v>
      </c>
      <c r="D53" s="360">
        <v>0.4</v>
      </c>
      <c r="E53" s="528"/>
      <c r="F53" s="523"/>
      <c r="G53" s="393"/>
      <c r="H53" s="571"/>
      <c r="I53" s="394"/>
      <c r="J53" s="394"/>
      <c r="K53" s="394"/>
      <c r="L53" s="394"/>
      <c r="M53" s="394"/>
      <c r="N53" s="394"/>
      <c r="O53" s="394"/>
      <c r="P53" s="394"/>
      <c r="Q53" s="394"/>
      <c r="R53" s="381"/>
      <c r="S53" s="408"/>
      <c r="T53" s="385"/>
      <c r="U53" s="475"/>
      <c r="V53" s="395"/>
      <c r="W53" s="395"/>
      <c r="X53" s="528">
        <v>134</v>
      </c>
      <c r="Y53" s="523">
        <v>2</v>
      </c>
      <c r="Z53" s="393">
        <v>2</v>
      </c>
      <c r="AA53" s="571">
        <v>108.80723999999999</v>
      </c>
      <c r="AB53" s="394">
        <v>75.638409999999993</v>
      </c>
      <c r="AC53" s="394">
        <v>8.1954399999999996</v>
      </c>
      <c r="AD53" s="394">
        <v>62.777349999999998</v>
      </c>
      <c r="AE53" s="394">
        <v>15.14758</v>
      </c>
      <c r="AF53" s="394">
        <v>0</v>
      </c>
      <c r="AG53" s="394">
        <v>0</v>
      </c>
      <c r="AH53" s="394">
        <v>8.7994500000000002</v>
      </c>
      <c r="AI53" s="394">
        <v>6.1159999999999999E-2</v>
      </c>
      <c r="AJ53" s="394">
        <v>12.55547</v>
      </c>
      <c r="AK53" s="381" t="s">
        <v>167</v>
      </c>
      <c r="AL53" s="408" t="s">
        <v>175</v>
      </c>
      <c r="AM53" s="385"/>
      <c r="AN53" s="475">
        <v>17</v>
      </c>
      <c r="AO53" s="395">
        <f t="shared" si="39"/>
        <v>811.99432835820892</v>
      </c>
      <c r="AP53" s="395">
        <f t="shared" si="40"/>
        <v>54.403619999999997</v>
      </c>
      <c r="AQ53" s="528"/>
      <c r="AR53" s="523"/>
      <c r="AS53" s="393"/>
      <c r="AT53" s="571"/>
      <c r="AU53" s="394"/>
      <c r="AV53" s="394"/>
      <c r="AW53" s="394"/>
      <c r="AX53" s="394"/>
      <c r="AY53" s="394"/>
      <c r="AZ53" s="394"/>
      <c r="BA53" s="394"/>
      <c r="BB53" s="394"/>
      <c r="BC53" s="394"/>
      <c r="BD53" s="381"/>
      <c r="BE53" s="408"/>
      <c r="BF53" s="385"/>
      <c r="BG53" s="475"/>
      <c r="BH53" s="395" t="e">
        <f t="shared" si="16"/>
        <v>#DIV/0!</v>
      </c>
      <c r="BI53" s="395" t="e">
        <f t="shared" si="17"/>
        <v>#DIV/0!</v>
      </c>
    </row>
    <row r="54" spans="1:61" s="358" customFormat="1" ht="19.2" x14ac:dyDescent="0.3">
      <c r="A54" s="359" t="s">
        <v>269</v>
      </c>
      <c r="B54" s="572" t="s">
        <v>1414</v>
      </c>
      <c r="C54" s="583" t="s">
        <v>2286</v>
      </c>
      <c r="D54" s="360">
        <v>0.4</v>
      </c>
      <c r="E54" s="528"/>
      <c r="F54" s="523"/>
      <c r="G54" s="393"/>
      <c r="H54" s="571"/>
      <c r="I54" s="394"/>
      <c r="J54" s="394"/>
      <c r="K54" s="394"/>
      <c r="L54" s="394"/>
      <c r="M54" s="394"/>
      <c r="N54" s="394"/>
      <c r="O54" s="394"/>
      <c r="P54" s="394"/>
      <c r="Q54" s="394"/>
      <c r="R54" s="381"/>
      <c r="S54" s="408"/>
      <c r="T54" s="385"/>
      <c r="U54" s="475"/>
      <c r="V54" s="395"/>
      <c r="W54" s="395"/>
      <c r="X54" s="528">
        <v>76</v>
      </c>
      <c r="Y54" s="523">
        <v>2</v>
      </c>
      <c r="Z54" s="393">
        <v>2</v>
      </c>
      <c r="AA54" s="571">
        <v>48.692920000000001</v>
      </c>
      <c r="AB54" s="394">
        <v>33.73668</v>
      </c>
      <c r="AC54" s="394">
        <v>4.6481599999999998</v>
      </c>
      <c r="AD54" s="394">
        <v>25.110939999999999</v>
      </c>
      <c r="AE54" s="394">
        <v>6.8124200000000004</v>
      </c>
      <c r="AF54" s="394">
        <v>0</v>
      </c>
      <c r="AG54" s="394">
        <v>0</v>
      </c>
      <c r="AH54" s="394">
        <v>3.9869500000000002</v>
      </c>
      <c r="AI54" s="394">
        <v>6.1159999999999999E-2</v>
      </c>
      <c r="AJ54" s="394">
        <v>12.55547</v>
      </c>
      <c r="AK54" s="381" t="s">
        <v>167</v>
      </c>
      <c r="AL54" s="408" t="s">
        <v>175</v>
      </c>
      <c r="AM54" s="385"/>
      <c r="AN54" s="475">
        <v>19</v>
      </c>
      <c r="AO54" s="395">
        <f t="shared" si="39"/>
        <v>640.69631578947372</v>
      </c>
      <c r="AP54" s="395">
        <f t="shared" si="40"/>
        <v>24.34646</v>
      </c>
      <c r="AQ54" s="528"/>
      <c r="AR54" s="523"/>
      <c r="AS54" s="393"/>
      <c r="AT54" s="571"/>
      <c r="AU54" s="394"/>
      <c r="AV54" s="394"/>
      <c r="AW54" s="394"/>
      <c r="AX54" s="394"/>
      <c r="AY54" s="394"/>
      <c r="AZ54" s="394"/>
      <c r="BA54" s="394"/>
      <c r="BB54" s="394"/>
      <c r="BC54" s="394"/>
      <c r="BD54" s="381"/>
      <c r="BE54" s="408"/>
      <c r="BF54" s="385"/>
      <c r="BG54" s="475"/>
      <c r="BH54" s="395" t="e">
        <f t="shared" si="16"/>
        <v>#DIV/0!</v>
      </c>
      <c r="BI54" s="395" t="e">
        <f t="shared" si="17"/>
        <v>#DIV/0!</v>
      </c>
    </row>
    <row r="55" spans="1:61" s="358" customFormat="1" ht="19.2" x14ac:dyDescent="0.3">
      <c r="A55" s="359" t="s">
        <v>270</v>
      </c>
      <c r="B55" s="572" t="s">
        <v>1414</v>
      </c>
      <c r="C55" s="583" t="s">
        <v>2287</v>
      </c>
      <c r="D55" s="360">
        <v>0.4</v>
      </c>
      <c r="E55" s="528"/>
      <c r="F55" s="523"/>
      <c r="G55" s="393"/>
      <c r="H55" s="571"/>
      <c r="I55" s="394"/>
      <c r="J55" s="394"/>
      <c r="K55" s="394"/>
      <c r="L55" s="394"/>
      <c r="M55" s="394"/>
      <c r="N55" s="394"/>
      <c r="O55" s="394"/>
      <c r="P55" s="394"/>
      <c r="Q55" s="394"/>
      <c r="R55" s="381"/>
      <c r="S55" s="408"/>
      <c r="T55" s="385"/>
      <c r="U55" s="475"/>
      <c r="V55" s="395"/>
      <c r="W55" s="395"/>
      <c r="X55" s="528">
        <v>84</v>
      </c>
      <c r="Y55" s="523">
        <v>2</v>
      </c>
      <c r="Z55" s="393">
        <v>2</v>
      </c>
      <c r="AA55" s="571">
        <v>68.125489999999999</v>
      </c>
      <c r="AB55" s="394">
        <v>47.95279</v>
      </c>
      <c r="AC55" s="394">
        <v>5.1374399999999998</v>
      </c>
      <c r="AD55" s="394">
        <v>37.666409999999999</v>
      </c>
      <c r="AE55" s="394">
        <v>9.2096300000000006</v>
      </c>
      <c r="AF55" s="394">
        <v>0</v>
      </c>
      <c r="AG55" s="394">
        <v>0</v>
      </c>
      <c r="AH55" s="394">
        <v>5.3547500000000001</v>
      </c>
      <c r="AI55" s="394">
        <v>6.1159999999999999E-2</v>
      </c>
      <c r="AJ55" s="394">
        <v>12.55547</v>
      </c>
      <c r="AK55" s="381" t="s">
        <v>167</v>
      </c>
      <c r="AL55" s="408" t="s">
        <v>175</v>
      </c>
      <c r="AM55" s="385"/>
      <c r="AN55" s="475">
        <v>21</v>
      </c>
      <c r="AO55" s="395">
        <f t="shared" si="39"/>
        <v>811.01773809523809</v>
      </c>
      <c r="AP55" s="395">
        <f t="shared" si="40"/>
        <v>34.062745</v>
      </c>
      <c r="AQ55" s="528"/>
      <c r="AR55" s="523"/>
      <c r="AS55" s="393"/>
      <c r="AT55" s="571"/>
      <c r="AU55" s="394"/>
      <c r="AV55" s="394"/>
      <c r="AW55" s="394"/>
      <c r="AX55" s="394"/>
      <c r="AY55" s="394"/>
      <c r="AZ55" s="394"/>
      <c r="BA55" s="394"/>
      <c r="BB55" s="394"/>
      <c r="BC55" s="394"/>
      <c r="BD55" s="381"/>
      <c r="BE55" s="408"/>
      <c r="BF55" s="385"/>
      <c r="BG55" s="475"/>
      <c r="BH55" s="395" t="e">
        <f t="shared" si="16"/>
        <v>#DIV/0!</v>
      </c>
      <c r="BI55" s="395" t="e">
        <f t="shared" si="17"/>
        <v>#DIV/0!</v>
      </c>
    </row>
    <row r="56" spans="1:61" s="358" customFormat="1" ht="19.2" x14ac:dyDescent="0.3">
      <c r="A56" s="359" t="s">
        <v>271</v>
      </c>
      <c r="B56" s="572" t="s">
        <v>1414</v>
      </c>
      <c r="C56" s="583" t="s">
        <v>2288</v>
      </c>
      <c r="D56" s="360">
        <v>0.4</v>
      </c>
      <c r="E56" s="528"/>
      <c r="F56" s="523"/>
      <c r="G56" s="393"/>
      <c r="H56" s="571"/>
      <c r="I56" s="394"/>
      <c r="J56" s="394"/>
      <c r="K56" s="394"/>
      <c r="L56" s="394"/>
      <c r="M56" s="394"/>
      <c r="N56" s="394"/>
      <c r="O56" s="394"/>
      <c r="P56" s="394"/>
      <c r="Q56" s="394"/>
      <c r="R56" s="381"/>
      <c r="S56" s="408"/>
      <c r="T56" s="385"/>
      <c r="U56" s="475"/>
      <c r="V56" s="395"/>
      <c r="W56" s="395"/>
      <c r="X56" s="528">
        <v>150</v>
      </c>
      <c r="Y56" s="523">
        <v>2</v>
      </c>
      <c r="Z56" s="393">
        <v>2</v>
      </c>
      <c r="AA56" s="571">
        <v>126.8644</v>
      </c>
      <c r="AB56" s="394">
        <v>88.588849999999994</v>
      </c>
      <c r="AC56" s="394">
        <v>9.1739999999999995</v>
      </c>
      <c r="AD56" s="394">
        <f>50.22188+25.11096</f>
        <v>75.332840000000004</v>
      </c>
      <c r="AE56" s="394">
        <v>17.33053</v>
      </c>
      <c r="AF56" s="394">
        <v>0</v>
      </c>
      <c r="AG56" s="394">
        <v>0</v>
      </c>
      <c r="AH56" s="394">
        <v>10.20964</v>
      </c>
      <c r="AI56" s="394">
        <v>6.1159999999999999E-2</v>
      </c>
      <c r="AJ56" s="394">
        <v>12.555479999999999</v>
      </c>
      <c r="AK56" s="381" t="s">
        <v>167</v>
      </c>
      <c r="AL56" s="408" t="s">
        <v>175</v>
      </c>
      <c r="AM56" s="385"/>
      <c r="AN56" s="475">
        <v>23</v>
      </c>
      <c r="AO56" s="395">
        <f t="shared" si="39"/>
        <v>845.76266666666663</v>
      </c>
      <c r="AP56" s="395">
        <f t="shared" si="40"/>
        <v>63.432200000000002</v>
      </c>
      <c r="AQ56" s="528"/>
      <c r="AR56" s="523"/>
      <c r="AS56" s="393"/>
      <c r="AT56" s="571"/>
      <c r="AU56" s="394"/>
      <c r="AV56" s="394"/>
      <c r="AW56" s="394"/>
      <c r="AX56" s="394"/>
      <c r="AY56" s="394"/>
      <c r="AZ56" s="394"/>
      <c r="BA56" s="394"/>
      <c r="BB56" s="394"/>
      <c r="BC56" s="394"/>
      <c r="BD56" s="381"/>
      <c r="BE56" s="408"/>
      <c r="BF56" s="385"/>
      <c r="BG56" s="475"/>
      <c r="BH56" s="395" t="e">
        <f t="shared" si="16"/>
        <v>#DIV/0!</v>
      </c>
      <c r="BI56" s="395" t="e">
        <f t="shared" si="17"/>
        <v>#DIV/0!</v>
      </c>
    </row>
    <row r="57" spans="1:61" s="358" customFormat="1" ht="19.2" x14ac:dyDescent="0.3">
      <c r="A57" s="359" t="s">
        <v>272</v>
      </c>
      <c r="B57" s="572" t="s">
        <v>2290</v>
      </c>
      <c r="C57" s="583" t="s">
        <v>2289</v>
      </c>
      <c r="D57" s="360">
        <v>0.4</v>
      </c>
      <c r="E57" s="528"/>
      <c r="F57" s="523"/>
      <c r="G57" s="393"/>
      <c r="H57" s="571"/>
      <c r="I57" s="394"/>
      <c r="J57" s="394"/>
      <c r="K57" s="394"/>
      <c r="L57" s="394"/>
      <c r="M57" s="394"/>
      <c r="N57" s="394"/>
      <c r="O57" s="394"/>
      <c r="P57" s="394"/>
      <c r="Q57" s="394"/>
      <c r="R57" s="381"/>
      <c r="S57" s="408"/>
      <c r="T57" s="385"/>
      <c r="U57" s="475"/>
      <c r="V57" s="395"/>
      <c r="W57" s="395"/>
      <c r="X57" s="528">
        <v>32</v>
      </c>
      <c r="Y57" s="523">
        <v>15</v>
      </c>
      <c r="Z57" s="393">
        <v>15</v>
      </c>
      <c r="AA57" s="571">
        <v>24.21951</v>
      </c>
      <c r="AB57" s="394">
        <v>17.19547</v>
      </c>
      <c r="AC57" s="394">
        <v>1.95712</v>
      </c>
      <c r="AD57" s="394">
        <v>12.55551</v>
      </c>
      <c r="AE57" s="394">
        <v>3.2026599999999998</v>
      </c>
      <c r="AF57" s="394">
        <v>0</v>
      </c>
      <c r="AG57" s="394">
        <v>0</v>
      </c>
      <c r="AH57" s="394">
        <v>1.8683399999999999</v>
      </c>
      <c r="AI57" s="394">
        <v>6.1159999999999999E-2</v>
      </c>
      <c r="AJ57" s="394">
        <v>12.55551</v>
      </c>
      <c r="AK57" s="381" t="s">
        <v>167</v>
      </c>
      <c r="AL57" s="408" t="s">
        <v>175</v>
      </c>
      <c r="AM57" s="385"/>
      <c r="AN57" s="475">
        <v>25</v>
      </c>
      <c r="AO57" s="395">
        <f t="shared" si="39"/>
        <v>756.85968749999995</v>
      </c>
      <c r="AP57" s="395">
        <f t="shared" si="40"/>
        <v>1.6146339999999999</v>
      </c>
      <c r="AQ57" s="528"/>
      <c r="AR57" s="523"/>
      <c r="AS57" s="393"/>
      <c r="AT57" s="571"/>
      <c r="AU57" s="394"/>
      <c r="AV57" s="394"/>
      <c r="AW57" s="394"/>
      <c r="AX57" s="394"/>
      <c r="AY57" s="394"/>
      <c r="AZ57" s="394"/>
      <c r="BA57" s="394"/>
      <c r="BB57" s="394"/>
      <c r="BC57" s="394"/>
      <c r="BD57" s="381"/>
      <c r="BE57" s="408"/>
      <c r="BF57" s="385"/>
      <c r="BG57" s="475"/>
      <c r="BH57" s="395" t="e">
        <f t="shared" si="16"/>
        <v>#DIV/0!</v>
      </c>
      <c r="BI57" s="395" t="e">
        <f t="shared" si="17"/>
        <v>#DIV/0!</v>
      </c>
    </row>
    <row r="58" spans="1:61" s="358" customFormat="1" ht="19.2" x14ac:dyDescent="0.3">
      <c r="A58" s="359" t="s">
        <v>273</v>
      </c>
      <c r="B58" s="572" t="s">
        <v>2292</v>
      </c>
      <c r="C58" s="583" t="s">
        <v>2291</v>
      </c>
      <c r="D58" s="360">
        <v>0.4</v>
      </c>
      <c r="E58" s="528"/>
      <c r="F58" s="523"/>
      <c r="G58" s="393"/>
      <c r="H58" s="571"/>
      <c r="I58" s="394"/>
      <c r="J58" s="394"/>
      <c r="K58" s="394"/>
      <c r="L58" s="394"/>
      <c r="M58" s="394"/>
      <c r="N58" s="394"/>
      <c r="O58" s="394"/>
      <c r="P58" s="394"/>
      <c r="Q58" s="394"/>
      <c r="R58" s="381"/>
      <c r="S58" s="408"/>
      <c r="T58" s="385"/>
      <c r="U58" s="475"/>
      <c r="V58" s="395"/>
      <c r="W58" s="395"/>
      <c r="X58" s="528">
        <v>52</v>
      </c>
      <c r="Y58" s="523">
        <v>15</v>
      </c>
      <c r="Z58" s="393">
        <v>15</v>
      </c>
      <c r="AA58" s="571">
        <v>184.84700000000001</v>
      </c>
      <c r="AB58" s="394">
        <v>129.95139</v>
      </c>
      <c r="AC58" s="394">
        <v>3.18032</v>
      </c>
      <c r="AD58" s="394">
        <f>37.66656+50.22208</f>
        <v>87.888639999999995</v>
      </c>
      <c r="AE58" s="394">
        <v>25.400469999999999</v>
      </c>
      <c r="AF58" s="394">
        <v>0</v>
      </c>
      <c r="AG58" s="394">
        <v>0</v>
      </c>
      <c r="AH58" s="394">
        <v>14.52922</v>
      </c>
      <c r="AI58" s="394">
        <v>6.1159999999999999E-2</v>
      </c>
      <c r="AJ58" s="394">
        <v>12.55552</v>
      </c>
      <c r="AK58" s="381" t="s">
        <v>167</v>
      </c>
      <c r="AL58" s="408" t="s">
        <v>175</v>
      </c>
      <c r="AM58" s="385"/>
      <c r="AN58" s="475">
        <v>27</v>
      </c>
      <c r="AO58" s="395">
        <f t="shared" si="39"/>
        <v>3554.7500000000005</v>
      </c>
      <c r="AP58" s="395">
        <f t="shared" si="40"/>
        <v>12.323133333333335</v>
      </c>
      <c r="AQ58" s="528"/>
      <c r="AR58" s="523"/>
      <c r="AS58" s="393"/>
      <c r="AT58" s="571"/>
      <c r="AU58" s="394"/>
      <c r="AV58" s="394"/>
      <c r="AW58" s="394"/>
      <c r="AX58" s="394"/>
      <c r="AY58" s="394"/>
      <c r="AZ58" s="394"/>
      <c r="BA58" s="394"/>
      <c r="BB58" s="394"/>
      <c r="BC58" s="394"/>
      <c r="BD58" s="381"/>
      <c r="BE58" s="408"/>
      <c r="BF58" s="385"/>
      <c r="BG58" s="475"/>
      <c r="BH58" s="395" t="e">
        <f t="shared" si="16"/>
        <v>#DIV/0!</v>
      </c>
      <c r="BI58" s="395" t="e">
        <f t="shared" si="17"/>
        <v>#DIV/0!</v>
      </c>
    </row>
    <row r="59" spans="1:61" s="358" customFormat="1" ht="19.2" x14ac:dyDescent="0.3">
      <c r="A59" s="359" t="s">
        <v>274</v>
      </c>
      <c r="B59" s="572" t="s">
        <v>2294</v>
      </c>
      <c r="C59" s="583" t="s">
        <v>2293</v>
      </c>
      <c r="D59" s="360">
        <v>0.4</v>
      </c>
      <c r="E59" s="528"/>
      <c r="F59" s="523"/>
      <c r="G59" s="393"/>
      <c r="H59" s="571"/>
      <c r="I59" s="394"/>
      <c r="J59" s="394"/>
      <c r="K59" s="394"/>
      <c r="L59" s="394"/>
      <c r="M59" s="394"/>
      <c r="N59" s="394"/>
      <c r="O59" s="394"/>
      <c r="P59" s="394"/>
      <c r="Q59" s="394"/>
      <c r="R59" s="381"/>
      <c r="S59" s="408"/>
      <c r="T59" s="385"/>
      <c r="U59" s="475"/>
      <c r="V59" s="395"/>
      <c r="W59" s="395"/>
      <c r="X59" s="528">
        <v>44</v>
      </c>
      <c r="Y59" s="523">
        <v>15</v>
      </c>
      <c r="Z59" s="393">
        <v>15</v>
      </c>
      <c r="AA59" s="571">
        <v>26.065149999999999</v>
      </c>
      <c r="AB59" s="394">
        <v>18.13646</v>
      </c>
      <c r="AC59" s="394">
        <v>2.6910400000000001</v>
      </c>
      <c r="AD59" s="394">
        <v>12.55552</v>
      </c>
      <c r="AE59" s="394">
        <v>3.6062599999999998</v>
      </c>
      <c r="AF59" s="394">
        <v>0</v>
      </c>
      <c r="AG59" s="394">
        <v>0</v>
      </c>
      <c r="AH59" s="394">
        <v>2.1185999999999998</v>
      </c>
      <c r="AI59" s="394">
        <v>6.1159999999999999E-2</v>
      </c>
      <c r="AJ59" s="394">
        <v>12.55552</v>
      </c>
      <c r="AK59" s="381" t="s">
        <v>167</v>
      </c>
      <c r="AL59" s="408" t="s">
        <v>175</v>
      </c>
      <c r="AM59" s="385"/>
      <c r="AN59" s="475">
        <v>29</v>
      </c>
      <c r="AO59" s="395">
        <f t="shared" si="39"/>
        <v>592.38977272727266</v>
      </c>
      <c r="AP59" s="395">
        <f t="shared" si="40"/>
        <v>1.7376766666666665</v>
      </c>
      <c r="AQ59" s="528"/>
      <c r="AR59" s="523"/>
      <c r="AS59" s="393"/>
      <c r="AT59" s="571"/>
      <c r="AU59" s="394"/>
      <c r="AV59" s="394"/>
      <c r="AW59" s="394"/>
      <c r="AX59" s="394"/>
      <c r="AY59" s="394"/>
      <c r="AZ59" s="394"/>
      <c r="BA59" s="394"/>
      <c r="BB59" s="394"/>
      <c r="BC59" s="394"/>
      <c r="BD59" s="381"/>
      <c r="BE59" s="408"/>
      <c r="BF59" s="385"/>
      <c r="BG59" s="475"/>
      <c r="BH59" s="395" t="e">
        <f t="shared" si="16"/>
        <v>#DIV/0!</v>
      </c>
      <c r="BI59" s="395" t="e">
        <f t="shared" si="17"/>
        <v>#DIV/0!</v>
      </c>
    </row>
    <row r="60" spans="1:61" s="358" customFormat="1" ht="19.2" x14ac:dyDescent="0.3">
      <c r="A60" s="359" t="s">
        <v>275</v>
      </c>
      <c r="B60" s="572" t="s">
        <v>2296</v>
      </c>
      <c r="C60" s="583" t="s">
        <v>2295</v>
      </c>
      <c r="D60" s="360">
        <v>0.4</v>
      </c>
      <c r="E60" s="528"/>
      <c r="F60" s="523"/>
      <c r="G60" s="393"/>
      <c r="H60" s="571"/>
      <c r="I60" s="394"/>
      <c r="J60" s="394"/>
      <c r="K60" s="394"/>
      <c r="L60" s="394"/>
      <c r="M60" s="394"/>
      <c r="N60" s="394"/>
      <c r="O60" s="394"/>
      <c r="P60" s="394"/>
      <c r="Q60" s="394"/>
      <c r="R60" s="381"/>
      <c r="S60" s="408"/>
      <c r="T60" s="385"/>
      <c r="U60" s="475"/>
      <c r="V60" s="395"/>
      <c r="W60" s="395"/>
      <c r="X60" s="528">
        <v>40</v>
      </c>
      <c r="Y60" s="523">
        <v>15</v>
      </c>
      <c r="Z60" s="393">
        <v>15</v>
      </c>
      <c r="AA60" s="571">
        <v>25.357620000000001</v>
      </c>
      <c r="AB60" s="394">
        <v>17.730460000000001</v>
      </c>
      <c r="AC60" s="394">
        <v>2.4464000000000001</v>
      </c>
      <c r="AD60" s="394">
        <v>12.55552</v>
      </c>
      <c r="AE60" s="394">
        <v>3.47173</v>
      </c>
      <c r="AF60" s="394">
        <v>0</v>
      </c>
      <c r="AG60" s="394">
        <v>0</v>
      </c>
      <c r="AH60" s="394">
        <v>2.0351900000000001</v>
      </c>
      <c r="AI60" s="394">
        <v>6.1159999999999999E-2</v>
      </c>
      <c r="AJ60" s="394">
        <v>12.55552</v>
      </c>
      <c r="AK60" s="381" t="s">
        <v>167</v>
      </c>
      <c r="AL60" s="408" t="s">
        <v>175</v>
      </c>
      <c r="AM60" s="385"/>
      <c r="AN60" s="475">
        <v>31</v>
      </c>
      <c r="AO60" s="395">
        <f t="shared" si="39"/>
        <v>633.94050000000004</v>
      </c>
      <c r="AP60" s="395">
        <f t="shared" si="40"/>
        <v>1.6905080000000001</v>
      </c>
      <c r="AQ60" s="528"/>
      <c r="AR60" s="523"/>
      <c r="AS60" s="393"/>
      <c r="AT60" s="571"/>
      <c r="AU60" s="394"/>
      <c r="AV60" s="394"/>
      <c r="AW60" s="394"/>
      <c r="AX60" s="394"/>
      <c r="AY60" s="394"/>
      <c r="AZ60" s="394"/>
      <c r="BA60" s="394"/>
      <c r="BB60" s="394"/>
      <c r="BC60" s="394"/>
      <c r="BD60" s="381"/>
      <c r="BE60" s="408"/>
      <c r="BF60" s="385"/>
      <c r="BG60" s="475"/>
      <c r="BH60" s="395" t="e">
        <f t="shared" si="16"/>
        <v>#DIV/0!</v>
      </c>
      <c r="BI60" s="395" t="e">
        <f t="shared" si="17"/>
        <v>#DIV/0!</v>
      </c>
    </row>
    <row r="61" spans="1:61" s="358" customFormat="1" ht="19.2" x14ac:dyDescent="0.3">
      <c r="A61" s="359" t="s">
        <v>276</v>
      </c>
      <c r="B61" s="572" t="s">
        <v>2298</v>
      </c>
      <c r="C61" s="583" t="s">
        <v>2297</v>
      </c>
      <c r="D61" s="360">
        <v>0.4</v>
      </c>
      <c r="E61" s="528"/>
      <c r="F61" s="523"/>
      <c r="G61" s="393"/>
      <c r="H61" s="571"/>
      <c r="I61" s="394"/>
      <c r="J61" s="394"/>
      <c r="K61" s="394"/>
      <c r="L61" s="394"/>
      <c r="M61" s="394"/>
      <c r="N61" s="394"/>
      <c r="O61" s="394"/>
      <c r="P61" s="394"/>
      <c r="Q61" s="394"/>
      <c r="R61" s="381"/>
      <c r="S61" s="408"/>
      <c r="T61" s="385"/>
      <c r="U61" s="475"/>
      <c r="V61" s="395"/>
      <c r="W61" s="395"/>
      <c r="X61" s="528">
        <v>50</v>
      </c>
      <c r="Y61" s="523">
        <v>15</v>
      </c>
      <c r="Z61" s="393">
        <v>15</v>
      </c>
      <c r="AA61" s="571">
        <v>26.912330000000001</v>
      </c>
      <c r="AB61" s="394">
        <v>18.531300000000002</v>
      </c>
      <c r="AC61" s="394">
        <v>3.0579999999999998</v>
      </c>
      <c r="AD61" s="394">
        <v>12.55552</v>
      </c>
      <c r="AE61" s="394">
        <v>3.8080599999999998</v>
      </c>
      <c r="AF61" s="394">
        <v>0</v>
      </c>
      <c r="AG61" s="394">
        <v>0</v>
      </c>
      <c r="AH61" s="394">
        <v>2.2437399999999998</v>
      </c>
      <c r="AI61" s="394">
        <v>6.1159999999999999E-2</v>
      </c>
      <c r="AJ61" s="394">
        <v>12.55552</v>
      </c>
      <c r="AK61" s="381" t="s">
        <v>167</v>
      </c>
      <c r="AL61" s="408" t="s">
        <v>175</v>
      </c>
      <c r="AM61" s="385"/>
      <c r="AN61" s="475">
        <v>33</v>
      </c>
      <c r="AO61" s="395">
        <f t="shared" si="39"/>
        <v>538.24660000000006</v>
      </c>
      <c r="AP61" s="395">
        <f t="shared" si="40"/>
        <v>1.7941553333333333</v>
      </c>
      <c r="AQ61" s="528"/>
      <c r="AR61" s="523"/>
      <c r="AS61" s="393"/>
      <c r="AT61" s="571"/>
      <c r="AU61" s="394"/>
      <c r="AV61" s="394"/>
      <c r="AW61" s="394"/>
      <c r="AX61" s="394"/>
      <c r="AY61" s="394"/>
      <c r="AZ61" s="394"/>
      <c r="BA61" s="394"/>
      <c r="BB61" s="394"/>
      <c r="BC61" s="394"/>
      <c r="BD61" s="381"/>
      <c r="BE61" s="408"/>
      <c r="BF61" s="385"/>
      <c r="BG61" s="475"/>
      <c r="BH61" s="395" t="e">
        <f t="shared" si="16"/>
        <v>#DIV/0!</v>
      </c>
      <c r="BI61" s="395" t="e">
        <f t="shared" si="17"/>
        <v>#DIV/0!</v>
      </c>
    </row>
    <row r="62" spans="1:61" s="358" customFormat="1" ht="19.2" x14ac:dyDescent="0.3">
      <c r="A62" s="359" t="s">
        <v>277</v>
      </c>
      <c r="B62" s="572" t="s">
        <v>2300</v>
      </c>
      <c r="C62" s="583" t="s">
        <v>2299</v>
      </c>
      <c r="D62" s="360">
        <v>0.4</v>
      </c>
      <c r="E62" s="528"/>
      <c r="F62" s="523"/>
      <c r="G62" s="393"/>
      <c r="H62" s="571"/>
      <c r="I62" s="394"/>
      <c r="J62" s="394"/>
      <c r="K62" s="394"/>
      <c r="L62" s="394"/>
      <c r="M62" s="394"/>
      <c r="N62" s="394"/>
      <c r="O62" s="394"/>
      <c r="P62" s="394"/>
      <c r="Q62" s="394"/>
      <c r="R62" s="381"/>
      <c r="S62" s="408"/>
      <c r="T62" s="385"/>
      <c r="U62" s="475"/>
      <c r="V62" s="395"/>
      <c r="W62" s="395"/>
      <c r="X62" s="528">
        <v>47</v>
      </c>
      <c r="Y62" s="523">
        <v>15</v>
      </c>
      <c r="Z62" s="393">
        <v>15</v>
      </c>
      <c r="AA62" s="571">
        <v>26.399349999999998</v>
      </c>
      <c r="AB62" s="394">
        <v>18.244479999999999</v>
      </c>
      <c r="AC62" s="394">
        <v>2.87452</v>
      </c>
      <c r="AD62" s="394">
        <v>12.55552</v>
      </c>
      <c r="AE62" s="394">
        <v>3.70716</v>
      </c>
      <c r="AF62" s="394">
        <v>0</v>
      </c>
      <c r="AG62" s="394">
        <v>0</v>
      </c>
      <c r="AH62" s="394">
        <v>2.1811799999999999</v>
      </c>
      <c r="AI62" s="394">
        <v>6.1159999999999999E-2</v>
      </c>
      <c r="AJ62" s="394">
        <v>12.55552</v>
      </c>
      <c r="AK62" s="381" t="s">
        <v>167</v>
      </c>
      <c r="AL62" s="408" t="s">
        <v>175</v>
      </c>
      <c r="AM62" s="385"/>
      <c r="AN62" s="475">
        <v>35</v>
      </c>
      <c r="AO62" s="395">
        <f t="shared" si="39"/>
        <v>561.6882978723404</v>
      </c>
      <c r="AP62" s="395">
        <f t="shared" si="40"/>
        <v>1.7599566666666666</v>
      </c>
      <c r="AQ62" s="528"/>
      <c r="AR62" s="523"/>
      <c r="AS62" s="393"/>
      <c r="AT62" s="571"/>
      <c r="AU62" s="394"/>
      <c r="AV62" s="394"/>
      <c r="AW62" s="394"/>
      <c r="AX62" s="394"/>
      <c r="AY62" s="394"/>
      <c r="AZ62" s="394"/>
      <c r="BA62" s="394"/>
      <c r="BB62" s="394"/>
      <c r="BC62" s="394"/>
      <c r="BD62" s="381"/>
      <c r="BE62" s="408"/>
      <c r="BF62" s="385"/>
      <c r="BG62" s="475"/>
      <c r="BH62" s="395" t="e">
        <f t="shared" si="16"/>
        <v>#DIV/0!</v>
      </c>
      <c r="BI62" s="395" t="e">
        <f t="shared" si="17"/>
        <v>#DIV/0!</v>
      </c>
    </row>
    <row r="63" spans="1:61" s="358" customFormat="1" ht="19.2" x14ac:dyDescent="0.3">
      <c r="A63" s="359" t="s">
        <v>326</v>
      </c>
      <c r="B63" s="572" t="s">
        <v>2302</v>
      </c>
      <c r="C63" s="583" t="s">
        <v>2301</v>
      </c>
      <c r="D63" s="360">
        <v>0.4</v>
      </c>
      <c r="E63" s="528"/>
      <c r="F63" s="523"/>
      <c r="G63" s="393"/>
      <c r="H63" s="571"/>
      <c r="I63" s="394"/>
      <c r="J63" s="394"/>
      <c r="K63" s="394"/>
      <c r="L63" s="394"/>
      <c r="M63" s="394"/>
      <c r="N63" s="394"/>
      <c r="O63" s="394"/>
      <c r="P63" s="394"/>
      <c r="Q63" s="394"/>
      <c r="R63" s="381"/>
      <c r="S63" s="408"/>
      <c r="T63" s="385"/>
      <c r="U63" s="475"/>
      <c r="V63" s="395"/>
      <c r="W63" s="395"/>
      <c r="X63" s="528">
        <v>55</v>
      </c>
      <c r="Y63" s="523">
        <v>15</v>
      </c>
      <c r="Z63" s="393">
        <v>15</v>
      </c>
      <c r="AA63" s="571">
        <v>27.994340000000001</v>
      </c>
      <c r="AB63" s="394">
        <v>19.236360000000001</v>
      </c>
      <c r="AC63" s="394">
        <v>3.3637999999999999</v>
      </c>
      <c r="AD63" s="394">
        <v>12.55552</v>
      </c>
      <c r="AE63" s="394">
        <v>3.9762300000000002</v>
      </c>
      <c r="AF63" s="394">
        <v>0</v>
      </c>
      <c r="AG63" s="394">
        <v>0</v>
      </c>
      <c r="AH63" s="394">
        <v>2.34802</v>
      </c>
      <c r="AI63" s="394">
        <v>6.1159999999999999E-2</v>
      </c>
      <c r="AJ63" s="394">
        <v>12.55552</v>
      </c>
      <c r="AK63" s="381" t="s">
        <v>167</v>
      </c>
      <c r="AL63" s="408" t="s">
        <v>175</v>
      </c>
      <c r="AM63" s="385"/>
      <c r="AN63" s="475">
        <v>37</v>
      </c>
      <c r="AO63" s="395">
        <f t="shared" si="39"/>
        <v>508.988</v>
      </c>
      <c r="AP63" s="395">
        <f t="shared" si="40"/>
        <v>1.8662893333333335</v>
      </c>
      <c r="AQ63" s="528"/>
      <c r="AR63" s="523"/>
      <c r="AS63" s="393"/>
      <c r="AT63" s="571"/>
      <c r="AU63" s="394"/>
      <c r="AV63" s="394"/>
      <c r="AW63" s="394"/>
      <c r="AX63" s="394"/>
      <c r="AY63" s="394"/>
      <c r="AZ63" s="394"/>
      <c r="BA63" s="394"/>
      <c r="BB63" s="394"/>
      <c r="BC63" s="394"/>
      <c r="BD63" s="381"/>
      <c r="BE63" s="408"/>
      <c r="BF63" s="385"/>
      <c r="BG63" s="475"/>
      <c r="BH63" s="395" t="e">
        <f t="shared" si="16"/>
        <v>#DIV/0!</v>
      </c>
      <c r="BI63" s="395" t="e">
        <f t="shared" si="17"/>
        <v>#DIV/0!</v>
      </c>
    </row>
    <row r="64" spans="1:61" s="358" customFormat="1" ht="19.2" x14ac:dyDescent="0.3">
      <c r="A64" s="359" t="s">
        <v>327</v>
      </c>
      <c r="B64" s="572" t="s">
        <v>2304</v>
      </c>
      <c r="C64" s="583" t="s">
        <v>2303</v>
      </c>
      <c r="D64" s="360">
        <v>0.4</v>
      </c>
      <c r="E64" s="528"/>
      <c r="F64" s="523"/>
      <c r="G64" s="393"/>
      <c r="H64" s="571"/>
      <c r="I64" s="394"/>
      <c r="J64" s="394"/>
      <c r="K64" s="394"/>
      <c r="L64" s="394"/>
      <c r="M64" s="394"/>
      <c r="N64" s="394"/>
      <c r="O64" s="394"/>
      <c r="P64" s="394"/>
      <c r="Q64" s="394"/>
      <c r="R64" s="381"/>
      <c r="S64" s="408"/>
      <c r="T64" s="385"/>
      <c r="U64" s="475"/>
      <c r="V64" s="395"/>
      <c r="W64" s="395"/>
      <c r="X64" s="528">
        <v>80</v>
      </c>
      <c r="Y64" s="523">
        <v>15</v>
      </c>
      <c r="Z64" s="393">
        <v>15</v>
      </c>
      <c r="AA64" s="571">
        <v>50.030819999999999</v>
      </c>
      <c r="AB64" s="394">
        <v>34.776519999999998</v>
      </c>
      <c r="AC64" s="394">
        <v>4.8928000000000003</v>
      </c>
      <c r="AD64" s="394">
        <v>25.111039999999999</v>
      </c>
      <c r="AE64" s="394">
        <v>6.94346</v>
      </c>
      <c r="AF64" s="394">
        <v>0</v>
      </c>
      <c r="AG64" s="394">
        <v>0</v>
      </c>
      <c r="AH64" s="394">
        <v>4.0703699999999996</v>
      </c>
      <c r="AI64" s="394">
        <v>6.1159999999999999E-2</v>
      </c>
      <c r="AJ64" s="394">
        <v>12.55552</v>
      </c>
      <c r="AK64" s="381" t="s">
        <v>167</v>
      </c>
      <c r="AL64" s="408" t="s">
        <v>175</v>
      </c>
      <c r="AM64" s="385"/>
      <c r="AN64" s="475">
        <v>39</v>
      </c>
      <c r="AO64" s="395">
        <f t="shared" si="39"/>
        <v>625.38525000000004</v>
      </c>
      <c r="AP64" s="395">
        <f t="shared" si="40"/>
        <v>3.335388</v>
      </c>
      <c r="AQ64" s="528"/>
      <c r="AR64" s="523"/>
      <c r="AS64" s="393"/>
      <c r="AT64" s="571"/>
      <c r="AU64" s="394"/>
      <c r="AV64" s="394"/>
      <c r="AW64" s="394"/>
      <c r="AX64" s="394"/>
      <c r="AY64" s="394"/>
      <c r="AZ64" s="394"/>
      <c r="BA64" s="394"/>
      <c r="BB64" s="394"/>
      <c r="BC64" s="394"/>
      <c r="BD64" s="381"/>
      <c r="BE64" s="408"/>
      <c r="BF64" s="385"/>
      <c r="BG64" s="475"/>
      <c r="BH64" s="395" t="e">
        <f t="shared" si="16"/>
        <v>#DIV/0!</v>
      </c>
      <c r="BI64" s="395" t="e">
        <f t="shared" si="17"/>
        <v>#DIV/0!</v>
      </c>
    </row>
    <row r="65" spans="1:61" s="358" customFormat="1" ht="19.2" x14ac:dyDescent="0.3">
      <c r="A65" s="359" t="s">
        <v>328</v>
      </c>
      <c r="B65" s="572" t="s">
        <v>2306</v>
      </c>
      <c r="C65" s="583" t="s">
        <v>2305</v>
      </c>
      <c r="D65" s="360">
        <v>0.4</v>
      </c>
      <c r="E65" s="528"/>
      <c r="F65" s="523"/>
      <c r="G65" s="393"/>
      <c r="H65" s="571"/>
      <c r="I65" s="394"/>
      <c r="J65" s="394"/>
      <c r="K65" s="394"/>
      <c r="L65" s="394"/>
      <c r="M65" s="394"/>
      <c r="N65" s="394"/>
      <c r="O65" s="394"/>
      <c r="P65" s="394"/>
      <c r="Q65" s="394"/>
      <c r="R65" s="381"/>
      <c r="S65" s="408"/>
      <c r="T65" s="385"/>
      <c r="U65" s="475"/>
      <c r="V65" s="395"/>
      <c r="W65" s="395"/>
      <c r="X65" s="528">
        <v>82</v>
      </c>
      <c r="Y65" s="523">
        <v>15</v>
      </c>
      <c r="Z65" s="393">
        <v>15</v>
      </c>
      <c r="AA65" s="571">
        <v>70.558530000000005</v>
      </c>
      <c r="AB65" s="394">
        <v>47.983069999999998</v>
      </c>
      <c r="AC65" s="394">
        <v>5.0151199999999996</v>
      </c>
      <c r="AD65" s="394">
        <f>12.90958+25.81916</f>
        <v>38.728740000000002</v>
      </c>
      <c r="AE65" s="394">
        <v>10.32368</v>
      </c>
      <c r="AF65" s="394">
        <v>0</v>
      </c>
      <c r="AG65" s="394">
        <v>0</v>
      </c>
      <c r="AH65" s="394">
        <v>6.0268300000000004</v>
      </c>
      <c r="AI65" s="394">
        <v>6.1159999999999999E-2</v>
      </c>
      <c r="AJ65" s="394">
        <v>12.90958</v>
      </c>
      <c r="AK65" s="381" t="s">
        <v>167</v>
      </c>
      <c r="AL65" s="408" t="s">
        <v>175</v>
      </c>
      <c r="AM65" s="385"/>
      <c r="AN65" s="475">
        <v>41</v>
      </c>
      <c r="AO65" s="395">
        <f t="shared" si="39"/>
        <v>860.46987804878052</v>
      </c>
      <c r="AP65" s="395">
        <f t="shared" si="40"/>
        <v>4.7039020000000002</v>
      </c>
      <c r="AQ65" s="528"/>
      <c r="AR65" s="523"/>
      <c r="AS65" s="393"/>
      <c r="AT65" s="571"/>
      <c r="AU65" s="394"/>
      <c r="AV65" s="394"/>
      <c r="AW65" s="394"/>
      <c r="AX65" s="394"/>
      <c r="AY65" s="394"/>
      <c r="AZ65" s="394"/>
      <c r="BA65" s="394"/>
      <c r="BB65" s="394"/>
      <c r="BC65" s="394"/>
      <c r="BD65" s="381"/>
      <c r="BE65" s="408"/>
      <c r="BF65" s="385"/>
      <c r="BG65" s="475"/>
      <c r="BH65" s="395" t="e">
        <f t="shared" si="16"/>
        <v>#DIV/0!</v>
      </c>
      <c r="BI65" s="395" t="e">
        <f t="shared" si="17"/>
        <v>#DIV/0!</v>
      </c>
    </row>
    <row r="66" spans="1:61" s="358" customFormat="1" ht="19.2" x14ac:dyDescent="0.3">
      <c r="A66" s="359" t="s">
        <v>329</v>
      </c>
      <c r="B66" s="572" t="s">
        <v>2308</v>
      </c>
      <c r="C66" s="583" t="s">
        <v>2307</v>
      </c>
      <c r="D66" s="360">
        <v>0.4</v>
      </c>
      <c r="E66" s="528"/>
      <c r="F66" s="523"/>
      <c r="G66" s="393"/>
      <c r="H66" s="571"/>
      <c r="I66" s="394"/>
      <c r="J66" s="394"/>
      <c r="K66" s="394"/>
      <c r="L66" s="394"/>
      <c r="M66" s="394"/>
      <c r="N66" s="394"/>
      <c r="O66" s="394"/>
      <c r="P66" s="394"/>
      <c r="Q66" s="394"/>
      <c r="R66" s="381"/>
      <c r="S66" s="408"/>
      <c r="T66" s="385"/>
      <c r="U66" s="475"/>
      <c r="V66" s="395"/>
      <c r="W66" s="395"/>
      <c r="X66" s="528">
        <v>35</v>
      </c>
      <c r="Y66" s="523">
        <v>15</v>
      </c>
      <c r="Z66" s="393">
        <v>15</v>
      </c>
      <c r="AA66" s="571">
        <v>25.62069</v>
      </c>
      <c r="AB66" s="394">
        <v>17.50245</v>
      </c>
      <c r="AC66" s="394">
        <v>2.1406000000000001</v>
      </c>
      <c r="AD66" s="394">
        <v>12.8796</v>
      </c>
      <c r="AE66" s="394">
        <v>3.6198800000000002</v>
      </c>
      <c r="AF66" s="394">
        <v>0</v>
      </c>
      <c r="AG66" s="394">
        <v>0</v>
      </c>
      <c r="AH66" s="394">
        <v>2.2008299999999998</v>
      </c>
      <c r="AI66" s="394">
        <v>6.1159999999999999E-2</v>
      </c>
      <c r="AJ66" s="394">
        <v>12.8796</v>
      </c>
      <c r="AK66" s="381" t="s">
        <v>167</v>
      </c>
      <c r="AL66" s="408" t="s">
        <v>175</v>
      </c>
      <c r="AM66" s="385"/>
      <c r="AN66" s="475">
        <v>43</v>
      </c>
      <c r="AO66" s="395">
        <f t="shared" ref="AO66:AO80" si="41">AA66/X66*1000</f>
        <v>732.01971428571437</v>
      </c>
      <c r="AP66" s="395">
        <f t="shared" ref="AP66:AP80" si="42">AA66/Y66</f>
        <v>1.708046</v>
      </c>
      <c r="AQ66" s="528"/>
      <c r="AR66" s="523"/>
      <c r="AS66" s="393"/>
      <c r="AT66" s="571"/>
      <c r="AU66" s="394"/>
      <c r="AV66" s="394"/>
      <c r="AW66" s="394"/>
      <c r="AX66" s="394"/>
      <c r="AY66" s="394"/>
      <c r="AZ66" s="394"/>
      <c r="BA66" s="394"/>
      <c r="BB66" s="394"/>
      <c r="BC66" s="394"/>
      <c r="BD66" s="381"/>
      <c r="BE66" s="408"/>
      <c r="BF66" s="385"/>
      <c r="BG66" s="475"/>
      <c r="BH66" s="395" t="e">
        <f t="shared" si="16"/>
        <v>#DIV/0!</v>
      </c>
      <c r="BI66" s="395" t="e">
        <f t="shared" si="17"/>
        <v>#DIV/0!</v>
      </c>
    </row>
    <row r="67" spans="1:61" s="358" customFormat="1" ht="19.2" x14ac:dyDescent="0.3">
      <c r="A67" s="359" t="s">
        <v>330</v>
      </c>
      <c r="B67" s="572" t="s">
        <v>2310</v>
      </c>
      <c r="C67" s="583" t="s">
        <v>2309</v>
      </c>
      <c r="D67" s="360">
        <v>0.4</v>
      </c>
      <c r="E67" s="528"/>
      <c r="F67" s="523"/>
      <c r="G67" s="393"/>
      <c r="H67" s="571"/>
      <c r="I67" s="394"/>
      <c r="J67" s="394"/>
      <c r="K67" s="394"/>
      <c r="L67" s="394"/>
      <c r="M67" s="394"/>
      <c r="N67" s="394"/>
      <c r="O67" s="394"/>
      <c r="P67" s="394"/>
      <c r="Q67" s="394"/>
      <c r="R67" s="381"/>
      <c r="S67" s="408"/>
      <c r="T67" s="385"/>
      <c r="U67" s="475"/>
      <c r="V67" s="395"/>
      <c r="W67" s="395"/>
      <c r="X67" s="528">
        <v>100</v>
      </c>
      <c r="Y67" s="523">
        <v>15</v>
      </c>
      <c r="Z67" s="393">
        <v>15</v>
      </c>
      <c r="AA67" s="571">
        <v>72.906180000000006</v>
      </c>
      <c r="AB67" s="394">
        <v>48.973390000000002</v>
      </c>
      <c r="AC67" s="394">
        <v>6.1159999999999997</v>
      </c>
      <c r="AD67" s="394">
        <v>38.638800000000003</v>
      </c>
      <c r="AE67" s="394">
        <v>10.67568</v>
      </c>
      <c r="AF67" s="394">
        <v>0</v>
      </c>
      <c r="AG67" s="394">
        <v>0</v>
      </c>
      <c r="AH67" s="394">
        <v>6.4836299999999998</v>
      </c>
      <c r="AI67" s="394">
        <v>6.1159999999999999E-2</v>
      </c>
      <c r="AJ67" s="394">
        <v>12.8796</v>
      </c>
      <c r="AK67" s="381" t="s">
        <v>167</v>
      </c>
      <c r="AL67" s="408" t="s">
        <v>175</v>
      </c>
      <c r="AM67" s="385"/>
      <c r="AN67" s="475">
        <v>45</v>
      </c>
      <c r="AO67" s="395">
        <f t="shared" si="41"/>
        <v>729.06180000000006</v>
      </c>
      <c r="AP67" s="395">
        <f t="shared" si="42"/>
        <v>4.8604120000000002</v>
      </c>
      <c r="AQ67" s="528"/>
      <c r="AR67" s="523"/>
      <c r="AS67" s="393"/>
      <c r="AT67" s="571"/>
      <c r="AU67" s="394"/>
      <c r="AV67" s="394"/>
      <c r="AW67" s="394"/>
      <c r="AX67" s="394"/>
      <c r="AY67" s="394"/>
      <c r="AZ67" s="394"/>
      <c r="BA67" s="394"/>
      <c r="BB67" s="394"/>
      <c r="BC67" s="394"/>
      <c r="BD67" s="381"/>
      <c r="BE67" s="408"/>
      <c r="BF67" s="385"/>
      <c r="BG67" s="475"/>
      <c r="BH67" s="395" t="e">
        <f t="shared" si="16"/>
        <v>#DIV/0!</v>
      </c>
      <c r="BI67" s="395" t="e">
        <f t="shared" si="17"/>
        <v>#DIV/0!</v>
      </c>
    </row>
    <row r="68" spans="1:61" s="358" customFormat="1" ht="19.2" x14ac:dyDescent="0.3">
      <c r="A68" s="359" t="s">
        <v>331</v>
      </c>
      <c r="B68" s="572" t="s">
        <v>2312</v>
      </c>
      <c r="C68" s="583" t="s">
        <v>2311</v>
      </c>
      <c r="D68" s="360">
        <v>0.4</v>
      </c>
      <c r="E68" s="528"/>
      <c r="F68" s="523"/>
      <c r="G68" s="393"/>
      <c r="H68" s="571"/>
      <c r="I68" s="394"/>
      <c r="J68" s="394"/>
      <c r="K68" s="394"/>
      <c r="L68" s="394"/>
      <c r="M68" s="394"/>
      <c r="N68" s="394"/>
      <c r="O68" s="394"/>
      <c r="P68" s="394"/>
      <c r="Q68" s="394"/>
      <c r="R68" s="381"/>
      <c r="S68" s="408"/>
      <c r="T68" s="385"/>
      <c r="U68" s="475"/>
      <c r="V68" s="395"/>
      <c r="W68" s="395"/>
      <c r="X68" s="528">
        <v>65</v>
      </c>
      <c r="Y68" s="523">
        <v>15</v>
      </c>
      <c r="Z68" s="393">
        <v>15</v>
      </c>
      <c r="AA68" s="571">
        <v>30.422170000000001</v>
      </c>
      <c r="AB68" s="394">
        <v>19.77244</v>
      </c>
      <c r="AC68" s="394">
        <v>3.9754</v>
      </c>
      <c r="AD68" s="394">
        <v>12.8796</v>
      </c>
      <c r="AE68" s="394">
        <v>4.7235800000000001</v>
      </c>
      <c r="AF68" s="394">
        <v>0</v>
      </c>
      <c r="AG68" s="394">
        <v>0</v>
      </c>
      <c r="AH68" s="394">
        <v>2.9139699999999999</v>
      </c>
      <c r="AI68" s="394">
        <v>6.1159999999999999E-2</v>
      </c>
      <c r="AJ68" s="394">
        <v>12.8796</v>
      </c>
      <c r="AK68" s="381" t="s">
        <v>167</v>
      </c>
      <c r="AL68" s="408" t="s">
        <v>175</v>
      </c>
      <c r="AM68" s="385"/>
      <c r="AN68" s="475">
        <v>47</v>
      </c>
      <c r="AO68" s="395">
        <f t="shared" si="41"/>
        <v>468.03338461538465</v>
      </c>
      <c r="AP68" s="395">
        <f t="shared" si="42"/>
        <v>2.0281446666666669</v>
      </c>
      <c r="AQ68" s="528"/>
      <c r="AR68" s="523"/>
      <c r="AS68" s="393"/>
      <c r="AT68" s="571"/>
      <c r="AU68" s="394"/>
      <c r="AV68" s="394"/>
      <c r="AW68" s="394"/>
      <c r="AX68" s="394"/>
      <c r="AY68" s="394"/>
      <c r="AZ68" s="394"/>
      <c r="BA68" s="394"/>
      <c r="BB68" s="394"/>
      <c r="BC68" s="394"/>
      <c r="BD68" s="381"/>
      <c r="BE68" s="408"/>
      <c r="BF68" s="385"/>
      <c r="BG68" s="475"/>
      <c r="BH68" s="395" t="e">
        <f t="shared" si="16"/>
        <v>#DIV/0!</v>
      </c>
      <c r="BI68" s="395" t="e">
        <f t="shared" si="17"/>
        <v>#DIV/0!</v>
      </c>
    </row>
    <row r="69" spans="1:61" s="358" customFormat="1" ht="19.2" x14ac:dyDescent="0.3">
      <c r="A69" s="359" t="s">
        <v>332</v>
      </c>
      <c r="B69" s="572" t="s">
        <v>1636</v>
      </c>
      <c r="C69" s="583" t="s">
        <v>2313</v>
      </c>
      <c r="D69" s="360">
        <v>0.4</v>
      </c>
      <c r="E69" s="528"/>
      <c r="F69" s="523"/>
      <c r="G69" s="393"/>
      <c r="H69" s="571"/>
      <c r="I69" s="394"/>
      <c r="J69" s="394"/>
      <c r="K69" s="394"/>
      <c r="L69" s="394"/>
      <c r="M69" s="394"/>
      <c r="N69" s="394"/>
      <c r="O69" s="394"/>
      <c r="P69" s="394"/>
      <c r="Q69" s="394"/>
      <c r="R69" s="381"/>
      <c r="S69" s="408"/>
      <c r="T69" s="385"/>
      <c r="U69" s="475"/>
      <c r="V69" s="395"/>
      <c r="W69" s="395"/>
      <c r="X69" s="528">
        <v>130</v>
      </c>
      <c r="Y69" s="523">
        <v>15</v>
      </c>
      <c r="Z69" s="393">
        <v>15</v>
      </c>
      <c r="AA69" s="571">
        <v>95.9114</v>
      </c>
      <c r="AB69" s="394">
        <v>64.282300000000006</v>
      </c>
      <c r="AC69" s="394">
        <v>7.9508000000000001</v>
      </c>
      <c r="AD69" s="394">
        <v>51.5184</v>
      </c>
      <c r="AE69" s="394">
        <v>14.111599999999999</v>
      </c>
      <c r="AF69" s="394">
        <v>0</v>
      </c>
      <c r="AG69" s="394">
        <v>0</v>
      </c>
      <c r="AH69" s="394">
        <v>8.5655999999999999</v>
      </c>
      <c r="AI69" s="394">
        <v>6.1159999999999999E-2</v>
      </c>
      <c r="AJ69" s="394">
        <v>12.8796</v>
      </c>
      <c r="AK69" s="381" t="s">
        <v>167</v>
      </c>
      <c r="AL69" s="408" t="s">
        <v>175</v>
      </c>
      <c r="AM69" s="385"/>
      <c r="AN69" s="475">
        <v>49</v>
      </c>
      <c r="AO69" s="395">
        <f t="shared" ref="AO69:AO76" si="43">AA69/X69*1000</f>
        <v>737.78</v>
      </c>
      <c r="AP69" s="395">
        <f t="shared" ref="AP69:AP76" si="44">AA69/Y69</f>
        <v>6.3940933333333332</v>
      </c>
      <c r="AQ69" s="528"/>
      <c r="AR69" s="523"/>
      <c r="AS69" s="393"/>
      <c r="AT69" s="571"/>
      <c r="AU69" s="394"/>
      <c r="AV69" s="394"/>
      <c r="AW69" s="394"/>
      <c r="AX69" s="394"/>
      <c r="AY69" s="394"/>
      <c r="AZ69" s="394"/>
      <c r="BA69" s="394"/>
      <c r="BB69" s="394"/>
      <c r="BC69" s="394"/>
      <c r="BD69" s="381"/>
      <c r="BE69" s="408"/>
      <c r="BF69" s="385"/>
      <c r="BG69" s="475"/>
      <c r="BH69" s="395" t="e">
        <f t="shared" si="16"/>
        <v>#DIV/0!</v>
      </c>
      <c r="BI69" s="395" t="e">
        <f t="shared" si="17"/>
        <v>#DIV/0!</v>
      </c>
    </row>
    <row r="70" spans="1:61" s="358" customFormat="1" ht="19.2" x14ac:dyDescent="0.3">
      <c r="A70" s="359" t="s">
        <v>333</v>
      </c>
      <c r="B70" s="572" t="s">
        <v>1636</v>
      </c>
      <c r="C70" s="583" t="s">
        <v>2314</v>
      </c>
      <c r="D70" s="360">
        <v>0.4</v>
      </c>
      <c r="E70" s="528"/>
      <c r="F70" s="523"/>
      <c r="G70" s="393"/>
      <c r="H70" s="571"/>
      <c r="I70" s="394"/>
      <c r="J70" s="394"/>
      <c r="K70" s="394"/>
      <c r="L70" s="394"/>
      <c r="M70" s="394"/>
      <c r="N70" s="394"/>
      <c r="O70" s="394"/>
      <c r="P70" s="394"/>
      <c r="Q70" s="394"/>
      <c r="R70" s="381"/>
      <c r="S70" s="408"/>
      <c r="T70" s="385"/>
      <c r="U70" s="475"/>
      <c r="V70" s="395"/>
      <c r="W70" s="395"/>
      <c r="X70" s="528">
        <v>160</v>
      </c>
      <c r="Y70" s="523">
        <v>15</v>
      </c>
      <c r="Z70" s="393">
        <v>15</v>
      </c>
      <c r="AA70" s="571">
        <v>120.67546</v>
      </c>
      <c r="AB70" s="394">
        <v>81.350020000000001</v>
      </c>
      <c r="AC70" s="394">
        <v>9.7856000000000005</v>
      </c>
      <c r="AD70" s="394">
        <v>64.397999999999996</v>
      </c>
      <c r="AE70" s="394">
        <v>17.547529999999998</v>
      </c>
      <c r="AF70" s="394">
        <v>0</v>
      </c>
      <c r="AG70" s="394">
        <v>0</v>
      </c>
      <c r="AH70" s="394">
        <v>10.64758</v>
      </c>
      <c r="AI70" s="394">
        <v>6.1159999999999999E-2</v>
      </c>
      <c r="AJ70" s="394">
        <v>12.8796</v>
      </c>
      <c r="AK70" s="381" t="s">
        <v>167</v>
      </c>
      <c r="AL70" s="408" t="s">
        <v>175</v>
      </c>
      <c r="AM70" s="385"/>
      <c r="AN70" s="475">
        <v>51</v>
      </c>
      <c r="AO70" s="395">
        <f t="shared" si="43"/>
        <v>754.22162500000002</v>
      </c>
      <c r="AP70" s="395">
        <f t="shared" si="44"/>
        <v>8.0450306666666673</v>
      </c>
      <c r="AQ70" s="528"/>
      <c r="AR70" s="523"/>
      <c r="AS70" s="393"/>
      <c r="AT70" s="571"/>
      <c r="AU70" s="394"/>
      <c r="AV70" s="394"/>
      <c r="AW70" s="394"/>
      <c r="AX70" s="394"/>
      <c r="AY70" s="394"/>
      <c r="AZ70" s="394"/>
      <c r="BA70" s="394"/>
      <c r="BB70" s="394"/>
      <c r="BC70" s="394"/>
      <c r="BD70" s="381"/>
      <c r="BE70" s="408"/>
      <c r="BF70" s="385"/>
      <c r="BG70" s="475"/>
      <c r="BH70" s="395" t="e">
        <f t="shared" si="16"/>
        <v>#DIV/0!</v>
      </c>
      <c r="BI70" s="395" t="e">
        <f t="shared" si="17"/>
        <v>#DIV/0!</v>
      </c>
    </row>
    <row r="71" spans="1:61" s="358" customFormat="1" ht="19.2" x14ac:dyDescent="0.3">
      <c r="A71" s="359" t="s">
        <v>334</v>
      </c>
      <c r="B71" s="572" t="s">
        <v>1636</v>
      </c>
      <c r="C71" s="583" t="s">
        <v>2315</v>
      </c>
      <c r="D71" s="360">
        <v>0.4</v>
      </c>
      <c r="E71" s="528"/>
      <c r="F71" s="523"/>
      <c r="G71" s="393"/>
      <c r="H71" s="571"/>
      <c r="I71" s="394"/>
      <c r="J71" s="394"/>
      <c r="K71" s="394"/>
      <c r="L71" s="394"/>
      <c r="M71" s="394"/>
      <c r="N71" s="394"/>
      <c r="O71" s="394"/>
      <c r="P71" s="394"/>
      <c r="Q71" s="394"/>
      <c r="R71" s="381"/>
      <c r="S71" s="408"/>
      <c r="T71" s="385"/>
      <c r="U71" s="475"/>
      <c r="V71" s="395"/>
      <c r="W71" s="395"/>
      <c r="X71" s="528">
        <v>30</v>
      </c>
      <c r="Y71" s="523">
        <v>15</v>
      </c>
      <c r="Z71" s="393">
        <v>15</v>
      </c>
      <c r="AA71" s="571">
        <v>24.728729999999999</v>
      </c>
      <c r="AB71" s="394">
        <v>17.032409999999999</v>
      </c>
      <c r="AC71" s="394">
        <v>1.8348</v>
      </c>
      <c r="AD71" s="394">
        <v>12.8796</v>
      </c>
      <c r="AE71" s="394">
        <v>3.4359299999999999</v>
      </c>
      <c r="AF71" s="394">
        <v>0</v>
      </c>
      <c r="AG71" s="394">
        <v>0</v>
      </c>
      <c r="AH71" s="394">
        <v>2.0819700000000001</v>
      </c>
      <c r="AI71" s="394">
        <v>6.1159999999999999E-2</v>
      </c>
      <c r="AJ71" s="394">
        <v>12.8796</v>
      </c>
      <c r="AK71" s="381" t="s">
        <v>167</v>
      </c>
      <c r="AL71" s="408" t="s">
        <v>175</v>
      </c>
      <c r="AM71" s="385"/>
      <c r="AN71" s="475">
        <v>53</v>
      </c>
      <c r="AO71" s="395">
        <f t="shared" si="43"/>
        <v>824.29099999999994</v>
      </c>
      <c r="AP71" s="395">
        <f t="shared" si="44"/>
        <v>1.648582</v>
      </c>
      <c r="AQ71" s="528"/>
      <c r="AR71" s="523"/>
      <c r="AS71" s="393"/>
      <c r="AT71" s="571"/>
      <c r="AU71" s="394"/>
      <c r="AV71" s="394"/>
      <c r="AW71" s="394"/>
      <c r="AX71" s="394"/>
      <c r="AY71" s="394"/>
      <c r="AZ71" s="394"/>
      <c r="BA71" s="394"/>
      <c r="BB71" s="394"/>
      <c r="BC71" s="394"/>
      <c r="BD71" s="381"/>
      <c r="BE71" s="408"/>
      <c r="BF71" s="385"/>
      <c r="BG71" s="475"/>
      <c r="BH71" s="395" t="e">
        <f t="shared" si="16"/>
        <v>#DIV/0!</v>
      </c>
      <c r="BI71" s="395" t="e">
        <f t="shared" si="17"/>
        <v>#DIV/0!</v>
      </c>
    </row>
    <row r="72" spans="1:61" s="358" customFormat="1" ht="19.2" x14ac:dyDescent="0.3">
      <c r="A72" s="359" t="s">
        <v>335</v>
      </c>
      <c r="B72" s="572" t="s">
        <v>2317</v>
      </c>
      <c r="C72" s="583" t="s">
        <v>2316</v>
      </c>
      <c r="D72" s="360">
        <v>0.4</v>
      </c>
      <c r="E72" s="528"/>
      <c r="F72" s="523"/>
      <c r="G72" s="393"/>
      <c r="H72" s="571"/>
      <c r="I72" s="394"/>
      <c r="J72" s="394"/>
      <c r="K72" s="394"/>
      <c r="L72" s="394"/>
      <c r="M72" s="394"/>
      <c r="N72" s="394"/>
      <c r="O72" s="394"/>
      <c r="P72" s="394"/>
      <c r="Q72" s="394"/>
      <c r="R72" s="381"/>
      <c r="S72" s="408"/>
      <c r="T72" s="385"/>
      <c r="U72" s="475"/>
      <c r="V72" s="395"/>
      <c r="W72" s="395"/>
      <c r="X72" s="528">
        <v>200</v>
      </c>
      <c r="Y72" s="523">
        <v>20</v>
      </c>
      <c r="Z72" s="393">
        <v>20</v>
      </c>
      <c r="AA72" s="571">
        <v>183.40478999999999</v>
      </c>
      <c r="AB72" s="394">
        <v>125.04798</v>
      </c>
      <c r="AC72" s="394">
        <v>12.231999999999999</v>
      </c>
      <c r="AD72" s="394">
        <f>77.25198+25.75066</f>
        <v>103.00264</v>
      </c>
      <c r="AE72" s="394">
        <v>26.32602</v>
      </c>
      <c r="AF72" s="394">
        <v>0</v>
      </c>
      <c r="AG72" s="394">
        <v>0</v>
      </c>
      <c r="AH72" s="394">
        <v>15.676019999999999</v>
      </c>
      <c r="AI72" s="394">
        <v>6.1159999999999999E-2</v>
      </c>
      <c r="AJ72" s="394">
        <v>12.87533</v>
      </c>
      <c r="AK72" s="381" t="s">
        <v>167</v>
      </c>
      <c r="AL72" s="408" t="s">
        <v>175</v>
      </c>
      <c r="AM72" s="385"/>
      <c r="AN72" s="475">
        <v>55</v>
      </c>
      <c r="AO72" s="395">
        <f t="shared" si="43"/>
        <v>917.0239499999999</v>
      </c>
      <c r="AP72" s="395">
        <f t="shared" si="44"/>
        <v>9.1702394999999992</v>
      </c>
      <c r="AQ72" s="528"/>
      <c r="AR72" s="523"/>
      <c r="AS72" s="393"/>
      <c r="AT72" s="571"/>
      <c r="AU72" s="394"/>
      <c r="AV72" s="394"/>
      <c r="AW72" s="394"/>
      <c r="AX72" s="394"/>
      <c r="AY72" s="394"/>
      <c r="AZ72" s="394"/>
      <c r="BA72" s="394"/>
      <c r="BB72" s="394"/>
      <c r="BC72" s="394"/>
      <c r="BD72" s="381"/>
      <c r="BE72" s="408"/>
      <c r="BF72" s="385"/>
      <c r="BG72" s="475"/>
      <c r="BH72" s="395" t="e">
        <f t="shared" si="16"/>
        <v>#DIV/0!</v>
      </c>
      <c r="BI72" s="395" t="e">
        <f t="shared" si="17"/>
        <v>#DIV/0!</v>
      </c>
    </row>
    <row r="73" spans="1:61" s="358" customFormat="1" ht="19.2" x14ac:dyDescent="0.3">
      <c r="A73" s="359" t="s">
        <v>336</v>
      </c>
      <c r="B73" s="572" t="s">
        <v>2319</v>
      </c>
      <c r="C73" s="583" t="s">
        <v>2318</v>
      </c>
      <c r="D73" s="360">
        <v>0.4</v>
      </c>
      <c r="E73" s="528"/>
      <c r="F73" s="523"/>
      <c r="G73" s="393"/>
      <c r="H73" s="571"/>
      <c r="I73" s="394"/>
      <c r="J73" s="394"/>
      <c r="K73" s="394"/>
      <c r="L73" s="394"/>
      <c r="M73" s="394"/>
      <c r="N73" s="394"/>
      <c r="O73" s="394"/>
      <c r="P73" s="394"/>
      <c r="Q73" s="394"/>
      <c r="R73" s="381"/>
      <c r="S73" s="408"/>
      <c r="T73" s="385"/>
      <c r="U73" s="475"/>
      <c r="V73" s="395"/>
      <c r="W73" s="395"/>
      <c r="X73" s="528">
        <v>70</v>
      </c>
      <c r="Y73" s="523">
        <v>15</v>
      </c>
      <c r="Z73" s="393">
        <v>15</v>
      </c>
      <c r="AA73" s="571">
        <v>68.473759999999999</v>
      </c>
      <c r="AB73" s="394">
        <v>46.910899999999998</v>
      </c>
      <c r="AC73" s="394">
        <v>4.2812000000000001</v>
      </c>
      <c r="AD73" s="394">
        <f>12.8796+25.7592</f>
        <v>38.638800000000003</v>
      </c>
      <c r="AE73" s="394">
        <v>9.8821999999999992</v>
      </c>
      <c r="AF73" s="394">
        <v>0</v>
      </c>
      <c r="AG73" s="394">
        <v>0</v>
      </c>
      <c r="AH73" s="394">
        <v>5.7415700000000003</v>
      </c>
      <c r="AI73" s="394">
        <v>6.1159999999999999E-2</v>
      </c>
      <c r="AJ73" s="394">
        <v>12.8796</v>
      </c>
      <c r="AK73" s="381" t="s">
        <v>167</v>
      </c>
      <c r="AL73" s="408" t="s">
        <v>175</v>
      </c>
      <c r="AM73" s="385"/>
      <c r="AN73" s="475">
        <v>57</v>
      </c>
      <c r="AO73" s="395">
        <f t="shared" si="43"/>
        <v>978.19657142857136</v>
      </c>
      <c r="AP73" s="395">
        <f t="shared" si="44"/>
        <v>4.5649173333333328</v>
      </c>
      <c r="AQ73" s="528"/>
      <c r="AR73" s="523"/>
      <c r="AS73" s="393"/>
      <c r="AT73" s="571"/>
      <c r="AU73" s="394"/>
      <c r="AV73" s="394"/>
      <c r="AW73" s="394"/>
      <c r="AX73" s="394"/>
      <c r="AY73" s="394"/>
      <c r="AZ73" s="394"/>
      <c r="BA73" s="394"/>
      <c r="BB73" s="394"/>
      <c r="BC73" s="394"/>
      <c r="BD73" s="381"/>
      <c r="BE73" s="408"/>
      <c r="BF73" s="385"/>
      <c r="BG73" s="475"/>
      <c r="BH73" s="395" t="e">
        <f t="shared" si="16"/>
        <v>#DIV/0!</v>
      </c>
      <c r="BI73" s="395" t="e">
        <f t="shared" si="17"/>
        <v>#DIV/0!</v>
      </c>
    </row>
    <row r="74" spans="1:61" s="358" customFormat="1" ht="19.2" x14ac:dyDescent="0.3">
      <c r="A74" s="359" t="s">
        <v>337</v>
      </c>
      <c r="B74" s="572" t="s">
        <v>2321</v>
      </c>
      <c r="C74" s="583" t="s">
        <v>2320</v>
      </c>
      <c r="D74" s="360">
        <v>0.4</v>
      </c>
      <c r="E74" s="528"/>
      <c r="F74" s="523"/>
      <c r="G74" s="393"/>
      <c r="H74" s="571"/>
      <c r="I74" s="394"/>
      <c r="J74" s="394"/>
      <c r="K74" s="394"/>
      <c r="L74" s="394"/>
      <c r="M74" s="394"/>
      <c r="N74" s="394"/>
      <c r="O74" s="394"/>
      <c r="P74" s="394"/>
      <c r="Q74" s="394"/>
      <c r="R74" s="381"/>
      <c r="S74" s="408"/>
      <c r="T74" s="385"/>
      <c r="U74" s="475"/>
      <c r="V74" s="395"/>
      <c r="W74" s="395"/>
      <c r="X74" s="528">
        <v>40</v>
      </c>
      <c r="Y74" s="523">
        <v>15</v>
      </c>
      <c r="Z74" s="393">
        <v>15</v>
      </c>
      <c r="AA74" s="571">
        <v>29.813949999999998</v>
      </c>
      <c r="AB74" s="394">
        <v>20.429960000000001</v>
      </c>
      <c r="AC74" s="394">
        <v>2.4464000000000001</v>
      </c>
      <c r="AD74" s="394">
        <v>12.87533</v>
      </c>
      <c r="AE74" s="394">
        <v>4.1717300000000002</v>
      </c>
      <c r="AF74" s="394">
        <v>0</v>
      </c>
      <c r="AG74" s="394">
        <v>0</v>
      </c>
      <c r="AH74" s="394">
        <v>2.5573999999999999</v>
      </c>
      <c r="AI74" s="394">
        <v>6.1159999999999999E-2</v>
      </c>
      <c r="AJ74" s="394">
        <v>12.87533</v>
      </c>
      <c r="AK74" s="381" t="s">
        <v>167</v>
      </c>
      <c r="AL74" s="408" t="s">
        <v>175</v>
      </c>
      <c r="AM74" s="385"/>
      <c r="AN74" s="475">
        <v>59</v>
      </c>
      <c r="AO74" s="395">
        <f t="shared" si="43"/>
        <v>745.34875</v>
      </c>
      <c r="AP74" s="395">
        <f t="shared" si="44"/>
        <v>1.9875966666666665</v>
      </c>
      <c r="AQ74" s="528"/>
      <c r="AR74" s="523"/>
      <c r="AS74" s="393"/>
      <c r="AT74" s="571"/>
      <c r="AU74" s="394"/>
      <c r="AV74" s="394"/>
      <c r="AW74" s="394"/>
      <c r="AX74" s="394"/>
      <c r="AY74" s="394"/>
      <c r="AZ74" s="394"/>
      <c r="BA74" s="394"/>
      <c r="BB74" s="394"/>
      <c r="BC74" s="394"/>
      <c r="BD74" s="381"/>
      <c r="BE74" s="408"/>
      <c r="BF74" s="385"/>
      <c r="BG74" s="475"/>
      <c r="BH74" s="395" t="e">
        <f t="shared" si="16"/>
        <v>#DIV/0!</v>
      </c>
      <c r="BI74" s="395" t="e">
        <f t="shared" si="17"/>
        <v>#DIV/0!</v>
      </c>
    </row>
    <row r="75" spans="1:61" s="358" customFormat="1" ht="19.2" x14ac:dyDescent="0.3">
      <c r="A75" s="359" t="s">
        <v>338</v>
      </c>
      <c r="B75" s="572" t="s">
        <v>2323</v>
      </c>
      <c r="C75" s="583" t="s">
        <v>2322</v>
      </c>
      <c r="D75" s="360">
        <v>0.4</v>
      </c>
      <c r="E75" s="528"/>
      <c r="F75" s="523"/>
      <c r="G75" s="393"/>
      <c r="H75" s="571"/>
      <c r="I75" s="394"/>
      <c r="J75" s="394"/>
      <c r="K75" s="394"/>
      <c r="L75" s="394"/>
      <c r="M75" s="394"/>
      <c r="N75" s="394"/>
      <c r="O75" s="394"/>
      <c r="P75" s="394"/>
      <c r="Q75" s="394"/>
      <c r="R75" s="381"/>
      <c r="S75" s="408"/>
      <c r="T75" s="385"/>
      <c r="U75" s="475"/>
      <c r="V75" s="395"/>
      <c r="W75" s="395"/>
      <c r="X75" s="528">
        <v>26</v>
      </c>
      <c r="Y75" s="523">
        <v>15</v>
      </c>
      <c r="Z75" s="393">
        <v>15</v>
      </c>
      <c r="AA75" s="571">
        <v>24.279260000000001</v>
      </c>
      <c r="AB75" s="394">
        <v>16.920470000000002</v>
      </c>
      <c r="AC75" s="394">
        <v>1.59016</v>
      </c>
      <c r="AD75" s="394">
        <v>12.8796</v>
      </c>
      <c r="AE75" s="394">
        <v>3.2887599999999999</v>
      </c>
      <c r="AF75" s="394">
        <v>0</v>
      </c>
      <c r="AG75" s="394">
        <v>0</v>
      </c>
      <c r="AH75" s="394">
        <v>1.98689</v>
      </c>
      <c r="AI75" s="394">
        <v>6.1159999999999999E-2</v>
      </c>
      <c r="AJ75" s="394">
        <v>12.8796</v>
      </c>
      <c r="AK75" s="381" t="s">
        <v>167</v>
      </c>
      <c r="AL75" s="408" t="s">
        <v>175</v>
      </c>
      <c r="AM75" s="385"/>
      <c r="AN75" s="475">
        <v>61</v>
      </c>
      <c r="AO75" s="395">
        <f t="shared" si="43"/>
        <v>933.81769230769225</v>
      </c>
      <c r="AP75" s="395">
        <f t="shared" si="44"/>
        <v>1.6186173333333334</v>
      </c>
      <c r="AQ75" s="528"/>
      <c r="AR75" s="523"/>
      <c r="AS75" s="393"/>
      <c r="AT75" s="571"/>
      <c r="AU75" s="394"/>
      <c r="AV75" s="394"/>
      <c r="AW75" s="394"/>
      <c r="AX75" s="394"/>
      <c r="AY75" s="394"/>
      <c r="AZ75" s="394"/>
      <c r="BA75" s="394"/>
      <c r="BB75" s="394"/>
      <c r="BC75" s="394"/>
      <c r="BD75" s="381"/>
      <c r="BE75" s="408"/>
      <c r="BF75" s="385"/>
      <c r="BG75" s="475"/>
      <c r="BH75" s="395" t="e">
        <f t="shared" si="16"/>
        <v>#DIV/0!</v>
      </c>
      <c r="BI75" s="395" t="e">
        <f t="shared" si="17"/>
        <v>#DIV/0!</v>
      </c>
    </row>
    <row r="76" spans="1:61" s="358" customFormat="1" ht="19.2" x14ac:dyDescent="0.3">
      <c r="A76" s="359" t="s">
        <v>339</v>
      </c>
      <c r="B76" s="572" t="s">
        <v>2325</v>
      </c>
      <c r="C76" s="583" t="s">
        <v>2324</v>
      </c>
      <c r="D76" s="360">
        <v>0.4</v>
      </c>
      <c r="E76" s="528"/>
      <c r="F76" s="523"/>
      <c r="G76" s="393"/>
      <c r="H76" s="571"/>
      <c r="I76" s="394"/>
      <c r="J76" s="394"/>
      <c r="K76" s="394"/>
      <c r="L76" s="394"/>
      <c r="M76" s="394"/>
      <c r="N76" s="394"/>
      <c r="O76" s="394"/>
      <c r="P76" s="394"/>
      <c r="Q76" s="394"/>
      <c r="R76" s="381"/>
      <c r="S76" s="408"/>
      <c r="T76" s="385"/>
      <c r="U76" s="475"/>
      <c r="V76" s="395"/>
      <c r="W76" s="395"/>
      <c r="X76" s="528">
        <v>110</v>
      </c>
      <c r="Y76" s="523">
        <v>5</v>
      </c>
      <c r="Z76" s="393">
        <v>5</v>
      </c>
      <c r="AA76" s="571">
        <v>89.970380000000006</v>
      </c>
      <c r="AB76" s="394">
        <v>60.028930000000003</v>
      </c>
      <c r="AC76" s="394">
        <v>6.7275999999999998</v>
      </c>
      <c r="AD76" s="394">
        <v>51.5184</v>
      </c>
      <c r="AE76" s="394">
        <v>13.3758</v>
      </c>
      <c r="AF76" s="394">
        <v>0</v>
      </c>
      <c r="AG76" s="394">
        <v>0</v>
      </c>
      <c r="AH76" s="394">
        <v>8.0901800000000001</v>
      </c>
      <c r="AI76" s="394">
        <v>6.1159999999999999E-2</v>
      </c>
      <c r="AJ76" s="394">
        <v>12.8796</v>
      </c>
      <c r="AK76" s="381" t="s">
        <v>167</v>
      </c>
      <c r="AL76" s="408" t="s">
        <v>175</v>
      </c>
      <c r="AM76" s="385"/>
      <c r="AN76" s="475">
        <v>63</v>
      </c>
      <c r="AO76" s="395">
        <f t="shared" si="43"/>
        <v>817.91254545454547</v>
      </c>
      <c r="AP76" s="395">
        <f t="shared" si="44"/>
        <v>17.994076</v>
      </c>
      <c r="AQ76" s="528"/>
      <c r="AR76" s="523"/>
      <c r="AS76" s="393"/>
      <c r="AT76" s="571"/>
      <c r="AU76" s="394"/>
      <c r="AV76" s="394"/>
      <c r="AW76" s="394"/>
      <c r="AX76" s="394"/>
      <c r="AY76" s="394"/>
      <c r="AZ76" s="394"/>
      <c r="BA76" s="394"/>
      <c r="BB76" s="394"/>
      <c r="BC76" s="394"/>
      <c r="BD76" s="381"/>
      <c r="BE76" s="408"/>
      <c r="BF76" s="385"/>
      <c r="BG76" s="475"/>
      <c r="BH76" s="395" t="e">
        <f t="shared" si="16"/>
        <v>#DIV/0!</v>
      </c>
      <c r="BI76" s="395" t="e">
        <f t="shared" si="17"/>
        <v>#DIV/0!</v>
      </c>
    </row>
    <row r="77" spans="1:61" s="358" customFormat="1" ht="19.2" x14ac:dyDescent="0.3">
      <c r="A77" s="359" t="s">
        <v>340</v>
      </c>
      <c r="B77" s="572" t="s">
        <v>2327</v>
      </c>
      <c r="C77" s="583" t="s">
        <v>2326</v>
      </c>
      <c r="D77" s="360">
        <v>0.4</v>
      </c>
      <c r="E77" s="528"/>
      <c r="F77" s="523"/>
      <c r="G77" s="393"/>
      <c r="H77" s="571"/>
      <c r="I77" s="394"/>
      <c r="J77" s="394"/>
      <c r="K77" s="394"/>
      <c r="L77" s="394"/>
      <c r="M77" s="394"/>
      <c r="N77" s="394"/>
      <c r="O77" s="394"/>
      <c r="P77" s="394"/>
      <c r="Q77" s="394"/>
      <c r="R77" s="381"/>
      <c r="S77" s="408"/>
      <c r="T77" s="385"/>
      <c r="U77" s="475"/>
      <c r="V77" s="395"/>
      <c r="W77" s="395"/>
      <c r="X77" s="528">
        <v>100</v>
      </c>
      <c r="Y77" s="523">
        <v>15</v>
      </c>
      <c r="Z77" s="393">
        <v>15</v>
      </c>
      <c r="AA77" s="571">
        <v>74.728549999999998</v>
      </c>
      <c r="AB77" s="394">
        <v>50.795760000000001</v>
      </c>
      <c r="AC77" s="394">
        <v>6.1159999999999997</v>
      </c>
      <c r="AD77" s="394">
        <v>38.663310000000003</v>
      </c>
      <c r="AE77" s="394">
        <v>10.67568</v>
      </c>
      <c r="AF77" s="394">
        <v>0</v>
      </c>
      <c r="AG77" s="394">
        <v>0</v>
      </c>
      <c r="AH77" s="394">
        <v>6.4836299999999998</v>
      </c>
      <c r="AI77" s="394">
        <v>6.1159999999999999E-2</v>
      </c>
      <c r="AJ77" s="394">
        <v>12.88777</v>
      </c>
      <c r="AK77" s="381" t="s">
        <v>167</v>
      </c>
      <c r="AL77" s="408" t="s">
        <v>175</v>
      </c>
      <c r="AM77" s="385"/>
      <c r="AN77" s="475">
        <v>65</v>
      </c>
      <c r="AO77" s="395">
        <f t="shared" ref="AO77" si="45">AA77/X77*1000</f>
        <v>747.28549999999996</v>
      </c>
      <c r="AP77" s="395">
        <f t="shared" ref="AP77" si="46">AA77/Y77</f>
        <v>4.9819033333333334</v>
      </c>
      <c r="AQ77" s="528"/>
      <c r="AR77" s="523"/>
      <c r="AS77" s="393"/>
      <c r="AT77" s="571"/>
      <c r="AU77" s="394"/>
      <c r="AV77" s="394"/>
      <c r="AW77" s="394"/>
      <c r="AX77" s="394"/>
      <c r="AY77" s="394"/>
      <c r="AZ77" s="394"/>
      <c r="BA77" s="394"/>
      <c r="BB77" s="394"/>
      <c r="BC77" s="394"/>
      <c r="BD77" s="381"/>
      <c r="BE77" s="408"/>
      <c r="BF77" s="385"/>
      <c r="BG77" s="475"/>
      <c r="BH77" s="395" t="e">
        <f t="shared" si="16"/>
        <v>#DIV/0!</v>
      </c>
      <c r="BI77" s="395" t="e">
        <f t="shared" si="17"/>
        <v>#DIV/0!</v>
      </c>
    </row>
    <row r="78" spans="1:61" s="358" customFormat="1" ht="19.2" x14ac:dyDescent="0.3">
      <c r="A78" s="359" t="s">
        <v>341</v>
      </c>
      <c r="B78" s="572" t="s">
        <v>2329</v>
      </c>
      <c r="C78" s="583" t="s">
        <v>2328</v>
      </c>
      <c r="D78" s="360">
        <v>0.4</v>
      </c>
      <c r="E78" s="528"/>
      <c r="F78" s="523"/>
      <c r="G78" s="393"/>
      <c r="H78" s="571"/>
      <c r="I78" s="394"/>
      <c r="J78" s="394"/>
      <c r="K78" s="394"/>
      <c r="L78" s="394"/>
      <c r="M78" s="394"/>
      <c r="N78" s="394"/>
      <c r="O78" s="394"/>
      <c r="P78" s="394"/>
      <c r="Q78" s="394"/>
      <c r="R78" s="381"/>
      <c r="S78" s="408"/>
      <c r="T78" s="385"/>
      <c r="U78" s="475"/>
      <c r="V78" s="395"/>
      <c r="W78" s="395"/>
      <c r="X78" s="528">
        <v>20</v>
      </c>
      <c r="Y78" s="523">
        <v>25</v>
      </c>
      <c r="Z78" s="393">
        <v>25</v>
      </c>
      <c r="AA78" s="571">
        <v>22.997769999999999</v>
      </c>
      <c r="AB78" s="394">
        <v>16.145299999999999</v>
      </c>
      <c r="AC78" s="394">
        <v>1.2232000000000001</v>
      </c>
      <c r="AD78" s="394">
        <v>12.88777</v>
      </c>
      <c r="AE78" s="394">
        <v>3.0680200000000002</v>
      </c>
      <c r="AF78" s="394">
        <v>0</v>
      </c>
      <c r="AG78" s="394">
        <v>0</v>
      </c>
      <c r="AH78" s="394">
        <v>1.8442499999999999</v>
      </c>
      <c r="AI78" s="394">
        <v>6.1159999999999999E-2</v>
      </c>
      <c r="AJ78" s="394">
        <v>12.88777</v>
      </c>
      <c r="AK78" s="381" t="s">
        <v>167</v>
      </c>
      <c r="AL78" s="408" t="s">
        <v>175</v>
      </c>
      <c r="AM78" s="385"/>
      <c r="AN78" s="475">
        <v>67</v>
      </c>
      <c r="AO78" s="395">
        <f t="shared" si="41"/>
        <v>1149.8884999999998</v>
      </c>
      <c r="AP78" s="395">
        <f t="shared" si="42"/>
        <v>0.91991079999999992</v>
      </c>
      <c r="AQ78" s="528"/>
      <c r="AR78" s="523"/>
      <c r="AS78" s="393"/>
      <c r="AT78" s="571"/>
      <c r="AU78" s="394"/>
      <c r="AV78" s="394"/>
      <c r="AW78" s="394"/>
      <c r="AX78" s="394"/>
      <c r="AY78" s="394"/>
      <c r="AZ78" s="394"/>
      <c r="BA78" s="394"/>
      <c r="BB78" s="394"/>
      <c r="BC78" s="394"/>
      <c r="BD78" s="381"/>
      <c r="BE78" s="408"/>
      <c r="BF78" s="385"/>
      <c r="BG78" s="475"/>
      <c r="BH78" s="395" t="e">
        <f t="shared" si="16"/>
        <v>#DIV/0!</v>
      </c>
      <c r="BI78" s="395" t="e">
        <f t="shared" si="17"/>
        <v>#DIV/0!</v>
      </c>
    </row>
    <row r="79" spans="1:61" s="358" customFormat="1" ht="19.2" x14ac:dyDescent="0.3">
      <c r="A79" s="359" t="s">
        <v>342</v>
      </c>
      <c r="B79" s="572" t="s">
        <v>2331</v>
      </c>
      <c r="C79" s="583" t="s">
        <v>2330</v>
      </c>
      <c r="D79" s="360">
        <v>0.4</v>
      </c>
      <c r="E79" s="528"/>
      <c r="F79" s="523"/>
      <c r="G79" s="393"/>
      <c r="H79" s="571"/>
      <c r="I79" s="394"/>
      <c r="J79" s="394"/>
      <c r="K79" s="394"/>
      <c r="L79" s="394"/>
      <c r="M79" s="394"/>
      <c r="N79" s="394"/>
      <c r="O79" s="394"/>
      <c r="P79" s="394"/>
      <c r="Q79" s="394"/>
      <c r="R79" s="381"/>
      <c r="S79" s="408"/>
      <c r="T79" s="385"/>
      <c r="U79" s="475"/>
      <c r="V79" s="395"/>
      <c r="W79" s="395"/>
      <c r="X79" s="528">
        <v>100</v>
      </c>
      <c r="Y79" s="523">
        <v>15</v>
      </c>
      <c r="Z79" s="393">
        <v>15</v>
      </c>
      <c r="AA79" s="571">
        <v>110.3446</v>
      </c>
      <c r="AB79" s="394">
        <v>75.759020000000007</v>
      </c>
      <c r="AC79" s="394">
        <v>6.1159999999999997</v>
      </c>
      <c r="AD79" s="394">
        <f>12.89914+51.59656</f>
        <v>64.495699999999999</v>
      </c>
      <c r="AE79" s="394">
        <v>15.96058</v>
      </c>
      <c r="AF79" s="394">
        <v>0</v>
      </c>
      <c r="AG79" s="394">
        <v>0</v>
      </c>
      <c r="AH79" s="394">
        <v>9.1634600000000006</v>
      </c>
      <c r="AI79" s="394">
        <v>6.1159999999999999E-2</v>
      </c>
      <c r="AJ79" s="394">
        <v>12.899139999999999</v>
      </c>
      <c r="AK79" s="381" t="s">
        <v>167</v>
      </c>
      <c r="AL79" s="408" t="s">
        <v>175</v>
      </c>
      <c r="AM79" s="385"/>
      <c r="AN79" s="475">
        <v>69</v>
      </c>
      <c r="AO79" s="395">
        <f t="shared" si="41"/>
        <v>1103.4459999999999</v>
      </c>
      <c r="AP79" s="395">
        <f t="shared" si="42"/>
        <v>7.3563066666666668</v>
      </c>
      <c r="AQ79" s="528"/>
      <c r="AR79" s="523"/>
      <c r="AS79" s="393"/>
      <c r="AT79" s="571"/>
      <c r="AU79" s="394"/>
      <c r="AV79" s="394"/>
      <c r="AW79" s="394"/>
      <c r="AX79" s="394"/>
      <c r="AY79" s="394"/>
      <c r="AZ79" s="394"/>
      <c r="BA79" s="394"/>
      <c r="BB79" s="394"/>
      <c r="BC79" s="394"/>
      <c r="BD79" s="381"/>
      <c r="BE79" s="408"/>
      <c r="BF79" s="385"/>
      <c r="BG79" s="475"/>
      <c r="BH79" s="395" t="e">
        <f t="shared" si="16"/>
        <v>#DIV/0!</v>
      </c>
      <c r="BI79" s="395" t="e">
        <f t="shared" si="17"/>
        <v>#DIV/0!</v>
      </c>
    </row>
    <row r="80" spans="1:61" s="358" customFormat="1" ht="19.2" x14ac:dyDescent="0.3">
      <c r="A80" s="359" t="s">
        <v>343</v>
      </c>
      <c r="B80" s="572" t="s">
        <v>2333</v>
      </c>
      <c r="C80" s="583" t="s">
        <v>2332</v>
      </c>
      <c r="D80" s="360">
        <v>0.4</v>
      </c>
      <c r="E80" s="528"/>
      <c r="F80" s="523"/>
      <c r="G80" s="393"/>
      <c r="H80" s="571"/>
      <c r="I80" s="394"/>
      <c r="J80" s="394"/>
      <c r="K80" s="394"/>
      <c r="L80" s="394"/>
      <c r="M80" s="394"/>
      <c r="N80" s="394"/>
      <c r="O80" s="394"/>
      <c r="P80" s="394"/>
      <c r="Q80" s="394"/>
      <c r="R80" s="381"/>
      <c r="S80" s="408"/>
      <c r="T80" s="385"/>
      <c r="U80" s="475"/>
      <c r="V80" s="395"/>
      <c r="W80" s="395"/>
      <c r="X80" s="528">
        <v>144</v>
      </c>
      <c r="Y80" s="523">
        <v>50</v>
      </c>
      <c r="Z80" s="393">
        <v>50</v>
      </c>
      <c r="AA80" s="571">
        <v>98.548259999999999</v>
      </c>
      <c r="AB80" s="394">
        <v>65.737790000000004</v>
      </c>
      <c r="AC80" s="394">
        <v>8.8070400000000006</v>
      </c>
      <c r="AD80" s="394">
        <v>51.551079999999999</v>
      </c>
      <c r="AE80" s="394">
        <v>14.626659999999999</v>
      </c>
      <c r="AF80" s="394">
        <v>0</v>
      </c>
      <c r="AG80" s="394">
        <v>0</v>
      </c>
      <c r="AH80" s="394">
        <v>8.8984000000000005</v>
      </c>
      <c r="AI80" s="394">
        <v>6.1159999999999999E-2</v>
      </c>
      <c r="AJ80" s="394">
        <v>12.88777</v>
      </c>
      <c r="AK80" s="381" t="s">
        <v>167</v>
      </c>
      <c r="AL80" s="408" t="s">
        <v>175</v>
      </c>
      <c r="AM80" s="385"/>
      <c r="AN80" s="475">
        <v>71</v>
      </c>
      <c r="AO80" s="395">
        <f t="shared" si="41"/>
        <v>684.36291666666671</v>
      </c>
      <c r="AP80" s="395">
        <f t="shared" si="42"/>
        <v>1.9709652</v>
      </c>
      <c r="AQ80" s="528"/>
      <c r="AR80" s="523"/>
      <c r="AS80" s="393"/>
      <c r="AT80" s="571"/>
      <c r="AU80" s="394"/>
      <c r="AV80" s="394"/>
      <c r="AW80" s="394"/>
      <c r="AX80" s="394"/>
      <c r="AY80" s="394"/>
      <c r="AZ80" s="394"/>
      <c r="BA80" s="394"/>
      <c r="BB80" s="394"/>
      <c r="BC80" s="394"/>
      <c r="BD80" s="381"/>
      <c r="BE80" s="408"/>
      <c r="BF80" s="385"/>
      <c r="BG80" s="475"/>
      <c r="BH80" s="395" t="e">
        <f t="shared" si="16"/>
        <v>#DIV/0!</v>
      </c>
      <c r="BI80" s="395" t="e">
        <f t="shared" si="17"/>
        <v>#DIV/0!</v>
      </c>
    </row>
    <row r="81" spans="1:61" s="358" customFormat="1" ht="19.2" x14ac:dyDescent="0.3">
      <c r="A81" s="359" t="s">
        <v>344</v>
      </c>
      <c r="B81" s="572" t="s">
        <v>2335</v>
      </c>
      <c r="C81" s="583" t="s">
        <v>2334</v>
      </c>
      <c r="D81" s="360">
        <v>0.4</v>
      </c>
      <c r="E81" s="528"/>
      <c r="F81" s="523"/>
      <c r="G81" s="393"/>
      <c r="H81" s="571"/>
      <c r="I81" s="394"/>
      <c r="J81" s="394"/>
      <c r="K81" s="394"/>
      <c r="L81" s="394"/>
      <c r="M81" s="394"/>
      <c r="N81" s="394"/>
      <c r="O81" s="394"/>
      <c r="P81" s="394"/>
      <c r="Q81" s="394"/>
      <c r="R81" s="381"/>
      <c r="S81" s="408"/>
      <c r="T81" s="385"/>
      <c r="U81" s="475"/>
      <c r="V81" s="395"/>
      <c r="W81" s="395"/>
      <c r="X81" s="528">
        <v>280</v>
      </c>
      <c r="Y81" s="523">
        <v>15</v>
      </c>
      <c r="Z81" s="393">
        <v>15</v>
      </c>
      <c r="AA81" s="571">
        <v>157.06043</v>
      </c>
      <c r="AB81" s="394">
        <v>102.44419000000001</v>
      </c>
      <c r="AC81" s="394">
        <v>17.1248</v>
      </c>
      <c r="AD81" s="394">
        <v>77.326620000000005</v>
      </c>
      <c r="AE81" s="394">
        <v>24.29457</v>
      </c>
      <c r="AF81" s="394">
        <v>0</v>
      </c>
      <c r="AG81" s="394">
        <v>0</v>
      </c>
      <c r="AH81" s="394">
        <v>14.868969999999999</v>
      </c>
      <c r="AI81" s="394">
        <v>6.1159999999999999E-2</v>
      </c>
      <c r="AJ81" s="394">
        <v>12.88777</v>
      </c>
      <c r="AK81" s="381" t="s">
        <v>167</v>
      </c>
      <c r="AL81" s="408" t="s">
        <v>175</v>
      </c>
      <c r="AM81" s="385"/>
      <c r="AN81" s="475">
        <v>73</v>
      </c>
      <c r="AO81" s="395">
        <f t="shared" ref="AO81:AO89" si="47">AA81/X81*1000</f>
        <v>560.9301071428572</v>
      </c>
      <c r="AP81" s="395">
        <f t="shared" ref="AP81:AP89" si="48">AA81/Y81</f>
        <v>10.470695333333333</v>
      </c>
      <c r="AQ81" s="528"/>
      <c r="AR81" s="523"/>
      <c r="AS81" s="393"/>
      <c r="AT81" s="571"/>
      <c r="AU81" s="394"/>
      <c r="AV81" s="394"/>
      <c r="AW81" s="394"/>
      <c r="AX81" s="394"/>
      <c r="AY81" s="394"/>
      <c r="AZ81" s="394"/>
      <c r="BA81" s="394"/>
      <c r="BB81" s="394"/>
      <c r="BC81" s="394"/>
      <c r="BD81" s="381"/>
      <c r="BE81" s="408"/>
      <c r="BF81" s="385"/>
      <c r="BG81" s="475"/>
      <c r="BH81" s="395" t="e">
        <f t="shared" si="16"/>
        <v>#DIV/0!</v>
      </c>
      <c r="BI81" s="395" t="e">
        <f t="shared" si="17"/>
        <v>#DIV/0!</v>
      </c>
    </row>
    <row r="82" spans="1:61" s="358" customFormat="1" ht="19.2" x14ac:dyDescent="0.3">
      <c r="A82" s="359" t="s">
        <v>345</v>
      </c>
      <c r="B82" s="572" t="s">
        <v>2337</v>
      </c>
      <c r="C82" s="583" t="s">
        <v>2336</v>
      </c>
      <c r="D82" s="360">
        <v>0.4</v>
      </c>
      <c r="E82" s="528"/>
      <c r="F82" s="523"/>
      <c r="G82" s="393"/>
      <c r="H82" s="571"/>
      <c r="I82" s="394"/>
      <c r="J82" s="394"/>
      <c r="K82" s="394"/>
      <c r="L82" s="394"/>
      <c r="M82" s="394"/>
      <c r="N82" s="394"/>
      <c r="O82" s="394"/>
      <c r="P82" s="394"/>
      <c r="Q82" s="394"/>
      <c r="R82" s="381"/>
      <c r="S82" s="408"/>
      <c r="T82" s="385"/>
      <c r="U82" s="475"/>
      <c r="V82" s="395"/>
      <c r="W82" s="395"/>
      <c r="X82" s="528">
        <v>85</v>
      </c>
      <c r="Y82" s="523">
        <v>15</v>
      </c>
      <c r="Z82" s="393">
        <v>15</v>
      </c>
      <c r="AA82" s="571">
        <v>52.682079999999999</v>
      </c>
      <c r="AB82" s="394">
        <v>35.179859999999998</v>
      </c>
      <c r="AC82" s="394">
        <v>5.1985999999999999</v>
      </c>
      <c r="AD82" s="394">
        <v>25.798279999999998</v>
      </c>
      <c r="AE82" s="394">
        <v>7.7915999999999999</v>
      </c>
      <c r="AF82" s="394">
        <v>0</v>
      </c>
      <c r="AG82" s="394">
        <v>0</v>
      </c>
      <c r="AH82" s="394">
        <v>4.7582300000000002</v>
      </c>
      <c r="AI82" s="394">
        <v>6.1159999999999999E-2</v>
      </c>
      <c r="AJ82" s="394">
        <v>12.899139999999999</v>
      </c>
      <c r="AK82" s="381" t="s">
        <v>167</v>
      </c>
      <c r="AL82" s="408" t="s">
        <v>175</v>
      </c>
      <c r="AM82" s="385"/>
      <c r="AN82" s="475">
        <v>75</v>
      </c>
      <c r="AO82" s="395">
        <f t="shared" si="47"/>
        <v>619.78917647058813</v>
      </c>
      <c r="AP82" s="395">
        <f t="shared" si="48"/>
        <v>3.5121386666666665</v>
      </c>
      <c r="AQ82" s="528"/>
      <c r="AR82" s="523"/>
      <c r="AS82" s="393"/>
      <c r="AT82" s="571"/>
      <c r="AU82" s="394"/>
      <c r="AV82" s="394"/>
      <c r="AW82" s="394"/>
      <c r="AX82" s="394"/>
      <c r="AY82" s="394"/>
      <c r="AZ82" s="394"/>
      <c r="BA82" s="394"/>
      <c r="BB82" s="394"/>
      <c r="BC82" s="394"/>
      <c r="BD82" s="381"/>
      <c r="BE82" s="408"/>
      <c r="BF82" s="385"/>
      <c r="BG82" s="475"/>
      <c r="BH82" s="395" t="e">
        <f t="shared" si="16"/>
        <v>#DIV/0!</v>
      </c>
      <c r="BI82" s="395" t="e">
        <f t="shared" si="17"/>
        <v>#DIV/0!</v>
      </c>
    </row>
    <row r="83" spans="1:61" s="358" customFormat="1" ht="19.2" x14ac:dyDescent="0.3">
      <c r="A83" s="359" t="s">
        <v>346</v>
      </c>
      <c r="B83" s="572" t="s">
        <v>2339</v>
      </c>
      <c r="C83" s="583" t="s">
        <v>2338</v>
      </c>
      <c r="D83" s="360">
        <v>0.4</v>
      </c>
      <c r="E83" s="528"/>
      <c r="F83" s="523"/>
      <c r="G83" s="393"/>
      <c r="H83" s="571"/>
      <c r="I83" s="394"/>
      <c r="J83" s="394"/>
      <c r="K83" s="394"/>
      <c r="L83" s="394"/>
      <c r="M83" s="394"/>
      <c r="N83" s="394"/>
      <c r="O83" s="394"/>
      <c r="P83" s="394"/>
      <c r="Q83" s="394"/>
      <c r="R83" s="381"/>
      <c r="S83" s="408"/>
      <c r="T83" s="385"/>
      <c r="U83" s="475"/>
      <c r="V83" s="395"/>
      <c r="W83" s="395"/>
      <c r="X83" s="528">
        <v>47</v>
      </c>
      <c r="Y83" s="523">
        <v>15</v>
      </c>
      <c r="Z83" s="393">
        <v>15</v>
      </c>
      <c r="AA83" s="571">
        <v>27.241389999999999</v>
      </c>
      <c r="AB83" s="394">
        <v>18.11056</v>
      </c>
      <c r="AC83" s="394">
        <v>2.87452</v>
      </c>
      <c r="AD83" s="394">
        <v>12.899139999999999</v>
      </c>
      <c r="AE83" s="394">
        <v>18.11056</v>
      </c>
      <c r="AF83" s="394">
        <v>0</v>
      </c>
      <c r="AG83" s="394">
        <v>0</v>
      </c>
      <c r="AH83" s="394">
        <v>2.4860799999999998</v>
      </c>
      <c r="AI83" s="394">
        <v>6.1159999999999999E-2</v>
      </c>
      <c r="AJ83" s="394">
        <v>12.899139999999999</v>
      </c>
      <c r="AK83" s="381" t="s">
        <v>167</v>
      </c>
      <c r="AL83" s="408" t="s">
        <v>175</v>
      </c>
      <c r="AM83" s="385"/>
      <c r="AN83" s="475">
        <v>77</v>
      </c>
      <c r="AO83" s="395">
        <f t="shared" si="47"/>
        <v>579.60404255319145</v>
      </c>
      <c r="AP83" s="395">
        <f t="shared" si="48"/>
        <v>1.8160926666666666</v>
      </c>
      <c r="AQ83" s="528"/>
      <c r="AR83" s="523"/>
      <c r="AS83" s="393"/>
      <c r="AT83" s="571"/>
      <c r="AU83" s="394"/>
      <c r="AV83" s="394"/>
      <c r="AW83" s="394"/>
      <c r="AX83" s="394"/>
      <c r="AY83" s="394"/>
      <c r="AZ83" s="394"/>
      <c r="BA83" s="394"/>
      <c r="BB83" s="394"/>
      <c r="BC83" s="394"/>
      <c r="BD83" s="381"/>
      <c r="BE83" s="408"/>
      <c r="BF83" s="385"/>
      <c r="BG83" s="475"/>
      <c r="BH83" s="395" t="e">
        <f t="shared" si="16"/>
        <v>#DIV/0!</v>
      </c>
      <c r="BI83" s="395" t="e">
        <f t="shared" si="17"/>
        <v>#DIV/0!</v>
      </c>
    </row>
    <row r="84" spans="1:61" s="358" customFormat="1" ht="19.2" x14ac:dyDescent="0.3">
      <c r="A84" s="359" t="s">
        <v>347</v>
      </c>
      <c r="B84" s="572" t="s">
        <v>2341</v>
      </c>
      <c r="C84" s="583" t="s">
        <v>2340</v>
      </c>
      <c r="D84" s="360">
        <v>0.4</v>
      </c>
      <c r="E84" s="528"/>
      <c r="F84" s="523"/>
      <c r="G84" s="393"/>
      <c r="H84" s="571"/>
      <c r="I84" s="394"/>
      <c r="J84" s="394"/>
      <c r="K84" s="394"/>
      <c r="L84" s="394"/>
      <c r="M84" s="394"/>
      <c r="N84" s="394"/>
      <c r="O84" s="394"/>
      <c r="P84" s="394"/>
      <c r="Q84" s="394"/>
      <c r="R84" s="381"/>
      <c r="S84" s="408"/>
      <c r="T84" s="385"/>
      <c r="U84" s="475"/>
      <c r="V84" s="395"/>
      <c r="W84" s="395"/>
      <c r="X84" s="528">
        <v>135</v>
      </c>
      <c r="Y84" s="523">
        <v>15</v>
      </c>
      <c r="Z84" s="393">
        <v>15</v>
      </c>
      <c r="AA84" s="571">
        <v>135.37214</v>
      </c>
      <c r="AB84" s="394">
        <v>92.829899999999995</v>
      </c>
      <c r="AC84" s="394">
        <v>8.2566000000000006</v>
      </c>
      <c r="AD84" s="394">
        <f>51.59656+25.79828</f>
        <v>77.394839999999988</v>
      </c>
      <c r="AE84" s="394">
        <v>19.270219999999998</v>
      </c>
      <c r="AF84" s="394">
        <v>0</v>
      </c>
      <c r="AG84" s="394">
        <v>0</v>
      </c>
      <c r="AH84" s="394">
        <v>11.39321</v>
      </c>
      <c r="AI84" s="394">
        <v>6.1159999999999999E-2</v>
      </c>
      <c r="AJ84" s="394">
        <v>12.899139999999999</v>
      </c>
      <c r="AK84" s="381" t="s">
        <v>167</v>
      </c>
      <c r="AL84" s="408" t="s">
        <v>175</v>
      </c>
      <c r="AM84" s="385"/>
      <c r="AN84" s="475">
        <v>79</v>
      </c>
      <c r="AO84" s="395">
        <f t="shared" si="47"/>
        <v>1002.7565925925925</v>
      </c>
      <c r="AP84" s="395">
        <f t="shared" si="48"/>
        <v>9.0248093333333337</v>
      </c>
      <c r="AQ84" s="528"/>
      <c r="AR84" s="523"/>
      <c r="AS84" s="393"/>
      <c r="AT84" s="571"/>
      <c r="AU84" s="394"/>
      <c r="AV84" s="394"/>
      <c r="AW84" s="394"/>
      <c r="AX84" s="394"/>
      <c r="AY84" s="394"/>
      <c r="AZ84" s="394"/>
      <c r="BA84" s="394"/>
      <c r="BB84" s="394"/>
      <c r="BC84" s="394"/>
      <c r="BD84" s="381"/>
      <c r="BE84" s="408"/>
      <c r="BF84" s="385"/>
      <c r="BG84" s="475"/>
      <c r="BH84" s="395" t="e">
        <f t="shared" si="16"/>
        <v>#DIV/0!</v>
      </c>
      <c r="BI84" s="395" t="e">
        <f t="shared" si="17"/>
        <v>#DIV/0!</v>
      </c>
    </row>
    <row r="85" spans="1:61" s="358" customFormat="1" ht="19.2" x14ac:dyDescent="0.3">
      <c r="A85" s="359" t="s">
        <v>348</v>
      </c>
      <c r="B85" s="572" t="s">
        <v>2343</v>
      </c>
      <c r="C85" s="583" t="s">
        <v>2342</v>
      </c>
      <c r="D85" s="360">
        <v>0.4</v>
      </c>
      <c r="E85" s="528"/>
      <c r="F85" s="523"/>
      <c r="G85" s="393"/>
      <c r="H85" s="571"/>
      <c r="I85" s="394"/>
      <c r="J85" s="394"/>
      <c r="K85" s="394"/>
      <c r="L85" s="394"/>
      <c r="M85" s="394"/>
      <c r="N85" s="394"/>
      <c r="O85" s="394"/>
      <c r="P85" s="394"/>
      <c r="Q85" s="394"/>
      <c r="R85" s="381"/>
      <c r="S85" s="408"/>
      <c r="T85" s="385"/>
      <c r="U85" s="475"/>
      <c r="V85" s="395"/>
      <c r="W85" s="395"/>
      <c r="X85" s="528">
        <v>90</v>
      </c>
      <c r="Y85" s="523">
        <v>15</v>
      </c>
      <c r="Z85" s="393">
        <v>15</v>
      </c>
      <c r="AA85" s="571">
        <v>71.299710000000005</v>
      </c>
      <c r="AB85" s="394">
        <v>48.210740000000001</v>
      </c>
      <c r="AC85" s="394">
        <v>5.5044000000000004</v>
      </c>
      <c r="AD85" s="394">
        <v>38.663310000000003</v>
      </c>
      <c r="AE85" s="394">
        <v>10.307779999999999</v>
      </c>
      <c r="AF85" s="394">
        <v>0</v>
      </c>
      <c r="AG85" s="394">
        <v>0</v>
      </c>
      <c r="AH85" s="394">
        <v>6.2459199999999999</v>
      </c>
      <c r="AI85" s="394">
        <v>6.1159999999999999E-2</v>
      </c>
      <c r="AJ85" s="394">
        <v>12.88777</v>
      </c>
      <c r="AK85" s="381" t="s">
        <v>167</v>
      </c>
      <c r="AL85" s="408" t="s">
        <v>175</v>
      </c>
      <c r="AM85" s="385"/>
      <c r="AN85" s="475">
        <v>81</v>
      </c>
      <c r="AO85" s="395">
        <f t="shared" si="47"/>
        <v>792.21900000000005</v>
      </c>
      <c r="AP85" s="395">
        <f t="shared" si="48"/>
        <v>4.7533140000000005</v>
      </c>
      <c r="AQ85" s="528"/>
      <c r="AR85" s="523"/>
      <c r="AS85" s="393"/>
      <c r="AT85" s="571"/>
      <c r="AU85" s="394"/>
      <c r="AV85" s="394"/>
      <c r="AW85" s="394"/>
      <c r="AX85" s="394"/>
      <c r="AY85" s="394"/>
      <c r="AZ85" s="394"/>
      <c r="BA85" s="394"/>
      <c r="BB85" s="394"/>
      <c r="BC85" s="394"/>
      <c r="BD85" s="381"/>
      <c r="BE85" s="408"/>
      <c r="BF85" s="385"/>
      <c r="BG85" s="475"/>
      <c r="BH85" s="395" t="e">
        <f t="shared" si="16"/>
        <v>#DIV/0!</v>
      </c>
      <c r="BI85" s="395" t="e">
        <f t="shared" si="17"/>
        <v>#DIV/0!</v>
      </c>
    </row>
    <row r="86" spans="1:61" s="358" customFormat="1" ht="19.2" x14ac:dyDescent="0.3">
      <c r="A86" s="359" t="s">
        <v>349</v>
      </c>
      <c r="B86" s="572" t="s">
        <v>2345</v>
      </c>
      <c r="C86" s="583" t="s">
        <v>2344</v>
      </c>
      <c r="D86" s="360">
        <v>0.4</v>
      </c>
      <c r="E86" s="528"/>
      <c r="F86" s="523"/>
      <c r="G86" s="393"/>
      <c r="H86" s="571"/>
      <c r="I86" s="394"/>
      <c r="J86" s="394"/>
      <c r="K86" s="394"/>
      <c r="L86" s="394"/>
      <c r="M86" s="394"/>
      <c r="N86" s="394"/>
      <c r="O86" s="394"/>
      <c r="P86" s="394"/>
      <c r="Q86" s="394"/>
      <c r="R86" s="381"/>
      <c r="S86" s="408"/>
      <c r="T86" s="385"/>
      <c r="U86" s="475"/>
      <c r="V86" s="395"/>
      <c r="W86" s="395"/>
      <c r="X86" s="528">
        <v>148</v>
      </c>
      <c r="Y86" s="523">
        <v>5</v>
      </c>
      <c r="Z86" s="393">
        <v>5</v>
      </c>
      <c r="AA86" s="571">
        <v>125.35957000000001</v>
      </c>
      <c r="AB86" s="394">
        <v>85.802940000000007</v>
      </c>
      <c r="AC86" s="394">
        <v>13.0314</v>
      </c>
      <c r="AD86" s="394">
        <f>38.73882+25.82588</f>
        <v>64.564700000000002</v>
      </c>
      <c r="AE86" s="394">
        <v>18.49849</v>
      </c>
      <c r="AF86" s="394">
        <v>0</v>
      </c>
      <c r="AG86" s="394">
        <v>0</v>
      </c>
      <c r="AH86" s="394">
        <v>10.333410000000001</v>
      </c>
      <c r="AI86" s="394">
        <v>8.8050000000000003E-2</v>
      </c>
      <c r="AJ86" s="394">
        <v>12.912940000000001</v>
      </c>
      <c r="AK86" s="381" t="s">
        <v>167</v>
      </c>
      <c r="AL86" s="408" t="s">
        <v>175</v>
      </c>
      <c r="AM86" s="385"/>
      <c r="AN86" s="475">
        <v>83</v>
      </c>
      <c r="AO86" s="395">
        <f t="shared" si="47"/>
        <v>847.0241216216217</v>
      </c>
      <c r="AP86" s="395">
        <f t="shared" si="48"/>
        <v>25.071914</v>
      </c>
      <c r="AQ86" s="528"/>
      <c r="AR86" s="523"/>
      <c r="AS86" s="393"/>
      <c r="AT86" s="571"/>
      <c r="AU86" s="394"/>
      <c r="AV86" s="394"/>
      <c r="AW86" s="394"/>
      <c r="AX86" s="394"/>
      <c r="AY86" s="394"/>
      <c r="AZ86" s="394"/>
      <c r="BA86" s="394"/>
      <c r="BB86" s="394"/>
      <c r="BC86" s="394"/>
      <c r="BD86" s="381"/>
      <c r="BE86" s="408"/>
      <c r="BF86" s="385"/>
      <c r="BG86" s="475"/>
      <c r="BH86" s="395" t="e">
        <f t="shared" si="16"/>
        <v>#DIV/0!</v>
      </c>
      <c r="BI86" s="395" t="e">
        <f t="shared" si="17"/>
        <v>#DIV/0!</v>
      </c>
    </row>
    <row r="87" spans="1:61" s="358" customFormat="1" ht="19.2" x14ac:dyDescent="0.3">
      <c r="A87" s="359" t="s">
        <v>350</v>
      </c>
      <c r="B87" s="572" t="s">
        <v>2347</v>
      </c>
      <c r="C87" s="583" t="s">
        <v>2346</v>
      </c>
      <c r="D87" s="360">
        <v>0.4</v>
      </c>
      <c r="E87" s="528"/>
      <c r="F87" s="523"/>
      <c r="G87" s="393"/>
      <c r="H87" s="571"/>
      <c r="I87" s="394"/>
      <c r="J87" s="394"/>
      <c r="K87" s="394"/>
      <c r="L87" s="394"/>
      <c r="M87" s="394"/>
      <c r="N87" s="394"/>
      <c r="O87" s="394"/>
      <c r="P87" s="394"/>
      <c r="Q87" s="394"/>
      <c r="R87" s="381"/>
      <c r="S87" s="408"/>
      <c r="T87" s="385"/>
      <c r="U87" s="475"/>
      <c r="V87" s="395"/>
      <c r="W87" s="395"/>
      <c r="X87" s="528">
        <v>26</v>
      </c>
      <c r="Y87" s="523">
        <v>15</v>
      </c>
      <c r="Z87" s="393">
        <v>15</v>
      </c>
      <c r="AA87" s="571">
        <v>24.94304</v>
      </c>
      <c r="AB87" s="394">
        <v>17.381589999999999</v>
      </c>
      <c r="AC87" s="394">
        <v>2.2892999999999999</v>
      </c>
      <c r="AD87" s="394">
        <v>12.912940000000001</v>
      </c>
      <c r="AE87" s="394">
        <v>3.4914200000000002</v>
      </c>
      <c r="AF87" s="394">
        <v>0</v>
      </c>
      <c r="AG87" s="394">
        <v>0</v>
      </c>
      <c r="AH87" s="394">
        <v>1.98689</v>
      </c>
      <c r="AI87" s="394">
        <v>8.8050000000000003E-2</v>
      </c>
      <c r="AJ87" s="394">
        <v>12.912940000000001</v>
      </c>
      <c r="AK87" s="381" t="s">
        <v>167</v>
      </c>
      <c r="AL87" s="408" t="s">
        <v>175</v>
      </c>
      <c r="AM87" s="385"/>
      <c r="AN87" s="475">
        <v>85</v>
      </c>
      <c r="AO87" s="395">
        <f t="shared" si="47"/>
        <v>959.34769230769234</v>
      </c>
      <c r="AP87" s="395">
        <f t="shared" si="48"/>
        <v>1.6628693333333333</v>
      </c>
      <c r="AQ87" s="528"/>
      <c r="AR87" s="523"/>
      <c r="AS87" s="393"/>
      <c r="AT87" s="571"/>
      <c r="AU87" s="394"/>
      <c r="AV87" s="394"/>
      <c r="AW87" s="394"/>
      <c r="AX87" s="394"/>
      <c r="AY87" s="394"/>
      <c r="AZ87" s="394"/>
      <c r="BA87" s="394"/>
      <c r="BB87" s="394"/>
      <c r="BC87" s="394"/>
      <c r="BD87" s="381"/>
      <c r="BE87" s="408"/>
      <c r="BF87" s="385"/>
      <c r="BG87" s="475"/>
      <c r="BH87" s="395" t="e">
        <f t="shared" si="16"/>
        <v>#DIV/0!</v>
      </c>
      <c r="BI87" s="395" t="e">
        <f t="shared" si="17"/>
        <v>#DIV/0!</v>
      </c>
    </row>
    <row r="88" spans="1:61" s="358" customFormat="1" ht="19.2" x14ac:dyDescent="0.3">
      <c r="A88" s="359" t="s">
        <v>351</v>
      </c>
      <c r="B88" s="572" t="s">
        <v>2349</v>
      </c>
      <c r="C88" s="583" t="s">
        <v>2348</v>
      </c>
      <c r="D88" s="360">
        <v>0.4</v>
      </c>
      <c r="E88" s="528"/>
      <c r="F88" s="523"/>
      <c r="G88" s="393"/>
      <c r="H88" s="571"/>
      <c r="I88" s="394"/>
      <c r="J88" s="394"/>
      <c r="K88" s="394"/>
      <c r="L88" s="394"/>
      <c r="M88" s="394"/>
      <c r="N88" s="394"/>
      <c r="O88" s="394"/>
      <c r="P88" s="394"/>
      <c r="Q88" s="394"/>
      <c r="R88" s="381"/>
      <c r="S88" s="408"/>
      <c r="T88" s="385"/>
      <c r="U88" s="475"/>
      <c r="V88" s="395"/>
      <c r="W88" s="395"/>
      <c r="X88" s="528">
        <v>26</v>
      </c>
      <c r="Y88" s="523">
        <v>15</v>
      </c>
      <c r="Z88" s="393">
        <v>15</v>
      </c>
      <c r="AA88" s="571">
        <v>24.909700000000001</v>
      </c>
      <c r="AB88" s="394">
        <v>17.34825</v>
      </c>
      <c r="AC88" s="394">
        <v>2.2892999999999999</v>
      </c>
      <c r="AD88" s="394">
        <v>12.8796</v>
      </c>
      <c r="AE88" s="394">
        <v>3.4914200000000002</v>
      </c>
      <c r="AF88" s="394">
        <v>0</v>
      </c>
      <c r="AG88" s="394">
        <v>0</v>
      </c>
      <c r="AH88" s="394">
        <v>1.98689</v>
      </c>
      <c r="AI88" s="394">
        <v>8.8050000000000003E-2</v>
      </c>
      <c r="AJ88" s="394">
        <v>12.8796</v>
      </c>
      <c r="AK88" s="381" t="s">
        <v>167</v>
      </c>
      <c r="AL88" s="408" t="s">
        <v>175</v>
      </c>
      <c r="AM88" s="385"/>
      <c r="AN88" s="475">
        <v>87</v>
      </c>
      <c r="AO88" s="395">
        <f t="shared" si="47"/>
        <v>958.06538461538457</v>
      </c>
      <c r="AP88" s="395">
        <f t="shared" si="48"/>
        <v>1.6606466666666668</v>
      </c>
      <c r="AQ88" s="528"/>
      <c r="AR88" s="523"/>
      <c r="AS88" s="393"/>
      <c r="AT88" s="571"/>
      <c r="AU88" s="394"/>
      <c r="AV88" s="394"/>
      <c r="AW88" s="394"/>
      <c r="AX88" s="394"/>
      <c r="AY88" s="394"/>
      <c r="AZ88" s="394"/>
      <c r="BA88" s="394"/>
      <c r="BB88" s="394"/>
      <c r="BC88" s="394"/>
      <c r="BD88" s="381"/>
      <c r="BE88" s="408"/>
      <c r="BF88" s="385"/>
      <c r="BG88" s="475"/>
      <c r="BH88" s="395" t="e">
        <f t="shared" si="16"/>
        <v>#DIV/0!</v>
      </c>
      <c r="BI88" s="395" t="e">
        <f t="shared" si="17"/>
        <v>#DIV/0!</v>
      </c>
    </row>
    <row r="89" spans="1:61" s="358" customFormat="1" ht="19.2" x14ac:dyDescent="0.3">
      <c r="A89" s="359" t="s">
        <v>352</v>
      </c>
      <c r="B89" s="572" t="s">
        <v>2351</v>
      </c>
      <c r="C89" s="583" t="s">
        <v>2350</v>
      </c>
      <c r="D89" s="360">
        <v>0.4</v>
      </c>
      <c r="E89" s="528"/>
      <c r="F89" s="523"/>
      <c r="G89" s="393"/>
      <c r="H89" s="571"/>
      <c r="I89" s="394"/>
      <c r="J89" s="394"/>
      <c r="K89" s="394"/>
      <c r="L89" s="394"/>
      <c r="M89" s="394"/>
      <c r="N89" s="394"/>
      <c r="O89" s="394"/>
      <c r="P89" s="394"/>
      <c r="Q89" s="394"/>
      <c r="R89" s="381"/>
      <c r="S89" s="408"/>
      <c r="T89" s="385"/>
      <c r="U89" s="475"/>
      <c r="V89" s="395"/>
      <c r="W89" s="395"/>
      <c r="X89" s="528">
        <v>44</v>
      </c>
      <c r="Y89" s="523">
        <v>15</v>
      </c>
      <c r="Z89" s="393">
        <v>15</v>
      </c>
      <c r="AA89" s="571">
        <v>48.358080000000001</v>
      </c>
      <c r="AB89" s="394">
        <v>33.926110000000001</v>
      </c>
      <c r="AC89" s="394">
        <v>3.8742000000000001</v>
      </c>
      <c r="AD89" s="394">
        <v>28.825880000000002</v>
      </c>
      <c r="AE89" s="394">
        <v>6.6726599999999996</v>
      </c>
      <c r="AF89" s="394">
        <v>0</v>
      </c>
      <c r="AG89" s="394">
        <v>0</v>
      </c>
      <c r="AH89" s="394">
        <v>3.7836099999999999</v>
      </c>
      <c r="AI89" s="394">
        <v>8.8050000000000003E-2</v>
      </c>
      <c r="AJ89" s="394">
        <v>12.912940000000001</v>
      </c>
      <c r="AK89" s="381" t="s">
        <v>167</v>
      </c>
      <c r="AL89" s="408" t="s">
        <v>175</v>
      </c>
      <c r="AM89" s="385"/>
      <c r="AN89" s="475">
        <v>89</v>
      </c>
      <c r="AO89" s="395">
        <f t="shared" si="47"/>
        <v>1099.0472727272727</v>
      </c>
      <c r="AP89" s="395">
        <f t="shared" si="48"/>
        <v>3.2238720000000001</v>
      </c>
      <c r="AQ89" s="528"/>
      <c r="AR89" s="523"/>
      <c r="AS89" s="393"/>
      <c r="AT89" s="571"/>
      <c r="AU89" s="394"/>
      <c r="AV89" s="394"/>
      <c r="AW89" s="394"/>
      <c r="AX89" s="394"/>
      <c r="AY89" s="394"/>
      <c r="AZ89" s="394"/>
      <c r="BA89" s="394"/>
      <c r="BB89" s="394"/>
      <c r="BC89" s="394"/>
      <c r="BD89" s="381"/>
      <c r="BE89" s="408"/>
      <c r="BF89" s="385"/>
      <c r="BG89" s="475"/>
      <c r="BH89" s="395" t="e">
        <f t="shared" si="16"/>
        <v>#DIV/0!</v>
      </c>
      <c r="BI89" s="395" t="e">
        <f t="shared" si="17"/>
        <v>#DIV/0!</v>
      </c>
    </row>
    <row r="90" spans="1:61" s="358" customFormat="1" ht="19.2" x14ac:dyDescent="0.3">
      <c r="A90" s="359" t="s">
        <v>353</v>
      </c>
      <c r="B90" s="572" t="s">
        <v>2353</v>
      </c>
      <c r="C90" s="583" t="s">
        <v>2352</v>
      </c>
      <c r="D90" s="360">
        <v>0.4</v>
      </c>
      <c r="E90" s="528"/>
      <c r="F90" s="523"/>
      <c r="G90" s="393"/>
      <c r="H90" s="571"/>
      <c r="I90" s="394"/>
      <c r="J90" s="394"/>
      <c r="K90" s="394"/>
      <c r="L90" s="394"/>
      <c r="M90" s="394"/>
      <c r="N90" s="394"/>
      <c r="O90" s="394"/>
      <c r="P90" s="394"/>
      <c r="Q90" s="394"/>
      <c r="R90" s="381"/>
      <c r="S90" s="408"/>
      <c r="T90" s="385"/>
      <c r="U90" s="475"/>
      <c r="V90" s="395"/>
      <c r="W90" s="395"/>
      <c r="X90" s="528">
        <v>25</v>
      </c>
      <c r="Y90" s="523">
        <v>15</v>
      </c>
      <c r="Z90" s="393">
        <v>15</v>
      </c>
      <c r="AA90" s="571">
        <v>24.710609999999999</v>
      </c>
      <c r="AB90" s="394">
        <v>17.23554</v>
      </c>
      <c r="AC90" s="394">
        <v>2.2012499999999999</v>
      </c>
      <c r="AD90" s="394">
        <v>12.912940000000001</v>
      </c>
      <c r="AE90" s="394">
        <v>3.4526500000000002</v>
      </c>
      <c r="AF90" s="394">
        <v>0</v>
      </c>
      <c r="AG90" s="394">
        <v>0</v>
      </c>
      <c r="AH90" s="394">
        <v>1.9631099999999999</v>
      </c>
      <c r="AI90" s="394">
        <v>8.8050000000000003E-2</v>
      </c>
      <c r="AJ90" s="394">
        <v>12.912940000000001</v>
      </c>
      <c r="AK90" s="381" t="s">
        <v>167</v>
      </c>
      <c r="AL90" s="408" t="s">
        <v>175</v>
      </c>
      <c r="AM90" s="385"/>
      <c r="AN90" s="475">
        <v>91</v>
      </c>
      <c r="AO90" s="395">
        <f t="shared" ref="AO90:AO97" si="49">AA90/X90*1000</f>
        <v>988.42439999999999</v>
      </c>
      <c r="AP90" s="395">
        <f t="shared" ref="AP90:AP97" si="50">AA90/Y90</f>
        <v>1.6473739999999999</v>
      </c>
      <c r="AQ90" s="528"/>
      <c r="AR90" s="523"/>
      <c r="AS90" s="393"/>
      <c r="AT90" s="571"/>
      <c r="AU90" s="394"/>
      <c r="AV90" s="394"/>
      <c r="AW90" s="394"/>
      <c r="AX90" s="394"/>
      <c r="AY90" s="394"/>
      <c r="AZ90" s="394"/>
      <c r="BA90" s="394"/>
      <c r="BB90" s="394"/>
      <c r="BC90" s="394"/>
      <c r="BD90" s="381"/>
      <c r="BE90" s="408"/>
      <c r="BF90" s="385"/>
      <c r="BG90" s="475"/>
      <c r="BH90" s="395" t="e">
        <f t="shared" si="16"/>
        <v>#DIV/0!</v>
      </c>
      <c r="BI90" s="395" t="e">
        <f t="shared" si="17"/>
        <v>#DIV/0!</v>
      </c>
    </row>
    <row r="91" spans="1:61" s="358" customFormat="1" ht="19.2" x14ac:dyDescent="0.3">
      <c r="A91" s="359" t="s">
        <v>354</v>
      </c>
      <c r="B91" s="572" t="s">
        <v>2355</v>
      </c>
      <c r="C91" s="583" t="s">
        <v>2354</v>
      </c>
      <c r="D91" s="360">
        <v>0.4</v>
      </c>
      <c r="E91" s="528"/>
      <c r="F91" s="523"/>
      <c r="G91" s="393"/>
      <c r="H91" s="571"/>
      <c r="I91" s="394"/>
      <c r="J91" s="394"/>
      <c r="K91" s="394"/>
      <c r="L91" s="394"/>
      <c r="M91" s="394"/>
      <c r="N91" s="394"/>
      <c r="O91" s="394"/>
      <c r="P91" s="394"/>
      <c r="Q91" s="394"/>
      <c r="R91" s="381"/>
      <c r="S91" s="408"/>
      <c r="T91" s="385"/>
      <c r="U91" s="475"/>
      <c r="V91" s="395"/>
      <c r="W91" s="395"/>
      <c r="X91" s="528">
        <v>83</v>
      </c>
      <c r="Y91" s="523">
        <v>15</v>
      </c>
      <c r="Z91" s="393">
        <v>15</v>
      </c>
      <c r="AA91" s="571">
        <v>111.73101</v>
      </c>
      <c r="AB91" s="394">
        <v>77.593289999999996</v>
      </c>
      <c r="AC91" s="394">
        <v>7.3081500000000004</v>
      </c>
      <c r="AD91" s="394">
        <f>12.91294+51.65176</f>
        <v>64.564700000000002</v>
      </c>
      <c r="AE91" s="394">
        <v>16.3218</v>
      </c>
      <c r="AF91" s="394">
        <v>0</v>
      </c>
      <c r="AG91" s="394">
        <v>0</v>
      </c>
      <c r="AH91" s="394">
        <v>8.7593499999999995</v>
      </c>
      <c r="AI91" s="394">
        <v>8.8050000000000003E-2</v>
      </c>
      <c r="AJ91" s="394">
        <v>12.912940000000001</v>
      </c>
      <c r="AK91" s="381" t="s">
        <v>167</v>
      </c>
      <c r="AL91" s="408" t="s">
        <v>175</v>
      </c>
      <c r="AM91" s="385"/>
      <c r="AN91" s="475">
        <v>93</v>
      </c>
      <c r="AO91" s="395">
        <f t="shared" si="49"/>
        <v>1346.1567469879519</v>
      </c>
      <c r="AP91" s="395">
        <f t="shared" si="50"/>
        <v>7.448734</v>
      </c>
      <c r="AQ91" s="528"/>
      <c r="AR91" s="523"/>
      <c r="AS91" s="393"/>
      <c r="AT91" s="571"/>
      <c r="AU91" s="394"/>
      <c r="AV91" s="394"/>
      <c r="AW91" s="394"/>
      <c r="AX91" s="394"/>
      <c r="AY91" s="394"/>
      <c r="AZ91" s="394"/>
      <c r="BA91" s="394"/>
      <c r="BB91" s="394"/>
      <c r="BC91" s="394"/>
      <c r="BD91" s="381"/>
      <c r="BE91" s="408"/>
      <c r="BF91" s="385"/>
      <c r="BG91" s="475"/>
      <c r="BH91" s="395" t="e">
        <f t="shared" si="16"/>
        <v>#DIV/0!</v>
      </c>
      <c r="BI91" s="395" t="e">
        <f t="shared" si="17"/>
        <v>#DIV/0!</v>
      </c>
    </row>
    <row r="92" spans="1:61" s="358" customFormat="1" ht="19.2" x14ac:dyDescent="0.3">
      <c r="A92" s="359" t="s">
        <v>355</v>
      </c>
      <c r="B92" s="572" t="s">
        <v>2463</v>
      </c>
      <c r="C92" s="546" t="s">
        <v>2462</v>
      </c>
      <c r="D92" s="360">
        <v>0.4</v>
      </c>
      <c r="E92" s="528"/>
      <c r="F92" s="523"/>
      <c r="G92" s="393"/>
      <c r="H92" s="571"/>
      <c r="I92" s="394"/>
      <c r="J92" s="394"/>
      <c r="K92" s="394"/>
      <c r="L92" s="394"/>
      <c r="M92" s="394"/>
      <c r="N92" s="394"/>
      <c r="O92" s="394"/>
      <c r="P92" s="394"/>
      <c r="Q92" s="394"/>
      <c r="R92" s="381"/>
      <c r="S92" s="408"/>
      <c r="T92" s="385"/>
      <c r="U92" s="475"/>
      <c r="V92" s="395"/>
      <c r="W92" s="395"/>
      <c r="X92" s="528">
        <v>372</v>
      </c>
      <c r="Y92" s="523">
        <v>15</v>
      </c>
      <c r="Z92" s="393">
        <v>15</v>
      </c>
      <c r="AA92" s="571">
        <v>202.41378</v>
      </c>
      <c r="AB92" s="394">
        <v>137.47639000000001</v>
      </c>
      <c r="AC92" s="394">
        <v>22.751519999999999</v>
      </c>
      <c r="AD92" s="394">
        <v>100.44416</v>
      </c>
      <c r="AE92" s="394">
        <v>29.522760000000002</v>
      </c>
      <c r="AF92" s="394">
        <v>0</v>
      </c>
      <c r="AG92" s="394">
        <v>0</v>
      </c>
      <c r="AH92" s="394">
        <v>17.365970000000001</v>
      </c>
      <c r="AI92" s="394">
        <v>6.1159999999999999E-2</v>
      </c>
      <c r="AJ92" s="394">
        <v>12.55552</v>
      </c>
      <c r="AK92" s="381" t="s">
        <v>167</v>
      </c>
      <c r="AL92" s="408" t="s">
        <v>175</v>
      </c>
      <c r="AM92" s="385"/>
      <c r="AN92" s="475">
        <v>95</v>
      </c>
      <c r="AO92" s="395">
        <f t="shared" ref="AO92" si="51">AA92/X92*1000</f>
        <v>544.12306451612903</v>
      </c>
      <c r="AP92" s="395">
        <f t="shared" ref="AP92" si="52">AA92/Y92</f>
        <v>13.494251999999999</v>
      </c>
      <c r="AQ92" s="528"/>
      <c r="AR92" s="523"/>
      <c r="AS92" s="393"/>
      <c r="AT92" s="571"/>
      <c r="AU92" s="394"/>
      <c r="AV92" s="394"/>
      <c r="AW92" s="394"/>
      <c r="AX92" s="394"/>
      <c r="AY92" s="394"/>
      <c r="AZ92" s="394"/>
      <c r="BA92" s="394"/>
      <c r="BB92" s="394"/>
      <c r="BC92" s="394"/>
      <c r="BD92" s="381"/>
      <c r="BE92" s="408"/>
      <c r="BF92" s="385"/>
      <c r="BG92" s="475"/>
      <c r="BH92" s="395" t="e">
        <f t="shared" si="16"/>
        <v>#DIV/0!</v>
      </c>
      <c r="BI92" s="395" t="e">
        <f t="shared" si="17"/>
        <v>#DIV/0!</v>
      </c>
    </row>
    <row r="93" spans="1:61" s="358" customFormat="1" ht="19.2" x14ac:dyDescent="0.3">
      <c r="A93" s="359" t="s">
        <v>356</v>
      </c>
      <c r="B93" s="572" t="s">
        <v>294</v>
      </c>
      <c r="C93" s="546" t="s">
        <v>2464</v>
      </c>
      <c r="D93" s="360">
        <v>0.4</v>
      </c>
      <c r="E93" s="528"/>
      <c r="F93" s="523"/>
      <c r="G93" s="393"/>
      <c r="H93" s="571"/>
      <c r="I93" s="394"/>
      <c r="J93" s="394"/>
      <c r="K93" s="394"/>
      <c r="L93" s="394"/>
      <c r="M93" s="394"/>
      <c r="N93" s="394"/>
      <c r="O93" s="394"/>
      <c r="P93" s="394"/>
      <c r="Q93" s="394"/>
      <c r="R93" s="381"/>
      <c r="S93" s="408"/>
      <c r="T93" s="385"/>
      <c r="U93" s="475"/>
      <c r="V93" s="395"/>
      <c r="W93" s="395"/>
      <c r="X93" s="528">
        <v>63</v>
      </c>
      <c r="Y93" s="523">
        <v>2</v>
      </c>
      <c r="Z93" s="393">
        <v>2</v>
      </c>
      <c r="AA93" s="571">
        <v>47.589979999999997</v>
      </c>
      <c r="AB93" s="394">
        <v>33.668979999999998</v>
      </c>
      <c r="AC93" s="394">
        <v>5.5471500000000002</v>
      </c>
      <c r="AD93" s="394">
        <v>26.197839999999999</v>
      </c>
      <c r="AE93" s="394">
        <v>7.4093299999999997</v>
      </c>
      <c r="AF93" s="394">
        <v>0</v>
      </c>
      <c r="AG93" s="394">
        <v>0</v>
      </c>
      <c r="AH93" s="394">
        <v>2.0833599999999999</v>
      </c>
      <c r="AI93" s="394">
        <v>8.8050000000000003E-2</v>
      </c>
      <c r="AJ93" s="394">
        <v>13.09892</v>
      </c>
      <c r="AK93" s="381" t="s">
        <v>167</v>
      </c>
      <c r="AL93" s="408" t="s">
        <v>175</v>
      </c>
      <c r="AM93" s="385"/>
      <c r="AN93" s="475">
        <v>97</v>
      </c>
      <c r="AO93" s="395">
        <f t="shared" ref="AO93:AO96" si="53">AA93/X93*1000</f>
        <v>755.39650793650787</v>
      </c>
      <c r="AP93" s="395">
        <f t="shared" ref="AP93:AP96" si="54">AA93/Y93</f>
        <v>23.794989999999999</v>
      </c>
      <c r="AQ93" s="528"/>
      <c r="AR93" s="523"/>
      <c r="AS93" s="393"/>
      <c r="AT93" s="571"/>
      <c r="AU93" s="394"/>
      <c r="AV93" s="394"/>
      <c r="AW93" s="394"/>
      <c r="AX93" s="394"/>
      <c r="AY93" s="394"/>
      <c r="AZ93" s="394"/>
      <c r="BA93" s="394"/>
      <c r="BB93" s="394"/>
      <c r="BC93" s="394"/>
      <c r="BD93" s="381"/>
      <c r="BE93" s="408"/>
      <c r="BF93" s="385"/>
      <c r="BG93" s="475"/>
      <c r="BH93" s="395" t="e">
        <f t="shared" si="16"/>
        <v>#DIV/0!</v>
      </c>
      <c r="BI93" s="395" t="e">
        <f t="shared" si="17"/>
        <v>#DIV/0!</v>
      </c>
    </row>
    <row r="94" spans="1:61" s="358" customFormat="1" ht="19.2" x14ac:dyDescent="0.3">
      <c r="A94" s="359" t="s">
        <v>357</v>
      </c>
      <c r="B94" s="572" t="s">
        <v>2466</v>
      </c>
      <c r="C94" s="546" t="s">
        <v>2465</v>
      </c>
      <c r="D94" s="360">
        <v>0.4</v>
      </c>
      <c r="E94" s="528"/>
      <c r="F94" s="523"/>
      <c r="G94" s="393"/>
      <c r="H94" s="571"/>
      <c r="I94" s="394"/>
      <c r="J94" s="394"/>
      <c r="K94" s="394"/>
      <c r="L94" s="394"/>
      <c r="M94" s="394"/>
      <c r="N94" s="394"/>
      <c r="O94" s="394"/>
      <c r="P94" s="394"/>
      <c r="Q94" s="394"/>
      <c r="R94" s="381"/>
      <c r="S94" s="408"/>
      <c r="T94" s="385"/>
      <c r="U94" s="475"/>
      <c r="V94" s="395"/>
      <c r="W94" s="395"/>
      <c r="X94" s="528">
        <v>62</v>
      </c>
      <c r="Y94" s="523">
        <v>15</v>
      </c>
      <c r="Z94" s="393">
        <v>15</v>
      </c>
      <c r="AA94" s="571">
        <v>49.204940000000001</v>
      </c>
      <c r="AB94" s="394">
        <v>35.358220000000003</v>
      </c>
      <c r="AC94" s="394">
        <v>5.4591000000000003</v>
      </c>
      <c r="AD94" s="394">
        <v>25.896439999999998</v>
      </c>
      <c r="AE94" s="394">
        <v>7.3705600000000002</v>
      </c>
      <c r="AF94" s="394">
        <v>0</v>
      </c>
      <c r="AG94" s="394">
        <v>0</v>
      </c>
      <c r="AH94" s="394">
        <v>2.0716700000000001</v>
      </c>
      <c r="AI94" s="394">
        <v>8.8050000000000003E-2</v>
      </c>
      <c r="AJ94" s="394">
        <v>12.948219999999999</v>
      </c>
      <c r="AK94" s="381" t="s">
        <v>167</v>
      </c>
      <c r="AL94" s="408" t="s">
        <v>175</v>
      </c>
      <c r="AM94" s="385"/>
      <c r="AN94" s="475">
        <v>99</v>
      </c>
      <c r="AO94" s="395">
        <f t="shared" si="53"/>
        <v>793.62806451612903</v>
      </c>
      <c r="AP94" s="395">
        <f t="shared" si="54"/>
        <v>3.2803293333333334</v>
      </c>
      <c r="AQ94" s="528"/>
      <c r="AR94" s="523"/>
      <c r="AS94" s="393"/>
      <c r="AT94" s="571"/>
      <c r="AU94" s="394"/>
      <c r="AV94" s="394"/>
      <c r="AW94" s="394"/>
      <c r="AX94" s="394"/>
      <c r="AY94" s="394"/>
      <c r="AZ94" s="394"/>
      <c r="BA94" s="394"/>
      <c r="BB94" s="394"/>
      <c r="BC94" s="394"/>
      <c r="BD94" s="381"/>
      <c r="BE94" s="408"/>
      <c r="BF94" s="385"/>
      <c r="BG94" s="475"/>
      <c r="BH94" s="395" t="e">
        <f t="shared" si="16"/>
        <v>#DIV/0!</v>
      </c>
      <c r="BI94" s="395" t="e">
        <f t="shared" si="17"/>
        <v>#DIV/0!</v>
      </c>
    </row>
    <row r="95" spans="1:61" s="358" customFormat="1" ht="19.2" x14ac:dyDescent="0.3">
      <c r="A95" s="359" t="s">
        <v>358</v>
      </c>
      <c r="B95" s="572" t="s">
        <v>2468</v>
      </c>
      <c r="C95" s="546" t="s">
        <v>2467</v>
      </c>
      <c r="D95" s="360">
        <v>0.4</v>
      </c>
      <c r="E95" s="528"/>
      <c r="F95" s="523"/>
      <c r="G95" s="393"/>
      <c r="H95" s="571"/>
      <c r="I95" s="394"/>
      <c r="J95" s="394"/>
      <c r="K95" s="394"/>
      <c r="L95" s="394"/>
      <c r="M95" s="394"/>
      <c r="N95" s="394"/>
      <c r="O95" s="394"/>
      <c r="P95" s="394"/>
      <c r="Q95" s="394"/>
      <c r="R95" s="381"/>
      <c r="S95" s="408"/>
      <c r="T95" s="385"/>
      <c r="U95" s="475"/>
      <c r="V95" s="395"/>
      <c r="W95" s="395"/>
      <c r="X95" s="528">
        <v>27</v>
      </c>
      <c r="Y95" s="523">
        <v>15</v>
      </c>
      <c r="Z95" s="393">
        <v>15</v>
      </c>
      <c r="AA95" s="571">
        <v>24.668749999999999</v>
      </c>
      <c r="AB95" s="394">
        <v>17.02094</v>
      </c>
      <c r="AC95" s="394">
        <v>2.3773499999999999</v>
      </c>
      <c r="AD95" s="394">
        <v>13.003220000000001</v>
      </c>
      <c r="AE95" s="394">
        <v>3.2536</v>
      </c>
      <c r="AF95" s="394">
        <v>0</v>
      </c>
      <c r="AG95" s="394">
        <v>0</v>
      </c>
      <c r="AH95" s="394">
        <v>2.0106600000000001</v>
      </c>
      <c r="AI95" s="394">
        <v>8.8050000000000003E-2</v>
      </c>
      <c r="AJ95" s="394">
        <v>13.003220000000001</v>
      </c>
      <c r="AK95" s="381" t="s">
        <v>167</v>
      </c>
      <c r="AL95" s="408" t="s">
        <v>175</v>
      </c>
      <c r="AM95" s="385"/>
      <c r="AN95" s="475">
        <v>101</v>
      </c>
      <c r="AO95" s="395">
        <f t="shared" si="53"/>
        <v>913.65740740740739</v>
      </c>
      <c r="AP95" s="395">
        <f t="shared" si="54"/>
        <v>1.6445833333333333</v>
      </c>
      <c r="AQ95" s="528"/>
      <c r="AR95" s="523"/>
      <c r="AS95" s="393"/>
      <c r="AT95" s="571"/>
      <c r="AU95" s="394"/>
      <c r="AV95" s="394"/>
      <c r="AW95" s="394"/>
      <c r="AX95" s="394"/>
      <c r="AY95" s="394"/>
      <c r="AZ95" s="394"/>
      <c r="BA95" s="394"/>
      <c r="BB95" s="394"/>
      <c r="BC95" s="394"/>
      <c r="BD95" s="381"/>
      <c r="BE95" s="408"/>
      <c r="BF95" s="385"/>
      <c r="BG95" s="475"/>
      <c r="BH95" s="395" t="e">
        <f t="shared" si="16"/>
        <v>#DIV/0!</v>
      </c>
      <c r="BI95" s="395" t="e">
        <f t="shared" si="17"/>
        <v>#DIV/0!</v>
      </c>
    </row>
    <row r="96" spans="1:61" s="358" customFormat="1" ht="19.2" x14ac:dyDescent="0.3">
      <c r="A96" s="359" t="s">
        <v>359</v>
      </c>
      <c r="B96" s="572" t="s">
        <v>2470</v>
      </c>
      <c r="C96" s="546" t="s">
        <v>2469</v>
      </c>
      <c r="D96" s="360">
        <v>0.4</v>
      </c>
      <c r="E96" s="528"/>
      <c r="F96" s="523"/>
      <c r="G96" s="393"/>
      <c r="H96" s="571"/>
      <c r="I96" s="394"/>
      <c r="J96" s="394"/>
      <c r="K96" s="394"/>
      <c r="L96" s="394"/>
      <c r="M96" s="394"/>
      <c r="N96" s="394"/>
      <c r="O96" s="394"/>
      <c r="P96" s="394"/>
      <c r="Q96" s="394"/>
      <c r="R96" s="381"/>
      <c r="S96" s="408"/>
      <c r="T96" s="385"/>
      <c r="U96" s="475"/>
      <c r="V96" s="395"/>
      <c r="W96" s="395"/>
      <c r="X96" s="528">
        <v>30</v>
      </c>
      <c r="Y96" s="523">
        <v>15</v>
      </c>
      <c r="Z96" s="393">
        <v>15</v>
      </c>
      <c r="AA96" s="571">
        <v>26.835090000000001</v>
      </c>
      <c r="AB96" s="394">
        <v>18.760470000000002</v>
      </c>
      <c r="AC96" s="394">
        <v>2.6415000000000002</v>
      </c>
      <c r="AD96" s="394">
        <v>14.017110000000001</v>
      </c>
      <c r="AE96" s="394">
        <v>3.8142299999999998</v>
      </c>
      <c r="AF96" s="394">
        <v>0</v>
      </c>
      <c r="AG96" s="394">
        <v>0</v>
      </c>
      <c r="AH96" s="394">
        <v>2.0819700000000001</v>
      </c>
      <c r="AI96" s="394">
        <v>8.8050000000000003E-2</v>
      </c>
      <c r="AJ96" s="394">
        <v>14.017110000000001</v>
      </c>
      <c r="AK96" s="381" t="s">
        <v>167</v>
      </c>
      <c r="AL96" s="408" t="s">
        <v>175</v>
      </c>
      <c r="AM96" s="385"/>
      <c r="AN96" s="475">
        <v>103</v>
      </c>
      <c r="AO96" s="395">
        <f t="shared" si="53"/>
        <v>894.50300000000004</v>
      </c>
      <c r="AP96" s="395">
        <f t="shared" si="54"/>
        <v>1.7890060000000001</v>
      </c>
      <c r="AQ96" s="528"/>
      <c r="AR96" s="523"/>
      <c r="AS96" s="393"/>
      <c r="AT96" s="571"/>
      <c r="AU96" s="394"/>
      <c r="AV96" s="394"/>
      <c r="AW96" s="394"/>
      <c r="AX96" s="394"/>
      <c r="AY96" s="394"/>
      <c r="AZ96" s="394"/>
      <c r="BA96" s="394"/>
      <c r="BB96" s="394"/>
      <c r="BC96" s="394"/>
      <c r="BD96" s="381"/>
      <c r="BE96" s="408"/>
      <c r="BF96" s="385"/>
      <c r="BG96" s="475"/>
      <c r="BH96" s="395" t="e">
        <f t="shared" si="16"/>
        <v>#DIV/0!</v>
      </c>
      <c r="BI96" s="395" t="e">
        <f t="shared" si="17"/>
        <v>#DIV/0!</v>
      </c>
    </row>
    <row r="97" spans="1:61" s="358" customFormat="1" ht="19.2" x14ac:dyDescent="0.3">
      <c r="A97" s="359" t="s">
        <v>360</v>
      </c>
      <c r="B97" s="572" t="s">
        <v>2472</v>
      </c>
      <c r="C97" s="583" t="s">
        <v>2471</v>
      </c>
      <c r="D97" s="360">
        <v>0.4</v>
      </c>
      <c r="E97" s="528"/>
      <c r="F97" s="523"/>
      <c r="G97" s="393"/>
      <c r="H97" s="571"/>
      <c r="I97" s="394"/>
      <c r="J97" s="394"/>
      <c r="K97" s="394"/>
      <c r="L97" s="394"/>
      <c r="M97" s="394"/>
      <c r="N97" s="394"/>
      <c r="O97" s="394"/>
      <c r="P97" s="394"/>
      <c r="Q97" s="394"/>
      <c r="R97" s="381"/>
      <c r="S97" s="408"/>
      <c r="T97" s="385"/>
      <c r="U97" s="475"/>
      <c r="V97" s="395"/>
      <c r="W97" s="395"/>
      <c r="X97" s="528">
        <v>30</v>
      </c>
      <c r="Y97" s="523">
        <v>15</v>
      </c>
      <c r="Z97" s="393">
        <v>15</v>
      </c>
      <c r="AA97" s="571">
        <v>26.835090000000001</v>
      </c>
      <c r="AB97" s="394">
        <v>18.760470000000002</v>
      </c>
      <c r="AC97" s="394">
        <v>2.6415000000000002</v>
      </c>
      <c r="AD97" s="394">
        <v>14.017110000000001</v>
      </c>
      <c r="AE97" s="394">
        <v>3.8142299999999998</v>
      </c>
      <c r="AF97" s="394">
        <v>0</v>
      </c>
      <c r="AG97" s="394">
        <v>0</v>
      </c>
      <c r="AH97" s="394">
        <v>2.0819700000000001</v>
      </c>
      <c r="AI97" s="394">
        <v>8.8050000000000003E-2</v>
      </c>
      <c r="AJ97" s="394">
        <v>14.017110000000001</v>
      </c>
      <c r="AK97" s="381" t="s">
        <v>167</v>
      </c>
      <c r="AL97" s="408" t="s">
        <v>175</v>
      </c>
      <c r="AM97" s="385"/>
      <c r="AN97" s="475">
        <v>105</v>
      </c>
      <c r="AO97" s="395">
        <f t="shared" si="49"/>
        <v>894.50300000000004</v>
      </c>
      <c r="AP97" s="395">
        <f t="shared" si="50"/>
        <v>1.7890060000000001</v>
      </c>
      <c r="AQ97" s="528"/>
      <c r="AR97" s="523"/>
      <c r="AS97" s="393"/>
      <c r="AT97" s="571"/>
      <c r="AU97" s="394"/>
      <c r="AV97" s="394"/>
      <c r="AW97" s="394"/>
      <c r="AX97" s="394"/>
      <c r="AY97" s="394"/>
      <c r="AZ97" s="394"/>
      <c r="BA97" s="394"/>
      <c r="BB97" s="394"/>
      <c r="BC97" s="394"/>
      <c r="BD97" s="381"/>
      <c r="BE97" s="408"/>
      <c r="BF97" s="385"/>
      <c r="BG97" s="475"/>
      <c r="BH97" s="395" t="e">
        <f t="shared" si="16"/>
        <v>#DIV/0!</v>
      </c>
      <c r="BI97" s="395" t="e">
        <f t="shared" si="17"/>
        <v>#DIV/0!</v>
      </c>
    </row>
    <row r="98" spans="1:61" s="358" customFormat="1" ht="19.2" x14ac:dyDescent="0.3">
      <c r="A98" s="359" t="s">
        <v>361</v>
      </c>
      <c r="B98" s="572" t="s">
        <v>2474</v>
      </c>
      <c r="C98" s="583" t="s">
        <v>2473</v>
      </c>
      <c r="D98" s="360">
        <v>0.4</v>
      </c>
      <c r="E98" s="528"/>
      <c r="F98" s="523"/>
      <c r="G98" s="393"/>
      <c r="H98" s="571"/>
      <c r="I98" s="394"/>
      <c r="J98" s="394"/>
      <c r="K98" s="394"/>
      <c r="L98" s="394"/>
      <c r="M98" s="394"/>
      <c r="N98" s="394"/>
      <c r="O98" s="394"/>
      <c r="P98" s="394"/>
      <c r="Q98" s="394"/>
      <c r="R98" s="381"/>
      <c r="S98" s="408"/>
      <c r="T98" s="385"/>
      <c r="U98" s="475"/>
      <c r="V98" s="395"/>
      <c r="W98" s="395"/>
      <c r="X98" s="528">
        <v>70</v>
      </c>
      <c r="Y98" s="523">
        <v>15</v>
      </c>
      <c r="Z98" s="393">
        <v>15</v>
      </c>
      <c r="AA98" s="571">
        <v>15.48889</v>
      </c>
      <c r="AB98" s="394">
        <v>9.2310099999999995</v>
      </c>
      <c r="AC98" s="394">
        <v>6.1635</v>
      </c>
      <c r="AD98" s="394"/>
      <c r="AE98" s="394">
        <v>2.8940600000000001</v>
      </c>
      <c r="AF98" s="394">
        <v>0</v>
      </c>
      <c r="AG98" s="394">
        <v>0</v>
      </c>
      <c r="AH98" s="394">
        <v>1.6962999999999999</v>
      </c>
      <c r="AI98" s="394">
        <v>8.8050000000000003E-2</v>
      </c>
      <c r="AJ98" s="394"/>
      <c r="AK98" s="381" t="s">
        <v>167</v>
      </c>
      <c r="AL98" s="408" t="s">
        <v>175</v>
      </c>
      <c r="AM98" s="385"/>
      <c r="AN98" s="475">
        <v>107</v>
      </c>
      <c r="AO98" s="395">
        <f t="shared" ref="AO98:AO101" si="55">AA98/X98*1000</f>
        <v>221.26985714285712</v>
      </c>
      <c r="AP98" s="395">
        <f t="shared" ref="AP98:AP101" si="56">AA98/Y98</f>
        <v>1.0325926666666667</v>
      </c>
      <c r="AQ98" s="528"/>
      <c r="AR98" s="523"/>
      <c r="AS98" s="393"/>
      <c r="AT98" s="571"/>
      <c r="AU98" s="394"/>
      <c r="AV98" s="394"/>
      <c r="AW98" s="394"/>
      <c r="AX98" s="394"/>
      <c r="AY98" s="394"/>
      <c r="AZ98" s="394"/>
      <c r="BA98" s="394"/>
      <c r="BB98" s="394"/>
      <c r="BC98" s="394"/>
      <c r="BD98" s="381"/>
      <c r="BE98" s="408"/>
      <c r="BF98" s="385"/>
      <c r="BG98" s="475"/>
      <c r="BH98" s="395" t="e">
        <f t="shared" si="16"/>
        <v>#DIV/0!</v>
      </c>
      <c r="BI98" s="395" t="e">
        <f t="shared" si="17"/>
        <v>#DIV/0!</v>
      </c>
    </row>
    <row r="99" spans="1:61" s="358" customFormat="1" ht="19.2" x14ac:dyDescent="0.3">
      <c r="A99" s="359" t="s">
        <v>362</v>
      </c>
      <c r="B99" s="572" t="s">
        <v>2476</v>
      </c>
      <c r="C99" s="583" t="s">
        <v>2475</v>
      </c>
      <c r="D99" s="360">
        <v>0.4</v>
      </c>
      <c r="E99" s="528"/>
      <c r="F99" s="523"/>
      <c r="G99" s="393"/>
      <c r="H99" s="571"/>
      <c r="I99" s="394"/>
      <c r="J99" s="394"/>
      <c r="K99" s="394"/>
      <c r="L99" s="394"/>
      <c r="M99" s="394"/>
      <c r="N99" s="394"/>
      <c r="O99" s="394"/>
      <c r="P99" s="394"/>
      <c r="Q99" s="394"/>
      <c r="R99" s="381"/>
      <c r="S99" s="408"/>
      <c r="T99" s="385"/>
      <c r="U99" s="475"/>
      <c r="V99" s="395"/>
      <c r="W99" s="395"/>
      <c r="X99" s="528">
        <v>42</v>
      </c>
      <c r="Y99" s="523">
        <v>15</v>
      </c>
      <c r="Z99" s="393">
        <v>15</v>
      </c>
      <c r="AA99" s="571">
        <v>28.708580000000001</v>
      </c>
      <c r="AB99" s="394">
        <v>19.56672</v>
      </c>
      <c r="AC99" s="394">
        <v>3.6981000000000002</v>
      </c>
      <c r="AD99" s="394">
        <v>14.017160000000001</v>
      </c>
      <c r="AE99" s="394">
        <v>4.3103600000000002</v>
      </c>
      <c r="AF99" s="394">
        <v>0</v>
      </c>
      <c r="AG99" s="394">
        <v>0</v>
      </c>
      <c r="AH99" s="394">
        <v>2.3672200000000001</v>
      </c>
      <c r="AI99" s="394">
        <v>8.8050000000000003E-2</v>
      </c>
      <c r="AJ99" s="394">
        <v>14.017160000000001</v>
      </c>
      <c r="AK99" s="381" t="s">
        <v>167</v>
      </c>
      <c r="AL99" s="408" t="s">
        <v>175</v>
      </c>
      <c r="AM99" s="385"/>
      <c r="AN99" s="475">
        <v>108</v>
      </c>
      <c r="AO99" s="395">
        <f t="shared" si="55"/>
        <v>683.53761904761916</v>
      </c>
      <c r="AP99" s="395">
        <f t="shared" si="56"/>
        <v>1.9139053333333333</v>
      </c>
      <c r="AQ99" s="528"/>
      <c r="AR99" s="523"/>
      <c r="AS99" s="393"/>
      <c r="AT99" s="571"/>
      <c r="AU99" s="394"/>
      <c r="AV99" s="394"/>
      <c r="AW99" s="394"/>
      <c r="AX99" s="394"/>
      <c r="AY99" s="394"/>
      <c r="AZ99" s="394"/>
      <c r="BA99" s="394"/>
      <c r="BB99" s="394"/>
      <c r="BC99" s="394"/>
      <c r="BD99" s="381"/>
      <c r="BE99" s="408"/>
      <c r="BF99" s="385"/>
      <c r="BG99" s="475"/>
      <c r="BH99" s="395" t="e">
        <f t="shared" si="16"/>
        <v>#DIV/0!</v>
      </c>
      <c r="BI99" s="395" t="e">
        <f t="shared" si="17"/>
        <v>#DIV/0!</v>
      </c>
    </row>
    <row r="100" spans="1:61" s="358" customFormat="1" ht="19.2" x14ac:dyDescent="0.3">
      <c r="A100" s="359" t="s">
        <v>363</v>
      </c>
      <c r="B100" s="572" t="s">
        <v>2478</v>
      </c>
      <c r="C100" s="583" t="s">
        <v>2477</v>
      </c>
      <c r="D100" s="360">
        <v>0.4</v>
      </c>
      <c r="E100" s="528"/>
      <c r="F100" s="523"/>
      <c r="G100" s="393"/>
      <c r="H100" s="571"/>
      <c r="I100" s="394"/>
      <c r="J100" s="394"/>
      <c r="K100" s="394"/>
      <c r="L100" s="394"/>
      <c r="M100" s="394"/>
      <c r="N100" s="394"/>
      <c r="O100" s="394"/>
      <c r="P100" s="394"/>
      <c r="Q100" s="394"/>
      <c r="R100" s="381"/>
      <c r="S100" s="408"/>
      <c r="T100" s="385"/>
      <c r="U100" s="475"/>
      <c r="V100" s="395"/>
      <c r="W100" s="395"/>
      <c r="X100" s="528">
        <v>28</v>
      </c>
      <c r="Y100" s="523">
        <v>15</v>
      </c>
      <c r="Z100" s="393">
        <v>15</v>
      </c>
      <c r="AA100" s="571">
        <v>26.308509999999998</v>
      </c>
      <c r="AB100" s="394">
        <v>18.411750000000001</v>
      </c>
      <c r="AC100" s="394">
        <v>2.4653999999999998</v>
      </c>
      <c r="AD100" s="394">
        <v>14.017110000000001</v>
      </c>
      <c r="AE100" s="394">
        <v>3.7315499999999999</v>
      </c>
      <c r="AF100" s="394">
        <v>0</v>
      </c>
      <c r="AG100" s="394">
        <v>0</v>
      </c>
      <c r="AH100" s="394">
        <v>2.03443</v>
      </c>
      <c r="AI100" s="394">
        <v>8.8050000000000003E-2</v>
      </c>
      <c r="AJ100" s="394">
        <v>14.017110000000001</v>
      </c>
      <c r="AK100" s="381" t="s">
        <v>167</v>
      </c>
      <c r="AL100" s="408" t="s">
        <v>175</v>
      </c>
      <c r="AM100" s="385"/>
      <c r="AN100" s="475">
        <v>110</v>
      </c>
      <c r="AO100" s="395">
        <f t="shared" si="55"/>
        <v>939.58964285714274</v>
      </c>
      <c r="AP100" s="395">
        <f t="shared" si="56"/>
        <v>1.7539006666666666</v>
      </c>
      <c r="AQ100" s="528"/>
      <c r="AR100" s="523"/>
      <c r="AS100" s="393"/>
      <c r="AT100" s="571"/>
      <c r="AU100" s="394"/>
      <c r="AV100" s="394"/>
      <c r="AW100" s="394"/>
      <c r="AX100" s="394"/>
      <c r="AY100" s="394"/>
      <c r="AZ100" s="394"/>
      <c r="BA100" s="394"/>
      <c r="BB100" s="394"/>
      <c r="BC100" s="394"/>
      <c r="BD100" s="381"/>
      <c r="BE100" s="408"/>
      <c r="BF100" s="385"/>
      <c r="BG100" s="475"/>
      <c r="BH100" s="395" t="e">
        <f t="shared" si="16"/>
        <v>#DIV/0!</v>
      </c>
      <c r="BI100" s="395" t="e">
        <f t="shared" si="17"/>
        <v>#DIV/0!</v>
      </c>
    </row>
    <row r="101" spans="1:61" s="358" customFormat="1" ht="19.2" x14ac:dyDescent="0.3">
      <c r="A101" s="359" t="s">
        <v>364</v>
      </c>
      <c r="B101" s="572" t="s">
        <v>2480</v>
      </c>
      <c r="C101" s="583" t="s">
        <v>2479</v>
      </c>
      <c r="D101" s="360">
        <v>0.4</v>
      </c>
      <c r="E101" s="528"/>
      <c r="F101" s="523"/>
      <c r="G101" s="393"/>
      <c r="H101" s="571"/>
      <c r="I101" s="394"/>
      <c r="J101" s="394"/>
      <c r="K101" s="394"/>
      <c r="L101" s="394"/>
      <c r="M101" s="394"/>
      <c r="N101" s="394"/>
      <c r="O101" s="394"/>
      <c r="P101" s="394"/>
      <c r="Q101" s="394"/>
      <c r="R101" s="381"/>
      <c r="S101" s="408"/>
      <c r="T101" s="385"/>
      <c r="U101" s="475"/>
      <c r="V101" s="395"/>
      <c r="W101" s="395"/>
      <c r="X101" s="528">
        <v>68</v>
      </c>
      <c r="Y101" s="523">
        <v>15</v>
      </c>
      <c r="Z101" s="393">
        <v>15</v>
      </c>
      <c r="AA101" s="571">
        <v>248.56947</v>
      </c>
      <c r="AB101" s="394">
        <v>181.04281</v>
      </c>
      <c r="AC101" s="394">
        <v>5.9874000000000001</v>
      </c>
      <c r="AD101" s="394">
        <f>56.06864+56.06864</f>
        <v>112.13728</v>
      </c>
      <c r="AE101" s="394">
        <v>32.408209999999997</v>
      </c>
      <c r="AF101" s="394">
        <v>0</v>
      </c>
      <c r="AG101" s="394">
        <v>0</v>
      </c>
      <c r="AH101" s="394">
        <v>17.263549999999999</v>
      </c>
      <c r="AI101" s="394">
        <v>8.8050000000000003E-2</v>
      </c>
      <c r="AJ101" s="394">
        <v>14.017160000000001</v>
      </c>
      <c r="AK101" s="381" t="s">
        <v>167</v>
      </c>
      <c r="AL101" s="408" t="s">
        <v>175</v>
      </c>
      <c r="AM101" s="385"/>
      <c r="AN101" s="475">
        <v>112</v>
      </c>
      <c r="AO101" s="395">
        <f t="shared" si="55"/>
        <v>3655.4333823529414</v>
      </c>
      <c r="AP101" s="395">
        <f t="shared" si="56"/>
        <v>16.571297999999999</v>
      </c>
      <c r="AQ101" s="528"/>
      <c r="AR101" s="523"/>
      <c r="AS101" s="393"/>
      <c r="AT101" s="571"/>
      <c r="AU101" s="394"/>
      <c r="AV101" s="394"/>
      <c r="AW101" s="394"/>
      <c r="AX101" s="394"/>
      <c r="AY101" s="394"/>
      <c r="AZ101" s="394"/>
      <c r="BA101" s="394"/>
      <c r="BB101" s="394"/>
      <c r="BC101" s="394"/>
      <c r="BD101" s="381"/>
      <c r="BE101" s="408"/>
      <c r="BF101" s="385"/>
      <c r="BG101" s="475"/>
      <c r="BH101" s="395" t="e">
        <f t="shared" si="16"/>
        <v>#DIV/0!</v>
      </c>
      <c r="BI101" s="395" t="e">
        <f t="shared" si="17"/>
        <v>#DIV/0!</v>
      </c>
    </row>
    <row r="102" spans="1:61" s="358" customFormat="1" ht="19.2" x14ac:dyDescent="0.3">
      <c r="A102" s="359" t="s">
        <v>365</v>
      </c>
      <c r="B102" s="572" t="s">
        <v>2482</v>
      </c>
      <c r="C102" s="583" t="s">
        <v>2481</v>
      </c>
      <c r="D102" s="360">
        <v>0.4</v>
      </c>
      <c r="E102" s="528"/>
      <c r="F102" s="523"/>
      <c r="G102" s="393"/>
      <c r="H102" s="571"/>
      <c r="I102" s="394"/>
      <c r="J102" s="394"/>
      <c r="K102" s="394"/>
      <c r="L102" s="394"/>
      <c r="M102" s="394"/>
      <c r="N102" s="394"/>
      <c r="O102" s="394"/>
      <c r="P102" s="394"/>
      <c r="Q102" s="394"/>
      <c r="R102" s="381"/>
      <c r="S102" s="408"/>
      <c r="T102" s="385"/>
      <c r="U102" s="475"/>
      <c r="V102" s="395"/>
      <c r="W102" s="395"/>
      <c r="X102" s="528">
        <v>22</v>
      </c>
      <c r="Y102" s="523">
        <v>15</v>
      </c>
      <c r="Z102" s="393">
        <v>15</v>
      </c>
      <c r="AA102" s="571">
        <v>26.04485</v>
      </c>
      <c r="AB102" s="394">
        <v>18.681719999999999</v>
      </c>
      <c r="AC102" s="394">
        <v>1.9371</v>
      </c>
      <c r="AD102" s="394">
        <v>14.286519999999999</v>
      </c>
      <c r="AE102" s="394">
        <v>3.4834800000000001</v>
      </c>
      <c r="AF102" s="394">
        <v>0</v>
      </c>
      <c r="AG102" s="394">
        <v>0</v>
      </c>
      <c r="AH102" s="394">
        <v>1.8917999999999999</v>
      </c>
      <c r="AI102" s="394">
        <v>8.8050000000000003E-2</v>
      </c>
      <c r="AJ102" s="394">
        <v>14.286519999999999</v>
      </c>
      <c r="AK102" s="381" t="s">
        <v>167</v>
      </c>
      <c r="AL102" s="408" t="s">
        <v>175</v>
      </c>
      <c r="AM102" s="385"/>
      <c r="AN102" s="475">
        <v>114</v>
      </c>
      <c r="AO102" s="395">
        <f t="shared" ref="AO102:AO103" si="57">AA102/X102*1000</f>
        <v>1183.8568181818182</v>
      </c>
      <c r="AP102" s="395">
        <f t="shared" ref="AP102:AP103" si="58">AA102/Y102</f>
        <v>1.7363233333333334</v>
      </c>
      <c r="AQ102" s="528"/>
      <c r="AR102" s="523"/>
      <c r="AS102" s="393"/>
      <c r="AT102" s="571"/>
      <c r="AU102" s="394"/>
      <c r="AV102" s="394"/>
      <c r="AW102" s="394"/>
      <c r="AX102" s="394"/>
      <c r="AY102" s="394"/>
      <c r="AZ102" s="394"/>
      <c r="BA102" s="394"/>
      <c r="BB102" s="394"/>
      <c r="BC102" s="394"/>
      <c r="BD102" s="381"/>
      <c r="BE102" s="408"/>
      <c r="BF102" s="385"/>
      <c r="BG102" s="475"/>
      <c r="BH102" s="395" t="e">
        <f t="shared" si="16"/>
        <v>#DIV/0!</v>
      </c>
      <c r="BI102" s="395" t="e">
        <f t="shared" si="17"/>
        <v>#DIV/0!</v>
      </c>
    </row>
    <row r="103" spans="1:61" s="358" customFormat="1" ht="19.2" x14ac:dyDescent="0.3">
      <c r="A103" s="359" t="s">
        <v>366</v>
      </c>
      <c r="B103" s="572" t="s">
        <v>2484</v>
      </c>
      <c r="C103" s="583" t="s">
        <v>2483</v>
      </c>
      <c r="D103" s="360">
        <v>0.4</v>
      </c>
      <c r="E103" s="528"/>
      <c r="F103" s="523"/>
      <c r="G103" s="393"/>
      <c r="H103" s="571"/>
      <c r="I103" s="394"/>
      <c r="J103" s="394"/>
      <c r="K103" s="394"/>
      <c r="L103" s="394"/>
      <c r="M103" s="394"/>
      <c r="N103" s="394"/>
      <c r="O103" s="394"/>
      <c r="P103" s="394"/>
      <c r="Q103" s="394"/>
      <c r="R103" s="381"/>
      <c r="S103" s="408"/>
      <c r="T103" s="385"/>
      <c r="U103" s="475"/>
      <c r="V103" s="395"/>
      <c r="W103" s="395"/>
      <c r="X103" s="528">
        <v>22</v>
      </c>
      <c r="Y103" s="523">
        <v>10</v>
      </c>
      <c r="Z103" s="393">
        <v>10</v>
      </c>
      <c r="AA103" s="571">
        <v>26.04485</v>
      </c>
      <c r="AB103" s="394">
        <v>18.681719999999999</v>
      </c>
      <c r="AC103" s="394">
        <v>1.9371</v>
      </c>
      <c r="AD103" s="394">
        <v>14.286519999999999</v>
      </c>
      <c r="AE103" s="394">
        <v>3.4834800000000001</v>
      </c>
      <c r="AF103" s="394">
        <v>0</v>
      </c>
      <c r="AG103" s="394">
        <v>0</v>
      </c>
      <c r="AH103" s="394">
        <v>1.8917999999999999</v>
      </c>
      <c r="AI103" s="394">
        <v>8.8050000000000003E-2</v>
      </c>
      <c r="AJ103" s="394">
        <v>14.286519999999999</v>
      </c>
      <c r="AK103" s="381" t="s">
        <v>167</v>
      </c>
      <c r="AL103" s="408" t="s">
        <v>175</v>
      </c>
      <c r="AM103" s="385"/>
      <c r="AN103" s="475">
        <v>116</v>
      </c>
      <c r="AO103" s="395">
        <f t="shared" si="57"/>
        <v>1183.8568181818182</v>
      </c>
      <c r="AP103" s="395">
        <f t="shared" si="58"/>
        <v>2.6044849999999999</v>
      </c>
      <c r="AQ103" s="528"/>
      <c r="AR103" s="523"/>
      <c r="AS103" s="393"/>
      <c r="AT103" s="571"/>
      <c r="AU103" s="394"/>
      <c r="AV103" s="394"/>
      <c r="AW103" s="394"/>
      <c r="AX103" s="394"/>
      <c r="AY103" s="394"/>
      <c r="AZ103" s="394"/>
      <c r="BA103" s="394"/>
      <c r="BB103" s="394"/>
      <c r="BC103" s="394"/>
      <c r="BD103" s="381"/>
      <c r="BE103" s="408"/>
      <c r="BF103" s="385"/>
      <c r="BG103" s="475"/>
      <c r="BH103" s="395" t="e">
        <f t="shared" si="16"/>
        <v>#DIV/0!</v>
      </c>
      <c r="BI103" s="395" t="e">
        <f t="shared" si="17"/>
        <v>#DIV/0!</v>
      </c>
    </row>
    <row r="104" spans="1:61" s="358" customFormat="1" ht="19.2" x14ac:dyDescent="0.3">
      <c r="A104" s="359" t="s">
        <v>178</v>
      </c>
      <c r="B104" s="602" t="s">
        <v>4641</v>
      </c>
      <c r="C104" s="601" t="s">
        <v>4638</v>
      </c>
      <c r="D104" s="360">
        <v>0.4</v>
      </c>
      <c r="E104" s="528"/>
      <c r="F104" s="523"/>
      <c r="G104" s="393"/>
      <c r="H104" s="394"/>
      <c r="I104" s="394"/>
      <c r="J104" s="394"/>
      <c r="K104" s="394"/>
      <c r="L104" s="394"/>
      <c r="M104" s="394"/>
      <c r="N104" s="394"/>
      <c r="O104" s="394"/>
      <c r="P104" s="394"/>
      <c r="Q104" s="394"/>
      <c r="R104" s="381"/>
      <c r="S104" s="408"/>
      <c r="T104" s="385"/>
      <c r="U104" s="475"/>
      <c r="V104" s="395"/>
      <c r="W104" s="395"/>
      <c r="X104" s="528"/>
      <c r="Y104" s="523"/>
      <c r="Z104" s="393"/>
      <c r="AA104" s="394"/>
      <c r="AB104" s="394"/>
      <c r="AC104" s="394"/>
      <c r="AD104" s="394"/>
      <c r="AE104" s="394"/>
      <c r="AF104" s="394"/>
      <c r="AG104" s="394"/>
      <c r="AH104" s="394"/>
      <c r="AI104" s="394"/>
      <c r="AJ104" s="394"/>
      <c r="AK104" s="381"/>
      <c r="AL104" s="408"/>
      <c r="AM104" s="385"/>
      <c r="AN104" s="475"/>
      <c r="AO104" s="395"/>
      <c r="AP104" s="395"/>
      <c r="AQ104" s="528">
        <v>136</v>
      </c>
      <c r="AR104" s="523">
        <v>15</v>
      </c>
      <c r="AS104" s="393">
        <v>15</v>
      </c>
      <c r="AT104" s="600">
        <v>28.656700000000001</v>
      </c>
      <c r="AU104" s="394">
        <v>16.539560000000002</v>
      </c>
      <c r="AV104" s="394">
        <v>1.0429999999999999</v>
      </c>
      <c r="AW104" s="394"/>
      <c r="AX104" s="394">
        <v>5.6444700000000001</v>
      </c>
      <c r="AY104" s="394">
        <v>0</v>
      </c>
      <c r="AZ104" s="394">
        <v>0</v>
      </c>
      <c r="BA104" s="394">
        <v>3.23291</v>
      </c>
      <c r="BB104" s="394">
        <v>8.8050000000000003E-2</v>
      </c>
      <c r="BC104" s="394"/>
      <c r="BD104" s="381" t="s">
        <v>167</v>
      </c>
      <c r="BE104" s="408" t="s">
        <v>175</v>
      </c>
      <c r="BF104" s="385"/>
      <c r="BG104" s="475">
        <v>9</v>
      </c>
      <c r="BH104" s="395">
        <f t="shared" ref="BH104:BH126" si="59">AT104/AQ104*1000</f>
        <v>210.71102941176471</v>
      </c>
      <c r="BI104" s="395">
        <f t="shared" ref="BI104:BI126" si="60">AT104/AR104</f>
        <v>1.9104466666666666</v>
      </c>
    </row>
    <row r="105" spans="1:61" s="358" customFormat="1" ht="19.2" x14ac:dyDescent="0.3">
      <c r="A105" s="359" t="s">
        <v>182</v>
      </c>
      <c r="B105" s="602" t="s">
        <v>4642</v>
      </c>
      <c r="C105" s="601" t="s">
        <v>4639</v>
      </c>
      <c r="D105" s="360">
        <v>0.4</v>
      </c>
      <c r="E105" s="528"/>
      <c r="F105" s="523"/>
      <c r="G105" s="393"/>
      <c r="H105" s="394"/>
      <c r="I105" s="394"/>
      <c r="J105" s="394"/>
      <c r="K105" s="394"/>
      <c r="L105" s="394"/>
      <c r="M105" s="394"/>
      <c r="N105" s="394"/>
      <c r="O105" s="394"/>
      <c r="P105" s="394"/>
      <c r="Q105" s="394"/>
      <c r="R105" s="381"/>
      <c r="S105" s="408"/>
      <c r="T105" s="385"/>
      <c r="U105" s="475"/>
      <c r="V105" s="395"/>
      <c r="W105" s="395"/>
      <c r="X105" s="528"/>
      <c r="Y105" s="523"/>
      <c r="Z105" s="393"/>
      <c r="AA105" s="394"/>
      <c r="AB105" s="394"/>
      <c r="AC105" s="394"/>
      <c r="AD105" s="394"/>
      <c r="AE105" s="394"/>
      <c r="AF105" s="394"/>
      <c r="AG105" s="394"/>
      <c r="AH105" s="394"/>
      <c r="AI105" s="394"/>
      <c r="AJ105" s="394"/>
      <c r="AK105" s="381"/>
      <c r="AL105" s="408"/>
      <c r="AM105" s="385"/>
      <c r="AN105" s="475"/>
      <c r="AO105" s="395"/>
      <c r="AP105" s="395"/>
      <c r="AQ105" s="528">
        <v>63</v>
      </c>
      <c r="AR105" s="523">
        <v>15</v>
      </c>
      <c r="AS105" s="393">
        <v>15</v>
      </c>
      <c r="AT105" s="600">
        <v>54.35868</v>
      </c>
      <c r="AU105" s="394">
        <v>37.618549999999999</v>
      </c>
      <c r="AV105" s="394">
        <v>5.5471500000000002</v>
      </c>
      <c r="AW105" s="394">
        <v>28.574999999999999</v>
      </c>
      <c r="AX105" s="394">
        <v>8.0765600000000006</v>
      </c>
      <c r="AY105" s="394">
        <v>0</v>
      </c>
      <c r="AZ105" s="394">
        <v>0</v>
      </c>
      <c r="BA105" s="394">
        <v>4.2352600000000002</v>
      </c>
      <c r="BB105" s="394">
        <v>8.8050000000000003E-2</v>
      </c>
      <c r="BC105" s="394">
        <v>14.2875</v>
      </c>
      <c r="BD105" s="381" t="s">
        <v>167</v>
      </c>
      <c r="BE105" s="408" t="s">
        <v>175</v>
      </c>
      <c r="BF105" s="385"/>
      <c r="BG105" s="475">
        <v>10</v>
      </c>
      <c r="BH105" s="395">
        <f t="shared" si="59"/>
        <v>862.83619047619038</v>
      </c>
      <c r="BI105" s="395">
        <f t="shared" si="60"/>
        <v>3.6239119999999998</v>
      </c>
    </row>
    <row r="106" spans="1:61" s="358" customFormat="1" ht="19.2" x14ac:dyDescent="0.3">
      <c r="A106" s="359" t="s">
        <v>184</v>
      </c>
      <c r="B106" s="602" t="s">
        <v>4656</v>
      </c>
      <c r="C106" s="601" t="s">
        <v>4655</v>
      </c>
      <c r="D106" s="360">
        <v>0.4</v>
      </c>
      <c r="E106" s="528"/>
      <c r="F106" s="523"/>
      <c r="G106" s="393"/>
      <c r="H106" s="394"/>
      <c r="I106" s="394"/>
      <c r="J106" s="394"/>
      <c r="K106" s="394"/>
      <c r="L106" s="394"/>
      <c r="M106" s="394"/>
      <c r="N106" s="394"/>
      <c r="O106" s="394"/>
      <c r="P106" s="394"/>
      <c r="Q106" s="394"/>
      <c r="R106" s="381"/>
      <c r="S106" s="408"/>
      <c r="T106" s="385"/>
      <c r="U106" s="475"/>
      <c r="V106" s="395"/>
      <c r="W106" s="395"/>
      <c r="X106" s="528"/>
      <c r="Y106" s="523"/>
      <c r="Z106" s="393"/>
      <c r="AA106" s="394"/>
      <c r="AB106" s="394"/>
      <c r="AC106" s="394"/>
      <c r="AD106" s="394"/>
      <c r="AE106" s="394"/>
      <c r="AF106" s="394"/>
      <c r="AG106" s="394"/>
      <c r="AH106" s="394"/>
      <c r="AI106" s="394"/>
      <c r="AJ106" s="394"/>
      <c r="AK106" s="381"/>
      <c r="AL106" s="408"/>
      <c r="AM106" s="385"/>
      <c r="AN106" s="475"/>
      <c r="AO106" s="395"/>
      <c r="AP106" s="395"/>
      <c r="AQ106" s="528">
        <v>42</v>
      </c>
      <c r="AR106" s="523">
        <v>15</v>
      </c>
      <c r="AS106" s="393">
        <v>15</v>
      </c>
      <c r="AT106" s="600">
        <v>8.3601700000000001</v>
      </c>
      <c r="AU106" s="394">
        <v>4.6181200000000002</v>
      </c>
      <c r="AV106" s="394">
        <v>3.6960999999999999</v>
      </c>
      <c r="AW106" s="394"/>
      <c r="AX106" s="394">
        <v>1.74315</v>
      </c>
      <c r="AY106" s="394">
        <v>0</v>
      </c>
      <c r="AZ106" s="394">
        <v>0</v>
      </c>
      <c r="BA106" s="394">
        <v>0.99839</v>
      </c>
      <c r="BB106" s="394">
        <v>8.8050000000000003E-2</v>
      </c>
      <c r="BC106" s="394"/>
      <c r="BD106" s="381" t="s">
        <v>167</v>
      </c>
      <c r="BE106" s="408" t="s">
        <v>175</v>
      </c>
      <c r="BF106" s="385"/>
      <c r="BG106" s="475">
        <v>12</v>
      </c>
      <c r="BH106" s="395">
        <f t="shared" ref="BH106:BH115" si="61">AT106/AQ106*1000</f>
        <v>199.05166666666668</v>
      </c>
      <c r="BI106" s="395">
        <f t="shared" ref="BI106:BI115" si="62">AT106/AR106</f>
        <v>0.55734466666666671</v>
      </c>
    </row>
    <row r="107" spans="1:61" s="358" customFormat="1" ht="19.2" x14ac:dyDescent="0.3">
      <c r="A107" s="359" t="s">
        <v>186</v>
      </c>
      <c r="B107" s="602" t="s">
        <v>4658</v>
      </c>
      <c r="C107" s="601" t="s">
        <v>4657</v>
      </c>
      <c r="D107" s="360">
        <v>0.4</v>
      </c>
      <c r="E107" s="528"/>
      <c r="F107" s="523"/>
      <c r="G107" s="393"/>
      <c r="H107" s="394"/>
      <c r="I107" s="394"/>
      <c r="J107" s="394"/>
      <c r="K107" s="394"/>
      <c r="L107" s="394"/>
      <c r="M107" s="394"/>
      <c r="N107" s="394"/>
      <c r="O107" s="394"/>
      <c r="P107" s="394"/>
      <c r="Q107" s="394"/>
      <c r="R107" s="381"/>
      <c r="S107" s="408"/>
      <c r="T107" s="385"/>
      <c r="U107" s="475"/>
      <c r="V107" s="395"/>
      <c r="W107" s="395"/>
      <c r="X107" s="528"/>
      <c r="Y107" s="523"/>
      <c r="Z107" s="393"/>
      <c r="AA107" s="394"/>
      <c r="AB107" s="394"/>
      <c r="AC107" s="394"/>
      <c r="AD107" s="394"/>
      <c r="AE107" s="394"/>
      <c r="AF107" s="394"/>
      <c r="AG107" s="394"/>
      <c r="AH107" s="394"/>
      <c r="AI107" s="394"/>
      <c r="AJ107" s="394"/>
      <c r="AK107" s="381"/>
      <c r="AL107" s="408"/>
      <c r="AM107" s="385"/>
      <c r="AN107" s="475"/>
      <c r="AO107" s="395"/>
      <c r="AP107" s="395"/>
      <c r="AQ107" s="528">
        <v>34</v>
      </c>
      <c r="AR107" s="523">
        <v>15</v>
      </c>
      <c r="AS107" s="393">
        <v>15</v>
      </c>
      <c r="AT107" s="600">
        <v>8.3604000000000003</v>
      </c>
      <c r="AU107" s="394">
        <v>5.3311099999999998</v>
      </c>
      <c r="AV107" s="394">
        <v>2.9937</v>
      </c>
      <c r="AW107" s="394"/>
      <c r="AX107" s="394">
        <v>1.4111199999999999</v>
      </c>
      <c r="AY107" s="394">
        <v>0</v>
      </c>
      <c r="AZ107" s="394">
        <v>0</v>
      </c>
      <c r="BA107" s="394">
        <v>0.80823</v>
      </c>
      <c r="BB107" s="394">
        <v>8.8050000000000003E-2</v>
      </c>
      <c r="BC107" s="394"/>
      <c r="BD107" s="381" t="s">
        <v>167</v>
      </c>
      <c r="BE107" s="408" t="s">
        <v>175</v>
      </c>
      <c r="BF107" s="385"/>
      <c r="BG107" s="475">
        <v>13</v>
      </c>
      <c r="BH107" s="395">
        <f t="shared" si="61"/>
        <v>245.89411764705881</v>
      </c>
      <c r="BI107" s="395">
        <f t="shared" si="62"/>
        <v>0.55735999999999997</v>
      </c>
    </row>
    <row r="108" spans="1:61" s="358" customFormat="1" ht="19.2" x14ac:dyDescent="0.3">
      <c r="A108" s="359" t="s">
        <v>189</v>
      </c>
      <c r="B108" s="602" t="s">
        <v>4659</v>
      </c>
      <c r="C108" s="601" t="s">
        <v>4660</v>
      </c>
      <c r="D108" s="360">
        <v>0.4</v>
      </c>
      <c r="E108" s="528"/>
      <c r="F108" s="523"/>
      <c r="G108" s="393"/>
      <c r="H108" s="394"/>
      <c r="I108" s="394"/>
      <c r="J108" s="394"/>
      <c r="K108" s="394"/>
      <c r="L108" s="394"/>
      <c r="M108" s="394"/>
      <c r="N108" s="394"/>
      <c r="O108" s="394"/>
      <c r="P108" s="394"/>
      <c r="Q108" s="394"/>
      <c r="R108" s="381"/>
      <c r="S108" s="408"/>
      <c r="T108" s="385"/>
      <c r="U108" s="475"/>
      <c r="V108" s="395"/>
      <c r="W108" s="395"/>
      <c r="X108" s="528"/>
      <c r="Y108" s="523"/>
      <c r="Z108" s="393"/>
      <c r="AA108" s="394"/>
      <c r="AB108" s="394"/>
      <c r="AC108" s="394"/>
      <c r="AD108" s="394"/>
      <c r="AE108" s="394"/>
      <c r="AF108" s="394"/>
      <c r="AG108" s="394"/>
      <c r="AH108" s="394"/>
      <c r="AI108" s="394"/>
      <c r="AJ108" s="394"/>
      <c r="AK108" s="381"/>
      <c r="AL108" s="408"/>
      <c r="AM108" s="385"/>
      <c r="AN108" s="475"/>
      <c r="AO108" s="395"/>
      <c r="AP108" s="395"/>
      <c r="AQ108" s="528">
        <v>190</v>
      </c>
      <c r="AR108" s="523">
        <v>2</v>
      </c>
      <c r="AS108" s="393">
        <v>2</v>
      </c>
      <c r="AT108" s="600">
        <v>203.55919</v>
      </c>
      <c r="AU108" s="394">
        <v>141.60175000000001</v>
      </c>
      <c r="AV108" s="394">
        <v>16.729500000000002</v>
      </c>
      <c r="AW108" s="394">
        <f>57.15+57.15</f>
        <v>114.3</v>
      </c>
      <c r="AX108" s="394">
        <v>30.55124</v>
      </c>
      <c r="AY108" s="394">
        <v>0</v>
      </c>
      <c r="AZ108" s="394">
        <v>0</v>
      </c>
      <c r="BA108" s="394">
        <v>15.40939</v>
      </c>
      <c r="BB108" s="394">
        <v>8.8050000000000003E-2</v>
      </c>
      <c r="BC108" s="394">
        <v>14.2875</v>
      </c>
      <c r="BD108" s="381" t="s">
        <v>167</v>
      </c>
      <c r="BE108" s="408" t="s">
        <v>175</v>
      </c>
      <c r="BF108" s="385"/>
      <c r="BG108" s="475">
        <v>14</v>
      </c>
      <c r="BH108" s="395">
        <f t="shared" si="61"/>
        <v>1071.3641578947368</v>
      </c>
      <c r="BI108" s="395">
        <f t="shared" si="62"/>
        <v>101.779595</v>
      </c>
    </row>
    <row r="109" spans="1:61" s="358" customFormat="1" ht="19.2" x14ac:dyDescent="0.3">
      <c r="A109" s="359" t="s">
        <v>267</v>
      </c>
      <c r="B109" s="602" t="s">
        <v>4661</v>
      </c>
      <c r="C109" s="601" t="s">
        <v>4662</v>
      </c>
      <c r="D109" s="360">
        <v>0.4</v>
      </c>
      <c r="E109" s="528"/>
      <c r="F109" s="523"/>
      <c r="G109" s="393"/>
      <c r="H109" s="394"/>
      <c r="I109" s="394"/>
      <c r="J109" s="394"/>
      <c r="K109" s="394"/>
      <c r="L109" s="394"/>
      <c r="M109" s="394"/>
      <c r="N109" s="394"/>
      <c r="O109" s="394"/>
      <c r="P109" s="394"/>
      <c r="Q109" s="394"/>
      <c r="R109" s="381"/>
      <c r="S109" s="408"/>
      <c r="T109" s="385"/>
      <c r="U109" s="475"/>
      <c r="V109" s="395"/>
      <c r="W109" s="395"/>
      <c r="X109" s="528"/>
      <c r="Y109" s="523"/>
      <c r="Z109" s="393"/>
      <c r="AA109" s="394"/>
      <c r="AB109" s="394"/>
      <c r="AC109" s="394"/>
      <c r="AD109" s="394"/>
      <c r="AE109" s="394"/>
      <c r="AF109" s="394"/>
      <c r="AG109" s="394"/>
      <c r="AH109" s="394"/>
      <c r="AI109" s="394"/>
      <c r="AJ109" s="394"/>
      <c r="AK109" s="381"/>
      <c r="AL109" s="408"/>
      <c r="AM109" s="385"/>
      <c r="AN109" s="475"/>
      <c r="AO109" s="395"/>
      <c r="AP109" s="395"/>
      <c r="AQ109" s="528">
        <v>33</v>
      </c>
      <c r="AR109" s="523">
        <v>15</v>
      </c>
      <c r="AS109" s="393">
        <v>15</v>
      </c>
      <c r="AT109" s="600">
        <v>28.536570000000001</v>
      </c>
      <c r="AU109" s="394">
        <v>20.032859999999999</v>
      </c>
      <c r="AV109" s="394">
        <v>2.9056500000000001</v>
      </c>
      <c r="AW109" s="394">
        <v>14.2875</v>
      </c>
      <c r="AX109" s="394">
        <v>4.10053</v>
      </c>
      <c r="AY109" s="394">
        <v>0</v>
      </c>
      <c r="AZ109" s="394">
        <v>0</v>
      </c>
      <c r="BA109" s="394">
        <v>2.1532900000000001</v>
      </c>
      <c r="BB109" s="394">
        <v>8.8050000000000003E-2</v>
      </c>
      <c r="BC109" s="394">
        <v>14.2875</v>
      </c>
      <c r="BD109" s="381" t="s">
        <v>167</v>
      </c>
      <c r="BE109" s="408" t="s">
        <v>175</v>
      </c>
      <c r="BF109" s="385"/>
      <c r="BG109" s="475">
        <v>16</v>
      </c>
      <c r="BH109" s="395">
        <f t="shared" si="61"/>
        <v>864.74454545454546</v>
      </c>
      <c r="BI109" s="395">
        <f t="shared" si="62"/>
        <v>1.9024380000000001</v>
      </c>
    </row>
    <row r="110" spans="1:61" s="358" customFormat="1" ht="19.2" x14ac:dyDescent="0.3">
      <c r="A110" s="359" t="s">
        <v>268</v>
      </c>
      <c r="B110" s="602" t="s">
        <v>4671</v>
      </c>
      <c r="C110" s="601" t="s">
        <v>4670</v>
      </c>
      <c r="D110" s="360">
        <v>0.4</v>
      </c>
      <c r="E110" s="528"/>
      <c r="F110" s="523"/>
      <c r="G110" s="393"/>
      <c r="H110" s="394"/>
      <c r="I110" s="394"/>
      <c r="J110" s="394"/>
      <c r="K110" s="394"/>
      <c r="L110" s="394"/>
      <c r="M110" s="394"/>
      <c r="N110" s="394"/>
      <c r="O110" s="394"/>
      <c r="P110" s="394"/>
      <c r="Q110" s="394"/>
      <c r="R110" s="381"/>
      <c r="S110" s="408"/>
      <c r="T110" s="385"/>
      <c r="U110" s="475"/>
      <c r="V110" s="395"/>
      <c r="W110" s="395"/>
      <c r="X110" s="528"/>
      <c r="Y110" s="523"/>
      <c r="Z110" s="393"/>
      <c r="AA110" s="394"/>
      <c r="AB110" s="394"/>
      <c r="AC110" s="394"/>
      <c r="AD110" s="394"/>
      <c r="AE110" s="394"/>
      <c r="AF110" s="394"/>
      <c r="AG110" s="394"/>
      <c r="AH110" s="394"/>
      <c r="AI110" s="394"/>
      <c r="AJ110" s="394"/>
      <c r="AK110" s="381"/>
      <c r="AL110" s="408"/>
      <c r="AM110" s="385"/>
      <c r="AN110" s="475"/>
      <c r="AO110" s="395"/>
      <c r="AP110" s="395"/>
      <c r="AQ110" s="528">
        <v>130</v>
      </c>
      <c r="AR110" s="523">
        <v>15</v>
      </c>
      <c r="AS110" s="393">
        <v>15</v>
      </c>
      <c r="AT110" s="600">
        <v>27.143940000000001</v>
      </c>
      <c r="AU110" s="394">
        <v>15.561400000000001</v>
      </c>
      <c r="AV110" s="394">
        <v>11.4465</v>
      </c>
      <c r="AW110" s="394"/>
      <c r="AX110" s="394">
        <v>5.3954500000000003</v>
      </c>
      <c r="AY110" s="394">
        <v>0</v>
      </c>
      <c r="AZ110" s="394">
        <v>0</v>
      </c>
      <c r="BA110" s="394">
        <v>3.0902699999999999</v>
      </c>
      <c r="BB110" s="394">
        <v>8.8050000000000003E-2</v>
      </c>
      <c r="BC110" s="394"/>
      <c r="BD110" s="381" t="s">
        <v>167</v>
      </c>
      <c r="BE110" s="408" t="s">
        <v>175</v>
      </c>
      <c r="BF110" s="385"/>
      <c r="BG110" s="475">
        <v>18</v>
      </c>
      <c r="BH110" s="395">
        <f t="shared" si="61"/>
        <v>208.79953846153845</v>
      </c>
      <c r="BI110" s="395">
        <f t="shared" si="62"/>
        <v>1.809596</v>
      </c>
    </row>
    <row r="111" spans="1:61" s="358" customFormat="1" ht="19.2" x14ac:dyDescent="0.3">
      <c r="A111" s="359" t="s">
        <v>269</v>
      </c>
      <c r="B111" s="602" t="s">
        <v>4691</v>
      </c>
      <c r="C111" s="601" t="s">
        <v>4690</v>
      </c>
      <c r="D111" s="360">
        <v>0.4</v>
      </c>
      <c r="E111" s="528"/>
      <c r="F111" s="523"/>
      <c r="G111" s="393"/>
      <c r="H111" s="394"/>
      <c r="I111" s="394"/>
      <c r="J111" s="394"/>
      <c r="K111" s="394"/>
      <c r="L111" s="394"/>
      <c r="M111" s="394"/>
      <c r="N111" s="394"/>
      <c r="O111" s="394"/>
      <c r="P111" s="394"/>
      <c r="Q111" s="394"/>
      <c r="R111" s="381"/>
      <c r="S111" s="408"/>
      <c r="T111" s="385"/>
      <c r="U111" s="475"/>
      <c r="V111" s="395"/>
      <c r="W111" s="395"/>
      <c r="X111" s="528"/>
      <c r="Y111" s="523"/>
      <c r="Z111" s="393"/>
      <c r="AA111" s="394"/>
      <c r="AB111" s="394"/>
      <c r="AC111" s="394"/>
      <c r="AD111" s="394"/>
      <c r="AE111" s="394"/>
      <c r="AF111" s="394"/>
      <c r="AG111" s="394"/>
      <c r="AH111" s="394"/>
      <c r="AI111" s="394"/>
      <c r="AJ111" s="394"/>
      <c r="AK111" s="381"/>
      <c r="AL111" s="408"/>
      <c r="AM111" s="385"/>
      <c r="AN111" s="475"/>
      <c r="AO111" s="395"/>
      <c r="AP111" s="395"/>
      <c r="AQ111" s="528">
        <v>45</v>
      </c>
      <c r="AR111" s="523">
        <v>15</v>
      </c>
      <c r="AS111" s="393">
        <v>15</v>
      </c>
      <c r="AT111" s="600">
        <v>26.871179999999999</v>
      </c>
      <c r="AU111" s="394">
        <v>17.298310000000001</v>
      </c>
      <c r="AV111" s="394">
        <v>3.96225</v>
      </c>
      <c r="AW111" s="394">
        <v>10.861660000000001</v>
      </c>
      <c r="AX111" s="394">
        <v>4.5985800000000001</v>
      </c>
      <c r="AY111" s="394">
        <v>0</v>
      </c>
      <c r="AZ111" s="394">
        <v>0</v>
      </c>
      <c r="BA111" s="394">
        <v>2.4385400000000002</v>
      </c>
      <c r="BB111" s="394">
        <v>8.8050000000000003E-2</v>
      </c>
      <c r="BC111" s="394">
        <v>10.861660000000001</v>
      </c>
      <c r="BD111" s="381" t="s">
        <v>167</v>
      </c>
      <c r="BE111" s="408" t="s">
        <v>175</v>
      </c>
      <c r="BF111" s="385"/>
      <c r="BG111" s="475">
        <v>19</v>
      </c>
      <c r="BH111" s="395">
        <f t="shared" si="61"/>
        <v>597.13733333333334</v>
      </c>
      <c r="BI111" s="395">
        <f t="shared" si="62"/>
        <v>1.791412</v>
      </c>
    </row>
    <row r="112" spans="1:61" s="358" customFormat="1" ht="19.2" x14ac:dyDescent="0.3">
      <c r="A112" s="359" t="s">
        <v>270</v>
      </c>
      <c r="B112" s="602" t="s">
        <v>4695</v>
      </c>
      <c r="C112" s="601" t="s">
        <v>4696</v>
      </c>
      <c r="D112" s="360">
        <v>0.4</v>
      </c>
      <c r="E112" s="528"/>
      <c r="F112" s="523"/>
      <c r="G112" s="393"/>
      <c r="H112" s="394"/>
      <c r="I112" s="394"/>
      <c r="J112" s="394"/>
      <c r="K112" s="394"/>
      <c r="L112" s="394"/>
      <c r="M112" s="394"/>
      <c r="N112" s="394"/>
      <c r="O112" s="394"/>
      <c r="P112" s="394"/>
      <c r="Q112" s="394"/>
      <c r="R112" s="381"/>
      <c r="S112" s="408"/>
      <c r="T112" s="385"/>
      <c r="U112" s="475"/>
      <c r="V112" s="395"/>
      <c r="W112" s="395"/>
      <c r="X112" s="528"/>
      <c r="Y112" s="523"/>
      <c r="Z112" s="393"/>
      <c r="AA112" s="394"/>
      <c r="AB112" s="394"/>
      <c r="AC112" s="394"/>
      <c r="AD112" s="394"/>
      <c r="AE112" s="394"/>
      <c r="AF112" s="394"/>
      <c r="AG112" s="394"/>
      <c r="AH112" s="394"/>
      <c r="AI112" s="394"/>
      <c r="AJ112" s="394"/>
      <c r="AK112" s="381"/>
      <c r="AL112" s="408"/>
      <c r="AM112" s="385"/>
      <c r="AN112" s="475"/>
      <c r="AO112" s="395"/>
      <c r="AP112" s="395"/>
      <c r="AQ112" s="528">
        <v>20</v>
      </c>
      <c r="AR112" s="523">
        <v>15</v>
      </c>
      <c r="AS112" s="393">
        <v>15</v>
      </c>
      <c r="AT112" s="600">
        <v>22.479430000000001</v>
      </c>
      <c r="AU112" s="394">
        <v>15.133990000000001</v>
      </c>
      <c r="AV112" s="394">
        <v>1.7609999999999999</v>
      </c>
      <c r="AW112" s="394">
        <v>10.861660000000001</v>
      </c>
      <c r="AX112" s="394">
        <v>3.5609899999999999</v>
      </c>
      <c r="AY112" s="394">
        <v>0</v>
      </c>
      <c r="AZ112" s="394">
        <v>0</v>
      </c>
      <c r="BA112" s="394">
        <v>1.8442499999999999</v>
      </c>
      <c r="BB112" s="394">
        <v>8.8050000000000003E-2</v>
      </c>
      <c r="BC112" s="394">
        <v>10.861660000000001</v>
      </c>
      <c r="BD112" s="381" t="s">
        <v>167</v>
      </c>
      <c r="BE112" s="408" t="s">
        <v>175</v>
      </c>
      <c r="BF112" s="385"/>
      <c r="BG112" s="475">
        <v>21</v>
      </c>
      <c r="BH112" s="395">
        <f t="shared" si="61"/>
        <v>1123.9715000000001</v>
      </c>
      <c r="BI112" s="395">
        <f t="shared" si="62"/>
        <v>1.4986286666666666</v>
      </c>
    </row>
    <row r="113" spans="1:61" s="358" customFormat="1" ht="19.2" x14ac:dyDescent="0.3">
      <c r="A113" s="359" t="s">
        <v>271</v>
      </c>
      <c r="B113" s="599" t="s">
        <v>4699</v>
      </c>
      <c r="C113" s="549" t="s">
        <v>4700</v>
      </c>
      <c r="D113" s="360">
        <v>0.4</v>
      </c>
      <c r="E113" s="528"/>
      <c r="F113" s="523"/>
      <c r="G113" s="393"/>
      <c r="H113" s="394"/>
      <c r="I113" s="394"/>
      <c r="J113" s="394"/>
      <c r="K113" s="394"/>
      <c r="L113" s="394"/>
      <c r="M113" s="394"/>
      <c r="N113" s="394"/>
      <c r="O113" s="394"/>
      <c r="P113" s="394"/>
      <c r="Q113" s="394"/>
      <c r="R113" s="381"/>
      <c r="S113" s="408"/>
      <c r="T113" s="385"/>
      <c r="U113" s="475"/>
      <c r="V113" s="395"/>
      <c r="W113" s="395"/>
      <c r="X113" s="528"/>
      <c r="Y113" s="523"/>
      <c r="Z113" s="393"/>
      <c r="AA113" s="394"/>
      <c r="AB113" s="394"/>
      <c r="AC113" s="394"/>
      <c r="AD113" s="394"/>
      <c r="AE113" s="394"/>
      <c r="AF113" s="394"/>
      <c r="AG113" s="394"/>
      <c r="AH113" s="394"/>
      <c r="AI113" s="394"/>
      <c r="AJ113" s="394"/>
      <c r="AK113" s="381"/>
      <c r="AL113" s="408"/>
      <c r="AM113" s="385"/>
      <c r="AN113" s="475"/>
      <c r="AO113" s="395"/>
      <c r="AP113" s="395"/>
      <c r="AQ113" s="528">
        <v>79</v>
      </c>
      <c r="AR113" s="523">
        <v>15</v>
      </c>
      <c r="AS113" s="393">
        <v>15</v>
      </c>
      <c r="AT113" s="600">
        <v>83.982799999999997</v>
      </c>
      <c r="AU113" s="394">
        <v>54.690080000000002</v>
      </c>
      <c r="AV113" s="394">
        <v>6.9559499999999996</v>
      </c>
      <c r="AW113" s="394">
        <v>43.446680000000001</v>
      </c>
      <c r="AX113" s="394">
        <v>14.21245</v>
      </c>
      <c r="AY113" s="394">
        <v>0</v>
      </c>
      <c r="AZ113" s="394">
        <v>0</v>
      </c>
      <c r="BA113" s="394">
        <v>7.3532700000000002</v>
      </c>
      <c r="BB113" s="394">
        <v>8.8050000000000003E-2</v>
      </c>
      <c r="BC113" s="394">
        <v>10.86187</v>
      </c>
      <c r="BD113" s="381" t="s">
        <v>167</v>
      </c>
      <c r="BE113" s="408" t="s">
        <v>175</v>
      </c>
      <c r="BF113" s="385"/>
      <c r="BG113" s="475">
        <v>23</v>
      </c>
      <c r="BH113" s="395">
        <f t="shared" si="61"/>
        <v>1063.0734177215188</v>
      </c>
      <c r="BI113" s="395">
        <f t="shared" si="62"/>
        <v>5.5988533333333335</v>
      </c>
    </row>
    <row r="114" spans="1:61" s="358" customFormat="1" ht="19.2" x14ac:dyDescent="0.3">
      <c r="A114" s="359" t="s">
        <v>272</v>
      </c>
      <c r="B114" s="602" t="s">
        <v>4701</v>
      </c>
      <c r="C114" s="601" t="s">
        <v>4702</v>
      </c>
      <c r="D114" s="360">
        <v>0.4</v>
      </c>
      <c r="E114" s="528"/>
      <c r="F114" s="523"/>
      <c r="G114" s="393"/>
      <c r="H114" s="394"/>
      <c r="I114" s="394"/>
      <c r="J114" s="394"/>
      <c r="K114" s="394"/>
      <c r="L114" s="394"/>
      <c r="M114" s="394"/>
      <c r="N114" s="394"/>
      <c r="O114" s="394"/>
      <c r="P114" s="394"/>
      <c r="Q114" s="394"/>
      <c r="R114" s="381"/>
      <c r="S114" s="408"/>
      <c r="T114" s="385"/>
      <c r="U114" s="475"/>
      <c r="V114" s="395"/>
      <c r="W114" s="395"/>
      <c r="X114" s="528"/>
      <c r="Y114" s="523"/>
      <c r="Z114" s="393"/>
      <c r="AA114" s="394"/>
      <c r="AB114" s="394"/>
      <c r="AC114" s="394"/>
      <c r="AD114" s="394"/>
      <c r="AE114" s="394"/>
      <c r="AF114" s="394"/>
      <c r="AG114" s="394"/>
      <c r="AH114" s="394"/>
      <c r="AI114" s="394"/>
      <c r="AJ114" s="394"/>
      <c r="AK114" s="381"/>
      <c r="AL114" s="408"/>
      <c r="AM114" s="385"/>
      <c r="AN114" s="475"/>
      <c r="AO114" s="395"/>
      <c r="AP114" s="395"/>
      <c r="AQ114" s="528">
        <v>75</v>
      </c>
      <c r="AR114" s="523">
        <v>15</v>
      </c>
      <c r="AS114" s="393">
        <v>15</v>
      </c>
      <c r="AT114" s="600">
        <v>32.707909999999998</v>
      </c>
      <c r="AU114" s="394">
        <v>20.462150000000001</v>
      </c>
      <c r="AV114" s="394">
        <v>6.6037499999999998</v>
      </c>
      <c r="AW114" s="394">
        <v>10.86167</v>
      </c>
      <c r="AX114" s="394">
        <v>5.84368</v>
      </c>
      <c r="AY114" s="394">
        <v>0</v>
      </c>
      <c r="AZ114" s="394">
        <v>0</v>
      </c>
      <c r="BA114" s="394">
        <v>3.1516799999999998</v>
      </c>
      <c r="BB114" s="394">
        <v>8.8050000000000003E-2</v>
      </c>
      <c r="BC114" s="394">
        <v>10.86167</v>
      </c>
      <c r="BD114" s="381" t="s">
        <v>167</v>
      </c>
      <c r="BE114" s="408" t="s">
        <v>175</v>
      </c>
      <c r="BF114" s="385"/>
      <c r="BG114" s="475">
        <v>25</v>
      </c>
      <c r="BH114" s="395">
        <f t="shared" si="61"/>
        <v>436.10546666666664</v>
      </c>
      <c r="BI114" s="395">
        <f t="shared" si="62"/>
        <v>2.180527333333333</v>
      </c>
    </row>
    <row r="115" spans="1:61" s="358" customFormat="1" ht="19.2" x14ac:dyDescent="0.3">
      <c r="A115" s="359" t="s">
        <v>273</v>
      </c>
      <c r="B115" s="602" t="s">
        <v>4706</v>
      </c>
      <c r="C115" s="601" t="s">
        <v>4705</v>
      </c>
      <c r="D115" s="360">
        <v>0.4</v>
      </c>
      <c r="E115" s="528"/>
      <c r="F115" s="523"/>
      <c r="G115" s="393"/>
      <c r="H115" s="394"/>
      <c r="I115" s="394"/>
      <c r="J115" s="394"/>
      <c r="K115" s="394"/>
      <c r="L115" s="394"/>
      <c r="M115" s="394"/>
      <c r="N115" s="394"/>
      <c r="O115" s="394"/>
      <c r="P115" s="394"/>
      <c r="Q115" s="394"/>
      <c r="R115" s="381"/>
      <c r="S115" s="408"/>
      <c r="T115" s="385"/>
      <c r="U115" s="475"/>
      <c r="V115" s="395"/>
      <c r="W115" s="395"/>
      <c r="X115" s="528"/>
      <c r="Y115" s="523"/>
      <c r="Z115" s="393"/>
      <c r="AA115" s="394"/>
      <c r="AB115" s="394"/>
      <c r="AC115" s="394"/>
      <c r="AD115" s="394"/>
      <c r="AE115" s="394"/>
      <c r="AF115" s="394"/>
      <c r="AG115" s="394"/>
      <c r="AH115" s="394"/>
      <c r="AI115" s="394"/>
      <c r="AJ115" s="394"/>
      <c r="AK115" s="381"/>
      <c r="AL115" s="408"/>
      <c r="AM115" s="385"/>
      <c r="AN115" s="475"/>
      <c r="AO115" s="395"/>
      <c r="AP115" s="395"/>
      <c r="AQ115" s="528">
        <v>30</v>
      </c>
      <c r="AR115" s="523">
        <v>15</v>
      </c>
      <c r="AS115" s="393">
        <v>15</v>
      </c>
      <c r="AT115" s="600">
        <v>24.297339999999998</v>
      </c>
      <c r="AU115" s="394">
        <v>16.060929999999999</v>
      </c>
      <c r="AV115" s="394">
        <v>2.6415000000000002</v>
      </c>
      <c r="AW115" s="394">
        <v>10.861660000000001</v>
      </c>
      <c r="AX115" s="394">
        <v>3.9760200000000001</v>
      </c>
      <c r="AY115" s="394">
        <v>0</v>
      </c>
      <c r="AZ115" s="394">
        <v>0</v>
      </c>
      <c r="BA115" s="394">
        <v>2.0819700000000001</v>
      </c>
      <c r="BB115" s="394">
        <v>8.8050000000000003E-2</v>
      </c>
      <c r="BC115" s="394">
        <v>10.861660000000001</v>
      </c>
      <c r="BD115" s="381" t="s">
        <v>167</v>
      </c>
      <c r="BE115" s="408" t="s">
        <v>175</v>
      </c>
      <c r="BF115" s="385"/>
      <c r="BG115" s="475">
        <v>27</v>
      </c>
      <c r="BH115" s="395">
        <f t="shared" si="61"/>
        <v>809.91133333333335</v>
      </c>
      <c r="BI115" s="395">
        <f t="shared" si="62"/>
        <v>1.6198226666666666</v>
      </c>
    </row>
    <row r="116" spans="1:61" s="358" customFormat="1" ht="19.2" x14ac:dyDescent="0.3">
      <c r="A116" s="359" t="s">
        <v>274</v>
      </c>
      <c r="B116" s="602" t="s">
        <v>4708</v>
      </c>
      <c r="C116" s="601" t="s">
        <v>4707</v>
      </c>
      <c r="D116" s="360">
        <v>0.4</v>
      </c>
      <c r="E116" s="528"/>
      <c r="F116" s="523"/>
      <c r="G116" s="393"/>
      <c r="H116" s="394"/>
      <c r="I116" s="394"/>
      <c r="J116" s="394"/>
      <c r="K116" s="394"/>
      <c r="L116" s="394"/>
      <c r="M116" s="394"/>
      <c r="N116" s="394"/>
      <c r="O116" s="394"/>
      <c r="P116" s="394"/>
      <c r="Q116" s="394"/>
      <c r="R116" s="381"/>
      <c r="S116" s="408"/>
      <c r="T116" s="385"/>
      <c r="U116" s="475"/>
      <c r="V116" s="395"/>
      <c r="W116" s="395"/>
      <c r="X116" s="528"/>
      <c r="Y116" s="523"/>
      <c r="Z116" s="393"/>
      <c r="AA116" s="394"/>
      <c r="AB116" s="394"/>
      <c r="AC116" s="394"/>
      <c r="AD116" s="394"/>
      <c r="AE116" s="394"/>
      <c r="AF116" s="394"/>
      <c r="AG116" s="394"/>
      <c r="AH116" s="394"/>
      <c r="AI116" s="394"/>
      <c r="AJ116" s="394"/>
      <c r="AK116" s="381"/>
      <c r="AL116" s="408"/>
      <c r="AM116" s="385"/>
      <c r="AN116" s="475"/>
      <c r="AO116" s="395"/>
      <c r="AP116" s="395"/>
      <c r="AQ116" s="528">
        <v>42</v>
      </c>
      <c r="AR116" s="523">
        <v>15</v>
      </c>
      <c r="AS116" s="393">
        <v>15</v>
      </c>
      <c r="AT116" s="600">
        <v>26.478829999999999</v>
      </c>
      <c r="AU116" s="394">
        <v>17.173259999999999</v>
      </c>
      <c r="AV116" s="394">
        <v>3.6981000000000002</v>
      </c>
      <c r="AW116" s="394">
        <v>10.86167</v>
      </c>
      <c r="AX116" s="394">
        <v>4.4740700000000002</v>
      </c>
      <c r="AY116" s="394">
        <v>0</v>
      </c>
      <c r="AZ116" s="394">
        <v>0</v>
      </c>
      <c r="BA116" s="394">
        <v>2.3672200000000001</v>
      </c>
      <c r="BB116" s="394">
        <v>8.8050000000000003E-2</v>
      </c>
      <c r="BC116" s="394">
        <v>10.86167</v>
      </c>
      <c r="BD116" s="381" t="s">
        <v>167</v>
      </c>
      <c r="BE116" s="408" t="s">
        <v>175</v>
      </c>
      <c r="BF116" s="385"/>
      <c r="BG116" s="475">
        <v>29</v>
      </c>
      <c r="BH116" s="395">
        <f t="shared" ref="BH116" si="63">AT116/AQ116*1000</f>
        <v>630.44833333333327</v>
      </c>
      <c r="BI116" s="395">
        <f t="shared" ref="BI116" si="64">AT116/AR116</f>
        <v>1.7652553333333332</v>
      </c>
    </row>
    <row r="117" spans="1:61" s="358" customFormat="1" ht="19.2" x14ac:dyDescent="0.3">
      <c r="A117" s="359" t="s">
        <v>275</v>
      </c>
      <c r="B117" s="602" t="s">
        <v>4710</v>
      </c>
      <c r="C117" s="601" t="s">
        <v>4709</v>
      </c>
      <c r="D117" s="360">
        <v>0.4</v>
      </c>
      <c r="E117" s="528"/>
      <c r="F117" s="523"/>
      <c r="G117" s="393"/>
      <c r="H117" s="394"/>
      <c r="I117" s="394"/>
      <c r="J117" s="394"/>
      <c r="K117" s="394"/>
      <c r="L117" s="394"/>
      <c r="M117" s="394"/>
      <c r="N117" s="394"/>
      <c r="O117" s="394"/>
      <c r="P117" s="394"/>
      <c r="Q117" s="394"/>
      <c r="R117" s="381"/>
      <c r="S117" s="408"/>
      <c r="T117" s="385"/>
      <c r="U117" s="475"/>
      <c r="V117" s="395"/>
      <c r="W117" s="395"/>
      <c r="X117" s="528"/>
      <c r="Y117" s="523"/>
      <c r="Z117" s="393"/>
      <c r="AA117" s="394"/>
      <c r="AB117" s="394"/>
      <c r="AC117" s="394"/>
      <c r="AD117" s="394"/>
      <c r="AE117" s="394"/>
      <c r="AF117" s="394"/>
      <c r="AG117" s="394"/>
      <c r="AH117" s="394"/>
      <c r="AI117" s="394"/>
      <c r="AJ117" s="394"/>
      <c r="AK117" s="381"/>
      <c r="AL117" s="408"/>
      <c r="AM117" s="385"/>
      <c r="AN117" s="475"/>
      <c r="AO117" s="395"/>
      <c r="AP117" s="395"/>
      <c r="AQ117" s="528">
        <v>20</v>
      </c>
      <c r="AR117" s="523">
        <v>15</v>
      </c>
      <c r="AS117" s="393">
        <v>15</v>
      </c>
      <c r="AT117" s="600">
        <v>22.479420000000001</v>
      </c>
      <c r="AU117" s="394">
        <v>15.13396</v>
      </c>
      <c r="AV117" s="394">
        <v>1.7609999999999999</v>
      </c>
      <c r="AW117" s="394">
        <v>10.86167</v>
      </c>
      <c r="AX117" s="394">
        <v>3.5609899999999999</v>
      </c>
      <c r="AY117" s="394">
        <v>0</v>
      </c>
      <c r="AZ117" s="394">
        <v>0</v>
      </c>
      <c r="BA117" s="394">
        <v>1.8442499999999999</v>
      </c>
      <c r="BB117" s="394">
        <v>8.8050000000000003E-2</v>
      </c>
      <c r="BC117" s="394">
        <v>10.86167</v>
      </c>
      <c r="BD117" s="381" t="s">
        <v>167</v>
      </c>
      <c r="BE117" s="408" t="s">
        <v>175</v>
      </c>
      <c r="BF117" s="385"/>
      <c r="BG117" s="475">
        <v>31</v>
      </c>
      <c r="BH117" s="395">
        <f t="shared" si="59"/>
        <v>1123.971</v>
      </c>
      <c r="BI117" s="395">
        <f t="shared" si="60"/>
        <v>1.4986280000000001</v>
      </c>
    </row>
    <row r="118" spans="1:61" s="358" customFormat="1" ht="19.2" x14ac:dyDescent="0.3">
      <c r="A118" s="359" t="s">
        <v>276</v>
      </c>
      <c r="B118" s="602" t="s">
        <v>2430</v>
      </c>
      <c r="C118" s="601" t="s">
        <v>4711</v>
      </c>
      <c r="D118" s="360">
        <v>0.4</v>
      </c>
      <c r="E118" s="528"/>
      <c r="F118" s="523"/>
      <c r="G118" s="393"/>
      <c r="H118" s="394"/>
      <c r="I118" s="394"/>
      <c r="J118" s="394"/>
      <c r="K118" s="394"/>
      <c r="L118" s="394"/>
      <c r="M118" s="394"/>
      <c r="N118" s="394"/>
      <c r="O118" s="394"/>
      <c r="P118" s="394"/>
      <c r="Q118" s="394"/>
      <c r="R118" s="381"/>
      <c r="S118" s="408"/>
      <c r="T118" s="385"/>
      <c r="U118" s="475"/>
      <c r="V118" s="395"/>
      <c r="W118" s="395"/>
      <c r="X118" s="528"/>
      <c r="Y118" s="523"/>
      <c r="Z118" s="393"/>
      <c r="AA118" s="394"/>
      <c r="AB118" s="394"/>
      <c r="AC118" s="394"/>
      <c r="AD118" s="394"/>
      <c r="AE118" s="394"/>
      <c r="AF118" s="394"/>
      <c r="AG118" s="394"/>
      <c r="AH118" s="394"/>
      <c r="AI118" s="394"/>
      <c r="AJ118" s="394"/>
      <c r="AK118" s="381"/>
      <c r="AL118" s="408"/>
      <c r="AM118" s="385"/>
      <c r="AN118" s="475"/>
      <c r="AO118" s="395"/>
      <c r="AP118" s="395"/>
      <c r="AQ118" s="528">
        <v>36</v>
      </c>
      <c r="AR118" s="523">
        <v>15</v>
      </c>
      <c r="AS118" s="393">
        <v>15</v>
      </c>
      <c r="AT118" s="600">
        <v>25.79177</v>
      </c>
      <c r="AU118" s="394">
        <v>17.020769999999999</v>
      </c>
      <c r="AV118" s="394">
        <v>3.1698</v>
      </c>
      <c r="AW118" s="394">
        <v>10.86167</v>
      </c>
      <c r="AX118" s="394">
        <v>4.2250500000000004</v>
      </c>
      <c r="AY118" s="394">
        <v>0</v>
      </c>
      <c r="AZ118" s="394">
        <v>0</v>
      </c>
      <c r="BA118" s="394">
        <v>2.2246000000000001</v>
      </c>
      <c r="BB118" s="394">
        <v>8.8050000000000003E-2</v>
      </c>
      <c r="BC118" s="394">
        <v>10.86167</v>
      </c>
      <c r="BD118" s="381" t="s">
        <v>167</v>
      </c>
      <c r="BE118" s="408" t="s">
        <v>175</v>
      </c>
      <c r="BF118" s="385"/>
      <c r="BG118" s="475">
        <v>33</v>
      </c>
      <c r="BH118" s="395">
        <f t="shared" si="59"/>
        <v>716.43805555555548</v>
      </c>
      <c r="BI118" s="395">
        <f t="shared" si="60"/>
        <v>1.7194513333333332</v>
      </c>
    </row>
    <row r="119" spans="1:61" s="358" customFormat="1" ht="19.2" x14ac:dyDescent="0.3">
      <c r="A119" s="359" t="s">
        <v>277</v>
      </c>
      <c r="B119" s="602" t="s">
        <v>4717</v>
      </c>
      <c r="C119" s="548" t="s">
        <v>4716</v>
      </c>
      <c r="D119" s="360">
        <v>0.4</v>
      </c>
      <c r="E119" s="528"/>
      <c r="F119" s="523"/>
      <c r="G119" s="393"/>
      <c r="H119" s="394"/>
      <c r="I119" s="394"/>
      <c r="J119" s="394"/>
      <c r="K119" s="394"/>
      <c r="L119" s="394"/>
      <c r="M119" s="394"/>
      <c r="N119" s="394"/>
      <c r="O119" s="394"/>
      <c r="P119" s="394"/>
      <c r="Q119" s="394"/>
      <c r="R119" s="381"/>
      <c r="S119" s="408"/>
      <c r="T119" s="385"/>
      <c r="U119" s="475"/>
      <c r="V119" s="395"/>
      <c r="W119" s="395"/>
      <c r="X119" s="528"/>
      <c r="Y119" s="523"/>
      <c r="Z119" s="393"/>
      <c r="AA119" s="394"/>
      <c r="AB119" s="394"/>
      <c r="AC119" s="394"/>
      <c r="AD119" s="394"/>
      <c r="AE119" s="394"/>
      <c r="AF119" s="394"/>
      <c r="AG119" s="394"/>
      <c r="AH119" s="394"/>
      <c r="AI119" s="394"/>
      <c r="AJ119" s="394"/>
      <c r="AK119" s="381"/>
      <c r="AL119" s="408"/>
      <c r="AM119" s="385"/>
      <c r="AN119" s="475"/>
      <c r="AO119" s="395"/>
      <c r="AP119" s="395"/>
      <c r="AQ119" s="528">
        <v>35</v>
      </c>
      <c r="AR119" s="523">
        <v>15</v>
      </c>
      <c r="AS119" s="393">
        <v>15</v>
      </c>
      <c r="AT119" s="600">
        <v>41.090310000000002</v>
      </c>
      <c r="AU119" s="394">
        <v>26.844889999999999</v>
      </c>
      <c r="AV119" s="394">
        <v>3.08175</v>
      </c>
      <c r="AW119" s="394">
        <v>10.86167</v>
      </c>
      <c r="AX119" s="394">
        <v>6.9144600000000001</v>
      </c>
      <c r="AY119" s="394">
        <v>0</v>
      </c>
      <c r="AZ119" s="394">
        <v>0</v>
      </c>
      <c r="BA119" s="394">
        <v>3.5696599999999998</v>
      </c>
      <c r="BB119" s="394">
        <v>8.8050000000000003E-2</v>
      </c>
      <c r="BC119" s="394">
        <v>10.86167</v>
      </c>
      <c r="BD119" s="381" t="s">
        <v>167</v>
      </c>
      <c r="BE119" s="408" t="s">
        <v>175</v>
      </c>
      <c r="BF119" s="385"/>
      <c r="BG119" s="475">
        <v>35</v>
      </c>
      <c r="BH119" s="395">
        <f t="shared" si="59"/>
        <v>1174.0088571428573</v>
      </c>
      <c r="BI119" s="395">
        <f t="shared" si="60"/>
        <v>2.7393540000000001</v>
      </c>
    </row>
    <row r="120" spans="1:61" s="358" customFormat="1" ht="19.2" x14ac:dyDescent="0.3">
      <c r="A120" s="359" t="s">
        <v>326</v>
      </c>
      <c r="B120" s="602" t="s">
        <v>4721</v>
      </c>
      <c r="C120" s="601" t="s">
        <v>4720</v>
      </c>
      <c r="D120" s="360">
        <v>0.4</v>
      </c>
      <c r="E120" s="528"/>
      <c r="F120" s="523"/>
      <c r="G120" s="393"/>
      <c r="H120" s="394"/>
      <c r="I120" s="394"/>
      <c r="J120" s="394"/>
      <c r="K120" s="394"/>
      <c r="L120" s="394"/>
      <c r="M120" s="394"/>
      <c r="N120" s="394"/>
      <c r="O120" s="394"/>
      <c r="P120" s="394"/>
      <c r="Q120" s="394"/>
      <c r="R120" s="381"/>
      <c r="S120" s="408"/>
      <c r="T120" s="385"/>
      <c r="U120" s="475"/>
      <c r="V120" s="395"/>
      <c r="W120" s="395"/>
      <c r="X120" s="528"/>
      <c r="Y120" s="523"/>
      <c r="Z120" s="393"/>
      <c r="AA120" s="394"/>
      <c r="AB120" s="394"/>
      <c r="AC120" s="394"/>
      <c r="AD120" s="394"/>
      <c r="AE120" s="394"/>
      <c r="AF120" s="394"/>
      <c r="AG120" s="394"/>
      <c r="AH120" s="394"/>
      <c r="AI120" s="394"/>
      <c r="AJ120" s="394"/>
      <c r="AK120" s="381"/>
      <c r="AL120" s="408"/>
      <c r="AM120" s="385"/>
      <c r="AN120" s="475"/>
      <c r="AO120" s="395"/>
      <c r="AP120" s="395"/>
      <c r="AQ120" s="528">
        <v>57</v>
      </c>
      <c r="AR120" s="523">
        <v>1</v>
      </c>
      <c r="AS120" s="393">
        <v>1</v>
      </c>
      <c r="AT120" s="600">
        <v>16.79203</v>
      </c>
      <c r="AU120" s="394">
        <v>3.5648399999999998</v>
      </c>
      <c r="AV120" s="394">
        <v>2.4624000000000001</v>
      </c>
      <c r="AW120" s="394"/>
      <c r="AX120" s="394">
        <v>2.35859</v>
      </c>
      <c r="AY120" s="394">
        <v>0</v>
      </c>
      <c r="AZ120" s="394">
        <v>0</v>
      </c>
      <c r="BA120" s="394">
        <v>4.4708600000000001</v>
      </c>
      <c r="BB120" s="394">
        <v>4.3200000000000002E-2</v>
      </c>
      <c r="BC120" s="394"/>
      <c r="BD120" s="381" t="s">
        <v>167</v>
      </c>
      <c r="BE120" s="408" t="s">
        <v>175</v>
      </c>
      <c r="BF120" s="385"/>
      <c r="BG120" s="475">
        <v>37</v>
      </c>
      <c r="BH120" s="395">
        <f t="shared" ref="BH120" si="65">AT120/AQ120*1000</f>
        <v>294.59701754385964</v>
      </c>
      <c r="BI120" s="395">
        <f t="shared" ref="BI120" si="66">AT120/AR120</f>
        <v>16.79203</v>
      </c>
    </row>
    <row r="121" spans="1:61" s="358" customFormat="1" ht="19.2" x14ac:dyDescent="0.3">
      <c r="A121" s="359" t="s">
        <v>327</v>
      </c>
      <c r="B121" s="602" t="s">
        <v>4723</v>
      </c>
      <c r="C121" s="601" t="s">
        <v>4722</v>
      </c>
      <c r="D121" s="360">
        <v>0.4</v>
      </c>
      <c r="E121" s="528"/>
      <c r="F121" s="523"/>
      <c r="G121" s="393"/>
      <c r="H121" s="394"/>
      <c r="I121" s="394"/>
      <c r="J121" s="394"/>
      <c r="K121" s="394"/>
      <c r="L121" s="394"/>
      <c r="M121" s="394"/>
      <c r="N121" s="394"/>
      <c r="O121" s="394"/>
      <c r="P121" s="394"/>
      <c r="Q121" s="394"/>
      <c r="R121" s="381"/>
      <c r="S121" s="408"/>
      <c r="T121" s="385"/>
      <c r="U121" s="475"/>
      <c r="V121" s="395"/>
      <c r="W121" s="395"/>
      <c r="X121" s="528"/>
      <c r="Y121" s="523"/>
      <c r="Z121" s="393"/>
      <c r="AA121" s="394"/>
      <c r="AB121" s="394"/>
      <c r="AC121" s="394"/>
      <c r="AD121" s="394"/>
      <c r="AE121" s="394"/>
      <c r="AF121" s="394"/>
      <c r="AG121" s="394"/>
      <c r="AH121" s="394"/>
      <c r="AI121" s="394"/>
      <c r="AJ121" s="394"/>
      <c r="AK121" s="381"/>
      <c r="AL121" s="408"/>
      <c r="AM121" s="385"/>
      <c r="AN121" s="475"/>
      <c r="AO121" s="395"/>
      <c r="AP121" s="395"/>
      <c r="AQ121" s="528">
        <v>70</v>
      </c>
      <c r="AR121" s="523">
        <v>15</v>
      </c>
      <c r="AS121" s="393">
        <v>15</v>
      </c>
      <c r="AT121" s="600">
        <v>50.279879999999999</v>
      </c>
      <c r="AU121" s="394">
        <v>33.909019999999998</v>
      </c>
      <c r="AV121" s="394">
        <v>5.9562999999999997</v>
      </c>
      <c r="AW121" s="394">
        <v>21.72334</v>
      </c>
      <c r="AX121" s="394">
        <v>5.8591100000000003</v>
      </c>
      <c r="AY121" s="394">
        <v>0</v>
      </c>
      <c r="AZ121" s="394">
        <v>0</v>
      </c>
      <c r="BA121" s="394">
        <v>5.1420399999999997</v>
      </c>
      <c r="BB121" s="394">
        <v>8.5089999999999999E-2</v>
      </c>
      <c r="BC121" s="394">
        <v>10.86167</v>
      </c>
      <c r="BD121" s="381" t="s">
        <v>167</v>
      </c>
      <c r="BE121" s="408" t="s">
        <v>175</v>
      </c>
      <c r="BF121" s="385"/>
      <c r="BG121" s="475">
        <v>38</v>
      </c>
      <c r="BH121" s="395">
        <f t="shared" si="59"/>
        <v>718.28399999999999</v>
      </c>
      <c r="BI121" s="395">
        <f t="shared" si="60"/>
        <v>3.3519920000000001</v>
      </c>
    </row>
    <row r="122" spans="1:61" s="358" customFormat="1" ht="19.2" x14ac:dyDescent="0.3">
      <c r="A122" s="359" t="s">
        <v>328</v>
      </c>
      <c r="B122" s="602" t="s">
        <v>4725</v>
      </c>
      <c r="C122" s="601" t="s">
        <v>4724</v>
      </c>
      <c r="D122" s="360">
        <v>0.4</v>
      </c>
      <c r="E122" s="528"/>
      <c r="F122" s="523"/>
      <c r="G122" s="393"/>
      <c r="H122" s="394"/>
      <c r="I122" s="394"/>
      <c r="J122" s="394"/>
      <c r="K122" s="394"/>
      <c r="L122" s="394"/>
      <c r="M122" s="394"/>
      <c r="N122" s="394"/>
      <c r="O122" s="394"/>
      <c r="P122" s="394"/>
      <c r="Q122" s="394"/>
      <c r="R122" s="381"/>
      <c r="S122" s="408"/>
      <c r="T122" s="385"/>
      <c r="U122" s="475"/>
      <c r="V122" s="395"/>
      <c r="W122" s="395"/>
      <c r="X122" s="528"/>
      <c r="Y122" s="523"/>
      <c r="Z122" s="393"/>
      <c r="AA122" s="394"/>
      <c r="AB122" s="394"/>
      <c r="AC122" s="394"/>
      <c r="AD122" s="394"/>
      <c r="AE122" s="394"/>
      <c r="AF122" s="394"/>
      <c r="AG122" s="394"/>
      <c r="AH122" s="394"/>
      <c r="AI122" s="394"/>
      <c r="AJ122" s="394"/>
      <c r="AK122" s="381"/>
      <c r="AL122" s="408"/>
      <c r="AM122" s="385"/>
      <c r="AN122" s="475"/>
      <c r="AO122" s="395"/>
      <c r="AP122" s="395"/>
      <c r="AQ122" s="528">
        <v>32</v>
      </c>
      <c r="AR122" s="523">
        <v>15</v>
      </c>
      <c r="AS122" s="393">
        <v>15</v>
      </c>
      <c r="AT122" s="600">
        <v>24.137170000000001</v>
      </c>
      <c r="AU122" s="394">
        <v>16.247170000000001</v>
      </c>
      <c r="AV122" s="394">
        <v>2.72288</v>
      </c>
      <c r="AW122" s="394">
        <v>11.375540000000001</v>
      </c>
      <c r="AX122" s="394">
        <v>2.8362099999999999</v>
      </c>
      <c r="AY122" s="394">
        <v>0</v>
      </c>
      <c r="AZ122" s="394">
        <v>0</v>
      </c>
      <c r="BA122" s="394">
        <v>2.4700000000000002</v>
      </c>
      <c r="BB122" s="394">
        <v>8.5089999999999999E-2</v>
      </c>
      <c r="BC122" s="394">
        <v>11.375540000000001</v>
      </c>
      <c r="BD122" s="381" t="s">
        <v>167</v>
      </c>
      <c r="BE122" s="408" t="s">
        <v>175</v>
      </c>
      <c r="BF122" s="385"/>
      <c r="BG122" s="475">
        <v>40</v>
      </c>
      <c r="BH122" s="395">
        <f t="shared" ref="BH122" si="67">AT122/AQ122*1000</f>
        <v>754.28656250000006</v>
      </c>
      <c r="BI122" s="395">
        <f t="shared" ref="BI122" si="68">AT122/AR122</f>
        <v>1.6091446666666667</v>
      </c>
    </row>
    <row r="123" spans="1:61" s="358" customFormat="1" ht="19.2" x14ac:dyDescent="0.3">
      <c r="A123" s="359" t="s">
        <v>329</v>
      </c>
      <c r="B123" s="602" t="s">
        <v>4727</v>
      </c>
      <c r="C123" s="601" t="s">
        <v>4726</v>
      </c>
      <c r="D123" s="360">
        <v>0.4</v>
      </c>
      <c r="E123" s="528"/>
      <c r="F123" s="523"/>
      <c r="G123" s="393"/>
      <c r="H123" s="394"/>
      <c r="I123" s="394"/>
      <c r="J123" s="394"/>
      <c r="K123" s="394"/>
      <c r="L123" s="394"/>
      <c r="M123" s="394"/>
      <c r="N123" s="394"/>
      <c r="O123" s="394"/>
      <c r="P123" s="394"/>
      <c r="Q123" s="394"/>
      <c r="R123" s="381"/>
      <c r="S123" s="408"/>
      <c r="T123" s="385"/>
      <c r="U123" s="475"/>
      <c r="V123" s="395"/>
      <c r="W123" s="395"/>
      <c r="X123" s="528"/>
      <c r="Y123" s="523"/>
      <c r="Z123" s="393"/>
      <c r="AA123" s="394"/>
      <c r="AB123" s="394"/>
      <c r="AC123" s="394"/>
      <c r="AD123" s="394"/>
      <c r="AE123" s="394"/>
      <c r="AF123" s="394"/>
      <c r="AG123" s="394"/>
      <c r="AH123" s="394"/>
      <c r="AI123" s="394"/>
      <c r="AJ123" s="394"/>
      <c r="AK123" s="381"/>
      <c r="AL123" s="408"/>
      <c r="AM123" s="385"/>
      <c r="AN123" s="475"/>
      <c r="AO123" s="395"/>
      <c r="AP123" s="395"/>
      <c r="AQ123" s="528">
        <v>60</v>
      </c>
      <c r="AR123" s="523">
        <v>15</v>
      </c>
      <c r="AS123" s="393">
        <v>15</v>
      </c>
      <c r="AT123" s="600">
        <v>47.689340000000001</v>
      </c>
      <c r="AU123" s="394">
        <v>32.236820000000002</v>
      </c>
      <c r="AV123" s="394">
        <v>5.1054000000000004</v>
      </c>
      <c r="AW123" s="394">
        <v>21.72334</v>
      </c>
      <c r="AX123" s="394">
        <v>5.5655700000000001</v>
      </c>
      <c r="AY123" s="394">
        <v>0</v>
      </c>
      <c r="AZ123" s="394">
        <v>0</v>
      </c>
      <c r="BA123" s="394">
        <v>4.8298199999999998</v>
      </c>
      <c r="BB123" s="394">
        <v>8.5089999999999999E-2</v>
      </c>
      <c r="BC123" s="394">
        <v>10.86167</v>
      </c>
      <c r="BD123" s="381" t="s">
        <v>167</v>
      </c>
      <c r="BE123" s="408" t="s">
        <v>175</v>
      </c>
      <c r="BF123" s="385"/>
      <c r="BG123" s="475">
        <v>42</v>
      </c>
      <c r="BH123" s="395">
        <f t="shared" si="59"/>
        <v>794.8223333333334</v>
      </c>
      <c r="BI123" s="395">
        <f t="shared" si="60"/>
        <v>3.1792893333333336</v>
      </c>
    </row>
    <row r="124" spans="1:61" s="358" customFormat="1" ht="19.2" x14ac:dyDescent="0.3">
      <c r="A124" s="359" t="s">
        <v>330</v>
      </c>
      <c r="B124" s="602" t="s">
        <v>4721</v>
      </c>
      <c r="C124" s="601" t="s">
        <v>4728</v>
      </c>
      <c r="D124" s="360">
        <v>0.4</v>
      </c>
      <c r="E124" s="528"/>
      <c r="F124" s="523"/>
      <c r="G124" s="393"/>
      <c r="H124" s="394"/>
      <c r="I124" s="394"/>
      <c r="J124" s="394"/>
      <c r="K124" s="394"/>
      <c r="L124" s="394"/>
      <c r="M124" s="394"/>
      <c r="N124" s="394"/>
      <c r="O124" s="394"/>
      <c r="P124" s="394"/>
      <c r="Q124" s="394"/>
      <c r="R124" s="381"/>
      <c r="S124" s="408"/>
      <c r="T124" s="385"/>
      <c r="U124" s="475"/>
      <c r="V124" s="395"/>
      <c r="W124" s="395"/>
      <c r="X124" s="528"/>
      <c r="Y124" s="523"/>
      <c r="Z124" s="393"/>
      <c r="AA124" s="394"/>
      <c r="AB124" s="394"/>
      <c r="AC124" s="394"/>
      <c r="AD124" s="394"/>
      <c r="AE124" s="394"/>
      <c r="AF124" s="394"/>
      <c r="AG124" s="394"/>
      <c r="AH124" s="394"/>
      <c r="AI124" s="394"/>
      <c r="AJ124" s="394"/>
      <c r="AK124" s="381"/>
      <c r="AL124" s="408"/>
      <c r="AM124" s="385"/>
      <c r="AN124" s="475"/>
      <c r="AO124" s="395"/>
      <c r="AP124" s="395"/>
      <c r="AQ124" s="528">
        <v>52</v>
      </c>
      <c r="AR124" s="523">
        <v>3</v>
      </c>
      <c r="AS124" s="393">
        <v>3</v>
      </c>
      <c r="AT124" s="600">
        <v>43.358759999999997</v>
      </c>
      <c r="AU124" s="394">
        <v>28.559280000000001</v>
      </c>
      <c r="AV124" s="394">
        <v>4.4246800000000004</v>
      </c>
      <c r="AW124" s="394">
        <v>21.72334</v>
      </c>
      <c r="AX124" s="394">
        <v>5.3518600000000003</v>
      </c>
      <c r="AY124" s="394">
        <v>0</v>
      </c>
      <c r="AZ124" s="394">
        <v>0</v>
      </c>
      <c r="BA124" s="394">
        <v>4.6094200000000001</v>
      </c>
      <c r="BB124" s="394">
        <v>8.5089999999999999E-2</v>
      </c>
      <c r="BC124" s="394">
        <v>10.86167</v>
      </c>
      <c r="BD124" s="381" t="s">
        <v>167</v>
      </c>
      <c r="BE124" s="408" t="s">
        <v>175</v>
      </c>
      <c r="BF124" s="385"/>
      <c r="BG124" s="475">
        <v>44</v>
      </c>
      <c r="BH124" s="395">
        <f t="shared" si="59"/>
        <v>833.82230769230762</v>
      </c>
      <c r="BI124" s="395">
        <f t="shared" si="60"/>
        <v>14.452919999999999</v>
      </c>
    </row>
    <row r="125" spans="1:61" s="358" customFormat="1" ht="19.2" x14ac:dyDescent="0.3">
      <c r="A125" s="359" t="s">
        <v>331</v>
      </c>
      <c r="B125" s="602" t="s">
        <v>4732</v>
      </c>
      <c r="C125" s="601" t="s">
        <v>4731</v>
      </c>
      <c r="D125" s="360">
        <v>0.4</v>
      </c>
      <c r="E125" s="528"/>
      <c r="F125" s="523"/>
      <c r="G125" s="393"/>
      <c r="H125" s="394"/>
      <c r="I125" s="394"/>
      <c r="J125" s="394"/>
      <c r="K125" s="394"/>
      <c r="L125" s="394"/>
      <c r="M125" s="394"/>
      <c r="N125" s="394"/>
      <c r="O125" s="394"/>
      <c r="P125" s="394"/>
      <c r="Q125" s="394"/>
      <c r="R125" s="381"/>
      <c r="S125" s="408"/>
      <c r="T125" s="385"/>
      <c r="U125" s="475"/>
      <c r="V125" s="395"/>
      <c r="W125" s="395"/>
      <c r="X125" s="528"/>
      <c r="Y125" s="523"/>
      <c r="Z125" s="393"/>
      <c r="AA125" s="394"/>
      <c r="AB125" s="394"/>
      <c r="AC125" s="394"/>
      <c r="AD125" s="394"/>
      <c r="AE125" s="394"/>
      <c r="AF125" s="394"/>
      <c r="AG125" s="394"/>
      <c r="AH125" s="394"/>
      <c r="AI125" s="394"/>
      <c r="AJ125" s="394"/>
      <c r="AK125" s="381"/>
      <c r="AL125" s="408"/>
      <c r="AM125" s="385"/>
      <c r="AN125" s="475"/>
      <c r="AO125" s="395"/>
      <c r="AP125" s="395"/>
      <c r="AQ125" s="528">
        <v>50</v>
      </c>
      <c r="AR125" s="523">
        <v>15</v>
      </c>
      <c r="AS125" s="393">
        <v>15</v>
      </c>
      <c r="AT125" s="600">
        <v>26.745729999999998</v>
      </c>
      <c r="AU125" s="394">
        <v>17.381889999999999</v>
      </c>
      <c r="AV125" s="394">
        <v>4.2545000000000002</v>
      </c>
      <c r="AW125" s="394">
        <v>10.86167</v>
      </c>
      <c r="AX125" s="394">
        <v>3.3170600000000001</v>
      </c>
      <c r="AY125" s="394">
        <v>0</v>
      </c>
      <c r="AZ125" s="394">
        <v>0</v>
      </c>
      <c r="BA125" s="394">
        <v>2.9659</v>
      </c>
      <c r="BB125" s="394">
        <v>8.5089999999999999E-2</v>
      </c>
      <c r="BC125" s="394">
        <v>10.86167</v>
      </c>
      <c r="BD125" s="381" t="s">
        <v>167</v>
      </c>
      <c r="BE125" s="408" t="s">
        <v>175</v>
      </c>
      <c r="BF125" s="385"/>
      <c r="BG125" s="475">
        <v>46</v>
      </c>
      <c r="BH125" s="395">
        <f t="shared" ref="BH125" si="69">AT125/AQ125*1000</f>
        <v>534.91460000000006</v>
      </c>
      <c r="BI125" s="395">
        <f t="shared" ref="BI125" si="70">AT125/AR125</f>
        <v>1.7830486666666665</v>
      </c>
    </row>
    <row r="126" spans="1:61" s="358" customFormat="1" ht="19.2" x14ac:dyDescent="0.3">
      <c r="A126" s="359" t="s">
        <v>332</v>
      </c>
      <c r="B126" s="602" t="s">
        <v>4734</v>
      </c>
      <c r="C126" s="601" t="s">
        <v>4733</v>
      </c>
      <c r="D126" s="360">
        <v>0.4</v>
      </c>
      <c r="E126" s="528"/>
      <c r="F126" s="523"/>
      <c r="G126" s="393"/>
      <c r="H126" s="394"/>
      <c r="I126" s="394"/>
      <c r="J126" s="394"/>
      <c r="K126" s="394"/>
      <c r="L126" s="394"/>
      <c r="M126" s="394"/>
      <c r="N126" s="394"/>
      <c r="O126" s="394"/>
      <c r="P126" s="394"/>
      <c r="Q126" s="394"/>
      <c r="R126" s="381"/>
      <c r="S126" s="408"/>
      <c r="T126" s="385"/>
      <c r="U126" s="475"/>
      <c r="V126" s="395"/>
      <c r="W126" s="395"/>
      <c r="X126" s="528"/>
      <c r="Y126" s="523"/>
      <c r="Z126" s="393"/>
      <c r="AA126" s="394"/>
      <c r="AB126" s="394"/>
      <c r="AC126" s="394"/>
      <c r="AD126" s="394"/>
      <c r="AE126" s="394"/>
      <c r="AF126" s="394"/>
      <c r="AG126" s="394"/>
      <c r="AH126" s="394"/>
      <c r="AI126" s="394"/>
      <c r="AJ126" s="394"/>
      <c r="AK126" s="381"/>
      <c r="AL126" s="408"/>
      <c r="AM126" s="385"/>
      <c r="AN126" s="475"/>
      <c r="AO126" s="395"/>
      <c r="AP126" s="395"/>
      <c r="AQ126" s="528">
        <v>78</v>
      </c>
      <c r="AR126" s="523">
        <v>15</v>
      </c>
      <c r="AS126" s="393">
        <v>15</v>
      </c>
      <c r="AT126" s="600">
        <v>32.275860000000002</v>
      </c>
      <c r="AU126" s="394">
        <v>20.61937</v>
      </c>
      <c r="AV126" s="394">
        <v>6.6370199999999997</v>
      </c>
      <c r="AW126" s="394">
        <v>10.86167</v>
      </c>
      <c r="AX126" s="394">
        <v>4.0650500000000003</v>
      </c>
      <c r="AY126" s="394">
        <v>0</v>
      </c>
      <c r="AZ126" s="394">
        <v>0</v>
      </c>
      <c r="BA126" s="394">
        <v>3.7372999999999998</v>
      </c>
      <c r="BB126" s="394">
        <v>8.5089999999999999E-2</v>
      </c>
      <c r="BC126" s="394">
        <v>10.86167</v>
      </c>
      <c r="BD126" s="381" t="s">
        <v>167</v>
      </c>
      <c r="BE126" s="408" t="s">
        <v>175</v>
      </c>
      <c r="BF126" s="385"/>
      <c r="BG126" s="475">
        <v>48</v>
      </c>
      <c r="BH126" s="395">
        <f t="shared" si="59"/>
        <v>413.79307692307691</v>
      </c>
      <c r="BI126" s="395">
        <f t="shared" si="60"/>
        <v>2.1517240000000002</v>
      </c>
    </row>
    <row r="127" spans="1:61" s="358" customFormat="1" ht="19.2" x14ac:dyDescent="0.3">
      <c r="A127" s="359" t="s">
        <v>333</v>
      </c>
      <c r="B127" s="602" t="s">
        <v>4740</v>
      </c>
      <c r="C127" s="601" t="s">
        <v>4739</v>
      </c>
      <c r="D127" s="360">
        <v>0.4</v>
      </c>
      <c r="E127" s="528"/>
      <c r="F127" s="523"/>
      <c r="G127" s="393"/>
      <c r="H127" s="394"/>
      <c r="I127" s="394"/>
      <c r="J127" s="394"/>
      <c r="K127" s="394"/>
      <c r="L127" s="394"/>
      <c r="M127" s="394"/>
      <c r="N127" s="394"/>
      <c r="O127" s="394"/>
      <c r="P127" s="394"/>
      <c r="Q127" s="394"/>
      <c r="R127" s="381"/>
      <c r="S127" s="408"/>
      <c r="T127" s="385"/>
      <c r="U127" s="475"/>
      <c r="V127" s="395"/>
      <c r="W127" s="395"/>
      <c r="X127" s="528"/>
      <c r="Y127" s="523"/>
      <c r="Z127" s="393"/>
      <c r="AA127" s="394"/>
      <c r="AB127" s="394"/>
      <c r="AC127" s="394"/>
      <c r="AD127" s="394"/>
      <c r="AE127" s="394"/>
      <c r="AF127" s="394"/>
      <c r="AG127" s="394"/>
      <c r="AH127" s="394"/>
      <c r="AI127" s="394"/>
      <c r="AJ127" s="394"/>
      <c r="AK127" s="381"/>
      <c r="AL127" s="408"/>
      <c r="AM127" s="385"/>
      <c r="AN127" s="475"/>
      <c r="AO127" s="395"/>
      <c r="AP127" s="395"/>
      <c r="AQ127" s="528">
        <v>20</v>
      </c>
      <c r="AR127" s="523">
        <v>45</v>
      </c>
      <c r="AS127" s="393">
        <v>45</v>
      </c>
      <c r="AT127" s="600">
        <v>5.1423100000000002</v>
      </c>
      <c r="AU127" s="394">
        <v>3.5047100000000002</v>
      </c>
      <c r="AV127" s="394">
        <v>1.7018</v>
      </c>
      <c r="AW127" s="394"/>
      <c r="AX127" s="394">
        <v>0.53427999999999998</v>
      </c>
      <c r="AY127" s="394">
        <v>0</v>
      </c>
      <c r="AZ127" s="394">
        <v>0</v>
      </c>
      <c r="BA127" s="394">
        <v>0.55100000000000005</v>
      </c>
      <c r="BB127" s="394">
        <v>8.5089999999999999E-2</v>
      </c>
      <c r="BC127" s="394"/>
      <c r="BD127" s="381" t="s">
        <v>167</v>
      </c>
      <c r="BE127" s="408" t="s">
        <v>175</v>
      </c>
      <c r="BF127" s="385"/>
      <c r="BG127" s="475">
        <v>50</v>
      </c>
      <c r="BH127" s="395">
        <f t="shared" ref="BH127:BH140" si="71">AT127/AQ127*1000</f>
        <v>257.1155</v>
      </c>
      <c r="BI127" s="395">
        <f t="shared" ref="BI127:BI140" si="72">AT127/AR127</f>
        <v>0.11427355555555556</v>
      </c>
    </row>
    <row r="128" spans="1:61" s="358" customFormat="1" ht="19.2" x14ac:dyDescent="0.3">
      <c r="A128" s="359" t="s">
        <v>334</v>
      </c>
      <c r="B128" s="602" t="s">
        <v>4270</v>
      </c>
      <c r="C128" s="601" t="s">
        <v>4741</v>
      </c>
      <c r="D128" s="360">
        <v>0.4</v>
      </c>
      <c r="E128" s="528"/>
      <c r="F128" s="523"/>
      <c r="G128" s="393"/>
      <c r="H128" s="394"/>
      <c r="I128" s="394"/>
      <c r="J128" s="394"/>
      <c r="K128" s="394"/>
      <c r="L128" s="394"/>
      <c r="M128" s="394"/>
      <c r="N128" s="394"/>
      <c r="O128" s="394"/>
      <c r="P128" s="394"/>
      <c r="Q128" s="394"/>
      <c r="R128" s="381"/>
      <c r="S128" s="408"/>
      <c r="T128" s="385"/>
      <c r="U128" s="475"/>
      <c r="V128" s="395"/>
      <c r="W128" s="395"/>
      <c r="X128" s="528"/>
      <c r="Y128" s="523"/>
      <c r="Z128" s="393"/>
      <c r="AA128" s="394"/>
      <c r="AB128" s="394"/>
      <c r="AC128" s="394"/>
      <c r="AD128" s="394"/>
      <c r="AE128" s="394"/>
      <c r="AF128" s="394"/>
      <c r="AG128" s="394"/>
      <c r="AH128" s="394"/>
      <c r="AI128" s="394"/>
      <c r="AJ128" s="394"/>
      <c r="AK128" s="381"/>
      <c r="AL128" s="408"/>
      <c r="AM128" s="385"/>
      <c r="AN128" s="475"/>
      <c r="AO128" s="395"/>
      <c r="AP128" s="395"/>
      <c r="AQ128" s="528">
        <v>50</v>
      </c>
      <c r="AR128" s="523">
        <v>15</v>
      </c>
      <c r="AS128" s="393">
        <v>15</v>
      </c>
      <c r="AT128" s="600">
        <v>10.29078</v>
      </c>
      <c r="AU128" s="394">
        <v>6.1968100000000002</v>
      </c>
      <c r="AV128" s="394">
        <v>4.2545000000000002</v>
      </c>
      <c r="AW128" s="394"/>
      <c r="AX128" s="394">
        <v>1.33589</v>
      </c>
      <c r="AY128" s="394">
        <v>0</v>
      </c>
      <c r="AZ128" s="394">
        <v>0</v>
      </c>
      <c r="BA128" s="394">
        <v>1.37748</v>
      </c>
      <c r="BB128" s="394">
        <v>8.5089999999999999E-2</v>
      </c>
      <c r="BC128" s="394"/>
      <c r="BD128" s="381" t="s">
        <v>167</v>
      </c>
      <c r="BE128" s="408" t="s">
        <v>175</v>
      </c>
      <c r="BF128" s="385"/>
      <c r="BG128" s="475">
        <v>51</v>
      </c>
      <c r="BH128" s="395">
        <f t="shared" si="71"/>
        <v>205.81559999999999</v>
      </c>
      <c r="BI128" s="395">
        <f t="shared" si="72"/>
        <v>0.686052</v>
      </c>
    </row>
    <row r="129" spans="1:61" s="358" customFormat="1" ht="19.2" x14ac:dyDescent="0.3">
      <c r="A129" s="359" t="s">
        <v>335</v>
      </c>
      <c r="B129" s="602" t="s">
        <v>4745</v>
      </c>
      <c r="C129" s="601" t="s">
        <v>4744</v>
      </c>
      <c r="D129" s="360">
        <v>0.4</v>
      </c>
      <c r="E129" s="528"/>
      <c r="F129" s="523"/>
      <c r="G129" s="393"/>
      <c r="H129" s="394"/>
      <c r="I129" s="394"/>
      <c r="J129" s="394"/>
      <c r="K129" s="394"/>
      <c r="L129" s="394"/>
      <c r="M129" s="394"/>
      <c r="N129" s="394"/>
      <c r="O129" s="394"/>
      <c r="P129" s="394"/>
      <c r="Q129" s="394"/>
      <c r="R129" s="381"/>
      <c r="S129" s="408"/>
      <c r="T129" s="385"/>
      <c r="U129" s="475"/>
      <c r="V129" s="395"/>
      <c r="W129" s="395"/>
      <c r="X129" s="528"/>
      <c r="Y129" s="523"/>
      <c r="Z129" s="393"/>
      <c r="AA129" s="394"/>
      <c r="AB129" s="394"/>
      <c r="AC129" s="394"/>
      <c r="AD129" s="394"/>
      <c r="AE129" s="394"/>
      <c r="AF129" s="394"/>
      <c r="AG129" s="394"/>
      <c r="AH129" s="394"/>
      <c r="AI129" s="394"/>
      <c r="AJ129" s="394"/>
      <c r="AK129" s="381"/>
      <c r="AL129" s="408"/>
      <c r="AM129" s="385"/>
      <c r="AN129" s="475"/>
      <c r="AO129" s="395"/>
      <c r="AP129" s="395"/>
      <c r="AQ129" s="528">
        <v>50</v>
      </c>
      <c r="AR129" s="523">
        <v>15</v>
      </c>
      <c r="AS129" s="393">
        <v>15</v>
      </c>
      <c r="AT129" s="600">
        <v>43.666110000000003</v>
      </c>
      <c r="AU129" s="394">
        <v>29.032409999999999</v>
      </c>
      <c r="AV129" s="394">
        <v>4.2545000000000002</v>
      </c>
      <c r="AW129" s="394">
        <v>21.72334</v>
      </c>
      <c r="AX129" s="394">
        <v>5.2984299999999998</v>
      </c>
      <c r="AY129" s="394">
        <v>0</v>
      </c>
      <c r="AZ129" s="394">
        <v>0</v>
      </c>
      <c r="BA129" s="394">
        <v>4.5543100000000001</v>
      </c>
      <c r="BB129" s="394">
        <v>8.5089999999999999E-2</v>
      </c>
      <c r="BC129" s="394">
        <v>10.86167</v>
      </c>
      <c r="BD129" s="381" t="s">
        <v>167</v>
      </c>
      <c r="BE129" s="408" t="s">
        <v>175</v>
      </c>
      <c r="BF129" s="385"/>
      <c r="BG129" s="475">
        <v>52</v>
      </c>
      <c r="BH129" s="395">
        <f t="shared" ref="BH129" si="73">AT129/AQ129*1000</f>
        <v>873.32220000000007</v>
      </c>
      <c r="BI129" s="395">
        <f t="shared" ref="BI129" si="74">AT129/AR129</f>
        <v>2.9110740000000002</v>
      </c>
    </row>
    <row r="130" spans="1:61" s="358" customFormat="1" ht="19.2" x14ac:dyDescent="0.3">
      <c r="A130" s="359" t="s">
        <v>336</v>
      </c>
      <c r="B130" s="602" t="s">
        <v>4747</v>
      </c>
      <c r="C130" s="601" t="s">
        <v>4746</v>
      </c>
      <c r="D130" s="360">
        <v>0.4</v>
      </c>
      <c r="E130" s="528"/>
      <c r="F130" s="523"/>
      <c r="G130" s="393"/>
      <c r="H130" s="394"/>
      <c r="I130" s="394"/>
      <c r="J130" s="394"/>
      <c r="K130" s="394"/>
      <c r="L130" s="394"/>
      <c r="M130" s="394"/>
      <c r="N130" s="394"/>
      <c r="O130" s="394"/>
      <c r="P130" s="394"/>
      <c r="Q130" s="394"/>
      <c r="R130" s="381"/>
      <c r="S130" s="408"/>
      <c r="T130" s="385"/>
      <c r="U130" s="475"/>
      <c r="V130" s="395"/>
      <c r="W130" s="395"/>
      <c r="X130" s="528"/>
      <c r="Y130" s="523"/>
      <c r="Z130" s="393"/>
      <c r="AA130" s="394"/>
      <c r="AB130" s="394"/>
      <c r="AC130" s="394"/>
      <c r="AD130" s="394"/>
      <c r="AE130" s="394"/>
      <c r="AF130" s="394"/>
      <c r="AG130" s="394"/>
      <c r="AH130" s="394"/>
      <c r="AI130" s="394"/>
      <c r="AJ130" s="394"/>
      <c r="AK130" s="381"/>
      <c r="AL130" s="408"/>
      <c r="AM130" s="385"/>
      <c r="AN130" s="475"/>
      <c r="AO130" s="395"/>
      <c r="AP130" s="395"/>
      <c r="AQ130" s="528">
        <v>65</v>
      </c>
      <c r="AR130" s="523">
        <v>15</v>
      </c>
      <c r="AS130" s="393">
        <v>15</v>
      </c>
      <c r="AT130" s="600">
        <v>29.997140000000002</v>
      </c>
      <c r="AU130" s="394">
        <v>19.405080000000002</v>
      </c>
      <c r="AV130" s="394">
        <v>5.53085</v>
      </c>
      <c r="AW130" s="394">
        <v>10.86167</v>
      </c>
      <c r="AX130" s="394">
        <v>3.7177699999999998</v>
      </c>
      <c r="AY130" s="394">
        <v>0</v>
      </c>
      <c r="AZ130" s="394">
        <v>0</v>
      </c>
      <c r="BA130" s="394">
        <v>3.3791799999999999</v>
      </c>
      <c r="BB130" s="394">
        <v>8.5089999999999999E-2</v>
      </c>
      <c r="BC130" s="394">
        <v>10.86167</v>
      </c>
      <c r="BD130" s="381" t="s">
        <v>167</v>
      </c>
      <c r="BE130" s="408" t="s">
        <v>175</v>
      </c>
      <c r="BF130" s="385"/>
      <c r="BG130" s="475">
        <v>54</v>
      </c>
      <c r="BH130" s="395">
        <f t="shared" si="71"/>
        <v>461.49446153846156</v>
      </c>
      <c r="BI130" s="395">
        <f t="shared" si="72"/>
        <v>1.9998093333333335</v>
      </c>
    </row>
    <row r="131" spans="1:61" s="358" customFormat="1" ht="19.2" x14ac:dyDescent="0.3">
      <c r="A131" s="359" t="s">
        <v>337</v>
      </c>
      <c r="B131" s="602" t="s">
        <v>4762</v>
      </c>
      <c r="C131" s="601" t="s">
        <v>4761</v>
      </c>
      <c r="D131" s="360">
        <v>0.4</v>
      </c>
      <c r="E131" s="528"/>
      <c r="F131" s="523"/>
      <c r="G131" s="393"/>
      <c r="H131" s="394"/>
      <c r="I131" s="394"/>
      <c r="J131" s="394"/>
      <c r="K131" s="394"/>
      <c r="L131" s="394"/>
      <c r="M131" s="394"/>
      <c r="N131" s="394"/>
      <c r="O131" s="394"/>
      <c r="P131" s="394"/>
      <c r="Q131" s="394"/>
      <c r="R131" s="381"/>
      <c r="S131" s="408"/>
      <c r="T131" s="385"/>
      <c r="U131" s="475"/>
      <c r="V131" s="395"/>
      <c r="W131" s="395"/>
      <c r="X131" s="528"/>
      <c r="Y131" s="523"/>
      <c r="Z131" s="393"/>
      <c r="AA131" s="394"/>
      <c r="AB131" s="394"/>
      <c r="AC131" s="394"/>
      <c r="AD131" s="394"/>
      <c r="AE131" s="394"/>
      <c r="AF131" s="394"/>
      <c r="AG131" s="394"/>
      <c r="AH131" s="394"/>
      <c r="AI131" s="394"/>
      <c r="AJ131" s="394"/>
      <c r="AK131" s="381"/>
      <c r="AL131" s="408"/>
      <c r="AM131" s="385"/>
      <c r="AN131" s="475"/>
      <c r="AO131" s="395"/>
      <c r="AP131" s="395"/>
      <c r="AQ131" s="528">
        <v>23</v>
      </c>
      <c r="AR131" s="523">
        <v>12</v>
      </c>
      <c r="AS131" s="393">
        <v>12</v>
      </c>
      <c r="AT131" s="600">
        <v>21.210629999999998</v>
      </c>
      <c r="AU131" s="394">
        <v>14.05753</v>
      </c>
      <c r="AV131" s="394">
        <v>1.94695</v>
      </c>
      <c r="AW131" s="394">
        <v>10.86167</v>
      </c>
      <c r="AX131" s="394">
        <v>2.59579</v>
      </c>
      <c r="AY131" s="394">
        <v>0</v>
      </c>
      <c r="AZ131" s="394">
        <v>0</v>
      </c>
      <c r="BA131" s="394">
        <v>2.2220599999999999</v>
      </c>
      <c r="BB131" s="394">
        <v>8.4650000000000003E-2</v>
      </c>
      <c r="BC131" s="394">
        <v>10.86167</v>
      </c>
      <c r="BD131" s="381" t="s">
        <v>167</v>
      </c>
      <c r="BE131" s="408" t="s">
        <v>175</v>
      </c>
      <c r="BF131" s="385"/>
      <c r="BG131" s="475">
        <v>56</v>
      </c>
      <c r="BH131" s="395">
        <f t="shared" ref="BH131" si="75">AT131/AQ131*1000</f>
        <v>922.20130434782595</v>
      </c>
      <c r="BI131" s="395">
        <f t="shared" ref="BI131" si="76">AT131/AR131</f>
        <v>1.7675524999999999</v>
      </c>
    </row>
    <row r="132" spans="1:61" s="358" customFormat="1" ht="19.2" x14ac:dyDescent="0.3">
      <c r="A132" s="359" t="s">
        <v>338</v>
      </c>
      <c r="B132" s="602" t="s">
        <v>4766</v>
      </c>
      <c r="C132" s="601" t="s">
        <v>4765</v>
      </c>
      <c r="D132" s="360">
        <v>0.4</v>
      </c>
      <c r="E132" s="528"/>
      <c r="F132" s="523"/>
      <c r="G132" s="393"/>
      <c r="H132" s="394"/>
      <c r="I132" s="394"/>
      <c r="J132" s="394"/>
      <c r="K132" s="394"/>
      <c r="L132" s="394"/>
      <c r="M132" s="394"/>
      <c r="N132" s="394"/>
      <c r="O132" s="394"/>
      <c r="P132" s="394"/>
      <c r="Q132" s="394"/>
      <c r="R132" s="381"/>
      <c r="S132" s="408"/>
      <c r="T132" s="385"/>
      <c r="U132" s="475"/>
      <c r="V132" s="395"/>
      <c r="W132" s="395"/>
      <c r="X132" s="528"/>
      <c r="Y132" s="523"/>
      <c r="Z132" s="393"/>
      <c r="AA132" s="394"/>
      <c r="AB132" s="394"/>
      <c r="AC132" s="394"/>
      <c r="AD132" s="394"/>
      <c r="AE132" s="394"/>
      <c r="AF132" s="394"/>
      <c r="AG132" s="394"/>
      <c r="AH132" s="394"/>
      <c r="AI132" s="394"/>
      <c r="AJ132" s="394"/>
      <c r="AK132" s="381"/>
      <c r="AL132" s="408"/>
      <c r="AM132" s="385"/>
      <c r="AN132" s="475"/>
      <c r="AO132" s="395"/>
      <c r="AP132" s="395"/>
      <c r="AQ132" s="528">
        <v>40</v>
      </c>
      <c r="AR132" s="523">
        <v>7</v>
      </c>
      <c r="AS132" s="393">
        <v>7</v>
      </c>
      <c r="AT132" s="600">
        <v>24.272079999999999</v>
      </c>
      <c r="AU132" s="394">
        <v>15.727040000000001</v>
      </c>
      <c r="AV132" s="394">
        <v>3.3860000000000001</v>
      </c>
      <c r="AW132" s="394">
        <v>10.94042</v>
      </c>
      <c r="AX132" s="394">
        <v>3.0499200000000002</v>
      </c>
      <c r="AY132" s="394">
        <v>0</v>
      </c>
      <c r="AZ132" s="394">
        <v>0</v>
      </c>
      <c r="BA132" s="394">
        <v>2.6903999999999999</v>
      </c>
      <c r="BB132" s="394">
        <v>8.4650000000000003E-2</v>
      </c>
      <c r="BC132" s="394">
        <v>10.94042</v>
      </c>
      <c r="BD132" s="381" t="s">
        <v>167</v>
      </c>
      <c r="BE132" s="408" t="s">
        <v>175</v>
      </c>
      <c r="BF132" s="385"/>
      <c r="BG132" s="475">
        <v>58</v>
      </c>
      <c r="BH132" s="395">
        <f t="shared" si="71"/>
        <v>606.80199999999991</v>
      </c>
      <c r="BI132" s="395">
        <f t="shared" si="72"/>
        <v>3.4674399999999999</v>
      </c>
    </row>
    <row r="133" spans="1:61" s="358" customFormat="1" ht="19.2" x14ac:dyDescent="0.3">
      <c r="A133" s="359" t="s">
        <v>339</v>
      </c>
      <c r="B133" s="602" t="s">
        <v>4769</v>
      </c>
      <c r="C133" s="601" t="s">
        <v>4768</v>
      </c>
      <c r="D133" s="360">
        <v>0.4</v>
      </c>
      <c r="E133" s="528"/>
      <c r="F133" s="523"/>
      <c r="G133" s="393"/>
      <c r="H133" s="394"/>
      <c r="I133" s="394"/>
      <c r="J133" s="394"/>
      <c r="K133" s="394"/>
      <c r="L133" s="394"/>
      <c r="M133" s="394"/>
      <c r="N133" s="394"/>
      <c r="O133" s="394"/>
      <c r="P133" s="394"/>
      <c r="Q133" s="394"/>
      <c r="R133" s="381"/>
      <c r="S133" s="408"/>
      <c r="T133" s="385"/>
      <c r="U133" s="475"/>
      <c r="V133" s="395"/>
      <c r="W133" s="395"/>
      <c r="X133" s="528"/>
      <c r="Y133" s="523"/>
      <c r="Z133" s="393"/>
      <c r="AA133" s="394"/>
      <c r="AB133" s="394"/>
      <c r="AC133" s="394"/>
      <c r="AD133" s="394"/>
      <c r="AE133" s="394"/>
      <c r="AF133" s="394"/>
      <c r="AG133" s="394"/>
      <c r="AH133" s="394"/>
      <c r="AI133" s="394"/>
      <c r="AJ133" s="394"/>
      <c r="AK133" s="381"/>
      <c r="AL133" s="408"/>
      <c r="AM133" s="385"/>
      <c r="AN133" s="475"/>
      <c r="AO133" s="395"/>
      <c r="AP133" s="395"/>
      <c r="AQ133" s="528">
        <v>47</v>
      </c>
      <c r="AR133" s="523">
        <v>15</v>
      </c>
      <c r="AS133" s="393">
        <v>15</v>
      </c>
      <c r="AT133" s="600">
        <v>44.626249999999999</v>
      </c>
      <c r="AU133" s="394">
        <v>30.23817</v>
      </c>
      <c r="AV133" s="394">
        <v>3.9785599999999999</v>
      </c>
      <c r="AW133" s="394">
        <v>21.880839999999999</v>
      </c>
      <c r="AX133" s="394">
        <v>5.2182899999999997</v>
      </c>
      <c r="AY133" s="394">
        <v>0</v>
      </c>
      <c r="AZ133" s="394">
        <v>0</v>
      </c>
      <c r="BA133" s="394">
        <v>4.4716699999999996</v>
      </c>
      <c r="BB133" s="394">
        <v>8.4650000000000003E-2</v>
      </c>
      <c r="BC133" s="394">
        <v>10.94042</v>
      </c>
      <c r="BD133" s="381" t="s">
        <v>167</v>
      </c>
      <c r="BE133" s="408" t="s">
        <v>175</v>
      </c>
      <c r="BF133" s="385"/>
      <c r="BG133" s="475">
        <v>60</v>
      </c>
      <c r="BH133" s="395">
        <f t="shared" si="71"/>
        <v>949.49468085106378</v>
      </c>
      <c r="BI133" s="395">
        <f t="shared" si="72"/>
        <v>2.9750833333333331</v>
      </c>
    </row>
    <row r="134" spans="1:61" s="358" customFormat="1" ht="19.2" x14ac:dyDescent="0.3">
      <c r="A134" s="359" t="s">
        <v>340</v>
      </c>
      <c r="B134" s="602" t="s">
        <v>4786</v>
      </c>
      <c r="C134" s="601" t="s">
        <v>4785</v>
      </c>
      <c r="D134" s="360">
        <v>0.4</v>
      </c>
      <c r="E134" s="528"/>
      <c r="F134" s="523"/>
      <c r="G134" s="393"/>
      <c r="H134" s="394"/>
      <c r="I134" s="394"/>
      <c r="J134" s="394"/>
      <c r="K134" s="394"/>
      <c r="L134" s="394"/>
      <c r="M134" s="394"/>
      <c r="N134" s="394"/>
      <c r="O134" s="394"/>
      <c r="P134" s="394"/>
      <c r="Q134" s="394"/>
      <c r="R134" s="381"/>
      <c r="S134" s="408"/>
      <c r="T134" s="385"/>
      <c r="U134" s="475"/>
      <c r="V134" s="395"/>
      <c r="W134" s="395"/>
      <c r="X134" s="528"/>
      <c r="Y134" s="523"/>
      <c r="Z134" s="393"/>
      <c r="AA134" s="394"/>
      <c r="AB134" s="394"/>
      <c r="AC134" s="394"/>
      <c r="AD134" s="394"/>
      <c r="AE134" s="394"/>
      <c r="AF134" s="394"/>
      <c r="AG134" s="394"/>
      <c r="AH134" s="394"/>
      <c r="AI134" s="394"/>
      <c r="AJ134" s="394"/>
      <c r="AK134" s="381"/>
      <c r="AL134" s="408"/>
      <c r="AM134" s="385"/>
      <c r="AN134" s="475"/>
      <c r="AO134" s="395"/>
      <c r="AP134" s="395"/>
      <c r="AQ134" s="528">
        <v>125</v>
      </c>
      <c r="AR134" s="523">
        <v>15</v>
      </c>
      <c r="AS134" s="393">
        <v>15</v>
      </c>
      <c r="AT134" s="600">
        <v>155.93132</v>
      </c>
      <c r="AU134" s="394">
        <v>106.66576000000001</v>
      </c>
      <c r="AV134" s="394">
        <v>10.581250000000001</v>
      </c>
      <c r="AW134" s="394">
        <f>32.82126+32.82126+21.88084</f>
        <v>87.523359999999997</v>
      </c>
      <c r="AX134" s="394">
        <v>18.115549999999999</v>
      </c>
      <c r="AY134" s="394">
        <v>0</v>
      </c>
      <c r="AZ134" s="394">
        <v>0</v>
      </c>
      <c r="BA134" s="394">
        <v>14.99037</v>
      </c>
      <c r="BB134" s="394">
        <v>8.4650000000000003E-2</v>
      </c>
      <c r="BC134" s="394">
        <v>10.94042</v>
      </c>
      <c r="BD134" s="381" t="s">
        <v>167</v>
      </c>
      <c r="BE134" s="408" t="s">
        <v>175</v>
      </c>
      <c r="BF134" s="385"/>
      <c r="BG134" s="475">
        <v>63</v>
      </c>
      <c r="BH134" s="395">
        <f t="shared" ref="BH134" si="77">AT134/AQ134*1000</f>
        <v>1247.45056</v>
      </c>
      <c r="BI134" s="395">
        <f t="shared" ref="BI134" si="78">AT134/AR134</f>
        <v>10.395421333333333</v>
      </c>
    </row>
    <row r="135" spans="1:61" s="358" customFormat="1" ht="19.2" x14ac:dyDescent="0.3">
      <c r="A135" s="359" t="s">
        <v>341</v>
      </c>
      <c r="B135" s="602" t="s">
        <v>4800</v>
      </c>
      <c r="C135" s="601" t="s">
        <v>4799</v>
      </c>
      <c r="D135" s="360">
        <v>0.4</v>
      </c>
      <c r="E135" s="528"/>
      <c r="F135" s="523"/>
      <c r="G135" s="393"/>
      <c r="H135" s="394"/>
      <c r="I135" s="394"/>
      <c r="J135" s="394"/>
      <c r="K135" s="394"/>
      <c r="L135" s="394"/>
      <c r="M135" s="394"/>
      <c r="N135" s="394"/>
      <c r="O135" s="394"/>
      <c r="P135" s="394"/>
      <c r="Q135" s="394"/>
      <c r="R135" s="381"/>
      <c r="S135" s="408"/>
      <c r="T135" s="385"/>
      <c r="U135" s="475"/>
      <c r="V135" s="395"/>
      <c r="W135" s="395"/>
      <c r="X135" s="528"/>
      <c r="Y135" s="523"/>
      <c r="Z135" s="393"/>
      <c r="AA135" s="394"/>
      <c r="AB135" s="394"/>
      <c r="AC135" s="394"/>
      <c r="AD135" s="394"/>
      <c r="AE135" s="394"/>
      <c r="AF135" s="394"/>
      <c r="AG135" s="394"/>
      <c r="AH135" s="394"/>
      <c r="AI135" s="394"/>
      <c r="AJ135" s="394"/>
      <c r="AK135" s="381"/>
      <c r="AL135" s="408"/>
      <c r="AM135" s="385"/>
      <c r="AN135" s="475"/>
      <c r="AO135" s="395"/>
      <c r="AP135" s="395"/>
      <c r="AQ135" s="528">
        <v>116</v>
      </c>
      <c r="AR135" s="523">
        <v>15</v>
      </c>
      <c r="AS135" s="393">
        <v>15</v>
      </c>
      <c r="AT135" s="600">
        <v>89.677189999999996</v>
      </c>
      <c r="AU135" s="394">
        <v>58.562420000000003</v>
      </c>
      <c r="AV135" s="394">
        <v>9.8193999999999999</v>
      </c>
      <c r="AW135" s="394">
        <f>22.15008+22.15008</f>
        <v>44.300159999999998</v>
      </c>
      <c r="AX135" s="394">
        <v>11.73441</v>
      </c>
      <c r="AY135" s="394">
        <v>0</v>
      </c>
      <c r="AZ135" s="394">
        <v>0</v>
      </c>
      <c r="BA135" s="394">
        <v>9.5156799999999997</v>
      </c>
      <c r="BB135" s="394">
        <v>8.4650000000000003E-2</v>
      </c>
      <c r="BC135" s="394">
        <v>11.07504</v>
      </c>
      <c r="BD135" s="381" t="s">
        <v>167</v>
      </c>
      <c r="BE135" s="408" t="s">
        <v>175</v>
      </c>
      <c r="BF135" s="385"/>
      <c r="BG135" s="475">
        <v>65</v>
      </c>
      <c r="BH135" s="395">
        <f t="shared" si="71"/>
        <v>773.07922413793096</v>
      </c>
      <c r="BI135" s="395">
        <f t="shared" si="72"/>
        <v>5.9784793333333335</v>
      </c>
    </row>
    <row r="136" spans="1:61" s="358" customFormat="1" ht="19.2" x14ac:dyDescent="0.3">
      <c r="A136" s="359" t="s">
        <v>342</v>
      </c>
      <c r="B136" s="602" t="s">
        <v>4806</v>
      </c>
      <c r="C136" s="601" t="s">
        <v>4805</v>
      </c>
      <c r="D136" s="360">
        <v>0.4</v>
      </c>
      <c r="E136" s="528"/>
      <c r="F136" s="523"/>
      <c r="G136" s="393"/>
      <c r="H136" s="394"/>
      <c r="I136" s="394"/>
      <c r="J136" s="394"/>
      <c r="K136" s="394"/>
      <c r="L136" s="394"/>
      <c r="M136" s="394"/>
      <c r="N136" s="394"/>
      <c r="O136" s="394"/>
      <c r="P136" s="394"/>
      <c r="Q136" s="394"/>
      <c r="R136" s="381"/>
      <c r="S136" s="408"/>
      <c r="T136" s="385"/>
      <c r="U136" s="475"/>
      <c r="V136" s="395"/>
      <c r="W136" s="395"/>
      <c r="X136" s="528"/>
      <c r="Y136" s="523"/>
      <c r="Z136" s="393"/>
      <c r="AA136" s="394"/>
      <c r="AB136" s="394"/>
      <c r="AC136" s="394"/>
      <c r="AD136" s="394"/>
      <c r="AE136" s="394"/>
      <c r="AF136" s="394"/>
      <c r="AG136" s="394"/>
      <c r="AH136" s="394"/>
      <c r="AI136" s="394"/>
      <c r="AJ136" s="394"/>
      <c r="AK136" s="381"/>
      <c r="AL136" s="408"/>
      <c r="AM136" s="385"/>
      <c r="AN136" s="475"/>
      <c r="AO136" s="395"/>
      <c r="AP136" s="395"/>
      <c r="AQ136" s="528">
        <v>105</v>
      </c>
      <c r="AR136" s="523">
        <v>15</v>
      </c>
      <c r="AS136" s="393">
        <v>15</v>
      </c>
      <c r="AT136" s="600">
        <v>106.2623</v>
      </c>
      <c r="AU136" s="394">
        <v>70.732929999999996</v>
      </c>
      <c r="AV136" s="394">
        <v>8.8882499999999993</v>
      </c>
      <c r="AW136" s="394">
        <f>33.27201+22.18134</f>
        <v>55.45335</v>
      </c>
      <c r="AX136" s="394">
        <v>13.46734</v>
      </c>
      <c r="AY136" s="394">
        <v>0</v>
      </c>
      <c r="AZ136" s="394">
        <v>0</v>
      </c>
      <c r="BA136" s="394">
        <v>10.80105</v>
      </c>
      <c r="BB136" s="394">
        <v>8.4650000000000003E-2</v>
      </c>
      <c r="BC136" s="394">
        <v>11.090669999999999</v>
      </c>
      <c r="BD136" s="381" t="s">
        <v>167</v>
      </c>
      <c r="BE136" s="408" t="s">
        <v>175</v>
      </c>
      <c r="BF136" s="385"/>
      <c r="BG136" s="475">
        <v>67</v>
      </c>
      <c r="BH136" s="395">
        <f t="shared" ref="BH136" si="79">AT136/AQ136*1000</f>
        <v>1012.0219047619048</v>
      </c>
      <c r="BI136" s="395">
        <f t="shared" ref="BI136" si="80">AT136/AR136</f>
        <v>7.0841533333333331</v>
      </c>
    </row>
    <row r="137" spans="1:61" s="358" customFormat="1" ht="19.2" x14ac:dyDescent="0.3">
      <c r="A137" s="359" t="s">
        <v>343</v>
      </c>
      <c r="B137" s="602" t="s">
        <v>4808</v>
      </c>
      <c r="C137" s="601" t="s">
        <v>4807</v>
      </c>
      <c r="D137" s="360">
        <v>0.4</v>
      </c>
      <c r="E137" s="528"/>
      <c r="F137" s="523"/>
      <c r="G137" s="393"/>
      <c r="H137" s="394"/>
      <c r="I137" s="394"/>
      <c r="J137" s="394"/>
      <c r="K137" s="394"/>
      <c r="L137" s="394"/>
      <c r="M137" s="394"/>
      <c r="N137" s="394"/>
      <c r="O137" s="394"/>
      <c r="P137" s="394"/>
      <c r="Q137" s="394"/>
      <c r="R137" s="381"/>
      <c r="S137" s="408"/>
      <c r="T137" s="385"/>
      <c r="U137" s="475"/>
      <c r="V137" s="395"/>
      <c r="W137" s="395"/>
      <c r="X137" s="528"/>
      <c r="Y137" s="523"/>
      <c r="Z137" s="393"/>
      <c r="AA137" s="394"/>
      <c r="AB137" s="394"/>
      <c r="AC137" s="394"/>
      <c r="AD137" s="394"/>
      <c r="AE137" s="394"/>
      <c r="AF137" s="394"/>
      <c r="AG137" s="394"/>
      <c r="AH137" s="394"/>
      <c r="AI137" s="394"/>
      <c r="AJ137" s="394"/>
      <c r="AK137" s="381"/>
      <c r="AL137" s="408"/>
      <c r="AM137" s="385"/>
      <c r="AN137" s="475"/>
      <c r="AO137" s="395"/>
      <c r="AP137" s="395"/>
      <c r="AQ137" s="528">
        <v>37</v>
      </c>
      <c r="AR137" s="523">
        <v>3</v>
      </c>
      <c r="AS137" s="393">
        <v>3</v>
      </c>
      <c r="AT137" s="600">
        <v>25.029039999999998</v>
      </c>
      <c r="AU137" s="394">
        <v>16.63402</v>
      </c>
      <c r="AV137" s="394">
        <v>3.13205</v>
      </c>
      <c r="AW137" s="394">
        <v>11.090669999999999</v>
      </c>
      <c r="AX137" s="394">
        <v>3.0653800000000002</v>
      </c>
      <c r="AY137" s="394">
        <v>0</v>
      </c>
      <c r="AZ137" s="394">
        <v>0</v>
      </c>
      <c r="BA137" s="394">
        <v>2.6077599999999999</v>
      </c>
      <c r="BB137" s="394">
        <v>8.4650000000000003E-2</v>
      </c>
      <c r="BC137" s="394">
        <v>11.090669999999999</v>
      </c>
      <c r="BD137" s="381" t="s">
        <v>167</v>
      </c>
      <c r="BE137" s="408" t="s">
        <v>175</v>
      </c>
      <c r="BF137" s="385"/>
      <c r="BG137" s="475">
        <v>69</v>
      </c>
      <c r="BH137" s="395">
        <f t="shared" si="71"/>
        <v>676.46054054054048</v>
      </c>
      <c r="BI137" s="395">
        <f t="shared" si="72"/>
        <v>8.3430133333333334</v>
      </c>
    </row>
    <row r="138" spans="1:61" s="358" customFormat="1" ht="19.2" x14ac:dyDescent="0.3">
      <c r="A138" s="359" t="s">
        <v>344</v>
      </c>
      <c r="B138" s="602" t="s">
        <v>4813</v>
      </c>
      <c r="C138" s="601" t="s">
        <v>4812</v>
      </c>
      <c r="D138" s="360">
        <v>0.4</v>
      </c>
      <c r="E138" s="528"/>
      <c r="F138" s="523"/>
      <c r="G138" s="393"/>
      <c r="H138" s="394"/>
      <c r="I138" s="394"/>
      <c r="J138" s="394"/>
      <c r="K138" s="394"/>
      <c r="L138" s="394"/>
      <c r="M138" s="394"/>
      <c r="N138" s="394"/>
      <c r="O138" s="394"/>
      <c r="P138" s="394"/>
      <c r="Q138" s="394"/>
      <c r="R138" s="381"/>
      <c r="S138" s="408"/>
      <c r="T138" s="385"/>
      <c r="U138" s="475"/>
      <c r="V138" s="395"/>
      <c r="W138" s="395"/>
      <c r="X138" s="528"/>
      <c r="Y138" s="523"/>
      <c r="Z138" s="393"/>
      <c r="AA138" s="394"/>
      <c r="AB138" s="394"/>
      <c r="AC138" s="394"/>
      <c r="AD138" s="394"/>
      <c r="AE138" s="394"/>
      <c r="AF138" s="394"/>
      <c r="AG138" s="394"/>
      <c r="AH138" s="394"/>
      <c r="AI138" s="394"/>
      <c r="AJ138" s="394"/>
      <c r="AK138" s="381"/>
      <c r="AL138" s="408"/>
      <c r="AM138" s="385"/>
      <c r="AN138" s="475"/>
      <c r="AO138" s="395"/>
      <c r="AP138" s="395"/>
      <c r="AQ138" s="528">
        <v>65</v>
      </c>
      <c r="AR138" s="523">
        <v>15</v>
      </c>
      <c r="AS138" s="393">
        <v>15</v>
      </c>
      <c r="AT138" s="600">
        <v>64.825940000000003</v>
      </c>
      <c r="AU138" s="394">
        <v>43.267119999999998</v>
      </c>
      <c r="AV138" s="394">
        <v>5.5022500000000001</v>
      </c>
      <c r="AW138" s="394">
        <f>11.09067+22.18134</f>
        <v>33.272009999999995</v>
      </c>
      <c r="AX138" s="394">
        <v>8.2804099999999998</v>
      </c>
      <c r="AY138" s="394">
        <v>0</v>
      </c>
      <c r="AZ138" s="394">
        <v>0</v>
      </c>
      <c r="BA138" s="394">
        <v>6.5222300000000004</v>
      </c>
      <c r="BB138" s="394">
        <v>8.4650000000000003E-2</v>
      </c>
      <c r="BC138" s="394">
        <v>11.090669999999999</v>
      </c>
      <c r="BD138" s="381" t="s">
        <v>167</v>
      </c>
      <c r="BE138" s="408" t="s">
        <v>175</v>
      </c>
      <c r="BF138" s="385"/>
      <c r="BG138" s="475">
        <v>71</v>
      </c>
      <c r="BH138" s="395">
        <f t="shared" si="71"/>
        <v>997.32215384615381</v>
      </c>
      <c r="BI138" s="395">
        <f t="shared" si="72"/>
        <v>4.3217293333333338</v>
      </c>
    </row>
    <row r="139" spans="1:61" s="358" customFormat="1" ht="19.2" x14ac:dyDescent="0.3">
      <c r="A139" s="359" t="s">
        <v>345</v>
      </c>
      <c r="B139" s="602" t="s">
        <v>4822</v>
      </c>
      <c r="C139" s="601" t="s">
        <v>4821</v>
      </c>
      <c r="D139" s="360">
        <v>0.4</v>
      </c>
      <c r="E139" s="528"/>
      <c r="F139" s="523"/>
      <c r="G139" s="393"/>
      <c r="H139" s="394"/>
      <c r="I139" s="394"/>
      <c r="J139" s="394"/>
      <c r="K139" s="394"/>
      <c r="L139" s="394"/>
      <c r="M139" s="394"/>
      <c r="N139" s="394"/>
      <c r="O139" s="394"/>
      <c r="P139" s="394"/>
      <c r="Q139" s="394"/>
      <c r="R139" s="381"/>
      <c r="S139" s="408"/>
      <c r="T139" s="385"/>
      <c r="U139" s="475"/>
      <c r="V139" s="395"/>
      <c r="W139" s="395"/>
      <c r="X139" s="528"/>
      <c r="Y139" s="523"/>
      <c r="Z139" s="393"/>
      <c r="AA139" s="394"/>
      <c r="AB139" s="394"/>
      <c r="AC139" s="394"/>
      <c r="AD139" s="394"/>
      <c r="AE139" s="394"/>
      <c r="AF139" s="394"/>
      <c r="AG139" s="394"/>
      <c r="AH139" s="394"/>
      <c r="AI139" s="394"/>
      <c r="AJ139" s="394"/>
      <c r="AK139" s="381"/>
      <c r="AL139" s="408"/>
      <c r="AM139" s="385"/>
      <c r="AN139" s="475"/>
      <c r="AO139" s="395"/>
      <c r="AP139" s="395"/>
      <c r="AQ139" s="528">
        <v>47</v>
      </c>
      <c r="AR139" s="523">
        <v>15</v>
      </c>
      <c r="AS139" s="393">
        <v>15</v>
      </c>
      <c r="AT139" s="600">
        <v>26.67867</v>
      </c>
      <c r="AU139" s="394">
        <v>17.454409999999999</v>
      </c>
      <c r="AV139" s="394">
        <v>3.9785499999999998</v>
      </c>
      <c r="AW139" s="394">
        <v>11.222770000000001</v>
      </c>
      <c r="AX139" s="394">
        <v>3.3429700000000002</v>
      </c>
      <c r="AY139" s="394">
        <v>0</v>
      </c>
      <c r="AZ139" s="394">
        <v>0</v>
      </c>
      <c r="BA139" s="394">
        <v>2.8832499999999999</v>
      </c>
      <c r="BB139" s="394">
        <v>8.4650000000000003E-2</v>
      </c>
      <c r="BC139" s="394">
        <v>11.222770000000001</v>
      </c>
      <c r="BD139" s="381" t="s">
        <v>167</v>
      </c>
      <c r="BE139" s="408" t="s">
        <v>175</v>
      </c>
      <c r="BF139" s="385"/>
      <c r="BG139" s="475">
        <v>73</v>
      </c>
      <c r="BH139" s="395">
        <f t="shared" ref="BH139" si="81">AT139/AQ139*1000</f>
        <v>567.63127659574468</v>
      </c>
      <c r="BI139" s="395">
        <f t="shared" ref="BI139" si="82">AT139/AR139</f>
        <v>1.778578</v>
      </c>
    </row>
    <row r="140" spans="1:61" s="358" customFormat="1" ht="19.2" x14ac:dyDescent="0.3">
      <c r="A140" s="359" t="s">
        <v>346</v>
      </c>
      <c r="B140" s="602" t="s">
        <v>315</v>
      </c>
      <c r="C140" s="601" t="s">
        <v>4823</v>
      </c>
      <c r="D140" s="360">
        <v>0.4</v>
      </c>
      <c r="E140" s="528"/>
      <c r="F140" s="523"/>
      <c r="G140" s="393"/>
      <c r="H140" s="394"/>
      <c r="I140" s="394"/>
      <c r="J140" s="394"/>
      <c r="K140" s="394"/>
      <c r="L140" s="394"/>
      <c r="M140" s="394"/>
      <c r="N140" s="394"/>
      <c r="O140" s="394"/>
      <c r="P140" s="394"/>
      <c r="Q140" s="394"/>
      <c r="R140" s="381"/>
      <c r="S140" s="408"/>
      <c r="T140" s="385"/>
      <c r="U140" s="475"/>
      <c r="V140" s="395"/>
      <c r="W140" s="395"/>
      <c r="X140" s="528"/>
      <c r="Y140" s="523"/>
      <c r="Z140" s="393"/>
      <c r="AA140" s="394"/>
      <c r="AB140" s="394"/>
      <c r="AC140" s="394"/>
      <c r="AD140" s="394"/>
      <c r="AE140" s="394"/>
      <c r="AF140" s="394"/>
      <c r="AG140" s="394"/>
      <c r="AH140" s="394"/>
      <c r="AI140" s="394"/>
      <c r="AJ140" s="394"/>
      <c r="AK140" s="381"/>
      <c r="AL140" s="408"/>
      <c r="AM140" s="385"/>
      <c r="AN140" s="475"/>
      <c r="AO140" s="395"/>
      <c r="AP140" s="395"/>
      <c r="AQ140" s="528">
        <v>52</v>
      </c>
      <c r="AR140" s="523">
        <v>15</v>
      </c>
      <c r="AS140" s="393">
        <v>15</v>
      </c>
      <c r="AT140" s="600">
        <v>27.53979</v>
      </c>
      <c r="AU140" s="394">
        <v>17.90089</v>
      </c>
      <c r="AV140" s="394">
        <v>4.4017999999999997</v>
      </c>
      <c r="AW140" s="394">
        <v>11.222770000000001</v>
      </c>
      <c r="AX140" s="394">
        <v>3.48177</v>
      </c>
      <c r="AY140" s="394">
        <v>0</v>
      </c>
      <c r="AZ140" s="394">
        <v>0</v>
      </c>
      <c r="BA140" s="394">
        <v>3.02101</v>
      </c>
      <c r="BB140" s="394">
        <v>8.4650000000000003E-2</v>
      </c>
      <c r="BC140" s="394">
        <v>11.222770000000001</v>
      </c>
      <c r="BD140" s="381" t="s">
        <v>167</v>
      </c>
      <c r="BE140" s="408" t="s">
        <v>175</v>
      </c>
      <c r="BF140" s="385"/>
      <c r="BG140" s="475">
        <v>75</v>
      </c>
      <c r="BH140" s="395">
        <f t="shared" si="71"/>
        <v>529.61134615384617</v>
      </c>
      <c r="BI140" s="395">
        <f t="shared" si="72"/>
        <v>1.8359859999999999</v>
      </c>
    </row>
    <row r="141" spans="1:61" s="358" customFormat="1" ht="19.2" x14ac:dyDescent="0.3">
      <c r="A141" s="359" t="s">
        <v>347</v>
      </c>
      <c r="B141" s="602" t="s">
        <v>4827</v>
      </c>
      <c r="C141" s="601" t="s">
        <v>4826</v>
      </c>
      <c r="D141" s="360">
        <v>0.4</v>
      </c>
      <c r="E141" s="528"/>
      <c r="F141" s="523"/>
      <c r="G141" s="393"/>
      <c r="H141" s="394"/>
      <c r="I141" s="394"/>
      <c r="J141" s="394"/>
      <c r="K141" s="394"/>
      <c r="L141" s="394"/>
      <c r="M141" s="394"/>
      <c r="N141" s="394"/>
      <c r="O141" s="394"/>
      <c r="P141" s="394"/>
      <c r="Q141" s="394"/>
      <c r="R141" s="381"/>
      <c r="S141" s="408"/>
      <c r="T141" s="385"/>
      <c r="U141" s="475"/>
      <c r="V141" s="395"/>
      <c r="W141" s="395"/>
      <c r="X141" s="528"/>
      <c r="Y141" s="523"/>
      <c r="Z141" s="393"/>
      <c r="AA141" s="394"/>
      <c r="AB141" s="394"/>
      <c r="AC141" s="394"/>
      <c r="AD141" s="394"/>
      <c r="AE141" s="394"/>
      <c r="AF141" s="394"/>
      <c r="AG141" s="394"/>
      <c r="AH141" s="394"/>
      <c r="AI141" s="394"/>
      <c r="AJ141" s="394"/>
      <c r="AK141" s="381"/>
      <c r="AL141" s="408"/>
      <c r="AM141" s="385"/>
      <c r="AN141" s="475"/>
      <c r="AO141" s="395"/>
      <c r="AP141" s="395"/>
      <c r="AQ141" s="528">
        <v>45</v>
      </c>
      <c r="AR141" s="523">
        <v>15</v>
      </c>
      <c r="AS141" s="393">
        <v>15</v>
      </c>
      <c r="AT141" s="600">
        <v>26.334230000000002</v>
      </c>
      <c r="AU141" s="394">
        <v>17.275829999999999</v>
      </c>
      <c r="AV141" s="394">
        <v>3.80925</v>
      </c>
      <c r="AW141" s="394">
        <v>11.222770000000001</v>
      </c>
      <c r="AX141" s="394">
        <v>3.2874500000000002</v>
      </c>
      <c r="AY141" s="394">
        <v>0</v>
      </c>
      <c r="AZ141" s="394">
        <v>0</v>
      </c>
      <c r="BA141" s="394">
        <v>2.8281499999999999</v>
      </c>
      <c r="BB141" s="394">
        <v>8.4650000000000003E-2</v>
      </c>
      <c r="BC141" s="394">
        <v>11.222770000000001</v>
      </c>
      <c r="BD141" s="381" t="s">
        <v>167</v>
      </c>
      <c r="BE141" s="408" t="s">
        <v>175</v>
      </c>
      <c r="BF141" s="385"/>
      <c r="BG141" s="475">
        <v>77</v>
      </c>
      <c r="BH141" s="395">
        <f t="shared" ref="BH141:BH164" si="83">AT141/AQ141*1000</f>
        <v>585.20511111111114</v>
      </c>
      <c r="BI141" s="395">
        <f t="shared" ref="BI141:BI164" si="84">AT141/AR141</f>
        <v>1.7556153333333335</v>
      </c>
    </row>
    <row r="142" spans="1:61" s="358" customFormat="1" ht="19.2" x14ac:dyDescent="0.3">
      <c r="A142" s="359" t="s">
        <v>348</v>
      </c>
      <c r="B142" s="602" t="s">
        <v>4858</v>
      </c>
      <c r="C142" s="601" t="s">
        <v>4857</v>
      </c>
      <c r="D142" s="360">
        <v>0.4</v>
      </c>
      <c r="E142" s="528"/>
      <c r="F142" s="523"/>
      <c r="G142" s="393"/>
      <c r="H142" s="394"/>
      <c r="I142" s="394"/>
      <c r="J142" s="394"/>
      <c r="K142" s="394"/>
      <c r="L142" s="394"/>
      <c r="M142" s="394"/>
      <c r="N142" s="394"/>
      <c r="O142" s="394"/>
      <c r="P142" s="394"/>
      <c r="Q142" s="394"/>
      <c r="R142" s="381"/>
      <c r="S142" s="408"/>
      <c r="T142" s="385"/>
      <c r="U142" s="475"/>
      <c r="V142" s="395"/>
      <c r="W142" s="395"/>
      <c r="X142" s="528"/>
      <c r="Y142" s="523"/>
      <c r="Z142" s="393"/>
      <c r="AA142" s="394"/>
      <c r="AB142" s="394"/>
      <c r="AC142" s="394"/>
      <c r="AD142" s="394"/>
      <c r="AE142" s="394"/>
      <c r="AF142" s="394"/>
      <c r="AG142" s="394"/>
      <c r="AH142" s="394"/>
      <c r="AI142" s="394"/>
      <c r="AJ142" s="394"/>
      <c r="AK142" s="381"/>
      <c r="AL142" s="408"/>
      <c r="AM142" s="385"/>
      <c r="AN142" s="475"/>
      <c r="AO142" s="395"/>
      <c r="AP142" s="395"/>
      <c r="AQ142" s="528">
        <v>45</v>
      </c>
      <c r="AR142" s="523">
        <v>15</v>
      </c>
      <c r="AS142" s="393">
        <v>15</v>
      </c>
      <c r="AT142" s="600">
        <v>26.386420000000001</v>
      </c>
      <c r="AU142" s="394">
        <v>17.328019999999999</v>
      </c>
      <c r="AV142" s="394">
        <v>3.80925</v>
      </c>
      <c r="AW142" s="394">
        <v>11.27032</v>
      </c>
      <c r="AX142" s="394">
        <v>3.2874500000000002</v>
      </c>
      <c r="AY142" s="394">
        <v>0</v>
      </c>
      <c r="AZ142" s="394">
        <v>0</v>
      </c>
      <c r="BA142" s="394">
        <v>2.8281499999999999</v>
      </c>
      <c r="BB142" s="394">
        <v>8.4650000000000003E-2</v>
      </c>
      <c r="BC142" s="394">
        <v>11.27032</v>
      </c>
      <c r="BD142" s="381" t="s">
        <v>167</v>
      </c>
      <c r="BE142" s="408" t="s">
        <v>175</v>
      </c>
      <c r="BF142" s="385"/>
      <c r="BG142" s="475">
        <v>79</v>
      </c>
      <c r="BH142" s="395">
        <f t="shared" ref="BH142" si="85">AT142/AQ142*1000</f>
        <v>586.36488888888891</v>
      </c>
      <c r="BI142" s="395">
        <f t="shared" ref="BI142" si="86">AT142/AR142</f>
        <v>1.7590946666666667</v>
      </c>
    </row>
    <row r="143" spans="1:61" s="358" customFormat="1" ht="19.2" x14ac:dyDescent="0.3">
      <c r="A143" s="359" t="s">
        <v>349</v>
      </c>
      <c r="B143" s="602" t="s">
        <v>4860</v>
      </c>
      <c r="C143" s="601" t="s">
        <v>4859</v>
      </c>
      <c r="D143" s="360">
        <v>0.4</v>
      </c>
      <c r="E143" s="528"/>
      <c r="F143" s="523"/>
      <c r="G143" s="393"/>
      <c r="H143" s="394"/>
      <c r="I143" s="394"/>
      <c r="J143" s="394"/>
      <c r="K143" s="394"/>
      <c r="L143" s="394"/>
      <c r="M143" s="394"/>
      <c r="N143" s="394"/>
      <c r="O143" s="394"/>
      <c r="P143" s="394"/>
      <c r="Q143" s="394"/>
      <c r="R143" s="381"/>
      <c r="S143" s="408"/>
      <c r="T143" s="385"/>
      <c r="U143" s="475"/>
      <c r="V143" s="395"/>
      <c r="W143" s="395"/>
      <c r="X143" s="528"/>
      <c r="Y143" s="523"/>
      <c r="Z143" s="393"/>
      <c r="AA143" s="394"/>
      <c r="AB143" s="394"/>
      <c r="AC143" s="394"/>
      <c r="AD143" s="394"/>
      <c r="AE143" s="394"/>
      <c r="AF143" s="394"/>
      <c r="AG143" s="394"/>
      <c r="AH143" s="394"/>
      <c r="AI143" s="394"/>
      <c r="AJ143" s="394"/>
      <c r="AK143" s="381"/>
      <c r="AL143" s="408"/>
      <c r="AM143" s="385"/>
      <c r="AN143" s="475"/>
      <c r="AO143" s="395"/>
      <c r="AP143" s="395"/>
      <c r="AQ143" s="528">
        <v>40</v>
      </c>
      <c r="AR143" s="523">
        <v>15</v>
      </c>
      <c r="AS143" s="393">
        <v>15</v>
      </c>
      <c r="AT143" s="600">
        <v>25.525310000000001</v>
      </c>
      <c r="AU143" s="394">
        <v>16.881540000000001</v>
      </c>
      <c r="AV143" s="394">
        <v>3.3860000000000001</v>
      </c>
      <c r="AW143" s="394">
        <v>11.27032</v>
      </c>
      <c r="AX143" s="394">
        <v>3.1486499999999999</v>
      </c>
      <c r="AY143" s="394">
        <v>0</v>
      </c>
      <c r="AZ143" s="394">
        <v>0</v>
      </c>
      <c r="BA143" s="394">
        <v>2.6903999999999999</v>
      </c>
      <c r="BB143" s="394">
        <v>8.4650000000000003E-2</v>
      </c>
      <c r="BC143" s="394">
        <v>11.27032</v>
      </c>
      <c r="BD143" s="381" t="s">
        <v>167</v>
      </c>
      <c r="BE143" s="408" t="s">
        <v>175</v>
      </c>
      <c r="BF143" s="385"/>
      <c r="BG143" s="475">
        <v>81</v>
      </c>
      <c r="BH143" s="395">
        <f t="shared" si="83"/>
        <v>638.13274999999999</v>
      </c>
      <c r="BI143" s="395">
        <f t="shared" si="84"/>
        <v>1.7016873333333333</v>
      </c>
    </row>
    <row r="144" spans="1:61" s="358" customFormat="1" ht="19.2" x14ac:dyDescent="0.3">
      <c r="A144" s="359" t="s">
        <v>350</v>
      </c>
      <c r="B144" s="602" t="s">
        <v>4864</v>
      </c>
      <c r="C144" s="601" t="s">
        <v>4863</v>
      </c>
      <c r="D144" s="360">
        <v>0.4</v>
      </c>
      <c r="E144" s="528"/>
      <c r="F144" s="523"/>
      <c r="G144" s="393"/>
      <c r="H144" s="394"/>
      <c r="I144" s="394"/>
      <c r="J144" s="394"/>
      <c r="K144" s="394"/>
      <c r="L144" s="394"/>
      <c r="M144" s="394"/>
      <c r="N144" s="394"/>
      <c r="O144" s="394"/>
      <c r="P144" s="394"/>
      <c r="Q144" s="394"/>
      <c r="R144" s="381"/>
      <c r="S144" s="408"/>
      <c r="T144" s="385"/>
      <c r="U144" s="475"/>
      <c r="V144" s="395"/>
      <c r="W144" s="395"/>
      <c r="X144" s="528"/>
      <c r="Y144" s="523"/>
      <c r="Z144" s="393"/>
      <c r="AA144" s="394"/>
      <c r="AB144" s="394"/>
      <c r="AC144" s="394"/>
      <c r="AD144" s="394"/>
      <c r="AE144" s="394"/>
      <c r="AF144" s="394"/>
      <c r="AG144" s="394"/>
      <c r="AH144" s="394"/>
      <c r="AI144" s="394"/>
      <c r="AJ144" s="394"/>
      <c r="AK144" s="381"/>
      <c r="AL144" s="408"/>
      <c r="AM144" s="385"/>
      <c r="AN144" s="475"/>
      <c r="AO144" s="395"/>
      <c r="AP144" s="395"/>
      <c r="AQ144" s="528">
        <v>20</v>
      </c>
      <c r="AR144" s="523">
        <v>25</v>
      </c>
      <c r="AS144" s="393">
        <v>25</v>
      </c>
      <c r="AT144" s="600">
        <v>5.1773499999999997</v>
      </c>
      <c r="AU144" s="394">
        <v>3.4616099999999999</v>
      </c>
      <c r="AV144" s="394">
        <v>1.6559999999999999</v>
      </c>
      <c r="AW144" s="394"/>
      <c r="AX144" s="394">
        <v>0.61241999999999996</v>
      </c>
      <c r="AY144" s="394">
        <v>0</v>
      </c>
      <c r="AZ144" s="394">
        <v>0</v>
      </c>
      <c r="BA144" s="394">
        <v>0.55100000000000005</v>
      </c>
      <c r="BB144" s="394">
        <v>8.2799999999999999E-2</v>
      </c>
      <c r="BC144" s="394"/>
      <c r="BD144" s="381" t="s">
        <v>167</v>
      </c>
      <c r="BE144" s="408" t="s">
        <v>175</v>
      </c>
      <c r="BF144" s="385"/>
      <c r="BG144" s="475">
        <v>83</v>
      </c>
      <c r="BH144" s="395">
        <f t="shared" ref="BH144" si="87">AT144/AQ144*1000</f>
        <v>258.86749999999995</v>
      </c>
      <c r="BI144" s="395">
        <f t="shared" ref="BI144" si="88">AT144/AR144</f>
        <v>0.207094</v>
      </c>
    </row>
    <row r="145" spans="1:61" s="358" customFormat="1" ht="19.2" x14ac:dyDescent="0.3">
      <c r="A145" s="359" t="s">
        <v>351</v>
      </c>
      <c r="B145" s="602" t="s">
        <v>4868</v>
      </c>
      <c r="C145" s="601" t="s">
        <v>4867</v>
      </c>
      <c r="D145" s="360">
        <v>0.4</v>
      </c>
      <c r="E145" s="528"/>
      <c r="F145" s="523"/>
      <c r="G145" s="393"/>
      <c r="H145" s="394"/>
      <c r="I145" s="394"/>
      <c r="J145" s="394"/>
      <c r="K145" s="394"/>
      <c r="L145" s="394"/>
      <c r="M145" s="394"/>
      <c r="N145" s="394"/>
      <c r="O145" s="394"/>
      <c r="P145" s="394"/>
      <c r="Q145" s="394"/>
      <c r="R145" s="381"/>
      <c r="S145" s="408"/>
      <c r="T145" s="385"/>
      <c r="U145" s="475"/>
      <c r="V145" s="395"/>
      <c r="W145" s="395"/>
      <c r="X145" s="528"/>
      <c r="Y145" s="523"/>
      <c r="Z145" s="393"/>
      <c r="AA145" s="394"/>
      <c r="AB145" s="394"/>
      <c r="AC145" s="394"/>
      <c r="AD145" s="394"/>
      <c r="AE145" s="394"/>
      <c r="AF145" s="394"/>
      <c r="AG145" s="394"/>
      <c r="AH145" s="394"/>
      <c r="AI145" s="394"/>
      <c r="AJ145" s="394"/>
      <c r="AK145" s="381"/>
      <c r="AL145" s="408"/>
      <c r="AM145" s="385"/>
      <c r="AN145" s="475"/>
      <c r="AO145" s="395"/>
      <c r="AP145" s="395"/>
      <c r="AQ145" s="528">
        <v>85</v>
      </c>
      <c r="AR145" s="523">
        <v>15</v>
      </c>
      <c r="AS145" s="393">
        <v>15</v>
      </c>
      <c r="AT145" s="600">
        <v>50.799979999999998</v>
      </c>
      <c r="AU145" s="394">
        <v>32.988140000000001</v>
      </c>
      <c r="AV145" s="394">
        <v>7.0380000000000003</v>
      </c>
      <c r="AW145" s="394">
        <v>22.581880000000002</v>
      </c>
      <c r="AX145" s="394">
        <v>6.54575</v>
      </c>
      <c r="AY145" s="394">
        <v>0</v>
      </c>
      <c r="AZ145" s="394">
        <v>0</v>
      </c>
      <c r="BA145" s="394">
        <v>5.5185599999999999</v>
      </c>
      <c r="BB145" s="394">
        <v>8.2799999999999999E-2</v>
      </c>
      <c r="BC145" s="394">
        <v>11.290940000000001</v>
      </c>
      <c r="BD145" s="381" t="s">
        <v>167</v>
      </c>
      <c r="BE145" s="408" t="s">
        <v>175</v>
      </c>
      <c r="BF145" s="385"/>
      <c r="BG145" s="475">
        <v>84</v>
      </c>
      <c r="BH145" s="395">
        <f t="shared" si="83"/>
        <v>597.64682352941179</v>
      </c>
      <c r="BI145" s="395">
        <f t="shared" si="84"/>
        <v>3.3866653333333332</v>
      </c>
    </row>
    <row r="146" spans="1:61" s="358" customFormat="1" ht="19.2" x14ac:dyDescent="0.3">
      <c r="A146" s="359" t="s">
        <v>352</v>
      </c>
      <c r="B146" s="602" t="s">
        <v>4874</v>
      </c>
      <c r="C146" s="601" t="s">
        <v>4873</v>
      </c>
      <c r="D146" s="360">
        <v>0.4</v>
      </c>
      <c r="E146" s="528"/>
      <c r="F146" s="523"/>
      <c r="G146" s="393"/>
      <c r="H146" s="394"/>
      <c r="I146" s="394"/>
      <c r="J146" s="394"/>
      <c r="K146" s="394"/>
      <c r="L146" s="394"/>
      <c r="M146" s="394"/>
      <c r="N146" s="394"/>
      <c r="O146" s="394"/>
      <c r="P146" s="394"/>
      <c r="Q146" s="394"/>
      <c r="R146" s="381"/>
      <c r="S146" s="408"/>
      <c r="T146" s="385"/>
      <c r="U146" s="475"/>
      <c r="V146" s="395"/>
      <c r="W146" s="395"/>
      <c r="X146" s="528"/>
      <c r="Y146" s="523"/>
      <c r="Z146" s="393"/>
      <c r="AA146" s="394"/>
      <c r="AB146" s="394"/>
      <c r="AC146" s="394"/>
      <c r="AD146" s="394"/>
      <c r="AE146" s="394"/>
      <c r="AF146" s="394"/>
      <c r="AG146" s="394"/>
      <c r="AH146" s="394"/>
      <c r="AI146" s="394"/>
      <c r="AJ146" s="394"/>
      <c r="AK146" s="381"/>
      <c r="AL146" s="408"/>
      <c r="AM146" s="385"/>
      <c r="AN146" s="475"/>
      <c r="AO146" s="395"/>
      <c r="AP146" s="395"/>
      <c r="AQ146" s="528">
        <v>50</v>
      </c>
      <c r="AR146" s="523">
        <v>15</v>
      </c>
      <c r="AS146" s="393">
        <v>15</v>
      </c>
      <c r="AT146" s="600">
        <v>45.289659999999998</v>
      </c>
      <c r="AU146" s="394">
        <v>30.282039999999999</v>
      </c>
      <c r="AV146" s="394">
        <v>4.1615000000000002</v>
      </c>
      <c r="AW146" s="394">
        <v>22.581880000000002</v>
      </c>
      <c r="AX146" s="394">
        <v>5.8452099999999998</v>
      </c>
      <c r="AY146" s="394">
        <v>0</v>
      </c>
      <c r="AZ146" s="394">
        <v>0</v>
      </c>
      <c r="BA146" s="394">
        <v>4.5205599999999997</v>
      </c>
      <c r="BB146" s="394">
        <v>8.3229999999999998E-2</v>
      </c>
      <c r="BC146" s="394">
        <v>11.290940000000001</v>
      </c>
      <c r="BD146" s="381" t="s">
        <v>167</v>
      </c>
      <c r="BE146" s="408" t="s">
        <v>175</v>
      </c>
      <c r="BF146" s="385"/>
      <c r="BG146" s="475">
        <v>86</v>
      </c>
      <c r="BH146" s="395">
        <f t="shared" ref="BH146" si="89">AT146/AQ146*1000</f>
        <v>905.79319999999996</v>
      </c>
      <c r="BI146" s="395">
        <f t="shared" ref="BI146" si="90">AT146/AR146</f>
        <v>3.0193106666666667</v>
      </c>
    </row>
    <row r="147" spans="1:61" s="358" customFormat="1" ht="19.2" x14ac:dyDescent="0.3">
      <c r="A147" s="359" t="s">
        <v>353</v>
      </c>
      <c r="B147" s="602" t="s">
        <v>4876</v>
      </c>
      <c r="C147" s="601" t="s">
        <v>4875</v>
      </c>
      <c r="D147" s="360">
        <v>0.4</v>
      </c>
      <c r="E147" s="528"/>
      <c r="F147" s="523"/>
      <c r="G147" s="393"/>
      <c r="H147" s="394"/>
      <c r="I147" s="394"/>
      <c r="J147" s="394"/>
      <c r="K147" s="394"/>
      <c r="L147" s="394"/>
      <c r="M147" s="394"/>
      <c r="N147" s="394"/>
      <c r="O147" s="394"/>
      <c r="P147" s="394"/>
      <c r="Q147" s="394"/>
      <c r="R147" s="381"/>
      <c r="S147" s="408"/>
      <c r="T147" s="385"/>
      <c r="U147" s="475"/>
      <c r="V147" s="395"/>
      <c r="W147" s="395"/>
      <c r="X147" s="528"/>
      <c r="Y147" s="523"/>
      <c r="Z147" s="393"/>
      <c r="AA147" s="394"/>
      <c r="AB147" s="394"/>
      <c r="AC147" s="394"/>
      <c r="AD147" s="394"/>
      <c r="AE147" s="394"/>
      <c r="AF147" s="394"/>
      <c r="AG147" s="394"/>
      <c r="AH147" s="394"/>
      <c r="AI147" s="394"/>
      <c r="AJ147" s="394"/>
      <c r="AK147" s="381"/>
      <c r="AL147" s="408"/>
      <c r="AM147" s="385"/>
      <c r="AN147" s="475"/>
      <c r="AO147" s="395"/>
      <c r="AP147" s="395"/>
      <c r="AQ147" s="528">
        <v>130</v>
      </c>
      <c r="AR147" s="523">
        <v>3</v>
      </c>
      <c r="AS147" s="393">
        <v>3</v>
      </c>
      <c r="AT147" s="600">
        <v>120.41446000000001</v>
      </c>
      <c r="AU147" s="394">
        <v>84.148899999999998</v>
      </c>
      <c r="AV147" s="394">
        <v>10.819900000000001</v>
      </c>
      <c r="AW147" s="394">
        <f>45.16376+11.29094+10</f>
        <v>66.454700000000003</v>
      </c>
      <c r="AX147" s="394">
        <v>16.180810000000001</v>
      </c>
      <c r="AY147" s="394">
        <v>0</v>
      </c>
      <c r="AZ147" s="394">
        <v>0</v>
      </c>
      <c r="BA147" s="394">
        <v>6.4332900000000004</v>
      </c>
      <c r="BB147" s="394">
        <v>8.3229999999999998E-2</v>
      </c>
      <c r="BC147" s="394">
        <v>11.290940000000001</v>
      </c>
      <c r="BD147" s="381" t="s">
        <v>167</v>
      </c>
      <c r="BE147" s="408" t="s">
        <v>175</v>
      </c>
      <c r="BF147" s="385"/>
      <c r="BG147" s="475">
        <v>88</v>
      </c>
      <c r="BH147" s="395">
        <f t="shared" si="83"/>
        <v>926.26507692307689</v>
      </c>
      <c r="BI147" s="395">
        <f t="shared" si="84"/>
        <v>40.138153333333335</v>
      </c>
    </row>
    <row r="148" spans="1:61" s="358" customFormat="1" ht="19.2" x14ac:dyDescent="0.3">
      <c r="A148" s="359" t="s">
        <v>354</v>
      </c>
      <c r="B148" s="602" t="s">
        <v>1697</v>
      </c>
      <c r="C148" s="601" t="s">
        <v>4881</v>
      </c>
      <c r="D148" s="360">
        <v>0.4</v>
      </c>
      <c r="E148" s="528"/>
      <c r="F148" s="523"/>
      <c r="G148" s="393"/>
      <c r="H148" s="394"/>
      <c r="I148" s="394"/>
      <c r="J148" s="394"/>
      <c r="K148" s="394"/>
      <c r="L148" s="394"/>
      <c r="M148" s="394"/>
      <c r="N148" s="394"/>
      <c r="O148" s="394"/>
      <c r="P148" s="394"/>
      <c r="Q148" s="394"/>
      <c r="R148" s="381"/>
      <c r="S148" s="408"/>
      <c r="T148" s="385"/>
      <c r="U148" s="475"/>
      <c r="V148" s="395"/>
      <c r="W148" s="395"/>
      <c r="X148" s="528"/>
      <c r="Y148" s="523"/>
      <c r="Z148" s="393"/>
      <c r="AA148" s="394"/>
      <c r="AB148" s="394"/>
      <c r="AC148" s="394"/>
      <c r="AD148" s="394"/>
      <c r="AE148" s="394"/>
      <c r="AF148" s="394"/>
      <c r="AG148" s="394"/>
      <c r="AH148" s="394"/>
      <c r="AI148" s="394"/>
      <c r="AJ148" s="394"/>
      <c r="AK148" s="381"/>
      <c r="AL148" s="408"/>
      <c r="AM148" s="385"/>
      <c r="AN148" s="475"/>
      <c r="AO148" s="395"/>
      <c r="AP148" s="395"/>
      <c r="AQ148" s="528">
        <v>32</v>
      </c>
      <c r="AR148" s="523">
        <v>15</v>
      </c>
      <c r="AS148" s="393">
        <v>15</v>
      </c>
      <c r="AT148" s="600">
        <v>24.339590000000001</v>
      </c>
      <c r="AU148" s="394">
        <v>16.33445</v>
      </c>
      <c r="AV148" s="394">
        <v>2.6496</v>
      </c>
      <c r="AW148" s="394">
        <v>11.290940000000001</v>
      </c>
      <c r="AX148" s="394">
        <v>2.9513500000000001</v>
      </c>
      <c r="AY148" s="394">
        <v>0</v>
      </c>
      <c r="AZ148" s="394">
        <v>0</v>
      </c>
      <c r="BA148" s="394">
        <v>2.4700000000000002</v>
      </c>
      <c r="BB148" s="394">
        <v>8.2799999999999999E-2</v>
      </c>
      <c r="BC148" s="394">
        <v>11.290940000000001</v>
      </c>
      <c r="BD148" s="381" t="s">
        <v>167</v>
      </c>
      <c r="BE148" s="408" t="s">
        <v>175</v>
      </c>
      <c r="BF148" s="385"/>
      <c r="BG148" s="475">
        <v>90</v>
      </c>
      <c r="BH148" s="395">
        <f t="shared" ref="BH148" si="91">AT148/AQ148*1000</f>
        <v>760.6121875</v>
      </c>
      <c r="BI148" s="395">
        <f t="shared" ref="BI148" si="92">AT148/AR148</f>
        <v>1.6226393333333333</v>
      </c>
    </row>
    <row r="149" spans="1:61" s="358" customFormat="1" ht="19.2" x14ac:dyDescent="0.3">
      <c r="A149" s="359" t="s">
        <v>355</v>
      </c>
      <c r="B149" s="602" t="s">
        <v>4884</v>
      </c>
      <c r="C149" s="601" t="s">
        <v>4883</v>
      </c>
      <c r="D149" s="360">
        <v>0.4</v>
      </c>
      <c r="E149" s="528"/>
      <c r="F149" s="523"/>
      <c r="G149" s="393"/>
      <c r="H149" s="394"/>
      <c r="I149" s="394"/>
      <c r="J149" s="394"/>
      <c r="K149" s="394"/>
      <c r="L149" s="394"/>
      <c r="M149" s="394"/>
      <c r="N149" s="394"/>
      <c r="O149" s="394"/>
      <c r="P149" s="394"/>
      <c r="Q149" s="394"/>
      <c r="R149" s="381"/>
      <c r="S149" s="408"/>
      <c r="T149" s="385"/>
      <c r="U149" s="475"/>
      <c r="V149" s="395"/>
      <c r="W149" s="395"/>
      <c r="X149" s="528"/>
      <c r="Y149" s="523"/>
      <c r="Z149" s="393"/>
      <c r="AA149" s="394"/>
      <c r="AB149" s="394"/>
      <c r="AC149" s="394"/>
      <c r="AD149" s="394"/>
      <c r="AE149" s="394"/>
      <c r="AF149" s="394"/>
      <c r="AG149" s="394"/>
      <c r="AH149" s="394"/>
      <c r="AI149" s="394"/>
      <c r="AJ149" s="394"/>
      <c r="AK149" s="381"/>
      <c r="AL149" s="408"/>
      <c r="AM149" s="385"/>
      <c r="AN149" s="475"/>
      <c r="AO149" s="395"/>
      <c r="AP149" s="395"/>
      <c r="AQ149" s="528">
        <v>30</v>
      </c>
      <c r="AR149" s="523">
        <v>15</v>
      </c>
      <c r="AS149" s="393">
        <v>15</v>
      </c>
      <c r="AT149" s="600">
        <v>23.838100000000001</v>
      </c>
      <c r="AU149" s="394">
        <v>16.004519999999999</v>
      </c>
      <c r="AV149" s="394">
        <v>2.4843000000000002</v>
      </c>
      <c r="AW149" s="394">
        <v>11.30209</v>
      </c>
      <c r="AX149" s="394">
        <v>2.89011</v>
      </c>
      <c r="AY149" s="394">
        <v>0</v>
      </c>
      <c r="AZ149" s="394">
        <v>0</v>
      </c>
      <c r="BA149" s="394">
        <v>2.4149099999999999</v>
      </c>
      <c r="BB149" s="394">
        <v>8.2809999999999995E-2</v>
      </c>
      <c r="BC149" s="394">
        <v>11.30209</v>
      </c>
      <c r="BD149" s="381" t="s">
        <v>167</v>
      </c>
      <c r="BE149" s="408" t="s">
        <v>175</v>
      </c>
      <c r="BF149" s="385"/>
      <c r="BG149" s="475">
        <v>92</v>
      </c>
      <c r="BH149" s="395">
        <f t="shared" si="83"/>
        <v>794.60333333333335</v>
      </c>
      <c r="BI149" s="395">
        <f t="shared" si="84"/>
        <v>1.5892066666666667</v>
      </c>
    </row>
    <row r="150" spans="1:61" s="358" customFormat="1" ht="19.2" x14ac:dyDescent="0.3">
      <c r="A150" s="359" t="s">
        <v>356</v>
      </c>
      <c r="B150" s="602" t="s">
        <v>4886</v>
      </c>
      <c r="C150" s="601" t="s">
        <v>4885</v>
      </c>
      <c r="D150" s="360">
        <v>0.4</v>
      </c>
      <c r="E150" s="528"/>
      <c r="F150" s="523"/>
      <c r="G150" s="393"/>
      <c r="H150" s="394"/>
      <c r="I150" s="394"/>
      <c r="J150" s="394"/>
      <c r="K150" s="394"/>
      <c r="L150" s="394"/>
      <c r="M150" s="394"/>
      <c r="N150" s="394"/>
      <c r="O150" s="394"/>
      <c r="P150" s="394"/>
      <c r="Q150" s="394"/>
      <c r="R150" s="381"/>
      <c r="S150" s="408"/>
      <c r="T150" s="385"/>
      <c r="U150" s="475"/>
      <c r="V150" s="395"/>
      <c r="W150" s="395"/>
      <c r="X150" s="528"/>
      <c r="Y150" s="523"/>
      <c r="Z150" s="393"/>
      <c r="AA150" s="394"/>
      <c r="AB150" s="394"/>
      <c r="AC150" s="394"/>
      <c r="AD150" s="394"/>
      <c r="AE150" s="394"/>
      <c r="AF150" s="394"/>
      <c r="AG150" s="394"/>
      <c r="AH150" s="394"/>
      <c r="AI150" s="394"/>
      <c r="AJ150" s="394"/>
      <c r="AK150" s="381"/>
      <c r="AL150" s="408"/>
      <c r="AM150" s="385"/>
      <c r="AN150" s="475"/>
      <c r="AO150" s="395"/>
      <c r="AP150" s="395"/>
      <c r="AQ150" s="528">
        <v>35</v>
      </c>
      <c r="AR150" s="523">
        <v>15</v>
      </c>
      <c r="AS150" s="393">
        <v>15</v>
      </c>
      <c r="AT150" s="600">
        <v>24.660070000000001</v>
      </c>
      <c r="AU150" s="394">
        <v>16.397549999999999</v>
      </c>
      <c r="AV150" s="394">
        <v>2.8980000000000001</v>
      </c>
      <c r="AW150" s="394">
        <v>11.29753</v>
      </c>
      <c r="AX150" s="394">
        <v>3.0432199999999998</v>
      </c>
      <c r="AY150" s="394">
        <v>0</v>
      </c>
      <c r="AZ150" s="394">
        <v>0</v>
      </c>
      <c r="BA150" s="394">
        <v>2.5528599999999999</v>
      </c>
      <c r="BB150" s="394">
        <v>8.2299999999999998E-2</v>
      </c>
      <c r="BC150" s="394">
        <v>11.29753</v>
      </c>
      <c r="BD150" s="381" t="s">
        <v>167</v>
      </c>
      <c r="BE150" s="408" t="s">
        <v>175</v>
      </c>
      <c r="BF150" s="385"/>
      <c r="BG150" s="475">
        <v>94</v>
      </c>
      <c r="BH150" s="395">
        <f t="shared" ref="BH150:BH158" si="93">AT150/AQ150*1000</f>
        <v>704.57342857142862</v>
      </c>
      <c r="BI150" s="395">
        <f t="shared" ref="BI150:BI158" si="94">AT150/AR150</f>
        <v>1.6440046666666668</v>
      </c>
    </row>
    <row r="151" spans="1:61" s="358" customFormat="1" ht="19.2" x14ac:dyDescent="0.3">
      <c r="A151" s="359" t="s">
        <v>357</v>
      </c>
      <c r="B151" s="602" t="s">
        <v>4909</v>
      </c>
      <c r="C151" s="601" t="s">
        <v>4908</v>
      </c>
      <c r="D151" s="360">
        <v>0.4</v>
      </c>
      <c r="E151" s="528"/>
      <c r="F151" s="523"/>
      <c r="G151" s="393"/>
      <c r="H151" s="394"/>
      <c r="I151" s="394"/>
      <c r="J151" s="394"/>
      <c r="K151" s="394"/>
      <c r="L151" s="394"/>
      <c r="M151" s="394"/>
      <c r="N151" s="394"/>
      <c r="O151" s="394"/>
      <c r="P151" s="394"/>
      <c r="Q151" s="394"/>
      <c r="R151" s="381"/>
      <c r="S151" s="408"/>
      <c r="T151" s="385"/>
      <c r="U151" s="475"/>
      <c r="V151" s="395"/>
      <c r="W151" s="395"/>
      <c r="X151" s="528"/>
      <c r="Y151" s="523"/>
      <c r="Z151" s="393"/>
      <c r="AA151" s="394"/>
      <c r="AB151" s="394"/>
      <c r="AC151" s="394"/>
      <c r="AD151" s="394"/>
      <c r="AE151" s="394"/>
      <c r="AF151" s="394"/>
      <c r="AG151" s="394"/>
      <c r="AH151" s="394"/>
      <c r="AI151" s="394"/>
      <c r="AJ151" s="394"/>
      <c r="AK151" s="381"/>
      <c r="AL151" s="408"/>
      <c r="AM151" s="385"/>
      <c r="AN151" s="475"/>
      <c r="AO151" s="395"/>
      <c r="AP151" s="395"/>
      <c r="AQ151" s="528">
        <v>100</v>
      </c>
      <c r="AR151" s="523">
        <v>15</v>
      </c>
      <c r="AS151" s="393">
        <v>15</v>
      </c>
      <c r="AT151" s="600">
        <v>71.095619999999997</v>
      </c>
      <c r="AU151" s="394">
        <v>46.737000000000002</v>
      </c>
      <c r="AV151" s="394">
        <v>8.4649999999999999</v>
      </c>
      <c r="AW151" s="394">
        <v>33.835140000000003</v>
      </c>
      <c r="AX151" s="394">
        <v>8.9165399999999995</v>
      </c>
      <c r="AY151" s="394">
        <v>0</v>
      </c>
      <c r="AZ151" s="394">
        <v>0</v>
      </c>
      <c r="BA151" s="394">
        <v>7.5202299999999997</v>
      </c>
      <c r="BB151" s="394">
        <v>8.4650000000000003E-2</v>
      </c>
      <c r="BC151" s="394">
        <v>11.27838</v>
      </c>
      <c r="BD151" s="381" t="s">
        <v>167</v>
      </c>
      <c r="BE151" s="408" t="s">
        <v>175</v>
      </c>
      <c r="BF151" s="385"/>
      <c r="BG151" s="475">
        <v>96</v>
      </c>
      <c r="BH151" s="395">
        <f t="shared" si="93"/>
        <v>710.95619999999997</v>
      </c>
      <c r="BI151" s="395">
        <f t="shared" si="94"/>
        <v>4.7397079999999994</v>
      </c>
    </row>
    <row r="152" spans="1:61" s="358" customFormat="1" ht="19.2" x14ac:dyDescent="0.3">
      <c r="A152" s="359" t="s">
        <v>358</v>
      </c>
      <c r="B152" s="602" t="s">
        <v>4913</v>
      </c>
      <c r="C152" s="601" t="s">
        <v>4912</v>
      </c>
      <c r="D152" s="360">
        <v>0.4</v>
      </c>
      <c r="E152" s="528"/>
      <c r="F152" s="523"/>
      <c r="G152" s="393"/>
      <c r="H152" s="394"/>
      <c r="I152" s="394"/>
      <c r="J152" s="394"/>
      <c r="K152" s="394"/>
      <c r="L152" s="394"/>
      <c r="M152" s="394"/>
      <c r="N152" s="394"/>
      <c r="O152" s="394"/>
      <c r="P152" s="394"/>
      <c r="Q152" s="394"/>
      <c r="R152" s="381"/>
      <c r="S152" s="408"/>
      <c r="T152" s="385"/>
      <c r="U152" s="475"/>
      <c r="V152" s="395"/>
      <c r="W152" s="395"/>
      <c r="X152" s="528"/>
      <c r="Y152" s="523"/>
      <c r="Z152" s="393"/>
      <c r="AA152" s="394"/>
      <c r="AB152" s="394"/>
      <c r="AC152" s="394"/>
      <c r="AD152" s="394"/>
      <c r="AE152" s="394"/>
      <c r="AF152" s="394"/>
      <c r="AG152" s="394"/>
      <c r="AH152" s="394"/>
      <c r="AI152" s="394"/>
      <c r="AJ152" s="394"/>
      <c r="AK152" s="381"/>
      <c r="AL152" s="408"/>
      <c r="AM152" s="385"/>
      <c r="AN152" s="475"/>
      <c r="AO152" s="395"/>
      <c r="AP152" s="395"/>
      <c r="AQ152" s="528">
        <v>25</v>
      </c>
      <c r="AR152" s="523">
        <v>15</v>
      </c>
      <c r="AS152" s="393">
        <v>15</v>
      </c>
      <c r="AT152" s="600">
        <v>22.927969999999998</v>
      </c>
      <c r="AU152" s="394">
        <v>15.52332</v>
      </c>
      <c r="AV152" s="394">
        <v>2.0702500000000001</v>
      </c>
      <c r="AW152" s="394">
        <v>11.29753</v>
      </c>
      <c r="AX152" s="394">
        <v>2.7370100000000002</v>
      </c>
      <c r="AY152" s="394">
        <v>0</v>
      </c>
      <c r="AZ152" s="394">
        <v>0</v>
      </c>
      <c r="BA152" s="394">
        <v>2.2771599999999999</v>
      </c>
      <c r="BB152" s="394">
        <v>8.2809999999999995E-2</v>
      </c>
      <c r="BC152" s="394">
        <v>11.29753</v>
      </c>
      <c r="BD152" s="381" t="s">
        <v>167</v>
      </c>
      <c r="BE152" s="408" t="s">
        <v>175</v>
      </c>
      <c r="BF152" s="385"/>
      <c r="BG152" s="475">
        <v>98</v>
      </c>
      <c r="BH152" s="395">
        <f t="shared" ref="BH152:BH157" si="95">AT152/AQ152*1000</f>
        <v>917.11879999999985</v>
      </c>
      <c r="BI152" s="395">
        <f t="shared" ref="BI152:BI157" si="96">AT152/AR152</f>
        <v>1.5285313333333332</v>
      </c>
    </row>
    <row r="153" spans="1:61" s="358" customFormat="1" ht="19.2" x14ac:dyDescent="0.3">
      <c r="A153" s="359" t="s">
        <v>359</v>
      </c>
      <c r="B153" s="602" t="s">
        <v>4915</v>
      </c>
      <c r="C153" s="601" t="s">
        <v>4914</v>
      </c>
      <c r="D153" s="360">
        <v>0.4</v>
      </c>
      <c r="E153" s="528"/>
      <c r="F153" s="523"/>
      <c r="G153" s="393"/>
      <c r="H153" s="394"/>
      <c r="I153" s="394"/>
      <c r="J153" s="394"/>
      <c r="K153" s="394"/>
      <c r="L153" s="394"/>
      <c r="M153" s="394"/>
      <c r="N153" s="394"/>
      <c r="O153" s="394"/>
      <c r="P153" s="394"/>
      <c r="Q153" s="394"/>
      <c r="R153" s="381"/>
      <c r="S153" s="408"/>
      <c r="T153" s="385"/>
      <c r="U153" s="475"/>
      <c r="V153" s="395"/>
      <c r="W153" s="395"/>
      <c r="X153" s="528"/>
      <c r="Y153" s="523"/>
      <c r="Z153" s="393"/>
      <c r="AA153" s="394"/>
      <c r="AB153" s="394"/>
      <c r="AC153" s="394"/>
      <c r="AD153" s="394"/>
      <c r="AE153" s="394"/>
      <c r="AF153" s="394"/>
      <c r="AG153" s="394"/>
      <c r="AH153" s="394"/>
      <c r="AI153" s="394"/>
      <c r="AJ153" s="394"/>
      <c r="AK153" s="381"/>
      <c r="AL153" s="408"/>
      <c r="AM153" s="385"/>
      <c r="AN153" s="475"/>
      <c r="AO153" s="395"/>
      <c r="AP153" s="395"/>
      <c r="AQ153" s="528">
        <v>225</v>
      </c>
      <c r="AR153" s="523">
        <v>15</v>
      </c>
      <c r="AS153" s="393">
        <v>15</v>
      </c>
      <c r="AT153" s="600">
        <v>132.12413000000001</v>
      </c>
      <c r="AU153" s="394">
        <v>86.522210000000001</v>
      </c>
      <c r="AV153" s="394">
        <v>18.632249999999999</v>
      </c>
      <c r="AW153" s="394">
        <v>56.487650000000002</v>
      </c>
      <c r="AX153" s="394">
        <v>16.747129999999999</v>
      </c>
      <c r="AY153" s="394">
        <v>0</v>
      </c>
      <c r="AZ153" s="394">
        <v>0</v>
      </c>
      <c r="BA153" s="394">
        <v>14.14077</v>
      </c>
      <c r="BB153" s="394">
        <v>8.2809999999999995E-2</v>
      </c>
      <c r="BC153" s="394">
        <v>11.29753</v>
      </c>
      <c r="BD153" s="381" t="s">
        <v>167</v>
      </c>
      <c r="BE153" s="408" t="s">
        <v>175</v>
      </c>
      <c r="BF153" s="385"/>
      <c r="BG153" s="475">
        <v>100</v>
      </c>
      <c r="BH153" s="395">
        <f t="shared" si="95"/>
        <v>587.2183555555556</v>
      </c>
      <c r="BI153" s="395">
        <f t="shared" si="96"/>
        <v>8.8082753333333343</v>
      </c>
    </row>
    <row r="154" spans="1:61" s="358" customFormat="1" ht="19.2" x14ac:dyDescent="0.3">
      <c r="A154" s="359" t="s">
        <v>360</v>
      </c>
      <c r="B154" s="602" t="s">
        <v>4923</v>
      </c>
      <c r="C154" s="601" t="s">
        <v>4922</v>
      </c>
      <c r="D154" s="360">
        <v>0.4</v>
      </c>
      <c r="E154" s="528"/>
      <c r="F154" s="523"/>
      <c r="G154" s="393"/>
      <c r="H154" s="394"/>
      <c r="I154" s="394"/>
      <c r="J154" s="394"/>
      <c r="K154" s="394"/>
      <c r="L154" s="394"/>
      <c r="M154" s="394"/>
      <c r="N154" s="394"/>
      <c r="O154" s="394"/>
      <c r="P154" s="394"/>
      <c r="Q154" s="394"/>
      <c r="R154" s="381"/>
      <c r="S154" s="408"/>
      <c r="T154" s="385"/>
      <c r="U154" s="475"/>
      <c r="V154" s="395"/>
      <c r="W154" s="395"/>
      <c r="X154" s="528"/>
      <c r="Y154" s="523"/>
      <c r="Z154" s="393"/>
      <c r="AA154" s="394"/>
      <c r="AB154" s="394"/>
      <c r="AC154" s="394"/>
      <c r="AD154" s="394"/>
      <c r="AE154" s="394"/>
      <c r="AF154" s="394"/>
      <c r="AG154" s="394"/>
      <c r="AH154" s="394"/>
      <c r="AI154" s="394"/>
      <c r="AJ154" s="394"/>
      <c r="AK154" s="381"/>
      <c r="AL154" s="408"/>
      <c r="AM154" s="385"/>
      <c r="AN154" s="475"/>
      <c r="AO154" s="395"/>
      <c r="AP154" s="395"/>
      <c r="AQ154" s="528">
        <v>50</v>
      </c>
      <c r="AR154" s="523">
        <v>4</v>
      </c>
      <c r="AS154" s="393">
        <v>4</v>
      </c>
      <c r="AT154" s="600">
        <v>44.405340000000002</v>
      </c>
      <c r="AU154" s="394">
        <v>29.596060000000001</v>
      </c>
      <c r="AV154" s="394">
        <v>4.1405000000000003</v>
      </c>
      <c r="AW154" s="394">
        <v>22.5855</v>
      </c>
      <c r="AX154" s="394">
        <v>5.4740099999999998</v>
      </c>
      <c r="AY154" s="394">
        <v>0</v>
      </c>
      <c r="AZ154" s="394">
        <v>0</v>
      </c>
      <c r="BA154" s="394">
        <v>4.5543100000000001</v>
      </c>
      <c r="BB154" s="394">
        <v>8.2809999999999995E-2</v>
      </c>
      <c r="BC154" s="394">
        <v>11.29275</v>
      </c>
      <c r="BD154" s="381" t="s">
        <v>167</v>
      </c>
      <c r="BE154" s="408" t="s">
        <v>175</v>
      </c>
      <c r="BF154" s="385"/>
      <c r="BG154" s="475">
        <v>102</v>
      </c>
      <c r="BH154" s="395">
        <f t="shared" ref="BH154" si="97">AT154/AQ154*1000</f>
        <v>888.10680000000013</v>
      </c>
      <c r="BI154" s="395">
        <f t="shared" ref="BI154" si="98">AT154/AR154</f>
        <v>11.101335000000001</v>
      </c>
    </row>
    <row r="155" spans="1:61" s="358" customFormat="1" ht="19.2" x14ac:dyDescent="0.3">
      <c r="A155" s="359" t="s">
        <v>361</v>
      </c>
      <c r="B155" s="602" t="s">
        <v>4927</v>
      </c>
      <c r="C155" s="601" t="s">
        <v>4926</v>
      </c>
      <c r="D155" s="360">
        <v>0.4</v>
      </c>
      <c r="E155" s="528"/>
      <c r="F155" s="523"/>
      <c r="G155" s="393"/>
      <c r="H155" s="394"/>
      <c r="I155" s="394"/>
      <c r="J155" s="394"/>
      <c r="K155" s="394"/>
      <c r="L155" s="394"/>
      <c r="M155" s="394"/>
      <c r="N155" s="394"/>
      <c r="O155" s="394"/>
      <c r="P155" s="394"/>
      <c r="Q155" s="394"/>
      <c r="R155" s="381"/>
      <c r="S155" s="408"/>
      <c r="T155" s="385"/>
      <c r="U155" s="475"/>
      <c r="V155" s="395"/>
      <c r="W155" s="395"/>
      <c r="X155" s="528"/>
      <c r="Y155" s="523"/>
      <c r="Z155" s="393"/>
      <c r="AA155" s="394"/>
      <c r="AB155" s="394"/>
      <c r="AC155" s="394"/>
      <c r="AD155" s="394"/>
      <c r="AE155" s="394"/>
      <c r="AF155" s="394"/>
      <c r="AG155" s="394"/>
      <c r="AH155" s="394"/>
      <c r="AI155" s="394"/>
      <c r="AJ155" s="394"/>
      <c r="AK155" s="381"/>
      <c r="AL155" s="408"/>
      <c r="AM155" s="385"/>
      <c r="AN155" s="475"/>
      <c r="AO155" s="395"/>
      <c r="AP155" s="395"/>
      <c r="AQ155" s="528">
        <v>70</v>
      </c>
      <c r="AR155" s="523">
        <v>20</v>
      </c>
      <c r="AS155" s="393">
        <v>20</v>
      </c>
      <c r="AT155" s="600">
        <v>48.102800000000002</v>
      </c>
      <c r="AU155" s="394">
        <v>31.577760000000001</v>
      </c>
      <c r="AV155" s="394">
        <v>5.7967000000000004</v>
      </c>
      <c r="AW155" s="394">
        <v>22.5855</v>
      </c>
      <c r="AX155" s="394">
        <v>6.08643</v>
      </c>
      <c r="AY155" s="394">
        <v>0</v>
      </c>
      <c r="AZ155" s="394">
        <v>0</v>
      </c>
      <c r="BA155" s="394">
        <v>5.1053199999999999</v>
      </c>
      <c r="BB155" s="394">
        <v>8.2809999999999995E-2</v>
      </c>
      <c r="BC155" s="394">
        <v>11.29275</v>
      </c>
      <c r="BD155" s="381" t="s">
        <v>167</v>
      </c>
      <c r="BE155" s="408" t="s">
        <v>175</v>
      </c>
      <c r="BF155" s="385"/>
      <c r="BG155" s="475">
        <v>104</v>
      </c>
      <c r="BH155" s="395">
        <f t="shared" si="95"/>
        <v>687.18285714285719</v>
      </c>
      <c r="BI155" s="395">
        <f t="shared" si="96"/>
        <v>2.4051400000000003</v>
      </c>
    </row>
    <row r="156" spans="1:61" s="358" customFormat="1" ht="19.2" x14ac:dyDescent="0.3">
      <c r="A156" s="359" t="s">
        <v>362</v>
      </c>
      <c r="B156" s="602" t="s">
        <v>4929</v>
      </c>
      <c r="C156" s="601" t="s">
        <v>4928</v>
      </c>
      <c r="D156" s="360">
        <v>0.4</v>
      </c>
      <c r="E156" s="528"/>
      <c r="F156" s="523"/>
      <c r="G156" s="393"/>
      <c r="H156" s="394"/>
      <c r="I156" s="394"/>
      <c r="J156" s="394"/>
      <c r="K156" s="394"/>
      <c r="L156" s="394"/>
      <c r="M156" s="394"/>
      <c r="N156" s="394"/>
      <c r="O156" s="394"/>
      <c r="P156" s="394"/>
      <c r="Q156" s="394"/>
      <c r="R156" s="381"/>
      <c r="S156" s="408"/>
      <c r="T156" s="385"/>
      <c r="U156" s="475"/>
      <c r="V156" s="395"/>
      <c r="W156" s="395"/>
      <c r="X156" s="528"/>
      <c r="Y156" s="523"/>
      <c r="Z156" s="393"/>
      <c r="AA156" s="394"/>
      <c r="AB156" s="394"/>
      <c r="AC156" s="394"/>
      <c r="AD156" s="394"/>
      <c r="AE156" s="394"/>
      <c r="AF156" s="394"/>
      <c r="AG156" s="394"/>
      <c r="AH156" s="394"/>
      <c r="AI156" s="394"/>
      <c r="AJ156" s="394"/>
      <c r="AK156" s="381"/>
      <c r="AL156" s="408"/>
      <c r="AM156" s="385"/>
      <c r="AN156" s="475"/>
      <c r="AO156" s="395"/>
      <c r="AP156" s="395"/>
      <c r="AQ156" s="528">
        <v>35</v>
      </c>
      <c r="AR156" s="523">
        <v>15</v>
      </c>
      <c r="AS156" s="393">
        <v>15</v>
      </c>
      <c r="AT156" s="600">
        <v>24.655840000000001</v>
      </c>
      <c r="AU156" s="394">
        <v>16.39312</v>
      </c>
      <c r="AV156" s="394">
        <v>2.8983500000000002</v>
      </c>
      <c r="AW156" s="394">
        <v>11.29275</v>
      </c>
      <c r="AX156" s="394">
        <v>3.0432199999999998</v>
      </c>
      <c r="AY156" s="394">
        <v>0</v>
      </c>
      <c r="AZ156" s="394">
        <v>0</v>
      </c>
      <c r="BA156" s="394">
        <v>2.5526599999999999</v>
      </c>
      <c r="BB156" s="394">
        <v>8.2809999999999995E-2</v>
      </c>
      <c r="BC156" s="394">
        <v>11.29275</v>
      </c>
      <c r="BD156" s="381" t="s">
        <v>167</v>
      </c>
      <c r="BE156" s="408" t="s">
        <v>175</v>
      </c>
      <c r="BF156" s="385"/>
      <c r="BG156" s="475">
        <v>106</v>
      </c>
      <c r="BH156" s="395">
        <f t="shared" ref="BH156" si="99">AT156/AQ156*1000</f>
        <v>704.45257142857145</v>
      </c>
      <c r="BI156" s="395">
        <f t="shared" ref="BI156" si="100">AT156/AR156</f>
        <v>1.6437226666666667</v>
      </c>
    </row>
    <row r="157" spans="1:61" s="358" customFormat="1" ht="19.2" x14ac:dyDescent="0.3">
      <c r="A157" s="359" t="s">
        <v>363</v>
      </c>
      <c r="B157" s="602" t="s">
        <v>4769</v>
      </c>
      <c r="C157" s="601" t="s">
        <v>4768</v>
      </c>
      <c r="D157" s="360">
        <v>0.4</v>
      </c>
      <c r="E157" s="528"/>
      <c r="F157" s="523"/>
      <c r="G157" s="393"/>
      <c r="H157" s="394"/>
      <c r="I157" s="394"/>
      <c r="J157" s="394"/>
      <c r="K157" s="394"/>
      <c r="L157" s="394"/>
      <c r="M157" s="394"/>
      <c r="N157" s="394"/>
      <c r="O157" s="394"/>
      <c r="P157" s="394"/>
      <c r="Q157" s="394"/>
      <c r="R157" s="381"/>
      <c r="S157" s="408"/>
      <c r="T157" s="385"/>
      <c r="U157" s="475"/>
      <c r="V157" s="395"/>
      <c r="W157" s="395"/>
      <c r="X157" s="528"/>
      <c r="Y157" s="523"/>
      <c r="Z157" s="393"/>
      <c r="AA157" s="394"/>
      <c r="AB157" s="394"/>
      <c r="AC157" s="394"/>
      <c r="AD157" s="394"/>
      <c r="AE157" s="394"/>
      <c r="AF157" s="394"/>
      <c r="AG157" s="394"/>
      <c r="AH157" s="394"/>
      <c r="AI157" s="394"/>
      <c r="AJ157" s="394"/>
      <c r="AK157" s="381"/>
      <c r="AL157" s="408"/>
      <c r="AM157" s="385"/>
      <c r="AN157" s="475"/>
      <c r="AO157" s="395"/>
      <c r="AP157" s="395"/>
      <c r="AQ157" s="528">
        <v>45</v>
      </c>
      <c r="AR157" s="523">
        <v>15</v>
      </c>
      <c r="AS157" s="393">
        <v>15</v>
      </c>
      <c r="AT157" s="600">
        <v>28.696539999999999</v>
      </c>
      <c r="AU157" s="394">
        <v>19.576160000000002</v>
      </c>
      <c r="AV157" s="394">
        <v>3.7264499999999998</v>
      </c>
      <c r="AW157" s="394">
        <v>11.310890000000001</v>
      </c>
      <c r="AX157" s="394">
        <v>3.3494299999999999</v>
      </c>
      <c r="AY157" s="394">
        <v>0</v>
      </c>
      <c r="AZ157" s="394">
        <v>0</v>
      </c>
      <c r="BA157" s="394">
        <v>2.8281499999999999</v>
      </c>
      <c r="BB157" s="394">
        <v>8.2809999999999995E-2</v>
      </c>
      <c r="BC157" s="394">
        <v>11.310890000000001</v>
      </c>
      <c r="BD157" s="381" t="s">
        <v>167</v>
      </c>
      <c r="BE157" s="408" t="s">
        <v>175</v>
      </c>
      <c r="BF157" s="385"/>
      <c r="BG157" s="475">
        <v>108</v>
      </c>
      <c r="BH157" s="395">
        <f t="shared" si="95"/>
        <v>637.70088888888893</v>
      </c>
      <c r="BI157" s="395">
        <f t="shared" si="96"/>
        <v>1.9131026666666666</v>
      </c>
    </row>
    <row r="158" spans="1:61" s="358" customFormat="1" ht="19.2" x14ac:dyDescent="0.3">
      <c r="A158" s="359" t="s">
        <v>364</v>
      </c>
      <c r="B158" s="602" t="s">
        <v>4938</v>
      </c>
      <c r="C158" s="601" t="s">
        <v>4937</v>
      </c>
      <c r="D158" s="360">
        <v>0.4</v>
      </c>
      <c r="E158" s="528"/>
      <c r="F158" s="523"/>
      <c r="G158" s="393"/>
      <c r="H158" s="394"/>
      <c r="I158" s="394"/>
      <c r="J158" s="394"/>
      <c r="K158" s="394"/>
      <c r="L158" s="394"/>
      <c r="M158" s="394"/>
      <c r="N158" s="394"/>
      <c r="O158" s="394"/>
      <c r="P158" s="394"/>
      <c r="Q158" s="394"/>
      <c r="R158" s="381"/>
      <c r="S158" s="408"/>
      <c r="T158" s="385"/>
      <c r="U158" s="475"/>
      <c r="V158" s="395"/>
      <c r="W158" s="395"/>
      <c r="X158" s="528"/>
      <c r="Y158" s="523"/>
      <c r="Z158" s="393"/>
      <c r="AA158" s="394"/>
      <c r="AB158" s="394"/>
      <c r="AC158" s="394"/>
      <c r="AD158" s="394"/>
      <c r="AE158" s="394"/>
      <c r="AF158" s="394"/>
      <c r="AG158" s="394"/>
      <c r="AH158" s="394"/>
      <c r="AI158" s="394"/>
      <c r="AJ158" s="394"/>
      <c r="AK158" s="381"/>
      <c r="AL158" s="408"/>
      <c r="AM158" s="385"/>
      <c r="AN158" s="475"/>
      <c r="AO158" s="395"/>
      <c r="AP158" s="395"/>
      <c r="AQ158" s="528">
        <v>47</v>
      </c>
      <c r="AR158" s="523">
        <v>15</v>
      </c>
      <c r="AS158" s="393">
        <v>15</v>
      </c>
      <c r="AT158" s="600">
        <v>44.444609999999997</v>
      </c>
      <c r="AU158" s="394">
        <v>29.892669999999999</v>
      </c>
      <c r="AV158" s="394">
        <v>3.8920699999999999</v>
      </c>
      <c r="AW158" s="394">
        <v>22.61054</v>
      </c>
      <c r="AX158" s="394">
        <v>5.3821500000000002</v>
      </c>
      <c r="AY158" s="394">
        <v>0</v>
      </c>
      <c r="AZ158" s="394">
        <v>0</v>
      </c>
      <c r="BA158" s="394">
        <v>4.4716699999999996</v>
      </c>
      <c r="BB158" s="394">
        <v>8.2809999999999995E-2</v>
      </c>
      <c r="BC158" s="394">
        <v>11.365270000000001</v>
      </c>
      <c r="BD158" s="381" t="s">
        <v>167</v>
      </c>
      <c r="BE158" s="408" t="s">
        <v>175</v>
      </c>
      <c r="BF158" s="385"/>
      <c r="BG158" s="475">
        <v>110</v>
      </c>
      <c r="BH158" s="395">
        <f t="shared" si="93"/>
        <v>945.63</v>
      </c>
      <c r="BI158" s="395">
        <f t="shared" si="94"/>
        <v>2.962974</v>
      </c>
    </row>
    <row r="159" spans="1:61" s="358" customFormat="1" ht="19.2" x14ac:dyDescent="0.3">
      <c r="A159" s="359" t="s">
        <v>365</v>
      </c>
      <c r="B159" s="602" t="s">
        <v>4940</v>
      </c>
      <c r="C159" s="601" t="s">
        <v>4939</v>
      </c>
      <c r="D159" s="360">
        <v>0.4</v>
      </c>
      <c r="E159" s="528"/>
      <c r="F159" s="523"/>
      <c r="G159" s="393"/>
      <c r="H159" s="394"/>
      <c r="I159" s="394"/>
      <c r="J159" s="394"/>
      <c r="K159" s="394"/>
      <c r="L159" s="394"/>
      <c r="M159" s="394"/>
      <c r="N159" s="394"/>
      <c r="O159" s="394"/>
      <c r="P159" s="394"/>
      <c r="Q159" s="394"/>
      <c r="R159" s="381"/>
      <c r="S159" s="408"/>
      <c r="T159" s="385"/>
      <c r="U159" s="475"/>
      <c r="V159" s="395"/>
      <c r="W159" s="395"/>
      <c r="X159" s="528"/>
      <c r="Y159" s="523"/>
      <c r="Z159" s="393"/>
      <c r="AA159" s="394"/>
      <c r="AB159" s="394"/>
      <c r="AC159" s="394"/>
      <c r="AD159" s="394"/>
      <c r="AE159" s="394"/>
      <c r="AF159" s="394"/>
      <c r="AG159" s="394"/>
      <c r="AH159" s="394"/>
      <c r="AI159" s="394"/>
      <c r="AJ159" s="394"/>
      <c r="AK159" s="381"/>
      <c r="AL159" s="408"/>
      <c r="AM159" s="385"/>
      <c r="AN159" s="475"/>
      <c r="AO159" s="395"/>
      <c r="AP159" s="395"/>
      <c r="AQ159" s="528">
        <v>67</v>
      </c>
      <c r="AR159" s="523">
        <v>25</v>
      </c>
      <c r="AS159" s="393">
        <v>25</v>
      </c>
      <c r="AT159" s="600">
        <v>47.713149999999999</v>
      </c>
      <c r="AU159" s="394">
        <v>31.44547</v>
      </c>
      <c r="AV159" s="394">
        <v>5.5482699999999996</v>
      </c>
      <c r="AW159" s="394">
        <v>22.61054</v>
      </c>
      <c r="AX159" s="394">
        <v>5.9945700000000004</v>
      </c>
      <c r="AY159" s="394">
        <v>0</v>
      </c>
      <c r="AZ159" s="394">
        <v>0</v>
      </c>
      <c r="BA159" s="394">
        <v>5.0226699999999997</v>
      </c>
      <c r="BB159" s="394">
        <v>8.2809999999999995E-2</v>
      </c>
      <c r="BC159" s="394">
        <v>11.30527</v>
      </c>
      <c r="BD159" s="381" t="s">
        <v>167</v>
      </c>
      <c r="BE159" s="408" t="s">
        <v>175</v>
      </c>
      <c r="BF159" s="385"/>
      <c r="BG159" s="475">
        <v>112</v>
      </c>
      <c r="BH159" s="395">
        <f t="shared" si="83"/>
        <v>712.13656716417904</v>
      </c>
      <c r="BI159" s="395">
        <f t="shared" si="84"/>
        <v>1.9085259999999999</v>
      </c>
    </row>
    <row r="160" spans="1:61" s="358" customFormat="1" ht="19.2" x14ac:dyDescent="0.3">
      <c r="A160" s="359" t="s">
        <v>366</v>
      </c>
      <c r="B160" s="602" t="s">
        <v>4942</v>
      </c>
      <c r="C160" s="601" t="s">
        <v>4941</v>
      </c>
      <c r="D160" s="360">
        <v>0.4</v>
      </c>
      <c r="E160" s="528"/>
      <c r="F160" s="523"/>
      <c r="G160" s="393"/>
      <c r="H160" s="394"/>
      <c r="I160" s="394"/>
      <c r="J160" s="394"/>
      <c r="K160" s="394"/>
      <c r="L160" s="394"/>
      <c r="M160" s="394"/>
      <c r="N160" s="394"/>
      <c r="O160" s="394"/>
      <c r="P160" s="394"/>
      <c r="Q160" s="394"/>
      <c r="R160" s="381"/>
      <c r="S160" s="408"/>
      <c r="T160" s="385"/>
      <c r="U160" s="475"/>
      <c r="V160" s="395"/>
      <c r="W160" s="395"/>
      <c r="X160" s="528"/>
      <c r="Y160" s="523"/>
      <c r="Z160" s="393"/>
      <c r="AA160" s="394"/>
      <c r="AB160" s="394"/>
      <c r="AC160" s="394"/>
      <c r="AD160" s="394"/>
      <c r="AE160" s="394"/>
      <c r="AF160" s="394"/>
      <c r="AG160" s="394"/>
      <c r="AH160" s="394"/>
      <c r="AI160" s="394"/>
      <c r="AJ160" s="394"/>
      <c r="AK160" s="381"/>
      <c r="AL160" s="408"/>
      <c r="AM160" s="385"/>
      <c r="AN160" s="475"/>
      <c r="AO160" s="395"/>
      <c r="AP160" s="395"/>
      <c r="AQ160" s="528">
        <v>35</v>
      </c>
      <c r="AR160" s="523">
        <v>15</v>
      </c>
      <c r="AS160" s="393">
        <v>15</v>
      </c>
      <c r="AT160" s="600">
        <v>24.87398</v>
      </c>
      <c r="AU160" s="394">
        <v>16.611460000000001</v>
      </c>
      <c r="AV160" s="394">
        <v>2.8983500000000002</v>
      </c>
      <c r="AW160" s="394">
        <v>11.30527</v>
      </c>
      <c r="AX160" s="394">
        <v>3.0432199999999998</v>
      </c>
      <c r="AY160" s="394">
        <v>0</v>
      </c>
      <c r="AZ160" s="394">
        <v>0</v>
      </c>
      <c r="BA160" s="394">
        <v>2.5528599999999999</v>
      </c>
      <c r="BB160" s="394">
        <v>8.2809999999999995E-2</v>
      </c>
      <c r="BC160" s="394">
        <v>11.30527</v>
      </c>
      <c r="BD160" s="381" t="s">
        <v>167</v>
      </c>
      <c r="BE160" s="408" t="s">
        <v>175</v>
      </c>
      <c r="BF160" s="385"/>
      <c r="BG160" s="475">
        <v>114</v>
      </c>
      <c r="BH160" s="395">
        <f t="shared" si="83"/>
        <v>710.68514285714275</v>
      </c>
      <c r="BI160" s="395">
        <f t="shared" si="84"/>
        <v>1.6582653333333333</v>
      </c>
    </row>
    <row r="161" spans="1:61" s="358" customFormat="1" ht="19.2" x14ac:dyDescent="0.3">
      <c r="A161" s="359" t="s">
        <v>367</v>
      </c>
      <c r="B161" s="602" t="s">
        <v>4944</v>
      </c>
      <c r="C161" s="601" t="s">
        <v>4943</v>
      </c>
      <c r="D161" s="360">
        <v>0.4</v>
      </c>
      <c r="E161" s="528"/>
      <c r="F161" s="523"/>
      <c r="G161" s="393"/>
      <c r="H161" s="394"/>
      <c r="I161" s="394"/>
      <c r="J161" s="394"/>
      <c r="K161" s="394"/>
      <c r="L161" s="394"/>
      <c r="M161" s="394"/>
      <c r="N161" s="394"/>
      <c r="O161" s="394"/>
      <c r="P161" s="394"/>
      <c r="Q161" s="394"/>
      <c r="R161" s="381"/>
      <c r="S161" s="408"/>
      <c r="T161" s="385"/>
      <c r="U161" s="475"/>
      <c r="V161" s="395"/>
      <c r="W161" s="395"/>
      <c r="X161" s="528"/>
      <c r="Y161" s="523"/>
      <c r="Z161" s="393"/>
      <c r="AA161" s="394"/>
      <c r="AB161" s="394"/>
      <c r="AC161" s="394"/>
      <c r="AD161" s="394"/>
      <c r="AE161" s="394"/>
      <c r="AF161" s="394"/>
      <c r="AG161" s="394"/>
      <c r="AH161" s="394"/>
      <c r="AI161" s="394"/>
      <c r="AJ161" s="394"/>
      <c r="AK161" s="381"/>
      <c r="AL161" s="408"/>
      <c r="AM161" s="385"/>
      <c r="AN161" s="475"/>
      <c r="AO161" s="395"/>
      <c r="AP161" s="395"/>
      <c r="AQ161" s="528">
        <v>37</v>
      </c>
      <c r="AR161" s="523">
        <v>15</v>
      </c>
      <c r="AS161" s="393">
        <v>15</v>
      </c>
      <c r="AT161" s="600">
        <v>25.418040000000001</v>
      </c>
      <c r="AU161" s="394">
        <v>16.98394</v>
      </c>
      <c r="AV161" s="394">
        <v>3.0639699999999999</v>
      </c>
      <c r="AW161" s="394">
        <v>11.30527</v>
      </c>
      <c r="AX161" s="394">
        <v>3.10446</v>
      </c>
      <c r="AY161" s="394">
        <v>0</v>
      </c>
      <c r="AZ161" s="394">
        <v>0</v>
      </c>
      <c r="BA161" s="394">
        <v>2.6077599999999999</v>
      </c>
      <c r="BB161" s="394">
        <v>8.2809999999999995E-2</v>
      </c>
      <c r="BC161" s="394">
        <v>11.30527</v>
      </c>
      <c r="BD161" s="381" t="s">
        <v>167</v>
      </c>
      <c r="BE161" s="408" t="s">
        <v>175</v>
      </c>
      <c r="BF161" s="385"/>
      <c r="BG161" s="475">
        <v>116</v>
      </c>
      <c r="BH161" s="395">
        <f t="shared" ref="BH161" si="101">AT161/AQ161*1000</f>
        <v>686.97405405405414</v>
      </c>
      <c r="BI161" s="395">
        <f t="shared" ref="BI161" si="102">AT161/AR161</f>
        <v>1.694536</v>
      </c>
    </row>
    <row r="162" spans="1:61" s="358" customFormat="1" ht="19.2" x14ac:dyDescent="0.3">
      <c r="A162" s="359" t="s">
        <v>368</v>
      </c>
      <c r="B162" s="602" t="s">
        <v>4946</v>
      </c>
      <c r="C162" s="601" t="s">
        <v>4945</v>
      </c>
      <c r="D162" s="360">
        <v>0.4</v>
      </c>
      <c r="E162" s="528"/>
      <c r="F162" s="523"/>
      <c r="G162" s="393"/>
      <c r="H162" s="394"/>
      <c r="I162" s="394"/>
      <c r="J162" s="394"/>
      <c r="K162" s="394"/>
      <c r="L162" s="394"/>
      <c r="M162" s="394"/>
      <c r="N162" s="394"/>
      <c r="O162" s="394"/>
      <c r="P162" s="394"/>
      <c r="Q162" s="394"/>
      <c r="R162" s="381"/>
      <c r="S162" s="408"/>
      <c r="T162" s="385"/>
      <c r="U162" s="475"/>
      <c r="V162" s="395"/>
      <c r="W162" s="395"/>
      <c r="X162" s="528"/>
      <c r="Y162" s="523"/>
      <c r="Z162" s="393"/>
      <c r="AA162" s="394"/>
      <c r="AB162" s="394"/>
      <c r="AC162" s="394"/>
      <c r="AD162" s="394"/>
      <c r="AE162" s="394"/>
      <c r="AF162" s="394"/>
      <c r="AG162" s="394"/>
      <c r="AH162" s="394"/>
      <c r="AI162" s="394"/>
      <c r="AJ162" s="394"/>
      <c r="AK162" s="381"/>
      <c r="AL162" s="408"/>
      <c r="AM162" s="385"/>
      <c r="AN162" s="475"/>
      <c r="AO162" s="395"/>
      <c r="AP162" s="395"/>
      <c r="AQ162" s="528">
        <v>35</v>
      </c>
      <c r="AR162" s="523">
        <v>15</v>
      </c>
      <c r="AS162" s="393">
        <v>15</v>
      </c>
      <c r="AT162" s="600">
        <v>24.87398</v>
      </c>
      <c r="AU162" s="394">
        <v>16.611460000000001</v>
      </c>
      <c r="AV162" s="394">
        <v>2.8983500000000002</v>
      </c>
      <c r="AW162" s="394">
        <v>11.30527</v>
      </c>
      <c r="AX162" s="394">
        <v>3.0432199999999998</v>
      </c>
      <c r="AY162" s="394">
        <v>0</v>
      </c>
      <c r="AZ162" s="394">
        <v>0</v>
      </c>
      <c r="BA162" s="394">
        <v>2.5526599999999999</v>
      </c>
      <c r="BB162" s="394">
        <v>8.2809999999999995E-2</v>
      </c>
      <c r="BC162" s="394">
        <v>11.30527</v>
      </c>
      <c r="BD162" s="381" t="s">
        <v>167</v>
      </c>
      <c r="BE162" s="408" t="s">
        <v>175</v>
      </c>
      <c r="BF162" s="385"/>
      <c r="BG162" s="475">
        <v>118</v>
      </c>
      <c r="BH162" s="395">
        <f t="shared" si="83"/>
        <v>710.68514285714275</v>
      </c>
      <c r="BI162" s="395">
        <f t="shared" si="84"/>
        <v>1.6582653333333333</v>
      </c>
    </row>
    <row r="163" spans="1:61" s="358" customFormat="1" ht="19.2" x14ac:dyDescent="0.3">
      <c r="A163" s="359" t="s">
        <v>369</v>
      </c>
      <c r="B163" s="602" t="s">
        <v>4948</v>
      </c>
      <c r="C163" s="601" t="s">
        <v>4947</v>
      </c>
      <c r="D163" s="360">
        <v>0.4</v>
      </c>
      <c r="E163" s="528"/>
      <c r="F163" s="523"/>
      <c r="G163" s="393"/>
      <c r="H163" s="394"/>
      <c r="I163" s="394"/>
      <c r="J163" s="394"/>
      <c r="K163" s="394"/>
      <c r="L163" s="394"/>
      <c r="M163" s="394"/>
      <c r="N163" s="394"/>
      <c r="O163" s="394"/>
      <c r="P163" s="394"/>
      <c r="Q163" s="394"/>
      <c r="R163" s="381"/>
      <c r="S163" s="408"/>
      <c r="T163" s="385"/>
      <c r="U163" s="475"/>
      <c r="V163" s="395"/>
      <c r="W163" s="395"/>
      <c r="X163" s="528"/>
      <c r="Y163" s="523"/>
      <c r="Z163" s="393"/>
      <c r="AA163" s="394"/>
      <c r="AB163" s="394"/>
      <c r="AC163" s="394"/>
      <c r="AD163" s="394"/>
      <c r="AE163" s="394"/>
      <c r="AF163" s="394"/>
      <c r="AG163" s="394"/>
      <c r="AH163" s="394"/>
      <c r="AI163" s="394"/>
      <c r="AJ163" s="394"/>
      <c r="AK163" s="381"/>
      <c r="AL163" s="408"/>
      <c r="AM163" s="385"/>
      <c r="AN163" s="475"/>
      <c r="AO163" s="395"/>
      <c r="AP163" s="395"/>
      <c r="AQ163" s="528">
        <v>20</v>
      </c>
      <c r="AR163" s="523">
        <v>7</v>
      </c>
      <c r="AS163" s="393">
        <v>7</v>
      </c>
      <c r="AT163" s="600">
        <v>21.59929</v>
      </c>
      <c r="AU163" s="394">
        <v>14.62358</v>
      </c>
      <c r="AV163" s="394">
        <v>1.6581999999999999</v>
      </c>
      <c r="AW163" s="394">
        <v>11.30463</v>
      </c>
      <c r="AX163" s="394">
        <v>2.5838999999999999</v>
      </c>
      <c r="AY163" s="394">
        <v>0</v>
      </c>
      <c r="AZ163" s="394">
        <v>0</v>
      </c>
      <c r="BA163" s="394">
        <v>2.1394099999999998</v>
      </c>
      <c r="BB163" s="394">
        <v>8.2809999999999995E-2</v>
      </c>
      <c r="BC163" s="394">
        <v>11.30763</v>
      </c>
      <c r="BD163" s="381" t="s">
        <v>167</v>
      </c>
      <c r="BE163" s="408" t="s">
        <v>175</v>
      </c>
      <c r="BF163" s="385"/>
      <c r="BG163" s="475">
        <v>120</v>
      </c>
      <c r="BH163" s="395">
        <f t="shared" ref="BH163" si="103">AT163/AQ163*1000</f>
        <v>1079.9645</v>
      </c>
      <c r="BI163" s="395">
        <f t="shared" ref="BI163" si="104">AT163/AR163</f>
        <v>3.0856128571428569</v>
      </c>
    </row>
    <row r="164" spans="1:61" s="358" customFormat="1" ht="19.2" x14ac:dyDescent="0.3">
      <c r="A164" s="359" t="s">
        <v>370</v>
      </c>
      <c r="B164" s="602" t="s">
        <v>4950</v>
      </c>
      <c r="C164" s="601" t="s">
        <v>4949</v>
      </c>
      <c r="D164" s="360">
        <v>0.4</v>
      </c>
      <c r="E164" s="528"/>
      <c r="F164" s="523"/>
      <c r="G164" s="393"/>
      <c r="H164" s="394"/>
      <c r="I164" s="394"/>
      <c r="J164" s="394"/>
      <c r="K164" s="394"/>
      <c r="L164" s="394"/>
      <c r="M164" s="394"/>
      <c r="N164" s="394"/>
      <c r="O164" s="394"/>
      <c r="P164" s="394"/>
      <c r="Q164" s="394"/>
      <c r="R164" s="381"/>
      <c r="S164" s="408"/>
      <c r="T164" s="385"/>
      <c r="U164" s="475"/>
      <c r="V164" s="395"/>
      <c r="W164" s="395"/>
      <c r="X164" s="528"/>
      <c r="Y164" s="523"/>
      <c r="Z164" s="393"/>
      <c r="AA164" s="394"/>
      <c r="AB164" s="394"/>
      <c r="AC164" s="394"/>
      <c r="AD164" s="394"/>
      <c r="AE164" s="394"/>
      <c r="AF164" s="394"/>
      <c r="AG164" s="394"/>
      <c r="AH164" s="394"/>
      <c r="AI164" s="394"/>
      <c r="AJ164" s="394"/>
      <c r="AK164" s="381"/>
      <c r="AL164" s="408"/>
      <c r="AM164" s="385"/>
      <c r="AN164" s="475"/>
      <c r="AO164" s="395"/>
      <c r="AP164" s="395"/>
      <c r="AQ164" s="528">
        <v>50</v>
      </c>
      <c r="AR164" s="523">
        <v>7</v>
      </c>
      <c r="AS164" s="393">
        <v>7</v>
      </c>
      <c r="AT164" s="600">
        <v>44.437690000000003</v>
      </c>
      <c r="AU164" s="394">
        <v>29.628409999999999</v>
      </c>
      <c r="AV164" s="394">
        <v>4.1405000000000003</v>
      </c>
      <c r="AW164" s="394">
        <v>22.615259999999999</v>
      </c>
      <c r="AX164" s="394">
        <v>5.4740099999999998</v>
      </c>
      <c r="AY164" s="394">
        <v>0</v>
      </c>
      <c r="AZ164" s="394">
        <v>0</v>
      </c>
      <c r="BA164" s="394">
        <v>4.5543100000000001</v>
      </c>
      <c r="BB164" s="394">
        <v>8.2809999999999995E-2</v>
      </c>
      <c r="BC164" s="394">
        <v>11.30763</v>
      </c>
      <c r="BD164" s="381" t="s">
        <v>167</v>
      </c>
      <c r="BE164" s="408" t="s">
        <v>175</v>
      </c>
      <c r="BF164" s="385"/>
      <c r="BG164" s="475">
        <v>122</v>
      </c>
      <c r="BH164" s="395">
        <f t="shared" si="83"/>
        <v>888.75380000000007</v>
      </c>
      <c r="BI164" s="395">
        <f t="shared" si="84"/>
        <v>6.3482414285714288</v>
      </c>
    </row>
    <row r="165" spans="1:61" s="358" customFormat="1" x14ac:dyDescent="0.3">
      <c r="A165" s="359"/>
      <c r="B165" s="378"/>
      <c r="C165" s="546"/>
      <c r="D165" s="360"/>
      <c r="E165" s="528"/>
      <c r="F165" s="523"/>
      <c r="G165" s="393"/>
      <c r="H165" s="394"/>
      <c r="I165" s="394"/>
      <c r="J165" s="394"/>
      <c r="K165" s="394"/>
      <c r="L165" s="394"/>
      <c r="M165" s="394"/>
      <c r="N165" s="394"/>
      <c r="O165" s="394"/>
      <c r="P165" s="394"/>
      <c r="Q165" s="394"/>
      <c r="R165" s="385"/>
      <c r="S165" s="385"/>
      <c r="T165" s="385"/>
      <c r="U165" s="475"/>
      <c r="V165" s="395" t="e">
        <f t="shared" si="24"/>
        <v>#DIV/0!</v>
      </c>
      <c r="W165" s="395" t="e">
        <f t="shared" si="25"/>
        <v>#DIV/0!</v>
      </c>
      <c r="X165" s="528"/>
      <c r="Y165" s="523"/>
      <c r="Z165" s="393"/>
      <c r="AA165" s="394"/>
      <c r="AB165" s="394"/>
      <c r="AC165" s="394"/>
      <c r="AD165" s="394"/>
      <c r="AE165" s="394"/>
      <c r="AF165" s="394"/>
      <c r="AG165" s="394"/>
      <c r="AH165" s="394"/>
      <c r="AI165" s="394"/>
      <c r="AJ165" s="394"/>
      <c r="AK165" s="385"/>
      <c r="AL165" s="385"/>
      <c r="AM165" s="385"/>
      <c r="AN165" s="475"/>
      <c r="AO165" s="395" t="e">
        <f t="shared" si="14"/>
        <v>#DIV/0!</v>
      </c>
      <c r="AP165" s="395" t="e">
        <f t="shared" si="15"/>
        <v>#DIV/0!</v>
      </c>
      <c r="AQ165" s="528"/>
      <c r="AR165" s="523"/>
      <c r="AS165" s="393"/>
      <c r="AT165" s="394"/>
      <c r="AU165" s="394"/>
      <c r="AV165" s="394"/>
      <c r="AW165" s="394"/>
      <c r="AX165" s="394"/>
      <c r="AY165" s="394"/>
      <c r="AZ165" s="394"/>
      <c r="BA165" s="394"/>
      <c r="BB165" s="394"/>
      <c r="BC165" s="394"/>
      <c r="BD165" s="385"/>
      <c r="BE165" s="385"/>
      <c r="BF165" s="385"/>
      <c r="BG165" s="475"/>
      <c r="BH165" s="395" t="e">
        <f t="shared" si="16"/>
        <v>#DIV/0!</v>
      </c>
      <c r="BI165" s="395" t="e">
        <f t="shared" si="17"/>
        <v>#DIV/0!</v>
      </c>
    </row>
    <row r="166" spans="1:61" s="358" customFormat="1" ht="24.75" customHeight="1" x14ac:dyDescent="0.3">
      <c r="A166" s="354" t="s">
        <v>6309</v>
      </c>
      <c r="B166" s="355" t="s">
        <v>226</v>
      </c>
      <c r="C166" s="587"/>
      <c r="D166" s="356">
        <v>0.4</v>
      </c>
      <c r="E166" s="389">
        <f t="shared" ref="E166:Q166" si="105">SUM(E167:E213)</f>
        <v>1188</v>
      </c>
      <c r="F166" s="389">
        <f t="shared" si="105"/>
        <v>250</v>
      </c>
      <c r="G166" s="389">
        <f t="shared" si="105"/>
        <v>250</v>
      </c>
      <c r="H166" s="390">
        <f t="shared" si="105"/>
        <v>808.87076999999999</v>
      </c>
      <c r="I166" s="390">
        <f t="shared" si="105"/>
        <v>559.56160999999997</v>
      </c>
      <c r="J166" s="390">
        <f t="shared" si="105"/>
        <v>103.78554</v>
      </c>
      <c r="K166" s="390">
        <f t="shared" si="105"/>
        <v>390.87804000000006</v>
      </c>
      <c r="L166" s="390">
        <f t="shared" si="105"/>
        <v>111.60496000000001</v>
      </c>
      <c r="M166" s="390">
        <f t="shared" si="105"/>
        <v>0</v>
      </c>
      <c r="N166" s="390">
        <f t="shared" si="105"/>
        <v>0</v>
      </c>
      <c r="O166" s="390">
        <f t="shared" si="105"/>
        <v>67.802080000000004</v>
      </c>
      <c r="P166" s="390">
        <f t="shared" si="105"/>
        <v>1135.2</v>
      </c>
      <c r="Q166" s="390">
        <f t="shared" si="105"/>
        <v>143.29833000000002</v>
      </c>
      <c r="R166" s="391"/>
      <c r="S166" s="391"/>
      <c r="T166" s="391"/>
      <c r="U166" s="474"/>
      <c r="V166" s="392">
        <f t="shared" si="24"/>
        <v>680.86765151515146</v>
      </c>
      <c r="W166" s="392">
        <f t="shared" si="25"/>
        <v>3.2354830799999998</v>
      </c>
      <c r="X166" s="389">
        <f t="shared" ref="X166:AJ166" si="106">SUM(X167:X213)</f>
        <v>2391</v>
      </c>
      <c r="Y166" s="389">
        <f t="shared" si="106"/>
        <v>502</v>
      </c>
      <c r="Z166" s="389">
        <f t="shared" si="106"/>
        <v>502</v>
      </c>
      <c r="AA166" s="390">
        <f t="shared" si="106"/>
        <v>2100.6636299999996</v>
      </c>
      <c r="AB166" s="390">
        <f t="shared" si="106"/>
        <v>1502.8706499999998</v>
      </c>
      <c r="AC166" s="390">
        <f t="shared" si="106"/>
        <v>305.79432000000003</v>
      </c>
      <c r="AD166" s="390">
        <f t="shared" si="106"/>
        <v>1023.1167899999996</v>
      </c>
      <c r="AE166" s="390">
        <f t="shared" si="106"/>
        <v>281.29658000000006</v>
      </c>
      <c r="AF166" s="390">
        <f t="shared" si="106"/>
        <v>0</v>
      </c>
      <c r="AG166" s="390">
        <f t="shared" si="106"/>
        <v>0</v>
      </c>
      <c r="AH166" s="390">
        <f t="shared" si="106"/>
        <v>155.32825</v>
      </c>
      <c r="AI166" s="390">
        <f t="shared" si="106"/>
        <v>3.6812600000000013</v>
      </c>
      <c r="AJ166" s="390">
        <f t="shared" si="106"/>
        <v>368.78165000000001</v>
      </c>
      <c r="AK166" s="391"/>
      <c r="AL166" s="391"/>
      <c r="AM166" s="391"/>
      <c r="AN166" s="474"/>
      <c r="AO166" s="392">
        <f t="shared" si="14"/>
        <v>878.57115432873252</v>
      </c>
      <c r="AP166" s="392">
        <f t="shared" si="15"/>
        <v>4.1845889043824691</v>
      </c>
      <c r="AQ166" s="389">
        <f t="shared" ref="AQ166:BC166" si="107">SUM(AQ167:AQ213)</f>
        <v>533</v>
      </c>
      <c r="AR166" s="389">
        <f t="shared" si="107"/>
        <v>90</v>
      </c>
      <c r="AS166" s="389">
        <f t="shared" si="107"/>
        <v>90</v>
      </c>
      <c r="AT166" s="390">
        <f t="shared" si="107"/>
        <v>542.42807999999991</v>
      </c>
      <c r="AU166" s="390">
        <f t="shared" si="107"/>
        <v>367.18945000000002</v>
      </c>
      <c r="AV166" s="390">
        <f t="shared" si="107"/>
        <v>67.39412999999999</v>
      </c>
      <c r="AW166" s="390">
        <f t="shared" si="107"/>
        <v>263.80310999999995</v>
      </c>
      <c r="AX166" s="390">
        <f t="shared" si="107"/>
        <v>66.804789999999997</v>
      </c>
      <c r="AY166" s="390">
        <f t="shared" si="107"/>
        <v>0</v>
      </c>
      <c r="AZ166" s="390">
        <f t="shared" si="107"/>
        <v>0</v>
      </c>
      <c r="BA166" s="390">
        <f t="shared" si="107"/>
        <v>53.279789999999998</v>
      </c>
      <c r="BB166" s="390">
        <f t="shared" si="107"/>
        <v>0.63327999999999995</v>
      </c>
      <c r="BC166" s="390">
        <f t="shared" si="107"/>
        <v>54.618000000000002</v>
      </c>
      <c r="BD166" s="391"/>
      <c r="BE166" s="391"/>
      <c r="BF166" s="391"/>
      <c r="BG166" s="474"/>
      <c r="BH166" s="392">
        <f t="shared" si="16"/>
        <v>1017.6887054409003</v>
      </c>
      <c r="BI166" s="392">
        <f t="shared" si="17"/>
        <v>6.0269786666666656</v>
      </c>
    </row>
    <row r="167" spans="1:61" s="358" customFormat="1" ht="19.2" x14ac:dyDescent="0.3">
      <c r="A167" s="359" t="s">
        <v>178</v>
      </c>
      <c r="B167" s="537" t="s">
        <v>546</v>
      </c>
      <c r="C167" s="546" t="s">
        <v>409</v>
      </c>
      <c r="D167" s="360">
        <v>0.4</v>
      </c>
      <c r="E167" s="528">
        <v>60</v>
      </c>
      <c r="F167" s="523">
        <v>15</v>
      </c>
      <c r="G167" s="393">
        <v>15</v>
      </c>
      <c r="H167" s="542">
        <v>26.367190000000001</v>
      </c>
      <c r="I167" s="394">
        <v>18.012740000000001</v>
      </c>
      <c r="J167" s="394">
        <v>5.1947999999999999</v>
      </c>
      <c r="K167" s="394">
        <v>10</v>
      </c>
      <c r="L167" s="394">
        <v>3.7782100000000001</v>
      </c>
      <c r="M167" s="394">
        <v>0</v>
      </c>
      <c r="N167" s="394">
        <v>0</v>
      </c>
      <c r="O167" s="394">
        <v>2.26803</v>
      </c>
      <c r="P167" s="394">
        <v>86.58</v>
      </c>
      <c r="Q167" s="394">
        <v>10</v>
      </c>
      <c r="R167" s="381" t="s">
        <v>167</v>
      </c>
      <c r="S167" s="408" t="s">
        <v>175</v>
      </c>
      <c r="T167" s="385"/>
      <c r="U167" s="475">
        <v>56</v>
      </c>
      <c r="V167" s="395">
        <f t="shared" ref="V167:V169" si="108">H167/E167*1000</f>
        <v>439.45316666666668</v>
      </c>
      <c r="W167" s="395">
        <f t="shared" ref="W167:W169" si="109">H167/F167</f>
        <v>1.7578126666666667</v>
      </c>
      <c r="X167" s="528"/>
      <c r="Y167" s="523"/>
      <c r="Z167" s="393"/>
      <c r="AA167" s="542"/>
      <c r="AB167" s="394"/>
      <c r="AC167" s="394"/>
      <c r="AD167" s="394"/>
      <c r="AE167" s="394"/>
      <c r="AF167" s="394"/>
      <c r="AG167" s="394"/>
      <c r="AH167" s="394"/>
      <c r="AI167" s="394"/>
      <c r="AJ167" s="394"/>
      <c r="AK167" s="381"/>
      <c r="AL167" s="408"/>
      <c r="AM167" s="385"/>
      <c r="AN167" s="475"/>
      <c r="AO167" s="395" t="e">
        <f t="shared" ref="AO167:AO300" si="110">AA167/X167*1000</f>
        <v>#DIV/0!</v>
      </c>
      <c r="AP167" s="395" t="e">
        <f t="shared" ref="AP167:AP300" si="111">AA167/Y167</f>
        <v>#DIV/0!</v>
      </c>
      <c r="AQ167" s="528"/>
      <c r="AR167" s="523"/>
      <c r="AS167" s="393"/>
      <c r="AT167" s="542"/>
      <c r="AU167" s="394"/>
      <c r="AV167" s="394"/>
      <c r="AW167" s="394"/>
      <c r="AX167" s="394"/>
      <c r="AY167" s="394"/>
      <c r="AZ167" s="394"/>
      <c r="BA167" s="394"/>
      <c r="BB167" s="394"/>
      <c r="BC167" s="394"/>
      <c r="BD167" s="381"/>
      <c r="BE167" s="408"/>
      <c r="BF167" s="385"/>
      <c r="BG167" s="475"/>
      <c r="BH167" s="395" t="e">
        <f t="shared" ref="BH167:BH300" si="112">AT167/AQ167*1000</f>
        <v>#DIV/0!</v>
      </c>
      <c r="BI167" s="395" t="e">
        <f t="shared" ref="BI167:BI300" si="113">AT167/AR167</f>
        <v>#DIV/0!</v>
      </c>
    </row>
    <row r="168" spans="1:61" s="358" customFormat="1" ht="19.2" x14ac:dyDescent="0.3">
      <c r="A168" s="359" t="s">
        <v>182</v>
      </c>
      <c r="B168" s="537" t="s">
        <v>547</v>
      </c>
      <c r="C168" s="546" t="s">
        <v>410</v>
      </c>
      <c r="D168" s="360">
        <v>0.4</v>
      </c>
      <c r="E168" s="528">
        <v>90</v>
      </c>
      <c r="F168" s="523">
        <v>15</v>
      </c>
      <c r="G168" s="393">
        <v>15</v>
      </c>
      <c r="H168" s="542">
        <v>76.470519999999993</v>
      </c>
      <c r="I168" s="394">
        <v>53.168619999999997</v>
      </c>
      <c r="J168" s="394">
        <v>7.7922000000000002</v>
      </c>
      <c r="K168" s="394">
        <v>40</v>
      </c>
      <c r="L168" s="394">
        <v>10.64639</v>
      </c>
      <c r="M168" s="394">
        <v>0</v>
      </c>
      <c r="N168" s="394">
        <v>0</v>
      </c>
      <c r="O168" s="394">
        <v>6.2232200000000004</v>
      </c>
      <c r="P168" s="394">
        <v>86.58</v>
      </c>
      <c r="Q168" s="394">
        <v>10</v>
      </c>
      <c r="R168" s="381" t="s">
        <v>167</v>
      </c>
      <c r="S168" s="408" t="s">
        <v>175</v>
      </c>
      <c r="T168" s="385"/>
      <c r="U168" s="475">
        <v>58</v>
      </c>
      <c r="V168" s="395">
        <f t="shared" si="108"/>
        <v>849.6724444444443</v>
      </c>
      <c r="W168" s="395">
        <f t="shared" si="109"/>
        <v>5.098034666666666</v>
      </c>
      <c r="X168" s="528"/>
      <c r="Y168" s="523"/>
      <c r="Z168" s="393"/>
      <c r="AA168" s="542"/>
      <c r="AB168" s="394"/>
      <c r="AC168" s="394"/>
      <c r="AD168" s="394"/>
      <c r="AE168" s="394"/>
      <c r="AF168" s="394"/>
      <c r="AG168" s="394"/>
      <c r="AH168" s="394"/>
      <c r="AI168" s="394"/>
      <c r="AJ168" s="394"/>
      <c r="AK168" s="381"/>
      <c r="AL168" s="408"/>
      <c r="AM168" s="385"/>
      <c r="AN168" s="475"/>
      <c r="AO168" s="395" t="e">
        <f t="shared" si="110"/>
        <v>#DIV/0!</v>
      </c>
      <c r="AP168" s="395" t="e">
        <f t="shared" si="111"/>
        <v>#DIV/0!</v>
      </c>
      <c r="AQ168" s="528"/>
      <c r="AR168" s="523"/>
      <c r="AS168" s="393"/>
      <c r="AT168" s="542"/>
      <c r="AU168" s="394"/>
      <c r="AV168" s="394"/>
      <c r="AW168" s="394"/>
      <c r="AX168" s="394"/>
      <c r="AY168" s="394"/>
      <c r="AZ168" s="394"/>
      <c r="BA168" s="394"/>
      <c r="BB168" s="394"/>
      <c r="BC168" s="394"/>
      <c r="BD168" s="381"/>
      <c r="BE168" s="408"/>
      <c r="BF168" s="385"/>
      <c r="BG168" s="475"/>
      <c r="BH168" s="395" t="e">
        <f t="shared" si="112"/>
        <v>#DIV/0!</v>
      </c>
      <c r="BI168" s="395" t="e">
        <f t="shared" si="113"/>
        <v>#DIV/0!</v>
      </c>
    </row>
    <row r="169" spans="1:61" s="358" customFormat="1" ht="19.2" x14ac:dyDescent="0.3">
      <c r="A169" s="359" t="s">
        <v>184</v>
      </c>
      <c r="B169" s="537" t="s">
        <v>548</v>
      </c>
      <c r="C169" s="546" t="s">
        <v>411</v>
      </c>
      <c r="D169" s="360">
        <v>0.4</v>
      </c>
      <c r="E169" s="528">
        <v>45</v>
      </c>
      <c r="F169" s="523">
        <v>15</v>
      </c>
      <c r="G169" s="393">
        <v>15</v>
      </c>
      <c r="H169" s="542">
        <v>23.224969999999999</v>
      </c>
      <c r="I169" s="394">
        <v>15.882099999999999</v>
      </c>
      <c r="J169" s="394">
        <v>3.8961000000000001</v>
      </c>
      <c r="K169" s="394">
        <v>9.8620900000000002</v>
      </c>
      <c r="L169" s="394">
        <v>3.3315600000000001</v>
      </c>
      <c r="M169" s="394">
        <v>0</v>
      </c>
      <c r="N169" s="394">
        <v>0</v>
      </c>
      <c r="O169" s="394">
        <v>1.98315</v>
      </c>
      <c r="P169" s="394">
        <v>86.58</v>
      </c>
      <c r="Q169" s="394">
        <v>9.8620900000000002</v>
      </c>
      <c r="R169" s="381" t="s">
        <v>167</v>
      </c>
      <c r="S169" s="408" t="s">
        <v>175</v>
      </c>
      <c r="T169" s="385"/>
      <c r="U169" s="475">
        <v>60</v>
      </c>
      <c r="V169" s="395">
        <f t="shared" si="108"/>
        <v>516.1104444444444</v>
      </c>
      <c r="W169" s="395">
        <f t="shared" si="109"/>
        <v>1.5483313333333333</v>
      </c>
      <c r="X169" s="528"/>
      <c r="Y169" s="523"/>
      <c r="Z169" s="393"/>
      <c r="AA169" s="542"/>
      <c r="AB169" s="394"/>
      <c r="AC169" s="394"/>
      <c r="AD169" s="394"/>
      <c r="AE169" s="394"/>
      <c r="AF169" s="394"/>
      <c r="AG169" s="394"/>
      <c r="AH169" s="394"/>
      <c r="AI169" s="394"/>
      <c r="AJ169" s="394"/>
      <c r="AK169" s="381"/>
      <c r="AL169" s="408"/>
      <c r="AM169" s="385"/>
      <c r="AN169" s="475"/>
      <c r="AO169" s="395" t="e">
        <f t="shared" si="110"/>
        <v>#DIV/0!</v>
      </c>
      <c r="AP169" s="395" t="e">
        <f t="shared" si="111"/>
        <v>#DIV/0!</v>
      </c>
      <c r="AQ169" s="528"/>
      <c r="AR169" s="523"/>
      <c r="AS169" s="393"/>
      <c r="AT169" s="542"/>
      <c r="AU169" s="394"/>
      <c r="AV169" s="394"/>
      <c r="AW169" s="394"/>
      <c r="AX169" s="394"/>
      <c r="AY169" s="394"/>
      <c r="AZ169" s="394"/>
      <c r="BA169" s="394"/>
      <c r="BB169" s="394"/>
      <c r="BC169" s="394"/>
      <c r="BD169" s="381"/>
      <c r="BE169" s="408"/>
      <c r="BF169" s="385"/>
      <c r="BG169" s="475"/>
      <c r="BH169" s="395" t="e">
        <f t="shared" si="112"/>
        <v>#DIV/0!</v>
      </c>
      <c r="BI169" s="395" t="e">
        <f t="shared" si="113"/>
        <v>#DIV/0!</v>
      </c>
    </row>
    <row r="170" spans="1:61" s="358" customFormat="1" ht="19.2" x14ac:dyDescent="0.3">
      <c r="A170" s="359" t="s">
        <v>186</v>
      </c>
      <c r="B170" s="537" t="s">
        <v>550</v>
      </c>
      <c r="C170" s="546" t="s">
        <v>413</v>
      </c>
      <c r="D170" s="360">
        <v>0.4</v>
      </c>
      <c r="E170" s="528">
        <v>90</v>
      </c>
      <c r="F170" s="523">
        <v>15</v>
      </c>
      <c r="G170" s="393">
        <v>15</v>
      </c>
      <c r="H170" s="542">
        <v>60.197479999999999</v>
      </c>
      <c r="I170" s="394">
        <v>41.203670000000002</v>
      </c>
      <c r="J170" s="394">
        <v>7.7922000000000002</v>
      </c>
      <c r="K170" s="394">
        <v>29.586269999999999</v>
      </c>
      <c r="L170" s="394">
        <v>8.6547599999999996</v>
      </c>
      <c r="M170" s="394">
        <v>0</v>
      </c>
      <c r="N170" s="394">
        <v>0</v>
      </c>
      <c r="O170" s="394">
        <v>5.0947500000000003</v>
      </c>
      <c r="P170" s="394">
        <v>86.58</v>
      </c>
      <c r="Q170" s="394">
        <v>9.8620900000000002</v>
      </c>
      <c r="R170" s="381" t="s">
        <v>167</v>
      </c>
      <c r="S170" s="408" t="s">
        <v>175</v>
      </c>
      <c r="T170" s="385"/>
      <c r="U170" s="475">
        <v>52</v>
      </c>
      <c r="V170" s="395">
        <f t="shared" ref="V170" si="114">H170/E170*1000</f>
        <v>668.86088888888889</v>
      </c>
      <c r="W170" s="395">
        <f t="shared" ref="W170" si="115">H170/F170</f>
        <v>4.0131653333333333</v>
      </c>
      <c r="X170" s="528"/>
      <c r="Y170" s="523"/>
      <c r="Z170" s="393"/>
      <c r="AA170" s="542"/>
      <c r="AB170" s="394"/>
      <c r="AC170" s="394"/>
      <c r="AD170" s="394"/>
      <c r="AE170" s="394"/>
      <c r="AF170" s="394"/>
      <c r="AG170" s="394"/>
      <c r="AH170" s="394"/>
      <c r="AI170" s="394"/>
      <c r="AJ170" s="394"/>
      <c r="AK170" s="381"/>
      <c r="AL170" s="408"/>
      <c r="AM170" s="385"/>
      <c r="AN170" s="475"/>
      <c r="AO170" s="395" t="e">
        <f t="shared" si="110"/>
        <v>#DIV/0!</v>
      </c>
      <c r="AP170" s="395" t="e">
        <f t="shared" si="111"/>
        <v>#DIV/0!</v>
      </c>
      <c r="AQ170" s="528"/>
      <c r="AR170" s="523"/>
      <c r="AS170" s="393"/>
      <c r="AT170" s="542"/>
      <c r="AU170" s="394"/>
      <c r="AV170" s="394"/>
      <c r="AW170" s="394"/>
      <c r="AX170" s="394"/>
      <c r="AY170" s="394"/>
      <c r="AZ170" s="394"/>
      <c r="BA170" s="394"/>
      <c r="BB170" s="394"/>
      <c r="BC170" s="394"/>
      <c r="BD170" s="381"/>
      <c r="BE170" s="408"/>
      <c r="BF170" s="385"/>
      <c r="BG170" s="475"/>
      <c r="BH170" s="395" t="e">
        <f t="shared" si="112"/>
        <v>#DIV/0!</v>
      </c>
      <c r="BI170" s="395" t="e">
        <f t="shared" si="113"/>
        <v>#DIV/0!</v>
      </c>
    </row>
    <row r="171" spans="1:61" s="358" customFormat="1" ht="19.2" x14ac:dyDescent="0.3">
      <c r="A171" s="359" t="s">
        <v>189</v>
      </c>
      <c r="B171" s="537" t="s">
        <v>552</v>
      </c>
      <c r="C171" s="546" t="s">
        <v>417</v>
      </c>
      <c r="D171" s="360">
        <v>0.4</v>
      </c>
      <c r="E171" s="528">
        <v>38</v>
      </c>
      <c r="F171" s="523">
        <v>15</v>
      </c>
      <c r="G171" s="393">
        <v>15</v>
      </c>
      <c r="H171" s="542">
        <v>22.674579999999999</v>
      </c>
      <c r="I171" s="394">
        <v>15.803800000000001</v>
      </c>
      <c r="J171" s="394">
        <v>3.3204400000000001</v>
      </c>
      <c r="K171" s="394">
        <v>9.9433900000000008</v>
      </c>
      <c r="L171" s="394">
        <v>3.1231300000000002</v>
      </c>
      <c r="M171" s="394">
        <v>0</v>
      </c>
      <c r="N171" s="394">
        <v>0</v>
      </c>
      <c r="O171" s="394">
        <v>1.85019</v>
      </c>
      <c r="P171" s="394">
        <v>87.38</v>
      </c>
      <c r="Q171" s="394">
        <v>9.9433900000000008</v>
      </c>
      <c r="R171" s="381" t="s">
        <v>167</v>
      </c>
      <c r="S171" s="408" t="s">
        <v>175</v>
      </c>
      <c r="T171" s="385"/>
      <c r="U171" s="475">
        <v>64</v>
      </c>
      <c r="V171" s="395">
        <f t="shared" ref="V171:V179" si="116">H171/E171*1000</f>
        <v>596.69947368421049</v>
      </c>
      <c r="W171" s="395">
        <f t="shared" ref="W171:W179" si="117">H171/F171</f>
        <v>1.5116386666666666</v>
      </c>
      <c r="X171" s="528"/>
      <c r="Y171" s="523"/>
      <c r="Z171" s="393"/>
      <c r="AA171" s="542"/>
      <c r="AB171" s="394"/>
      <c r="AC171" s="394"/>
      <c r="AD171" s="394"/>
      <c r="AE171" s="394"/>
      <c r="AF171" s="394"/>
      <c r="AG171" s="394"/>
      <c r="AH171" s="394"/>
      <c r="AI171" s="394"/>
      <c r="AJ171" s="394"/>
      <c r="AK171" s="381"/>
      <c r="AL171" s="408"/>
      <c r="AM171" s="385"/>
      <c r="AN171" s="475"/>
      <c r="AO171" s="395" t="e">
        <f t="shared" si="110"/>
        <v>#DIV/0!</v>
      </c>
      <c r="AP171" s="395" t="e">
        <f t="shared" si="111"/>
        <v>#DIV/0!</v>
      </c>
      <c r="AQ171" s="528"/>
      <c r="AR171" s="523"/>
      <c r="AS171" s="393"/>
      <c r="AT171" s="542"/>
      <c r="AU171" s="394"/>
      <c r="AV171" s="394"/>
      <c r="AW171" s="394"/>
      <c r="AX171" s="394"/>
      <c r="AY171" s="394"/>
      <c r="AZ171" s="394"/>
      <c r="BA171" s="394"/>
      <c r="BB171" s="394"/>
      <c r="BC171" s="394"/>
      <c r="BD171" s="381"/>
      <c r="BE171" s="408"/>
      <c r="BF171" s="385"/>
      <c r="BG171" s="475"/>
      <c r="BH171" s="395" t="e">
        <f t="shared" si="112"/>
        <v>#DIV/0!</v>
      </c>
      <c r="BI171" s="395" t="e">
        <f t="shared" si="113"/>
        <v>#DIV/0!</v>
      </c>
    </row>
    <row r="172" spans="1:61" s="358" customFormat="1" ht="19.2" x14ac:dyDescent="0.3">
      <c r="A172" s="359" t="s">
        <v>267</v>
      </c>
      <c r="B172" s="537" t="s">
        <v>553</v>
      </c>
      <c r="C172" s="546" t="s">
        <v>418</v>
      </c>
      <c r="D172" s="360">
        <v>0.4</v>
      </c>
      <c r="E172" s="528">
        <v>255</v>
      </c>
      <c r="F172" s="523">
        <v>15</v>
      </c>
      <c r="G172" s="393">
        <v>15</v>
      </c>
      <c r="H172" s="542">
        <v>193.93593999999999</v>
      </c>
      <c r="I172" s="394">
        <v>133.28577999999999</v>
      </c>
      <c r="J172" s="394">
        <v>22.2819</v>
      </c>
      <c r="K172" s="394">
        <f>59.66034+39.77356</f>
        <v>99.433899999999994</v>
      </c>
      <c r="L172" s="394">
        <v>28.11608</v>
      </c>
      <c r="M172" s="394">
        <v>0</v>
      </c>
      <c r="N172" s="394">
        <v>0</v>
      </c>
      <c r="O172" s="394">
        <v>16.084689999999998</v>
      </c>
      <c r="P172" s="394">
        <v>87.38</v>
      </c>
      <c r="Q172" s="394">
        <v>9.9433900000000008</v>
      </c>
      <c r="R172" s="381" t="s">
        <v>167</v>
      </c>
      <c r="S172" s="408" t="s">
        <v>175</v>
      </c>
      <c r="T172" s="385"/>
      <c r="U172" s="475">
        <v>66</v>
      </c>
      <c r="V172" s="395">
        <f t="shared" si="116"/>
        <v>760.5330980392157</v>
      </c>
      <c r="W172" s="395">
        <f t="shared" si="117"/>
        <v>12.929062666666665</v>
      </c>
      <c r="X172" s="528"/>
      <c r="Y172" s="523"/>
      <c r="Z172" s="393"/>
      <c r="AA172" s="542"/>
      <c r="AB172" s="394"/>
      <c r="AC172" s="394"/>
      <c r="AD172" s="394"/>
      <c r="AE172" s="394"/>
      <c r="AF172" s="394"/>
      <c r="AG172" s="394"/>
      <c r="AH172" s="394"/>
      <c r="AI172" s="394"/>
      <c r="AJ172" s="394"/>
      <c r="AK172" s="381"/>
      <c r="AL172" s="408"/>
      <c r="AM172" s="385"/>
      <c r="AN172" s="475"/>
      <c r="AO172" s="395" t="e">
        <f t="shared" si="110"/>
        <v>#DIV/0!</v>
      </c>
      <c r="AP172" s="395" t="e">
        <f t="shared" si="111"/>
        <v>#DIV/0!</v>
      </c>
      <c r="AQ172" s="528"/>
      <c r="AR172" s="523"/>
      <c r="AS172" s="393"/>
      <c r="AT172" s="542"/>
      <c r="AU172" s="394"/>
      <c r="AV172" s="394"/>
      <c r="AW172" s="394"/>
      <c r="AX172" s="394"/>
      <c r="AY172" s="394"/>
      <c r="AZ172" s="394"/>
      <c r="BA172" s="394"/>
      <c r="BB172" s="394"/>
      <c r="BC172" s="394"/>
      <c r="BD172" s="381"/>
      <c r="BE172" s="408"/>
      <c r="BF172" s="385"/>
      <c r="BG172" s="475"/>
      <c r="BH172" s="395" t="e">
        <f t="shared" si="112"/>
        <v>#DIV/0!</v>
      </c>
      <c r="BI172" s="395" t="e">
        <f t="shared" si="113"/>
        <v>#DIV/0!</v>
      </c>
    </row>
    <row r="173" spans="1:61" s="358" customFormat="1" ht="19.2" x14ac:dyDescent="0.3">
      <c r="A173" s="359" t="s">
        <v>268</v>
      </c>
      <c r="B173" s="537" t="s">
        <v>555</v>
      </c>
      <c r="C173" s="546" t="s">
        <v>420</v>
      </c>
      <c r="D173" s="360">
        <v>0.4</v>
      </c>
      <c r="E173" s="528">
        <v>100</v>
      </c>
      <c r="F173" s="523">
        <v>10</v>
      </c>
      <c r="G173" s="393">
        <v>10</v>
      </c>
      <c r="H173" s="542">
        <v>34.049379999999999</v>
      </c>
      <c r="I173" s="394">
        <v>22.997350000000001</v>
      </c>
      <c r="J173" s="394">
        <v>8.7379999999999995</v>
      </c>
      <c r="K173" s="394">
        <v>9.9433900000000008</v>
      </c>
      <c r="L173" s="394">
        <v>4.9692600000000002</v>
      </c>
      <c r="M173" s="394">
        <v>0</v>
      </c>
      <c r="N173" s="394">
        <v>0</v>
      </c>
      <c r="O173" s="394">
        <v>3.0277400000000001</v>
      </c>
      <c r="P173" s="394">
        <v>87.38</v>
      </c>
      <c r="Q173" s="394">
        <v>9.9433900000000008</v>
      </c>
      <c r="R173" s="381" t="s">
        <v>167</v>
      </c>
      <c r="S173" s="408" t="s">
        <v>175</v>
      </c>
      <c r="T173" s="385"/>
      <c r="U173" s="475">
        <v>68</v>
      </c>
      <c r="V173" s="395">
        <f t="shared" si="116"/>
        <v>340.49380000000002</v>
      </c>
      <c r="W173" s="395">
        <f t="shared" si="117"/>
        <v>3.404938</v>
      </c>
      <c r="X173" s="528"/>
      <c r="Y173" s="523"/>
      <c r="Z173" s="393"/>
      <c r="AA173" s="542"/>
      <c r="AB173" s="394"/>
      <c r="AC173" s="394"/>
      <c r="AD173" s="394"/>
      <c r="AE173" s="394"/>
      <c r="AF173" s="394"/>
      <c r="AG173" s="394"/>
      <c r="AH173" s="394"/>
      <c r="AI173" s="394"/>
      <c r="AJ173" s="394"/>
      <c r="AK173" s="381"/>
      <c r="AL173" s="408"/>
      <c r="AM173" s="385"/>
      <c r="AN173" s="475"/>
      <c r="AO173" s="395" t="e">
        <f t="shared" si="110"/>
        <v>#DIV/0!</v>
      </c>
      <c r="AP173" s="395" t="e">
        <f t="shared" si="111"/>
        <v>#DIV/0!</v>
      </c>
      <c r="AQ173" s="528"/>
      <c r="AR173" s="523"/>
      <c r="AS173" s="393"/>
      <c r="AT173" s="542"/>
      <c r="AU173" s="394"/>
      <c r="AV173" s="394"/>
      <c r="AW173" s="394"/>
      <c r="AX173" s="394"/>
      <c r="AY173" s="394"/>
      <c r="AZ173" s="394"/>
      <c r="BA173" s="394"/>
      <c r="BB173" s="394"/>
      <c r="BC173" s="394"/>
      <c r="BD173" s="381"/>
      <c r="BE173" s="408"/>
      <c r="BF173" s="385"/>
      <c r="BG173" s="475"/>
      <c r="BH173" s="395" t="e">
        <f t="shared" si="112"/>
        <v>#DIV/0!</v>
      </c>
      <c r="BI173" s="395" t="e">
        <f t="shared" si="113"/>
        <v>#DIV/0!</v>
      </c>
    </row>
    <row r="174" spans="1:61" s="358" customFormat="1" ht="19.2" x14ac:dyDescent="0.3">
      <c r="A174" s="359" t="s">
        <v>269</v>
      </c>
      <c r="B174" s="537" t="s">
        <v>577</v>
      </c>
      <c r="C174" s="546" t="s">
        <v>447</v>
      </c>
      <c r="D174" s="360">
        <v>0.4</v>
      </c>
      <c r="E174" s="528">
        <v>95</v>
      </c>
      <c r="F174" s="523">
        <v>15</v>
      </c>
      <c r="G174" s="393">
        <v>15</v>
      </c>
      <c r="H174" s="542">
        <v>125.19472</v>
      </c>
      <c r="I174" s="394">
        <v>87.559979999999996</v>
      </c>
      <c r="J174" s="394">
        <v>8.3324499999999997</v>
      </c>
      <c r="K174" s="394">
        <f>11.7896+11.7896+47.1584</f>
        <v>70.7376</v>
      </c>
      <c r="L174" s="394">
        <v>16.830100000000002</v>
      </c>
      <c r="M174" s="394">
        <v>0</v>
      </c>
      <c r="N174" s="394">
        <v>0</v>
      </c>
      <c r="O174" s="394">
        <v>10.309089999999999</v>
      </c>
      <c r="P174" s="394">
        <v>87.71</v>
      </c>
      <c r="Q174" s="394">
        <v>11.7896</v>
      </c>
      <c r="R174" s="381" t="s">
        <v>167</v>
      </c>
      <c r="S174" s="408" t="s">
        <v>175</v>
      </c>
      <c r="T174" s="385"/>
      <c r="U174" s="475">
        <v>70</v>
      </c>
      <c r="V174" s="395">
        <f t="shared" si="116"/>
        <v>1317.8391578947369</v>
      </c>
      <c r="W174" s="395">
        <f t="shared" si="117"/>
        <v>8.3463146666666663</v>
      </c>
      <c r="X174" s="528"/>
      <c r="Y174" s="523"/>
      <c r="Z174" s="393"/>
      <c r="AA174" s="542"/>
      <c r="AB174" s="394"/>
      <c r="AC174" s="394"/>
      <c r="AD174" s="394"/>
      <c r="AE174" s="394"/>
      <c r="AF174" s="394"/>
      <c r="AG174" s="394"/>
      <c r="AH174" s="394"/>
      <c r="AI174" s="394"/>
      <c r="AJ174" s="394"/>
      <c r="AK174" s="381"/>
      <c r="AL174" s="408"/>
      <c r="AM174" s="385"/>
      <c r="AN174" s="475"/>
      <c r="AO174" s="395" t="e">
        <f t="shared" si="110"/>
        <v>#DIV/0!</v>
      </c>
      <c r="AP174" s="395" t="e">
        <f t="shared" si="111"/>
        <v>#DIV/0!</v>
      </c>
      <c r="AQ174" s="528"/>
      <c r="AR174" s="523"/>
      <c r="AS174" s="393"/>
      <c r="AT174" s="542"/>
      <c r="AU174" s="394"/>
      <c r="AV174" s="394"/>
      <c r="AW174" s="394"/>
      <c r="AX174" s="394"/>
      <c r="AY174" s="394"/>
      <c r="AZ174" s="394"/>
      <c r="BA174" s="394"/>
      <c r="BB174" s="394"/>
      <c r="BC174" s="394"/>
      <c r="BD174" s="381"/>
      <c r="BE174" s="408"/>
      <c r="BF174" s="385"/>
      <c r="BG174" s="475"/>
      <c r="BH174" s="395" t="e">
        <f t="shared" si="112"/>
        <v>#DIV/0!</v>
      </c>
      <c r="BI174" s="395" t="e">
        <f t="shared" si="113"/>
        <v>#DIV/0!</v>
      </c>
    </row>
    <row r="175" spans="1:61" s="358" customFormat="1" ht="19.2" x14ac:dyDescent="0.3">
      <c r="A175" s="359" t="s">
        <v>270</v>
      </c>
      <c r="B175" s="537" t="s">
        <v>578</v>
      </c>
      <c r="C175" s="546" t="s">
        <v>448</v>
      </c>
      <c r="D175" s="360">
        <v>0.4</v>
      </c>
      <c r="E175" s="528">
        <v>100</v>
      </c>
      <c r="F175" s="523">
        <v>30</v>
      </c>
      <c r="G175" s="393">
        <v>30</v>
      </c>
      <c r="H175" s="542">
        <v>51.879530000000003</v>
      </c>
      <c r="I175" s="394">
        <v>35.168779999999998</v>
      </c>
      <c r="J175" s="394">
        <v>8.7710000000000008</v>
      </c>
      <c r="K175" s="394">
        <f>11.7896+11.7896</f>
        <v>23.5792</v>
      </c>
      <c r="L175" s="394">
        <v>7.2806699999999998</v>
      </c>
      <c r="M175" s="394">
        <v>0</v>
      </c>
      <c r="N175" s="394">
        <v>0</v>
      </c>
      <c r="O175" s="394">
        <v>4.6666600000000003</v>
      </c>
      <c r="P175" s="394">
        <v>87.71</v>
      </c>
      <c r="Q175" s="394">
        <v>11.7896</v>
      </c>
      <c r="R175" s="381" t="s">
        <v>167</v>
      </c>
      <c r="S175" s="408" t="s">
        <v>175</v>
      </c>
      <c r="T175" s="385"/>
      <c r="U175" s="475">
        <v>73</v>
      </c>
      <c r="V175" s="395">
        <f t="shared" si="116"/>
        <v>518.79530000000011</v>
      </c>
      <c r="W175" s="395">
        <f t="shared" si="117"/>
        <v>1.7293176666666668</v>
      </c>
      <c r="X175" s="528"/>
      <c r="Y175" s="523"/>
      <c r="Z175" s="393"/>
      <c r="AA175" s="542"/>
      <c r="AB175" s="394"/>
      <c r="AC175" s="394"/>
      <c r="AD175" s="394"/>
      <c r="AE175" s="394"/>
      <c r="AF175" s="394"/>
      <c r="AG175" s="394"/>
      <c r="AH175" s="394"/>
      <c r="AI175" s="394"/>
      <c r="AJ175" s="394"/>
      <c r="AK175" s="381"/>
      <c r="AL175" s="408"/>
      <c r="AM175" s="385"/>
      <c r="AN175" s="475"/>
      <c r="AO175" s="395" t="e">
        <f t="shared" si="110"/>
        <v>#DIV/0!</v>
      </c>
      <c r="AP175" s="395" t="e">
        <f t="shared" si="111"/>
        <v>#DIV/0!</v>
      </c>
      <c r="AQ175" s="528"/>
      <c r="AR175" s="523"/>
      <c r="AS175" s="393"/>
      <c r="AT175" s="542"/>
      <c r="AU175" s="394"/>
      <c r="AV175" s="394"/>
      <c r="AW175" s="394"/>
      <c r="AX175" s="394"/>
      <c r="AY175" s="394"/>
      <c r="AZ175" s="394"/>
      <c r="BA175" s="394"/>
      <c r="BB175" s="394"/>
      <c r="BC175" s="394"/>
      <c r="BD175" s="381"/>
      <c r="BE175" s="408"/>
      <c r="BF175" s="385"/>
      <c r="BG175" s="475"/>
      <c r="BH175" s="395" t="e">
        <f t="shared" si="112"/>
        <v>#DIV/0!</v>
      </c>
      <c r="BI175" s="395" t="e">
        <f t="shared" si="113"/>
        <v>#DIV/0!</v>
      </c>
    </row>
    <row r="176" spans="1:61" s="358" customFormat="1" ht="19.2" x14ac:dyDescent="0.3">
      <c r="A176" s="359" t="s">
        <v>271</v>
      </c>
      <c r="B176" s="537" t="s">
        <v>635</v>
      </c>
      <c r="C176" s="546" t="s">
        <v>512</v>
      </c>
      <c r="D176" s="360">
        <v>0.4</v>
      </c>
      <c r="E176" s="528">
        <v>130</v>
      </c>
      <c r="F176" s="523">
        <v>25</v>
      </c>
      <c r="G176" s="393">
        <v>25</v>
      </c>
      <c r="H176" s="542">
        <v>62.175939999999997</v>
      </c>
      <c r="I176" s="394">
        <v>43.538339999999998</v>
      </c>
      <c r="J176" s="394">
        <v>11.417899999999999</v>
      </c>
      <c r="K176" s="394">
        <v>25.072600000000001</v>
      </c>
      <c r="L176" s="394">
        <v>8.1397099999999991</v>
      </c>
      <c r="M176" s="394">
        <v>0</v>
      </c>
      <c r="N176" s="394">
        <v>0</v>
      </c>
      <c r="O176" s="394">
        <v>5.21244</v>
      </c>
      <c r="P176" s="394">
        <v>87.83</v>
      </c>
      <c r="Q176" s="394">
        <v>12.536300000000001</v>
      </c>
      <c r="R176" s="381" t="s">
        <v>167</v>
      </c>
      <c r="S176" s="408" t="s">
        <v>175</v>
      </c>
      <c r="T176" s="385"/>
      <c r="U176" s="475">
        <v>75</v>
      </c>
      <c r="V176" s="395">
        <f t="shared" si="116"/>
        <v>478.27646153846155</v>
      </c>
      <c r="W176" s="395">
        <f t="shared" si="117"/>
        <v>2.4870375999999998</v>
      </c>
      <c r="X176" s="528"/>
      <c r="Y176" s="523"/>
      <c r="Z176" s="393"/>
      <c r="AA176" s="542"/>
      <c r="AB176" s="394"/>
      <c r="AC176" s="394"/>
      <c r="AD176" s="394"/>
      <c r="AE176" s="394"/>
      <c r="AF176" s="394"/>
      <c r="AG176" s="394"/>
      <c r="AH176" s="394"/>
      <c r="AI176" s="394"/>
      <c r="AJ176" s="394"/>
      <c r="AK176" s="381"/>
      <c r="AL176" s="408"/>
      <c r="AM176" s="385"/>
      <c r="AN176" s="475"/>
      <c r="AO176" s="395" t="e">
        <f t="shared" si="110"/>
        <v>#DIV/0!</v>
      </c>
      <c r="AP176" s="395" t="e">
        <f t="shared" si="111"/>
        <v>#DIV/0!</v>
      </c>
      <c r="AQ176" s="528"/>
      <c r="AR176" s="523"/>
      <c r="AS176" s="393"/>
      <c r="AT176" s="542"/>
      <c r="AU176" s="394"/>
      <c r="AV176" s="394"/>
      <c r="AW176" s="394"/>
      <c r="AX176" s="394"/>
      <c r="AY176" s="394"/>
      <c r="AZ176" s="394"/>
      <c r="BA176" s="394"/>
      <c r="BB176" s="394"/>
      <c r="BC176" s="394"/>
      <c r="BD176" s="381"/>
      <c r="BE176" s="408"/>
      <c r="BF176" s="385"/>
      <c r="BG176" s="475"/>
      <c r="BH176" s="395" t="e">
        <f t="shared" si="112"/>
        <v>#DIV/0!</v>
      </c>
      <c r="BI176" s="395" t="e">
        <f t="shared" si="113"/>
        <v>#DIV/0!</v>
      </c>
    </row>
    <row r="177" spans="1:61" s="358" customFormat="1" ht="19.2" x14ac:dyDescent="0.3">
      <c r="A177" s="359" t="s">
        <v>272</v>
      </c>
      <c r="B177" s="537" t="s">
        <v>315</v>
      </c>
      <c r="C177" s="546" t="s">
        <v>514</v>
      </c>
      <c r="D177" s="360">
        <v>0.4</v>
      </c>
      <c r="E177" s="528">
        <v>77</v>
      </c>
      <c r="F177" s="523">
        <v>15</v>
      </c>
      <c r="G177" s="393">
        <v>15</v>
      </c>
      <c r="H177" s="542">
        <v>69.837220000000002</v>
      </c>
      <c r="I177" s="394">
        <v>50.120359999999998</v>
      </c>
      <c r="J177" s="394">
        <v>6.7629099999999998</v>
      </c>
      <c r="K177" s="394">
        <v>37.636679999999998</v>
      </c>
      <c r="L177" s="394">
        <v>8.9449400000000008</v>
      </c>
      <c r="M177" s="394">
        <v>0</v>
      </c>
      <c r="N177" s="394">
        <v>0</v>
      </c>
      <c r="O177" s="394">
        <v>5.3098999999999998</v>
      </c>
      <c r="P177" s="394">
        <v>87.83</v>
      </c>
      <c r="Q177" s="394">
        <v>12.54556</v>
      </c>
      <c r="R177" s="381" t="s">
        <v>167</v>
      </c>
      <c r="S177" s="408" t="s">
        <v>175</v>
      </c>
      <c r="T177" s="385"/>
      <c r="U177" s="475">
        <v>77</v>
      </c>
      <c r="V177" s="395">
        <f t="shared" si="116"/>
        <v>906.97688311688319</v>
      </c>
      <c r="W177" s="395">
        <f t="shared" si="117"/>
        <v>4.6558146666666671</v>
      </c>
      <c r="X177" s="528"/>
      <c r="Y177" s="523"/>
      <c r="Z177" s="393"/>
      <c r="AA177" s="542"/>
      <c r="AB177" s="394"/>
      <c r="AC177" s="394"/>
      <c r="AD177" s="394"/>
      <c r="AE177" s="394"/>
      <c r="AF177" s="394"/>
      <c r="AG177" s="394"/>
      <c r="AH177" s="394"/>
      <c r="AI177" s="394"/>
      <c r="AJ177" s="394"/>
      <c r="AK177" s="381"/>
      <c r="AL177" s="408"/>
      <c r="AM177" s="385"/>
      <c r="AN177" s="475"/>
      <c r="AO177" s="395" t="e">
        <f t="shared" si="110"/>
        <v>#DIV/0!</v>
      </c>
      <c r="AP177" s="395" t="e">
        <f t="shared" si="111"/>
        <v>#DIV/0!</v>
      </c>
      <c r="AQ177" s="528"/>
      <c r="AR177" s="523"/>
      <c r="AS177" s="393"/>
      <c r="AT177" s="542"/>
      <c r="AU177" s="394"/>
      <c r="AV177" s="394"/>
      <c r="AW177" s="394"/>
      <c r="AX177" s="394"/>
      <c r="AY177" s="394"/>
      <c r="AZ177" s="394"/>
      <c r="BA177" s="394"/>
      <c r="BB177" s="394"/>
      <c r="BC177" s="394"/>
      <c r="BD177" s="381"/>
      <c r="BE177" s="408"/>
      <c r="BF177" s="385"/>
      <c r="BG177" s="475"/>
      <c r="BH177" s="395" t="e">
        <f t="shared" si="112"/>
        <v>#DIV/0!</v>
      </c>
      <c r="BI177" s="395" t="e">
        <f t="shared" si="113"/>
        <v>#DIV/0!</v>
      </c>
    </row>
    <row r="178" spans="1:61" s="358" customFormat="1" ht="19.2" x14ac:dyDescent="0.3">
      <c r="A178" s="359" t="s">
        <v>273</v>
      </c>
      <c r="B178" s="537" t="s">
        <v>638</v>
      </c>
      <c r="C178" s="546" t="s">
        <v>516</v>
      </c>
      <c r="D178" s="360">
        <v>0.4</v>
      </c>
      <c r="E178" s="528">
        <v>58</v>
      </c>
      <c r="F178" s="523">
        <v>15</v>
      </c>
      <c r="G178" s="393">
        <v>15</v>
      </c>
      <c r="H178" s="542">
        <v>35.396529999999998</v>
      </c>
      <c r="I178" s="394">
        <v>23.20992</v>
      </c>
      <c r="J178" s="394">
        <v>5.0941400000000003</v>
      </c>
      <c r="K178" s="394">
        <v>12.538550000000001</v>
      </c>
      <c r="L178" s="394">
        <v>4.1196400000000004</v>
      </c>
      <c r="M178" s="394">
        <v>0</v>
      </c>
      <c r="N178" s="394">
        <v>0</v>
      </c>
      <c r="O178" s="394">
        <v>3.6669</v>
      </c>
      <c r="P178" s="394">
        <v>87.83</v>
      </c>
      <c r="Q178" s="394">
        <v>12.538550000000001</v>
      </c>
      <c r="R178" s="381" t="s">
        <v>167</v>
      </c>
      <c r="S178" s="408" t="s">
        <v>175</v>
      </c>
      <c r="T178" s="385"/>
      <c r="U178" s="475">
        <v>79</v>
      </c>
      <c r="V178" s="395">
        <f t="shared" si="116"/>
        <v>610.28499999999997</v>
      </c>
      <c r="W178" s="395">
        <f t="shared" si="117"/>
        <v>2.3597686666666666</v>
      </c>
      <c r="X178" s="528"/>
      <c r="Y178" s="523"/>
      <c r="Z178" s="393"/>
      <c r="AA178" s="542"/>
      <c r="AB178" s="394"/>
      <c r="AC178" s="394"/>
      <c r="AD178" s="394"/>
      <c r="AE178" s="394"/>
      <c r="AF178" s="394"/>
      <c r="AG178" s="394"/>
      <c r="AH178" s="394"/>
      <c r="AI178" s="394"/>
      <c r="AJ178" s="394"/>
      <c r="AK178" s="381"/>
      <c r="AL178" s="408"/>
      <c r="AM178" s="385"/>
      <c r="AN178" s="475"/>
      <c r="AO178" s="395" t="e">
        <f t="shared" si="110"/>
        <v>#DIV/0!</v>
      </c>
      <c r="AP178" s="395" t="e">
        <f t="shared" si="111"/>
        <v>#DIV/0!</v>
      </c>
      <c r="AQ178" s="528"/>
      <c r="AR178" s="523"/>
      <c r="AS178" s="393"/>
      <c r="AT178" s="542"/>
      <c r="AU178" s="394"/>
      <c r="AV178" s="394"/>
      <c r="AW178" s="394"/>
      <c r="AX178" s="394"/>
      <c r="AY178" s="394"/>
      <c r="AZ178" s="394"/>
      <c r="BA178" s="394"/>
      <c r="BB178" s="394"/>
      <c r="BC178" s="394"/>
      <c r="BD178" s="381"/>
      <c r="BE178" s="408"/>
      <c r="BF178" s="385"/>
      <c r="BG178" s="475"/>
      <c r="BH178" s="395" t="e">
        <f t="shared" si="112"/>
        <v>#DIV/0!</v>
      </c>
      <c r="BI178" s="395" t="e">
        <f t="shared" si="113"/>
        <v>#DIV/0!</v>
      </c>
    </row>
    <row r="179" spans="1:61" s="358" customFormat="1" ht="19.2" x14ac:dyDescent="0.3">
      <c r="A179" s="359" t="s">
        <v>274</v>
      </c>
      <c r="B179" s="537" t="s">
        <v>292</v>
      </c>
      <c r="C179" s="546" t="s">
        <v>532</v>
      </c>
      <c r="D179" s="360">
        <v>0.4</v>
      </c>
      <c r="E179" s="528">
        <v>50</v>
      </c>
      <c r="F179" s="523">
        <v>50</v>
      </c>
      <c r="G179" s="393">
        <v>50</v>
      </c>
      <c r="H179" s="542">
        <v>27.46677</v>
      </c>
      <c r="I179" s="394">
        <v>19.61017</v>
      </c>
      <c r="J179" s="394">
        <v>4.3914999999999997</v>
      </c>
      <c r="K179" s="394">
        <v>12.544370000000001</v>
      </c>
      <c r="L179" s="394">
        <v>3.6705100000000002</v>
      </c>
      <c r="M179" s="394">
        <v>0</v>
      </c>
      <c r="N179" s="394">
        <v>0</v>
      </c>
      <c r="O179" s="394">
        <v>2.1053199999999999</v>
      </c>
      <c r="P179" s="394">
        <v>87.83</v>
      </c>
      <c r="Q179" s="394">
        <v>12.544370000000001</v>
      </c>
      <c r="R179" s="381" t="s">
        <v>167</v>
      </c>
      <c r="S179" s="408" t="s">
        <v>175</v>
      </c>
      <c r="T179" s="385"/>
      <c r="U179" s="475">
        <v>81</v>
      </c>
      <c r="V179" s="395">
        <f t="shared" si="116"/>
        <v>549.33540000000005</v>
      </c>
      <c r="W179" s="395">
        <f t="shared" si="117"/>
        <v>0.54933540000000003</v>
      </c>
      <c r="X179" s="528"/>
      <c r="Y179" s="523"/>
      <c r="Z179" s="393"/>
      <c r="AA179" s="542"/>
      <c r="AB179" s="394"/>
      <c r="AC179" s="394"/>
      <c r="AD179" s="394"/>
      <c r="AE179" s="394"/>
      <c r="AF179" s="394"/>
      <c r="AG179" s="394"/>
      <c r="AH179" s="394"/>
      <c r="AI179" s="394"/>
      <c r="AJ179" s="394"/>
      <c r="AK179" s="381"/>
      <c r="AL179" s="408"/>
      <c r="AM179" s="385"/>
      <c r="AN179" s="475"/>
      <c r="AO179" s="395" t="e">
        <f t="shared" si="110"/>
        <v>#DIV/0!</v>
      </c>
      <c r="AP179" s="395" t="e">
        <f t="shared" si="111"/>
        <v>#DIV/0!</v>
      </c>
      <c r="AQ179" s="528"/>
      <c r="AR179" s="523"/>
      <c r="AS179" s="393"/>
      <c r="AT179" s="542"/>
      <c r="AU179" s="394"/>
      <c r="AV179" s="394"/>
      <c r="AW179" s="394"/>
      <c r="AX179" s="394"/>
      <c r="AY179" s="394"/>
      <c r="AZ179" s="394"/>
      <c r="BA179" s="394"/>
      <c r="BB179" s="394"/>
      <c r="BC179" s="394"/>
      <c r="BD179" s="381"/>
      <c r="BE179" s="408"/>
      <c r="BF179" s="385"/>
      <c r="BG179" s="475"/>
      <c r="BH179" s="395" t="e">
        <f t="shared" si="112"/>
        <v>#DIV/0!</v>
      </c>
      <c r="BI179" s="395" t="e">
        <f t="shared" si="113"/>
        <v>#DIV/0!</v>
      </c>
    </row>
    <row r="180" spans="1:61" s="358" customFormat="1" ht="19.2" x14ac:dyDescent="0.3">
      <c r="A180" s="359" t="s">
        <v>178</v>
      </c>
      <c r="B180" s="572" t="s">
        <v>2357</v>
      </c>
      <c r="C180" s="546" t="s">
        <v>2356</v>
      </c>
      <c r="D180" s="360">
        <v>0.4</v>
      </c>
      <c r="E180" s="528"/>
      <c r="F180" s="523"/>
      <c r="G180" s="393"/>
      <c r="H180" s="571"/>
      <c r="I180" s="394"/>
      <c r="J180" s="394"/>
      <c r="K180" s="394"/>
      <c r="L180" s="394"/>
      <c r="M180" s="394"/>
      <c r="N180" s="394"/>
      <c r="O180" s="394"/>
      <c r="P180" s="394"/>
      <c r="Q180" s="394"/>
      <c r="R180" s="381"/>
      <c r="S180" s="408"/>
      <c r="T180" s="385"/>
      <c r="U180" s="475"/>
      <c r="V180" s="395"/>
      <c r="W180" s="395"/>
      <c r="X180" s="528">
        <v>25</v>
      </c>
      <c r="Y180" s="523">
        <v>50</v>
      </c>
      <c r="Z180" s="393">
        <v>50</v>
      </c>
      <c r="AA180" s="571">
        <v>22.830870000000001</v>
      </c>
      <c r="AB180" s="394">
        <v>16.33455</v>
      </c>
      <c r="AC180" s="394">
        <v>2.1957499999999999</v>
      </c>
      <c r="AD180" s="394">
        <v>12.5555</v>
      </c>
      <c r="AE180" s="394">
        <v>2.9672299999999998</v>
      </c>
      <c r="AF180" s="394">
        <v>0</v>
      </c>
      <c r="AG180" s="394">
        <v>0</v>
      </c>
      <c r="AH180" s="394">
        <v>1.72235</v>
      </c>
      <c r="AI180" s="394">
        <v>8.7830000000000005E-2</v>
      </c>
      <c r="AJ180" s="394">
        <v>12.5555</v>
      </c>
      <c r="AK180" s="381" t="s">
        <v>167</v>
      </c>
      <c r="AL180" s="408" t="s">
        <v>175</v>
      </c>
      <c r="AM180" s="385"/>
      <c r="AN180" s="475">
        <v>118</v>
      </c>
      <c r="AO180" s="395">
        <f t="shared" ref="AO180:AO189" si="118">AA180/X180*1000</f>
        <v>913.23480000000006</v>
      </c>
      <c r="AP180" s="395">
        <f t="shared" ref="AP180:AP189" si="119">AA180/Y180</f>
        <v>0.45661740000000001</v>
      </c>
      <c r="AQ180" s="528"/>
      <c r="AR180" s="523"/>
      <c r="AS180" s="393"/>
      <c r="AT180" s="571"/>
      <c r="AU180" s="394"/>
      <c r="AV180" s="394"/>
      <c r="AW180" s="394"/>
      <c r="AX180" s="394"/>
      <c r="AY180" s="394"/>
      <c r="AZ180" s="394"/>
      <c r="BA180" s="394"/>
      <c r="BB180" s="394"/>
      <c r="BC180" s="394"/>
      <c r="BD180" s="381"/>
      <c r="BE180" s="408"/>
      <c r="BF180" s="385"/>
      <c r="BG180" s="475"/>
      <c r="BH180" s="395" t="e">
        <f t="shared" si="112"/>
        <v>#DIV/0!</v>
      </c>
      <c r="BI180" s="395" t="e">
        <f t="shared" si="113"/>
        <v>#DIV/0!</v>
      </c>
    </row>
    <row r="181" spans="1:61" s="358" customFormat="1" ht="19.2" x14ac:dyDescent="0.3">
      <c r="A181" s="359" t="s">
        <v>182</v>
      </c>
      <c r="B181" s="572" t="s">
        <v>2359</v>
      </c>
      <c r="C181" s="546" t="s">
        <v>2358</v>
      </c>
      <c r="D181" s="360">
        <v>0.4</v>
      </c>
      <c r="E181" s="528"/>
      <c r="F181" s="523"/>
      <c r="G181" s="393"/>
      <c r="H181" s="571"/>
      <c r="I181" s="394"/>
      <c r="J181" s="394"/>
      <c r="K181" s="394"/>
      <c r="L181" s="394"/>
      <c r="M181" s="394"/>
      <c r="N181" s="394"/>
      <c r="O181" s="394"/>
      <c r="P181" s="394"/>
      <c r="Q181" s="394"/>
      <c r="R181" s="381"/>
      <c r="S181" s="408"/>
      <c r="T181" s="385"/>
      <c r="U181" s="475"/>
      <c r="V181" s="395"/>
      <c r="W181" s="395"/>
      <c r="X181" s="528">
        <v>110</v>
      </c>
      <c r="Y181" s="523">
        <v>60</v>
      </c>
      <c r="Z181" s="393">
        <v>60</v>
      </c>
      <c r="AA181" s="571">
        <v>41.622700000000002</v>
      </c>
      <c r="AB181" s="394">
        <v>28.71659</v>
      </c>
      <c r="AC181" s="394">
        <v>9.6613000000000007</v>
      </c>
      <c r="AD181" s="394">
        <v>12.55542</v>
      </c>
      <c r="AE181" s="394">
        <v>5.8278299999999996</v>
      </c>
      <c r="AF181" s="394">
        <v>0</v>
      </c>
      <c r="AG181" s="394">
        <v>0</v>
      </c>
      <c r="AH181" s="394">
        <v>3.4950800000000002</v>
      </c>
      <c r="AI181" s="394">
        <v>8.7830000000000005E-2</v>
      </c>
      <c r="AJ181" s="394">
        <v>12.55542</v>
      </c>
      <c r="AK181" s="381" t="s">
        <v>167</v>
      </c>
      <c r="AL181" s="408" t="s">
        <v>175</v>
      </c>
      <c r="AM181" s="385"/>
      <c r="AN181" s="475">
        <v>120</v>
      </c>
      <c r="AO181" s="395">
        <f t="shared" si="118"/>
        <v>378.38818181818186</v>
      </c>
      <c r="AP181" s="395">
        <f t="shared" si="119"/>
        <v>0.69371166666666673</v>
      </c>
      <c r="AQ181" s="528"/>
      <c r="AR181" s="523"/>
      <c r="AS181" s="393"/>
      <c r="AT181" s="571"/>
      <c r="AU181" s="394"/>
      <c r="AV181" s="394"/>
      <c r="AW181" s="394"/>
      <c r="AX181" s="394"/>
      <c r="AY181" s="394"/>
      <c r="AZ181" s="394"/>
      <c r="BA181" s="394"/>
      <c r="BB181" s="394"/>
      <c r="BC181" s="394"/>
      <c r="BD181" s="381"/>
      <c r="BE181" s="408"/>
      <c r="BF181" s="385"/>
      <c r="BG181" s="475"/>
      <c r="BH181" s="395" t="e">
        <f t="shared" si="112"/>
        <v>#DIV/0!</v>
      </c>
      <c r="BI181" s="395" t="e">
        <f t="shared" si="113"/>
        <v>#DIV/0!</v>
      </c>
    </row>
    <row r="182" spans="1:61" s="358" customFormat="1" ht="19.2" x14ac:dyDescent="0.3">
      <c r="A182" s="359" t="s">
        <v>184</v>
      </c>
      <c r="B182" s="572" t="s">
        <v>2361</v>
      </c>
      <c r="C182" s="546" t="s">
        <v>2360</v>
      </c>
      <c r="D182" s="360">
        <v>0.4</v>
      </c>
      <c r="E182" s="528"/>
      <c r="F182" s="523"/>
      <c r="G182" s="393"/>
      <c r="H182" s="571"/>
      <c r="I182" s="394"/>
      <c r="J182" s="394"/>
      <c r="K182" s="394"/>
      <c r="L182" s="394"/>
      <c r="M182" s="394"/>
      <c r="N182" s="394"/>
      <c r="O182" s="394"/>
      <c r="P182" s="394"/>
      <c r="Q182" s="394"/>
      <c r="R182" s="381"/>
      <c r="S182" s="408"/>
      <c r="T182" s="385"/>
      <c r="U182" s="475"/>
      <c r="V182" s="395"/>
      <c r="W182" s="395"/>
      <c r="X182" s="528">
        <v>35</v>
      </c>
      <c r="Y182" s="523">
        <v>15</v>
      </c>
      <c r="Z182" s="393">
        <v>15</v>
      </c>
      <c r="AA182" s="571">
        <v>7.9869199999999996</v>
      </c>
      <c r="AB182" s="394">
        <v>5.3483099999999997</v>
      </c>
      <c r="AC182" s="394">
        <v>3.0740500000000002</v>
      </c>
      <c r="AD182" s="394"/>
      <c r="AE182" s="394">
        <v>1.17717</v>
      </c>
      <c r="AF182" s="394">
        <v>0</v>
      </c>
      <c r="AG182" s="394">
        <v>0</v>
      </c>
      <c r="AH182" s="394">
        <v>0.72994999999999999</v>
      </c>
      <c r="AI182" s="394">
        <v>8.7830000000000005E-2</v>
      </c>
      <c r="AJ182" s="394"/>
      <c r="AK182" s="381" t="s">
        <v>167</v>
      </c>
      <c r="AL182" s="408" t="s">
        <v>175</v>
      </c>
      <c r="AM182" s="385"/>
      <c r="AN182" s="475">
        <v>122</v>
      </c>
      <c r="AO182" s="395">
        <f t="shared" si="118"/>
        <v>228.19771428571428</v>
      </c>
      <c r="AP182" s="395">
        <f t="shared" si="119"/>
        <v>0.53246133333333334</v>
      </c>
      <c r="AQ182" s="528"/>
      <c r="AR182" s="523"/>
      <c r="AS182" s="393"/>
      <c r="AT182" s="571"/>
      <c r="AU182" s="394"/>
      <c r="AV182" s="394"/>
      <c r="AW182" s="394"/>
      <c r="AX182" s="394"/>
      <c r="AY182" s="394"/>
      <c r="AZ182" s="394"/>
      <c r="BA182" s="394"/>
      <c r="BB182" s="394"/>
      <c r="BC182" s="394"/>
      <c r="BD182" s="381"/>
      <c r="BE182" s="408"/>
      <c r="BF182" s="385"/>
      <c r="BG182" s="475"/>
      <c r="BH182" s="395" t="e">
        <f t="shared" si="112"/>
        <v>#DIV/0!</v>
      </c>
      <c r="BI182" s="395" t="e">
        <f t="shared" si="113"/>
        <v>#DIV/0!</v>
      </c>
    </row>
    <row r="183" spans="1:61" s="358" customFormat="1" ht="19.2" x14ac:dyDescent="0.3">
      <c r="A183" s="359" t="s">
        <v>186</v>
      </c>
      <c r="B183" s="572" t="s">
        <v>1414</v>
      </c>
      <c r="C183" s="546" t="s">
        <v>2362</v>
      </c>
      <c r="D183" s="360">
        <v>0.4</v>
      </c>
      <c r="E183" s="528"/>
      <c r="F183" s="523"/>
      <c r="G183" s="393"/>
      <c r="H183" s="571"/>
      <c r="I183" s="394"/>
      <c r="J183" s="394"/>
      <c r="K183" s="394"/>
      <c r="L183" s="394"/>
      <c r="M183" s="394"/>
      <c r="N183" s="394"/>
      <c r="O183" s="394"/>
      <c r="P183" s="394"/>
      <c r="Q183" s="394"/>
      <c r="R183" s="381"/>
      <c r="S183" s="408"/>
      <c r="T183" s="385"/>
      <c r="U183" s="475"/>
      <c r="V183" s="395"/>
      <c r="W183" s="395"/>
      <c r="X183" s="528">
        <v>60</v>
      </c>
      <c r="Y183" s="523">
        <v>2</v>
      </c>
      <c r="Z183" s="393">
        <v>2</v>
      </c>
      <c r="AA183" s="571">
        <v>30.482140000000001</v>
      </c>
      <c r="AB183" s="394">
        <v>21.345459999999999</v>
      </c>
      <c r="AC183" s="394">
        <v>5.2698</v>
      </c>
      <c r="AD183" s="394">
        <v>12.55547</v>
      </c>
      <c r="AE183" s="394">
        <v>4.1461499999999996</v>
      </c>
      <c r="AF183" s="394">
        <v>0</v>
      </c>
      <c r="AG183" s="394">
        <v>0</v>
      </c>
      <c r="AH183" s="394">
        <v>2.4523000000000001</v>
      </c>
      <c r="AI183" s="394">
        <v>8.7830000000000005E-2</v>
      </c>
      <c r="AJ183" s="394">
        <v>12.55547</v>
      </c>
      <c r="AK183" s="381" t="s">
        <v>167</v>
      </c>
      <c r="AL183" s="408" t="s">
        <v>175</v>
      </c>
      <c r="AM183" s="385"/>
      <c r="AN183" s="475">
        <v>123</v>
      </c>
      <c r="AO183" s="395">
        <f t="shared" ref="AO183:AO188" si="120">AA183/X183*1000</f>
        <v>508.03566666666666</v>
      </c>
      <c r="AP183" s="395">
        <f t="shared" ref="AP183:AP188" si="121">AA183/Y183</f>
        <v>15.241070000000001</v>
      </c>
      <c r="AQ183" s="528"/>
      <c r="AR183" s="523"/>
      <c r="AS183" s="393"/>
      <c r="AT183" s="571"/>
      <c r="AU183" s="394"/>
      <c r="AV183" s="394"/>
      <c r="AW183" s="394"/>
      <c r="AX183" s="394"/>
      <c r="AY183" s="394"/>
      <c r="AZ183" s="394"/>
      <c r="BA183" s="394"/>
      <c r="BB183" s="394"/>
      <c r="BC183" s="394"/>
      <c r="BD183" s="381"/>
      <c r="BE183" s="408"/>
      <c r="BF183" s="385"/>
      <c r="BG183" s="475"/>
      <c r="BH183" s="395" t="e">
        <f t="shared" si="112"/>
        <v>#DIV/0!</v>
      </c>
      <c r="BI183" s="395" t="e">
        <f t="shared" si="113"/>
        <v>#DIV/0!</v>
      </c>
    </row>
    <row r="184" spans="1:61" s="358" customFormat="1" ht="19.2" x14ac:dyDescent="0.3">
      <c r="A184" s="359" t="s">
        <v>189</v>
      </c>
      <c r="B184" s="572" t="s">
        <v>2364</v>
      </c>
      <c r="C184" s="546" t="s">
        <v>2363</v>
      </c>
      <c r="D184" s="360">
        <v>0.4</v>
      </c>
      <c r="E184" s="528"/>
      <c r="F184" s="523"/>
      <c r="G184" s="393"/>
      <c r="H184" s="571"/>
      <c r="I184" s="394"/>
      <c r="J184" s="394"/>
      <c r="K184" s="394"/>
      <c r="L184" s="394"/>
      <c r="M184" s="394"/>
      <c r="N184" s="394"/>
      <c r="O184" s="394"/>
      <c r="P184" s="394"/>
      <c r="Q184" s="394"/>
      <c r="R184" s="381"/>
      <c r="S184" s="408"/>
      <c r="T184" s="385"/>
      <c r="U184" s="475"/>
      <c r="V184" s="395"/>
      <c r="W184" s="395"/>
      <c r="X184" s="528">
        <v>65</v>
      </c>
      <c r="Y184" s="523">
        <v>30</v>
      </c>
      <c r="Z184" s="393">
        <v>30</v>
      </c>
      <c r="AA184" s="571">
        <v>47.85707</v>
      </c>
      <c r="AB184" s="394">
        <v>33.733600000000003</v>
      </c>
      <c r="AC184" s="394">
        <v>5.7089499999999997</v>
      </c>
      <c r="AD184" s="394">
        <v>25.11102</v>
      </c>
      <c r="AE184" s="394">
        <v>6.4389500000000002</v>
      </c>
      <c r="AF184" s="394">
        <v>0</v>
      </c>
      <c r="AG184" s="394">
        <v>0</v>
      </c>
      <c r="AH184" s="394">
        <v>3.7575400000000001</v>
      </c>
      <c r="AI184" s="394">
        <v>8.7830000000000005E-2</v>
      </c>
      <c r="AJ184" s="394">
        <v>12.55551</v>
      </c>
      <c r="AK184" s="381" t="s">
        <v>167</v>
      </c>
      <c r="AL184" s="408" t="s">
        <v>175</v>
      </c>
      <c r="AM184" s="385"/>
      <c r="AN184" s="475">
        <v>125</v>
      </c>
      <c r="AO184" s="395">
        <f t="shared" si="120"/>
        <v>736.2626153846154</v>
      </c>
      <c r="AP184" s="395">
        <f t="shared" si="121"/>
        <v>1.5952356666666667</v>
      </c>
      <c r="AQ184" s="528"/>
      <c r="AR184" s="523"/>
      <c r="AS184" s="393"/>
      <c r="AT184" s="571"/>
      <c r="AU184" s="394"/>
      <c r="AV184" s="394"/>
      <c r="AW184" s="394"/>
      <c r="AX184" s="394"/>
      <c r="AY184" s="394"/>
      <c r="AZ184" s="394"/>
      <c r="BA184" s="394"/>
      <c r="BB184" s="394"/>
      <c r="BC184" s="394"/>
      <c r="BD184" s="381"/>
      <c r="BE184" s="408"/>
      <c r="BF184" s="385"/>
      <c r="BG184" s="475"/>
      <c r="BH184" s="395" t="e">
        <f t="shared" si="112"/>
        <v>#DIV/0!</v>
      </c>
      <c r="BI184" s="395" t="e">
        <f t="shared" si="113"/>
        <v>#DIV/0!</v>
      </c>
    </row>
    <row r="185" spans="1:61" s="358" customFormat="1" ht="19.2" x14ac:dyDescent="0.3">
      <c r="A185" s="359" t="s">
        <v>267</v>
      </c>
      <c r="B185" s="572" t="s">
        <v>2366</v>
      </c>
      <c r="C185" s="546" t="s">
        <v>2365</v>
      </c>
      <c r="D185" s="360">
        <v>0.4</v>
      </c>
      <c r="E185" s="528"/>
      <c r="F185" s="523"/>
      <c r="G185" s="393"/>
      <c r="H185" s="571"/>
      <c r="I185" s="394"/>
      <c r="J185" s="394"/>
      <c r="K185" s="394"/>
      <c r="L185" s="394"/>
      <c r="M185" s="394"/>
      <c r="N185" s="394"/>
      <c r="O185" s="394"/>
      <c r="P185" s="394"/>
      <c r="Q185" s="394"/>
      <c r="R185" s="381"/>
      <c r="S185" s="408"/>
      <c r="T185" s="385"/>
      <c r="U185" s="475"/>
      <c r="V185" s="395"/>
      <c r="W185" s="395"/>
      <c r="X185" s="528">
        <v>163</v>
      </c>
      <c r="Y185" s="523">
        <v>15</v>
      </c>
      <c r="Z185" s="393">
        <v>15</v>
      </c>
      <c r="AA185" s="571">
        <v>93.973100000000002</v>
      </c>
      <c r="AB185" s="394">
        <v>64.56259</v>
      </c>
      <c r="AC185" s="394">
        <v>14.31629</v>
      </c>
      <c r="AD185" s="394">
        <f>12.8796+25.7592</f>
        <v>38.638800000000003</v>
      </c>
      <c r="AE185" s="394">
        <v>13.30369</v>
      </c>
      <c r="AF185" s="394">
        <v>0</v>
      </c>
      <c r="AG185" s="394">
        <v>0</v>
      </c>
      <c r="AH185" s="394">
        <v>7.9523099999999998</v>
      </c>
      <c r="AI185" s="394">
        <v>8.7830000000000005E-2</v>
      </c>
      <c r="AJ185" s="394">
        <v>12.8796</v>
      </c>
      <c r="AK185" s="381" t="s">
        <v>167</v>
      </c>
      <c r="AL185" s="408" t="s">
        <v>175</v>
      </c>
      <c r="AM185" s="385"/>
      <c r="AN185" s="475">
        <v>127</v>
      </c>
      <c r="AO185" s="395">
        <f t="shared" si="120"/>
        <v>576.52208588957058</v>
      </c>
      <c r="AP185" s="395">
        <f t="shared" si="121"/>
        <v>6.2648733333333331</v>
      </c>
      <c r="AQ185" s="528"/>
      <c r="AR185" s="523"/>
      <c r="AS185" s="393"/>
      <c r="AT185" s="571"/>
      <c r="AU185" s="394"/>
      <c r="AV185" s="394"/>
      <c r="AW185" s="394"/>
      <c r="AX185" s="394"/>
      <c r="AY185" s="394"/>
      <c r="AZ185" s="394"/>
      <c r="BA185" s="394"/>
      <c r="BB185" s="394"/>
      <c r="BC185" s="394"/>
      <c r="BD185" s="381"/>
      <c r="BE185" s="408"/>
      <c r="BF185" s="385"/>
      <c r="BG185" s="475"/>
      <c r="BH185" s="395" t="e">
        <f t="shared" si="112"/>
        <v>#DIV/0!</v>
      </c>
      <c r="BI185" s="395" t="e">
        <f t="shared" si="113"/>
        <v>#DIV/0!</v>
      </c>
    </row>
    <row r="186" spans="1:61" s="358" customFormat="1" ht="19.2" x14ac:dyDescent="0.3">
      <c r="A186" s="359" t="s">
        <v>268</v>
      </c>
      <c r="B186" s="572" t="s">
        <v>2368</v>
      </c>
      <c r="C186" s="546" t="s">
        <v>2367</v>
      </c>
      <c r="D186" s="360">
        <v>0.4</v>
      </c>
      <c r="E186" s="528"/>
      <c r="F186" s="523"/>
      <c r="G186" s="393"/>
      <c r="H186" s="571"/>
      <c r="I186" s="394"/>
      <c r="J186" s="394"/>
      <c r="K186" s="394"/>
      <c r="L186" s="394"/>
      <c r="M186" s="394"/>
      <c r="N186" s="394"/>
      <c r="O186" s="394"/>
      <c r="P186" s="394"/>
      <c r="Q186" s="394"/>
      <c r="R186" s="381"/>
      <c r="S186" s="408"/>
      <c r="T186" s="385"/>
      <c r="U186" s="475"/>
      <c r="V186" s="395"/>
      <c r="W186" s="395"/>
      <c r="X186" s="528">
        <v>80</v>
      </c>
      <c r="Y186" s="523">
        <v>15</v>
      </c>
      <c r="Z186" s="393">
        <v>15</v>
      </c>
      <c r="AA186" s="571">
        <v>53.27955</v>
      </c>
      <c r="AB186" s="394">
        <v>36.199240000000003</v>
      </c>
      <c r="AC186" s="394">
        <v>7.0263999999999998</v>
      </c>
      <c r="AD186" s="394">
        <v>25.7592</v>
      </c>
      <c r="AE186" s="394">
        <v>7.6076499999999996</v>
      </c>
      <c r="AF186" s="394">
        <v>0</v>
      </c>
      <c r="AG186" s="394">
        <v>0</v>
      </c>
      <c r="AH186" s="394">
        <v>4.6393800000000001</v>
      </c>
      <c r="AI186" s="394">
        <v>8.7830000000000005E-2</v>
      </c>
      <c r="AJ186" s="394">
        <v>12.8796</v>
      </c>
      <c r="AK186" s="381" t="s">
        <v>167</v>
      </c>
      <c r="AL186" s="408" t="s">
        <v>175</v>
      </c>
      <c r="AM186" s="385"/>
      <c r="AN186" s="475">
        <v>129</v>
      </c>
      <c r="AO186" s="395">
        <f t="shared" si="120"/>
        <v>665.99437499999999</v>
      </c>
      <c r="AP186" s="395">
        <f t="shared" si="121"/>
        <v>3.5519699999999998</v>
      </c>
      <c r="AQ186" s="528"/>
      <c r="AR186" s="523"/>
      <c r="AS186" s="393"/>
      <c r="AT186" s="571"/>
      <c r="AU186" s="394"/>
      <c r="AV186" s="394"/>
      <c r="AW186" s="394"/>
      <c r="AX186" s="394"/>
      <c r="AY186" s="394"/>
      <c r="AZ186" s="394"/>
      <c r="BA186" s="394"/>
      <c r="BB186" s="394"/>
      <c r="BC186" s="394"/>
      <c r="BD186" s="381"/>
      <c r="BE186" s="408"/>
      <c r="BF186" s="385"/>
      <c r="BG186" s="475"/>
      <c r="BH186" s="395" t="e">
        <f t="shared" si="112"/>
        <v>#DIV/0!</v>
      </c>
      <c r="BI186" s="395" t="e">
        <f t="shared" si="113"/>
        <v>#DIV/0!</v>
      </c>
    </row>
    <row r="187" spans="1:61" s="358" customFormat="1" ht="19.2" x14ac:dyDescent="0.3">
      <c r="A187" s="359" t="s">
        <v>269</v>
      </c>
      <c r="B187" s="572" t="s">
        <v>2370</v>
      </c>
      <c r="C187" s="546" t="s">
        <v>2369</v>
      </c>
      <c r="D187" s="360">
        <v>0.4</v>
      </c>
      <c r="E187" s="528"/>
      <c r="F187" s="523"/>
      <c r="G187" s="393"/>
      <c r="H187" s="571"/>
      <c r="I187" s="394"/>
      <c r="J187" s="394"/>
      <c r="K187" s="394"/>
      <c r="L187" s="394"/>
      <c r="M187" s="394"/>
      <c r="N187" s="394"/>
      <c r="O187" s="394"/>
      <c r="P187" s="394"/>
      <c r="Q187" s="394"/>
      <c r="R187" s="381"/>
      <c r="S187" s="408"/>
      <c r="T187" s="385"/>
      <c r="U187" s="475"/>
      <c r="V187" s="395"/>
      <c r="W187" s="395"/>
      <c r="X187" s="528">
        <v>96</v>
      </c>
      <c r="Y187" s="523">
        <v>15</v>
      </c>
      <c r="Z187" s="393">
        <v>15</v>
      </c>
      <c r="AA187" s="571">
        <v>96.295400000000001</v>
      </c>
      <c r="AB187" s="394">
        <v>67.373729999999995</v>
      </c>
      <c r="AC187" s="394">
        <v>8.4316800000000001</v>
      </c>
      <c r="AD187" s="394">
        <f>25.7592+25.7592</f>
        <v>51.5184</v>
      </c>
      <c r="AE187" s="394">
        <v>13.170970000000001</v>
      </c>
      <c r="AF187" s="394">
        <v>0</v>
      </c>
      <c r="AG187" s="394">
        <v>0</v>
      </c>
      <c r="AH187" s="394">
        <v>7.7284699999999997</v>
      </c>
      <c r="AI187" s="394">
        <v>8.7830000000000005E-2</v>
      </c>
      <c r="AJ187" s="394">
        <v>12.8796</v>
      </c>
      <c r="AK187" s="381" t="s">
        <v>167</v>
      </c>
      <c r="AL187" s="408" t="s">
        <v>175</v>
      </c>
      <c r="AM187" s="385"/>
      <c r="AN187" s="475">
        <v>131</v>
      </c>
      <c r="AO187" s="395">
        <f t="shared" si="120"/>
        <v>1003.0770833333333</v>
      </c>
      <c r="AP187" s="395">
        <f t="shared" si="121"/>
        <v>6.419693333333333</v>
      </c>
      <c r="AQ187" s="528"/>
      <c r="AR187" s="523"/>
      <c r="AS187" s="393"/>
      <c r="AT187" s="571"/>
      <c r="AU187" s="394"/>
      <c r="AV187" s="394"/>
      <c r="AW187" s="394"/>
      <c r="AX187" s="394"/>
      <c r="AY187" s="394"/>
      <c r="AZ187" s="394"/>
      <c r="BA187" s="394"/>
      <c r="BB187" s="394"/>
      <c r="BC187" s="394"/>
      <c r="BD187" s="381"/>
      <c r="BE187" s="408"/>
      <c r="BF187" s="385"/>
      <c r="BG187" s="475"/>
      <c r="BH187" s="395" t="e">
        <f t="shared" si="112"/>
        <v>#DIV/0!</v>
      </c>
      <c r="BI187" s="395" t="e">
        <f t="shared" si="113"/>
        <v>#DIV/0!</v>
      </c>
    </row>
    <row r="188" spans="1:61" s="358" customFormat="1" ht="19.2" x14ac:dyDescent="0.3">
      <c r="A188" s="359" t="s">
        <v>270</v>
      </c>
      <c r="B188" s="572" t="s">
        <v>2372</v>
      </c>
      <c r="C188" s="546" t="s">
        <v>2371</v>
      </c>
      <c r="D188" s="360">
        <v>0.4</v>
      </c>
      <c r="E188" s="528"/>
      <c r="F188" s="523"/>
      <c r="G188" s="393"/>
      <c r="H188" s="571"/>
      <c r="I188" s="394"/>
      <c r="J188" s="394"/>
      <c r="K188" s="394"/>
      <c r="L188" s="394"/>
      <c r="M188" s="394"/>
      <c r="N188" s="394"/>
      <c r="O188" s="394"/>
      <c r="P188" s="394"/>
      <c r="Q188" s="394"/>
      <c r="R188" s="381"/>
      <c r="S188" s="408"/>
      <c r="T188" s="385"/>
      <c r="U188" s="475"/>
      <c r="V188" s="395"/>
      <c r="W188" s="395"/>
      <c r="X188" s="528">
        <v>111</v>
      </c>
      <c r="Y188" s="523">
        <v>15</v>
      </c>
      <c r="Z188" s="393">
        <v>15</v>
      </c>
      <c r="AA188" s="571">
        <v>46.417059999999999</v>
      </c>
      <c r="AB188" s="394">
        <v>31.8857</v>
      </c>
      <c r="AC188" s="394">
        <v>9.7491299999999992</v>
      </c>
      <c r="AD188" s="394">
        <v>12.899139999999999</v>
      </c>
      <c r="AE188" s="394">
        <v>6.4159300000000004</v>
      </c>
      <c r="AF188" s="394">
        <v>0</v>
      </c>
      <c r="AG188" s="394">
        <v>0</v>
      </c>
      <c r="AH188" s="394">
        <v>4.0074500000000004</v>
      </c>
      <c r="AI188" s="394">
        <v>8.7830000000000005E-2</v>
      </c>
      <c r="AJ188" s="394">
        <v>12.899139999999999</v>
      </c>
      <c r="AK188" s="381" t="s">
        <v>167</v>
      </c>
      <c r="AL188" s="408" t="s">
        <v>175</v>
      </c>
      <c r="AM188" s="385"/>
      <c r="AN188" s="475">
        <v>133</v>
      </c>
      <c r="AO188" s="395">
        <f t="shared" si="120"/>
        <v>418.17171171171168</v>
      </c>
      <c r="AP188" s="395">
        <f t="shared" si="121"/>
        <v>3.0944706666666666</v>
      </c>
      <c r="AQ188" s="528"/>
      <c r="AR188" s="523"/>
      <c r="AS188" s="393"/>
      <c r="AT188" s="571"/>
      <c r="AU188" s="394"/>
      <c r="AV188" s="394"/>
      <c r="AW188" s="394"/>
      <c r="AX188" s="394"/>
      <c r="AY188" s="394"/>
      <c r="AZ188" s="394"/>
      <c r="BA188" s="394"/>
      <c r="BB188" s="394"/>
      <c r="BC188" s="394"/>
      <c r="BD188" s="381"/>
      <c r="BE188" s="408"/>
      <c r="BF188" s="385"/>
      <c r="BG188" s="475"/>
      <c r="BH188" s="395" t="e">
        <f t="shared" si="112"/>
        <v>#DIV/0!</v>
      </c>
      <c r="BI188" s="395" t="e">
        <f t="shared" si="113"/>
        <v>#DIV/0!</v>
      </c>
    </row>
    <row r="189" spans="1:61" s="358" customFormat="1" ht="19.2" x14ac:dyDescent="0.3">
      <c r="A189" s="359" t="s">
        <v>271</v>
      </c>
      <c r="B189" s="572" t="s">
        <v>2374</v>
      </c>
      <c r="C189" s="546" t="s">
        <v>2373</v>
      </c>
      <c r="D189" s="360">
        <v>0.4</v>
      </c>
      <c r="E189" s="528"/>
      <c r="F189" s="523"/>
      <c r="G189" s="393"/>
      <c r="H189" s="571"/>
      <c r="I189" s="394"/>
      <c r="J189" s="394"/>
      <c r="K189" s="394"/>
      <c r="L189" s="394"/>
      <c r="M189" s="394"/>
      <c r="N189" s="394"/>
      <c r="O189" s="394"/>
      <c r="P189" s="394"/>
      <c r="Q189" s="394"/>
      <c r="R189" s="381"/>
      <c r="S189" s="408"/>
      <c r="T189" s="385"/>
      <c r="U189" s="475"/>
      <c r="V189" s="395"/>
      <c r="W189" s="395"/>
      <c r="X189" s="528">
        <v>25</v>
      </c>
      <c r="Y189" s="523">
        <v>15</v>
      </c>
      <c r="Z189" s="393">
        <v>15</v>
      </c>
      <c r="AA189" s="571">
        <v>28.007580000000001</v>
      </c>
      <c r="AB189" s="394">
        <v>20.532509999999998</v>
      </c>
      <c r="AC189" s="394">
        <v>3.8929999999999998</v>
      </c>
      <c r="AD189" s="394">
        <v>12.912940000000001</v>
      </c>
      <c r="AE189" s="394">
        <v>3.4526500000000002</v>
      </c>
      <c r="AF189" s="394">
        <v>0</v>
      </c>
      <c r="AG189" s="394">
        <v>0</v>
      </c>
      <c r="AH189" s="394">
        <v>1.9631099999999999</v>
      </c>
      <c r="AI189" s="394">
        <v>0.15572</v>
      </c>
      <c r="AJ189" s="394">
        <v>12.912940000000001</v>
      </c>
      <c r="AK189" s="381" t="s">
        <v>167</v>
      </c>
      <c r="AL189" s="408" t="s">
        <v>175</v>
      </c>
      <c r="AM189" s="385"/>
      <c r="AN189" s="475">
        <v>135</v>
      </c>
      <c r="AO189" s="395">
        <f t="shared" si="118"/>
        <v>1120.3031999999998</v>
      </c>
      <c r="AP189" s="395">
        <f t="shared" si="119"/>
        <v>1.8671720000000001</v>
      </c>
      <c r="AQ189" s="528"/>
      <c r="AR189" s="523"/>
      <c r="AS189" s="393"/>
      <c r="AT189" s="571"/>
      <c r="AU189" s="394"/>
      <c r="AV189" s="394"/>
      <c r="AW189" s="394"/>
      <c r="AX189" s="394"/>
      <c r="AY189" s="394"/>
      <c r="AZ189" s="394"/>
      <c r="BA189" s="394"/>
      <c r="BB189" s="394"/>
      <c r="BC189" s="394"/>
      <c r="BD189" s="381"/>
      <c r="BE189" s="408"/>
      <c r="BF189" s="385"/>
      <c r="BG189" s="475"/>
      <c r="BH189" s="395" t="e">
        <f t="shared" si="112"/>
        <v>#DIV/0!</v>
      </c>
      <c r="BI189" s="395" t="e">
        <f t="shared" si="113"/>
        <v>#DIV/0!</v>
      </c>
    </row>
    <row r="190" spans="1:61" s="358" customFormat="1" ht="19.2" x14ac:dyDescent="0.3">
      <c r="A190" s="359" t="s">
        <v>272</v>
      </c>
      <c r="B190" s="572" t="s">
        <v>2486</v>
      </c>
      <c r="C190" s="546" t="s">
        <v>2485</v>
      </c>
      <c r="D190" s="360">
        <v>0.4</v>
      </c>
      <c r="E190" s="528"/>
      <c r="F190" s="523"/>
      <c r="G190" s="393"/>
      <c r="H190" s="571"/>
      <c r="I190" s="394"/>
      <c r="J190" s="394"/>
      <c r="K190" s="394"/>
      <c r="L190" s="394"/>
      <c r="M190" s="394"/>
      <c r="N190" s="394"/>
      <c r="O190" s="394"/>
      <c r="P190" s="394"/>
      <c r="Q190" s="394"/>
      <c r="R190" s="381"/>
      <c r="S190" s="408"/>
      <c r="T190" s="385"/>
      <c r="U190" s="475"/>
      <c r="V190" s="395"/>
      <c r="W190" s="395"/>
      <c r="X190" s="528">
        <v>235</v>
      </c>
      <c r="Y190" s="523">
        <v>15</v>
      </c>
      <c r="Z190" s="393">
        <v>15</v>
      </c>
      <c r="AA190" s="571">
        <v>244.18525</v>
      </c>
      <c r="AB190" s="394">
        <v>175.44195999999999</v>
      </c>
      <c r="AC190" s="394">
        <v>20.640049999999999</v>
      </c>
      <c r="AD190" s="394">
        <f>87.88864+50.22208</f>
        <v>138.11071999999999</v>
      </c>
      <c r="AE190" s="394">
        <v>31.854389999999999</v>
      </c>
      <c r="AF190" s="394">
        <v>0</v>
      </c>
      <c r="AG190" s="394">
        <v>0</v>
      </c>
      <c r="AH190" s="394">
        <v>18.060860000000002</v>
      </c>
      <c r="AI190" s="394">
        <v>8.7830000000000005E-2</v>
      </c>
      <c r="AJ190" s="394">
        <v>12.55552</v>
      </c>
      <c r="AK190" s="381" t="s">
        <v>167</v>
      </c>
      <c r="AL190" s="408" t="s">
        <v>175</v>
      </c>
      <c r="AM190" s="385"/>
      <c r="AN190" s="475">
        <v>137</v>
      </c>
      <c r="AO190" s="395">
        <f t="shared" ref="AO190:AO207" si="122">AA190/X190*1000</f>
        <v>1039.0861702127659</v>
      </c>
      <c r="AP190" s="395">
        <f t="shared" ref="AP190:AP207" si="123">AA190/Y190</f>
        <v>16.279016666666667</v>
      </c>
      <c r="AQ190" s="528"/>
      <c r="AR190" s="523"/>
      <c r="AS190" s="393"/>
      <c r="AT190" s="571"/>
      <c r="AU190" s="394"/>
      <c r="AV190" s="394"/>
      <c r="AW190" s="394"/>
      <c r="AX190" s="394"/>
      <c r="AY190" s="394"/>
      <c r="AZ190" s="394"/>
      <c r="BA190" s="394"/>
      <c r="BB190" s="394"/>
      <c r="BC190" s="394"/>
      <c r="BD190" s="381"/>
      <c r="BE190" s="408"/>
      <c r="BF190" s="385"/>
      <c r="BG190" s="475"/>
      <c r="BH190" s="395" t="e">
        <f t="shared" si="112"/>
        <v>#DIV/0!</v>
      </c>
      <c r="BI190" s="395" t="e">
        <f t="shared" si="113"/>
        <v>#DIV/0!</v>
      </c>
    </row>
    <row r="191" spans="1:61" s="358" customFormat="1" ht="19.2" x14ac:dyDescent="0.3">
      <c r="A191" s="359" t="s">
        <v>273</v>
      </c>
      <c r="B191" s="572" t="s">
        <v>2488</v>
      </c>
      <c r="C191" s="546" t="s">
        <v>2487</v>
      </c>
      <c r="D191" s="360">
        <v>0.4</v>
      </c>
      <c r="E191" s="528"/>
      <c r="F191" s="523"/>
      <c r="G191" s="393"/>
      <c r="H191" s="571"/>
      <c r="I191" s="394"/>
      <c r="J191" s="394"/>
      <c r="K191" s="394"/>
      <c r="L191" s="394"/>
      <c r="M191" s="394"/>
      <c r="N191" s="394"/>
      <c r="O191" s="394"/>
      <c r="P191" s="394"/>
      <c r="Q191" s="394"/>
      <c r="R191" s="381"/>
      <c r="S191" s="408"/>
      <c r="T191" s="385"/>
      <c r="U191" s="475"/>
      <c r="V191" s="395"/>
      <c r="W191" s="395"/>
      <c r="X191" s="528">
        <v>80</v>
      </c>
      <c r="Y191" s="523">
        <v>15</v>
      </c>
      <c r="Z191" s="393">
        <v>15</v>
      </c>
      <c r="AA191" s="571">
        <v>41.728639999999999</v>
      </c>
      <c r="AB191" s="394">
        <v>29.207170000000001</v>
      </c>
      <c r="AC191" s="394">
        <v>12.457599999999999</v>
      </c>
      <c r="AD191" s="394">
        <v>14.017160000000001</v>
      </c>
      <c r="AE191" s="394">
        <v>5.8814200000000003</v>
      </c>
      <c r="AF191" s="394">
        <v>0</v>
      </c>
      <c r="AG191" s="394">
        <v>0</v>
      </c>
      <c r="AH191" s="394">
        <v>3.27054</v>
      </c>
      <c r="AI191" s="394">
        <v>0.15572</v>
      </c>
      <c r="AJ191" s="394">
        <v>14.017160000000001</v>
      </c>
      <c r="AK191" s="381" t="s">
        <v>167</v>
      </c>
      <c r="AL191" s="408" t="s">
        <v>175</v>
      </c>
      <c r="AM191" s="385"/>
      <c r="AN191" s="475">
        <v>139</v>
      </c>
      <c r="AO191" s="395">
        <f t="shared" si="122"/>
        <v>521.60799999999995</v>
      </c>
      <c r="AP191" s="395">
        <f t="shared" si="123"/>
        <v>2.7819093333333331</v>
      </c>
      <c r="AQ191" s="528"/>
      <c r="AR191" s="523"/>
      <c r="AS191" s="393"/>
      <c r="AT191" s="571"/>
      <c r="AU191" s="394"/>
      <c r="AV191" s="394"/>
      <c r="AW191" s="394"/>
      <c r="AX191" s="394"/>
      <c r="AY191" s="394"/>
      <c r="AZ191" s="394"/>
      <c r="BA191" s="394"/>
      <c r="BB191" s="394"/>
      <c r="BC191" s="394"/>
      <c r="BD191" s="381"/>
      <c r="BE191" s="408"/>
      <c r="BF191" s="385"/>
      <c r="BG191" s="475"/>
      <c r="BH191" s="395" t="e">
        <f t="shared" si="112"/>
        <v>#DIV/0!</v>
      </c>
      <c r="BI191" s="395" t="e">
        <f t="shared" si="113"/>
        <v>#DIV/0!</v>
      </c>
    </row>
    <row r="192" spans="1:61" s="358" customFormat="1" ht="19.2" x14ac:dyDescent="0.3">
      <c r="A192" s="359" t="s">
        <v>274</v>
      </c>
      <c r="B192" s="572" t="s">
        <v>2490</v>
      </c>
      <c r="C192" s="546" t="s">
        <v>2489</v>
      </c>
      <c r="D192" s="360">
        <v>0.4</v>
      </c>
      <c r="E192" s="528"/>
      <c r="F192" s="523"/>
      <c r="G192" s="393"/>
      <c r="H192" s="571"/>
      <c r="I192" s="394"/>
      <c r="J192" s="394"/>
      <c r="K192" s="394"/>
      <c r="L192" s="394"/>
      <c r="M192" s="394"/>
      <c r="N192" s="394"/>
      <c r="O192" s="394"/>
      <c r="P192" s="394"/>
      <c r="Q192" s="394"/>
      <c r="R192" s="381"/>
      <c r="S192" s="408"/>
      <c r="T192" s="385"/>
      <c r="U192" s="475"/>
      <c r="V192" s="395"/>
      <c r="W192" s="395"/>
      <c r="X192" s="528">
        <v>135</v>
      </c>
      <c r="Y192" s="523">
        <v>15</v>
      </c>
      <c r="Z192" s="393">
        <v>15</v>
      </c>
      <c r="AA192" s="571">
        <v>138.82489000000001</v>
      </c>
      <c r="AB192" s="394">
        <v>99.346400000000003</v>
      </c>
      <c r="AC192" s="394">
        <v>21.022200000000002</v>
      </c>
      <c r="AD192" s="394">
        <f>14.01716+56.07064</f>
        <v>70.087800000000001</v>
      </c>
      <c r="AE192" s="394">
        <v>19.187729999999998</v>
      </c>
      <c r="AF192" s="394">
        <v>0</v>
      </c>
      <c r="AG192" s="394">
        <v>0</v>
      </c>
      <c r="AH192" s="394">
        <v>9.9954599999999996</v>
      </c>
      <c r="AI192" s="394">
        <v>0.15572</v>
      </c>
      <c r="AJ192" s="394">
        <v>14.017160000000001</v>
      </c>
      <c r="AK192" s="381" t="s">
        <v>167</v>
      </c>
      <c r="AL192" s="408" t="s">
        <v>175</v>
      </c>
      <c r="AM192" s="385"/>
      <c r="AN192" s="475">
        <v>141</v>
      </c>
      <c r="AO192" s="395">
        <f t="shared" si="122"/>
        <v>1028.3325185185186</v>
      </c>
      <c r="AP192" s="395">
        <f t="shared" si="123"/>
        <v>9.2549926666666682</v>
      </c>
      <c r="AQ192" s="528"/>
      <c r="AR192" s="523"/>
      <c r="AS192" s="393"/>
      <c r="AT192" s="571"/>
      <c r="AU192" s="394"/>
      <c r="AV192" s="394"/>
      <c r="AW192" s="394"/>
      <c r="AX192" s="394"/>
      <c r="AY192" s="394"/>
      <c r="AZ192" s="394"/>
      <c r="BA192" s="394"/>
      <c r="BB192" s="394"/>
      <c r="BC192" s="394"/>
      <c r="BD192" s="381"/>
      <c r="BE192" s="408"/>
      <c r="BF192" s="385"/>
      <c r="BG192" s="475"/>
      <c r="BH192" s="395" t="e">
        <f t="shared" si="112"/>
        <v>#DIV/0!</v>
      </c>
      <c r="BI192" s="395" t="e">
        <f t="shared" si="113"/>
        <v>#DIV/0!</v>
      </c>
    </row>
    <row r="193" spans="1:61" s="358" customFormat="1" ht="19.2" x14ac:dyDescent="0.3">
      <c r="A193" s="359" t="s">
        <v>275</v>
      </c>
      <c r="B193" s="572" t="s">
        <v>2492</v>
      </c>
      <c r="C193" s="546" t="s">
        <v>2491</v>
      </c>
      <c r="D193" s="360">
        <v>0.4</v>
      </c>
      <c r="E193" s="528"/>
      <c r="F193" s="523"/>
      <c r="G193" s="393"/>
      <c r="H193" s="571"/>
      <c r="I193" s="394"/>
      <c r="J193" s="394"/>
      <c r="K193" s="394"/>
      <c r="L193" s="394"/>
      <c r="M193" s="394"/>
      <c r="N193" s="394"/>
      <c r="O193" s="394"/>
      <c r="P193" s="394"/>
      <c r="Q193" s="394"/>
      <c r="R193" s="381"/>
      <c r="S193" s="408"/>
      <c r="T193" s="385"/>
      <c r="U193" s="475"/>
      <c r="V193" s="395"/>
      <c r="W193" s="395"/>
      <c r="X193" s="528">
        <v>25</v>
      </c>
      <c r="Y193" s="523">
        <v>15</v>
      </c>
      <c r="Z193" s="393">
        <v>15</v>
      </c>
      <c r="AA193" s="571">
        <v>27.93139</v>
      </c>
      <c r="AB193" s="394">
        <v>20.301459999999999</v>
      </c>
      <c r="AC193" s="394">
        <v>3.8929999999999998</v>
      </c>
      <c r="AD193" s="394">
        <v>14.24724</v>
      </c>
      <c r="AE193" s="394">
        <v>3.60751</v>
      </c>
      <c r="AF193" s="394">
        <v>0</v>
      </c>
      <c r="AG193" s="394">
        <v>0</v>
      </c>
      <c r="AH193" s="394">
        <v>1.9631099999999999</v>
      </c>
      <c r="AI193" s="394">
        <v>0.15572</v>
      </c>
      <c r="AJ193" s="394">
        <v>14.24724</v>
      </c>
      <c r="AK193" s="381" t="s">
        <v>167</v>
      </c>
      <c r="AL193" s="408" t="s">
        <v>175</v>
      </c>
      <c r="AM193" s="385"/>
      <c r="AN193" s="475">
        <v>143</v>
      </c>
      <c r="AO193" s="395">
        <f t="shared" si="122"/>
        <v>1117.2556</v>
      </c>
      <c r="AP193" s="395">
        <f t="shared" si="123"/>
        <v>1.8620926666666666</v>
      </c>
      <c r="AQ193" s="528"/>
      <c r="AR193" s="523"/>
      <c r="AS193" s="393"/>
      <c r="AT193" s="571"/>
      <c r="AU193" s="394"/>
      <c r="AV193" s="394"/>
      <c r="AW193" s="394"/>
      <c r="AX193" s="394"/>
      <c r="AY193" s="394"/>
      <c r="AZ193" s="394"/>
      <c r="BA193" s="394"/>
      <c r="BB193" s="394"/>
      <c r="BC193" s="394"/>
      <c r="BD193" s="381"/>
      <c r="BE193" s="408"/>
      <c r="BF193" s="385"/>
      <c r="BG193" s="475"/>
      <c r="BH193" s="395" t="e">
        <f t="shared" si="112"/>
        <v>#DIV/0!</v>
      </c>
      <c r="BI193" s="395" t="e">
        <f t="shared" si="113"/>
        <v>#DIV/0!</v>
      </c>
    </row>
    <row r="194" spans="1:61" s="358" customFormat="1" ht="19.2" x14ac:dyDescent="0.3">
      <c r="A194" s="359" t="s">
        <v>276</v>
      </c>
      <c r="B194" s="572" t="s">
        <v>2494</v>
      </c>
      <c r="C194" s="546" t="s">
        <v>2493</v>
      </c>
      <c r="D194" s="360">
        <v>0.4</v>
      </c>
      <c r="E194" s="528"/>
      <c r="F194" s="523"/>
      <c r="G194" s="393"/>
      <c r="H194" s="571"/>
      <c r="I194" s="394"/>
      <c r="J194" s="394"/>
      <c r="K194" s="394"/>
      <c r="L194" s="394"/>
      <c r="M194" s="394"/>
      <c r="N194" s="394"/>
      <c r="O194" s="394"/>
      <c r="P194" s="394"/>
      <c r="Q194" s="394"/>
      <c r="R194" s="381"/>
      <c r="S194" s="408"/>
      <c r="T194" s="385"/>
      <c r="U194" s="475"/>
      <c r="V194" s="395"/>
      <c r="W194" s="395"/>
      <c r="X194" s="528">
        <v>289</v>
      </c>
      <c r="Y194" s="523">
        <v>15</v>
      </c>
      <c r="Z194" s="393">
        <v>15</v>
      </c>
      <c r="AA194" s="571">
        <v>161.42782</v>
      </c>
      <c r="AB194" s="394">
        <v>114.09899</v>
      </c>
      <c r="AC194" s="394">
        <v>45.003079999999997</v>
      </c>
      <c r="AD194" s="394">
        <v>56.990119999999997</v>
      </c>
      <c r="AE194" s="394">
        <v>22.244019999999999</v>
      </c>
      <c r="AF194" s="394">
        <v>0</v>
      </c>
      <c r="AG194" s="394">
        <v>0</v>
      </c>
      <c r="AH194" s="394">
        <v>12.34525</v>
      </c>
      <c r="AI194" s="394">
        <v>0.15572</v>
      </c>
      <c r="AJ194" s="394">
        <v>14.247529999999999</v>
      </c>
      <c r="AK194" s="381" t="s">
        <v>167</v>
      </c>
      <c r="AL194" s="408" t="s">
        <v>175</v>
      </c>
      <c r="AM194" s="385"/>
      <c r="AN194" s="475">
        <v>145</v>
      </c>
      <c r="AO194" s="395">
        <f t="shared" si="122"/>
        <v>558.57377162629757</v>
      </c>
      <c r="AP194" s="395">
        <f t="shared" si="123"/>
        <v>10.761854666666666</v>
      </c>
      <c r="AQ194" s="528"/>
      <c r="AR194" s="523"/>
      <c r="AS194" s="393"/>
      <c r="AT194" s="571"/>
      <c r="AU194" s="394"/>
      <c r="AV194" s="394"/>
      <c r="AW194" s="394"/>
      <c r="AX194" s="394"/>
      <c r="AY194" s="394"/>
      <c r="AZ194" s="394"/>
      <c r="BA194" s="394"/>
      <c r="BB194" s="394"/>
      <c r="BC194" s="394"/>
      <c r="BD194" s="381"/>
      <c r="BE194" s="408"/>
      <c r="BF194" s="385"/>
      <c r="BG194" s="475"/>
      <c r="BH194" s="395" t="e">
        <f t="shared" si="112"/>
        <v>#DIV/0!</v>
      </c>
      <c r="BI194" s="395" t="e">
        <f t="shared" si="113"/>
        <v>#DIV/0!</v>
      </c>
    </row>
    <row r="195" spans="1:61" s="358" customFormat="1" ht="19.2" x14ac:dyDescent="0.3">
      <c r="A195" s="359" t="s">
        <v>277</v>
      </c>
      <c r="B195" s="572" t="s">
        <v>2496</v>
      </c>
      <c r="C195" s="546" t="s">
        <v>2495</v>
      </c>
      <c r="D195" s="360">
        <v>0.4</v>
      </c>
      <c r="E195" s="528"/>
      <c r="F195" s="523"/>
      <c r="G195" s="393"/>
      <c r="H195" s="571"/>
      <c r="I195" s="394"/>
      <c r="J195" s="394"/>
      <c r="K195" s="394"/>
      <c r="L195" s="394"/>
      <c r="M195" s="394"/>
      <c r="N195" s="394"/>
      <c r="O195" s="394"/>
      <c r="P195" s="394"/>
      <c r="Q195" s="394"/>
      <c r="R195" s="381"/>
      <c r="S195" s="408"/>
      <c r="T195" s="385"/>
      <c r="U195" s="475"/>
      <c r="V195" s="395"/>
      <c r="W195" s="395"/>
      <c r="X195" s="528">
        <v>19</v>
      </c>
      <c r="Y195" s="523">
        <v>15</v>
      </c>
      <c r="Z195" s="393">
        <v>15</v>
      </c>
      <c r="AA195" s="571">
        <v>27.02712</v>
      </c>
      <c r="AB195" s="394">
        <v>19.930800000000001</v>
      </c>
      <c r="AC195" s="394">
        <v>2.9586800000000002</v>
      </c>
      <c r="AD195" s="394">
        <v>14.24732</v>
      </c>
      <c r="AE195" s="394">
        <v>3.3594499999999998</v>
      </c>
      <c r="AF195" s="394">
        <v>0</v>
      </c>
      <c r="AG195" s="394">
        <v>0</v>
      </c>
      <c r="AH195" s="394">
        <v>1.8204899999999999</v>
      </c>
      <c r="AI195" s="394">
        <v>0.15572</v>
      </c>
      <c r="AJ195" s="394">
        <v>14.24732</v>
      </c>
      <c r="AK195" s="381" t="s">
        <v>167</v>
      </c>
      <c r="AL195" s="408" t="s">
        <v>175</v>
      </c>
      <c r="AM195" s="385"/>
      <c r="AN195" s="475">
        <v>147</v>
      </c>
      <c r="AO195" s="395">
        <f t="shared" si="122"/>
        <v>1422.48</v>
      </c>
      <c r="AP195" s="395">
        <f t="shared" si="123"/>
        <v>1.8018080000000001</v>
      </c>
      <c r="AQ195" s="528"/>
      <c r="AR195" s="523"/>
      <c r="AS195" s="393"/>
      <c r="AT195" s="571"/>
      <c r="AU195" s="394"/>
      <c r="AV195" s="394"/>
      <c r="AW195" s="394"/>
      <c r="AX195" s="394"/>
      <c r="AY195" s="394"/>
      <c r="AZ195" s="394"/>
      <c r="BA195" s="394"/>
      <c r="BB195" s="394"/>
      <c r="BC195" s="394"/>
      <c r="BD195" s="381"/>
      <c r="BE195" s="408"/>
      <c r="BF195" s="385"/>
      <c r="BG195" s="475"/>
      <c r="BH195" s="395" t="e">
        <f t="shared" si="112"/>
        <v>#DIV/0!</v>
      </c>
      <c r="BI195" s="395" t="e">
        <f t="shared" si="113"/>
        <v>#DIV/0!</v>
      </c>
    </row>
    <row r="196" spans="1:61" s="358" customFormat="1" ht="19.2" x14ac:dyDescent="0.3">
      <c r="A196" s="359" t="s">
        <v>326</v>
      </c>
      <c r="B196" s="572" t="s">
        <v>2498</v>
      </c>
      <c r="C196" s="546" t="s">
        <v>2497</v>
      </c>
      <c r="D196" s="360">
        <v>0.4</v>
      </c>
      <c r="E196" s="528"/>
      <c r="F196" s="523"/>
      <c r="G196" s="393"/>
      <c r="H196" s="571"/>
      <c r="I196" s="394"/>
      <c r="J196" s="394"/>
      <c r="K196" s="394"/>
      <c r="L196" s="394"/>
      <c r="M196" s="394"/>
      <c r="N196" s="394"/>
      <c r="O196" s="394"/>
      <c r="P196" s="394"/>
      <c r="Q196" s="394"/>
      <c r="R196" s="381"/>
      <c r="S196" s="408"/>
      <c r="T196" s="385"/>
      <c r="U196" s="475"/>
      <c r="V196" s="395"/>
      <c r="W196" s="395"/>
      <c r="X196" s="528">
        <v>55</v>
      </c>
      <c r="Y196" s="523">
        <v>15</v>
      </c>
      <c r="Z196" s="393">
        <v>15</v>
      </c>
      <c r="AA196" s="571">
        <v>56.103589999999997</v>
      </c>
      <c r="AB196" s="394">
        <v>40.399009999999997</v>
      </c>
      <c r="AC196" s="394">
        <v>8.5646000000000004</v>
      </c>
      <c r="AD196" s="394">
        <v>28.49464</v>
      </c>
      <c r="AE196" s="394">
        <v>7.4217500000000003</v>
      </c>
      <c r="AF196" s="394">
        <v>0</v>
      </c>
      <c r="AG196" s="394">
        <v>0</v>
      </c>
      <c r="AH196" s="394">
        <v>4.0450900000000001</v>
      </c>
      <c r="AI196" s="394">
        <v>0.15572</v>
      </c>
      <c r="AJ196" s="394">
        <v>14.24732</v>
      </c>
      <c r="AK196" s="381" t="s">
        <v>167</v>
      </c>
      <c r="AL196" s="408" t="s">
        <v>175</v>
      </c>
      <c r="AM196" s="385"/>
      <c r="AN196" s="475">
        <v>149</v>
      </c>
      <c r="AO196" s="395">
        <f t="shared" si="122"/>
        <v>1020.0652727272727</v>
      </c>
      <c r="AP196" s="395">
        <f t="shared" si="123"/>
        <v>3.7402393333333332</v>
      </c>
      <c r="AQ196" s="528"/>
      <c r="AR196" s="523"/>
      <c r="AS196" s="393"/>
      <c r="AT196" s="571"/>
      <c r="AU196" s="394"/>
      <c r="AV196" s="394"/>
      <c r="AW196" s="394"/>
      <c r="AX196" s="394"/>
      <c r="AY196" s="394"/>
      <c r="AZ196" s="394"/>
      <c r="BA196" s="394"/>
      <c r="BB196" s="394"/>
      <c r="BC196" s="394"/>
      <c r="BD196" s="381"/>
      <c r="BE196" s="408"/>
      <c r="BF196" s="385"/>
      <c r="BG196" s="475"/>
      <c r="BH196" s="395" t="e">
        <f t="shared" si="112"/>
        <v>#DIV/0!</v>
      </c>
      <c r="BI196" s="395" t="e">
        <f t="shared" si="113"/>
        <v>#DIV/0!</v>
      </c>
    </row>
    <row r="197" spans="1:61" s="358" customFormat="1" ht="19.2" x14ac:dyDescent="0.3">
      <c r="A197" s="359" t="s">
        <v>327</v>
      </c>
      <c r="B197" s="572" t="s">
        <v>2500</v>
      </c>
      <c r="C197" s="546" t="s">
        <v>2499</v>
      </c>
      <c r="D197" s="360">
        <v>0.4</v>
      </c>
      <c r="E197" s="528"/>
      <c r="F197" s="523"/>
      <c r="G197" s="393"/>
      <c r="H197" s="571"/>
      <c r="I197" s="394"/>
      <c r="J197" s="394"/>
      <c r="K197" s="394"/>
      <c r="L197" s="394"/>
      <c r="M197" s="394"/>
      <c r="N197" s="394"/>
      <c r="O197" s="394"/>
      <c r="P197" s="394"/>
      <c r="Q197" s="394"/>
      <c r="R197" s="381"/>
      <c r="S197" s="408"/>
      <c r="T197" s="385"/>
      <c r="U197" s="475"/>
      <c r="V197" s="395"/>
      <c r="W197" s="395"/>
      <c r="X197" s="528">
        <v>20</v>
      </c>
      <c r="Y197" s="523">
        <v>15</v>
      </c>
      <c r="Z197" s="393">
        <v>15</v>
      </c>
      <c r="AA197" s="571">
        <v>26.760760000000001</v>
      </c>
      <c r="AB197" s="394">
        <v>19.575510000000001</v>
      </c>
      <c r="AC197" s="394">
        <v>3.1143999999999998</v>
      </c>
      <c r="AD197" s="394">
        <v>14.24738</v>
      </c>
      <c r="AE197" s="394">
        <v>3.4007999999999998</v>
      </c>
      <c r="AF197" s="394">
        <v>0</v>
      </c>
      <c r="AG197" s="394">
        <v>0</v>
      </c>
      <c r="AH197" s="394">
        <v>1.8442499999999999</v>
      </c>
      <c r="AI197" s="394">
        <v>0.15572</v>
      </c>
      <c r="AJ197" s="394">
        <v>14.24738</v>
      </c>
      <c r="AK197" s="381" t="s">
        <v>167</v>
      </c>
      <c r="AL197" s="408" t="s">
        <v>175</v>
      </c>
      <c r="AM197" s="385"/>
      <c r="AN197" s="475">
        <v>151</v>
      </c>
      <c r="AO197" s="395">
        <f t="shared" si="122"/>
        <v>1338.038</v>
      </c>
      <c r="AP197" s="395">
        <f t="shared" si="123"/>
        <v>1.7840506666666667</v>
      </c>
      <c r="AQ197" s="528"/>
      <c r="AR197" s="523"/>
      <c r="AS197" s="393"/>
      <c r="AT197" s="571"/>
      <c r="AU197" s="394"/>
      <c r="AV197" s="394"/>
      <c r="AW197" s="394"/>
      <c r="AX197" s="394"/>
      <c r="AY197" s="394"/>
      <c r="AZ197" s="394"/>
      <c r="BA197" s="394"/>
      <c r="BB197" s="394"/>
      <c r="BC197" s="394"/>
      <c r="BD197" s="381"/>
      <c r="BE197" s="408"/>
      <c r="BF197" s="385"/>
      <c r="BG197" s="475"/>
      <c r="BH197" s="395" t="e">
        <f t="shared" si="112"/>
        <v>#DIV/0!</v>
      </c>
      <c r="BI197" s="395" t="e">
        <f t="shared" si="113"/>
        <v>#DIV/0!</v>
      </c>
    </row>
    <row r="198" spans="1:61" s="358" customFormat="1" ht="19.2" x14ac:dyDescent="0.3">
      <c r="A198" s="359" t="s">
        <v>328</v>
      </c>
      <c r="B198" s="572" t="s">
        <v>2502</v>
      </c>
      <c r="C198" s="546" t="s">
        <v>2501</v>
      </c>
      <c r="D198" s="360">
        <v>0.4</v>
      </c>
      <c r="E198" s="528"/>
      <c r="F198" s="523"/>
      <c r="G198" s="393"/>
      <c r="H198" s="571"/>
      <c r="I198" s="394"/>
      <c r="J198" s="394"/>
      <c r="K198" s="394"/>
      <c r="L198" s="394"/>
      <c r="M198" s="394"/>
      <c r="N198" s="394"/>
      <c r="O198" s="394"/>
      <c r="P198" s="394"/>
      <c r="Q198" s="394"/>
      <c r="R198" s="381"/>
      <c r="S198" s="408"/>
      <c r="T198" s="385"/>
      <c r="U198" s="475"/>
      <c r="V198" s="395"/>
      <c r="W198" s="395"/>
      <c r="X198" s="528">
        <v>194</v>
      </c>
      <c r="Y198" s="523">
        <v>15</v>
      </c>
      <c r="Z198" s="393">
        <v>15</v>
      </c>
      <c r="AA198" s="571">
        <v>178.40359000000001</v>
      </c>
      <c r="AB198" s="394">
        <v>128.49100000000001</v>
      </c>
      <c r="AC198" s="394">
        <v>30.209679999999999</v>
      </c>
      <c r="AD198" s="394">
        <f>56.98928+28.49464</f>
        <v>85.483919999999998</v>
      </c>
      <c r="AE198" s="394">
        <v>23.83257</v>
      </c>
      <c r="AF198" s="394">
        <v>0</v>
      </c>
      <c r="AG198" s="394">
        <v>0</v>
      </c>
      <c r="AH198" s="394">
        <v>12.795719999999999</v>
      </c>
      <c r="AI198" s="394">
        <v>0.15572</v>
      </c>
      <c r="AJ198" s="394">
        <v>14.24732</v>
      </c>
      <c r="AK198" s="381" t="s">
        <v>167</v>
      </c>
      <c r="AL198" s="408" t="s">
        <v>175</v>
      </c>
      <c r="AM198" s="385"/>
      <c r="AN198" s="475">
        <v>153</v>
      </c>
      <c r="AO198" s="395">
        <f t="shared" si="122"/>
        <v>919.60613402061858</v>
      </c>
      <c r="AP198" s="395">
        <f t="shared" si="123"/>
        <v>11.893572666666667</v>
      </c>
      <c r="AQ198" s="528"/>
      <c r="AR198" s="523"/>
      <c r="AS198" s="393"/>
      <c r="AT198" s="571"/>
      <c r="AU198" s="394"/>
      <c r="AV198" s="394"/>
      <c r="AW198" s="394"/>
      <c r="AX198" s="394"/>
      <c r="AY198" s="394"/>
      <c r="AZ198" s="394"/>
      <c r="BA198" s="394"/>
      <c r="BB198" s="394"/>
      <c r="BC198" s="394"/>
      <c r="BD198" s="381"/>
      <c r="BE198" s="408"/>
      <c r="BF198" s="385"/>
      <c r="BG198" s="475"/>
      <c r="BH198" s="395" t="e">
        <f t="shared" si="112"/>
        <v>#DIV/0!</v>
      </c>
      <c r="BI198" s="395" t="e">
        <f t="shared" si="113"/>
        <v>#DIV/0!</v>
      </c>
    </row>
    <row r="199" spans="1:61" s="358" customFormat="1" ht="19.2" x14ac:dyDescent="0.3">
      <c r="A199" s="359" t="s">
        <v>329</v>
      </c>
      <c r="B199" s="572" t="s">
        <v>2504</v>
      </c>
      <c r="C199" s="546" t="s">
        <v>2503</v>
      </c>
      <c r="D199" s="360">
        <v>0.4</v>
      </c>
      <c r="E199" s="528"/>
      <c r="F199" s="523"/>
      <c r="G199" s="393"/>
      <c r="H199" s="571"/>
      <c r="I199" s="394"/>
      <c r="J199" s="394"/>
      <c r="K199" s="394"/>
      <c r="L199" s="394"/>
      <c r="M199" s="394"/>
      <c r="N199" s="394"/>
      <c r="O199" s="394"/>
      <c r="P199" s="394"/>
      <c r="Q199" s="394"/>
      <c r="R199" s="381"/>
      <c r="S199" s="408"/>
      <c r="T199" s="385"/>
      <c r="U199" s="475"/>
      <c r="V199" s="395"/>
      <c r="W199" s="395"/>
      <c r="X199" s="528">
        <v>90</v>
      </c>
      <c r="Y199" s="523">
        <v>15</v>
      </c>
      <c r="Z199" s="393">
        <v>15</v>
      </c>
      <c r="AA199" s="571">
        <v>108.81133</v>
      </c>
      <c r="AB199" s="394">
        <v>77.608140000000006</v>
      </c>
      <c r="AC199" s="394">
        <v>14.014799999999999</v>
      </c>
      <c r="AD199" s="394">
        <v>56.989280000000001</v>
      </c>
      <c r="AE199" s="394">
        <v>14.784739999999999</v>
      </c>
      <c r="AF199" s="394">
        <v>0</v>
      </c>
      <c r="AG199" s="394">
        <v>0</v>
      </c>
      <c r="AH199" s="394">
        <v>8.04345</v>
      </c>
      <c r="AI199" s="394">
        <v>0.15572</v>
      </c>
      <c r="AJ199" s="394">
        <v>14.24732</v>
      </c>
      <c r="AK199" s="381" t="s">
        <v>167</v>
      </c>
      <c r="AL199" s="408" t="s">
        <v>175</v>
      </c>
      <c r="AM199" s="385"/>
      <c r="AN199" s="475">
        <v>155</v>
      </c>
      <c r="AO199" s="395">
        <f t="shared" si="122"/>
        <v>1209.0147777777777</v>
      </c>
      <c r="AP199" s="395">
        <f t="shared" si="123"/>
        <v>7.2540886666666662</v>
      </c>
      <c r="AQ199" s="528"/>
      <c r="AR199" s="523"/>
      <c r="AS199" s="393"/>
      <c r="AT199" s="571"/>
      <c r="AU199" s="394"/>
      <c r="AV199" s="394"/>
      <c r="AW199" s="394"/>
      <c r="AX199" s="394"/>
      <c r="AY199" s="394"/>
      <c r="AZ199" s="394"/>
      <c r="BA199" s="394"/>
      <c r="BB199" s="394"/>
      <c r="BC199" s="394"/>
      <c r="BD199" s="381"/>
      <c r="BE199" s="408"/>
      <c r="BF199" s="385"/>
      <c r="BG199" s="475"/>
      <c r="BH199" s="395" t="e">
        <f t="shared" si="112"/>
        <v>#DIV/0!</v>
      </c>
      <c r="BI199" s="395" t="e">
        <f t="shared" si="113"/>
        <v>#DIV/0!</v>
      </c>
    </row>
    <row r="200" spans="1:61" s="358" customFormat="1" ht="19.2" x14ac:dyDescent="0.3">
      <c r="A200" s="359" t="s">
        <v>330</v>
      </c>
      <c r="B200" s="572" t="s">
        <v>2506</v>
      </c>
      <c r="C200" s="546" t="s">
        <v>2505</v>
      </c>
      <c r="D200" s="360">
        <v>0.4</v>
      </c>
      <c r="E200" s="528"/>
      <c r="F200" s="523"/>
      <c r="G200" s="393"/>
      <c r="H200" s="571"/>
      <c r="I200" s="394"/>
      <c r="J200" s="394"/>
      <c r="K200" s="394"/>
      <c r="L200" s="394"/>
      <c r="M200" s="394"/>
      <c r="N200" s="394"/>
      <c r="O200" s="394"/>
      <c r="P200" s="394"/>
      <c r="Q200" s="394"/>
      <c r="R200" s="381"/>
      <c r="S200" s="408"/>
      <c r="T200" s="385"/>
      <c r="U200" s="475"/>
      <c r="V200" s="395"/>
      <c r="W200" s="395"/>
      <c r="X200" s="528">
        <v>20</v>
      </c>
      <c r="Y200" s="523">
        <v>15</v>
      </c>
      <c r="Z200" s="393">
        <v>15</v>
      </c>
      <c r="AA200" s="571">
        <v>32.442430000000002</v>
      </c>
      <c r="AB200" s="394">
        <v>25.257180000000002</v>
      </c>
      <c r="AC200" s="394">
        <v>3.1143999999999998</v>
      </c>
      <c r="AD200" s="394">
        <v>14.24732</v>
      </c>
      <c r="AE200" s="394">
        <v>3.4007999999999998</v>
      </c>
      <c r="AF200" s="394">
        <v>0</v>
      </c>
      <c r="AG200" s="394">
        <v>0</v>
      </c>
      <c r="AH200" s="394">
        <v>1.8442499999999999</v>
      </c>
      <c r="AI200" s="394">
        <v>0.15572</v>
      </c>
      <c r="AJ200" s="394">
        <v>14.24732</v>
      </c>
      <c r="AK200" s="381" t="s">
        <v>167</v>
      </c>
      <c r="AL200" s="408" t="s">
        <v>175</v>
      </c>
      <c r="AM200" s="385"/>
      <c r="AN200" s="475">
        <v>157</v>
      </c>
      <c r="AO200" s="395">
        <f t="shared" si="122"/>
        <v>1622.1215</v>
      </c>
      <c r="AP200" s="395">
        <f t="shared" si="123"/>
        <v>2.162828666666667</v>
      </c>
      <c r="AQ200" s="528"/>
      <c r="AR200" s="523"/>
      <c r="AS200" s="393"/>
      <c r="AT200" s="571"/>
      <c r="AU200" s="394"/>
      <c r="AV200" s="394"/>
      <c r="AW200" s="394"/>
      <c r="AX200" s="394"/>
      <c r="AY200" s="394"/>
      <c r="AZ200" s="394"/>
      <c r="BA200" s="394"/>
      <c r="BB200" s="394"/>
      <c r="BC200" s="394"/>
      <c r="BD200" s="381"/>
      <c r="BE200" s="408"/>
      <c r="BF200" s="385"/>
      <c r="BG200" s="475"/>
      <c r="BH200" s="395" t="e">
        <f t="shared" si="112"/>
        <v>#DIV/0!</v>
      </c>
      <c r="BI200" s="395" t="e">
        <f t="shared" si="113"/>
        <v>#DIV/0!</v>
      </c>
    </row>
    <row r="201" spans="1:61" s="358" customFormat="1" ht="19.2" x14ac:dyDescent="0.3">
      <c r="A201" s="359" t="s">
        <v>331</v>
      </c>
      <c r="B201" s="572" t="s">
        <v>2508</v>
      </c>
      <c r="C201" s="546" t="s">
        <v>2507</v>
      </c>
      <c r="D201" s="360">
        <v>0.4</v>
      </c>
      <c r="E201" s="528"/>
      <c r="F201" s="523"/>
      <c r="G201" s="393"/>
      <c r="H201" s="571"/>
      <c r="I201" s="394"/>
      <c r="J201" s="394"/>
      <c r="K201" s="394"/>
      <c r="L201" s="394"/>
      <c r="M201" s="394"/>
      <c r="N201" s="394"/>
      <c r="O201" s="394"/>
      <c r="P201" s="394"/>
      <c r="Q201" s="394"/>
      <c r="R201" s="381"/>
      <c r="S201" s="408"/>
      <c r="T201" s="385"/>
      <c r="U201" s="475"/>
      <c r="V201" s="395"/>
      <c r="W201" s="395"/>
      <c r="X201" s="528">
        <v>30</v>
      </c>
      <c r="Y201" s="523">
        <v>15</v>
      </c>
      <c r="Z201" s="393">
        <v>15</v>
      </c>
      <c r="AA201" s="571">
        <v>29.769449999999999</v>
      </c>
      <c r="AB201" s="394">
        <v>21.69483</v>
      </c>
      <c r="AC201" s="394">
        <v>4.6715999999999998</v>
      </c>
      <c r="AD201" s="394">
        <v>14.24732</v>
      </c>
      <c r="AE201" s="394">
        <v>3.8142299999999998</v>
      </c>
      <c r="AF201" s="394">
        <v>0</v>
      </c>
      <c r="AG201" s="394">
        <v>0</v>
      </c>
      <c r="AH201" s="394">
        <v>2.0819700000000001</v>
      </c>
      <c r="AI201" s="394">
        <v>0.15572</v>
      </c>
      <c r="AJ201" s="394">
        <v>14.24732</v>
      </c>
      <c r="AK201" s="381" t="s">
        <v>167</v>
      </c>
      <c r="AL201" s="408" t="s">
        <v>175</v>
      </c>
      <c r="AM201" s="385"/>
      <c r="AN201" s="475">
        <v>159</v>
      </c>
      <c r="AO201" s="395">
        <f t="shared" si="122"/>
        <v>992.31499999999994</v>
      </c>
      <c r="AP201" s="395">
        <f t="shared" si="123"/>
        <v>1.9846299999999999</v>
      </c>
      <c r="AQ201" s="528"/>
      <c r="AR201" s="523"/>
      <c r="AS201" s="393"/>
      <c r="AT201" s="571"/>
      <c r="AU201" s="394"/>
      <c r="AV201" s="394"/>
      <c r="AW201" s="394"/>
      <c r="AX201" s="394"/>
      <c r="AY201" s="394"/>
      <c r="AZ201" s="394"/>
      <c r="BA201" s="394"/>
      <c r="BB201" s="394"/>
      <c r="BC201" s="394"/>
      <c r="BD201" s="381"/>
      <c r="BE201" s="408"/>
      <c r="BF201" s="385"/>
      <c r="BG201" s="475"/>
      <c r="BH201" s="395" t="e">
        <f t="shared" si="112"/>
        <v>#DIV/0!</v>
      </c>
      <c r="BI201" s="395" t="e">
        <f t="shared" si="113"/>
        <v>#DIV/0!</v>
      </c>
    </row>
    <row r="202" spans="1:61" s="358" customFormat="1" ht="19.2" x14ac:dyDescent="0.3">
      <c r="A202" s="359" t="s">
        <v>332</v>
      </c>
      <c r="B202" s="572" t="s">
        <v>2510</v>
      </c>
      <c r="C202" s="546" t="s">
        <v>2509</v>
      </c>
      <c r="D202" s="360">
        <v>0.4</v>
      </c>
      <c r="E202" s="528"/>
      <c r="F202" s="523"/>
      <c r="G202" s="393"/>
      <c r="H202" s="571"/>
      <c r="I202" s="394"/>
      <c r="J202" s="394"/>
      <c r="K202" s="394"/>
      <c r="L202" s="394"/>
      <c r="M202" s="394"/>
      <c r="N202" s="394"/>
      <c r="O202" s="394"/>
      <c r="P202" s="394"/>
      <c r="Q202" s="394"/>
      <c r="R202" s="381"/>
      <c r="S202" s="408"/>
      <c r="T202" s="385"/>
      <c r="U202" s="475"/>
      <c r="V202" s="395"/>
      <c r="W202" s="395"/>
      <c r="X202" s="528">
        <v>30</v>
      </c>
      <c r="Y202" s="523">
        <v>15</v>
      </c>
      <c r="Z202" s="393">
        <v>15</v>
      </c>
      <c r="AA202" s="571">
        <v>29.769449999999999</v>
      </c>
      <c r="AB202" s="394">
        <v>21.69483</v>
      </c>
      <c r="AC202" s="394">
        <v>4.6715999999999998</v>
      </c>
      <c r="AD202" s="394">
        <v>14.24732</v>
      </c>
      <c r="AE202" s="394">
        <v>3.8142299999999998</v>
      </c>
      <c r="AF202" s="394">
        <v>0</v>
      </c>
      <c r="AG202" s="394">
        <v>0</v>
      </c>
      <c r="AH202" s="394">
        <v>2.0819700000000001</v>
      </c>
      <c r="AI202" s="394">
        <v>0.15572</v>
      </c>
      <c r="AJ202" s="394">
        <v>14.24732</v>
      </c>
      <c r="AK202" s="381" t="s">
        <v>167</v>
      </c>
      <c r="AL202" s="408" t="s">
        <v>175</v>
      </c>
      <c r="AM202" s="385"/>
      <c r="AN202" s="475">
        <v>161</v>
      </c>
      <c r="AO202" s="395">
        <f t="shared" si="122"/>
        <v>992.31499999999994</v>
      </c>
      <c r="AP202" s="395">
        <f t="shared" si="123"/>
        <v>1.9846299999999999</v>
      </c>
      <c r="AQ202" s="528"/>
      <c r="AR202" s="523"/>
      <c r="AS202" s="393"/>
      <c r="AT202" s="571"/>
      <c r="AU202" s="394"/>
      <c r="AV202" s="394"/>
      <c r="AW202" s="394"/>
      <c r="AX202" s="394"/>
      <c r="AY202" s="394"/>
      <c r="AZ202" s="394"/>
      <c r="BA202" s="394"/>
      <c r="BB202" s="394"/>
      <c r="BC202" s="394"/>
      <c r="BD202" s="381"/>
      <c r="BE202" s="408"/>
      <c r="BF202" s="385"/>
      <c r="BG202" s="475"/>
      <c r="BH202" s="395" t="e">
        <f t="shared" si="112"/>
        <v>#DIV/0!</v>
      </c>
      <c r="BI202" s="395" t="e">
        <f t="shared" si="113"/>
        <v>#DIV/0!</v>
      </c>
    </row>
    <row r="203" spans="1:61" s="358" customFormat="1" ht="19.2" x14ac:dyDescent="0.3">
      <c r="A203" s="359" t="s">
        <v>333</v>
      </c>
      <c r="B203" s="572" t="s">
        <v>2512</v>
      </c>
      <c r="C203" s="546" t="s">
        <v>2511</v>
      </c>
      <c r="D203" s="360">
        <v>0.4</v>
      </c>
      <c r="E203" s="528"/>
      <c r="F203" s="523"/>
      <c r="G203" s="393"/>
      <c r="H203" s="571"/>
      <c r="I203" s="394"/>
      <c r="J203" s="394"/>
      <c r="K203" s="394"/>
      <c r="L203" s="394"/>
      <c r="M203" s="394"/>
      <c r="N203" s="394"/>
      <c r="O203" s="394"/>
      <c r="P203" s="394"/>
      <c r="Q203" s="394"/>
      <c r="R203" s="381"/>
      <c r="S203" s="408"/>
      <c r="T203" s="385"/>
      <c r="U203" s="475"/>
      <c r="V203" s="395"/>
      <c r="W203" s="395"/>
      <c r="X203" s="528">
        <v>42</v>
      </c>
      <c r="Y203" s="523">
        <v>15</v>
      </c>
      <c r="Z203" s="393">
        <v>15</v>
      </c>
      <c r="AA203" s="571">
        <v>35.205680000000001</v>
      </c>
      <c r="AB203" s="394">
        <v>26.06382</v>
      </c>
      <c r="AC203" s="394">
        <v>6.5402399999999998</v>
      </c>
      <c r="AD203" s="394">
        <v>14.24732</v>
      </c>
      <c r="AE203" s="394">
        <v>4.3103600000000002</v>
      </c>
      <c r="AF203" s="394">
        <v>0</v>
      </c>
      <c r="AG203" s="394">
        <v>0</v>
      </c>
      <c r="AH203" s="394">
        <v>2.3672200000000001</v>
      </c>
      <c r="AI203" s="394">
        <v>0.15572</v>
      </c>
      <c r="AJ203" s="394">
        <v>14.24732</v>
      </c>
      <c r="AK203" s="381" t="s">
        <v>167</v>
      </c>
      <c r="AL203" s="408" t="s">
        <v>175</v>
      </c>
      <c r="AM203" s="385"/>
      <c r="AN203" s="475">
        <v>163</v>
      </c>
      <c r="AO203" s="395">
        <f t="shared" si="122"/>
        <v>838.23047619047622</v>
      </c>
      <c r="AP203" s="395">
        <f t="shared" si="123"/>
        <v>2.3470453333333334</v>
      </c>
      <c r="AQ203" s="528"/>
      <c r="AR203" s="523"/>
      <c r="AS203" s="393"/>
      <c r="AT203" s="571"/>
      <c r="AU203" s="394"/>
      <c r="AV203" s="394"/>
      <c r="AW203" s="394"/>
      <c r="AX203" s="394"/>
      <c r="AY203" s="394"/>
      <c r="AZ203" s="394"/>
      <c r="BA203" s="394"/>
      <c r="BB203" s="394"/>
      <c r="BC203" s="394"/>
      <c r="BD203" s="381"/>
      <c r="BE203" s="408"/>
      <c r="BF203" s="385"/>
      <c r="BG203" s="475"/>
      <c r="BH203" s="395" t="e">
        <f t="shared" si="112"/>
        <v>#DIV/0!</v>
      </c>
      <c r="BI203" s="395" t="e">
        <f t="shared" si="113"/>
        <v>#DIV/0!</v>
      </c>
    </row>
    <row r="204" spans="1:61" s="358" customFormat="1" ht="19.2" x14ac:dyDescent="0.3">
      <c r="A204" s="359" t="s">
        <v>334</v>
      </c>
      <c r="B204" s="572" t="s">
        <v>2514</v>
      </c>
      <c r="C204" s="546" t="s">
        <v>2513</v>
      </c>
      <c r="D204" s="360">
        <v>0.4</v>
      </c>
      <c r="E204" s="528"/>
      <c r="F204" s="523"/>
      <c r="G204" s="393"/>
      <c r="H204" s="571"/>
      <c r="I204" s="394"/>
      <c r="J204" s="394"/>
      <c r="K204" s="394"/>
      <c r="L204" s="394"/>
      <c r="M204" s="394"/>
      <c r="N204" s="394"/>
      <c r="O204" s="394"/>
      <c r="P204" s="394"/>
      <c r="Q204" s="394"/>
      <c r="R204" s="381"/>
      <c r="S204" s="408"/>
      <c r="T204" s="385"/>
      <c r="U204" s="475"/>
      <c r="V204" s="395"/>
      <c r="W204" s="395"/>
      <c r="X204" s="528">
        <v>70</v>
      </c>
      <c r="Y204" s="523">
        <v>15</v>
      </c>
      <c r="Z204" s="393">
        <v>15</v>
      </c>
      <c r="AA204" s="571">
        <v>79.934650000000005</v>
      </c>
      <c r="AB204" s="394">
        <v>57.26981</v>
      </c>
      <c r="AC204" s="394">
        <v>10.900399999999999</v>
      </c>
      <c r="AD204" s="394">
        <f>14.24732+28.49464</f>
        <v>42.741959999999999</v>
      </c>
      <c r="AE204" s="394">
        <v>10.98418</v>
      </c>
      <c r="AF204" s="394">
        <v>0</v>
      </c>
      <c r="AG204" s="394">
        <v>0</v>
      </c>
      <c r="AH204" s="394">
        <v>5.7415700000000003</v>
      </c>
      <c r="AI204" s="394">
        <v>0.15572</v>
      </c>
      <c r="AJ204" s="394">
        <v>14.24732</v>
      </c>
      <c r="AK204" s="381" t="s">
        <v>167</v>
      </c>
      <c r="AL204" s="408" t="s">
        <v>175</v>
      </c>
      <c r="AM204" s="385"/>
      <c r="AN204" s="475">
        <v>165</v>
      </c>
      <c r="AO204" s="395">
        <f t="shared" si="122"/>
        <v>1141.9235714285717</v>
      </c>
      <c r="AP204" s="395">
        <f t="shared" si="123"/>
        <v>5.3289766666666667</v>
      </c>
      <c r="AQ204" s="528"/>
      <c r="AR204" s="523"/>
      <c r="AS204" s="393"/>
      <c r="AT204" s="571"/>
      <c r="AU204" s="394"/>
      <c r="AV204" s="394"/>
      <c r="AW204" s="394"/>
      <c r="AX204" s="394"/>
      <c r="AY204" s="394"/>
      <c r="AZ204" s="394"/>
      <c r="BA204" s="394"/>
      <c r="BB204" s="394"/>
      <c r="BC204" s="394"/>
      <c r="BD204" s="381"/>
      <c r="BE204" s="408"/>
      <c r="BF204" s="385"/>
      <c r="BG204" s="475"/>
      <c r="BH204" s="395" t="e">
        <f t="shared" si="112"/>
        <v>#DIV/0!</v>
      </c>
      <c r="BI204" s="395" t="e">
        <f t="shared" si="113"/>
        <v>#DIV/0!</v>
      </c>
    </row>
    <row r="205" spans="1:61" s="358" customFormat="1" ht="19.2" x14ac:dyDescent="0.3">
      <c r="A205" s="359" t="s">
        <v>335</v>
      </c>
      <c r="B205" s="572" t="s">
        <v>2516</v>
      </c>
      <c r="C205" s="546" t="s">
        <v>2515</v>
      </c>
      <c r="D205" s="360">
        <v>0.4</v>
      </c>
      <c r="E205" s="528"/>
      <c r="F205" s="523"/>
      <c r="G205" s="393"/>
      <c r="H205" s="571"/>
      <c r="I205" s="394"/>
      <c r="J205" s="394"/>
      <c r="K205" s="394"/>
      <c r="L205" s="394"/>
      <c r="M205" s="394"/>
      <c r="N205" s="394"/>
      <c r="O205" s="394"/>
      <c r="P205" s="394"/>
      <c r="Q205" s="394"/>
      <c r="R205" s="381"/>
      <c r="S205" s="408"/>
      <c r="T205" s="385"/>
      <c r="U205" s="475"/>
      <c r="V205" s="395"/>
      <c r="W205" s="395"/>
      <c r="X205" s="528">
        <v>82</v>
      </c>
      <c r="Y205" s="523">
        <v>15</v>
      </c>
      <c r="Z205" s="393">
        <v>15</v>
      </c>
      <c r="AA205" s="571">
        <v>124.18195</v>
      </c>
      <c r="AB205" s="394">
        <v>89.417109999999994</v>
      </c>
      <c r="AC205" s="394">
        <v>12.76904</v>
      </c>
      <c r="AD205" s="394">
        <f>14.24732+56.98928</f>
        <v>71.236599999999996</v>
      </c>
      <c r="AE205" s="394">
        <v>16.996510000000001</v>
      </c>
      <c r="AF205" s="394">
        <v>0</v>
      </c>
      <c r="AG205" s="394">
        <v>0</v>
      </c>
      <c r="AH205" s="394">
        <v>8.7355800000000006</v>
      </c>
      <c r="AI205" s="394">
        <v>0.15572</v>
      </c>
      <c r="AJ205" s="394">
        <v>14.24732</v>
      </c>
      <c r="AK205" s="381" t="s">
        <v>167</v>
      </c>
      <c r="AL205" s="408" t="s">
        <v>175</v>
      </c>
      <c r="AM205" s="385"/>
      <c r="AN205" s="475">
        <v>167</v>
      </c>
      <c r="AO205" s="395">
        <f t="shared" si="122"/>
        <v>1514.4140243902439</v>
      </c>
      <c r="AP205" s="395">
        <f t="shared" si="123"/>
        <v>8.2787966666666666</v>
      </c>
      <c r="AQ205" s="528"/>
      <c r="AR205" s="523"/>
      <c r="AS205" s="393"/>
      <c r="AT205" s="571"/>
      <c r="AU205" s="394"/>
      <c r="AV205" s="394"/>
      <c r="AW205" s="394"/>
      <c r="AX205" s="394"/>
      <c r="AY205" s="394"/>
      <c r="AZ205" s="394"/>
      <c r="BA205" s="394"/>
      <c r="BB205" s="394"/>
      <c r="BC205" s="394"/>
      <c r="BD205" s="381"/>
      <c r="BE205" s="408"/>
      <c r="BF205" s="385"/>
      <c r="BG205" s="475"/>
      <c r="BH205" s="395" t="e">
        <f t="shared" si="112"/>
        <v>#DIV/0!</v>
      </c>
      <c r="BI205" s="395" t="e">
        <f t="shared" si="113"/>
        <v>#DIV/0!</v>
      </c>
    </row>
    <row r="206" spans="1:61" s="358" customFormat="1" ht="19.2" x14ac:dyDescent="0.3">
      <c r="A206" s="359" t="s">
        <v>336</v>
      </c>
      <c r="B206" s="572" t="s">
        <v>2518</v>
      </c>
      <c r="C206" s="546" t="s">
        <v>2517</v>
      </c>
      <c r="D206" s="360">
        <v>0.4</v>
      </c>
      <c r="E206" s="528"/>
      <c r="F206" s="523"/>
      <c r="G206" s="393"/>
      <c r="H206" s="571"/>
      <c r="I206" s="394"/>
      <c r="J206" s="394"/>
      <c r="K206" s="394"/>
      <c r="L206" s="394"/>
      <c r="M206" s="394"/>
      <c r="N206" s="394"/>
      <c r="O206" s="394"/>
      <c r="P206" s="394"/>
      <c r="Q206" s="394"/>
      <c r="R206" s="381"/>
      <c r="S206" s="408"/>
      <c r="T206" s="385"/>
      <c r="U206" s="475"/>
      <c r="V206" s="395"/>
      <c r="W206" s="395"/>
      <c r="X206" s="528">
        <v>135</v>
      </c>
      <c r="Y206" s="523">
        <v>15</v>
      </c>
      <c r="Z206" s="393">
        <v>15</v>
      </c>
      <c r="AA206" s="571">
        <v>222.42454000000001</v>
      </c>
      <c r="AB206" s="394">
        <v>161.10025999999999</v>
      </c>
      <c r="AC206" s="394">
        <v>21.022200000000002</v>
      </c>
      <c r="AD206" s="394">
        <f>42.05148+84.10296</f>
        <v>126.15443999999999</v>
      </c>
      <c r="AE206" s="394">
        <v>29.851769999999998</v>
      </c>
      <c r="AF206" s="394">
        <v>0</v>
      </c>
      <c r="AG206" s="394">
        <v>0</v>
      </c>
      <c r="AH206" s="394">
        <v>15.44187</v>
      </c>
      <c r="AI206" s="394">
        <v>0.15572</v>
      </c>
      <c r="AJ206" s="394">
        <v>14.017160000000001</v>
      </c>
      <c r="AK206" s="381" t="s">
        <v>167</v>
      </c>
      <c r="AL206" s="408" t="s">
        <v>175</v>
      </c>
      <c r="AM206" s="385"/>
      <c r="AN206" s="475">
        <v>169</v>
      </c>
      <c r="AO206" s="395">
        <f t="shared" si="122"/>
        <v>1647.5891851851852</v>
      </c>
      <c r="AP206" s="395">
        <f t="shared" si="123"/>
        <v>14.828302666666668</v>
      </c>
      <c r="AQ206" s="528"/>
      <c r="AR206" s="523"/>
      <c r="AS206" s="393"/>
      <c r="AT206" s="571"/>
      <c r="AU206" s="394"/>
      <c r="AV206" s="394"/>
      <c r="AW206" s="394"/>
      <c r="AX206" s="394"/>
      <c r="AY206" s="394"/>
      <c r="AZ206" s="394"/>
      <c r="BA206" s="394"/>
      <c r="BB206" s="394"/>
      <c r="BC206" s="394"/>
      <c r="BD206" s="381"/>
      <c r="BE206" s="408"/>
      <c r="BF206" s="385"/>
      <c r="BG206" s="475"/>
      <c r="BH206" s="395" t="e">
        <f t="shared" si="112"/>
        <v>#DIV/0!</v>
      </c>
      <c r="BI206" s="395" t="e">
        <f t="shared" si="113"/>
        <v>#DIV/0!</v>
      </c>
    </row>
    <row r="207" spans="1:61" s="358" customFormat="1" ht="19.2" x14ac:dyDescent="0.3">
      <c r="A207" s="359" t="s">
        <v>337</v>
      </c>
      <c r="B207" s="572" t="s">
        <v>1557</v>
      </c>
      <c r="C207" s="546" t="s">
        <v>2519</v>
      </c>
      <c r="D207" s="360">
        <v>0.4</v>
      </c>
      <c r="E207" s="528"/>
      <c r="F207" s="523"/>
      <c r="G207" s="393"/>
      <c r="H207" s="571"/>
      <c r="I207" s="394"/>
      <c r="J207" s="394"/>
      <c r="K207" s="394"/>
      <c r="L207" s="394"/>
      <c r="M207" s="394"/>
      <c r="N207" s="394"/>
      <c r="O207" s="394"/>
      <c r="P207" s="394"/>
      <c r="Q207" s="394"/>
      <c r="R207" s="381"/>
      <c r="S207" s="408"/>
      <c r="T207" s="385"/>
      <c r="U207" s="475"/>
      <c r="V207" s="395"/>
      <c r="W207" s="395"/>
      <c r="X207" s="528">
        <v>70</v>
      </c>
      <c r="Y207" s="523">
        <v>15</v>
      </c>
      <c r="Z207" s="393">
        <v>15</v>
      </c>
      <c r="AA207" s="571">
        <v>66.978710000000007</v>
      </c>
      <c r="AB207" s="394">
        <v>49.940089999999998</v>
      </c>
      <c r="AC207" s="394">
        <v>10.900399999999999</v>
      </c>
      <c r="AD207" s="394">
        <v>28.573039999999999</v>
      </c>
      <c r="AE207" s="394">
        <v>8.0419</v>
      </c>
      <c r="AF207" s="394">
        <v>0</v>
      </c>
      <c r="AG207" s="394">
        <v>0</v>
      </c>
      <c r="AH207" s="394">
        <v>4.4016599999999997</v>
      </c>
      <c r="AI207" s="394">
        <v>0.15572</v>
      </c>
      <c r="AJ207" s="394">
        <v>14.286519999999999</v>
      </c>
      <c r="AK207" s="381" t="s">
        <v>167</v>
      </c>
      <c r="AL207" s="408" t="s">
        <v>175</v>
      </c>
      <c r="AM207" s="385"/>
      <c r="AN207" s="475">
        <v>171</v>
      </c>
      <c r="AO207" s="395">
        <f t="shared" si="122"/>
        <v>956.83871428571445</v>
      </c>
      <c r="AP207" s="395">
        <f t="shared" si="123"/>
        <v>4.465247333333334</v>
      </c>
      <c r="AQ207" s="528"/>
      <c r="AR207" s="523"/>
      <c r="AS207" s="393"/>
      <c r="AT207" s="571"/>
      <c r="AU207" s="394"/>
      <c r="AV207" s="394"/>
      <c r="AW207" s="394"/>
      <c r="AX207" s="394"/>
      <c r="AY207" s="394"/>
      <c r="AZ207" s="394"/>
      <c r="BA207" s="394"/>
      <c r="BB207" s="394"/>
      <c r="BC207" s="394"/>
      <c r="BD207" s="381"/>
      <c r="BE207" s="408"/>
      <c r="BF207" s="385"/>
      <c r="BG207" s="475"/>
      <c r="BH207" s="395" t="e">
        <f t="shared" si="112"/>
        <v>#DIV/0!</v>
      </c>
      <c r="BI207" s="395" t="e">
        <f t="shared" si="113"/>
        <v>#DIV/0!</v>
      </c>
    </row>
    <row r="208" spans="1:61" s="358" customFormat="1" ht="19.2" x14ac:dyDescent="0.3">
      <c r="A208" s="359" t="s">
        <v>178</v>
      </c>
      <c r="B208" s="602" t="s">
        <v>2566</v>
      </c>
      <c r="C208" s="546" t="s">
        <v>2565</v>
      </c>
      <c r="D208" s="360">
        <v>0.4</v>
      </c>
      <c r="E208" s="528"/>
      <c r="F208" s="523"/>
      <c r="G208" s="393"/>
      <c r="H208" s="394"/>
      <c r="I208" s="394"/>
      <c r="J208" s="394"/>
      <c r="K208" s="394"/>
      <c r="L208" s="394"/>
      <c r="M208" s="394"/>
      <c r="N208" s="394"/>
      <c r="O208" s="394"/>
      <c r="P208" s="394"/>
      <c r="Q208" s="394"/>
      <c r="R208" s="381"/>
      <c r="S208" s="408"/>
      <c r="T208" s="385"/>
      <c r="U208" s="475"/>
      <c r="V208" s="395"/>
      <c r="W208" s="395"/>
      <c r="X208" s="528"/>
      <c r="Y208" s="523"/>
      <c r="Z208" s="393"/>
      <c r="AA208" s="394"/>
      <c r="AB208" s="394"/>
      <c r="AC208" s="394"/>
      <c r="AD208" s="394"/>
      <c r="AE208" s="394"/>
      <c r="AF208" s="394"/>
      <c r="AG208" s="394"/>
      <c r="AH208" s="394"/>
      <c r="AI208" s="394"/>
      <c r="AJ208" s="394"/>
      <c r="AK208" s="381"/>
      <c r="AL208" s="408"/>
      <c r="AM208" s="385"/>
      <c r="AN208" s="475"/>
      <c r="AO208" s="395"/>
      <c r="AP208" s="395"/>
      <c r="AQ208" s="528">
        <v>145</v>
      </c>
      <c r="AR208" s="523">
        <v>15</v>
      </c>
      <c r="AS208" s="393">
        <v>15</v>
      </c>
      <c r="AT208" s="600">
        <v>161.82740999999999</v>
      </c>
      <c r="AU208" s="394">
        <v>110.48367</v>
      </c>
      <c r="AV208" s="394">
        <v>19.931699999999999</v>
      </c>
      <c r="AW208" s="394">
        <f>32.58501+43.44668</f>
        <v>76.031689999999998</v>
      </c>
      <c r="AX208" s="394">
        <v>19.181470000000001</v>
      </c>
      <c r="AY208" s="394">
        <v>0</v>
      </c>
      <c r="AZ208" s="394">
        <v>0</v>
      </c>
      <c r="BA208" s="394">
        <v>15.789960000000001</v>
      </c>
      <c r="BB208" s="394">
        <v>0.13746</v>
      </c>
      <c r="BC208" s="394">
        <v>10.86167</v>
      </c>
      <c r="BD208" s="381" t="s">
        <v>167</v>
      </c>
      <c r="BE208" s="408" t="s">
        <v>175</v>
      </c>
      <c r="BF208" s="385"/>
      <c r="BG208" s="475">
        <v>124</v>
      </c>
      <c r="BH208" s="395">
        <f t="shared" ref="BH208:BH212" si="124">AT208/AQ208*1000</f>
        <v>1116.0511034482759</v>
      </c>
      <c r="BI208" s="395">
        <f t="shared" ref="BI208:BI212" si="125">AT208/AR208</f>
        <v>10.788493999999998</v>
      </c>
    </row>
    <row r="209" spans="1:61" s="358" customFormat="1" ht="19.2" x14ac:dyDescent="0.3">
      <c r="A209" s="359" t="s">
        <v>182</v>
      </c>
      <c r="B209" s="602" t="s">
        <v>4882</v>
      </c>
      <c r="C209" s="546" t="s">
        <v>1029</v>
      </c>
      <c r="D209" s="360">
        <v>0.4</v>
      </c>
      <c r="E209" s="528"/>
      <c r="F209" s="523"/>
      <c r="G209" s="393"/>
      <c r="H209" s="394"/>
      <c r="I209" s="394"/>
      <c r="J209" s="394"/>
      <c r="K209" s="394"/>
      <c r="L209" s="394"/>
      <c r="M209" s="394"/>
      <c r="N209" s="394"/>
      <c r="O209" s="394"/>
      <c r="P209" s="394"/>
      <c r="Q209" s="394"/>
      <c r="R209" s="381"/>
      <c r="S209" s="408"/>
      <c r="T209" s="385"/>
      <c r="U209" s="475"/>
      <c r="V209" s="395"/>
      <c r="W209" s="395"/>
      <c r="X209" s="528"/>
      <c r="Y209" s="523"/>
      <c r="Z209" s="393"/>
      <c r="AA209" s="394"/>
      <c r="AB209" s="394"/>
      <c r="AC209" s="394"/>
      <c r="AD209" s="394"/>
      <c r="AE209" s="394"/>
      <c r="AF209" s="394"/>
      <c r="AG209" s="394"/>
      <c r="AH209" s="394"/>
      <c r="AI209" s="394"/>
      <c r="AJ209" s="394"/>
      <c r="AK209" s="381"/>
      <c r="AL209" s="408"/>
      <c r="AM209" s="385"/>
      <c r="AN209" s="475"/>
      <c r="AO209" s="395"/>
      <c r="AP209" s="395"/>
      <c r="AQ209" s="528">
        <v>105</v>
      </c>
      <c r="AR209" s="523">
        <v>15</v>
      </c>
      <c r="AS209" s="393">
        <v>15</v>
      </c>
      <c r="AT209" s="600">
        <v>68.302199999999999</v>
      </c>
      <c r="AU209" s="394">
        <v>43.316310000000001</v>
      </c>
      <c r="AV209" s="394">
        <v>9.2494499999999995</v>
      </c>
      <c r="AW209" s="394">
        <f>9.90684+19.81368</f>
        <v>29.72052</v>
      </c>
      <c r="AX209" s="394">
        <v>9.5008499999999998</v>
      </c>
      <c r="AY209" s="394">
        <v>0</v>
      </c>
      <c r="AZ209" s="394">
        <v>0</v>
      </c>
      <c r="BA209" s="394">
        <v>7.6242200000000002</v>
      </c>
      <c r="BB209" s="394">
        <v>8.8090000000000002E-2</v>
      </c>
      <c r="BC209" s="394">
        <v>9.9068400000000008</v>
      </c>
      <c r="BD209" s="381" t="s">
        <v>167</v>
      </c>
      <c r="BE209" s="408" t="s">
        <v>175</v>
      </c>
      <c r="BF209" s="385"/>
      <c r="BG209" s="475">
        <v>126</v>
      </c>
      <c r="BH209" s="395">
        <f t="shared" si="124"/>
        <v>650.49714285714288</v>
      </c>
      <c r="BI209" s="395">
        <f t="shared" si="125"/>
        <v>4.5534799999999995</v>
      </c>
    </row>
    <row r="210" spans="1:61" s="358" customFormat="1" ht="19.2" x14ac:dyDescent="0.3">
      <c r="A210" s="359" t="s">
        <v>184</v>
      </c>
      <c r="B210" s="602" t="s">
        <v>4905</v>
      </c>
      <c r="C210" s="546" t="s">
        <v>4904</v>
      </c>
      <c r="D210" s="360">
        <v>0.4</v>
      </c>
      <c r="E210" s="528"/>
      <c r="F210" s="523"/>
      <c r="G210" s="393"/>
      <c r="H210" s="394"/>
      <c r="I210" s="394"/>
      <c r="J210" s="394"/>
      <c r="K210" s="394"/>
      <c r="L210" s="394"/>
      <c r="M210" s="394"/>
      <c r="N210" s="394"/>
      <c r="O210" s="394"/>
      <c r="P210" s="394"/>
      <c r="Q210" s="394"/>
      <c r="R210" s="381"/>
      <c r="S210" s="408"/>
      <c r="T210" s="385"/>
      <c r="U210" s="475"/>
      <c r="V210" s="395"/>
      <c r="W210" s="395"/>
      <c r="X210" s="528"/>
      <c r="Y210" s="523"/>
      <c r="Z210" s="393"/>
      <c r="AA210" s="394"/>
      <c r="AB210" s="394"/>
      <c r="AC210" s="394"/>
      <c r="AD210" s="394"/>
      <c r="AE210" s="394"/>
      <c r="AF210" s="394"/>
      <c r="AG210" s="394"/>
      <c r="AH210" s="394"/>
      <c r="AI210" s="394"/>
      <c r="AJ210" s="394"/>
      <c r="AK210" s="381"/>
      <c r="AL210" s="408"/>
      <c r="AM210" s="385"/>
      <c r="AN210" s="475"/>
      <c r="AO210" s="395"/>
      <c r="AP210" s="395"/>
      <c r="AQ210" s="528">
        <v>100</v>
      </c>
      <c r="AR210" s="523">
        <v>15</v>
      </c>
      <c r="AS210" s="393">
        <v>15</v>
      </c>
      <c r="AT210" s="600">
        <v>58.923270000000002</v>
      </c>
      <c r="AU210" s="394">
        <v>39.824629999999999</v>
      </c>
      <c r="AV210" s="394">
        <v>13.746</v>
      </c>
      <c r="AW210" s="394">
        <v>22.566759999999999</v>
      </c>
      <c r="AX210" s="394">
        <v>7.0050600000000003</v>
      </c>
      <c r="AY210" s="394">
        <v>0</v>
      </c>
      <c r="AZ210" s="394">
        <v>0</v>
      </c>
      <c r="BA210" s="394">
        <v>5.9318099999999996</v>
      </c>
      <c r="BB210" s="394">
        <v>0.13746</v>
      </c>
      <c r="BC210" s="394">
        <v>11.27838</v>
      </c>
      <c r="BD210" s="381" t="s">
        <v>167</v>
      </c>
      <c r="BE210" s="408" t="s">
        <v>175</v>
      </c>
      <c r="BF210" s="385"/>
      <c r="BG210" s="475">
        <v>128</v>
      </c>
      <c r="BH210" s="395">
        <f t="shared" si="124"/>
        <v>589.23270000000002</v>
      </c>
      <c r="BI210" s="395">
        <f t="shared" si="125"/>
        <v>3.9282180000000002</v>
      </c>
    </row>
    <row r="211" spans="1:61" s="358" customFormat="1" ht="19.2" x14ac:dyDescent="0.3">
      <c r="A211" s="359" t="s">
        <v>186</v>
      </c>
      <c r="B211" s="602" t="s">
        <v>4911</v>
      </c>
      <c r="C211" s="546" t="s">
        <v>4910</v>
      </c>
      <c r="D211" s="360">
        <v>0.4</v>
      </c>
      <c r="E211" s="528"/>
      <c r="F211" s="523"/>
      <c r="G211" s="393"/>
      <c r="H211" s="394"/>
      <c r="I211" s="394"/>
      <c r="J211" s="394"/>
      <c r="K211" s="394"/>
      <c r="L211" s="394"/>
      <c r="M211" s="394"/>
      <c r="N211" s="394"/>
      <c r="O211" s="394"/>
      <c r="P211" s="394"/>
      <c r="Q211" s="394"/>
      <c r="R211" s="381"/>
      <c r="S211" s="408"/>
      <c r="T211" s="385"/>
      <c r="U211" s="475"/>
      <c r="V211" s="395"/>
      <c r="W211" s="395"/>
      <c r="X211" s="528"/>
      <c r="Y211" s="523"/>
      <c r="Z211" s="393"/>
      <c r="AA211" s="394"/>
      <c r="AB211" s="394"/>
      <c r="AC211" s="394"/>
      <c r="AD211" s="394"/>
      <c r="AE211" s="394"/>
      <c r="AF211" s="394"/>
      <c r="AG211" s="394"/>
      <c r="AH211" s="394"/>
      <c r="AI211" s="394"/>
      <c r="AJ211" s="394"/>
      <c r="AK211" s="381"/>
      <c r="AL211" s="408"/>
      <c r="AM211" s="385"/>
      <c r="AN211" s="475"/>
      <c r="AO211" s="395"/>
      <c r="AP211" s="395"/>
      <c r="AQ211" s="528">
        <v>35</v>
      </c>
      <c r="AR211" s="523">
        <v>30</v>
      </c>
      <c r="AS211" s="393">
        <v>30</v>
      </c>
      <c r="AT211" s="600">
        <v>43.968029999999999</v>
      </c>
      <c r="AU211" s="394">
        <v>30.247209999999999</v>
      </c>
      <c r="AV211" s="394">
        <v>4.8110999999999997</v>
      </c>
      <c r="AW211" s="394">
        <v>22.556740000000001</v>
      </c>
      <c r="AX211" s="394">
        <v>5.3859000000000004</v>
      </c>
      <c r="AY211" s="394">
        <v>0</v>
      </c>
      <c r="AZ211" s="394">
        <v>0</v>
      </c>
      <c r="BA211" s="394">
        <v>4.10731</v>
      </c>
      <c r="BB211" s="394">
        <v>0.13746</v>
      </c>
      <c r="BC211" s="394">
        <v>11.278370000000001</v>
      </c>
      <c r="BD211" s="381" t="s">
        <v>167</v>
      </c>
      <c r="BE211" s="408" t="s">
        <v>175</v>
      </c>
      <c r="BF211" s="385"/>
      <c r="BG211" s="475">
        <v>130</v>
      </c>
      <c r="BH211" s="395">
        <f t="shared" si="124"/>
        <v>1256.2294285714286</v>
      </c>
      <c r="BI211" s="395">
        <f t="shared" si="125"/>
        <v>1.4656009999999999</v>
      </c>
    </row>
    <row r="212" spans="1:61" s="358" customFormat="1" ht="19.2" x14ac:dyDescent="0.3">
      <c r="A212" s="359" t="s">
        <v>189</v>
      </c>
      <c r="B212" s="602" t="s">
        <v>4925</v>
      </c>
      <c r="C212" s="546" t="s">
        <v>4924</v>
      </c>
      <c r="D212" s="360">
        <v>0.4</v>
      </c>
      <c r="E212" s="528"/>
      <c r="F212" s="523"/>
      <c r="G212" s="393"/>
      <c r="H212" s="394"/>
      <c r="I212" s="394"/>
      <c r="J212" s="394"/>
      <c r="K212" s="394"/>
      <c r="L212" s="394"/>
      <c r="M212" s="394"/>
      <c r="N212" s="394"/>
      <c r="O212" s="394"/>
      <c r="P212" s="394"/>
      <c r="Q212" s="394"/>
      <c r="R212" s="381"/>
      <c r="S212" s="408"/>
      <c r="T212" s="385"/>
      <c r="U212" s="475"/>
      <c r="V212" s="395"/>
      <c r="W212" s="395"/>
      <c r="X212" s="528"/>
      <c r="Y212" s="523"/>
      <c r="Z212" s="393"/>
      <c r="AA212" s="394"/>
      <c r="AB212" s="394"/>
      <c r="AC212" s="394"/>
      <c r="AD212" s="394"/>
      <c r="AE212" s="394"/>
      <c r="AF212" s="394"/>
      <c r="AG212" s="394"/>
      <c r="AH212" s="394"/>
      <c r="AI212" s="394"/>
      <c r="AJ212" s="394"/>
      <c r="AK212" s="381"/>
      <c r="AL212" s="408"/>
      <c r="AM212" s="385"/>
      <c r="AN212" s="475"/>
      <c r="AO212" s="395"/>
      <c r="AP212" s="395"/>
      <c r="AQ212" s="528">
        <v>148</v>
      </c>
      <c r="AR212" s="523">
        <v>15</v>
      </c>
      <c r="AS212" s="393">
        <v>15</v>
      </c>
      <c r="AT212" s="600">
        <v>209.40717000000001</v>
      </c>
      <c r="AU212" s="394">
        <v>143.31763000000001</v>
      </c>
      <c r="AV212" s="394">
        <v>19.65588</v>
      </c>
      <c r="AW212" s="394">
        <f>22.58548+90.34192</f>
        <v>112.92740000000001</v>
      </c>
      <c r="AX212" s="394">
        <v>25.73151</v>
      </c>
      <c r="AY212" s="394">
        <v>0</v>
      </c>
      <c r="AZ212" s="394">
        <v>0</v>
      </c>
      <c r="BA212" s="394">
        <v>19.82649</v>
      </c>
      <c r="BB212" s="394">
        <v>0.13281000000000001</v>
      </c>
      <c r="BC212" s="394">
        <v>11.29274</v>
      </c>
      <c r="BD212" s="381" t="s">
        <v>167</v>
      </c>
      <c r="BE212" s="408" t="s">
        <v>175</v>
      </c>
      <c r="BF212" s="385"/>
      <c r="BG212" s="475">
        <v>132</v>
      </c>
      <c r="BH212" s="395">
        <f t="shared" si="124"/>
        <v>1414.913310810811</v>
      </c>
      <c r="BI212" s="395">
        <f t="shared" si="125"/>
        <v>13.960478</v>
      </c>
    </row>
    <row r="213" spans="1:61" s="358" customFormat="1" x14ac:dyDescent="0.3">
      <c r="A213" s="359"/>
      <c r="B213" s="378"/>
      <c r="C213" s="546"/>
      <c r="D213" s="360"/>
      <c r="E213" s="528"/>
      <c r="F213" s="523"/>
      <c r="G213" s="393"/>
      <c r="H213" s="394"/>
      <c r="I213" s="394"/>
      <c r="J213" s="394"/>
      <c r="K213" s="394"/>
      <c r="L213" s="394"/>
      <c r="M213" s="394"/>
      <c r="N213" s="394"/>
      <c r="O213" s="394"/>
      <c r="P213" s="394"/>
      <c r="Q213" s="394"/>
      <c r="R213" s="385"/>
      <c r="S213" s="385"/>
      <c r="T213" s="385"/>
      <c r="U213" s="475"/>
      <c r="V213" s="395" t="e">
        <f t="shared" ref="V213:V300" si="126">H213/E213*1000</f>
        <v>#DIV/0!</v>
      </c>
      <c r="W213" s="395" t="e">
        <f t="shared" ref="W213:W300" si="127">H213/F213</f>
        <v>#DIV/0!</v>
      </c>
      <c r="X213" s="528"/>
      <c r="Y213" s="523"/>
      <c r="Z213" s="393"/>
      <c r="AA213" s="394"/>
      <c r="AB213" s="394"/>
      <c r="AC213" s="394"/>
      <c r="AD213" s="394"/>
      <c r="AE213" s="394"/>
      <c r="AF213" s="394"/>
      <c r="AG213" s="394"/>
      <c r="AH213" s="394"/>
      <c r="AI213" s="394"/>
      <c r="AJ213" s="394"/>
      <c r="AK213" s="385"/>
      <c r="AL213" s="385"/>
      <c r="AM213" s="385"/>
      <c r="AN213" s="475"/>
      <c r="AO213" s="395" t="e">
        <f t="shared" si="110"/>
        <v>#DIV/0!</v>
      </c>
      <c r="AP213" s="395" t="e">
        <f t="shared" si="111"/>
        <v>#DIV/0!</v>
      </c>
      <c r="AQ213" s="528"/>
      <c r="AR213" s="523"/>
      <c r="AS213" s="393"/>
      <c r="AT213" s="394"/>
      <c r="AU213" s="394"/>
      <c r="AV213" s="394"/>
      <c r="AW213" s="394"/>
      <c r="AX213" s="394"/>
      <c r="AY213" s="394"/>
      <c r="AZ213" s="394"/>
      <c r="BA213" s="394"/>
      <c r="BB213" s="394"/>
      <c r="BC213" s="394"/>
      <c r="BD213" s="385"/>
      <c r="BE213" s="385"/>
      <c r="BF213" s="385"/>
      <c r="BG213" s="475"/>
      <c r="BH213" s="395" t="e">
        <f t="shared" si="112"/>
        <v>#DIV/0!</v>
      </c>
      <c r="BI213" s="395" t="e">
        <f t="shared" si="113"/>
        <v>#DIV/0!</v>
      </c>
    </row>
    <row r="214" spans="1:61" s="358" customFormat="1" ht="24.75" customHeight="1" x14ac:dyDescent="0.3">
      <c r="A214" s="354" t="s">
        <v>6309</v>
      </c>
      <c r="B214" s="355" t="s">
        <v>191</v>
      </c>
      <c r="C214" s="587"/>
      <c r="D214" s="356">
        <v>0.4</v>
      </c>
      <c r="E214" s="389">
        <f t="shared" ref="E214:Q214" si="128">SUM(E215:E299)</f>
        <v>3379</v>
      </c>
      <c r="F214" s="389">
        <f t="shared" si="128"/>
        <v>663</v>
      </c>
      <c r="G214" s="389">
        <f t="shared" si="128"/>
        <v>663</v>
      </c>
      <c r="H214" s="390">
        <f t="shared" si="128"/>
        <v>2446.3534000000004</v>
      </c>
      <c r="I214" s="390">
        <f t="shared" si="128"/>
        <v>1731.8480100000004</v>
      </c>
      <c r="J214" s="390">
        <f t="shared" si="128"/>
        <v>422.72962999999999</v>
      </c>
      <c r="K214" s="390">
        <f t="shared" si="128"/>
        <v>1095.0993800000001</v>
      </c>
      <c r="L214" s="390">
        <f t="shared" si="128"/>
        <v>309.21361000000013</v>
      </c>
      <c r="M214" s="390">
        <f t="shared" si="128"/>
        <v>0</v>
      </c>
      <c r="N214" s="390">
        <f t="shared" si="128"/>
        <v>0</v>
      </c>
      <c r="O214" s="390">
        <f t="shared" si="128"/>
        <v>197.73832999999999</v>
      </c>
      <c r="P214" s="390">
        <f t="shared" si="128"/>
        <v>4727.4500000000016</v>
      </c>
      <c r="Q214" s="390">
        <f t="shared" si="128"/>
        <v>447.37690000000009</v>
      </c>
      <c r="R214" s="391"/>
      <c r="S214" s="391"/>
      <c r="T214" s="391"/>
      <c r="U214" s="474"/>
      <c r="V214" s="392">
        <f t="shared" si="126"/>
        <v>723.98739271973966</v>
      </c>
      <c r="W214" s="392">
        <f t="shared" si="127"/>
        <v>3.6898241327300156</v>
      </c>
      <c r="X214" s="389">
        <f t="shared" ref="X214:AJ214" si="129">SUM(X215:X299)</f>
        <v>1783</v>
      </c>
      <c r="Y214" s="389">
        <f t="shared" si="129"/>
        <v>265</v>
      </c>
      <c r="Z214" s="389">
        <f t="shared" si="129"/>
        <v>265</v>
      </c>
      <c r="AA214" s="390">
        <f t="shared" si="129"/>
        <v>1598.5145500000001</v>
      </c>
      <c r="AB214" s="390">
        <f t="shared" si="129"/>
        <v>1149.4370199999998</v>
      </c>
      <c r="AC214" s="390">
        <f t="shared" si="129"/>
        <v>306.80662999999998</v>
      </c>
      <c r="AD214" s="390">
        <f t="shared" si="129"/>
        <v>727.60334999999998</v>
      </c>
      <c r="AE214" s="390">
        <f t="shared" si="129"/>
        <v>207.29446000000002</v>
      </c>
      <c r="AF214" s="390">
        <f t="shared" si="129"/>
        <v>0</v>
      </c>
      <c r="AG214" s="390">
        <f t="shared" si="129"/>
        <v>0</v>
      </c>
      <c r="AH214" s="390">
        <f t="shared" si="129"/>
        <v>117.72190000000001</v>
      </c>
      <c r="AI214" s="390">
        <f t="shared" si="129"/>
        <v>2.5865099999999996</v>
      </c>
      <c r="AJ214" s="390">
        <f t="shared" si="129"/>
        <v>196.06468999999998</v>
      </c>
      <c r="AK214" s="391"/>
      <c r="AL214" s="391"/>
      <c r="AM214" s="391"/>
      <c r="AN214" s="474"/>
      <c r="AO214" s="392">
        <f t="shared" si="110"/>
        <v>896.53087492989346</v>
      </c>
      <c r="AP214" s="392">
        <f t="shared" si="111"/>
        <v>6.0321303773584907</v>
      </c>
      <c r="AQ214" s="389">
        <f t="shared" ref="AQ214:BC214" si="130">SUM(AQ215:AQ299)</f>
        <v>4198</v>
      </c>
      <c r="AR214" s="389">
        <f t="shared" si="130"/>
        <v>572</v>
      </c>
      <c r="AS214" s="389">
        <f t="shared" si="130"/>
        <v>572</v>
      </c>
      <c r="AT214" s="390">
        <f t="shared" si="130"/>
        <v>4022.46344</v>
      </c>
      <c r="AU214" s="390">
        <f t="shared" si="130"/>
        <v>2834.1044089999991</v>
      </c>
      <c r="AV214" s="390">
        <f t="shared" si="130"/>
        <v>843.01346000000024</v>
      </c>
      <c r="AW214" s="390">
        <f t="shared" si="130"/>
        <v>1763.3870800000004</v>
      </c>
      <c r="AX214" s="390">
        <f t="shared" si="130"/>
        <v>484.55809999999991</v>
      </c>
      <c r="AY214" s="390">
        <f t="shared" si="130"/>
        <v>0</v>
      </c>
      <c r="AZ214" s="390">
        <f t="shared" si="130"/>
        <v>0</v>
      </c>
      <c r="BA214" s="390">
        <f t="shared" si="130"/>
        <v>345.38504</v>
      </c>
      <c r="BB214" s="390">
        <f t="shared" si="130"/>
        <v>6.2269899999999971</v>
      </c>
      <c r="BC214" s="390">
        <f t="shared" si="130"/>
        <v>344.29295999999988</v>
      </c>
      <c r="BD214" s="391"/>
      <c r="BE214" s="391"/>
      <c r="BF214" s="391"/>
      <c r="BG214" s="474"/>
      <c r="BH214" s="392">
        <f t="shared" si="112"/>
        <v>958.185669366365</v>
      </c>
      <c r="BI214" s="392">
        <f t="shared" si="113"/>
        <v>7.0322787412587413</v>
      </c>
    </row>
    <row r="215" spans="1:61" s="358" customFormat="1" ht="19.2" x14ac:dyDescent="0.3">
      <c r="A215" s="359" t="s">
        <v>178</v>
      </c>
      <c r="B215" s="537" t="s">
        <v>551</v>
      </c>
      <c r="C215" s="548" t="s">
        <v>415</v>
      </c>
      <c r="D215" s="360">
        <v>0.4</v>
      </c>
      <c r="E215" s="528">
        <v>39</v>
      </c>
      <c r="F215" s="523">
        <v>50</v>
      </c>
      <c r="G215" s="393">
        <v>50</v>
      </c>
      <c r="H215" s="542">
        <v>23.435669999999998</v>
      </c>
      <c r="I215" s="394">
        <v>16.497450000000001</v>
      </c>
      <c r="J215" s="394">
        <v>4.4694000000000003</v>
      </c>
      <c r="K215" s="394">
        <v>9.9433900000000008</v>
      </c>
      <c r="L215" s="394">
        <v>3.1529099999999999</v>
      </c>
      <c r="M215" s="394">
        <v>0</v>
      </c>
      <c r="N215" s="394">
        <v>0</v>
      </c>
      <c r="O215" s="394">
        <v>1.8691800000000001</v>
      </c>
      <c r="P215" s="394">
        <v>114.6</v>
      </c>
      <c r="Q215" s="394">
        <v>9.9433900000000008</v>
      </c>
      <c r="R215" s="381" t="s">
        <v>167</v>
      </c>
      <c r="S215" s="408" t="s">
        <v>175</v>
      </c>
      <c r="T215" s="385"/>
      <c r="U215" s="475">
        <v>83</v>
      </c>
      <c r="V215" s="395">
        <f t="shared" ref="V215:V216" si="131">H215/E215*1000</f>
        <v>600.91461538461533</v>
      </c>
      <c r="W215" s="395">
        <f t="shared" ref="W215:W216" si="132">H215/F215</f>
        <v>0.46871339999999995</v>
      </c>
      <c r="X215" s="528"/>
      <c r="Y215" s="523"/>
      <c r="Z215" s="393"/>
      <c r="AA215" s="542"/>
      <c r="AB215" s="394"/>
      <c r="AC215" s="394"/>
      <c r="AD215" s="394"/>
      <c r="AE215" s="394"/>
      <c r="AF215" s="394"/>
      <c r="AG215" s="394"/>
      <c r="AH215" s="394"/>
      <c r="AI215" s="394"/>
      <c r="AJ215" s="394"/>
      <c r="AK215" s="381"/>
      <c r="AL215" s="408"/>
      <c r="AM215" s="385"/>
      <c r="AN215" s="475"/>
      <c r="AO215" s="395" t="e">
        <f t="shared" si="110"/>
        <v>#DIV/0!</v>
      </c>
      <c r="AP215" s="395" t="e">
        <f t="shared" si="111"/>
        <v>#DIV/0!</v>
      </c>
      <c r="AQ215" s="528"/>
      <c r="AR215" s="523"/>
      <c r="AS215" s="393"/>
      <c r="AT215" s="542"/>
      <c r="AU215" s="394"/>
      <c r="AV215" s="394"/>
      <c r="AW215" s="394"/>
      <c r="AX215" s="394"/>
      <c r="AY215" s="394"/>
      <c r="AZ215" s="394"/>
      <c r="BA215" s="394"/>
      <c r="BB215" s="394"/>
      <c r="BC215" s="394"/>
      <c r="BD215" s="381"/>
      <c r="BE215" s="408"/>
      <c r="BF215" s="385"/>
      <c r="BG215" s="475"/>
      <c r="BH215" s="395" t="e">
        <f t="shared" si="112"/>
        <v>#DIV/0!</v>
      </c>
      <c r="BI215" s="395" t="e">
        <f t="shared" si="113"/>
        <v>#DIV/0!</v>
      </c>
    </row>
    <row r="216" spans="1:61" s="358" customFormat="1" ht="19.2" x14ac:dyDescent="0.3">
      <c r="A216" s="359" t="s">
        <v>182</v>
      </c>
      <c r="B216" s="537" t="s">
        <v>556</v>
      </c>
      <c r="C216" s="548" t="s">
        <v>421</v>
      </c>
      <c r="D216" s="360">
        <v>0.4</v>
      </c>
      <c r="E216" s="528">
        <v>90</v>
      </c>
      <c r="F216" s="523">
        <v>15</v>
      </c>
      <c r="G216" s="393">
        <v>15</v>
      </c>
      <c r="H216" s="542">
        <v>34.85257</v>
      </c>
      <c r="I216" s="394">
        <v>24.47494</v>
      </c>
      <c r="J216" s="394">
        <v>10.314</v>
      </c>
      <c r="K216" s="394">
        <v>9.9433900000000008</v>
      </c>
      <c r="L216" s="394">
        <v>4.6715</v>
      </c>
      <c r="M216" s="394">
        <v>0</v>
      </c>
      <c r="N216" s="394">
        <v>0</v>
      </c>
      <c r="O216" s="394">
        <v>2.8378100000000002</v>
      </c>
      <c r="P216" s="394">
        <v>114.6</v>
      </c>
      <c r="Q216" s="394">
        <v>9.9433900000000008</v>
      </c>
      <c r="R216" s="381" t="s">
        <v>167</v>
      </c>
      <c r="S216" s="408" t="s">
        <v>175</v>
      </c>
      <c r="T216" s="385"/>
      <c r="U216" s="475">
        <v>85</v>
      </c>
      <c r="V216" s="395">
        <f t="shared" si="131"/>
        <v>387.25077777777778</v>
      </c>
      <c r="W216" s="395">
        <f t="shared" si="132"/>
        <v>2.3235046666666666</v>
      </c>
      <c r="X216" s="528"/>
      <c r="Y216" s="523"/>
      <c r="Z216" s="393"/>
      <c r="AA216" s="542"/>
      <c r="AB216" s="394"/>
      <c r="AC216" s="394"/>
      <c r="AD216" s="394"/>
      <c r="AE216" s="394"/>
      <c r="AF216" s="394"/>
      <c r="AG216" s="394"/>
      <c r="AH216" s="394"/>
      <c r="AI216" s="394"/>
      <c r="AJ216" s="394"/>
      <c r="AK216" s="381"/>
      <c r="AL216" s="408"/>
      <c r="AM216" s="385"/>
      <c r="AN216" s="475"/>
      <c r="AO216" s="395" t="e">
        <f t="shared" si="110"/>
        <v>#DIV/0!</v>
      </c>
      <c r="AP216" s="395" t="e">
        <f t="shared" si="111"/>
        <v>#DIV/0!</v>
      </c>
      <c r="AQ216" s="528"/>
      <c r="AR216" s="523"/>
      <c r="AS216" s="393"/>
      <c r="AT216" s="542"/>
      <c r="AU216" s="394"/>
      <c r="AV216" s="394"/>
      <c r="AW216" s="394"/>
      <c r="AX216" s="394"/>
      <c r="AY216" s="394"/>
      <c r="AZ216" s="394"/>
      <c r="BA216" s="394"/>
      <c r="BB216" s="394"/>
      <c r="BC216" s="394"/>
      <c r="BD216" s="381"/>
      <c r="BE216" s="408"/>
      <c r="BF216" s="385"/>
      <c r="BG216" s="475"/>
      <c r="BH216" s="395" t="e">
        <f t="shared" si="112"/>
        <v>#DIV/0!</v>
      </c>
      <c r="BI216" s="395" t="e">
        <f t="shared" si="113"/>
        <v>#DIV/0!</v>
      </c>
    </row>
    <row r="217" spans="1:61" s="358" customFormat="1" ht="19.2" x14ac:dyDescent="0.3">
      <c r="A217" s="359" t="s">
        <v>184</v>
      </c>
      <c r="B217" s="537" t="s">
        <v>557</v>
      </c>
      <c r="C217" s="548" t="s">
        <v>422</v>
      </c>
      <c r="D217" s="360">
        <v>0.4</v>
      </c>
      <c r="E217" s="528">
        <v>118</v>
      </c>
      <c r="F217" s="523">
        <v>15</v>
      </c>
      <c r="G217" s="393">
        <v>15</v>
      </c>
      <c r="H217" s="542">
        <v>86.868600000000001</v>
      </c>
      <c r="I217" s="394">
        <v>61.4923</v>
      </c>
      <c r="J217" s="394">
        <v>13.5228</v>
      </c>
      <c r="K217" s="394">
        <f>19.88678+19.88678</f>
        <v>39.773560000000003</v>
      </c>
      <c r="L217" s="394">
        <v>11.783530000000001</v>
      </c>
      <c r="M217" s="394">
        <v>0</v>
      </c>
      <c r="N217" s="394">
        <v>0</v>
      </c>
      <c r="O217" s="394">
        <v>6.7334399999999999</v>
      </c>
      <c r="P217" s="394">
        <v>114.6</v>
      </c>
      <c r="Q217" s="394">
        <v>9.9433900000000008</v>
      </c>
      <c r="R217" s="381" t="s">
        <v>167</v>
      </c>
      <c r="S217" s="408" t="s">
        <v>175</v>
      </c>
      <c r="T217" s="385"/>
      <c r="U217" s="475">
        <v>87</v>
      </c>
      <c r="V217" s="395">
        <f t="shared" ref="V217:V221" si="133">H217/E217*1000</f>
        <v>736.17457627118642</v>
      </c>
      <c r="W217" s="395">
        <f t="shared" ref="W217:W221" si="134">H217/F217</f>
        <v>5.7912400000000002</v>
      </c>
      <c r="X217" s="528"/>
      <c r="Y217" s="523"/>
      <c r="Z217" s="393"/>
      <c r="AA217" s="542"/>
      <c r="AB217" s="394"/>
      <c r="AC217" s="394"/>
      <c r="AD217" s="394"/>
      <c r="AE217" s="394"/>
      <c r="AF217" s="394"/>
      <c r="AG217" s="394"/>
      <c r="AH217" s="394"/>
      <c r="AI217" s="394"/>
      <c r="AJ217" s="394"/>
      <c r="AK217" s="381"/>
      <c r="AL217" s="408"/>
      <c r="AM217" s="385"/>
      <c r="AN217" s="475"/>
      <c r="AO217" s="395" t="e">
        <f t="shared" si="110"/>
        <v>#DIV/0!</v>
      </c>
      <c r="AP217" s="395" t="e">
        <f t="shared" si="111"/>
        <v>#DIV/0!</v>
      </c>
      <c r="AQ217" s="528"/>
      <c r="AR217" s="523"/>
      <c r="AS217" s="393"/>
      <c r="AT217" s="542"/>
      <c r="AU217" s="394"/>
      <c r="AV217" s="394"/>
      <c r="AW217" s="394"/>
      <c r="AX217" s="394"/>
      <c r="AY217" s="394"/>
      <c r="AZ217" s="394"/>
      <c r="BA217" s="394"/>
      <c r="BB217" s="394"/>
      <c r="BC217" s="394"/>
      <c r="BD217" s="381"/>
      <c r="BE217" s="408"/>
      <c r="BF217" s="385"/>
      <c r="BG217" s="475"/>
      <c r="BH217" s="395" t="e">
        <f t="shared" si="112"/>
        <v>#DIV/0!</v>
      </c>
      <c r="BI217" s="395" t="e">
        <f t="shared" si="113"/>
        <v>#DIV/0!</v>
      </c>
    </row>
    <row r="218" spans="1:61" s="358" customFormat="1" ht="19.2" x14ac:dyDescent="0.3">
      <c r="A218" s="359" t="s">
        <v>186</v>
      </c>
      <c r="B218" s="537" t="s">
        <v>561</v>
      </c>
      <c r="C218" s="548" t="s">
        <v>426</v>
      </c>
      <c r="D218" s="360">
        <v>0.4</v>
      </c>
      <c r="E218" s="528">
        <v>350</v>
      </c>
      <c r="F218" s="523">
        <v>40</v>
      </c>
      <c r="G218" s="393">
        <v>40</v>
      </c>
      <c r="H218" s="542">
        <v>87.133769999999998</v>
      </c>
      <c r="I218" s="394">
        <v>60.026449999999997</v>
      </c>
      <c r="J218" s="394">
        <v>40.11</v>
      </c>
      <c r="K218" s="394">
        <v>11.57531</v>
      </c>
      <c r="L218" s="394">
        <v>11.51929</v>
      </c>
      <c r="M218" s="394">
        <v>0</v>
      </c>
      <c r="N218" s="394">
        <v>0</v>
      </c>
      <c r="O218" s="394">
        <v>7.6565599999999998</v>
      </c>
      <c r="P218" s="394">
        <v>114.6</v>
      </c>
      <c r="Q218" s="394">
        <v>11.57531</v>
      </c>
      <c r="R218" s="381" t="s">
        <v>167</v>
      </c>
      <c r="S218" s="408" t="s">
        <v>175</v>
      </c>
      <c r="T218" s="385"/>
      <c r="U218" s="475">
        <v>89</v>
      </c>
      <c r="V218" s="395">
        <f t="shared" si="133"/>
        <v>248.95362857142857</v>
      </c>
      <c r="W218" s="395">
        <f t="shared" si="134"/>
        <v>2.1783442499999999</v>
      </c>
      <c r="X218" s="528"/>
      <c r="Y218" s="523"/>
      <c r="Z218" s="393"/>
      <c r="AA218" s="542"/>
      <c r="AB218" s="394"/>
      <c r="AC218" s="394"/>
      <c r="AD218" s="394"/>
      <c r="AE218" s="394"/>
      <c r="AF218" s="394"/>
      <c r="AG218" s="394"/>
      <c r="AH218" s="394"/>
      <c r="AI218" s="394"/>
      <c r="AJ218" s="394"/>
      <c r="AK218" s="381"/>
      <c r="AL218" s="408"/>
      <c r="AM218" s="385"/>
      <c r="AN218" s="475"/>
      <c r="AO218" s="395" t="e">
        <f t="shared" si="110"/>
        <v>#DIV/0!</v>
      </c>
      <c r="AP218" s="395" t="e">
        <f t="shared" si="111"/>
        <v>#DIV/0!</v>
      </c>
      <c r="AQ218" s="528"/>
      <c r="AR218" s="523"/>
      <c r="AS218" s="393"/>
      <c r="AT218" s="542"/>
      <c r="AU218" s="394"/>
      <c r="AV218" s="394"/>
      <c r="AW218" s="394"/>
      <c r="AX218" s="394"/>
      <c r="AY218" s="394"/>
      <c r="AZ218" s="394"/>
      <c r="BA218" s="394"/>
      <c r="BB218" s="394"/>
      <c r="BC218" s="394"/>
      <c r="BD218" s="381"/>
      <c r="BE218" s="408"/>
      <c r="BF218" s="385"/>
      <c r="BG218" s="475"/>
      <c r="BH218" s="395" t="e">
        <f t="shared" si="112"/>
        <v>#DIV/0!</v>
      </c>
      <c r="BI218" s="395" t="e">
        <f t="shared" si="113"/>
        <v>#DIV/0!</v>
      </c>
    </row>
    <row r="219" spans="1:61" s="358" customFormat="1" ht="19.2" x14ac:dyDescent="0.3">
      <c r="A219" s="359" t="s">
        <v>189</v>
      </c>
      <c r="B219" s="537" t="s">
        <v>563</v>
      </c>
      <c r="C219" s="548" t="s">
        <v>428</v>
      </c>
      <c r="D219" s="360">
        <v>0.4</v>
      </c>
      <c r="E219" s="528">
        <v>42</v>
      </c>
      <c r="F219" s="523">
        <v>15</v>
      </c>
      <c r="G219" s="393">
        <v>15</v>
      </c>
      <c r="H219" s="542">
        <v>25.39705</v>
      </c>
      <c r="I219" s="394">
        <v>18.256489999999999</v>
      </c>
      <c r="J219" s="394">
        <v>4.8132000000000001</v>
      </c>
      <c r="K219" s="394">
        <v>11.34398</v>
      </c>
      <c r="L219" s="394">
        <v>3.2422399999999998</v>
      </c>
      <c r="M219" s="394">
        <v>0</v>
      </c>
      <c r="N219" s="394">
        <v>0</v>
      </c>
      <c r="O219" s="394">
        <v>1.9261699999999999</v>
      </c>
      <c r="P219" s="394">
        <v>114.6</v>
      </c>
      <c r="Q219" s="394">
        <v>11.34398</v>
      </c>
      <c r="R219" s="381" t="s">
        <v>167</v>
      </c>
      <c r="S219" s="408" t="s">
        <v>175</v>
      </c>
      <c r="T219" s="385"/>
      <c r="U219" s="475">
        <v>91</v>
      </c>
      <c r="V219" s="395">
        <f t="shared" si="133"/>
        <v>604.69166666666661</v>
      </c>
      <c r="W219" s="395">
        <f t="shared" si="134"/>
        <v>1.6931366666666667</v>
      </c>
      <c r="X219" s="528"/>
      <c r="Y219" s="523"/>
      <c r="Z219" s="393"/>
      <c r="AA219" s="542"/>
      <c r="AB219" s="394"/>
      <c r="AC219" s="394"/>
      <c r="AD219" s="394"/>
      <c r="AE219" s="394"/>
      <c r="AF219" s="394"/>
      <c r="AG219" s="394"/>
      <c r="AH219" s="394"/>
      <c r="AI219" s="394"/>
      <c r="AJ219" s="394"/>
      <c r="AK219" s="381"/>
      <c r="AL219" s="408"/>
      <c r="AM219" s="385"/>
      <c r="AN219" s="475"/>
      <c r="AO219" s="395" t="e">
        <f t="shared" si="110"/>
        <v>#DIV/0!</v>
      </c>
      <c r="AP219" s="395" t="e">
        <f t="shared" si="111"/>
        <v>#DIV/0!</v>
      </c>
      <c r="AQ219" s="528"/>
      <c r="AR219" s="523"/>
      <c r="AS219" s="393"/>
      <c r="AT219" s="542"/>
      <c r="AU219" s="394"/>
      <c r="AV219" s="394"/>
      <c r="AW219" s="394"/>
      <c r="AX219" s="394"/>
      <c r="AY219" s="394"/>
      <c r="AZ219" s="394"/>
      <c r="BA219" s="394"/>
      <c r="BB219" s="394"/>
      <c r="BC219" s="394"/>
      <c r="BD219" s="381"/>
      <c r="BE219" s="408"/>
      <c r="BF219" s="385"/>
      <c r="BG219" s="475"/>
      <c r="BH219" s="395" t="e">
        <f t="shared" si="112"/>
        <v>#DIV/0!</v>
      </c>
      <c r="BI219" s="395" t="e">
        <f t="shared" si="113"/>
        <v>#DIV/0!</v>
      </c>
    </row>
    <row r="220" spans="1:61" s="358" customFormat="1" ht="19.2" x14ac:dyDescent="0.3">
      <c r="A220" s="359" t="s">
        <v>267</v>
      </c>
      <c r="B220" s="537" t="s">
        <v>564</v>
      </c>
      <c r="C220" s="548" t="s">
        <v>429</v>
      </c>
      <c r="D220" s="360">
        <v>0.4</v>
      </c>
      <c r="E220" s="528">
        <v>35</v>
      </c>
      <c r="F220" s="523">
        <v>15</v>
      </c>
      <c r="G220" s="393">
        <v>15</v>
      </c>
      <c r="H220" s="542">
        <v>22.062940000000001</v>
      </c>
      <c r="I220" s="394">
        <v>15.52261</v>
      </c>
      <c r="J220" s="394">
        <v>4.0110000000000001</v>
      </c>
      <c r="K220" s="394">
        <v>9.9433900000000008</v>
      </c>
      <c r="L220" s="394">
        <v>2.9811999999999999</v>
      </c>
      <c r="M220" s="394">
        <v>0</v>
      </c>
      <c r="N220" s="394">
        <v>0</v>
      </c>
      <c r="O220" s="394">
        <v>1.7584200000000001</v>
      </c>
      <c r="P220" s="394">
        <v>114.6</v>
      </c>
      <c r="Q220" s="394">
        <v>9.9433900000000008</v>
      </c>
      <c r="R220" s="381" t="s">
        <v>167</v>
      </c>
      <c r="S220" s="408" t="s">
        <v>175</v>
      </c>
      <c r="T220" s="385"/>
      <c r="U220" s="475">
        <v>93</v>
      </c>
      <c r="V220" s="395">
        <f t="shared" si="133"/>
        <v>630.36971428571428</v>
      </c>
      <c r="W220" s="395">
        <f t="shared" si="134"/>
        <v>1.4708626666666667</v>
      </c>
      <c r="X220" s="528"/>
      <c r="Y220" s="523"/>
      <c r="Z220" s="393"/>
      <c r="AA220" s="542"/>
      <c r="AB220" s="394"/>
      <c r="AC220" s="394"/>
      <c r="AD220" s="394"/>
      <c r="AE220" s="394"/>
      <c r="AF220" s="394"/>
      <c r="AG220" s="394"/>
      <c r="AH220" s="394"/>
      <c r="AI220" s="394"/>
      <c r="AJ220" s="394"/>
      <c r="AK220" s="381"/>
      <c r="AL220" s="408"/>
      <c r="AM220" s="385"/>
      <c r="AN220" s="475"/>
      <c r="AO220" s="395" t="e">
        <f t="shared" si="110"/>
        <v>#DIV/0!</v>
      </c>
      <c r="AP220" s="395" t="e">
        <f t="shared" si="111"/>
        <v>#DIV/0!</v>
      </c>
      <c r="AQ220" s="528"/>
      <c r="AR220" s="523"/>
      <c r="AS220" s="393"/>
      <c r="AT220" s="542"/>
      <c r="AU220" s="394"/>
      <c r="AV220" s="394"/>
      <c r="AW220" s="394"/>
      <c r="AX220" s="394"/>
      <c r="AY220" s="394"/>
      <c r="AZ220" s="394"/>
      <c r="BA220" s="394"/>
      <c r="BB220" s="394"/>
      <c r="BC220" s="394"/>
      <c r="BD220" s="381"/>
      <c r="BE220" s="408"/>
      <c r="BF220" s="385"/>
      <c r="BG220" s="475"/>
      <c r="BH220" s="395" t="e">
        <f t="shared" si="112"/>
        <v>#DIV/0!</v>
      </c>
      <c r="BI220" s="395" t="e">
        <f t="shared" si="113"/>
        <v>#DIV/0!</v>
      </c>
    </row>
    <row r="221" spans="1:61" s="358" customFormat="1" ht="19.2" x14ac:dyDescent="0.3">
      <c r="A221" s="359" t="s">
        <v>268</v>
      </c>
      <c r="B221" s="537" t="s">
        <v>565</v>
      </c>
      <c r="C221" s="548" t="s">
        <v>430</v>
      </c>
      <c r="D221" s="360">
        <v>0.4</v>
      </c>
      <c r="E221" s="528">
        <v>32</v>
      </c>
      <c r="F221" s="523">
        <v>15</v>
      </c>
      <c r="G221" s="393">
        <v>15</v>
      </c>
      <c r="H221" s="542">
        <v>22.756</v>
      </c>
      <c r="I221" s="394">
        <v>16.289850000000001</v>
      </c>
      <c r="J221" s="394">
        <v>3.6671999999999998</v>
      </c>
      <c r="K221" s="394">
        <v>9.9433900000000008</v>
      </c>
      <c r="L221" s="394">
        <v>2.9444699999999999</v>
      </c>
      <c r="M221" s="394">
        <v>0</v>
      </c>
      <c r="N221" s="394">
        <v>0</v>
      </c>
      <c r="O221" s="394">
        <v>1.73624</v>
      </c>
      <c r="P221" s="394">
        <v>114.6</v>
      </c>
      <c r="Q221" s="394">
        <v>9.9433900000000008</v>
      </c>
      <c r="R221" s="381" t="s">
        <v>167</v>
      </c>
      <c r="S221" s="408" t="s">
        <v>175</v>
      </c>
      <c r="T221" s="385"/>
      <c r="U221" s="475">
        <v>95</v>
      </c>
      <c r="V221" s="395">
        <f t="shared" si="133"/>
        <v>711.125</v>
      </c>
      <c r="W221" s="395">
        <f t="shared" si="134"/>
        <v>1.5170666666666668</v>
      </c>
      <c r="X221" s="528"/>
      <c r="Y221" s="523"/>
      <c r="Z221" s="393"/>
      <c r="AA221" s="542"/>
      <c r="AB221" s="394"/>
      <c r="AC221" s="394"/>
      <c r="AD221" s="394"/>
      <c r="AE221" s="394"/>
      <c r="AF221" s="394"/>
      <c r="AG221" s="394"/>
      <c r="AH221" s="394"/>
      <c r="AI221" s="394"/>
      <c r="AJ221" s="394"/>
      <c r="AK221" s="381"/>
      <c r="AL221" s="408"/>
      <c r="AM221" s="385"/>
      <c r="AN221" s="475"/>
      <c r="AO221" s="395" t="e">
        <f t="shared" si="110"/>
        <v>#DIV/0!</v>
      </c>
      <c r="AP221" s="395" t="e">
        <f t="shared" si="111"/>
        <v>#DIV/0!</v>
      </c>
      <c r="AQ221" s="528"/>
      <c r="AR221" s="523"/>
      <c r="AS221" s="393"/>
      <c r="AT221" s="542"/>
      <c r="AU221" s="394"/>
      <c r="AV221" s="394"/>
      <c r="AW221" s="394"/>
      <c r="AX221" s="394"/>
      <c r="AY221" s="394"/>
      <c r="AZ221" s="394"/>
      <c r="BA221" s="394"/>
      <c r="BB221" s="394"/>
      <c r="BC221" s="394"/>
      <c r="BD221" s="381"/>
      <c r="BE221" s="408"/>
      <c r="BF221" s="385"/>
      <c r="BG221" s="475"/>
      <c r="BH221" s="395" t="e">
        <f t="shared" si="112"/>
        <v>#DIV/0!</v>
      </c>
      <c r="BI221" s="395" t="e">
        <f t="shared" si="113"/>
        <v>#DIV/0!</v>
      </c>
    </row>
    <row r="222" spans="1:61" s="358" customFormat="1" ht="19.2" x14ac:dyDescent="0.3">
      <c r="A222" s="359" t="s">
        <v>269</v>
      </c>
      <c r="B222" s="537" t="s">
        <v>567</v>
      </c>
      <c r="C222" s="548" t="s">
        <v>432</v>
      </c>
      <c r="D222" s="360">
        <v>0.4</v>
      </c>
      <c r="E222" s="528">
        <v>50</v>
      </c>
      <c r="F222" s="523">
        <v>15</v>
      </c>
      <c r="G222" s="393">
        <v>15</v>
      </c>
      <c r="H222" s="542">
        <v>25.361519999999999</v>
      </c>
      <c r="I222" s="394">
        <v>17.80958</v>
      </c>
      <c r="J222" s="394">
        <v>5.73</v>
      </c>
      <c r="K222" s="394">
        <v>9.9433900000000008</v>
      </c>
      <c r="L222" s="394">
        <v>3.4278499999999998</v>
      </c>
      <c r="M222" s="394">
        <v>0</v>
      </c>
      <c r="N222" s="394">
        <v>0</v>
      </c>
      <c r="O222" s="394">
        <v>2.04332</v>
      </c>
      <c r="P222" s="394">
        <v>114.6</v>
      </c>
      <c r="Q222" s="394">
        <v>9.9433900000000008</v>
      </c>
      <c r="R222" s="381" t="s">
        <v>167</v>
      </c>
      <c r="S222" s="408" t="s">
        <v>175</v>
      </c>
      <c r="T222" s="385"/>
      <c r="U222" s="475">
        <v>97</v>
      </c>
      <c r="V222" s="395">
        <f t="shared" ref="V222:V226" si="135">H222/E222*1000</f>
        <v>507.23039999999997</v>
      </c>
      <c r="W222" s="395">
        <f t="shared" ref="W222:W226" si="136">H222/F222</f>
        <v>1.6907679999999998</v>
      </c>
      <c r="X222" s="528"/>
      <c r="Y222" s="523"/>
      <c r="Z222" s="393"/>
      <c r="AA222" s="542"/>
      <c r="AB222" s="394"/>
      <c r="AC222" s="394"/>
      <c r="AD222" s="394"/>
      <c r="AE222" s="394"/>
      <c r="AF222" s="394"/>
      <c r="AG222" s="394"/>
      <c r="AH222" s="394"/>
      <c r="AI222" s="394"/>
      <c r="AJ222" s="394"/>
      <c r="AK222" s="381"/>
      <c r="AL222" s="408"/>
      <c r="AM222" s="385"/>
      <c r="AN222" s="475"/>
      <c r="AO222" s="395" t="e">
        <f t="shared" si="110"/>
        <v>#DIV/0!</v>
      </c>
      <c r="AP222" s="395" t="e">
        <f t="shared" si="111"/>
        <v>#DIV/0!</v>
      </c>
      <c r="AQ222" s="528"/>
      <c r="AR222" s="523"/>
      <c r="AS222" s="393"/>
      <c r="AT222" s="542"/>
      <c r="AU222" s="394"/>
      <c r="AV222" s="394"/>
      <c r="AW222" s="394"/>
      <c r="AX222" s="394"/>
      <c r="AY222" s="394"/>
      <c r="AZ222" s="394"/>
      <c r="BA222" s="394"/>
      <c r="BB222" s="394"/>
      <c r="BC222" s="394"/>
      <c r="BD222" s="381"/>
      <c r="BE222" s="408"/>
      <c r="BF222" s="385"/>
      <c r="BG222" s="475"/>
      <c r="BH222" s="395" t="e">
        <f t="shared" si="112"/>
        <v>#DIV/0!</v>
      </c>
      <c r="BI222" s="395" t="e">
        <f t="shared" si="113"/>
        <v>#DIV/0!</v>
      </c>
    </row>
    <row r="223" spans="1:61" s="358" customFormat="1" ht="19.2" x14ac:dyDescent="0.3">
      <c r="A223" s="359" t="s">
        <v>270</v>
      </c>
      <c r="B223" s="537" t="s">
        <v>570</v>
      </c>
      <c r="C223" s="548" t="s">
        <v>439</v>
      </c>
      <c r="D223" s="360">
        <v>0.4</v>
      </c>
      <c r="E223" s="528">
        <v>140</v>
      </c>
      <c r="F223" s="523">
        <v>15</v>
      </c>
      <c r="G223" s="393">
        <v>15</v>
      </c>
      <c r="H223" s="542">
        <v>98.937740000000005</v>
      </c>
      <c r="I223" s="394">
        <v>69.941869999999994</v>
      </c>
      <c r="J223" s="394">
        <v>16.044</v>
      </c>
      <c r="K223" s="394">
        <f>23.666+23.666</f>
        <v>47.332000000000001</v>
      </c>
      <c r="L223" s="394">
        <v>12.85238</v>
      </c>
      <c r="M223" s="394">
        <v>0</v>
      </c>
      <c r="N223" s="394">
        <v>0</v>
      </c>
      <c r="O223" s="394">
        <v>8.0052500000000002</v>
      </c>
      <c r="P223" s="394">
        <v>114.6</v>
      </c>
      <c r="Q223" s="394">
        <v>11.833</v>
      </c>
      <c r="R223" s="381" t="s">
        <v>167</v>
      </c>
      <c r="S223" s="408" t="s">
        <v>175</v>
      </c>
      <c r="T223" s="385"/>
      <c r="U223" s="475">
        <v>99</v>
      </c>
      <c r="V223" s="395">
        <f t="shared" si="135"/>
        <v>706.6981428571429</v>
      </c>
      <c r="W223" s="395">
        <f t="shared" si="136"/>
        <v>6.5958493333333337</v>
      </c>
      <c r="X223" s="528"/>
      <c r="Y223" s="523"/>
      <c r="Z223" s="393"/>
      <c r="AA223" s="542"/>
      <c r="AB223" s="394"/>
      <c r="AC223" s="394"/>
      <c r="AD223" s="394"/>
      <c r="AE223" s="394"/>
      <c r="AF223" s="394"/>
      <c r="AG223" s="394"/>
      <c r="AH223" s="394"/>
      <c r="AI223" s="394"/>
      <c r="AJ223" s="394"/>
      <c r="AK223" s="381"/>
      <c r="AL223" s="408"/>
      <c r="AM223" s="385"/>
      <c r="AN223" s="475"/>
      <c r="AO223" s="395" t="e">
        <f t="shared" si="110"/>
        <v>#DIV/0!</v>
      </c>
      <c r="AP223" s="395" t="e">
        <f t="shared" si="111"/>
        <v>#DIV/0!</v>
      </c>
      <c r="AQ223" s="528"/>
      <c r="AR223" s="523"/>
      <c r="AS223" s="393"/>
      <c r="AT223" s="542"/>
      <c r="AU223" s="394"/>
      <c r="AV223" s="394"/>
      <c r="AW223" s="394"/>
      <c r="AX223" s="394"/>
      <c r="AY223" s="394"/>
      <c r="AZ223" s="394"/>
      <c r="BA223" s="394"/>
      <c r="BB223" s="394"/>
      <c r="BC223" s="394"/>
      <c r="BD223" s="381"/>
      <c r="BE223" s="408"/>
      <c r="BF223" s="385"/>
      <c r="BG223" s="475"/>
      <c r="BH223" s="395" t="e">
        <f t="shared" si="112"/>
        <v>#DIV/0!</v>
      </c>
      <c r="BI223" s="395" t="e">
        <f t="shared" si="113"/>
        <v>#DIV/0!</v>
      </c>
    </row>
    <row r="224" spans="1:61" s="358" customFormat="1" ht="19.2" x14ac:dyDescent="0.3">
      <c r="A224" s="359" t="s">
        <v>271</v>
      </c>
      <c r="B224" s="537" t="s">
        <v>571</v>
      </c>
      <c r="C224" s="548" t="s">
        <v>440</v>
      </c>
      <c r="D224" s="360">
        <v>0.4</v>
      </c>
      <c r="E224" s="528">
        <v>148</v>
      </c>
      <c r="F224" s="523">
        <v>15</v>
      </c>
      <c r="G224" s="393">
        <v>15</v>
      </c>
      <c r="H224" s="542">
        <v>116.07789</v>
      </c>
      <c r="I224" s="394">
        <v>81.736239999999995</v>
      </c>
      <c r="J224" s="394">
        <v>16.960799999999999</v>
      </c>
      <c r="K224" s="394">
        <f>11.833+47.332</f>
        <v>59.164999999999999</v>
      </c>
      <c r="L224" s="394">
        <v>15.39908</v>
      </c>
      <c r="M224" s="394">
        <v>0</v>
      </c>
      <c r="N224" s="394">
        <v>0</v>
      </c>
      <c r="O224" s="394">
        <v>9.4144199999999998</v>
      </c>
      <c r="P224" s="394">
        <v>114.6</v>
      </c>
      <c r="Q224" s="394">
        <v>11.833</v>
      </c>
      <c r="R224" s="381" t="s">
        <v>167</v>
      </c>
      <c r="S224" s="408" t="s">
        <v>175</v>
      </c>
      <c r="T224" s="385"/>
      <c r="U224" s="475">
        <v>101</v>
      </c>
      <c r="V224" s="395">
        <f t="shared" si="135"/>
        <v>784.31006756756744</v>
      </c>
      <c r="W224" s="395">
        <f t="shared" si="136"/>
        <v>7.7385259999999993</v>
      </c>
      <c r="X224" s="528"/>
      <c r="Y224" s="523"/>
      <c r="Z224" s="393"/>
      <c r="AA224" s="542"/>
      <c r="AB224" s="394"/>
      <c r="AC224" s="394"/>
      <c r="AD224" s="394"/>
      <c r="AE224" s="394"/>
      <c r="AF224" s="394"/>
      <c r="AG224" s="394"/>
      <c r="AH224" s="394"/>
      <c r="AI224" s="394"/>
      <c r="AJ224" s="394"/>
      <c r="AK224" s="381"/>
      <c r="AL224" s="408"/>
      <c r="AM224" s="385"/>
      <c r="AN224" s="475"/>
      <c r="AO224" s="395" t="e">
        <f t="shared" si="110"/>
        <v>#DIV/0!</v>
      </c>
      <c r="AP224" s="395" t="e">
        <f t="shared" si="111"/>
        <v>#DIV/0!</v>
      </c>
      <c r="AQ224" s="528"/>
      <c r="AR224" s="523"/>
      <c r="AS224" s="393"/>
      <c r="AT224" s="542"/>
      <c r="AU224" s="394"/>
      <c r="AV224" s="394"/>
      <c r="AW224" s="394"/>
      <c r="AX224" s="394"/>
      <c r="AY224" s="394"/>
      <c r="AZ224" s="394"/>
      <c r="BA224" s="394"/>
      <c r="BB224" s="394"/>
      <c r="BC224" s="394"/>
      <c r="BD224" s="381"/>
      <c r="BE224" s="408"/>
      <c r="BF224" s="385"/>
      <c r="BG224" s="475"/>
      <c r="BH224" s="395" t="e">
        <f t="shared" si="112"/>
        <v>#DIV/0!</v>
      </c>
      <c r="BI224" s="395" t="e">
        <f t="shared" si="113"/>
        <v>#DIV/0!</v>
      </c>
    </row>
    <row r="225" spans="1:61" s="358" customFormat="1" ht="19.2" x14ac:dyDescent="0.3">
      <c r="A225" s="359" t="s">
        <v>272</v>
      </c>
      <c r="B225" s="537" t="s">
        <v>582</v>
      </c>
      <c r="C225" s="548" t="s">
        <v>452</v>
      </c>
      <c r="D225" s="360">
        <v>0.4</v>
      </c>
      <c r="E225" s="528">
        <v>93</v>
      </c>
      <c r="F225" s="523">
        <v>15</v>
      </c>
      <c r="G225" s="393">
        <v>15</v>
      </c>
      <c r="H225" s="542">
        <v>70.380930000000006</v>
      </c>
      <c r="I225" s="394">
        <v>49.477739999999997</v>
      </c>
      <c r="J225" s="394">
        <v>10.6578</v>
      </c>
      <c r="K225" s="394">
        <v>23.666</v>
      </c>
      <c r="L225" s="394">
        <v>7.0594099999999997</v>
      </c>
      <c r="M225" s="394">
        <v>0</v>
      </c>
      <c r="N225" s="394">
        <v>0</v>
      </c>
      <c r="O225" s="394">
        <v>6.2263200000000003</v>
      </c>
      <c r="P225" s="394">
        <v>114.6</v>
      </c>
      <c r="Q225" s="394">
        <v>11.833</v>
      </c>
      <c r="R225" s="381" t="s">
        <v>167</v>
      </c>
      <c r="S225" s="408" t="s">
        <v>175</v>
      </c>
      <c r="T225" s="385"/>
      <c r="U225" s="475">
        <v>103</v>
      </c>
      <c r="V225" s="395">
        <f t="shared" si="135"/>
        <v>756.78419354838718</v>
      </c>
      <c r="W225" s="395">
        <f t="shared" si="136"/>
        <v>4.6920620000000008</v>
      </c>
      <c r="X225" s="528"/>
      <c r="Y225" s="523"/>
      <c r="Z225" s="393"/>
      <c r="AA225" s="542"/>
      <c r="AB225" s="394"/>
      <c r="AC225" s="394"/>
      <c r="AD225" s="394"/>
      <c r="AE225" s="394"/>
      <c r="AF225" s="394"/>
      <c r="AG225" s="394"/>
      <c r="AH225" s="394"/>
      <c r="AI225" s="394"/>
      <c r="AJ225" s="394"/>
      <c r="AK225" s="381"/>
      <c r="AL225" s="408"/>
      <c r="AM225" s="385"/>
      <c r="AN225" s="475"/>
      <c r="AO225" s="395" t="e">
        <f t="shared" si="110"/>
        <v>#DIV/0!</v>
      </c>
      <c r="AP225" s="395" t="e">
        <f t="shared" si="111"/>
        <v>#DIV/0!</v>
      </c>
      <c r="AQ225" s="528"/>
      <c r="AR225" s="523"/>
      <c r="AS225" s="393"/>
      <c r="AT225" s="542"/>
      <c r="AU225" s="394"/>
      <c r="AV225" s="394"/>
      <c r="AW225" s="394"/>
      <c r="AX225" s="394"/>
      <c r="AY225" s="394"/>
      <c r="AZ225" s="394"/>
      <c r="BA225" s="394"/>
      <c r="BB225" s="394"/>
      <c r="BC225" s="394"/>
      <c r="BD225" s="381"/>
      <c r="BE225" s="408"/>
      <c r="BF225" s="385"/>
      <c r="BG225" s="475"/>
      <c r="BH225" s="395" t="e">
        <f t="shared" si="112"/>
        <v>#DIV/0!</v>
      </c>
      <c r="BI225" s="395" t="e">
        <f t="shared" si="113"/>
        <v>#DIV/0!</v>
      </c>
    </row>
    <row r="226" spans="1:61" s="358" customFormat="1" ht="19.2" x14ac:dyDescent="0.3">
      <c r="A226" s="359" t="s">
        <v>273</v>
      </c>
      <c r="B226" s="537" t="s">
        <v>295</v>
      </c>
      <c r="C226" s="548" t="s">
        <v>456</v>
      </c>
      <c r="D226" s="360">
        <v>0.4</v>
      </c>
      <c r="E226" s="528">
        <v>40</v>
      </c>
      <c r="F226" s="523">
        <v>40</v>
      </c>
      <c r="G226" s="393">
        <v>40</v>
      </c>
      <c r="H226" s="542">
        <v>28.241980000000002</v>
      </c>
      <c r="I226" s="394">
        <v>20.65776</v>
      </c>
      <c r="J226" s="394">
        <v>5.3635999999999999</v>
      </c>
      <c r="K226" s="394">
        <v>11.92051</v>
      </c>
      <c r="L226" s="394">
        <v>3.3047200000000001</v>
      </c>
      <c r="M226" s="394">
        <v>0</v>
      </c>
      <c r="N226" s="394">
        <v>0</v>
      </c>
      <c r="O226" s="394">
        <v>2.1136499999999998</v>
      </c>
      <c r="P226" s="394">
        <v>134.09</v>
      </c>
      <c r="Q226" s="394">
        <v>11.92051</v>
      </c>
      <c r="R226" s="381" t="s">
        <v>167</v>
      </c>
      <c r="S226" s="408" t="s">
        <v>175</v>
      </c>
      <c r="T226" s="385"/>
      <c r="U226" s="475">
        <v>105</v>
      </c>
      <c r="V226" s="395">
        <f t="shared" si="135"/>
        <v>706.04949999999997</v>
      </c>
      <c r="W226" s="395">
        <f t="shared" si="136"/>
        <v>0.7060495</v>
      </c>
      <c r="X226" s="528"/>
      <c r="Y226" s="523"/>
      <c r="Z226" s="393"/>
      <c r="AA226" s="542"/>
      <c r="AB226" s="394"/>
      <c r="AC226" s="394"/>
      <c r="AD226" s="394"/>
      <c r="AE226" s="394"/>
      <c r="AF226" s="394"/>
      <c r="AG226" s="394"/>
      <c r="AH226" s="394"/>
      <c r="AI226" s="394"/>
      <c r="AJ226" s="394"/>
      <c r="AK226" s="381"/>
      <c r="AL226" s="408"/>
      <c r="AM226" s="385"/>
      <c r="AN226" s="475"/>
      <c r="AO226" s="395" t="e">
        <f t="shared" si="110"/>
        <v>#DIV/0!</v>
      </c>
      <c r="AP226" s="395" t="e">
        <f t="shared" si="111"/>
        <v>#DIV/0!</v>
      </c>
      <c r="AQ226" s="528"/>
      <c r="AR226" s="523"/>
      <c r="AS226" s="393"/>
      <c r="AT226" s="542"/>
      <c r="AU226" s="394"/>
      <c r="AV226" s="394"/>
      <c r="AW226" s="394"/>
      <c r="AX226" s="394"/>
      <c r="AY226" s="394"/>
      <c r="AZ226" s="394"/>
      <c r="BA226" s="394"/>
      <c r="BB226" s="394"/>
      <c r="BC226" s="394"/>
      <c r="BD226" s="381"/>
      <c r="BE226" s="408"/>
      <c r="BF226" s="385"/>
      <c r="BG226" s="475"/>
      <c r="BH226" s="395" t="e">
        <f t="shared" si="112"/>
        <v>#DIV/0!</v>
      </c>
      <c r="BI226" s="395" t="e">
        <f t="shared" si="113"/>
        <v>#DIV/0!</v>
      </c>
    </row>
    <row r="227" spans="1:61" s="358" customFormat="1" ht="19.2" x14ac:dyDescent="0.3">
      <c r="A227" s="359" t="s">
        <v>274</v>
      </c>
      <c r="B227" s="537" t="s">
        <v>587</v>
      </c>
      <c r="C227" s="548" t="s">
        <v>459</v>
      </c>
      <c r="D227" s="360">
        <v>0.4</v>
      </c>
      <c r="E227" s="528">
        <v>70</v>
      </c>
      <c r="F227" s="523">
        <v>15</v>
      </c>
      <c r="G227" s="393">
        <v>15</v>
      </c>
      <c r="H227" s="542">
        <v>85.195719999999994</v>
      </c>
      <c r="I227" s="394">
        <v>61.435000000000002</v>
      </c>
      <c r="J227" s="394">
        <v>9.3863000000000003</v>
      </c>
      <c r="K227" s="394">
        <f>23.84102+23.84102</f>
        <v>47.682040000000001</v>
      </c>
      <c r="L227" s="394">
        <v>10.56846</v>
      </c>
      <c r="M227" s="394">
        <v>0</v>
      </c>
      <c r="N227" s="394">
        <v>0</v>
      </c>
      <c r="O227" s="394">
        <v>6.5170000000000003</v>
      </c>
      <c r="P227" s="394">
        <v>134.09</v>
      </c>
      <c r="Q227" s="394">
        <v>11.92051</v>
      </c>
      <c r="R227" s="381" t="s">
        <v>167</v>
      </c>
      <c r="S227" s="408" t="s">
        <v>175</v>
      </c>
      <c r="T227" s="385"/>
      <c r="U227" s="475">
        <v>107</v>
      </c>
      <c r="V227" s="395">
        <f t="shared" ref="V227:V252" si="137">H227/E227*1000</f>
        <v>1217.0817142857143</v>
      </c>
      <c r="W227" s="395">
        <f t="shared" ref="W227:W252" si="138">H227/F227</f>
        <v>5.6797146666666665</v>
      </c>
      <c r="X227" s="528"/>
      <c r="Y227" s="523"/>
      <c r="Z227" s="393"/>
      <c r="AA227" s="542"/>
      <c r="AB227" s="394"/>
      <c r="AC227" s="394"/>
      <c r="AD227" s="394"/>
      <c r="AE227" s="394"/>
      <c r="AF227" s="394"/>
      <c r="AG227" s="394"/>
      <c r="AH227" s="394"/>
      <c r="AI227" s="394"/>
      <c r="AJ227" s="394"/>
      <c r="AK227" s="381"/>
      <c r="AL227" s="408"/>
      <c r="AM227" s="385"/>
      <c r="AN227" s="475"/>
      <c r="AO227" s="395" t="e">
        <f t="shared" si="110"/>
        <v>#DIV/0!</v>
      </c>
      <c r="AP227" s="395" t="e">
        <f t="shared" si="111"/>
        <v>#DIV/0!</v>
      </c>
      <c r="AQ227" s="528"/>
      <c r="AR227" s="523"/>
      <c r="AS227" s="393"/>
      <c r="AT227" s="542"/>
      <c r="AU227" s="394"/>
      <c r="AV227" s="394"/>
      <c r="AW227" s="394"/>
      <c r="AX227" s="394"/>
      <c r="AY227" s="394"/>
      <c r="AZ227" s="394"/>
      <c r="BA227" s="394"/>
      <c r="BB227" s="394"/>
      <c r="BC227" s="394"/>
      <c r="BD227" s="381"/>
      <c r="BE227" s="408"/>
      <c r="BF227" s="385"/>
      <c r="BG227" s="475"/>
      <c r="BH227" s="395" t="e">
        <f t="shared" si="112"/>
        <v>#DIV/0!</v>
      </c>
      <c r="BI227" s="395" t="e">
        <f t="shared" si="113"/>
        <v>#DIV/0!</v>
      </c>
    </row>
    <row r="228" spans="1:61" s="358" customFormat="1" ht="19.2" x14ac:dyDescent="0.3">
      <c r="A228" s="359" t="s">
        <v>275</v>
      </c>
      <c r="B228" s="537" t="s">
        <v>588</v>
      </c>
      <c r="C228" s="548" t="s">
        <v>460</v>
      </c>
      <c r="D228" s="360">
        <v>0.4</v>
      </c>
      <c r="E228" s="528">
        <v>40</v>
      </c>
      <c r="F228" s="523">
        <v>15</v>
      </c>
      <c r="G228" s="393">
        <v>15</v>
      </c>
      <c r="H228" s="542">
        <v>27.369700000000002</v>
      </c>
      <c r="I228" s="394">
        <v>19.78548</v>
      </c>
      <c r="J228" s="394">
        <v>5.3635999999999999</v>
      </c>
      <c r="K228" s="394">
        <v>11.92051</v>
      </c>
      <c r="L228" s="394">
        <v>3.3047200000000001</v>
      </c>
      <c r="M228" s="394">
        <v>0</v>
      </c>
      <c r="N228" s="394">
        <v>0</v>
      </c>
      <c r="O228" s="394">
        <v>2.1136499999999998</v>
      </c>
      <c r="P228" s="394">
        <v>134.09</v>
      </c>
      <c r="Q228" s="394">
        <v>11.92051</v>
      </c>
      <c r="R228" s="381" t="s">
        <v>167</v>
      </c>
      <c r="S228" s="408" t="s">
        <v>175</v>
      </c>
      <c r="T228" s="385"/>
      <c r="U228" s="475">
        <v>109</v>
      </c>
      <c r="V228" s="395">
        <f t="shared" si="137"/>
        <v>684.24250000000006</v>
      </c>
      <c r="W228" s="395">
        <f t="shared" si="138"/>
        <v>1.8246466666666667</v>
      </c>
      <c r="X228" s="528"/>
      <c r="Y228" s="523"/>
      <c r="Z228" s="393"/>
      <c r="AA228" s="542"/>
      <c r="AB228" s="394"/>
      <c r="AC228" s="394"/>
      <c r="AD228" s="394"/>
      <c r="AE228" s="394"/>
      <c r="AF228" s="394"/>
      <c r="AG228" s="394"/>
      <c r="AH228" s="394"/>
      <c r="AI228" s="394"/>
      <c r="AJ228" s="394"/>
      <c r="AK228" s="381"/>
      <c r="AL228" s="408"/>
      <c r="AM228" s="385"/>
      <c r="AN228" s="475"/>
      <c r="AO228" s="395" t="e">
        <f t="shared" si="110"/>
        <v>#DIV/0!</v>
      </c>
      <c r="AP228" s="395" t="e">
        <f t="shared" si="111"/>
        <v>#DIV/0!</v>
      </c>
      <c r="AQ228" s="528"/>
      <c r="AR228" s="523"/>
      <c r="AS228" s="393"/>
      <c r="AT228" s="542"/>
      <c r="AU228" s="394"/>
      <c r="AV228" s="394"/>
      <c r="AW228" s="394"/>
      <c r="AX228" s="394"/>
      <c r="AY228" s="394"/>
      <c r="AZ228" s="394"/>
      <c r="BA228" s="394"/>
      <c r="BB228" s="394"/>
      <c r="BC228" s="394"/>
      <c r="BD228" s="381"/>
      <c r="BE228" s="408"/>
      <c r="BF228" s="385"/>
      <c r="BG228" s="475"/>
      <c r="BH228" s="395" t="e">
        <f t="shared" si="112"/>
        <v>#DIV/0!</v>
      </c>
      <c r="BI228" s="395" t="e">
        <f t="shared" si="113"/>
        <v>#DIV/0!</v>
      </c>
    </row>
    <row r="229" spans="1:61" s="358" customFormat="1" ht="19.2" x14ac:dyDescent="0.3">
      <c r="A229" s="359" t="s">
        <v>276</v>
      </c>
      <c r="B229" s="537" t="s">
        <v>589</v>
      </c>
      <c r="C229" s="548" t="s">
        <v>461</v>
      </c>
      <c r="D229" s="360">
        <v>0.4</v>
      </c>
      <c r="E229" s="528">
        <v>45</v>
      </c>
      <c r="F229" s="523">
        <v>15</v>
      </c>
      <c r="G229" s="393">
        <v>15</v>
      </c>
      <c r="H229" s="542">
        <v>28.141210000000001</v>
      </c>
      <c r="I229" s="394">
        <v>20.183070000000001</v>
      </c>
      <c r="J229" s="394">
        <v>6.0340499999999997</v>
      </c>
      <c r="K229" s="394">
        <v>11.92051</v>
      </c>
      <c r="L229" s="394">
        <v>3.4678499999999999</v>
      </c>
      <c r="M229" s="394">
        <v>0</v>
      </c>
      <c r="N229" s="394">
        <v>0</v>
      </c>
      <c r="O229" s="394">
        <v>2.2199499999999999</v>
      </c>
      <c r="P229" s="394">
        <v>134.09</v>
      </c>
      <c r="Q229" s="394">
        <v>11.92051</v>
      </c>
      <c r="R229" s="381" t="s">
        <v>167</v>
      </c>
      <c r="S229" s="408" t="s">
        <v>175</v>
      </c>
      <c r="T229" s="385"/>
      <c r="U229" s="475">
        <v>111</v>
      </c>
      <c r="V229" s="395">
        <f t="shared" si="137"/>
        <v>625.36022222222221</v>
      </c>
      <c r="W229" s="395">
        <f t="shared" si="138"/>
        <v>1.8760806666666667</v>
      </c>
      <c r="X229" s="528"/>
      <c r="Y229" s="523"/>
      <c r="Z229" s="393"/>
      <c r="AA229" s="542"/>
      <c r="AB229" s="394"/>
      <c r="AC229" s="394"/>
      <c r="AD229" s="394"/>
      <c r="AE229" s="394"/>
      <c r="AF229" s="394"/>
      <c r="AG229" s="394"/>
      <c r="AH229" s="394"/>
      <c r="AI229" s="394"/>
      <c r="AJ229" s="394"/>
      <c r="AK229" s="381"/>
      <c r="AL229" s="408"/>
      <c r="AM229" s="385"/>
      <c r="AN229" s="475"/>
      <c r="AO229" s="395" t="e">
        <f t="shared" si="110"/>
        <v>#DIV/0!</v>
      </c>
      <c r="AP229" s="395" t="e">
        <f t="shared" si="111"/>
        <v>#DIV/0!</v>
      </c>
      <c r="AQ229" s="528"/>
      <c r="AR229" s="523"/>
      <c r="AS229" s="393"/>
      <c r="AT229" s="542"/>
      <c r="AU229" s="394"/>
      <c r="AV229" s="394"/>
      <c r="AW229" s="394"/>
      <c r="AX229" s="394"/>
      <c r="AY229" s="394"/>
      <c r="AZ229" s="394"/>
      <c r="BA229" s="394"/>
      <c r="BB229" s="394"/>
      <c r="BC229" s="394"/>
      <c r="BD229" s="381"/>
      <c r="BE229" s="408"/>
      <c r="BF229" s="385"/>
      <c r="BG229" s="475"/>
      <c r="BH229" s="395" t="e">
        <f t="shared" si="112"/>
        <v>#DIV/0!</v>
      </c>
      <c r="BI229" s="395" t="e">
        <f t="shared" si="113"/>
        <v>#DIV/0!</v>
      </c>
    </row>
    <row r="230" spans="1:61" s="358" customFormat="1" ht="19.2" x14ac:dyDescent="0.3">
      <c r="A230" s="359" t="s">
        <v>277</v>
      </c>
      <c r="B230" s="537" t="s">
        <v>592</v>
      </c>
      <c r="C230" s="548" t="s">
        <v>464</v>
      </c>
      <c r="D230" s="360">
        <v>0.4</v>
      </c>
      <c r="E230" s="528">
        <v>215</v>
      </c>
      <c r="F230" s="523">
        <v>15</v>
      </c>
      <c r="G230" s="393">
        <v>15</v>
      </c>
      <c r="H230" s="542">
        <v>227.32490000000001</v>
      </c>
      <c r="I230" s="394">
        <v>164.25935999999999</v>
      </c>
      <c r="J230" s="394">
        <v>28.829350000000002</v>
      </c>
      <c r="K230" s="394">
        <f>11.833+70.998+35.499</f>
        <v>118.33000000000001</v>
      </c>
      <c r="L230" s="394">
        <v>28.56738</v>
      </c>
      <c r="M230" s="394">
        <v>0</v>
      </c>
      <c r="N230" s="394">
        <v>0</v>
      </c>
      <c r="O230" s="394">
        <v>17.156790000000001</v>
      </c>
      <c r="P230" s="394">
        <v>134.09</v>
      </c>
      <c r="Q230" s="394">
        <v>11.833</v>
      </c>
      <c r="R230" s="381" t="s">
        <v>167</v>
      </c>
      <c r="S230" s="408" t="s">
        <v>175</v>
      </c>
      <c r="T230" s="385"/>
      <c r="U230" s="475">
        <v>113</v>
      </c>
      <c r="V230" s="395">
        <f t="shared" si="137"/>
        <v>1057.3251162790698</v>
      </c>
      <c r="W230" s="395">
        <f t="shared" si="138"/>
        <v>15.154993333333334</v>
      </c>
      <c r="X230" s="528"/>
      <c r="Y230" s="523"/>
      <c r="Z230" s="393"/>
      <c r="AA230" s="542"/>
      <c r="AB230" s="394"/>
      <c r="AC230" s="394"/>
      <c r="AD230" s="394"/>
      <c r="AE230" s="394"/>
      <c r="AF230" s="394"/>
      <c r="AG230" s="394"/>
      <c r="AH230" s="394"/>
      <c r="AI230" s="394"/>
      <c r="AJ230" s="394"/>
      <c r="AK230" s="381"/>
      <c r="AL230" s="408"/>
      <c r="AM230" s="385"/>
      <c r="AN230" s="475"/>
      <c r="AO230" s="395" t="e">
        <f t="shared" si="110"/>
        <v>#DIV/0!</v>
      </c>
      <c r="AP230" s="395" t="e">
        <f t="shared" si="111"/>
        <v>#DIV/0!</v>
      </c>
      <c r="AQ230" s="528"/>
      <c r="AR230" s="523"/>
      <c r="AS230" s="393"/>
      <c r="AT230" s="542"/>
      <c r="AU230" s="394"/>
      <c r="AV230" s="394"/>
      <c r="AW230" s="394"/>
      <c r="AX230" s="394"/>
      <c r="AY230" s="394"/>
      <c r="AZ230" s="394"/>
      <c r="BA230" s="394"/>
      <c r="BB230" s="394"/>
      <c r="BC230" s="394"/>
      <c r="BD230" s="381"/>
      <c r="BE230" s="408"/>
      <c r="BF230" s="385"/>
      <c r="BG230" s="475"/>
      <c r="BH230" s="395" t="e">
        <f t="shared" si="112"/>
        <v>#DIV/0!</v>
      </c>
      <c r="BI230" s="395" t="e">
        <f t="shared" si="113"/>
        <v>#DIV/0!</v>
      </c>
    </row>
    <row r="231" spans="1:61" s="358" customFormat="1" ht="19.2" x14ac:dyDescent="0.3">
      <c r="A231" s="359" t="s">
        <v>326</v>
      </c>
      <c r="B231" s="537" t="s">
        <v>594</v>
      </c>
      <c r="C231" s="548" t="s">
        <v>466</v>
      </c>
      <c r="D231" s="360">
        <v>0.4</v>
      </c>
      <c r="E231" s="528">
        <v>60</v>
      </c>
      <c r="F231" s="523">
        <v>15</v>
      </c>
      <c r="G231" s="393">
        <v>15</v>
      </c>
      <c r="H231" s="542">
        <v>50.712069999999997</v>
      </c>
      <c r="I231" s="394">
        <v>37.039389999999997</v>
      </c>
      <c r="J231" s="394">
        <v>8.0454000000000008</v>
      </c>
      <c r="K231" s="394">
        <v>23.84102</v>
      </c>
      <c r="L231" s="394">
        <v>5.9568899999999996</v>
      </c>
      <c r="M231" s="394">
        <v>0</v>
      </c>
      <c r="N231" s="394">
        <v>0</v>
      </c>
      <c r="O231" s="394">
        <v>3.8020900000000002</v>
      </c>
      <c r="P231" s="394">
        <v>134.09</v>
      </c>
      <c r="Q231" s="394">
        <v>11.92051</v>
      </c>
      <c r="R231" s="381" t="s">
        <v>167</v>
      </c>
      <c r="S231" s="408" t="s">
        <v>175</v>
      </c>
      <c r="T231" s="385"/>
      <c r="U231" s="475">
        <v>116</v>
      </c>
      <c r="V231" s="395">
        <f t="shared" si="137"/>
        <v>845.20116666666672</v>
      </c>
      <c r="W231" s="395">
        <f t="shared" si="138"/>
        <v>3.3808046666666667</v>
      </c>
      <c r="X231" s="528"/>
      <c r="Y231" s="523"/>
      <c r="Z231" s="393"/>
      <c r="AA231" s="542"/>
      <c r="AB231" s="394"/>
      <c r="AC231" s="394"/>
      <c r="AD231" s="394"/>
      <c r="AE231" s="394"/>
      <c r="AF231" s="394"/>
      <c r="AG231" s="394"/>
      <c r="AH231" s="394"/>
      <c r="AI231" s="394"/>
      <c r="AJ231" s="394"/>
      <c r="AK231" s="381"/>
      <c r="AL231" s="408"/>
      <c r="AM231" s="385"/>
      <c r="AN231" s="475"/>
      <c r="AO231" s="395" t="e">
        <f t="shared" si="110"/>
        <v>#DIV/0!</v>
      </c>
      <c r="AP231" s="395" t="e">
        <f t="shared" si="111"/>
        <v>#DIV/0!</v>
      </c>
      <c r="AQ231" s="528"/>
      <c r="AR231" s="523"/>
      <c r="AS231" s="393"/>
      <c r="AT231" s="542"/>
      <c r="AU231" s="394"/>
      <c r="AV231" s="394"/>
      <c r="AW231" s="394"/>
      <c r="AX231" s="394"/>
      <c r="AY231" s="394"/>
      <c r="AZ231" s="394"/>
      <c r="BA231" s="394"/>
      <c r="BB231" s="394"/>
      <c r="BC231" s="394"/>
      <c r="BD231" s="381"/>
      <c r="BE231" s="408"/>
      <c r="BF231" s="385"/>
      <c r="BG231" s="475"/>
      <c r="BH231" s="395" t="e">
        <f t="shared" si="112"/>
        <v>#DIV/0!</v>
      </c>
      <c r="BI231" s="395" t="e">
        <f t="shared" si="113"/>
        <v>#DIV/0!</v>
      </c>
    </row>
    <row r="232" spans="1:61" s="358" customFormat="1" ht="19.2" x14ac:dyDescent="0.3">
      <c r="A232" s="359" t="s">
        <v>327</v>
      </c>
      <c r="B232" s="537" t="s">
        <v>595</v>
      </c>
      <c r="C232" s="548" t="s">
        <v>467</v>
      </c>
      <c r="D232" s="360">
        <v>0.4</v>
      </c>
      <c r="E232" s="528">
        <v>70</v>
      </c>
      <c r="F232" s="523">
        <v>5</v>
      </c>
      <c r="G232" s="393">
        <v>5</v>
      </c>
      <c r="H232" s="542">
        <v>52.257280000000002</v>
      </c>
      <c r="I232" s="394">
        <v>37.836739999999999</v>
      </c>
      <c r="J232" s="394">
        <v>9.3863000000000003</v>
      </c>
      <c r="K232" s="394">
        <v>23.84102</v>
      </c>
      <c r="L232" s="394">
        <v>6.2831599999999996</v>
      </c>
      <c r="M232" s="394">
        <v>0</v>
      </c>
      <c r="N232" s="394">
        <v>0</v>
      </c>
      <c r="O232" s="394">
        <v>4.0146899999999999</v>
      </c>
      <c r="P232" s="394">
        <v>134.09</v>
      </c>
      <c r="Q232" s="394">
        <v>11.92051</v>
      </c>
      <c r="R232" s="381" t="s">
        <v>167</v>
      </c>
      <c r="S232" s="408" t="s">
        <v>175</v>
      </c>
      <c r="T232" s="385"/>
      <c r="U232" s="475">
        <v>118</v>
      </c>
      <c r="V232" s="395">
        <f t="shared" ref="V232:V239" si="139">H232/E232*1000</f>
        <v>746.53257142857149</v>
      </c>
      <c r="W232" s="395">
        <f t="shared" ref="W232:W239" si="140">H232/F232</f>
        <v>10.451456</v>
      </c>
      <c r="X232" s="528"/>
      <c r="Y232" s="523"/>
      <c r="Z232" s="393"/>
      <c r="AA232" s="542"/>
      <c r="AB232" s="394"/>
      <c r="AC232" s="394"/>
      <c r="AD232" s="394"/>
      <c r="AE232" s="394"/>
      <c r="AF232" s="394"/>
      <c r="AG232" s="394"/>
      <c r="AH232" s="394"/>
      <c r="AI232" s="394"/>
      <c r="AJ232" s="394"/>
      <c r="AK232" s="381"/>
      <c r="AL232" s="408"/>
      <c r="AM232" s="385"/>
      <c r="AN232" s="475"/>
      <c r="AO232" s="395" t="e">
        <f t="shared" si="110"/>
        <v>#DIV/0!</v>
      </c>
      <c r="AP232" s="395" t="e">
        <f t="shared" si="111"/>
        <v>#DIV/0!</v>
      </c>
      <c r="AQ232" s="528"/>
      <c r="AR232" s="523"/>
      <c r="AS232" s="393"/>
      <c r="AT232" s="542"/>
      <c r="AU232" s="394"/>
      <c r="AV232" s="394"/>
      <c r="AW232" s="394"/>
      <c r="AX232" s="394"/>
      <c r="AY232" s="394"/>
      <c r="AZ232" s="394"/>
      <c r="BA232" s="394"/>
      <c r="BB232" s="394"/>
      <c r="BC232" s="394"/>
      <c r="BD232" s="381"/>
      <c r="BE232" s="408"/>
      <c r="BF232" s="385"/>
      <c r="BG232" s="475"/>
      <c r="BH232" s="395" t="e">
        <f t="shared" si="112"/>
        <v>#DIV/0!</v>
      </c>
      <c r="BI232" s="395" t="e">
        <f t="shared" si="113"/>
        <v>#DIV/0!</v>
      </c>
    </row>
    <row r="233" spans="1:61" s="358" customFormat="1" ht="19.2" x14ac:dyDescent="0.3">
      <c r="A233" s="359" t="s">
        <v>328</v>
      </c>
      <c r="B233" s="537" t="s">
        <v>596</v>
      </c>
      <c r="C233" s="548" t="s">
        <v>468</v>
      </c>
      <c r="D233" s="360">
        <v>0.4</v>
      </c>
      <c r="E233" s="528">
        <v>183</v>
      </c>
      <c r="F233" s="523">
        <v>10</v>
      </c>
      <c r="G233" s="393">
        <v>10</v>
      </c>
      <c r="H233" s="542">
        <v>78.679609999999997</v>
      </c>
      <c r="I233" s="394">
        <v>55.714910000000003</v>
      </c>
      <c r="J233" s="394">
        <v>24.53847</v>
      </c>
      <c r="K233" s="394">
        <v>23.666</v>
      </c>
      <c r="L233" s="394">
        <v>10.007440000000001</v>
      </c>
      <c r="M233" s="394">
        <v>0</v>
      </c>
      <c r="N233" s="394">
        <v>0</v>
      </c>
      <c r="O233" s="394">
        <v>6.44543</v>
      </c>
      <c r="P233" s="394">
        <v>134.09</v>
      </c>
      <c r="Q233" s="394">
        <v>11.833</v>
      </c>
      <c r="R233" s="381" t="s">
        <v>167</v>
      </c>
      <c r="S233" s="408" t="s">
        <v>175</v>
      </c>
      <c r="T233" s="385"/>
      <c r="U233" s="475">
        <v>120</v>
      </c>
      <c r="V233" s="395">
        <f t="shared" si="139"/>
        <v>429.94322404371582</v>
      </c>
      <c r="W233" s="395">
        <f t="shared" si="140"/>
        <v>7.8679609999999993</v>
      </c>
      <c r="X233" s="528"/>
      <c r="Y233" s="523"/>
      <c r="Z233" s="393"/>
      <c r="AA233" s="542"/>
      <c r="AB233" s="394"/>
      <c r="AC233" s="394"/>
      <c r="AD233" s="394"/>
      <c r="AE233" s="394"/>
      <c r="AF233" s="394"/>
      <c r="AG233" s="394"/>
      <c r="AH233" s="394"/>
      <c r="AI233" s="394"/>
      <c r="AJ233" s="394"/>
      <c r="AK233" s="381"/>
      <c r="AL233" s="408"/>
      <c r="AM233" s="385"/>
      <c r="AN233" s="475"/>
      <c r="AO233" s="395" t="e">
        <f t="shared" si="110"/>
        <v>#DIV/0!</v>
      </c>
      <c r="AP233" s="395" t="e">
        <f t="shared" si="111"/>
        <v>#DIV/0!</v>
      </c>
      <c r="AQ233" s="528"/>
      <c r="AR233" s="523"/>
      <c r="AS233" s="393"/>
      <c r="AT233" s="542"/>
      <c r="AU233" s="394"/>
      <c r="AV233" s="394"/>
      <c r="AW233" s="394"/>
      <c r="AX233" s="394"/>
      <c r="AY233" s="394"/>
      <c r="AZ233" s="394"/>
      <c r="BA233" s="394"/>
      <c r="BB233" s="394"/>
      <c r="BC233" s="394"/>
      <c r="BD233" s="381"/>
      <c r="BE233" s="408"/>
      <c r="BF233" s="385"/>
      <c r="BG233" s="475"/>
      <c r="BH233" s="395" t="e">
        <f t="shared" si="112"/>
        <v>#DIV/0!</v>
      </c>
      <c r="BI233" s="395" t="e">
        <f t="shared" si="113"/>
        <v>#DIV/0!</v>
      </c>
    </row>
    <row r="234" spans="1:61" s="358" customFormat="1" ht="19.2" x14ac:dyDescent="0.3">
      <c r="A234" s="359" t="s">
        <v>329</v>
      </c>
      <c r="B234" s="537" t="s">
        <v>597</v>
      </c>
      <c r="C234" s="548" t="s">
        <v>469</v>
      </c>
      <c r="D234" s="360">
        <v>0.4</v>
      </c>
      <c r="E234" s="528">
        <v>42</v>
      </c>
      <c r="F234" s="523">
        <v>15</v>
      </c>
      <c r="G234" s="393">
        <v>15</v>
      </c>
      <c r="H234" s="542">
        <v>27.805759999999999</v>
      </c>
      <c r="I234" s="394">
        <v>20.07198</v>
      </c>
      <c r="J234" s="394">
        <v>5.63178</v>
      </c>
      <c r="K234" s="394">
        <v>11.92051</v>
      </c>
      <c r="L234" s="394">
        <v>3.3699699999999999</v>
      </c>
      <c r="M234" s="394">
        <v>0</v>
      </c>
      <c r="N234" s="394">
        <v>0</v>
      </c>
      <c r="O234" s="394">
        <v>2.1561699999999999</v>
      </c>
      <c r="P234" s="394">
        <v>134.09</v>
      </c>
      <c r="Q234" s="394">
        <v>11.92051</v>
      </c>
      <c r="R234" s="381" t="s">
        <v>167</v>
      </c>
      <c r="S234" s="408" t="s">
        <v>175</v>
      </c>
      <c r="T234" s="385"/>
      <c r="U234" s="475">
        <v>122</v>
      </c>
      <c r="V234" s="395">
        <f t="shared" si="139"/>
        <v>662.04190476190468</v>
      </c>
      <c r="W234" s="395">
        <f t="shared" si="140"/>
        <v>1.8537173333333332</v>
      </c>
      <c r="X234" s="528"/>
      <c r="Y234" s="523"/>
      <c r="Z234" s="393"/>
      <c r="AA234" s="542"/>
      <c r="AB234" s="394"/>
      <c r="AC234" s="394"/>
      <c r="AD234" s="394"/>
      <c r="AE234" s="394"/>
      <c r="AF234" s="394"/>
      <c r="AG234" s="394"/>
      <c r="AH234" s="394"/>
      <c r="AI234" s="394"/>
      <c r="AJ234" s="394"/>
      <c r="AK234" s="381"/>
      <c r="AL234" s="408"/>
      <c r="AM234" s="385"/>
      <c r="AN234" s="475"/>
      <c r="AO234" s="395" t="e">
        <f t="shared" si="110"/>
        <v>#DIV/0!</v>
      </c>
      <c r="AP234" s="395" t="e">
        <f t="shared" si="111"/>
        <v>#DIV/0!</v>
      </c>
      <c r="AQ234" s="528"/>
      <c r="AR234" s="523"/>
      <c r="AS234" s="393"/>
      <c r="AT234" s="542"/>
      <c r="AU234" s="394"/>
      <c r="AV234" s="394"/>
      <c r="AW234" s="394"/>
      <c r="AX234" s="394"/>
      <c r="AY234" s="394"/>
      <c r="AZ234" s="394"/>
      <c r="BA234" s="394"/>
      <c r="BB234" s="394"/>
      <c r="BC234" s="394"/>
      <c r="BD234" s="381"/>
      <c r="BE234" s="408"/>
      <c r="BF234" s="385"/>
      <c r="BG234" s="475"/>
      <c r="BH234" s="395" t="e">
        <f t="shared" si="112"/>
        <v>#DIV/0!</v>
      </c>
      <c r="BI234" s="395" t="e">
        <f t="shared" si="113"/>
        <v>#DIV/0!</v>
      </c>
    </row>
    <row r="235" spans="1:61" s="358" customFormat="1" ht="19.2" x14ac:dyDescent="0.3">
      <c r="A235" s="359" t="s">
        <v>330</v>
      </c>
      <c r="B235" s="537" t="s">
        <v>599</v>
      </c>
      <c r="C235" s="548" t="s">
        <v>471</v>
      </c>
      <c r="D235" s="360">
        <v>0.4</v>
      </c>
      <c r="E235" s="528">
        <v>35</v>
      </c>
      <c r="F235" s="523">
        <v>15</v>
      </c>
      <c r="G235" s="393">
        <v>15</v>
      </c>
      <c r="H235" s="542">
        <v>27.652529999999999</v>
      </c>
      <c r="I235" s="394">
        <v>20.442250000000001</v>
      </c>
      <c r="J235" s="394" t="s">
        <v>472</v>
      </c>
      <c r="K235" s="394">
        <v>11.92051</v>
      </c>
      <c r="L235" s="394">
        <v>3.1415799999999998</v>
      </c>
      <c r="M235" s="394">
        <v>0</v>
      </c>
      <c r="N235" s="394">
        <v>0</v>
      </c>
      <c r="O235" s="394">
        <v>2.0073500000000002</v>
      </c>
      <c r="P235" s="394">
        <v>134.09</v>
      </c>
      <c r="Q235" s="394">
        <v>11.92051</v>
      </c>
      <c r="R235" s="381" t="s">
        <v>167</v>
      </c>
      <c r="S235" s="408" t="s">
        <v>175</v>
      </c>
      <c r="T235" s="385"/>
      <c r="U235" s="475">
        <v>124</v>
      </c>
      <c r="V235" s="395">
        <f t="shared" si="139"/>
        <v>790.07228571428573</v>
      </c>
      <c r="W235" s="395">
        <f t="shared" si="140"/>
        <v>1.843502</v>
      </c>
      <c r="X235" s="528"/>
      <c r="Y235" s="523"/>
      <c r="Z235" s="393"/>
      <c r="AA235" s="542"/>
      <c r="AB235" s="394"/>
      <c r="AC235" s="394"/>
      <c r="AD235" s="394"/>
      <c r="AE235" s="394"/>
      <c r="AF235" s="394"/>
      <c r="AG235" s="394"/>
      <c r="AH235" s="394"/>
      <c r="AI235" s="394"/>
      <c r="AJ235" s="394"/>
      <c r="AK235" s="381"/>
      <c r="AL235" s="408"/>
      <c r="AM235" s="385"/>
      <c r="AN235" s="475"/>
      <c r="AO235" s="395" t="e">
        <f t="shared" si="110"/>
        <v>#DIV/0!</v>
      </c>
      <c r="AP235" s="395" t="e">
        <f t="shared" si="111"/>
        <v>#DIV/0!</v>
      </c>
      <c r="AQ235" s="528"/>
      <c r="AR235" s="523"/>
      <c r="AS235" s="393"/>
      <c r="AT235" s="542"/>
      <c r="AU235" s="394"/>
      <c r="AV235" s="394"/>
      <c r="AW235" s="394"/>
      <c r="AX235" s="394"/>
      <c r="AY235" s="394"/>
      <c r="AZ235" s="394"/>
      <c r="BA235" s="394"/>
      <c r="BB235" s="394"/>
      <c r="BC235" s="394"/>
      <c r="BD235" s="381"/>
      <c r="BE235" s="408"/>
      <c r="BF235" s="385"/>
      <c r="BG235" s="475"/>
      <c r="BH235" s="395" t="e">
        <f t="shared" si="112"/>
        <v>#DIV/0!</v>
      </c>
      <c r="BI235" s="395" t="e">
        <f t="shared" si="113"/>
        <v>#DIV/0!</v>
      </c>
    </row>
    <row r="236" spans="1:61" s="358" customFormat="1" ht="19.2" x14ac:dyDescent="0.3">
      <c r="A236" s="359" t="s">
        <v>331</v>
      </c>
      <c r="B236" s="537" t="s">
        <v>600</v>
      </c>
      <c r="C236" s="548" t="s">
        <v>473</v>
      </c>
      <c r="D236" s="360">
        <v>0.4</v>
      </c>
      <c r="E236" s="528">
        <v>80</v>
      </c>
      <c r="F236" s="523">
        <v>15</v>
      </c>
      <c r="G236" s="393">
        <v>15</v>
      </c>
      <c r="H236" s="542">
        <v>38.672969999999999</v>
      </c>
      <c r="I236" s="394">
        <v>28.097259999999999</v>
      </c>
      <c r="J236" s="394">
        <v>10.7272</v>
      </c>
      <c r="K236" s="394">
        <v>11.92051</v>
      </c>
      <c r="L236" s="394">
        <v>4.6098100000000004</v>
      </c>
      <c r="M236" s="394">
        <v>0</v>
      </c>
      <c r="N236" s="394">
        <v>0</v>
      </c>
      <c r="O236" s="394">
        <v>2.96407</v>
      </c>
      <c r="P236" s="394">
        <v>134.09</v>
      </c>
      <c r="Q236" s="394">
        <v>11.92051</v>
      </c>
      <c r="R236" s="381" t="s">
        <v>167</v>
      </c>
      <c r="S236" s="408" t="s">
        <v>175</v>
      </c>
      <c r="T236" s="385"/>
      <c r="U236" s="475">
        <v>126</v>
      </c>
      <c r="V236" s="395">
        <f t="shared" si="139"/>
        <v>483.41212499999995</v>
      </c>
      <c r="W236" s="395">
        <f t="shared" si="140"/>
        <v>2.578198</v>
      </c>
      <c r="X236" s="528"/>
      <c r="Y236" s="523"/>
      <c r="Z236" s="393"/>
      <c r="AA236" s="542"/>
      <c r="AB236" s="394"/>
      <c r="AC236" s="394"/>
      <c r="AD236" s="394"/>
      <c r="AE236" s="394"/>
      <c r="AF236" s="394"/>
      <c r="AG236" s="394"/>
      <c r="AH236" s="394"/>
      <c r="AI236" s="394"/>
      <c r="AJ236" s="394"/>
      <c r="AK236" s="381"/>
      <c r="AL236" s="408"/>
      <c r="AM236" s="385"/>
      <c r="AN236" s="475"/>
      <c r="AO236" s="395" t="e">
        <f t="shared" si="110"/>
        <v>#DIV/0!</v>
      </c>
      <c r="AP236" s="395" t="e">
        <f t="shared" si="111"/>
        <v>#DIV/0!</v>
      </c>
      <c r="AQ236" s="528"/>
      <c r="AR236" s="523"/>
      <c r="AS236" s="393"/>
      <c r="AT236" s="542"/>
      <c r="AU236" s="394"/>
      <c r="AV236" s="394"/>
      <c r="AW236" s="394"/>
      <c r="AX236" s="394"/>
      <c r="AY236" s="394"/>
      <c r="AZ236" s="394"/>
      <c r="BA236" s="394"/>
      <c r="BB236" s="394"/>
      <c r="BC236" s="394"/>
      <c r="BD236" s="381"/>
      <c r="BE236" s="408"/>
      <c r="BF236" s="385"/>
      <c r="BG236" s="475"/>
      <c r="BH236" s="395" t="e">
        <f t="shared" si="112"/>
        <v>#DIV/0!</v>
      </c>
      <c r="BI236" s="395" t="e">
        <f t="shared" si="113"/>
        <v>#DIV/0!</v>
      </c>
    </row>
    <row r="237" spans="1:61" s="358" customFormat="1" ht="19.2" x14ac:dyDescent="0.3">
      <c r="A237" s="359" t="s">
        <v>332</v>
      </c>
      <c r="B237" s="537" t="s">
        <v>606</v>
      </c>
      <c r="C237" s="548" t="s">
        <v>479</v>
      </c>
      <c r="D237" s="360">
        <v>0.4</v>
      </c>
      <c r="E237" s="528">
        <v>60</v>
      </c>
      <c r="F237" s="523">
        <v>50</v>
      </c>
      <c r="G237" s="393">
        <v>50</v>
      </c>
      <c r="H237" s="542">
        <v>67.695319999999995</v>
      </c>
      <c r="I237" s="394">
        <v>48.897210000000001</v>
      </c>
      <c r="J237" s="394">
        <v>8.0454000000000008</v>
      </c>
      <c r="K237" s="394">
        <f>12.04426+24.08852</f>
        <v>36.132779999999997</v>
      </c>
      <c r="L237" s="394">
        <v>8.4334699999999998</v>
      </c>
      <c r="M237" s="394">
        <v>0</v>
      </c>
      <c r="N237" s="394">
        <v>0</v>
      </c>
      <c r="O237" s="394">
        <v>5.0936000000000003</v>
      </c>
      <c r="P237" s="394">
        <v>134.09</v>
      </c>
      <c r="Q237" s="394">
        <v>12.04426</v>
      </c>
      <c r="R237" s="381" t="s">
        <v>167</v>
      </c>
      <c r="S237" s="408" t="s">
        <v>175</v>
      </c>
      <c r="T237" s="385"/>
      <c r="U237" s="475">
        <v>128</v>
      </c>
      <c r="V237" s="395">
        <f t="shared" si="139"/>
        <v>1128.2553333333331</v>
      </c>
      <c r="W237" s="395">
        <f t="shared" si="140"/>
        <v>1.3539063999999998</v>
      </c>
      <c r="X237" s="528"/>
      <c r="Y237" s="523"/>
      <c r="Z237" s="393"/>
      <c r="AA237" s="542"/>
      <c r="AB237" s="394"/>
      <c r="AC237" s="394"/>
      <c r="AD237" s="394"/>
      <c r="AE237" s="394"/>
      <c r="AF237" s="394"/>
      <c r="AG237" s="394"/>
      <c r="AH237" s="394"/>
      <c r="AI237" s="394"/>
      <c r="AJ237" s="394"/>
      <c r="AK237" s="381"/>
      <c r="AL237" s="408"/>
      <c r="AM237" s="385"/>
      <c r="AN237" s="475"/>
      <c r="AO237" s="395" t="e">
        <f t="shared" si="110"/>
        <v>#DIV/0!</v>
      </c>
      <c r="AP237" s="395" t="e">
        <f t="shared" si="111"/>
        <v>#DIV/0!</v>
      </c>
      <c r="AQ237" s="528"/>
      <c r="AR237" s="523"/>
      <c r="AS237" s="393"/>
      <c r="AT237" s="542"/>
      <c r="AU237" s="394"/>
      <c r="AV237" s="394"/>
      <c r="AW237" s="394"/>
      <c r="AX237" s="394"/>
      <c r="AY237" s="394"/>
      <c r="AZ237" s="394"/>
      <c r="BA237" s="394"/>
      <c r="BB237" s="394"/>
      <c r="BC237" s="394"/>
      <c r="BD237" s="381"/>
      <c r="BE237" s="408"/>
      <c r="BF237" s="385"/>
      <c r="BG237" s="475"/>
      <c r="BH237" s="395" t="e">
        <f t="shared" si="112"/>
        <v>#DIV/0!</v>
      </c>
      <c r="BI237" s="395" t="e">
        <f t="shared" si="113"/>
        <v>#DIV/0!</v>
      </c>
    </row>
    <row r="238" spans="1:61" s="358" customFormat="1" ht="19.2" x14ac:dyDescent="0.3">
      <c r="A238" s="359" t="s">
        <v>333</v>
      </c>
      <c r="B238" s="537" t="s">
        <v>607</v>
      </c>
      <c r="C238" s="548" t="s">
        <v>480</v>
      </c>
      <c r="D238" s="360">
        <v>0.4</v>
      </c>
      <c r="E238" s="528">
        <v>65</v>
      </c>
      <c r="F238" s="523">
        <v>3</v>
      </c>
      <c r="G238" s="393">
        <v>3</v>
      </c>
      <c r="H238" s="542">
        <v>31.864809999999999</v>
      </c>
      <c r="I238" s="394">
        <v>22.229469999999999</v>
      </c>
      <c r="J238" s="394">
        <v>8.7158499999999997</v>
      </c>
      <c r="K238" s="394">
        <v>12.04411</v>
      </c>
      <c r="L238" s="394">
        <v>4.3018299999999998</v>
      </c>
      <c r="M238" s="394">
        <v>0</v>
      </c>
      <c r="N238" s="394">
        <v>0</v>
      </c>
      <c r="O238" s="394">
        <v>2.6451699999999998</v>
      </c>
      <c r="P238" s="394">
        <v>134.09</v>
      </c>
      <c r="Q238" s="394">
        <v>12.04411</v>
      </c>
      <c r="R238" s="381" t="s">
        <v>167</v>
      </c>
      <c r="S238" s="408" t="s">
        <v>175</v>
      </c>
      <c r="T238" s="385"/>
      <c r="U238" s="475">
        <v>130</v>
      </c>
      <c r="V238" s="395">
        <f t="shared" si="139"/>
        <v>490.22784615384614</v>
      </c>
      <c r="W238" s="395">
        <f t="shared" si="140"/>
        <v>10.621603333333333</v>
      </c>
      <c r="X238" s="528"/>
      <c r="Y238" s="523"/>
      <c r="Z238" s="393"/>
      <c r="AA238" s="542"/>
      <c r="AB238" s="394"/>
      <c r="AC238" s="394"/>
      <c r="AD238" s="394"/>
      <c r="AE238" s="394"/>
      <c r="AF238" s="394"/>
      <c r="AG238" s="394"/>
      <c r="AH238" s="394"/>
      <c r="AI238" s="394"/>
      <c r="AJ238" s="394"/>
      <c r="AK238" s="381"/>
      <c r="AL238" s="408"/>
      <c r="AM238" s="385"/>
      <c r="AN238" s="475"/>
      <c r="AO238" s="395" t="e">
        <f t="shared" si="110"/>
        <v>#DIV/0!</v>
      </c>
      <c r="AP238" s="395" t="e">
        <f t="shared" si="111"/>
        <v>#DIV/0!</v>
      </c>
      <c r="AQ238" s="528"/>
      <c r="AR238" s="523"/>
      <c r="AS238" s="393"/>
      <c r="AT238" s="542"/>
      <c r="AU238" s="394"/>
      <c r="AV238" s="394"/>
      <c r="AW238" s="394"/>
      <c r="AX238" s="394"/>
      <c r="AY238" s="394"/>
      <c r="AZ238" s="394"/>
      <c r="BA238" s="394"/>
      <c r="BB238" s="394"/>
      <c r="BC238" s="394"/>
      <c r="BD238" s="381"/>
      <c r="BE238" s="408"/>
      <c r="BF238" s="385"/>
      <c r="BG238" s="475"/>
      <c r="BH238" s="395" t="e">
        <f t="shared" si="112"/>
        <v>#DIV/0!</v>
      </c>
      <c r="BI238" s="395" t="e">
        <f t="shared" si="113"/>
        <v>#DIV/0!</v>
      </c>
    </row>
    <row r="239" spans="1:61" s="358" customFormat="1" ht="19.2" x14ac:dyDescent="0.3">
      <c r="A239" s="359" t="s">
        <v>334</v>
      </c>
      <c r="B239" s="537" t="s">
        <v>614</v>
      </c>
      <c r="C239" s="548" t="s">
        <v>488</v>
      </c>
      <c r="D239" s="360">
        <v>0.4</v>
      </c>
      <c r="E239" s="528">
        <v>100</v>
      </c>
      <c r="F239" s="523">
        <v>15</v>
      </c>
      <c r="G239" s="393">
        <v>15</v>
      </c>
      <c r="H239" s="542">
        <v>110.98932000000001</v>
      </c>
      <c r="I239" s="394">
        <v>79.656940000000006</v>
      </c>
      <c r="J239" s="394">
        <v>13.409000000000001</v>
      </c>
      <c r="K239" s="394">
        <f>36.13278+24.08852</f>
        <v>60.221299999999999</v>
      </c>
      <c r="L239" s="394">
        <v>14.282220000000001</v>
      </c>
      <c r="M239" s="394">
        <v>0</v>
      </c>
      <c r="N239" s="394">
        <v>0</v>
      </c>
      <c r="O239" s="394">
        <v>8.4180499999999991</v>
      </c>
      <c r="P239" s="394">
        <v>134.09</v>
      </c>
      <c r="Q239" s="394">
        <v>12.04426</v>
      </c>
      <c r="R239" s="381" t="s">
        <v>167</v>
      </c>
      <c r="S239" s="408" t="s">
        <v>175</v>
      </c>
      <c r="T239" s="385"/>
      <c r="U239" s="475">
        <v>132</v>
      </c>
      <c r="V239" s="395">
        <f t="shared" si="139"/>
        <v>1109.8932000000002</v>
      </c>
      <c r="W239" s="395">
        <f t="shared" si="140"/>
        <v>7.3992880000000003</v>
      </c>
      <c r="X239" s="528"/>
      <c r="Y239" s="523"/>
      <c r="Z239" s="393"/>
      <c r="AA239" s="542"/>
      <c r="AB239" s="394"/>
      <c r="AC239" s="394"/>
      <c r="AD239" s="394"/>
      <c r="AE239" s="394"/>
      <c r="AF239" s="394"/>
      <c r="AG239" s="394"/>
      <c r="AH239" s="394"/>
      <c r="AI239" s="394"/>
      <c r="AJ239" s="394"/>
      <c r="AK239" s="381"/>
      <c r="AL239" s="408"/>
      <c r="AM239" s="385"/>
      <c r="AN239" s="475"/>
      <c r="AO239" s="395" t="e">
        <f t="shared" si="110"/>
        <v>#DIV/0!</v>
      </c>
      <c r="AP239" s="395" t="e">
        <f t="shared" si="111"/>
        <v>#DIV/0!</v>
      </c>
      <c r="AQ239" s="528"/>
      <c r="AR239" s="523"/>
      <c r="AS239" s="393"/>
      <c r="AT239" s="542"/>
      <c r="AU239" s="394"/>
      <c r="AV239" s="394"/>
      <c r="AW239" s="394"/>
      <c r="AX239" s="394"/>
      <c r="AY239" s="394"/>
      <c r="AZ239" s="394"/>
      <c r="BA239" s="394"/>
      <c r="BB239" s="394"/>
      <c r="BC239" s="394"/>
      <c r="BD239" s="381"/>
      <c r="BE239" s="408"/>
      <c r="BF239" s="385"/>
      <c r="BG239" s="475"/>
      <c r="BH239" s="395" t="e">
        <f t="shared" si="112"/>
        <v>#DIV/0!</v>
      </c>
      <c r="BI239" s="395" t="e">
        <f t="shared" si="113"/>
        <v>#DIV/0!</v>
      </c>
    </row>
    <row r="240" spans="1:61" s="358" customFormat="1" ht="19.2" x14ac:dyDescent="0.3">
      <c r="A240" s="359" t="s">
        <v>335</v>
      </c>
      <c r="B240" s="537" t="s">
        <v>554</v>
      </c>
      <c r="C240" s="549" t="s">
        <v>419</v>
      </c>
      <c r="D240" s="360">
        <v>0.4</v>
      </c>
      <c r="E240" s="528">
        <v>180</v>
      </c>
      <c r="F240" s="523">
        <v>15</v>
      </c>
      <c r="G240" s="393">
        <v>15</v>
      </c>
      <c r="H240" s="542">
        <v>146.13677999999999</v>
      </c>
      <c r="I240" s="394">
        <v>101.95434</v>
      </c>
      <c r="J240" s="394">
        <v>20.628</v>
      </c>
      <c r="K240" s="394">
        <f>10.84986+24.64802+24.64802</f>
        <v>60.145899999999997</v>
      </c>
      <c r="L240" s="394">
        <v>19.965050000000002</v>
      </c>
      <c r="M240" s="394">
        <v>0</v>
      </c>
      <c r="N240" s="394">
        <v>0</v>
      </c>
      <c r="O240" s="394">
        <v>12.03234</v>
      </c>
      <c r="P240" s="394">
        <v>114.6</v>
      </c>
      <c r="Q240" s="394">
        <v>12.324009999999999</v>
      </c>
      <c r="R240" s="381" t="s">
        <v>167</v>
      </c>
      <c r="S240" s="408" t="s">
        <v>175</v>
      </c>
      <c r="T240" s="385"/>
      <c r="U240" s="475">
        <v>134</v>
      </c>
      <c r="V240" s="395">
        <f t="shared" si="137"/>
        <v>811.87099999999987</v>
      </c>
      <c r="W240" s="395">
        <f t="shared" si="138"/>
        <v>9.7424519999999983</v>
      </c>
      <c r="X240" s="528"/>
      <c r="Y240" s="523"/>
      <c r="Z240" s="393"/>
      <c r="AA240" s="542"/>
      <c r="AB240" s="394"/>
      <c r="AC240" s="394"/>
      <c r="AD240" s="394"/>
      <c r="AE240" s="394"/>
      <c r="AF240" s="394"/>
      <c r="AG240" s="394"/>
      <c r="AH240" s="394"/>
      <c r="AI240" s="394"/>
      <c r="AJ240" s="394"/>
      <c r="AK240" s="381"/>
      <c r="AL240" s="408"/>
      <c r="AM240" s="385"/>
      <c r="AN240" s="475"/>
      <c r="AO240" s="395" t="e">
        <f t="shared" si="110"/>
        <v>#DIV/0!</v>
      </c>
      <c r="AP240" s="395" t="e">
        <f t="shared" si="111"/>
        <v>#DIV/0!</v>
      </c>
      <c r="AQ240" s="528"/>
      <c r="AR240" s="523"/>
      <c r="AS240" s="393"/>
      <c r="AT240" s="542"/>
      <c r="AU240" s="394"/>
      <c r="AV240" s="394"/>
      <c r="AW240" s="394"/>
      <c r="AX240" s="394"/>
      <c r="AY240" s="394"/>
      <c r="AZ240" s="394"/>
      <c r="BA240" s="394"/>
      <c r="BB240" s="394"/>
      <c r="BC240" s="394"/>
      <c r="BD240" s="381"/>
      <c r="BE240" s="408"/>
      <c r="BF240" s="385"/>
      <c r="BG240" s="475"/>
      <c r="BH240" s="395" t="e">
        <f t="shared" si="112"/>
        <v>#DIV/0!</v>
      </c>
      <c r="BI240" s="395" t="e">
        <f t="shared" si="113"/>
        <v>#DIV/0!</v>
      </c>
    </row>
    <row r="241" spans="1:61" s="358" customFormat="1" ht="19.2" x14ac:dyDescent="0.3">
      <c r="A241" s="359" t="s">
        <v>336</v>
      </c>
      <c r="B241" s="537" t="s">
        <v>624</v>
      </c>
      <c r="C241" s="548" t="s">
        <v>499</v>
      </c>
      <c r="D241" s="360">
        <v>0.4</v>
      </c>
      <c r="E241" s="528">
        <v>80</v>
      </c>
      <c r="F241" s="523">
        <v>15</v>
      </c>
      <c r="G241" s="393">
        <v>15</v>
      </c>
      <c r="H241" s="542">
        <v>57.830390000000001</v>
      </c>
      <c r="I241" s="394">
        <v>38.484610000000004</v>
      </c>
      <c r="J241" s="394">
        <v>10.7272</v>
      </c>
      <c r="K241" s="394">
        <v>24.648019999999999</v>
      </c>
      <c r="L241" s="394">
        <v>6.6094299999999997</v>
      </c>
      <c r="M241" s="394">
        <v>0</v>
      </c>
      <c r="N241" s="394">
        <v>0</v>
      </c>
      <c r="O241" s="394">
        <v>5.8418599999999996</v>
      </c>
      <c r="P241" s="394">
        <v>134.09</v>
      </c>
      <c r="Q241" s="394">
        <v>12.324009999999999</v>
      </c>
      <c r="R241" s="381" t="s">
        <v>167</v>
      </c>
      <c r="S241" s="408" t="s">
        <v>175</v>
      </c>
      <c r="T241" s="385"/>
      <c r="U241" s="475">
        <v>136</v>
      </c>
      <c r="V241" s="395">
        <f t="shared" si="137"/>
        <v>722.87987500000008</v>
      </c>
      <c r="W241" s="395">
        <f t="shared" si="138"/>
        <v>3.8553593333333334</v>
      </c>
      <c r="X241" s="528"/>
      <c r="Y241" s="523"/>
      <c r="Z241" s="393"/>
      <c r="AA241" s="542"/>
      <c r="AB241" s="394"/>
      <c r="AC241" s="394"/>
      <c r="AD241" s="394"/>
      <c r="AE241" s="394"/>
      <c r="AF241" s="394"/>
      <c r="AG241" s="394"/>
      <c r="AH241" s="394"/>
      <c r="AI241" s="394"/>
      <c r="AJ241" s="394"/>
      <c r="AK241" s="381"/>
      <c r="AL241" s="408"/>
      <c r="AM241" s="385"/>
      <c r="AN241" s="475"/>
      <c r="AO241" s="395" t="e">
        <f t="shared" si="110"/>
        <v>#DIV/0!</v>
      </c>
      <c r="AP241" s="395" t="e">
        <f t="shared" si="111"/>
        <v>#DIV/0!</v>
      </c>
      <c r="AQ241" s="528"/>
      <c r="AR241" s="523"/>
      <c r="AS241" s="393"/>
      <c r="AT241" s="542"/>
      <c r="AU241" s="394"/>
      <c r="AV241" s="394"/>
      <c r="AW241" s="394"/>
      <c r="AX241" s="394"/>
      <c r="AY241" s="394"/>
      <c r="AZ241" s="394"/>
      <c r="BA241" s="394"/>
      <c r="BB241" s="394"/>
      <c r="BC241" s="394"/>
      <c r="BD241" s="381"/>
      <c r="BE241" s="408"/>
      <c r="BF241" s="385"/>
      <c r="BG241" s="475"/>
      <c r="BH241" s="395" t="e">
        <f t="shared" si="112"/>
        <v>#DIV/0!</v>
      </c>
      <c r="BI241" s="395" t="e">
        <f t="shared" si="113"/>
        <v>#DIV/0!</v>
      </c>
    </row>
    <row r="242" spans="1:61" s="358" customFormat="1" ht="19.2" x14ac:dyDescent="0.3">
      <c r="A242" s="359" t="s">
        <v>337</v>
      </c>
      <c r="B242" s="537" t="s">
        <v>626</v>
      </c>
      <c r="C242" s="548" t="s">
        <v>501</v>
      </c>
      <c r="D242" s="360">
        <v>0.4</v>
      </c>
      <c r="E242" s="528">
        <v>70</v>
      </c>
      <c r="F242" s="523">
        <v>15</v>
      </c>
      <c r="G242" s="393">
        <v>15</v>
      </c>
      <c r="H242" s="542">
        <v>51.673169999999999</v>
      </c>
      <c r="I242" s="394">
        <v>37.252630000000003</v>
      </c>
      <c r="J242" s="394">
        <v>9.3863000000000003</v>
      </c>
      <c r="K242" s="394">
        <v>24.648019999999999</v>
      </c>
      <c r="L242" s="394">
        <v>6.2831599999999996</v>
      </c>
      <c r="M242" s="394">
        <v>0</v>
      </c>
      <c r="N242" s="394">
        <v>0</v>
      </c>
      <c r="O242" s="394">
        <v>4.0146899999999999</v>
      </c>
      <c r="P242" s="394">
        <v>134.09</v>
      </c>
      <c r="Q242" s="394">
        <v>12.324009999999999</v>
      </c>
      <c r="R242" s="381" t="s">
        <v>167</v>
      </c>
      <c r="S242" s="408" t="s">
        <v>175</v>
      </c>
      <c r="T242" s="385"/>
      <c r="U242" s="475">
        <v>138</v>
      </c>
      <c r="V242" s="395">
        <f t="shared" ref="V242:V246" si="141">H242/E242*1000</f>
        <v>738.18814285714279</v>
      </c>
      <c r="W242" s="395">
        <f t="shared" ref="W242:W246" si="142">H242/F242</f>
        <v>3.4448780000000001</v>
      </c>
      <c r="X242" s="528"/>
      <c r="Y242" s="523"/>
      <c r="Z242" s="393"/>
      <c r="AA242" s="542"/>
      <c r="AB242" s="394"/>
      <c r="AC242" s="394"/>
      <c r="AD242" s="394"/>
      <c r="AE242" s="394"/>
      <c r="AF242" s="394"/>
      <c r="AG242" s="394"/>
      <c r="AH242" s="394"/>
      <c r="AI242" s="394"/>
      <c r="AJ242" s="394"/>
      <c r="AK242" s="381"/>
      <c r="AL242" s="408"/>
      <c r="AM242" s="385"/>
      <c r="AN242" s="475"/>
      <c r="AO242" s="395" t="e">
        <f t="shared" si="110"/>
        <v>#DIV/0!</v>
      </c>
      <c r="AP242" s="395" t="e">
        <f t="shared" si="111"/>
        <v>#DIV/0!</v>
      </c>
      <c r="AQ242" s="528"/>
      <c r="AR242" s="523"/>
      <c r="AS242" s="393"/>
      <c r="AT242" s="542"/>
      <c r="AU242" s="394"/>
      <c r="AV242" s="394"/>
      <c r="AW242" s="394"/>
      <c r="AX242" s="394"/>
      <c r="AY242" s="394"/>
      <c r="AZ242" s="394"/>
      <c r="BA242" s="394"/>
      <c r="BB242" s="394"/>
      <c r="BC242" s="394"/>
      <c r="BD242" s="381"/>
      <c r="BE242" s="408"/>
      <c r="BF242" s="385"/>
      <c r="BG242" s="475"/>
      <c r="BH242" s="395" t="e">
        <f t="shared" si="112"/>
        <v>#DIV/0!</v>
      </c>
      <c r="BI242" s="395" t="e">
        <f t="shared" si="113"/>
        <v>#DIV/0!</v>
      </c>
    </row>
    <row r="243" spans="1:61" s="358" customFormat="1" ht="19.2" x14ac:dyDescent="0.3">
      <c r="A243" s="359" t="s">
        <v>338</v>
      </c>
      <c r="B243" s="537" t="s">
        <v>629</v>
      </c>
      <c r="C243" s="548" t="s">
        <v>505</v>
      </c>
      <c r="D243" s="360">
        <v>0.4</v>
      </c>
      <c r="E243" s="528">
        <v>60</v>
      </c>
      <c r="F243" s="523">
        <v>15</v>
      </c>
      <c r="G243" s="393">
        <v>15</v>
      </c>
      <c r="H243" s="542">
        <v>70.973010000000002</v>
      </c>
      <c r="I243" s="394">
        <v>49.138460000000002</v>
      </c>
      <c r="J243" s="394">
        <v>8.0464000000000002</v>
      </c>
      <c r="K243" s="394">
        <v>37.419359999999998</v>
      </c>
      <c r="L243" s="394">
        <v>8.3926499999999997</v>
      </c>
      <c r="M243" s="394">
        <v>0</v>
      </c>
      <c r="N243" s="394">
        <v>0</v>
      </c>
      <c r="O243" s="394">
        <v>6.2762399999999996</v>
      </c>
      <c r="P243" s="394">
        <v>134.09</v>
      </c>
      <c r="Q243" s="394">
        <v>12.47312</v>
      </c>
      <c r="R243" s="381" t="s">
        <v>167</v>
      </c>
      <c r="S243" s="408" t="s">
        <v>175</v>
      </c>
      <c r="T243" s="385"/>
      <c r="U243" s="475">
        <v>140</v>
      </c>
      <c r="V243" s="395">
        <f t="shared" si="141"/>
        <v>1182.8834999999999</v>
      </c>
      <c r="W243" s="395">
        <f t="shared" si="142"/>
        <v>4.7315339999999999</v>
      </c>
      <c r="X243" s="528"/>
      <c r="Y243" s="523"/>
      <c r="Z243" s="393"/>
      <c r="AA243" s="542"/>
      <c r="AB243" s="394"/>
      <c r="AC243" s="394"/>
      <c r="AD243" s="394"/>
      <c r="AE243" s="394"/>
      <c r="AF243" s="394"/>
      <c r="AG243" s="394"/>
      <c r="AH243" s="394"/>
      <c r="AI243" s="394"/>
      <c r="AJ243" s="394"/>
      <c r="AK243" s="381"/>
      <c r="AL243" s="408"/>
      <c r="AM243" s="385"/>
      <c r="AN243" s="475"/>
      <c r="AO243" s="395" t="e">
        <f t="shared" si="110"/>
        <v>#DIV/0!</v>
      </c>
      <c r="AP243" s="395" t="e">
        <f t="shared" si="111"/>
        <v>#DIV/0!</v>
      </c>
      <c r="AQ243" s="528"/>
      <c r="AR243" s="523"/>
      <c r="AS243" s="393"/>
      <c r="AT243" s="542"/>
      <c r="AU243" s="394"/>
      <c r="AV243" s="394"/>
      <c r="AW243" s="394"/>
      <c r="AX243" s="394"/>
      <c r="AY243" s="394"/>
      <c r="AZ243" s="394"/>
      <c r="BA243" s="394"/>
      <c r="BB243" s="394"/>
      <c r="BC243" s="394"/>
      <c r="BD243" s="381"/>
      <c r="BE243" s="408"/>
      <c r="BF243" s="385"/>
      <c r="BG243" s="475"/>
      <c r="BH243" s="395" t="e">
        <f t="shared" si="112"/>
        <v>#DIV/0!</v>
      </c>
      <c r="BI243" s="395" t="e">
        <f t="shared" si="113"/>
        <v>#DIV/0!</v>
      </c>
    </row>
    <row r="244" spans="1:61" s="358" customFormat="1" ht="19.2" x14ac:dyDescent="0.3">
      <c r="A244" s="359" t="s">
        <v>339</v>
      </c>
      <c r="B244" s="537" t="s">
        <v>633</v>
      </c>
      <c r="C244" s="548" t="s">
        <v>509</v>
      </c>
      <c r="D244" s="360">
        <v>0.4</v>
      </c>
      <c r="E244" s="528">
        <v>70</v>
      </c>
      <c r="F244" s="523">
        <v>15</v>
      </c>
      <c r="G244" s="393">
        <v>15</v>
      </c>
      <c r="H244" s="542">
        <v>37.246389999999998</v>
      </c>
      <c r="I244" s="394">
        <v>23.577929999999999</v>
      </c>
      <c r="J244" s="394">
        <v>9.3863000000000003</v>
      </c>
      <c r="K244" s="394">
        <v>12.408480000000001</v>
      </c>
      <c r="L244" s="394">
        <v>4.4689699999999997</v>
      </c>
      <c r="M244" s="394">
        <v>0</v>
      </c>
      <c r="N244" s="394">
        <v>0</v>
      </c>
      <c r="O244" s="394">
        <v>4.1642099999999997</v>
      </c>
      <c r="P244" s="394">
        <v>134.09</v>
      </c>
      <c r="Q244" s="394">
        <v>12.408480000000001</v>
      </c>
      <c r="R244" s="381" t="s">
        <v>167</v>
      </c>
      <c r="S244" s="408" t="s">
        <v>175</v>
      </c>
      <c r="T244" s="385"/>
      <c r="U244" s="475">
        <v>142</v>
      </c>
      <c r="V244" s="395">
        <f t="shared" si="141"/>
        <v>532.09128571428562</v>
      </c>
      <c r="W244" s="395">
        <f t="shared" si="142"/>
        <v>2.4830926666666664</v>
      </c>
      <c r="X244" s="528"/>
      <c r="Y244" s="523"/>
      <c r="Z244" s="393"/>
      <c r="AA244" s="542"/>
      <c r="AB244" s="394"/>
      <c r="AC244" s="394"/>
      <c r="AD244" s="394"/>
      <c r="AE244" s="394"/>
      <c r="AF244" s="394"/>
      <c r="AG244" s="394"/>
      <c r="AH244" s="394"/>
      <c r="AI244" s="394"/>
      <c r="AJ244" s="394"/>
      <c r="AK244" s="381"/>
      <c r="AL244" s="408"/>
      <c r="AM244" s="385"/>
      <c r="AN244" s="475"/>
      <c r="AO244" s="395" t="e">
        <f t="shared" si="110"/>
        <v>#DIV/0!</v>
      </c>
      <c r="AP244" s="395" t="e">
        <f t="shared" si="111"/>
        <v>#DIV/0!</v>
      </c>
      <c r="AQ244" s="528"/>
      <c r="AR244" s="523"/>
      <c r="AS244" s="393"/>
      <c r="AT244" s="542"/>
      <c r="AU244" s="394"/>
      <c r="AV244" s="394"/>
      <c r="AW244" s="394"/>
      <c r="AX244" s="394"/>
      <c r="AY244" s="394"/>
      <c r="AZ244" s="394"/>
      <c r="BA244" s="394"/>
      <c r="BB244" s="394"/>
      <c r="BC244" s="394"/>
      <c r="BD244" s="381"/>
      <c r="BE244" s="408"/>
      <c r="BF244" s="385"/>
      <c r="BG244" s="475"/>
      <c r="BH244" s="395" t="e">
        <f t="shared" si="112"/>
        <v>#DIV/0!</v>
      </c>
      <c r="BI244" s="395" t="e">
        <f t="shared" si="113"/>
        <v>#DIV/0!</v>
      </c>
    </row>
    <row r="245" spans="1:61" s="358" customFormat="1" ht="19.2" x14ac:dyDescent="0.3">
      <c r="A245" s="359" t="s">
        <v>340</v>
      </c>
      <c r="B245" s="537" t="s">
        <v>640</v>
      </c>
      <c r="C245" s="548" t="s">
        <v>518</v>
      </c>
      <c r="D245" s="360">
        <v>0.4</v>
      </c>
      <c r="E245" s="528">
        <v>90</v>
      </c>
      <c r="F245" s="523">
        <v>15</v>
      </c>
      <c r="G245" s="393">
        <v>15</v>
      </c>
      <c r="H245" s="542">
        <v>63.050190000000001</v>
      </c>
      <c r="I245" s="394">
        <v>42.002679999999998</v>
      </c>
      <c r="J245" s="394">
        <v>12.068099999999999</v>
      </c>
      <c r="K245" s="394">
        <v>25.077100000000002</v>
      </c>
      <c r="L245" s="394">
        <v>7.3673799999999998</v>
      </c>
      <c r="M245" s="394">
        <v>0</v>
      </c>
      <c r="N245" s="394">
        <v>0</v>
      </c>
      <c r="O245" s="394">
        <v>6.2562899999999999</v>
      </c>
      <c r="P245" s="394">
        <v>134.09</v>
      </c>
      <c r="Q245" s="394">
        <v>12.538550000000001</v>
      </c>
      <c r="R245" s="381" t="s">
        <v>167</v>
      </c>
      <c r="S245" s="408" t="s">
        <v>175</v>
      </c>
      <c r="T245" s="385"/>
      <c r="U245" s="475">
        <v>144</v>
      </c>
      <c r="V245" s="395">
        <f t="shared" si="141"/>
        <v>700.55766666666659</v>
      </c>
      <c r="W245" s="395">
        <f t="shared" si="142"/>
        <v>4.2033459999999998</v>
      </c>
      <c r="X245" s="528"/>
      <c r="Y245" s="523"/>
      <c r="Z245" s="393"/>
      <c r="AA245" s="542"/>
      <c r="AB245" s="394"/>
      <c r="AC245" s="394"/>
      <c r="AD245" s="394"/>
      <c r="AE245" s="394"/>
      <c r="AF245" s="394"/>
      <c r="AG245" s="394"/>
      <c r="AH245" s="394"/>
      <c r="AI245" s="394"/>
      <c r="AJ245" s="394"/>
      <c r="AK245" s="381"/>
      <c r="AL245" s="408"/>
      <c r="AM245" s="385"/>
      <c r="AN245" s="475"/>
      <c r="AO245" s="395" t="e">
        <f t="shared" si="110"/>
        <v>#DIV/0!</v>
      </c>
      <c r="AP245" s="395" t="e">
        <f t="shared" si="111"/>
        <v>#DIV/0!</v>
      </c>
      <c r="AQ245" s="528"/>
      <c r="AR245" s="523"/>
      <c r="AS245" s="393"/>
      <c r="AT245" s="542"/>
      <c r="AU245" s="394"/>
      <c r="AV245" s="394"/>
      <c r="AW245" s="394"/>
      <c r="AX245" s="394"/>
      <c r="AY245" s="394"/>
      <c r="AZ245" s="394"/>
      <c r="BA245" s="394"/>
      <c r="BB245" s="394"/>
      <c r="BC245" s="394"/>
      <c r="BD245" s="381"/>
      <c r="BE245" s="408"/>
      <c r="BF245" s="385"/>
      <c r="BG245" s="475"/>
      <c r="BH245" s="395" t="e">
        <f t="shared" si="112"/>
        <v>#DIV/0!</v>
      </c>
      <c r="BI245" s="395" t="e">
        <f t="shared" si="113"/>
        <v>#DIV/0!</v>
      </c>
    </row>
    <row r="246" spans="1:61" s="358" customFormat="1" ht="19.2" x14ac:dyDescent="0.3">
      <c r="A246" s="359" t="s">
        <v>341</v>
      </c>
      <c r="B246" s="537" t="s">
        <v>642</v>
      </c>
      <c r="C246" s="548" t="s">
        <v>520</v>
      </c>
      <c r="D246" s="360">
        <v>0.4</v>
      </c>
      <c r="E246" s="528">
        <v>190</v>
      </c>
      <c r="F246" s="523">
        <v>15</v>
      </c>
      <c r="G246" s="393">
        <v>15</v>
      </c>
      <c r="H246" s="542">
        <v>219.70665</v>
      </c>
      <c r="I246" s="394">
        <v>153.95773</v>
      </c>
      <c r="J246" s="394">
        <v>25.4771</v>
      </c>
      <c r="K246" s="394">
        <f>37.61565+75.2313</f>
        <v>112.84695000000001</v>
      </c>
      <c r="L246" s="394">
        <v>30.537459999999999</v>
      </c>
      <c r="M246" s="394">
        <v>0</v>
      </c>
      <c r="N246" s="394">
        <v>0</v>
      </c>
      <c r="O246" s="394">
        <v>17.42896</v>
      </c>
      <c r="P246" s="394">
        <v>134.09</v>
      </c>
      <c r="Q246" s="394">
        <v>12.538550000000001</v>
      </c>
      <c r="R246" s="381" t="s">
        <v>167</v>
      </c>
      <c r="S246" s="408" t="s">
        <v>175</v>
      </c>
      <c r="T246" s="385"/>
      <c r="U246" s="475">
        <v>146</v>
      </c>
      <c r="V246" s="395">
        <f t="shared" si="141"/>
        <v>1156.3507894736842</v>
      </c>
      <c r="W246" s="395">
        <f t="shared" si="142"/>
        <v>14.64711</v>
      </c>
      <c r="X246" s="528"/>
      <c r="Y246" s="523"/>
      <c r="Z246" s="393"/>
      <c r="AA246" s="542"/>
      <c r="AB246" s="394"/>
      <c r="AC246" s="394"/>
      <c r="AD246" s="394"/>
      <c r="AE246" s="394"/>
      <c r="AF246" s="394"/>
      <c r="AG246" s="394"/>
      <c r="AH246" s="394"/>
      <c r="AI246" s="394"/>
      <c r="AJ246" s="394"/>
      <c r="AK246" s="381"/>
      <c r="AL246" s="408"/>
      <c r="AM246" s="385"/>
      <c r="AN246" s="475"/>
      <c r="AO246" s="395" t="e">
        <f t="shared" si="110"/>
        <v>#DIV/0!</v>
      </c>
      <c r="AP246" s="395" t="e">
        <f t="shared" si="111"/>
        <v>#DIV/0!</v>
      </c>
      <c r="AQ246" s="528"/>
      <c r="AR246" s="523"/>
      <c r="AS246" s="393"/>
      <c r="AT246" s="542"/>
      <c r="AU246" s="394"/>
      <c r="AV246" s="394"/>
      <c r="AW246" s="394"/>
      <c r="AX246" s="394"/>
      <c r="AY246" s="394"/>
      <c r="AZ246" s="394"/>
      <c r="BA246" s="394"/>
      <c r="BB246" s="394"/>
      <c r="BC246" s="394"/>
      <c r="BD246" s="381"/>
      <c r="BE246" s="408"/>
      <c r="BF246" s="385"/>
      <c r="BG246" s="475"/>
      <c r="BH246" s="395" t="e">
        <f t="shared" si="112"/>
        <v>#DIV/0!</v>
      </c>
      <c r="BI246" s="395" t="e">
        <f t="shared" si="113"/>
        <v>#DIV/0!</v>
      </c>
    </row>
    <row r="247" spans="1:61" s="358" customFormat="1" ht="19.2" x14ac:dyDescent="0.3">
      <c r="A247" s="359" t="s">
        <v>342</v>
      </c>
      <c r="B247" s="537" t="s">
        <v>648</v>
      </c>
      <c r="C247" s="548" t="s">
        <v>526</v>
      </c>
      <c r="D247" s="360">
        <v>0.4</v>
      </c>
      <c r="E247" s="528">
        <v>42</v>
      </c>
      <c r="F247" s="523">
        <v>15</v>
      </c>
      <c r="G247" s="393">
        <v>15</v>
      </c>
      <c r="H247" s="542">
        <v>30.001760000000001</v>
      </c>
      <c r="I247" s="394">
        <v>20.725570000000001</v>
      </c>
      <c r="J247" s="394">
        <v>5.63178</v>
      </c>
      <c r="K247" s="394">
        <v>12.544370000000001</v>
      </c>
      <c r="L247" s="394">
        <v>3.3624999999999998</v>
      </c>
      <c r="M247" s="394">
        <v>0</v>
      </c>
      <c r="N247" s="394">
        <v>0</v>
      </c>
      <c r="O247" s="394">
        <v>2.7395900000000002</v>
      </c>
      <c r="P247" s="394">
        <v>134.09</v>
      </c>
      <c r="Q247" s="394">
        <v>12.544370000000001</v>
      </c>
      <c r="R247" s="381" t="s">
        <v>167</v>
      </c>
      <c r="S247" s="408" t="s">
        <v>175</v>
      </c>
      <c r="T247" s="385"/>
      <c r="U247" s="475">
        <v>148</v>
      </c>
      <c r="V247" s="395">
        <f t="shared" si="137"/>
        <v>714.32761904761912</v>
      </c>
      <c r="W247" s="395">
        <f t="shared" si="138"/>
        <v>2.0001173333333333</v>
      </c>
      <c r="X247" s="528"/>
      <c r="Y247" s="523"/>
      <c r="Z247" s="393"/>
      <c r="AA247" s="542"/>
      <c r="AB247" s="394"/>
      <c r="AC247" s="394"/>
      <c r="AD247" s="394"/>
      <c r="AE247" s="394"/>
      <c r="AF247" s="394"/>
      <c r="AG247" s="394"/>
      <c r="AH247" s="394"/>
      <c r="AI247" s="394"/>
      <c r="AJ247" s="394"/>
      <c r="AK247" s="381"/>
      <c r="AL247" s="408"/>
      <c r="AM247" s="385"/>
      <c r="AN247" s="475"/>
      <c r="AO247" s="395" t="e">
        <f t="shared" si="110"/>
        <v>#DIV/0!</v>
      </c>
      <c r="AP247" s="395" t="e">
        <f t="shared" si="111"/>
        <v>#DIV/0!</v>
      </c>
      <c r="AQ247" s="528"/>
      <c r="AR247" s="523"/>
      <c r="AS247" s="393"/>
      <c r="AT247" s="542"/>
      <c r="AU247" s="394"/>
      <c r="AV247" s="394"/>
      <c r="AW247" s="394"/>
      <c r="AX247" s="394"/>
      <c r="AY247" s="394"/>
      <c r="AZ247" s="394"/>
      <c r="BA247" s="394"/>
      <c r="BB247" s="394"/>
      <c r="BC247" s="394"/>
      <c r="BD247" s="381"/>
      <c r="BE247" s="408"/>
      <c r="BF247" s="385"/>
      <c r="BG247" s="475"/>
      <c r="BH247" s="395" t="e">
        <f t="shared" si="112"/>
        <v>#DIV/0!</v>
      </c>
      <c r="BI247" s="395" t="e">
        <f t="shared" si="113"/>
        <v>#DIV/0!</v>
      </c>
    </row>
    <row r="248" spans="1:61" s="358" customFormat="1" ht="19.2" x14ac:dyDescent="0.3">
      <c r="A248" s="359" t="s">
        <v>343</v>
      </c>
      <c r="B248" s="537" t="s">
        <v>649</v>
      </c>
      <c r="C248" s="548" t="s">
        <v>527</v>
      </c>
      <c r="D248" s="360">
        <v>0.4</v>
      </c>
      <c r="E248" s="528">
        <v>45</v>
      </c>
      <c r="F248" s="523">
        <v>15</v>
      </c>
      <c r="G248" s="393">
        <v>15</v>
      </c>
      <c r="H248" s="542">
        <v>31.6783</v>
      </c>
      <c r="I248" s="394">
        <v>21.154540000000001</v>
      </c>
      <c r="J248" s="394">
        <v>6.0340499999999997</v>
      </c>
      <c r="K248" s="394">
        <v>12.544370000000001</v>
      </c>
      <c r="L248" s="394">
        <v>3.6836899999999999</v>
      </c>
      <c r="M248" s="394">
        <v>0</v>
      </c>
      <c r="N248" s="394">
        <v>0</v>
      </c>
      <c r="O248" s="394">
        <v>3.1281500000000002</v>
      </c>
      <c r="P248" s="394" t="s">
        <v>528</v>
      </c>
      <c r="Q248" s="394">
        <v>12.544370000000001</v>
      </c>
      <c r="R248" s="381" t="s">
        <v>167</v>
      </c>
      <c r="S248" s="408" t="s">
        <v>175</v>
      </c>
      <c r="T248" s="385"/>
      <c r="U248" s="475">
        <v>150</v>
      </c>
      <c r="V248" s="395">
        <f t="shared" si="137"/>
        <v>703.96222222222229</v>
      </c>
      <c r="W248" s="395">
        <f t="shared" si="138"/>
        <v>2.1118866666666665</v>
      </c>
      <c r="X248" s="528"/>
      <c r="Y248" s="523"/>
      <c r="Z248" s="393"/>
      <c r="AA248" s="542"/>
      <c r="AB248" s="394"/>
      <c r="AC248" s="394"/>
      <c r="AD248" s="394"/>
      <c r="AE248" s="394"/>
      <c r="AF248" s="394"/>
      <c r="AG248" s="394"/>
      <c r="AH248" s="394"/>
      <c r="AI248" s="394"/>
      <c r="AJ248" s="394"/>
      <c r="AK248" s="381"/>
      <c r="AL248" s="408"/>
      <c r="AM248" s="385"/>
      <c r="AN248" s="475"/>
      <c r="AO248" s="395" t="e">
        <f t="shared" si="110"/>
        <v>#DIV/0!</v>
      </c>
      <c r="AP248" s="395" t="e">
        <f t="shared" si="111"/>
        <v>#DIV/0!</v>
      </c>
      <c r="AQ248" s="528"/>
      <c r="AR248" s="523"/>
      <c r="AS248" s="393"/>
      <c r="AT248" s="542"/>
      <c r="AU248" s="394"/>
      <c r="AV248" s="394"/>
      <c r="AW248" s="394"/>
      <c r="AX248" s="394"/>
      <c r="AY248" s="394"/>
      <c r="AZ248" s="394"/>
      <c r="BA248" s="394"/>
      <c r="BB248" s="394"/>
      <c r="BC248" s="394"/>
      <c r="BD248" s="381"/>
      <c r="BE248" s="408"/>
      <c r="BF248" s="385"/>
      <c r="BG248" s="475"/>
      <c r="BH248" s="395" t="e">
        <f t="shared" si="112"/>
        <v>#DIV/0!</v>
      </c>
      <c r="BI248" s="395" t="e">
        <f t="shared" si="113"/>
        <v>#DIV/0!</v>
      </c>
    </row>
    <row r="249" spans="1:61" s="358" customFormat="1" ht="19.2" x14ac:dyDescent="0.3">
      <c r="A249" s="359" t="s">
        <v>344</v>
      </c>
      <c r="B249" s="537" t="s">
        <v>650</v>
      </c>
      <c r="C249" s="548" t="s">
        <v>529</v>
      </c>
      <c r="D249" s="360">
        <v>0.4</v>
      </c>
      <c r="E249" s="528">
        <v>35</v>
      </c>
      <c r="F249" s="523">
        <v>15</v>
      </c>
      <c r="G249" s="393">
        <v>15</v>
      </c>
      <c r="H249" s="542">
        <v>28.20692</v>
      </c>
      <c r="I249" s="394">
        <v>19.755269999999999</v>
      </c>
      <c r="J249" s="394">
        <v>4.6931500000000002</v>
      </c>
      <c r="K249" s="394">
        <v>12.544370000000001</v>
      </c>
      <c r="L249" s="394">
        <v>3.13395</v>
      </c>
      <c r="M249" s="394">
        <v>0</v>
      </c>
      <c r="N249" s="394">
        <v>0</v>
      </c>
      <c r="O249" s="394">
        <v>2.4746199999999998</v>
      </c>
      <c r="P249" s="394">
        <v>134.09</v>
      </c>
      <c r="Q249" s="394">
        <v>12.544370000000001</v>
      </c>
      <c r="R249" s="381" t="s">
        <v>167</v>
      </c>
      <c r="S249" s="408" t="s">
        <v>175</v>
      </c>
      <c r="T249" s="385"/>
      <c r="U249" s="475">
        <v>152</v>
      </c>
      <c r="V249" s="395">
        <f t="shared" si="137"/>
        <v>805.91199999999992</v>
      </c>
      <c r="W249" s="395">
        <f t="shared" si="138"/>
        <v>1.8804613333333333</v>
      </c>
      <c r="X249" s="528"/>
      <c r="Y249" s="523"/>
      <c r="Z249" s="393"/>
      <c r="AA249" s="542"/>
      <c r="AB249" s="394"/>
      <c r="AC249" s="394"/>
      <c r="AD249" s="394"/>
      <c r="AE249" s="394"/>
      <c r="AF249" s="394"/>
      <c r="AG249" s="394"/>
      <c r="AH249" s="394"/>
      <c r="AI249" s="394"/>
      <c r="AJ249" s="394"/>
      <c r="AK249" s="381"/>
      <c r="AL249" s="408"/>
      <c r="AM249" s="385"/>
      <c r="AN249" s="475"/>
      <c r="AO249" s="395" t="e">
        <f t="shared" si="110"/>
        <v>#DIV/0!</v>
      </c>
      <c r="AP249" s="395" t="e">
        <f t="shared" si="111"/>
        <v>#DIV/0!</v>
      </c>
      <c r="AQ249" s="528"/>
      <c r="AR249" s="523"/>
      <c r="AS249" s="393"/>
      <c r="AT249" s="542"/>
      <c r="AU249" s="394"/>
      <c r="AV249" s="394"/>
      <c r="AW249" s="394"/>
      <c r="AX249" s="394"/>
      <c r="AY249" s="394"/>
      <c r="AZ249" s="394"/>
      <c r="BA249" s="394"/>
      <c r="BB249" s="394"/>
      <c r="BC249" s="394"/>
      <c r="BD249" s="381"/>
      <c r="BE249" s="408"/>
      <c r="BF249" s="385"/>
      <c r="BG249" s="475"/>
      <c r="BH249" s="395" t="e">
        <f t="shared" si="112"/>
        <v>#DIV/0!</v>
      </c>
      <c r="BI249" s="395" t="e">
        <f t="shared" si="113"/>
        <v>#DIV/0!</v>
      </c>
    </row>
    <row r="250" spans="1:61" s="358" customFormat="1" ht="19.2" x14ac:dyDescent="0.3">
      <c r="A250" s="359" t="s">
        <v>345</v>
      </c>
      <c r="B250" s="537" t="s">
        <v>654</v>
      </c>
      <c r="C250" s="548" t="s">
        <v>534</v>
      </c>
      <c r="D250" s="360">
        <v>0.4</v>
      </c>
      <c r="E250" s="528">
        <v>35</v>
      </c>
      <c r="F250" s="523">
        <v>15</v>
      </c>
      <c r="G250" s="393">
        <v>15</v>
      </c>
      <c r="H250" s="542">
        <v>26.676749999999998</v>
      </c>
      <c r="I250" s="394">
        <v>19.898150000000001</v>
      </c>
      <c r="J250" s="394">
        <v>4.6931500000000002</v>
      </c>
      <c r="K250" s="394">
        <v>12.544370000000001</v>
      </c>
      <c r="L250" s="394">
        <v>3.1699299999999999</v>
      </c>
      <c r="M250" s="394">
        <v>0</v>
      </c>
      <c r="N250" s="394">
        <v>0</v>
      </c>
      <c r="O250" s="394">
        <v>1.80796</v>
      </c>
      <c r="P250" s="394">
        <v>134.09</v>
      </c>
      <c r="Q250" s="394">
        <v>12.544370000000001</v>
      </c>
      <c r="R250" s="381" t="s">
        <v>167</v>
      </c>
      <c r="S250" s="408" t="s">
        <v>175</v>
      </c>
      <c r="T250" s="385"/>
      <c r="U250" s="475">
        <v>154</v>
      </c>
      <c r="V250" s="395">
        <f t="shared" si="137"/>
        <v>762.19285714285706</v>
      </c>
      <c r="W250" s="395">
        <f t="shared" si="138"/>
        <v>1.7784499999999999</v>
      </c>
      <c r="X250" s="528"/>
      <c r="Y250" s="523"/>
      <c r="Z250" s="393"/>
      <c r="AA250" s="542"/>
      <c r="AB250" s="394"/>
      <c r="AC250" s="394"/>
      <c r="AD250" s="394"/>
      <c r="AE250" s="394"/>
      <c r="AF250" s="394"/>
      <c r="AG250" s="394"/>
      <c r="AH250" s="394"/>
      <c r="AI250" s="394"/>
      <c r="AJ250" s="394"/>
      <c r="AK250" s="381"/>
      <c r="AL250" s="408"/>
      <c r="AM250" s="385"/>
      <c r="AN250" s="475"/>
      <c r="AO250" s="395" t="e">
        <f t="shared" si="110"/>
        <v>#DIV/0!</v>
      </c>
      <c r="AP250" s="395" t="e">
        <f t="shared" si="111"/>
        <v>#DIV/0!</v>
      </c>
      <c r="AQ250" s="528"/>
      <c r="AR250" s="523"/>
      <c r="AS250" s="393"/>
      <c r="AT250" s="542"/>
      <c r="AU250" s="394"/>
      <c r="AV250" s="394"/>
      <c r="AW250" s="394"/>
      <c r="AX250" s="394"/>
      <c r="AY250" s="394"/>
      <c r="AZ250" s="394"/>
      <c r="BA250" s="394"/>
      <c r="BB250" s="394"/>
      <c r="BC250" s="394"/>
      <c r="BD250" s="381"/>
      <c r="BE250" s="408"/>
      <c r="BF250" s="385"/>
      <c r="BG250" s="475"/>
      <c r="BH250" s="395" t="e">
        <f t="shared" si="112"/>
        <v>#DIV/0!</v>
      </c>
      <c r="BI250" s="395" t="e">
        <f t="shared" si="113"/>
        <v>#DIV/0!</v>
      </c>
    </row>
    <row r="251" spans="1:61" s="358" customFormat="1" ht="19.2" x14ac:dyDescent="0.3">
      <c r="A251" s="359" t="s">
        <v>346</v>
      </c>
      <c r="B251" s="537" t="s">
        <v>661</v>
      </c>
      <c r="C251" s="548" t="s">
        <v>544</v>
      </c>
      <c r="D251" s="360">
        <v>0.4</v>
      </c>
      <c r="E251" s="528">
        <v>75</v>
      </c>
      <c r="F251" s="523">
        <v>15</v>
      </c>
      <c r="G251" s="393">
        <v>15</v>
      </c>
      <c r="H251" s="542">
        <v>57.52664</v>
      </c>
      <c r="I251" s="394">
        <v>42.31409</v>
      </c>
      <c r="J251" s="394">
        <v>10.056749999999999</v>
      </c>
      <c r="K251" s="394">
        <v>25.106839999999998</v>
      </c>
      <c r="L251" s="394">
        <v>6.8643700000000001</v>
      </c>
      <c r="M251" s="394">
        <v>0</v>
      </c>
      <c r="N251" s="394">
        <v>0</v>
      </c>
      <c r="O251" s="394">
        <v>4.1209899999999999</v>
      </c>
      <c r="P251" s="394">
        <v>134.09</v>
      </c>
      <c r="Q251" s="394">
        <v>12.553419999999999</v>
      </c>
      <c r="R251" s="381" t="s">
        <v>167</v>
      </c>
      <c r="S251" s="408" t="s">
        <v>175</v>
      </c>
      <c r="T251" s="385"/>
      <c r="U251" s="475">
        <v>156</v>
      </c>
      <c r="V251" s="395">
        <f t="shared" si="137"/>
        <v>767.02186666666671</v>
      </c>
      <c r="W251" s="395">
        <f t="shared" si="138"/>
        <v>3.8351093333333335</v>
      </c>
      <c r="X251" s="528"/>
      <c r="Y251" s="523"/>
      <c r="Z251" s="393"/>
      <c r="AA251" s="542"/>
      <c r="AB251" s="394"/>
      <c r="AC251" s="394"/>
      <c r="AD251" s="394"/>
      <c r="AE251" s="394"/>
      <c r="AF251" s="394"/>
      <c r="AG251" s="394"/>
      <c r="AH251" s="394"/>
      <c r="AI251" s="394"/>
      <c r="AJ251" s="394"/>
      <c r="AK251" s="381"/>
      <c r="AL251" s="408"/>
      <c r="AM251" s="385"/>
      <c r="AN251" s="475"/>
      <c r="AO251" s="395" t="e">
        <f t="shared" si="110"/>
        <v>#DIV/0!</v>
      </c>
      <c r="AP251" s="395" t="e">
        <f t="shared" si="111"/>
        <v>#DIV/0!</v>
      </c>
      <c r="AQ251" s="528"/>
      <c r="AR251" s="523"/>
      <c r="AS251" s="393"/>
      <c r="AT251" s="542"/>
      <c r="AU251" s="394"/>
      <c r="AV251" s="394"/>
      <c r="AW251" s="394"/>
      <c r="AX251" s="394"/>
      <c r="AY251" s="394"/>
      <c r="AZ251" s="394"/>
      <c r="BA251" s="394"/>
      <c r="BB251" s="394"/>
      <c r="BC251" s="394"/>
      <c r="BD251" s="381"/>
      <c r="BE251" s="408"/>
      <c r="BF251" s="385"/>
      <c r="BG251" s="475"/>
      <c r="BH251" s="395" t="e">
        <f t="shared" si="112"/>
        <v>#DIV/0!</v>
      </c>
      <c r="BI251" s="395" t="e">
        <f t="shared" si="113"/>
        <v>#DIV/0!</v>
      </c>
    </row>
    <row r="252" spans="1:61" s="358" customFormat="1" ht="19.2" x14ac:dyDescent="0.3">
      <c r="A252" s="359" t="s">
        <v>347</v>
      </c>
      <c r="B252" s="537" t="s">
        <v>662</v>
      </c>
      <c r="C252" s="548" t="s">
        <v>545</v>
      </c>
      <c r="D252" s="360">
        <v>0.4</v>
      </c>
      <c r="E252" s="528">
        <v>165</v>
      </c>
      <c r="F252" s="523">
        <v>15</v>
      </c>
      <c r="G252" s="393">
        <v>15</v>
      </c>
      <c r="H252" s="542">
        <v>129.77859000000001</v>
      </c>
      <c r="I252" s="394">
        <v>93.799670000000006</v>
      </c>
      <c r="J252" s="394">
        <v>22.124849999999999</v>
      </c>
      <c r="K252" s="394">
        <f>12.55342+50.21368</f>
        <v>62.767099999999999</v>
      </c>
      <c r="L252" s="394">
        <v>16.741710000000001</v>
      </c>
      <c r="M252" s="394">
        <v>0</v>
      </c>
      <c r="N252" s="394">
        <v>0</v>
      </c>
      <c r="O252" s="394">
        <v>9.5776400000000006</v>
      </c>
      <c r="P252" s="394">
        <v>134.09</v>
      </c>
      <c r="Q252" s="394">
        <v>12.553419999999999</v>
      </c>
      <c r="R252" s="381" t="s">
        <v>167</v>
      </c>
      <c r="S252" s="408" t="s">
        <v>175</v>
      </c>
      <c r="T252" s="385"/>
      <c r="U252" s="475">
        <v>158</v>
      </c>
      <c r="V252" s="395">
        <f t="shared" si="137"/>
        <v>786.53690909090915</v>
      </c>
      <c r="W252" s="395">
        <f t="shared" si="138"/>
        <v>8.6519060000000003</v>
      </c>
      <c r="X252" s="528"/>
      <c r="Y252" s="523"/>
      <c r="Z252" s="393"/>
      <c r="AA252" s="542"/>
      <c r="AB252" s="394"/>
      <c r="AC252" s="394"/>
      <c r="AD252" s="394"/>
      <c r="AE252" s="394"/>
      <c r="AF252" s="394"/>
      <c r="AG252" s="394"/>
      <c r="AH252" s="394"/>
      <c r="AI252" s="394"/>
      <c r="AJ252" s="394"/>
      <c r="AK252" s="381"/>
      <c r="AL252" s="408"/>
      <c r="AM252" s="385"/>
      <c r="AN252" s="475"/>
      <c r="AO252" s="395" t="e">
        <f t="shared" si="110"/>
        <v>#DIV/0!</v>
      </c>
      <c r="AP252" s="395" t="e">
        <f t="shared" si="111"/>
        <v>#DIV/0!</v>
      </c>
      <c r="AQ252" s="528"/>
      <c r="AR252" s="523"/>
      <c r="AS252" s="393"/>
      <c r="AT252" s="542"/>
      <c r="AU252" s="394"/>
      <c r="AV252" s="394"/>
      <c r="AW252" s="394"/>
      <c r="AX252" s="394"/>
      <c r="AY252" s="394"/>
      <c r="AZ252" s="394"/>
      <c r="BA252" s="394"/>
      <c r="BB252" s="394"/>
      <c r="BC252" s="394"/>
      <c r="BD252" s="381"/>
      <c r="BE252" s="408"/>
      <c r="BF252" s="385"/>
      <c r="BG252" s="475"/>
      <c r="BH252" s="395" t="e">
        <f t="shared" si="112"/>
        <v>#DIV/0!</v>
      </c>
      <c r="BI252" s="395" t="e">
        <f t="shared" si="113"/>
        <v>#DIV/0!</v>
      </c>
    </row>
    <row r="253" spans="1:61" s="358" customFormat="1" ht="19.2" x14ac:dyDescent="0.3">
      <c r="A253" s="359" t="s">
        <v>178</v>
      </c>
      <c r="B253" s="572" t="s">
        <v>2376</v>
      </c>
      <c r="C253" s="548" t="s">
        <v>2375</v>
      </c>
      <c r="D253" s="360">
        <v>0.4</v>
      </c>
      <c r="E253" s="528"/>
      <c r="F253" s="523"/>
      <c r="G253" s="393"/>
      <c r="H253" s="571"/>
      <c r="I253" s="394"/>
      <c r="J253" s="394"/>
      <c r="K253" s="394"/>
      <c r="L253" s="394"/>
      <c r="M253" s="394"/>
      <c r="N253" s="394"/>
      <c r="O253" s="394"/>
      <c r="P253" s="394"/>
      <c r="Q253" s="394"/>
      <c r="R253" s="381"/>
      <c r="S253" s="408"/>
      <c r="T253" s="385"/>
      <c r="U253" s="475"/>
      <c r="V253" s="395"/>
      <c r="W253" s="395"/>
      <c r="X253" s="528">
        <v>236</v>
      </c>
      <c r="Y253" s="523">
        <v>15</v>
      </c>
      <c r="Z253" s="393">
        <v>15</v>
      </c>
      <c r="AA253" s="571">
        <v>89.776910000000001</v>
      </c>
      <c r="AB253" s="394">
        <v>62.59451</v>
      </c>
      <c r="AC253" s="394">
        <v>31.645240000000001</v>
      </c>
      <c r="AD253" s="394">
        <v>25.110959999999999</v>
      </c>
      <c r="AE253" s="394">
        <v>12.25816</v>
      </c>
      <c r="AF253" s="394">
        <v>0</v>
      </c>
      <c r="AG253" s="394">
        <v>0</v>
      </c>
      <c r="AH253" s="394">
        <v>7.3553100000000002</v>
      </c>
      <c r="AI253" s="394">
        <v>0.13408999999999999</v>
      </c>
      <c r="AJ253" s="394">
        <v>12.555479999999999</v>
      </c>
      <c r="AK253" s="381" t="s">
        <v>167</v>
      </c>
      <c r="AL253" s="408" t="s">
        <v>175</v>
      </c>
      <c r="AM253" s="385"/>
      <c r="AN253" s="475">
        <v>173</v>
      </c>
      <c r="AO253" s="395">
        <f t="shared" ref="AO253:AO260" si="143">AA253/X253*1000</f>
        <v>380.41063559322038</v>
      </c>
      <c r="AP253" s="395">
        <f t="shared" ref="AP253:AP260" si="144">AA253/Y253</f>
        <v>5.9851273333333337</v>
      </c>
      <c r="AQ253" s="528"/>
      <c r="AR253" s="523"/>
      <c r="AS253" s="393"/>
      <c r="AT253" s="571"/>
      <c r="AU253" s="394"/>
      <c r="AV253" s="394"/>
      <c r="AW253" s="394"/>
      <c r="AX253" s="394"/>
      <c r="AY253" s="394"/>
      <c r="AZ253" s="394"/>
      <c r="BA253" s="394"/>
      <c r="BB253" s="394"/>
      <c r="BC253" s="394"/>
      <c r="BD253" s="381"/>
      <c r="BE253" s="408"/>
      <c r="BF253" s="385"/>
      <c r="BG253" s="475"/>
      <c r="BH253" s="395" t="e">
        <f t="shared" si="112"/>
        <v>#DIV/0!</v>
      </c>
      <c r="BI253" s="395" t="e">
        <f t="shared" si="113"/>
        <v>#DIV/0!</v>
      </c>
    </row>
    <row r="254" spans="1:61" s="358" customFormat="1" ht="19.2" x14ac:dyDescent="0.3">
      <c r="A254" s="359" t="s">
        <v>182</v>
      </c>
      <c r="B254" s="572" t="s">
        <v>2378</v>
      </c>
      <c r="C254" s="548" t="s">
        <v>2377</v>
      </c>
      <c r="D254" s="360">
        <v>0.4</v>
      </c>
      <c r="E254" s="528"/>
      <c r="F254" s="523"/>
      <c r="G254" s="393"/>
      <c r="H254" s="571"/>
      <c r="I254" s="394"/>
      <c r="J254" s="394"/>
      <c r="K254" s="394"/>
      <c r="L254" s="394"/>
      <c r="M254" s="394"/>
      <c r="N254" s="394"/>
      <c r="O254" s="394"/>
      <c r="P254" s="394"/>
      <c r="Q254" s="394"/>
      <c r="R254" s="381"/>
      <c r="S254" s="408"/>
      <c r="T254" s="385"/>
      <c r="U254" s="475"/>
      <c r="V254" s="395"/>
      <c r="W254" s="395"/>
      <c r="X254" s="528">
        <v>80</v>
      </c>
      <c r="Y254" s="523">
        <v>15</v>
      </c>
      <c r="Z254" s="393">
        <v>15</v>
      </c>
      <c r="AA254" s="571">
        <v>114.39299</v>
      </c>
      <c r="AB254" s="394">
        <v>81.495069999999998</v>
      </c>
      <c r="AC254" s="394">
        <v>10.7272</v>
      </c>
      <c r="AD254" s="394">
        <f>12.90959+51.63836</f>
        <v>64.54795</v>
      </c>
      <c r="AE254" s="394">
        <v>15.224769999999999</v>
      </c>
      <c r="AF254" s="394">
        <v>0</v>
      </c>
      <c r="AG254" s="394">
        <v>0</v>
      </c>
      <c r="AH254" s="394">
        <v>8.6880400000000009</v>
      </c>
      <c r="AI254" s="394">
        <v>0.13408999999999999</v>
      </c>
      <c r="AJ254" s="394">
        <v>12.90959</v>
      </c>
      <c r="AK254" s="381" t="s">
        <v>167</v>
      </c>
      <c r="AL254" s="408" t="s">
        <v>175</v>
      </c>
      <c r="AM254" s="385"/>
      <c r="AN254" s="475">
        <v>175</v>
      </c>
      <c r="AO254" s="395">
        <f t="shared" ref="AO254:AO258" si="145">AA254/X254*1000</f>
        <v>1429.9123750000001</v>
      </c>
      <c r="AP254" s="395">
        <f t="shared" ref="AP254:AP258" si="146">AA254/Y254</f>
        <v>7.6261993333333331</v>
      </c>
      <c r="AQ254" s="528"/>
      <c r="AR254" s="523"/>
      <c r="AS254" s="393"/>
      <c r="AT254" s="571"/>
      <c r="AU254" s="394"/>
      <c r="AV254" s="394"/>
      <c r="AW254" s="394"/>
      <c r="AX254" s="394"/>
      <c r="AY254" s="394"/>
      <c r="AZ254" s="394"/>
      <c r="BA254" s="394"/>
      <c r="BB254" s="394"/>
      <c r="BC254" s="394"/>
      <c r="BD254" s="381"/>
      <c r="BE254" s="408"/>
      <c r="BF254" s="385"/>
      <c r="BG254" s="475"/>
      <c r="BH254" s="395" t="e">
        <f t="shared" si="112"/>
        <v>#DIV/0!</v>
      </c>
      <c r="BI254" s="395" t="e">
        <f t="shared" si="113"/>
        <v>#DIV/0!</v>
      </c>
    </row>
    <row r="255" spans="1:61" s="358" customFormat="1" ht="19.2" x14ac:dyDescent="0.3">
      <c r="A255" s="359" t="s">
        <v>184</v>
      </c>
      <c r="B255" s="572" t="s">
        <v>2380</v>
      </c>
      <c r="C255" s="548" t="s">
        <v>2379</v>
      </c>
      <c r="D255" s="360">
        <v>0.4</v>
      </c>
      <c r="E255" s="528"/>
      <c r="F255" s="523"/>
      <c r="G255" s="393"/>
      <c r="H255" s="571"/>
      <c r="I255" s="394"/>
      <c r="J255" s="394"/>
      <c r="K255" s="394"/>
      <c r="L255" s="394"/>
      <c r="M255" s="394"/>
      <c r="N255" s="394"/>
      <c r="O255" s="394"/>
      <c r="P255" s="394"/>
      <c r="Q255" s="394"/>
      <c r="R255" s="381"/>
      <c r="S255" s="408"/>
      <c r="T255" s="385"/>
      <c r="U255" s="475"/>
      <c r="V255" s="395"/>
      <c r="W255" s="395"/>
      <c r="X255" s="528">
        <v>70</v>
      </c>
      <c r="Y255" s="523">
        <v>15</v>
      </c>
      <c r="Z255" s="393">
        <v>15</v>
      </c>
      <c r="AA255" s="571">
        <v>55.682630000000003</v>
      </c>
      <c r="AB255" s="394">
        <v>39.446159999999999</v>
      </c>
      <c r="AC255" s="394">
        <v>9.3863000000000003</v>
      </c>
      <c r="AD255" s="394">
        <v>25.7592</v>
      </c>
      <c r="AE255" s="394">
        <v>7.2397499999999999</v>
      </c>
      <c r="AF255" s="394">
        <v>0</v>
      </c>
      <c r="AG255" s="394">
        <v>0</v>
      </c>
      <c r="AH255" s="394">
        <v>4.4016599999999997</v>
      </c>
      <c r="AI255" s="394">
        <v>0.13408999999999999</v>
      </c>
      <c r="AJ255" s="394">
        <v>12.8796</v>
      </c>
      <c r="AK255" s="381" t="s">
        <v>167</v>
      </c>
      <c r="AL255" s="408" t="s">
        <v>175</v>
      </c>
      <c r="AM255" s="385"/>
      <c r="AN255" s="475">
        <v>177</v>
      </c>
      <c r="AO255" s="395">
        <f t="shared" si="145"/>
        <v>795.46614285714293</v>
      </c>
      <c r="AP255" s="395">
        <f t="shared" si="146"/>
        <v>3.7121753333333336</v>
      </c>
      <c r="AQ255" s="528"/>
      <c r="AR255" s="523"/>
      <c r="AS255" s="393"/>
      <c r="AT255" s="571"/>
      <c r="AU255" s="394"/>
      <c r="AV255" s="394"/>
      <c r="AW255" s="394"/>
      <c r="AX255" s="394"/>
      <c r="AY255" s="394"/>
      <c r="AZ255" s="394"/>
      <c r="BA255" s="394"/>
      <c r="BB255" s="394"/>
      <c r="BC255" s="394"/>
      <c r="BD255" s="381"/>
      <c r="BE255" s="408"/>
      <c r="BF255" s="385"/>
      <c r="BG255" s="475"/>
      <c r="BH255" s="395" t="e">
        <f t="shared" si="112"/>
        <v>#DIV/0!</v>
      </c>
      <c r="BI255" s="395" t="e">
        <f t="shared" si="113"/>
        <v>#DIV/0!</v>
      </c>
    </row>
    <row r="256" spans="1:61" s="358" customFormat="1" ht="19.2" x14ac:dyDescent="0.3">
      <c r="A256" s="359" t="s">
        <v>186</v>
      </c>
      <c r="B256" s="572" t="s">
        <v>315</v>
      </c>
      <c r="C256" s="548" t="s">
        <v>2381</v>
      </c>
      <c r="D256" s="360">
        <v>0.4</v>
      </c>
      <c r="E256" s="528"/>
      <c r="F256" s="523"/>
      <c r="G256" s="393"/>
      <c r="H256" s="571"/>
      <c r="I256" s="394"/>
      <c r="J256" s="394"/>
      <c r="K256" s="394"/>
      <c r="L256" s="394"/>
      <c r="M256" s="394"/>
      <c r="N256" s="394"/>
      <c r="O256" s="394"/>
      <c r="P256" s="394"/>
      <c r="Q256" s="394"/>
      <c r="R256" s="381"/>
      <c r="S256" s="408"/>
      <c r="T256" s="385"/>
      <c r="U256" s="475"/>
      <c r="V256" s="395"/>
      <c r="W256" s="395"/>
      <c r="X256" s="528">
        <v>30</v>
      </c>
      <c r="Y256" s="523">
        <v>15</v>
      </c>
      <c r="Z256" s="393">
        <v>15</v>
      </c>
      <c r="AA256" s="571">
        <v>27.067920000000001</v>
      </c>
      <c r="AB256" s="394">
        <v>19.371600000000001</v>
      </c>
      <c r="AC256" s="394">
        <v>4.0227000000000004</v>
      </c>
      <c r="AD256" s="394">
        <v>12.8796</v>
      </c>
      <c r="AE256" s="394">
        <v>3.4359299999999999</v>
      </c>
      <c r="AF256" s="394">
        <v>0</v>
      </c>
      <c r="AG256" s="394">
        <v>0</v>
      </c>
      <c r="AH256" s="394">
        <v>2.0819700000000001</v>
      </c>
      <c r="AI256" s="394">
        <v>0.13408999999999999</v>
      </c>
      <c r="AJ256" s="394">
        <v>12.8796</v>
      </c>
      <c r="AK256" s="381" t="s">
        <v>167</v>
      </c>
      <c r="AL256" s="408" t="s">
        <v>175</v>
      </c>
      <c r="AM256" s="385"/>
      <c r="AN256" s="475">
        <v>179</v>
      </c>
      <c r="AO256" s="395">
        <f t="shared" si="145"/>
        <v>902.26400000000001</v>
      </c>
      <c r="AP256" s="395">
        <f t="shared" si="146"/>
        <v>1.8045280000000001</v>
      </c>
      <c r="AQ256" s="528"/>
      <c r="AR256" s="523"/>
      <c r="AS256" s="393"/>
      <c r="AT256" s="571"/>
      <c r="AU256" s="394"/>
      <c r="AV256" s="394"/>
      <c r="AW256" s="394"/>
      <c r="AX256" s="394"/>
      <c r="AY256" s="394"/>
      <c r="AZ256" s="394"/>
      <c r="BA256" s="394"/>
      <c r="BB256" s="394"/>
      <c r="BC256" s="394"/>
      <c r="BD256" s="381"/>
      <c r="BE256" s="408"/>
      <c r="BF256" s="385"/>
      <c r="BG256" s="475"/>
      <c r="BH256" s="395" t="e">
        <f t="shared" si="112"/>
        <v>#DIV/0!</v>
      </c>
      <c r="BI256" s="395" t="e">
        <f t="shared" si="113"/>
        <v>#DIV/0!</v>
      </c>
    </row>
    <row r="257" spans="1:61" s="358" customFormat="1" ht="19.2" x14ac:dyDescent="0.3">
      <c r="A257" s="359" t="s">
        <v>189</v>
      </c>
      <c r="B257" s="572" t="s">
        <v>2383</v>
      </c>
      <c r="C257" s="548" t="s">
        <v>2382</v>
      </c>
      <c r="D257" s="360">
        <v>0.4</v>
      </c>
      <c r="E257" s="528"/>
      <c r="F257" s="523"/>
      <c r="G257" s="393"/>
      <c r="H257" s="571"/>
      <c r="I257" s="394"/>
      <c r="J257" s="394"/>
      <c r="K257" s="394"/>
      <c r="L257" s="394"/>
      <c r="M257" s="394"/>
      <c r="N257" s="394"/>
      <c r="O257" s="394"/>
      <c r="P257" s="394"/>
      <c r="Q257" s="394"/>
      <c r="R257" s="381"/>
      <c r="S257" s="408"/>
      <c r="T257" s="385"/>
      <c r="U257" s="475"/>
      <c r="V257" s="395"/>
      <c r="W257" s="395"/>
      <c r="X257" s="528">
        <v>150</v>
      </c>
      <c r="Y257" s="523">
        <v>15</v>
      </c>
      <c r="Z257" s="393">
        <v>15</v>
      </c>
      <c r="AA257" s="571">
        <v>95.381020000000007</v>
      </c>
      <c r="AB257" s="394">
        <v>67.067490000000006</v>
      </c>
      <c r="AC257" s="394">
        <v>20.113499999999998</v>
      </c>
      <c r="AD257" s="394">
        <f>12.90959+25.81918</f>
        <v>38.728769999999997</v>
      </c>
      <c r="AE257" s="394">
        <v>12.825419999999999</v>
      </c>
      <c r="AF257" s="394">
        <v>0</v>
      </c>
      <c r="AG257" s="394">
        <v>0</v>
      </c>
      <c r="AH257" s="394">
        <v>7.6432799999999999</v>
      </c>
      <c r="AI257" s="394">
        <v>0.13408999999999999</v>
      </c>
      <c r="AJ257" s="394">
        <v>12.90959</v>
      </c>
      <c r="AK257" s="381" t="s">
        <v>167</v>
      </c>
      <c r="AL257" s="408" t="s">
        <v>175</v>
      </c>
      <c r="AM257" s="385"/>
      <c r="AN257" s="475">
        <v>181</v>
      </c>
      <c r="AO257" s="395">
        <f t="shared" si="145"/>
        <v>635.87346666666667</v>
      </c>
      <c r="AP257" s="395">
        <f t="shared" si="146"/>
        <v>6.3587346666666669</v>
      </c>
      <c r="AQ257" s="528"/>
      <c r="AR257" s="523"/>
      <c r="AS257" s="393"/>
      <c r="AT257" s="571"/>
      <c r="AU257" s="394"/>
      <c r="AV257" s="394"/>
      <c r="AW257" s="394"/>
      <c r="AX257" s="394"/>
      <c r="AY257" s="394"/>
      <c r="AZ257" s="394"/>
      <c r="BA257" s="394"/>
      <c r="BB257" s="394"/>
      <c r="BC257" s="394"/>
      <c r="BD257" s="381"/>
      <c r="BE257" s="408"/>
      <c r="BF257" s="385"/>
      <c r="BG257" s="475"/>
      <c r="BH257" s="395" t="e">
        <f t="shared" si="112"/>
        <v>#DIV/0!</v>
      </c>
      <c r="BI257" s="395" t="e">
        <f t="shared" si="113"/>
        <v>#DIV/0!</v>
      </c>
    </row>
    <row r="258" spans="1:61" s="358" customFormat="1" ht="19.2" x14ac:dyDescent="0.3">
      <c r="A258" s="359" t="s">
        <v>267</v>
      </c>
      <c r="B258" s="572" t="s">
        <v>2385</v>
      </c>
      <c r="C258" s="548" t="s">
        <v>2384</v>
      </c>
      <c r="D258" s="360">
        <v>0.4</v>
      </c>
      <c r="E258" s="528"/>
      <c r="F258" s="523"/>
      <c r="G258" s="393"/>
      <c r="H258" s="571"/>
      <c r="I258" s="394"/>
      <c r="J258" s="394"/>
      <c r="K258" s="394"/>
      <c r="L258" s="394"/>
      <c r="M258" s="394"/>
      <c r="N258" s="394"/>
      <c r="O258" s="394"/>
      <c r="P258" s="394"/>
      <c r="Q258" s="394"/>
      <c r="R258" s="381"/>
      <c r="S258" s="408"/>
      <c r="T258" s="385"/>
      <c r="U258" s="475"/>
      <c r="V258" s="395"/>
      <c r="W258" s="395"/>
      <c r="X258" s="528">
        <v>308</v>
      </c>
      <c r="Y258" s="523">
        <v>15</v>
      </c>
      <c r="Z258" s="393">
        <v>15</v>
      </c>
      <c r="AA258" s="571">
        <v>359.48549000000003</v>
      </c>
      <c r="AB258" s="394">
        <v>256.30608000000001</v>
      </c>
      <c r="AC258" s="394">
        <v>59.545639999999999</v>
      </c>
      <c r="AD258" s="394">
        <f>116.21646+51.65176</f>
        <v>167.86822000000001</v>
      </c>
      <c r="AE258" s="394">
        <v>48.0916</v>
      </c>
      <c r="AF258" s="394">
        <v>0</v>
      </c>
      <c r="AG258" s="394">
        <v>0</v>
      </c>
      <c r="AH258" s="394">
        <v>27.007809999999999</v>
      </c>
      <c r="AI258" s="394">
        <v>0.19333</v>
      </c>
      <c r="AJ258" s="394">
        <v>12.912940000000001</v>
      </c>
      <c r="AK258" s="381" t="s">
        <v>167</v>
      </c>
      <c r="AL258" s="408" t="s">
        <v>175</v>
      </c>
      <c r="AM258" s="385"/>
      <c r="AN258" s="475">
        <v>183</v>
      </c>
      <c r="AO258" s="395">
        <f t="shared" si="145"/>
        <v>1167.160681818182</v>
      </c>
      <c r="AP258" s="395">
        <f t="shared" si="146"/>
        <v>23.965699333333337</v>
      </c>
      <c r="AQ258" s="528"/>
      <c r="AR258" s="523"/>
      <c r="AS258" s="393"/>
      <c r="AT258" s="571"/>
      <c r="AU258" s="394"/>
      <c r="AV258" s="394"/>
      <c r="AW258" s="394"/>
      <c r="AX258" s="394"/>
      <c r="AY258" s="394"/>
      <c r="AZ258" s="394"/>
      <c r="BA258" s="394"/>
      <c r="BB258" s="394"/>
      <c r="BC258" s="394"/>
      <c r="BD258" s="381"/>
      <c r="BE258" s="408"/>
      <c r="BF258" s="385"/>
      <c r="BG258" s="475"/>
      <c r="BH258" s="395" t="e">
        <f t="shared" si="112"/>
        <v>#DIV/0!</v>
      </c>
      <c r="BI258" s="395" t="e">
        <f t="shared" si="113"/>
        <v>#DIV/0!</v>
      </c>
    </row>
    <row r="259" spans="1:61" s="358" customFormat="1" ht="19.2" x14ac:dyDescent="0.3">
      <c r="A259" s="359" t="s">
        <v>268</v>
      </c>
      <c r="B259" s="572" t="s">
        <v>2387</v>
      </c>
      <c r="C259" s="548" t="s">
        <v>2386</v>
      </c>
      <c r="D259" s="360">
        <v>0.4</v>
      </c>
      <c r="E259" s="528"/>
      <c r="F259" s="523"/>
      <c r="G259" s="393"/>
      <c r="H259" s="571"/>
      <c r="I259" s="394"/>
      <c r="J259" s="394"/>
      <c r="K259" s="394"/>
      <c r="L259" s="394"/>
      <c r="M259" s="394"/>
      <c r="N259" s="394"/>
      <c r="O259" s="394"/>
      <c r="P259" s="394"/>
      <c r="Q259" s="394"/>
      <c r="R259" s="381"/>
      <c r="S259" s="408"/>
      <c r="T259" s="385"/>
      <c r="U259" s="475"/>
      <c r="V259" s="395"/>
      <c r="W259" s="395"/>
      <c r="X259" s="528">
        <v>180</v>
      </c>
      <c r="Y259" s="523">
        <v>15</v>
      </c>
      <c r="Z259" s="393">
        <v>15</v>
      </c>
      <c r="AA259" s="571">
        <v>231.27808999999999</v>
      </c>
      <c r="AB259" s="394">
        <v>167.11385000000001</v>
      </c>
      <c r="AC259" s="394">
        <v>35.641800000000003</v>
      </c>
      <c r="AD259" s="394">
        <f>51.65176+25.82588+38.73882</f>
        <v>116.21646000000001</v>
      </c>
      <c r="AE259" s="394">
        <v>30.49033</v>
      </c>
      <c r="AF259" s="394">
        <v>0</v>
      </c>
      <c r="AG259" s="394">
        <v>0</v>
      </c>
      <c r="AH259" s="394">
        <v>16.54617</v>
      </c>
      <c r="AI259" s="394">
        <v>0.19800999999999999</v>
      </c>
      <c r="AJ259" s="394">
        <v>12.912940000000001</v>
      </c>
      <c r="AK259" s="381" t="s">
        <v>167</v>
      </c>
      <c r="AL259" s="408" t="s">
        <v>175</v>
      </c>
      <c r="AM259" s="385"/>
      <c r="AN259" s="475">
        <v>185</v>
      </c>
      <c r="AO259" s="395">
        <f t="shared" si="143"/>
        <v>1284.8782777777776</v>
      </c>
      <c r="AP259" s="395">
        <f t="shared" si="144"/>
        <v>15.418539333333333</v>
      </c>
      <c r="AQ259" s="528"/>
      <c r="AR259" s="523"/>
      <c r="AS259" s="393"/>
      <c r="AT259" s="571"/>
      <c r="AU259" s="394"/>
      <c r="AV259" s="394"/>
      <c r="AW259" s="394"/>
      <c r="AX259" s="394"/>
      <c r="AY259" s="394"/>
      <c r="AZ259" s="394"/>
      <c r="BA259" s="394"/>
      <c r="BB259" s="394"/>
      <c r="BC259" s="394"/>
      <c r="BD259" s="381"/>
      <c r="BE259" s="408"/>
      <c r="BF259" s="385"/>
      <c r="BG259" s="475"/>
      <c r="BH259" s="395" t="e">
        <f t="shared" si="112"/>
        <v>#DIV/0!</v>
      </c>
      <c r="BI259" s="395" t="e">
        <f t="shared" si="113"/>
        <v>#DIV/0!</v>
      </c>
    </row>
    <row r="260" spans="1:61" s="358" customFormat="1" ht="19.2" x14ac:dyDescent="0.3">
      <c r="A260" s="359" t="s">
        <v>269</v>
      </c>
      <c r="B260" s="572" t="s">
        <v>2389</v>
      </c>
      <c r="C260" s="548" t="s">
        <v>2388</v>
      </c>
      <c r="D260" s="360">
        <v>0.4</v>
      </c>
      <c r="E260" s="528"/>
      <c r="F260" s="523"/>
      <c r="G260" s="393"/>
      <c r="H260" s="571"/>
      <c r="I260" s="394"/>
      <c r="J260" s="394"/>
      <c r="K260" s="394"/>
      <c r="L260" s="394"/>
      <c r="M260" s="394"/>
      <c r="N260" s="394"/>
      <c r="O260" s="394"/>
      <c r="P260" s="394"/>
      <c r="Q260" s="394"/>
      <c r="R260" s="381"/>
      <c r="S260" s="408"/>
      <c r="T260" s="385"/>
      <c r="U260" s="475"/>
      <c r="V260" s="395"/>
      <c r="W260" s="395"/>
      <c r="X260" s="528">
        <v>42</v>
      </c>
      <c r="Y260" s="523">
        <v>15</v>
      </c>
      <c r="Z260" s="393">
        <v>15</v>
      </c>
      <c r="AA260" s="571">
        <v>32.745339999999999</v>
      </c>
      <c r="AB260" s="394">
        <v>23.802070000000001</v>
      </c>
      <c r="AC260" s="394">
        <v>8.3164200000000008</v>
      </c>
      <c r="AD260" s="394">
        <v>12.948219999999999</v>
      </c>
      <c r="AE260" s="394">
        <v>4.1117699999999999</v>
      </c>
      <c r="AF260" s="394">
        <v>0</v>
      </c>
      <c r="AG260" s="394">
        <v>0</v>
      </c>
      <c r="AH260" s="394">
        <v>2.3672200000000001</v>
      </c>
      <c r="AI260" s="394">
        <v>0.19800999999999999</v>
      </c>
      <c r="AJ260" s="394">
        <v>12.948219999999999</v>
      </c>
      <c r="AK260" s="381" t="s">
        <v>167</v>
      </c>
      <c r="AL260" s="408" t="s">
        <v>175</v>
      </c>
      <c r="AM260" s="385"/>
      <c r="AN260" s="475">
        <v>188</v>
      </c>
      <c r="AO260" s="395">
        <f t="shared" si="143"/>
        <v>779.65095238095239</v>
      </c>
      <c r="AP260" s="395">
        <f t="shared" si="144"/>
        <v>2.1830226666666666</v>
      </c>
      <c r="AQ260" s="528"/>
      <c r="AR260" s="523"/>
      <c r="AS260" s="393"/>
      <c r="AT260" s="571"/>
      <c r="AU260" s="394"/>
      <c r="AV260" s="394"/>
      <c r="AW260" s="394"/>
      <c r="AX260" s="394"/>
      <c r="AY260" s="394"/>
      <c r="AZ260" s="394"/>
      <c r="BA260" s="394"/>
      <c r="BB260" s="394"/>
      <c r="BC260" s="394"/>
      <c r="BD260" s="381"/>
      <c r="BE260" s="408"/>
      <c r="BF260" s="385"/>
      <c r="BG260" s="475"/>
      <c r="BH260" s="395" t="e">
        <f t="shared" si="112"/>
        <v>#DIV/0!</v>
      </c>
      <c r="BI260" s="395" t="e">
        <f t="shared" si="113"/>
        <v>#DIV/0!</v>
      </c>
    </row>
    <row r="261" spans="1:61" s="358" customFormat="1" ht="19.2" x14ac:dyDescent="0.3">
      <c r="A261" s="359" t="s">
        <v>270</v>
      </c>
      <c r="B261" s="572" t="s">
        <v>2521</v>
      </c>
      <c r="C261" s="548" t="s">
        <v>2520</v>
      </c>
      <c r="D261" s="360">
        <v>0.4</v>
      </c>
      <c r="E261" s="528"/>
      <c r="F261" s="523"/>
      <c r="G261" s="393"/>
      <c r="H261" s="571"/>
      <c r="I261" s="394"/>
      <c r="J261" s="394"/>
      <c r="K261" s="394"/>
      <c r="L261" s="394"/>
      <c r="M261" s="394"/>
      <c r="N261" s="394"/>
      <c r="O261" s="394"/>
      <c r="P261" s="394"/>
      <c r="Q261" s="394"/>
      <c r="R261" s="381"/>
      <c r="S261" s="408"/>
      <c r="T261" s="385"/>
      <c r="U261" s="475"/>
      <c r="V261" s="395"/>
      <c r="W261" s="395"/>
      <c r="X261" s="528">
        <v>140</v>
      </c>
      <c r="Y261" s="523">
        <v>40</v>
      </c>
      <c r="Z261" s="393">
        <v>40</v>
      </c>
      <c r="AA261" s="571">
        <v>91.411839999999998</v>
      </c>
      <c r="AB261" s="394">
        <v>63.942149999999998</v>
      </c>
      <c r="AC261" s="394">
        <v>18.772600000000001</v>
      </c>
      <c r="AD261" s="394">
        <f>12.90958+25.81916</f>
        <v>38.728740000000002</v>
      </c>
      <c r="AE261" s="394">
        <v>12.457509999999999</v>
      </c>
      <c r="AF261" s="394">
        <v>0</v>
      </c>
      <c r="AG261" s="394">
        <v>0</v>
      </c>
      <c r="AH261" s="394">
        <v>7.40557</v>
      </c>
      <c r="AI261" s="394">
        <v>0.13408999999999999</v>
      </c>
      <c r="AJ261" s="394">
        <v>12.90958</v>
      </c>
      <c r="AK261" s="381" t="s">
        <v>167</v>
      </c>
      <c r="AL261" s="408" t="s">
        <v>175</v>
      </c>
      <c r="AM261" s="385"/>
      <c r="AN261" s="475">
        <v>190</v>
      </c>
      <c r="AO261" s="395">
        <f t="shared" ref="AO261:AO267" si="147">AA261/X261*1000</f>
        <v>652.94171428571428</v>
      </c>
      <c r="AP261" s="395">
        <f t="shared" ref="AP261:AP267" si="148">AA261/Y261</f>
        <v>2.2852959999999998</v>
      </c>
      <c r="AQ261" s="528"/>
      <c r="AR261" s="523"/>
      <c r="AS261" s="393"/>
      <c r="AT261" s="571"/>
      <c r="AU261" s="394"/>
      <c r="AV261" s="394"/>
      <c r="AW261" s="394"/>
      <c r="AX261" s="394"/>
      <c r="AY261" s="394"/>
      <c r="AZ261" s="394"/>
      <c r="BA261" s="394"/>
      <c r="BB261" s="394"/>
      <c r="BC261" s="394"/>
      <c r="BD261" s="381"/>
      <c r="BE261" s="408"/>
      <c r="BF261" s="385"/>
      <c r="BG261" s="475"/>
      <c r="BH261" s="395" t="e">
        <f t="shared" si="112"/>
        <v>#DIV/0!</v>
      </c>
      <c r="BI261" s="395" t="e">
        <f t="shared" si="113"/>
        <v>#DIV/0!</v>
      </c>
    </row>
    <row r="262" spans="1:61" s="358" customFormat="1" ht="19.2" x14ac:dyDescent="0.3">
      <c r="A262" s="359" t="s">
        <v>271</v>
      </c>
      <c r="B262" s="572" t="s">
        <v>2523</v>
      </c>
      <c r="C262" s="548" t="s">
        <v>2522</v>
      </c>
      <c r="D262" s="360">
        <v>0.4</v>
      </c>
      <c r="E262" s="528"/>
      <c r="F262" s="523"/>
      <c r="G262" s="393"/>
      <c r="H262" s="571"/>
      <c r="I262" s="394"/>
      <c r="J262" s="394"/>
      <c r="K262" s="394"/>
      <c r="L262" s="394"/>
      <c r="M262" s="394"/>
      <c r="N262" s="394"/>
      <c r="O262" s="394"/>
      <c r="P262" s="394"/>
      <c r="Q262" s="394"/>
      <c r="R262" s="381"/>
      <c r="S262" s="408"/>
      <c r="T262" s="385"/>
      <c r="U262" s="475"/>
      <c r="V262" s="395"/>
      <c r="W262" s="395"/>
      <c r="X262" s="528">
        <v>20</v>
      </c>
      <c r="Y262" s="523">
        <v>15</v>
      </c>
      <c r="Z262" s="393">
        <v>15</v>
      </c>
      <c r="AA262" s="571">
        <v>24.60276</v>
      </c>
      <c r="AB262" s="394">
        <v>18.496559999999999</v>
      </c>
      <c r="AC262" s="394">
        <v>3.9601999999999999</v>
      </c>
      <c r="AD262" s="394">
        <v>13.09892</v>
      </c>
      <c r="AE262" s="394">
        <v>3.2587899999999999</v>
      </c>
      <c r="AF262" s="394">
        <v>0</v>
      </c>
      <c r="AG262" s="394">
        <v>0</v>
      </c>
      <c r="AH262" s="394">
        <v>0.97209999999999996</v>
      </c>
      <c r="AI262" s="394">
        <v>0.19800999999999999</v>
      </c>
      <c r="AJ262" s="394">
        <v>13.09892</v>
      </c>
      <c r="AK262" s="381" t="s">
        <v>167</v>
      </c>
      <c r="AL262" s="408" t="s">
        <v>175</v>
      </c>
      <c r="AM262" s="385"/>
      <c r="AN262" s="475">
        <v>192</v>
      </c>
      <c r="AO262" s="395">
        <f t="shared" si="147"/>
        <v>1230.1379999999999</v>
      </c>
      <c r="AP262" s="395">
        <f t="shared" si="148"/>
        <v>1.6401840000000001</v>
      </c>
      <c r="AQ262" s="528"/>
      <c r="AR262" s="523"/>
      <c r="AS262" s="393"/>
      <c r="AT262" s="571"/>
      <c r="AU262" s="394"/>
      <c r="AV262" s="394"/>
      <c r="AW262" s="394"/>
      <c r="AX262" s="394"/>
      <c r="AY262" s="394"/>
      <c r="AZ262" s="394"/>
      <c r="BA262" s="394"/>
      <c r="BB262" s="394"/>
      <c r="BC262" s="394"/>
      <c r="BD262" s="381"/>
      <c r="BE262" s="408"/>
      <c r="BF262" s="385"/>
      <c r="BG262" s="475"/>
      <c r="BH262" s="395" t="e">
        <f t="shared" si="112"/>
        <v>#DIV/0!</v>
      </c>
      <c r="BI262" s="395" t="e">
        <f t="shared" si="113"/>
        <v>#DIV/0!</v>
      </c>
    </row>
    <row r="263" spans="1:61" s="358" customFormat="1" ht="19.2" x14ac:dyDescent="0.3">
      <c r="A263" s="359" t="s">
        <v>272</v>
      </c>
      <c r="B263" s="572" t="s">
        <v>2525</v>
      </c>
      <c r="C263" s="548" t="s">
        <v>2524</v>
      </c>
      <c r="D263" s="360">
        <v>0.4</v>
      </c>
      <c r="E263" s="528"/>
      <c r="F263" s="523"/>
      <c r="G263" s="393"/>
      <c r="H263" s="571"/>
      <c r="I263" s="394"/>
      <c r="J263" s="394"/>
      <c r="K263" s="394"/>
      <c r="L263" s="394"/>
      <c r="M263" s="394"/>
      <c r="N263" s="394"/>
      <c r="O263" s="394"/>
      <c r="P263" s="394"/>
      <c r="Q263" s="394"/>
      <c r="R263" s="381"/>
      <c r="S263" s="408"/>
      <c r="T263" s="385"/>
      <c r="U263" s="475"/>
      <c r="V263" s="395"/>
      <c r="W263" s="395"/>
      <c r="X263" s="528">
        <v>35</v>
      </c>
      <c r="Y263" s="523">
        <v>15</v>
      </c>
      <c r="Z263" s="393">
        <v>15</v>
      </c>
      <c r="AA263" s="571">
        <v>29.60398</v>
      </c>
      <c r="AB263" s="394">
        <v>22.383469999999999</v>
      </c>
      <c r="AC263" s="394">
        <v>6.9303499999999998</v>
      </c>
      <c r="AD263" s="394">
        <v>12.948219999999999</v>
      </c>
      <c r="AE263" s="394">
        <v>3.8403700000000001</v>
      </c>
      <c r="AF263" s="394">
        <v>0</v>
      </c>
      <c r="AG263" s="394">
        <v>0</v>
      </c>
      <c r="AH263" s="394">
        <v>1.0826100000000001</v>
      </c>
      <c r="AI263" s="394">
        <v>0.19800999999999999</v>
      </c>
      <c r="AJ263" s="394">
        <v>12.948219999999999</v>
      </c>
      <c r="AK263" s="381" t="s">
        <v>167</v>
      </c>
      <c r="AL263" s="408" t="s">
        <v>175</v>
      </c>
      <c r="AM263" s="385"/>
      <c r="AN263" s="475">
        <v>194</v>
      </c>
      <c r="AO263" s="395">
        <f t="shared" si="147"/>
        <v>845.82799999999997</v>
      </c>
      <c r="AP263" s="395">
        <f t="shared" si="148"/>
        <v>1.9735986666666667</v>
      </c>
      <c r="AQ263" s="528"/>
      <c r="AR263" s="523"/>
      <c r="AS263" s="393"/>
      <c r="AT263" s="571"/>
      <c r="AU263" s="394"/>
      <c r="AV263" s="394"/>
      <c r="AW263" s="394"/>
      <c r="AX263" s="394"/>
      <c r="AY263" s="394"/>
      <c r="AZ263" s="394"/>
      <c r="BA263" s="394"/>
      <c r="BB263" s="394"/>
      <c r="BC263" s="394"/>
      <c r="BD263" s="381"/>
      <c r="BE263" s="408"/>
      <c r="BF263" s="385"/>
      <c r="BG263" s="475"/>
      <c r="BH263" s="395" t="e">
        <f t="shared" si="112"/>
        <v>#DIV/0!</v>
      </c>
      <c r="BI263" s="395" t="e">
        <f t="shared" si="113"/>
        <v>#DIV/0!</v>
      </c>
    </row>
    <row r="264" spans="1:61" s="358" customFormat="1" ht="19.2" x14ac:dyDescent="0.3">
      <c r="A264" s="359" t="s">
        <v>273</v>
      </c>
      <c r="B264" s="572" t="s">
        <v>2527</v>
      </c>
      <c r="C264" s="548" t="s">
        <v>2526</v>
      </c>
      <c r="D264" s="360">
        <v>0.4</v>
      </c>
      <c r="E264" s="528"/>
      <c r="F264" s="523"/>
      <c r="G264" s="393"/>
      <c r="H264" s="571"/>
      <c r="I264" s="394"/>
      <c r="J264" s="394"/>
      <c r="K264" s="394"/>
      <c r="L264" s="394"/>
      <c r="M264" s="394"/>
      <c r="N264" s="394"/>
      <c r="O264" s="394"/>
      <c r="P264" s="394"/>
      <c r="Q264" s="394"/>
      <c r="R264" s="381"/>
      <c r="S264" s="408"/>
      <c r="T264" s="385"/>
      <c r="U264" s="475"/>
      <c r="V264" s="395"/>
      <c r="W264" s="395"/>
      <c r="X264" s="528">
        <v>220</v>
      </c>
      <c r="Y264" s="523">
        <v>15</v>
      </c>
      <c r="Z264" s="393">
        <v>15</v>
      </c>
      <c r="AA264" s="571">
        <v>162.29035999999999</v>
      </c>
      <c r="AB264" s="394">
        <v>117.90192999999999</v>
      </c>
      <c r="AC264" s="394">
        <v>43.562199999999997</v>
      </c>
      <c r="AD264" s="394">
        <v>64.741100000000003</v>
      </c>
      <c r="AE264" s="394">
        <v>19.754940000000001</v>
      </c>
      <c r="AF264" s="394">
        <v>0</v>
      </c>
      <c r="AG264" s="394">
        <v>0</v>
      </c>
      <c r="AH264" s="394">
        <v>12.07386</v>
      </c>
      <c r="AI264" s="394">
        <v>0.19800999999999999</v>
      </c>
      <c r="AJ264" s="394">
        <v>12.948219999999999</v>
      </c>
      <c r="AK264" s="381" t="s">
        <v>167</v>
      </c>
      <c r="AL264" s="408" t="s">
        <v>175</v>
      </c>
      <c r="AM264" s="385"/>
      <c r="AN264" s="475">
        <v>196</v>
      </c>
      <c r="AO264" s="395">
        <f t="shared" si="147"/>
        <v>737.68345454545442</v>
      </c>
      <c r="AP264" s="395">
        <f t="shared" si="148"/>
        <v>10.819357333333333</v>
      </c>
      <c r="AQ264" s="528"/>
      <c r="AR264" s="523"/>
      <c r="AS264" s="393"/>
      <c r="AT264" s="571"/>
      <c r="AU264" s="394"/>
      <c r="AV264" s="394"/>
      <c r="AW264" s="394"/>
      <c r="AX264" s="394"/>
      <c r="AY264" s="394"/>
      <c r="AZ264" s="394"/>
      <c r="BA264" s="394"/>
      <c r="BB264" s="394"/>
      <c r="BC264" s="394"/>
      <c r="BD264" s="381"/>
      <c r="BE264" s="408"/>
      <c r="BF264" s="385"/>
      <c r="BG264" s="475"/>
      <c r="BH264" s="395" t="e">
        <f t="shared" si="112"/>
        <v>#DIV/0!</v>
      </c>
      <c r="BI264" s="395" t="e">
        <f t="shared" si="113"/>
        <v>#DIV/0!</v>
      </c>
    </row>
    <row r="265" spans="1:61" s="358" customFormat="1" ht="19.2" x14ac:dyDescent="0.3">
      <c r="A265" s="359" t="s">
        <v>274</v>
      </c>
      <c r="B265" s="572" t="s">
        <v>2529</v>
      </c>
      <c r="C265" s="548" t="s">
        <v>2528</v>
      </c>
      <c r="D265" s="360">
        <v>0.4</v>
      </c>
      <c r="E265" s="528"/>
      <c r="F265" s="523"/>
      <c r="G265" s="393"/>
      <c r="H265" s="571"/>
      <c r="I265" s="394"/>
      <c r="J265" s="394"/>
      <c r="K265" s="394"/>
      <c r="L265" s="394"/>
      <c r="M265" s="394"/>
      <c r="N265" s="394"/>
      <c r="O265" s="394"/>
      <c r="P265" s="394"/>
      <c r="Q265" s="394"/>
      <c r="R265" s="381"/>
      <c r="S265" s="408"/>
      <c r="T265" s="385"/>
      <c r="U265" s="475"/>
      <c r="V265" s="395"/>
      <c r="W265" s="395"/>
      <c r="X265" s="528">
        <v>130</v>
      </c>
      <c r="Y265" s="523">
        <v>15</v>
      </c>
      <c r="Z265" s="393">
        <v>15</v>
      </c>
      <c r="AA265" s="571">
        <v>157.12737999999999</v>
      </c>
      <c r="AB265" s="394">
        <v>114.84547999999999</v>
      </c>
      <c r="AC265" s="394">
        <v>25.741299999999999</v>
      </c>
      <c r="AD265" s="394">
        <f>25.89644+51.79288</f>
        <v>77.689319999999995</v>
      </c>
      <c r="AE265" s="394">
        <v>19.3965</v>
      </c>
      <c r="AF265" s="394">
        <v>0</v>
      </c>
      <c r="AG265" s="394">
        <v>0</v>
      </c>
      <c r="AH265" s="394">
        <v>11.24544</v>
      </c>
      <c r="AI265" s="394">
        <v>0.19800999999999999</v>
      </c>
      <c r="AJ265" s="394">
        <v>12.948219999999999</v>
      </c>
      <c r="AK265" s="381" t="s">
        <v>167</v>
      </c>
      <c r="AL265" s="408" t="s">
        <v>175</v>
      </c>
      <c r="AM265" s="385"/>
      <c r="AN265" s="475">
        <v>198</v>
      </c>
      <c r="AO265" s="395">
        <f t="shared" si="147"/>
        <v>1208.6721538461538</v>
      </c>
      <c r="AP265" s="395">
        <f t="shared" si="148"/>
        <v>10.475158666666665</v>
      </c>
      <c r="AQ265" s="528"/>
      <c r="AR265" s="523"/>
      <c r="AS265" s="393"/>
      <c r="AT265" s="571"/>
      <c r="AU265" s="394"/>
      <c r="AV265" s="394"/>
      <c r="AW265" s="394"/>
      <c r="AX265" s="394"/>
      <c r="AY265" s="394"/>
      <c r="AZ265" s="394"/>
      <c r="BA265" s="394"/>
      <c r="BB265" s="394"/>
      <c r="BC265" s="394"/>
      <c r="BD265" s="381"/>
      <c r="BE265" s="408"/>
      <c r="BF265" s="385"/>
      <c r="BG265" s="475"/>
      <c r="BH265" s="395" t="e">
        <f t="shared" si="112"/>
        <v>#DIV/0!</v>
      </c>
      <c r="BI265" s="395" t="e">
        <f t="shared" si="113"/>
        <v>#DIV/0!</v>
      </c>
    </row>
    <row r="266" spans="1:61" s="358" customFormat="1" ht="19.2" x14ac:dyDescent="0.3">
      <c r="A266" s="359" t="s">
        <v>275</v>
      </c>
      <c r="B266" s="572" t="s">
        <v>2531</v>
      </c>
      <c r="C266" s="548" t="s">
        <v>2530</v>
      </c>
      <c r="D266" s="360">
        <v>0.4</v>
      </c>
      <c r="E266" s="528"/>
      <c r="F266" s="523"/>
      <c r="G266" s="393"/>
      <c r="H266" s="571"/>
      <c r="I266" s="394"/>
      <c r="J266" s="394"/>
      <c r="K266" s="394"/>
      <c r="L266" s="394"/>
      <c r="M266" s="394"/>
      <c r="N266" s="394"/>
      <c r="O266" s="394"/>
      <c r="P266" s="394"/>
      <c r="Q266" s="394"/>
      <c r="R266" s="381"/>
      <c r="S266" s="408"/>
      <c r="T266" s="385"/>
      <c r="U266" s="475"/>
      <c r="V266" s="395"/>
      <c r="W266" s="395"/>
      <c r="X266" s="528">
        <v>117</v>
      </c>
      <c r="Y266" s="523">
        <v>15</v>
      </c>
      <c r="Z266" s="393">
        <v>15</v>
      </c>
      <c r="AA266" s="571">
        <v>97.976299999999995</v>
      </c>
      <c r="AB266" s="394">
        <v>72.608990000000006</v>
      </c>
      <c r="AC266" s="394">
        <v>23.43393</v>
      </c>
      <c r="AD266" s="394">
        <v>42.05115</v>
      </c>
      <c r="AE266" s="394">
        <v>11.30111</v>
      </c>
      <c r="AF266" s="394">
        <v>0</v>
      </c>
      <c r="AG266" s="394">
        <v>0</v>
      </c>
      <c r="AH266" s="394">
        <v>6.8877499999999996</v>
      </c>
      <c r="AI266" s="394">
        <v>0.20029</v>
      </c>
      <c r="AJ266" s="394">
        <v>14.017049999999999</v>
      </c>
      <c r="AK266" s="381" t="s">
        <v>167</v>
      </c>
      <c r="AL266" s="408" t="s">
        <v>175</v>
      </c>
      <c r="AM266" s="385"/>
      <c r="AN266" s="475">
        <v>200</v>
      </c>
      <c r="AO266" s="395">
        <f t="shared" si="147"/>
        <v>837.40427350427353</v>
      </c>
      <c r="AP266" s="395">
        <f t="shared" si="148"/>
        <v>6.5317533333333326</v>
      </c>
      <c r="AQ266" s="528"/>
      <c r="AR266" s="523"/>
      <c r="AS266" s="393"/>
      <c r="AT266" s="571"/>
      <c r="AU266" s="394"/>
      <c r="AV266" s="394"/>
      <c r="AW266" s="394"/>
      <c r="AX266" s="394"/>
      <c r="AY266" s="394"/>
      <c r="AZ266" s="394"/>
      <c r="BA266" s="394"/>
      <c r="BB266" s="394"/>
      <c r="BC266" s="394"/>
      <c r="BD266" s="381"/>
      <c r="BE266" s="408"/>
      <c r="BF266" s="385"/>
      <c r="BG266" s="475"/>
      <c r="BH266" s="395" t="e">
        <f t="shared" si="112"/>
        <v>#DIV/0!</v>
      </c>
      <c r="BI266" s="395" t="e">
        <f t="shared" si="113"/>
        <v>#DIV/0!</v>
      </c>
    </row>
    <row r="267" spans="1:61" s="358" customFormat="1" ht="19.2" x14ac:dyDescent="0.3">
      <c r="A267" s="359" t="s">
        <v>276</v>
      </c>
      <c r="B267" s="572" t="s">
        <v>2533</v>
      </c>
      <c r="C267" s="548" t="s">
        <v>2532</v>
      </c>
      <c r="D267" s="360">
        <v>0.4</v>
      </c>
      <c r="E267" s="528"/>
      <c r="F267" s="523"/>
      <c r="G267" s="393"/>
      <c r="H267" s="571"/>
      <c r="I267" s="394"/>
      <c r="J267" s="394"/>
      <c r="K267" s="394"/>
      <c r="L267" s="394"/>
      <c r="M267" s="394"/>
      <c r="N267" s="394"/>
      <c r="O267" s="394"/>
      <c r="P267" s="394"/>
      <c r="Q267" s="394"/>
      <c r="R267" s="381"/>
      <c r="S267" s="408"/>
      <c r="T267" s="385"/>
      <c r="U267" s="475"/>
      <c r="V267" s="395"/>
      <c r="W267" s="395"/>
      <c r="X267" s="528">
        <v>25</v>
      </c>
      <c r="Y267" s="523">
        <v>30</v>
      </c>
      <c r="Z267" s="393">
        <v>30</v>
      </c>
      <c r="AA267" s="571">
        <v>29.69154</v>
      </c>
      <c r="AB267" s="394">
        <v>22.061610000000002</v>
      </c>
      <c r="AC267" s="394">
        <v>5.00725</v>
      </c>
      <c r="AD267" s="394">
        <v>14.286519999999999</v>
      </c>
      <c r="AE267" s="394">
        <v>3.60751</v>
      </c>
      <c r="AF267" s="394">
        <v>0</v>
      </c>
      <c r="AG267" s="394">
        <v>0</v>
      </c>
      <c r="AH267" s="394">
        <v>1.9631099999999999</v>
      </c>
      <c r="AI267" s="394">
        <v>0.20029</v>
      </c>
      <c r="AJ267" s="394">
        <v>14.286519999999999</v>
      </c>
      <c r="AK267" s="381" t="s">
        <v>167</v>
      </c>
      <c r="AL267" s="408" t="s">
        <v>175</v>
      </c>
      <c r="AM267" s="385"/>
      <c r="AN267" s="475">
        <v>202</v>
      </c>
      <c r="AO267" s="395">
        <f t="shared" si="147"/>
        <v>1187.6615999999999</v>
      </c>
      <c r="AP267" s="395">
        <f t="shared" si="148"/>
        <v>0.98971799999999999</v>
      </c>
      <c r="AQ267" s="528"/>
      <c r="AR267" s="523"/>
      <c r="AS267" s="393"/>
      <c r="AT267" s="571"/>
      <c r="AU267" s="394"/>
      <c r="AV267" s="394"/>
      <c r="AW267" s="394"/>
      <c r="AX267" s="394"/>
      <c r="AY267" s="394"/>
      <c r="AZ267" s="394"/>
      <c r="BA267" s="394"/>
      <c r="BB267" s="394"/>
      <c r="BC267" s="394"/>
      <c r="BD267" s="381"/>
      <c r="BE267" s="408"/>
      <c r="BF267" s="385"/>
      <c r="BG267" s="475"/>
      <c r="BH267" s="395" t="e">
        <f t="shared" si="112"/>
        <v>#DIV/0!</v>
      </c>
      <c r="BI267" s="395" t="e">
        <f t="shared" si="113"/>
        <v>#DIV/0!</v>
      </c>
    </row>
    <row r="268" spans="1:61" s="358" customFormat="1" ht="19.2" x14ac:dyDescent="0.3">
      <c r="A268" s="359" t="s">
        <v>178</v>
      </c>
      <c r="B268" s="602" t="s">
        <v>4651</v>
      </c>
      <c r="C268" s="548" t="s">
        <v>4652</v>
      </c>
      <c r="D268" s="360">
        <v>0.4</v>
      </c>
      <c r="E268" s="528"/>
      <c r="F268" s="523"/>
      <c r="G268" s="393"/>
      <c r="H268" s="394"/>
      <c r="I268" s="394"/>
      <c r="J268" s="394"/>
      <c r="K268" s="394"/>
      <c r="L268" s="394"/>
      <c r="M268" s="394"/>
      <c r="N268" s="394"/>
      <c r="O268" s="394"/>
      <c r="P268" s="394"/>
      <c r="Q268" s="394"/>
      <c r="R268" s="381"/>
      <c r="S268" s="408"/>
      <c r="T268" s="385"/>
      <c r="U268" s="475"/>
      <c r="V268" s="395"/>
      <c r="W268" s="395"/>
      <c r="X268" s="528"/>
      <c r="Y268" s="523"/>
      <c r="Z268" s="393"/>
      <c r="AA268" s="394"/>
      <c r="AB268" s="394"/>
      <c r="AC268" s="394"/>
      <c r="AD268" s="394"/>
      <c r="AE268" s="394"/>
      <c r="AF268" s="394"/>
      <c r="AG268" s="394"/>
      <c r="AH268" s="394"/>
      <c r="AI268" s="394"/>
      <c r="AJ268" s="394"/>
      <c r="AK268" s="381"/>
      <c r="AL268" s="408"/>
      <c r="AM268" s="385"/>
      <c r="AN268" s="475"/>
      <c r="AO268" s="395"/>
      <c r="AP268" s="395"/>
      <c r="AQ268" s="528">
        <v>72</v>
      </c>
      <c r="AR268" s="523">
        <v>15</v>
      </c>
      <c r="AS268" s="393">
        <v>15</v>
      </c>
      <c r="AT268" s="600">
        <v>64.161180000000002</v>
      </c>
      <c r="AU268" s="394">
        <v>46.619190000000003</v>
      </c>
      <c r="AV268" s="394">
        <v>14.42088</v>
      </c>
      <c r="AW268" s="394">
        <v>28.574999999999999</v>
      </c>
      <c r="AX268" s="394">
        <v>8.4500899999999994</v>
      </c>
      <c r="AY268" s="394">
        <v>0</v>
      </c>
      <c r="AZ268" s="394">
        <v>0</v>
      </c>
      <c r="BA268" s="394">
        <v>4.4492000000000003</v>
      </c>
      <c r="BB268" s="394">
        <v>0.20029</v>
      </c>
      <c r="BC268" s="394">
        <v>14.2875</v>
      </c>
      <c r="BD268" s="381" t="s">
        <v>167</v>
      </c>
      <c r="BE268" s="408" t="s">
        <v>175</v>
      </c>
      <c r="BF268" s="385"/>
      <c r="BG268" s="475">
        <v>134</v>
      </c>
      <c r="BH268" s="395">
        <f t="shared" ref="BH268:BH275" si="149">AT268/AQ268*1000</f>
        <v>891.12750000000005</v>
      </c>
      <c r="BI268" s="395">
        <f t="shared" ref="BI268:BI275" si="150">AT268/AR268</f>
        <v>4.277412</v>
      </c>
    </row>
    <row r="269" spans="1:61" s="358" customFormat="1" ht="19.2" x14ac:dyDescent="0.3">
      <c r="A269" s="359" t="s">
        <v>182</v>
      </c>
      <c r="B269" s="602" t="s">
        <v>4664</v>
      </c>
      <c r="C269" s="548" t="s">
        <v>4663</v>
      </c>
      <c r="D269" s="360">
        <v>0.4</v>
      </c>
      <c r="E269" s="528"/>
      <c r="F269" s="523"/>
      <c r="G269" s="393"/>
      <c r="H269" s="394"/>
      <c r="I269" s="394"/>
      <c r="J269" s="394"/>
      <c r="K269" s="394"/>
      <c r="L269" s="394"/>
      <c r="M269" s="394"/>
      <c r="N269" s="394"/>
      <c r="O269" s="394"/>
      <c r="P269" s="394"/>
      <c r="Q269" s="394"/>
      <c r="R269" s="381"/>
      <c r="S269" s="408"/>
      <c r="T269" s="385"/>
      <c r="U269" s="475"/>
      <c r="V269" s="395"/>
      <c r="W269" s="395"/>
      <c r="X269" s="528"/>
      <c r="Y269" s="523"/>
      <c r="Z269" s="393"/>
      <c r="AA269" s="394"/>
      <c r="AB269" s="394"/>
      <c r="AC269" s="394"/>
      <c r="AD269" s="394"/>
      <c r="AE269" s="394"/>
      <c r="AF269" s="394"/>
      <c r="AG269" s="394"/>
      <c r="AH269" s="394"/>
      <c r="AI269" s="394"/>
      <c r="AJ269" s="394"/>
      <c r="AK269" s="381"/>
      <c r="AL269" s="408"/>
      <c r="AM269" s="385"/>
      <c r="AN269" s="475"/>
      <c r="AO269" s="395"/>
      <c r="AP269" s="395"/>
      <c r="AQ269" s="528">
        <v>94</v>
      </c>
      <c r="AR269" s="523">
        <v>15</v>
      </c>
      <c r="AS269" s="393">
        <v>15</v>
      </c>
      <c r="AT269" s="600">
        <v>133.73388</v>
      </c>
      <c r="AU269" s="394">
        <v>97.020290000000003</v>
      </c>
      <c r="AV269" s="394">
        <v>19.673290000000001</v>
      </c>
      <c r="AW269" s="394">
        <f>14.2875+57.15</f>
        <v>71.4375</v>
      </c>
      <c r="AX269" s="394">
        <v>18.37415</v>
      </c>
      <c r="AY269" s="394">
        <v>0</v>
      </c>
      <c r="AZ269" s="394">
        <v>0</v>
      </c>
      <c r="BA269" s="394">
        <v>9.0208300000000001</v>
      </c>
      <c r="BB269" s="394">
        <v>0.20929</v>
      </c>
      <c r="BC269" s="394">
        <v>14.2875</v>
      </c>
      <c r="BD269" s="381" t="s">
        <v>167</v>
      </c>
      <c r="BE269" s="408" t="s">
        <v>175</v>
      </c>
      <c r="BF269" s="385"/>
      <c r="BG269" s="475">
        <v>136</v>
      </c>
      <c r="BH269" s="395">
        <f t="shared" si="149"/>
        <v>1422.7008510638298</v>
      </c>
      <c r="BI269" s="395">
        <f t="shared" si="150"/>
        <v>8.9155920000000002</v>
      </c>
    </row>
    <row r="270" spans="1:61" s="358" customFormat="1" ht="19.2" x14ac:dyDescent="0.3">
      <c r="A270" s="359" t="s">
        <v>184</v>
      </c>
      <c r="B270" s="602" t="s">
        <v>4665</v>
      </c>
      <c r="C270" s="548" t="s">
        <v>4666</v>
      </c>
      <c r="D270" s="360">
        <v>0.4</v>
      </c>
      <c r="E270" s="528"/>
      <c r="F270" s="523"/>
      <c r="G270" s="393"/>
      <c r="H270" s="394"/>
      <c r="I270" s="394"/>
      <c r="J270" s="394"/>
      <c r="K270" s="394"/>
      <c r="L270" s="394"/>
      <c r="M270" s="394"/>
      <c r="N270" s="394"/>
      <c r="O270" s="394"/>
      <c r="P270" s="394"/>
      <c r="Q270" s="394"/>
      <c r="R270" s="381"/>
      <c r="S270" s="408"/>
      <c r="T270" s="385"/>
      <c r="U270" s="475"/>
      <c r="V270" s="395"/>
      <c r="W270" s="395"/>
      <c r="X270" s="528"/>
      <c r="Y270" s="523"/>
      <c r="Z270" s="393"/>
      <c r="AA270" s="394"/>
      <c r="AB270" s="394"/>
      <c r="AC270" s="394"/>
      <c r="AD270" s="394"/>
      <c r="AE270" s="394"/>
      <c r="AF270" s="394"/>
      <c r="AG270" s="394"/>
      <c r="AH270" s="394"/>
      <c r="AI270" s="394"/>
      <c r="AJ270" s="394"/>
      <c r="AK270" s="381"/>
      <c r="AL270" s="408"/>
      <c r="AM270" s="385"/>
      <c r="AN270" s="475"/>
      <c r="AO270" s="395"/>
      <c r="AP270" s="395"/>
      <c r="AQ270" s="528">
        <v>70</v>
      </c>
      <c r="AR270" s="523">
        <v>12</v>
      </c>
      <c r="AS270" s="393">
        <v>12</v>
      </c>
      <c r="AT270" s="600">
        <v>82.87491</v>
      </c>
      <c r="AU270" s="394">
        <v>59.687139999999999</v>
      </c>
      <c r="AV270" s="394">
        <v>14.020300000000001</v>
      </c>
      <c r="AW270" s="394">
        <f>14.2702+28.5404</f>
        <v>42.810600000000001</v>
      </c>
      <c r="AX270" s="394">
        <v>11.507110000000001</v>
      </c>
      <c r="AY270" s="394">
        <v>0</v>
      </c>
      <c r="AZ270" s="394">
        <v>0</v>
      </c>
      <c r="BA270" s="394">
        <v>5.7415700000000003</v>
      </c>
      <c r="BB270" s="394">
        <v>0.20029</v>
      </c>
      <c r="BC270" s="394">
        <v>14.270200000000001</v>
      </c>
      <c r="BD270" s="381" t="s">
        <v>167</v>
      </c>
      <c r="BE270" s="408" t="s">
        <v>175</v>
      </c>
      <c r="BF270" s="385"/>
      <c r="BG270" s="475">
        <v>138</v>
      </c>
      <c r="BH270" s="395">
        <f t="shared" si="149"/>
        <v>1183.9272857142857</v>
      </c>
      <c r="BI270" s="395">
        <f t="shared" si="150"/>
        <v>6.9062425000000003</v>
      </c>
    </row>
    <row r="271" spans="1:61" s="358" customFormat="1" ht="19.2" x14ac:dyDescent="0.3">
      <c r="A271" s="359" t="s">
        <v>186</v>
      </c>
      <c r="B271" s="602" t="s">
        <v>4049</v>
      </c>
      <c r="C271" s="548" t="s">
        <v>4667</v>
      </c>
      <c r="D271" s="360">
        <v>0.4</v>
      </c>
      <c r="E271" s="528"/>
      <c r="F271" s="523"/>
      <c r="G271" s="393"/>
      <c r="H271" s="394"/>
      <c r="I271" s="394"/>
      <c r="J271" s="394"/>
      <c r="K271" s="394"/>
      <c r="L271" s="394"/>
      <c r="M271" s="394"/>
      <c r="N271" s="394"/>
      <c r="O271" s="394"/>
      <c r="P271" s="394"/>
      <c r="Q271" s="394"/>
      <c r="R271" s="381"/>
      <c r="S271" s="408"/>
      <c r="T271" s="385"/>
      <c r="U271" s="475"/>
      <c r="V271" s="395"/>
      <c r="W271" s="395"/>
      <c r="X271" s="528"/>
      <c r="Y271" s="523"/>
      <c r="Z271" s="393"/>
      <c r="AA271" s="394"/>
      <c r="AB271" s="394"/>
      <c r="AC271" s="394"/>
      <c r="AD271" s="394"/>
      <c r="AE271" s="394"/>
      <c r="AF271" s="394"/>
      <c r="AG271" s="394"/>
      <c r="AH271" s="394"/>
      <c r="AI271" s="394"/>
      <c r="AJ271" s="394"/>
      <c r="AK271" s="381"/>
      <c r="AL271" s="408"/>
      <c r="AM271" s="385"/>
      <c r="AN271" s="475"/>
      <c r="AO271" s="395"/>
      <c r="AP271" s="395"/>
      <c r="AQ271" s="528">
        <v>150</v>
      </c>
      <c r="AR271" s="523">
        <v>15</v>
      </c>
      <c r="AS271" s="393">
        <v>15</v>
      </c>
      <c r="AT271" s="600">
        <v>108.43353999999999</v>
      </c>
      <c r="AU271" s="394">
        <v>78.378489999999999</v>
      </c>
      <c r="AV271" s="394">
        <v>30.043500000000002</v>
      </c>
      <c r="AW271" s="394">
        <v>42.862499999999997</v>
      </c>
      <c r="AX271" s="394">
        <v>14.418279999999999</v>
      </c>
      <c r="AY271" s="394">
        <v>0</v>
      </c>
      <c r="AZ271" s="394">
        <v>0</v>
      </c>
      <c r="BA271" s="394">
        <v>7.6722000000000001</v>
      </c>
      <c r="BB271" s="394">
        <v>0.20029</v>
      </c>
      <c r="BC271" s="394">
        <v>14.2875</v>
      </c>
      <c r="BD271" s="381" t="s">
        <v>167</v>
      </c>
      <c r="BE271" s="408" t="s">
        <v>175</v>
      </c>
      <c r="BF271" s="385"/>
      <c r="BG271" s="475">
        <v>140</v>
      </c>
      <c r="BH271" s="395">
        <f t="shared" si="149"/>
        <v>722.89026666666666</v>
      </c>
      <c r="BI271" s="395">
        <f t="shared" si="150"/>
        <v>7.2289026666666665</v>
      </c>
    </row>
    <row r="272" spans="1:61" s="358" customFormat="1" ht="19.2" x14ac:dyDescent="0.3">
      <c r="A272" s="359" t="s">
        <v>189</v>
      </c>
      <c r="B272" s="602" t="s">
        <v>4669</v>
      </c>
      <c r="C272" s="548" t="s">
        <v>4668</v>
      </c>
      <c r="D272" s="360">
        <v>0.4</v>
      </c>
      <c r="E272" s="528"/>
      <c r="F272" s="523"/>
      <c r="G272" s="393"/>
      <c r="H272" s="394"/>
      <c r="I272" s="394"/>
      <c r="J272" s="394"/>
      <c r="K272" s="394"/>
      <c r="L272" s="394"/>
      <c r="M272" s="394"/>
      <c r="N272" s="394"/>
      <c r="O272" s="394"/>
      <c r="P272" s="394"/>
      <c r="Q272" s="394"/>
      <c r="R272" s="381"/>
      <c r="S272" s="408"/>
      <c r="T272" s="385"/>
      <c r="U272" s="475"/>
      <c r="V272" s="395"/>
      <c r="W272" s="395"/>
      <c r="X272" s="528"/>
      <c r="Y272" s="523"/>
      <c r="Z272" s="393"/>
      <c r="AA272" s="394"/>
      <c r="AB272" s="394"/>
      <c r="AC272" s="394"/>
      <c r="AD272" s="394"/>
      <c r="AE272" s="394"/>
      <c r="AF272" s="394"/>
      <c r="AG272" s="394"/>
      <c r="AH272" s="394"/>
      <c r="AI272" s="394"/>
      <c r="AJ272" s="394"/>
      <c r="AK272" s="381"/>
      <c r="AL272" s="408"/>
      <c r="AM272" s="385"/>
      <c r="AN272" s="475"/>
      <c r="AO272" s="395"/>
      <c r="AP272" s="395"/>
      <c r="AQ272" s="528">
        <v>150</v>
      </c>
      <c r="AR272" s="523">
        <v>60</v>
      </c>
      <c r="AS272" s="393">
        <v>60</v>
      </c>
      <c r="AT272" s="600">
        <v>122.91122</v>
      </c>
      <c r="AU272" s="394">
        <v>91.007949999999994</v>
      </c>
      <c r="AV272" s="394">
        <v>31.3935</v>
      </c>
      <c r="AW272" s="394">
        <f>14.2875+28.575</f>
        <v>42.862499999999997</v>
      </c>
      <c r="AX272" s="394">
        <v>15.325430000000001</v>
      </c>
      <c r="AY272" s="394">
        <v>0</v>
      </c>
      <c r="AZ272" s="394">
        <v>0</v>
      </c>
      <c r="BA272" s="394">
        <v>8.1193299999999997</v>
      </c>
      <c r="BB272" s="394">
        <v>0.20929</v>
      </c>
      <c r="BC272" s="394">
        <v>14.2875</v>
      </c>
      <c r="BD272" s="381" t="s">
        <v>167</v>
      </c>
      <c r="BE272" s="408" t="s">
        <v>175</v>
      </c>
      <c r="BF272" s="385"/>
      <c r="BG272" s="475">
        <v>142</v>
      </c>
      <c r="BH272" s="395">
        <f t="shared" si="149"/>
        <v>819.40813333333324</v>
      </c>
      <c r="BI272" s="395">
        <f t="shared" si="150"/>
        <v>2.0485203333333333</v>
      </c>
    </row>
    <row r="273" spans="1:61" s="358" customFormat="1" ht="19.2" x14ac:dyDescent="0.3">
      <c r="A273" s="359" t="s">
        <v>267</v>
      </c>
      <c r="B273" s="602" t="s">
        <v>4677</v>
      </c>
      <c r="C273" s="548" t="s">
        <v>4676</v>
      </c>
      <c r="D273" s="360">
        <v>0.4</v>
      </c>
      <c r="E273" s="528"/>
      <c r="F273" s="523"/>
      <c r="G273" s="393"/>
      <c r="H273" s="394"/>
      <c r="I273" s="394"/>
      <c r="J273" s="394"/>
      <c r="K273" s="394"/>
      <c r="L273" s="394"/>
      <c r="M273" s="394"/>
      <c r="N273" s="394"/>
      <c r="O273" s="394"/>
      <c r="P273" s="394"/>
      <c r="Q273" s="394"/>
      <c r="R273" s="381"/>
      <c r="S273" s="408"/>
      <c r="T273" s="385"/>
      <c r="U273" s="475"/>
      <c r="V273" s="395"/>
      <c r="W273" s="395"/>
      <c r="X273" s="528"/>
      <c r="Y273" s="523"/>
      <c r="Z273" s="393"/>
      <c r="AA273" s="394"/>
      <c r="AB273" s="394"/>
      <c r="AC273" s="394"/>
      <c r="AD273" s="394"/>
      <c r="AE273" s="394"/>
      <c r="AF273" s="394"/>
      <c r="AG273" s="394"/>
      <c r="AH273" s="394"/>
      <c r="AI273" s="394"/>
      <c r="AJ273" s="394"/>
      <c r="AK273" s="381"/>
      <c r="AL273" s="408"/>
      <c r="AM273" s="385"/>
      <c r="AN273" s="475"/>
      <c r="AO273" s="395"/>
      <c r="AP273" s="395"/>
      <c r="AQ273" s="528">
        <v>144</v>
      </c>
      <c r="AR273" s="523">
        <v>15</v>
      </c>
      <c r="AS273" s="393">
        <v>15</v>
      </c>
      <c r="AT273" s="600">
        <v>46.181579999999997</v>
      </c>
      <c r="AU273" s="394">
        <v>33.351680000000002</v>
      </c>
      <c r="AV273" s="394">
        <v>28.841760000000001</v>
      </c>
      <c r="AW273" s="394"/>
      <c r="AX273" s="394">
        <v>5.9764999999999997</v>
      </c>
      <c r="AY273" s="394">
        <v>0</v>
      </c>
      <c r="AZ273" s="394">
        <v>0</v>
      </c>
      <c r="BA273" s="394">
        <v>3.4230700000000001</v>
      </c>
      <c r="BB273" s="394">
        <v>0.20029</v>
      </c>
      <c r="BC273" s="394"/>
      <c r="BD273" s="381" t="s">
        <v>167</v>
      </c>
      <c r="BE273" s="408" t="s">
        <v>175</v>
      </c>
      <c r="BF273" s="385"/>
      <c r="BG273" s="475">
        <v>144</v>
      </c>
      <c r="BH273" s="395">
        <f t="shared" si="149"/>
        <v>320.70541666666662</v>
      </c>
      <c r="BI273" s="395">
        <f t="shared" si="150"/>
        <v>3.0787719999999998</v>
      </c>
    </row>
    <row r="274" spans="1:61" s="358" customFormat="1" ht="19.2" x14ac:dyDescent="0.3">
      <c r="A274" s="359" t="s">
        <v>268</v>
      </c>
      <c r="B274" s="602" t="s">
        <v>4681</v>
      </c>
      <c r="C274" s="548" t="s">
        <v>4680</v>
      </c>
      <c r="D274" s="360">
        <v>0.4</v>
      </c>
      <c r="E274" s="528"/>
      <c r="F274" s="523"/>
      <c r="G274" s="393"/>
      <c r="H274" s="394"/>
      <c r="I274" s="394"/>
      <c r="J274" s="394"/>
      <c r="K274" s="394"/>
      <c r="L274" s="394"/>
      <c r="M274" s="394"/>
      <c r="N274" s="394"/>
      <c r="O274" s="394"/>
      <c r="P274" s="394"/>
      <c r="Q274" s="394"/>
      <c r="R274" s="381"/>
      <c r="S274" s="408"/>
      <c r="T274" s="385"/>
      <c r="U274" s="475"/>
      <c r="V274" s="395"/>
      <c r="W274" s="395"/>
      <c r="X274" s="528"/>
      <c r="Y274" s="523"/>
      <c r="Z274" s="393"/>
      <c r="AA274" s="394"/>
      <c r="AB274" s="394"/>
      <c r="AC274" s="394"/>
      <c r="AD274" s="394"/>
      <c r="AE274" s="394"/>
      <c r="AF274" s="394"/>
      <c r="AG274" s="394"/>
      <c r="AH274" s="394"/>
      <c r="AI274" s="394"/>
      <c r="AJ274" s="394"/>
      <c r="AK274" s="381"/>
      <c r="AL274" s="408"/>
      <c r="AM274" s="385"/>
      <c r="AN274" s="475"/>
      <c r="AO274" s="395"/>
      <c r="AP274" s="395"/>
      <c r="AQ274" s="528">
        <v>53</v>
      </c>
      <c r="AR274" s="523">
        <v>15</v>
      </c>
      <c r="AS274" s="393">
        <v>15</v>
      </c>
      <c r="AT274" s="600">
        <v>78.337530000000001</v>
      </c>
      <c r="AU274" s="394">
        <v>56.664400000000001</v>
      </c>
      <c r="AV274" s="394">
        <v>10.61537</v>
      </c>
      <c r="AW274" s="394">
        <f>14.2875+28.575</f>
        <v>42.862499999999997</v>
      </c>
      <c r="AX274" s="394">
        <v>10.801550000000001</v>
      </c>
      <c r="AY274" s="394">
        <v>0</v>
      </c>
      <c r="AZ274" s="394">
        <v>0</v>
      </c>
      <c r="BA274" s="394">
        <v>5.3374600000000001</v>
      </c>
      <c r="BB274" s="394">
        <v>0.20029</v>
      </c>
      <c r="BC274" s="394">
        <v>14.2875</v>
      </c>
      <c r="BD274" s="381" t="s">
        <v>167</v>
      </c>
      <c r="BE274" s="408" t="s">
        <v>175</v>
      </c>
      <c r="BF274" s="385"/>
      <c r="BG274" s="475">
        <v>145</v>
      </c>
      <c r="BH274" s="395">
        <f t="shared" si="149"/>
        <v>1478.066603773585</v>
      </c>
      <c r="BI274" s="395">
        <f t="shared" si="150"/>
        <v>5.2225020000000004</v>
      </c>
    </row>
    <row r="275" spans="1:61" s="358" customFormat="1" ht="19.2" x14ac:dyDescent="0.3">
      <c r="A275" s="359" t="s">
        <v>269</v>
      </c>
      <c r="B275" s="602" t="s">
        <v>4685</v>
      </c>
      <c r="C275" s="548" t="s">
        <v>4684</v>
      </c>
      <c r="D275" s="360">
        <v>0.4</v>
      </c>
      <c r="E275" s="528"/>
      <c r="F275" s="523"/>
      <c r="G275" s="393"/>
      <c r="H275" s="394"/>
      <c r="I275" s="394"/>
      <c r="J275" s="394"/>
      <c r="K275" s="394"/>
      <c r="L275" s="394"/>
      <c r="M275" s="394"/>
      <c r="N275" s="394"/>
      <c r="O275" s="394"/>
      <c r="P275" s="394"/>
      <c r="Q275" s="394"/>
      <c r="R275" s="381"/>
      <c r="S275" s="408"/>
      <c r="T275" s="385"/>
      <c r="U275" s="475"/>
      <c r="V275" s="395"/>
      <c r="W275" s="395"/>
      <c r="X275" s="528"/>
      <c r="Y275" s="523"/>
      <c r="Z275" s="393"/>
      <c r="AA275" s="394"/>
      <c r="AB275" s="394"/>
      <c r="AC275" s="394"/>
      <c r="AD275" s="394"/>
      <c r="AE275" s="394"/>
      <c r="AF275" s="394"/>
      <c r="AG275" s="394"/>
      <c r="AH275" s="394"/>
      <c r="AI275" s="394"/>
      <c r="AJ275" s="394"/>
      <c r="AK275" s="381"/>
      <c r="AL275" s="408"/>
      <c r="AM275" s="385"/>
      <c r="AN275" s="475"/>
      <c r="AO275" s="395"/>
      <c r="AP275" s="395"/>
      <c r="AQ275" s="528">
        <v>80</v>
      </c>
      <c r="AR275" s="523">
        <v>15</v>
      </c>
      <c r="AS275" s="393">
        <v>15</v>
      </c>
      <c r="AT275" s="600">
        <v>105.91598999999999</v>
      </c>
      <c r="AU275" s="394">
        <v>76.273709999999994</v>
      </c>
      <c r="AV275" s="394">
        <v>16.023199999999999</v>
      </c>
      <c r="AW275" s="394">
        <f>28.5404+28.5404</f>
        <v>57.080800000000004</v>
      </c>
      <c r="AX275" s="394">
        <v>14.65307</v>
      </c>
      <c r="AY275" s="394">
        <v>0</v>
      </c>
      <c r="AZ275" s="394">
        <v>0</v>
      </c>
      <c r="BA275" s="394">
        <v>7.3481300000000003</v>
      </c>
      <c r="BB275" s="394">
        <v>0.20029</v>
      </c>
      <c r="BC275" s="394">
        <v>14.270200000000001</v>
      </c>
      <c r="BD275" s="381" t="s">
        <v>167</v>
      </c>
      <c r="BE275" s="408" t="s">
        <v>175</v>
      </c>
      <c r="BF275" s="385"/>
      <c r="BG275" s="475">
        <v>147</v>
      </c>
      <c r="BH275" s="395">
        <f t="shared" si="149"/>
        <v>1323.9498749999998</v>
      </c>
      <c r="BI275" s="395">
        <f t="shared" si="150"/>
        <v>7.0610659999999994</v>
      </c>
    </row>
    <row r="276" spans="1:61" s="358" customFormat="1" ht="19.2" x14ac:dyDescent="0.3">
      <c r="A276" s="359" t="s">
        <v>270</v>
      </c>
      <c r="B276" s="602" t="s">
        <v>4698</v>
      </c>
      <c r="C276" s="548" t="s">
        <v>4697</v>
      </c>
      <c r="D276" s="360">
        <v>0.4</v>
      </c>
      <c r="E276" s="528"/>
      <c r="F276" s="523"/>
      <c r="G276" s="393"/>
      <c r="H276" s="394"/>
      <c r="I276" s="394"/>
      <c r="J276" s="394"/>
      <c r="K276" s="394"/>
      <c r="L276" s="394"/>
      <c r="M276" s="394"/>
      <c r="N276" s="394"/>
      <c r="O276" s="394"/>
      <c r="P276" s="394"/>
      <c r="Q276" s="394"/>
      <c r="R276" s="381"/>
      <c r="S276" s="408"/>
      <c r="T276" s="385"/>
      <c r="U276" s="475"/>
      <c r="V276" s="395"/>
      <c r="W276" s="395"/>
      <c r="X276" s="528"/>
      <c r="Y276" s="523"/>
      <c r="Z276" s="393"/>
      <c r="AA276" s="394"/>
      <c r="AB276" s="394"/>
      <c r="AC276" s="394"/>
      <c r="AD276" s="394"/>
      <c r="AE276" s="394"/>
      <c r="AF276" s="394"/>
      <c r="AG276" s="394"/>
      <c r="AH276" s="394"/>
      <c r="AI276" s="394"/>
      <c r="AJ276" s="394"/>
      <c r="AK276" s="381"/>
      <c r="AL276" s="408"/>
      <c r="AM276" s="385"/>
      <c r="AN276" s="475"/>
      <c r="AO276" s="395"/>
      <c r="AP276" s="395"/>
      <c r="AQ276" s="528">
        <v>534</v>
      </c>
      <c r="AR276" s="523">
        <v>15</v>
      </c>
      <c r="AS276" s="393">
        <v>15</v>
      </c>
      <c r="AT276" s="600">
        <v>170.59806</v>
      </c>
      <c r="AU276" s="394">
        <v>123.02051</v>
      </c>
      <c r="AV276" s="394">
        <v>106.95486</v>
      </c>
      <c r="AW276" s="394"/>
      <c r="AX276" s="394">
        <v>22.162859999999998</v>
      </c>
      <c r="AY276" s="394">
        <v>0</v>
      </c>
      <c r="AZ276" s="394">
        <v>0</v>
      </c>
      <c r="BA276" s="394">
        <v>12.69389</v>
      </c>
      <c r="BB276" s="394">
        <v>0.20029</v>
      </c>
      <c r="BC276" s="394"/>
      <c r="BD276" s="381" t="s">
        <v>167</v>
      </c>
      <c r="BE276" s="408" t="s">
        <v>175</v>
      </c>
      <c r="BF276" s="385"/>
      <c r="BG276" s="475">
        <v>149</v>
      </c>
      <c r="BH276" s="395">
        <f t="shared" ref="BH276" si="151">AT276/AQ276*1000</f>
        <v>319.47202247191012</v>
      </c>
      <c r="BI276" s="395">
        <f t="shared" ref="BI276" si="152">AT276/AR276</f>
        <v>11.373203999999999</v>
      </c>
    </row>
    <row r="277" spans="1:61" s="358" customFormat="1" ht="19.2" x14ac:dyDescent="0.3">
      <c r="A277" s="359" t="s">
        <v>271</v>
      </c>
      <c r="B277" s="602" t="s">
        <v>4713</v>
      </c>
      <c r="C277" s="548" t="s">
        <v>4712</v>
      </c>
      <c r="D277" s="360">
        <v>0.4</v>
      </c>
      <c r="E277" s="528"/>
      <c r="F277" s="523"/>
      <c r="G277" s="393"/>
      <c r="H277" s="394"/>
      <c r="I277" s="394"/>
      <c r="J277" s="394"/>
      <c r="K277" s="394"/>
      <c r="L277" s="394"/>
      <c r="M277" s="394"/>
      <c r="N277" s="394"/>
      <c r="O277" s="394"/>
      <c r="P277" s="394"/>
      <c r="Q277" s="394"/>
      <c r="R277" s="381"/>
      <c r="S277" s="408"/>
      <c r="T277" s="385"/>
      <c r="U277" s="475"/>
      <c r="V277" s="395"/>
      <c r="W277" s="395"/>
      <c r="X277" s="528"/>
      <c r="Y277" s="523"/>
      <c r="Z277" s="393"/>
      <c r="AA277" s="394"/>
      <c r="AB277" s="394"/>
      <c r="AC277" s="394"/>
      <c r="AD277" s="394"/>
      <c r="AE277" s="394"/>
      <c r="AF277" s="394"/>
      <c r="AG277" s="394"/>
      <c r="AH277" s="394"/>
      <c r="AI277" s="394"/>
      <c r="AJ277" s="394"/>
      <c r="AK277" s="381"/>
      <c r="AL277" s="408"/>
      <c r="AM277" s="385"/>
      <c r="AN277" s="475"/>
      <c r="AO277" s="395"/>
      <c r="AP277" s="395"/>
      <c r="AQ277" s="528">
        <v>30</v>
      </c>
      <c r="AR277" s="523">
        <v>60</v>
      </c>
      <c r="AS277" s="393">
        <v>60</v>
      </c>
      <c r="AT277" s="600">
        <v>27.664549999999998</v>
      </c>
      <c r="AU277" s="394">
        <v>19.428139999999999</v>
      </c>
      <c r="AV277" s="394">
        <v>6.0087000000000002</v>
      </c>
      <c r="AW277" s="394">
        <v>10.86167</v>
      </c>
      <c r="AX277" s="394">
        <v>3.9760200000000001</v>
      </c>
      <c r="AY277" s="394">
        <v>0</v>
      </c>
      <c r="AZ277" s="394">
        <v>0</v>
      </c>
      <c r="BA277" s="394">
        <v>2.0819700000000001</v>
      </c>
      <c r="BB277" s="394">
        <v>0.20029</v>
      </c>
      <c r="BC277" s="394">
        <v>10.86167</v>
      </c>
      <c r="BD277" s="381" t="s">
        <v>167</v>
      </c>
      <c r="BE277" s="408" t="s">
        <v>175</v>
      </c>
      <c r="BF277" s="385"/>
      <c r="BG277" s="475">
        <v>150</v>
      </c>
      <c r="BH277" s="395">
        <f t="shared" ref="BH277:BH283" si="153">AT277/AQ277*1000</f>
        <v>922.15166666666664</v>
      </c>
      <c r="BI277" s="395">
        <f t="shared" ref="BI277:BI283" si="154">AT277/AR277</f>
        <v>0.4610758333333333</v>
      </c>
    </row>
    <row r="278" spans="1:61" s="358" customFormat="1" ht="19.2" x14ac:dyDescent="0.3">
      <c r="A278" s="359" t="s">
        <v>272</v>
      </c>
      <c r="B278" s="602" t="s">
        <v>4715</v>
      </c>
      <c r="C278" s="548" t="s">
        <v>4714</v>
      </c>
      <c r="D278" s="360">
        <v>0.4</v>
      </c>
      <c r="E278" s="528"/>
      <c r="F278" s="523"/>
      <c r="G278" s="393"/>
      <c r="H278" s="394"/>
      <c r="I278" s="394"/>
      <c r="J278" s="394"/>
      <c r="K278" s="394"/>
      <c r="L278" s="394"/>
      <c r="M278" s="394"/>
      <c r="N278" s="394"/>
      <c r="O278" s="394"/>
      <c r="P278" s="394"/>
      <c r="Q278" s="394"/>
      <c r="R278" s="381"/>
      <c r="S278" s="408"/>
      <c r="T278" s="385"/>
      <c r="U278" s="475"/>
      <c r="V278" s="395"/>
      <c r="W278" s="395"/>
      <c r="X278" s="528"/>
      <c r="Y278" s="523"/>
      <c r="Z278" s="393"/>
      <c r="AA278" s="394"/>
      <c r="AB278" s="394"/>
      <c r="AC278" s="394"/>
      <c r="AD278" s="394"/>
      <c r="AE278" s="394"/>
      <c r="AF278" s="394"/>
      <c r="AG278" s="394"/>
      <c r="AH278" s="394"/>
      <c r="AI278" s="394"/>
      <c r="AJ278" s="394"/>
      <c r="AK278" s="381"/>
      <c r="AL278" s="408"/>
      <c r="AM278" s="385"/>
      <c r="AN278" s="475"/>
      <c r="AO278" s="395"/>
      <c r="AP278" s="395"/>
      <c r="AQ278" s="528">
        <v>170</v>
      </c>
      <c r="AR278" s="523">
        <v>15</v>
      </c>
      <c r="AS278" s="393">
        <v>15</v>
      </c>
      <c r="AT278" s="600">
        <v>193.12841</v>
      </c>
      <c r="AU278" s="394">
        <v>132.95291</v>
      </c>
      <c r="AV278" s="394">
        <v>34.049300000000002</v>
      </c>
      <c r="AW278" s="394">
        <f>44.28088+44.28088</f>
        <v>88.561760000000007</v>
      </c>
      <c r="AX278" s="394">
        <v>29.721170000000001</v>
      </c>
      <c r="AY278" s="394">
        <v>0</v>
      </c>
      <c r="AZ278" s="394">
        <v>0</v>
      </c>
      <c r="BA278" s="394">
        <v>14.933960000000001</v>
      </c>
      <c r="BB278" s="394">
        <v>0.20029</v>
      </c>
      <c r="BC278" s="394">
        <v>11.070220000000001</v>
      </c>
      <c r="BD278" s="381" t="s">
        <v>167</v>
      </c>
      <c r="BE278" s="408" t="s">
        <v>175</v>
      </c>
      <c r="BF278" s="385"/>
      <c r="BG278" s="475">
        <v>152</v>
      </c>
      <c r="BH278" s="395">
        <f t="shared" si="153"/>
        <v>1136.0494705882354</v>
      </c>
      <c r="BI278" s="395">
        <f t="shared" si="154"/>
        <v>12.875227333333333</v>
      </c>
    </row>
    <row r="279" spans="1:61" s="358" customFormat="1" ht="19.2" x14ac:dyDescent="0.3">
      <c r="A279" s="359" t="s">
        <v>273</v>
      </c>
      <c r="B279" s="602" t="s">
        <v>4730</v>
      </c>
      <c r="C279" s="548" t="s">
        <v>4729</v>
      </c>
      <c r="D279" s="360">
        <v>0.4</v>
      </c>
      <c r="E279" s="528"/>
      <c r="F279" s="523"/>
      <c r="G279" s="393"/>
      <c r="H279" s="394"/>
      <c r="I279" s="394"/>
      <c r="J279" s="394"/>
      <c r="K279" s="394"/>
      <c r="L279" s="394"/>
      <c r="M279" s="394"/>
      <c r="N279" s="394"/>
      <c r="O279" s="394"/>
      <c r="P279" s="394"/>
      <c r="Q279" s="394"/>
      <c r="R279" s="381"/>
      <c r="S279" s="408"/>
      <c r="T279" s="385"/>
      <c r="U279" s="475"/>
      <c r="V279" s="395"/>
      <c r="W279" s="395"/>
      <c r="X279" s="528"/>
      <c r="Y279" s="523"/>
      <c r="Z279" s="393"/>
      <c r="AA279" s="394"/>
      <c r="AB279" s="394"/>
      <c r="AC279" s="394"/>
      <c r="AD279" s="394"/>
      <c r="AE279" s="394"/>
      <c r="AF279" s="394"/>
      <c r="AG279" s="394"/>
      <c r="AH279" s="394"/>
      <c r="AI279" s="394"/>
      <c r="AJ279" s="394"/>
      <c r="AK279" s="381"/>
      <c r="AL279" s="408"/>
      <c r="AM279" s="385"/>
      <c r="AN279" s="475"/>
      <c r="AO279" s="395"/>
      <c r="AP279" s="395"/>
      <c r="AQ279" s="528">
        <v>150</v>
      </c>
      <c r="AR279" s="523">
        <v>15</v>
      </c>
      <c r="AS279" s="393">
        <v>15</v>
      </c>
      <c r="AT279" s="600">
        <v>145.97533999999999</v>
      </c>
      <c r="AU279" s="394">
        <v>101.88851</v>
      </c>
      <c r="AV279" s="394">
        <v>30.043500000000002</v>
      </c>
      <c r="AW279" s="394">
        <f>43.44668+21.72334</f>
        <v>65.170019999999994</v>
      </c>
      <c r="AX279" s="394">
        <v>16.25385</v>
      </c>
      <c r="AY279" s="394">
        <v>0</v>
      </c>
      <c r="AZ279" s="394">
        <v>0</v>
      </c>
      <c r="BA279" s="394">
        <v>13.629200000000001</v>
      </c>
      <c r="BB279" s="394">
        <v>0.20029</v>
      </c>
      <c r="BC279" s="394">
        <v>10.86167</v>
      </c>
      <c r="BD279" s="381" t="s">
        <v>167</v>
      </c>
      <c r="BE279" s="408" t="s">
        <v>175</v>
      </c>
      <c r="BF279" s="385"/>
      <c r="BG279" s="475">
        <v>154</v>
      </c>
      <c r="BH279" s="395">
        <f t="shared" si="153"/>
        <v>973.16893333333326</v>
      </c>
      <c r="BI279" s="395">
        <f t="shared" si="154"/>
        <v>9.7316893333333319</v>
      </c>
    </row>
    <row r="280" spans="1:61" s="358" customFormat="1" ht="19.2" x14ac:dyDescent="0.3">
      <c r="A280" s="359" t="s">
        <v>274</v>
      </c>
      <c r="B280" s="602" t="s">
        <v>4736</v>
      </c>
      <c r="C280" s="548" t="s">
        <v>4735</v>
      </c>
      <c r="D280" s="360">
        <v>0.4</v>
      </c>
      <c r="E280" s="528"/>
      <c r="F280" s="523"/>
      <c r="G280" s="393"/>
      <c r="H280" s="394"/>
      <c r="I280" s="394"/>
      <c r="J280" s="394"/>
      <c r="K280" s="394"/>
      <c r="L280" s="394"/>
      <c r="M280" s="394"/>
      <c r="N280" s="394"/>
      <c r="O280" s="394"/>
      <c r="P280" s="394"/>
      <c r="Q280" s="394"/>
      <c r="R280" s="381"/>
      <c r="S280" s="408"/>
      <c r="T280" s="385"/>
      <c r="U280" s="475"/>
      <c r="V280" s="395"/>
      <c r="W280" s="395"/>
      <c r="X280" s="528"/>
      <c r="Y280" s="523"/>
      <c r="Z280" s="393"/>
      <c r="AA280" s="394"/>
      <c r="AB280" s="394"/>
      <c r="AC280" s="394"/>
      <c r="AD280" s="394"/>
      <c r="AE280" s="394"/>
      <c r="AF280" s="394"/>
      <c r="AG280" s="394"/>
      <c r="AH280" s="394"/>
      <c r="AI280" s="394"/>
      <c r="AJ280" s="394"/>
      <c r="AK280" s="381"/>
      <c r="AL280" s="408"/>
      <c r="AM280" s="385"/>
      <c r="AN280" s="475"/>
      <c r="AO280" s="395"/>
      <c r="AP280" s="395"/>
      <c r="AQ280" s="528">
        <v>100</v>
      </c>
      <c r="AR280" s="523">
        <v>5</v>
      </c>
      <c r="AS280" s="393">
        <v>5</v>
      </c>
      <c r="AT280" s="600">
        <v>116.58038000000001</v>
      </c>
      <c r="AU280" s="394">
        <v>81.671710000000004</v>
      </c>
      <c r="AV280" s="394">
        <v>20.029</v>
      </c>
      <c r="AW280" s="394">
        <f>10.86167+43.44668</f>
        <v>54.308350000000004</v>
      </c>
      <c r="AX280" s="394">
        <v>13.295339999999999</v>
      </c>
      <c r="AY280" s="394">
        <v>0</v>
      </c>
      <c r="AZ280" s="394">
        <v>0</v>
      </c>
      <c r="BA280" s="394">
        <v>10.62954</v>
      </c>
      <c r="BB280" s="394">
        <v>0.20029</v>
      </c>
      <c r="BC280" s="394">
        <v>10.86167</v>
      </c>
      <c r="BD280" s="381" t="s">
        <v>167</v>
      </c>
      <c r="BE280" s="408" t="s">
        <v>175</v>
      </c>
      <c r="BF280" s="385"/>
      <c r="BG280" s="475">
        <v>156</v>
      </c>
      <c r="BH280" s="395">
        <f t="shared" si="153"/>
        <v>1165.8037999999999</v>
      </c>
      <c r="BI280" s="395">
        <f t="shared" si="154"/>
        <v>23.316076000000002</v>
      </c>
    </row>
    <row r="281" spans="1:61" s="358" customFormat="1" ht="19.2" x14ac:dyDescent="0.3">
      <c r="A281" s="359" t="s">
        <v>275</v>
      </c>
      <c r="B281" s="602" t="s">
        <v>4738</v>
      </c>
      <c r="C281" s="548" t="s">
        <v>4737</v>
      </c>
      <c r="D281" s="360">
        <v>0.4</v>
      </c>
      <c r="E281" s="528"/>
      <c r="F281" s="523"/>
      <c r="G281" s="393"/>
      <c r="H281" s="394"/>
      <c r="I281" s="394"/>
      <c r="J281" s="394"/>
      <c r="K281" s="394"/>
      <c r="L281" s="394"/>
      <c r="M281" s="394"/>
      <c r="N281" s="394"/>
      <c r="O281" s="394"/>
      <c r="P281" s="394"/>
      <c r="Q281" s="394"/>
      <c r="R281" s="381"/>
      <c r="S281" s="408"/>
      <c r="T281" s="385"/>
      <c r="U281" s="475"/>
      <c r="V281" s="395"/>
      <c r="W281" s="395"/>
      <c r="X281" s="528"/>
      <c r="Y281" s="523"/>
      <c r="Z281" s="393"/>
      <c r="AA281" s="394"/>
      <c r="AB281" s="394"/>
      <c r="AC281" s="394"/>
      <c r="AD281" s="394"/>
      <c r="AE281" s="394"/>
      <c r="AF281" s="394"/>
      <c r="AG281" s="394"/>
      <c r="AH281" s="394"/>
      <c r="AI281" s="394"/>
      <c r="AJ281" s="394"/>
      <c r="AK281" s="381"/>
      <c r="AL281" s="408"/>
      <c r="AM281" s="385"/>
      <c r="AN281" s="475"/>
      <c r="AO281" s="395"/>
      <c r="AP281" s="395"/>
      <c r="AQ281" s="528">
        <v>40</v>
      </c>
      <c r="AR281" s="523">
        <v>15</v>
      </c>
      <c r="AS281" s="393">
        <v>15</v>
      </c>
      <c r="AT281" s="600">
        <v>29.63757</v>
      </c>
      <c r="AU281" s="394">
        <v>21.09253</v>
      </c>
      <c r="AV281" s="394">
        <v>8.0115999999999996</v>
      </c>
      <c r="AW281" s="394">
        <v>10.86167</v>
      </c>
      <c r="AX281" s="394">
        <v>3.0499200000000002</v>
      </c>
      <c r="AY281" s="394">
        <v>0</v>
      </c>
      <c r="AZ281" s="394">
        <v>0</v>
      </c>
      <c r="BA281" s="394">
        <v>2.6903999999999999</v>
      </c>
      <c r="BB281" s="394">
        <v>0.20029</v>
      </c>
      <c r="BC281" s="394">
        <v>10.86167</v>
      </c>
      <c r="BD281" s="381" t="s">
        <v>167</v>
      </c>
      <c r="BE281" s="408" t="s">
        <v>175</v>
      </c>
      <c r="BF281" s="385"/>
      <c r="BG281" s="475">
        <v>158</v>
      </c>
      <c r="BH281" s="395">
        <f t="shared" si="153"/>
        <v>740.93925000000002</v>
      </c>
      <c r="BI281" s="395">
        <f t="shared" si="154"/>
        <v>1.975838</v>
      </c>
    </row>
    <row r="282" spans="1:61" s="358" customFormat="1" ht="19.2" x14ac:dyDescent="0.3">
      <c r="A282" s="359" t="s">
        <v>276</v>
      </c>
      <c r="B282" s="602" t="s">
        <v>4743</v>
      </c>
      <c r="C282" s="548" t="s">
        <v>4742</v>
      </c>
      <c r="D282" s="360">
        <v>0.4</v>
      </c>
      <c r="E282" s="528"/>
      <c r="F282" s="523"/>
      <c r="G282" s="393"/>
      <c r="H282" s="394"/>
      <c r="I282" s="394"/>
      <c r="J282" s="394"/>
      <c r="K282" s="394"/>
      <c r="L282" s="394"/>
      <c r="M282" s="394"/>
      <c r="N282" s="394"/>
      <c r="O282" s="394"/>
      <c r="P282" s="394"/>
      <c r="Q282" s="394"/>
      <c r="R282" s="381"/>
      <c r="S282" s="408"/>
      <c r="T282" s="385"/>
      <c r="U282" s="475"/>
      <c r="V282" s="395"/>
      <c r="W282" s="395"/>
      <c r="X282" s="528"/>
      <c r="Y282" s="523"/>
      <c r="Z282" s="393"/>
      <c r="AA282" s="394"/>
      <c r="AB282" s="394"/>
      <c r="AC282" s="394"/>
      <c r="AD282" s="394"/>
      <c r="AE282" s="394"/>
      <c r="AF282" s="394"/>
      <c r="AG282" s="394"/>
      <c r="AH282" s="394"/>
      <c r="AI282" s="394"/>
      <c r="AJ282" s="394"/>
      <c r="AK282" s="381"/>
      <c r="AL282" s="408"/>
      <c r="AM282" s="385"/>
      <c r="AN282" s="475"/>
      <c r="AO282" s="395"/>
      <c r="AP282" s="395"/>
      <c r="AQ282" s="528">
        <v>96</v>
      </c>
      <c r="AR282" s="523">
        <v>15</v>
      </c>
      <c r="AS282" s="393">
        <v>15</v>
      </c>
      <c r="AT282" s="600">
        <v>113.63376</v>
      </c>
      <c r="AU282" s="394">
        <v>79.238309999999998</v>
      </c>
      <c r="AV282" s="394">
        <v>19.22784</v>
      </c>
      <c r="AW282" s="394">
        <f>32.58501+21.72334</f>
        <v>54.308349999999997</v>
      </c>
      <c r="AX282" s="394">
        <v>12.829929999999999</v>
      </c>
      <c r="AY282" s="394">
        <v>0</v>
      </c>
      <c r="AZ282" s="394">
        <v>0</v>
      </c>
      <c r="BA282" s="394">
        <v>10.553089999999999</v>
      </c>
      <c r="BB282" s="394">
        <v>0.20029</v>
      </c>
      <c r="BC282" s="394">
        <v>10.86167</v>
      </c>
      <c r="BD282" s="381" t="s">
        <v>167</v>
      </c>
      <c r="BE282" s="408" t="s">
        <v>175</v>
      </c>
      <c r="BF282" s="385"/>
      <c r="BG282" s="475">
        <v>160</v>
      </c>
      <c r="BH282" s="395">
        <f t="shared" si="153"/>
        <v>1183.6849999999999</v>
      </c>
      <c r="BI282" s="395">
        <f t="shared" si="154"/>
        <v>7.5755840000000001</v>
      </c>
    </row>
    <row r="283" spans="1:61" s="358" customFormat="1" ht="19.2" x14ac:dyDescent="0.3">
      <c r="A283" s="359" t="s">
        <v>277</v>
      </c>
      <c r="B283" s="602" t="s">
        <v>4753</v>
      </c>
      <c r="C283" s="548" t="s">
        <v>4752</v>
      </c>
      <c r="D283" s="360">
        <v>0.4</v>
      </c>
      <c r="E283" s="528"/>
      <c r="F283" s="523"/>
      <c r="G283" s="393"/>
      <c r="H283" s="394"/>
      <c r="I283" s="394"/>
      <c r="J283" s="394"/>
      <c r="K283" s="394"/>
      <c r="L283" s="394"/>
      <c r="M283" s="394"/>
      <c r="N283" s="394"/>
      <c r="O283" s="394"/>
      <c r="P283" s="394"/>
      <c r="Q283" s="394"/>
      <c r="R283" s="381"/>
      <c r="S283" s="408"/>
      <c r="T283" s="385"/>
      <c r="U283" s="475"/>
      <c r="V283" s="395"/>
      <c r="W283" s="395"/>
      <c r="X283" s="528"/>
      <c r="Y283" s="523"/>
      <c r="Z283" s="393"/>
      <c r="AA283" s="394"/>
      <c r="AB283" s="394"/>
      <c r="AC283" s="394"/>
      <c r="AD283" s="394"/>
      <c r="AE283" s="394"/>
      <c r="AF283" s="394"/>
      <c r="AG283" s="394"/>
      <c r="AH283" s="394"/>
      <c r="AI283" s="394"/>
      <c r="AJ283" s="394"/>
      <c r="AK283" s="381"/>
      <c r="AL283" s="408"/>
      <c r="AM283" s="385"/>
      <c r="AN283" s="475"/>
      <c r="AO283" s="395"/>
      <c r="AP283" s="395"/>
      <c r="AQ283" s="528">
        <v>230</v>
      </c>
      <c r="AR283" s="523">
        <v>15</v>
      </c>
      <c r="AS283" s="393">
        <v>15</v>
      </c>
      <c r="AT283" s="600">
        <v>224.20943</v>
      </c>
      <c r="AU283" s="394">
        <v>157.57694000000001</v>
      </c>
      <c r="AV283" s="394">
        <v>46.066699999999997</v>
      </c>
      <c r="AW283" s="394">
        <f>55.3511+44.28088</f>
        <v>99.631979999999999</v>
      </c>
      <c r="AX283" s="394">
        <v>24.693619999999999</v>
      </c>
      <c r="AY283" s="394">
        <v>0</v>
      </c>
      <c r="AZ283" s="394">
        <v>0</v>
      </c>
      <c r="BA283" s="394">
        <v>20.56467</v>
      </c>
      <c r="BB283" s="394">
        <v>0.20029</v>
      </c>
      <c r="BC283" s="394">
        <v>11.070220000000001</v>
      </c>
      <c r="BD283" s="381" t="s">
        <v>167</v>
      </c>
      <c r="BE283" s="408" t="s">
        <v>175</v>
      </c>
      <c r="BF283" s="385"/>
      <c r="BG283" s="475">
        <v>162</v>
      </c>
      <c r="BH283" s="395">
        <f t="shared" si="153"/>
        <v>974.82360869565218</v>
      </c>
      <c r="BI283" s="395">
        <f t="shared" si="154"/>
        <v>14.947295333333333</v>
      </c>
    </row>
    <row r="284" spans="1:61" s="358" customFormat="1" ht="19.2" x14ac:dyDescent="0.3">
      <c r="A284" s="359" t="s">
        <v>326</v>
      </c>
      <c r="B284" s="602" t="s">
        <v>4797</v>
      </c>
      <c r="C284" s="548" t="s">
        <v>4796</v>
      </c>
      <c r="D284" s="360">
        <v>0.4</v>
      </c>
      <c r="E284" s="528"/>
      <c r="F284" s="523"/>
      <c r="G284" s="393"/>
      <c r="H284" s="394"/>
      <c r="I284" s="394"/>
      <c r="J284" s="394"/>
      <c r="K284" s="394"/>
      <c r="L284" s="394"/>
      <c r="M284" s="394"/>
      <c r="N284" s="394"/>
      <c r="O284" s="394"/>
      <c r="P284" s="394"/>
      <c r="Q284" s="394"/>
      <c r="R284" s="381"/>
      <c r="S284" s="408"/>
      <c r="T284" s="385"/>
      <c r="U284" s="475"/>
      <c r="V284" s="395"/>
      <c r="W284" s="395"/>
      <c r="X284" s="528"/>
      <c r="Y284" s="523"/>
      <c r="Z284" s="393"/>
      <c r="AA284" s="394"/>
      <c r="AB284" s="394"/>
      <c r="AC284" s="394"/>
      <c r="AD284" s="394"/>
      <c r="AE284" s="394"/>
      <c r="AF284" s="394"/>
      <c r="AG284" s="394"/>
      <c r="AH284" s="394"/>
      <c r="AI284" s="394"/>
      <c r="AJ284" s="394"/>
      <c r="AK284" s="381"/>
      <c r="AL284" s="408"/>
      <c r="AM284" s="385"/>
      <c r="AN284" s="475"/>
      <c r="AO284" s="395"/>
      <c r="AP284" s="395"/>
      <c r="AQ284" s="528">
        <v>85</v>
      </c>
      <c r="AR284" s="523">
        <v>15</v>
      </c>
      <c r="AS284" s="393">
        <v>15</v>
      </c>
      <c r="AT284" s="600">
        <v>108.79534</v>
      </c>
      <c r="AU284" s="394">
        <v>74.736140000000006</v>
      </c>
      <c r="AV284" s="394">
        <v>17.024650000000001</v>
      </c>
      <c r="AW284" s="394">
        <f>10.44331+41.77324</f>
        <v>52.216549999999998</v>
      </c>
      <c r="AX284" s="394">
        <v>13.27336</v>
      </c>
      <c r="AY284" s="394">
        <v>0</v>
      </c>
      <c r="AZ284" s="394">
        <v>0</v>
      </c>
      <c r="BA284" s="394">
        <v>10.216290000000001</v>
      </c>
      <c r="BB284" s="394">
        <v>0.20029</v>
      </c>
      <c r="BC284" s="394">
        <v>10.44331</v>
      </c>
      <c r="BD284" s="381" t="s">
        <v>167</v>
      </c>
      <c r="BE284" s="408" t="s">
        <v>175</v>
      </c>
      <c r="BF284" s="385"/>
      <c r="BG284" s="475">
        <v>164</v>
      </c>
      <c r="BH284" s="395">
        <f t="shared" ref="BH284:BH288" si="155">AT284/AQ284*1000</f>
        <v>1279.9451764705882</v>
      </c>
      <c r="BI284" s="395">
        <f t="shared" ref="BI284:BI288" si="156">AT284/AR284</f>
        <v>7.2530226666666664</v>
      </c>
    </row>
    <row r="285" spans="1:61" s="358" customFormat="1" ht="19.2" x14ac:dyDescent="0.3">
      <c r="A285" s="359" t="s">
        <v>327</v>
      </c>
      <c r="B285" s="602" t="s">
        <v>4815</v>
      </c>
      <c r="C285" s="548" t="s">
        <v>4814</v>
      </c>
      <c r="D285" s="360">
        <v>0.4</v>
      </c>
      <c r="E285" s="528"/>
      <c r="F285" s="523"/>
      <c r="G285" s="393"/>
      <c r="H285" s="394"/>
      <c r="I285" s="394"/>
      <c r="J285" s="394"/>
      <c r="K285" s="394"/>
      <c r="L285" s="394"/>
      <c r="M285" s="394"/>
      <c r="N285" s="394"/>
      <c r="O285" s="394"/>
      <c r="P285" s="394"/>
      <c r="Q285" s="394"/>
      <c r="R285" s="381"/>
      <c r="S285" s="408"/>
      <c r="T285" s="385"/>
      <c r="U285" s="475"/>
      <c r="V285" s="395"/>
      <c r="W285" s="395"/>
      <c r="X285" s="528"/>
      <c r="Y285" s="523"/>
      <c r="Z285" s="393"/>
      <c r="AA285" s="394"/>
      <c r="AB285" s="394"/>
      <c r="AC285" s="394"/>
      <c r="AD285" s="394"/>
      <c r="AE285" s="394"/>
      <c r="AF285" s="394"/>
      <c r="AG285" s="394"/>
      <c r="AH285" s="394"/>
      <c r="AI285" s="394"/>
      <c r="AJ285" s="394"/>
      <c r="AK285" s="381"/>
      <c r="AL285" s="408"/>
      <c r="AM285" s="385"/>
      <c r="AN285" s="475"/>
      <c r="AO285" s="395"/>
      <c r="AP285" s="395"/>
      <c r="AQ285" s="528">
        <v>30</v>
      </c>
      <c r="AR285" s="523">
        <v>50</v>
      </c>
      <c r="AS285" s="393">
        <v>50</v>
      </c>
      <c r="AT285" s="600">
        <v>27.12622</v>
      </c>
      <c r="AU285" s="394">
        <v>19.311689999999999</v>
      </c>
      <c r="AV285" s="394">
        <v>6.0087000000000002</v>
      </c>
      <c r="AW285" s="394">
        <v>11.090669999999999</v>
      </c>
      <c r="AX285" s="394">
        <v>2.8710599999999999</v>
      </c>
      <c r="AY285" s="394">
        <v>0</v>
      </c>
      <c r="AZ285" s="394">
        <v>0</v>
      </c>
      <c r="BA285" s="394">
        <v>2.4149099999999999</v>
      </c>
      <c r="BB285" s="394">
        <v>0.20029</v>
      </c>
      <c r="BC285" s="394">
        <v>11.090669999999999</v>
      </c>
      <c r="BD285" s="381" t="s">
        <v>167</v>
      </c>
      <c r="BE285" s="408" t="s">
        <v>175</v>
      </c>
      <c r="BF285" s="385"/>
      <c r="BG285" s="475">
        <v>166</v>
      </c>
      <c r="BH285" s="395">
        <f t="shared" si="155"/>
        <v>904.20733333333339</v>
      </c>
      <c r="BI285" s="395">
        <f t="shared" si="156"/>
        <v>0.54252440000000002</v>
      </c>
    </row>
    <row r="286" spans="1:61" s="358" customFormat="1" ht="19.2" x14ac:dyDescent="0.3">
      <c r="A286" s="359" t="s">
        <v>328</v>
      </c>
      <c r="B286" s="602" t="s">
        <v>4820</v>
      </c>
      <c r="C286" s="548" t="s">
        <v>4819</v>
      </c>
      <c r="D286" s="360">
        <v>0.4</v>
      </c>
      <c r="E286" s="528"/>
      <c r="F286" s="523"/>
      <c r="G286" s="393"/>
      <c r="H286" s="394"/>
      <c r="I286" s="394"/>
      <c r="J286" s="394"/>
      <c r="K286" s="394"/>
      <c r="L286" s="394"/>
      <c r="M286" s="394"/>
      <c r="N286" s="394"/>
      <c r="O286" s="394"/>
      <c r="P286" s="394"/>
      <c r="Q286" s="394"/>
      <c r="R286" s="381"/>
      <c r="S286" s="408"/>
      <c r="T286" s="385"/>
      <c r="U286" s="475"/>
      <c r="V286" s="395"/>
      <c r="W286" s="395"/>
      <c r="X286" s="528"/>
      <c r="Y286" s="523"/>
      <c r="Z286" s="393"/>
      <c r="AA286" s="394"/>
      <c r="AB286" s="394"/>
      <c r="AC286" s="394"/>
      <c r="AD286" s="394"/>
      <c r="AE286" s="394"/>
      <c r="AF286" s="394"/>
      <c r="AG286" s="394"/>
      <c r="AH286" s="394"/>
      <c r="AI286" s="394"/>
      <c r="AJ286" s="394"/>
      <c r="AK286" s="381"/>
      <c r="AL286" s="408"/>
      <c r="AM286" s="385"/>
      <c r="AN286" s="475"/>
      <c r="AO286" s="395"/>
      <c r="AP286" s="395"/>
      <c r="AQ286" s="528">
        <v>158</v>
      </c>
      <c r="AR286" s="523">
        <v>15</v>
      </c>
      <c r="AS286" s="393">
        <v>15</v>
      </c>
      <c r="AT286" s="600">
        <v>175.04458</v>
      </c>
      <c r="AU286" s="394">
        <v>124.27828</v>
      </c>
      <c r="AV286" s="394">
        <v>31.645820000000001</v>
      </c>
      <c r="AW286" s="394">
        <f>33.66831+44.89108</f>
        <v>78.559390000000008</v>
      </c>
      <c r="AX286" s="394">
        <v>19.376359999999998</v>
      </c>
      <c r="AY286" s="394">
        <v>0</v>
      </c>
      <c r="AZ286" s="394">
        <v>0</v>
      </c>
      <c r="BA286" s="394">
        <v>15.404260000000001</v>
      </c>
      <c r="BB286" s="394">
        <v>0.20029</v>
      </c>
      <c r="BC286" s="394">
        <v>11.222770000000001</v>
      </c>
      <c r="BD286" s="381" t="s">
        <v>167</v>
      </c>
      <c r="BE286" s="408" t="s">
        <v>175</v>
      </c>
      <c r="BF286" s="385"/>
      <c r="BG286" s="475">
        <v>168</v>
      </c>
      <c r="BH286" s="395">
        <f t="shared" ref="BH286" si="157">AT286/AQ286*1000</f>
        <v>1107.8770886075947</v>
      </c>
      <c r="BI286" s="395">
        <f t="shared" ref="BI286" si="158">AT286/AR286</f>
        <v>11.669638666666666</v>
      </c>
    </row>
    <row r="287" spans="1:61" s="358" customFormat="1" ht="19.2" x14ac:dyDescent="0.3">
      <c r="A287" s="359" t="s">
        <v>329</v>
      </c>
      <c r="B287" s="602" t="s">
        <v>315</v>
      </c>
      <c r="C287" s="548" t="s">
        <v>4824</v>
      </c>
      <c r="D287" s="360">
        <v>0.4</v>
      </c>
      <c r="E287" s="528"/>
      <c r="F287" s="523"/>
      <c r="G287" s="393"/>
      <c r="H287" s="394"/>
      <c r="I287" s="394"/>
      <c r="J287" s="394"/>
      <c r="K287" s="394"/>
      <c r="L287" s="394"/>
      <c r="M287" s="394"/>
      <c r="N287" s="394"/>
      <c r="O287" s="394"/>
      <c r="P287" s="394"/>
      <c r="Q287" s="394"/>
      <c r="R287" s="381"/>
      <c r="S287" s="408"/>
      <c r="T287" s="385"/>
      <c r="U287" s="475"/>
      <c r="V287" s="395"/>
      <c r="W287" s="395"/>
      <c r="X287" s="528"/>
      <c r="Y287" s="523"/>
      <c r="Z287" s="393"/>
      <c r="AA287" s="394"/>
      <c r="AB287" s="394"/>
      <c r="AC287" s="394"/>
      <c r="AD287" s="394"/>
      <c r="AE287" s="394"/>
      <c r="AF287" s="394"/>
      <c r="AG287" s="394"/>
      <c r="AH287" s="394"/>
      <c r="AI287" s="394"/>
      <c r="AJ287" s="394"/>
      <c r="AK287" s="381"/>
      <c r="AL287" s="408"/>
      <c r="AM287" s="385"/>
      <c r="AN287" s="475"/>
      <c r="AO287" s="395"/>
      <c r="AP287" s="395"/>
      <c r="AQ287" s="528">
        <v>70</v>
      </c>
      <c r="AR287" s="523">
        <v>10</v>
      </c>
      <c r="AS287" s="393">
        <v>10</v>
      </c>
      <c r="AT287" s="600">
        <v>89.945179999999993</v>
      </c>
      <c r="AU287" s="394">
        <v>62.644970000000001</v>
      </c>
      <c r="AV287" s="394">
        <v>14.020300000000001</v>
      </c>
      <c r="AW287" s="394">
        <f>22.44554+22.44554</f>
        <v>44.891080000000002</v>
      </c>
      <c r="AX287" s="394">
        <v>10.45748</v>
      </c>
      <c r="AY287" s="394">
        <v>0</v>
      </c>
      <c r="AZ287" s="394">
        <v>0</v>
      </c>
      <c r="BA287" s="394">
        <v>8.2483900000000006</v>
      </c>
      <c r="BB287" s="394">
        <v>0.20029</v>
      </c>
      <c r="BC287" s="394">
        <v>11.222770000000001</v>
      </c>
      <c r="BD287" s="381" t="s">
        <v>167</v>
      </c>
      <c r="BE287" s="408" t="s">
        <v>175</v>
      </c>
      <c r="BF287" s="385"/>
      <c r="BG287" s="475">
        <v>170</v>
      </c>
      <c r="BH287" s="395">
        <f t="shared" si="155"/>
        <v>1284.9311428571427</v>
      </c>
      <c r="BI287" s="395">
        <f t="shared" si="156"/>
        <v>8.9945179999999993</v>
      </c>
    </row>
    <row r="288" spans="1:61" s="358" customFormat="1" ht="19.2" x14ac:dyDescent="0.3">
      <c r="A288" s="359" t="s">
        <v>330</v>
      </c>
      <c r="B288" s="602" t="s">
        <v>4111</v>
      </c>
      <c r="C288" s="548" t="s">
        <v>4825</v>
      </c>
      <c r="D288" s="360">
        <v>0.4</v>
      </c>
      <c r="E288" s="528"/>
      <c r="F288" s="523"/>
      <c r="G288" s="393"/>
      <c r="H288" s="394"/>
      <c r="I288" s="394"/>
      <c r="J288" s="394"/>
      <c r="K288" s="394"/>
      <c r="L288" s="394"/>
      <c r="M288" s="394"/>
      <c r="N288" s="394"/>
      <c r="O288" s="394"/>
      <c r="P288" s="394"/>
      <c r="Q288" s="394"/>
      <c r="R288" s="381"/>
      <c r="S288" s="408"/>
      <c r="T288" s="385"/>
      <c r="U288" s="475"/>
      <c r="V288" s="395"/>
      <c r="W288" s="395"/>
      <c r="X288" s="528"/>
      <c r="Y288" s="523"/>
      <c r="Z288" s="393"/>
      <c r="AA288" s="394"/>
      <c r="AB288" s="394"/>
      <c r="AC288" s="394"/>
      <c r="AD288" s="394"/>
      <c r="AE288" s="394"/>
      <c r="AF288" s="394"/>
      <c r="AG288" s="394"/>
      <c r="AH288" s="394"/>
      <c r="AI288" s="394"/>
      <c r="AJ288" s="394"/>
      <c r="AK288" s="381"/>
      <c r="AL288" s="408"/>
      <c r="AM288" s="385"/>
      <c r="AN288" s="475"/>
      <c r="AO288" s="395"/>
      <c r="AP288" s="395"/>
      <c r="AQ288" s="528">
        <v>118</v>
      </c>
      <c r="AR288" s="523">
        <v>15</v>
      </c>
      <c r="AS288" s="393">
        <v>15</v>
      </c>
      <c r="AT288" s="600">
        <v>105.54455</v>
      </c>
      <c r="AU288" s="394">
        <v>74.452269999999999</v>
      </c>
      <c r="AV288" s="394">
        <v>23.634219999999999</v>
      </c>
      <c r="AW288" s="394">
        <v>44.891080000000002</v>
      </c>
      <c r="AX288" s="394">
        <v>11.42872</v>
      </c>
      <c r="AY288" s="394">
        <v>0</v>
      </c>
      <c r="AZ288" s="394">
        <v>0</v>
      </c>
      <c r="BA288" s="394">
        <v>9.6045400000000001</v>
      </c>
      <c r="BB288" s="394">
        <v>0.20029</v>
      </c>
      <c r="BC288" s="394">
        <v>11.222770000000001</v>
      </c>
      <c r="BD288" s="381" t="s">
        <v>167</v>
      </c>
      <c r="BE288" s="408" t="s">
        <v>175</v>
      </c>
      <c r="BF288" s="385"/>
      <c r="BG288" s="475">
        <v>172</v>
      </c>
      <c r="BH288" s="395">
        <f t="shared" si="155"/>
        <v>894.44533898305087</v>
      </c>
      <c r="BI288" s="395">
        <f t="shared" si="156"/>
        <v>7.0363033333333336</v>
      </c>
    </row>
    <row r="289" spans="1:61" s="358" customFormat="1" ht="19.2" x14ac:dyDescent="0.3">
      <c r="A289" s="359" t="s">
        <v>331</v>
      </c>
      <c r="B289" s="602" t="s">
        <v>4836</v>
      </c>
      <c r="C289" s="548" t="s">
        <v>4835</v>
      </c>
      <c r="D289" s="360">
        <v>0.4</v>
      </c>
      <c r="E289" s="528"/>
      <c r="F289" s="523"/>
      <c r="G289" s="393"/>
      <c r="H289" s="394"/>
      <c r="I289" s="394"/>
      <c r="J289" s="394"/>
      <c r="K289" s="394"/>
      <c r="L289" s="394"/>
      <c r="M289" s="394"/>
      <c r="N289" s="394"/>
      <c r="O289" s="394"/>
      <c r="P289" s="394"/>
      <c r="Q289" s="394"/>
      <c r="R289" s="381"/>
      <c r="S289" s="408"/>
      <c r="T289" s="385"/>
      <c r="U289" s="475"/>
      <c r="V289" s="395"/>
      <c r="W289" s="395"/>
      <c r="X289" s="528"/>
      <c r="Y289" s="523"/>
      <c r="Z289" s="393"/>
      <c r="AA289" s="394"/>
      <c r="AB289" s="394"/>
      <c r="AC289" s="394"/>
      <c r="AD289" s="394"/>
      <c r="AE289" s="394"/>
      <c r="AF289" s="394"/>
      <c r="AG289" s="394"/>
      <c r="AH289" s="394"/>
      <c r="AI289" s="394"/>
      <c r="AJ289" s="394"/>
      <c r="AK289" s="381"/>
      <c r="AL289" s="408"/>
      <c r="AM289" s="385"/>
      <c r="AN289" s="475"/>
      <c r="AO289" s="395"/>
      <c r="AP289" s="395"/>
      <c r="AQ289" s="528">
        <v>40</v>
      </c>
      <c r="AR289" s="523">
        <v>30</v>
      </c>
      <c r="AS289" s="393">
        <v>30</v>
      </c>
      <c r="AT289" s="600">
        <v>30.130490000000002</v>
      </c>
      <c r="AU289" s="394">
        <v>21.486719999999998</v>
      </c>
      <c r="AV289" s="394">
        <v>8.0115999999999996</v>
      </c>
      <c r="AW289" s="394">
        <v>11.25338</v>
      </c>
      <c r="AX289" s="394">
        <v>3.1486499999999999</v>
      </c>
      <c r="AY289" s="394">
        <v>0</v>
      </c>
      <c r="AZ289" s="394">
        <v>0</v>
      </c>
      <c r="BA289" s="394">
        <v>2.6903999999999999</v>
      </c>
      <c r="BB289" s="394">
        <v>0.20029</v>
      </c>
      <c r="BC289" s="394">
        <v>11.25338</v>
      </c>
      <c r="BD289" s="381" t="s">
        <v>167</v>
      </c>
      <c r="BE289" s="408" t="s">
        <v>175</v>
      </c>
      <c r="BF289" s="385"/>
      <c r="BG289" s="475">
        <v>174</v>
      </c>
      <c r="BH289" s="395">
        <f t="shared" ref="BH289:BH290" si="159">AT289/AQ289*1000</f>
        <v>753.26224999999999</v>
      </c>
      <c r="BI289" s="395">
        <f t="shared" ref="BI289:BI290" si="160">AT289/AR289</f>
        <v>1.0043496666666667</v>
      </c>
    </row>
    <row r="290" spans="1:61" s="358" customFormat="1" ht="19.2" x14ac:dyDescent="0.3">
      <c r="A290" s="359" t="s">
        <v>332</v>
      </c>
      <c r="B290" s="602" t="s">
        <v>4838</v>
      </c>
      <c r="C290" s="548" t="s">
        <v>4837</v>
      </c>
      <c r="D290" s="360">
        <v>0.4</v>
      </c>
      <c r="E290" s="528"/>
      <c r="F290" s="523"/>
      <c r="G290" s="393"/>
      <c r="H290" s="394"/>
      <c r="I290" s="394"/>
      <c r="J290" s="394"/>
      <c r="K290" s="394"/>
      <c r="L290" s="394"/>
      <c r="M290" s="394"/>
      <c r="N290" s="394"/>
      <c r="O290" s="394"/>
      <c r="P290" s="394"/>
      <c r="Q290" s="394"/>
      <c r="R290" s="381"/>
      <c r="S290" s="408"/>
      <c r="T290" s="385"/>
      <c r="U290" s="475"/>
      <c r="V290" s="395"/>
      <c r="W290" s="395"/>
      <c r="X290" s="528"/>
      <c r="Y290" s="523"/>
      <c r="Z290" s="393"/>
      <c r="AA290" s="394"/>
      <c r="AB290" s="394"/>
      <c r="AC290" s="394"/>
      <c r="AD290" s="394"/>
      <c r="AE290" s="394"/>
      <c r="AF290" s="394"/>
      <c r="AG290" s="394"/>
      <c r="AH290" s="394"/>
      <c r="AI290" s="394"/>
      <c r="AJ290" s="394"/>
      <c r="AK290" s="381"/>
      <c r="AL290" s="408"/>
      <c r="AM290" s="385"/>
      <c r="AN290" s="475"/>
      <c r="AO290" s="395"/>
      <c r="AP290" s="395"/>
      <c r="AQ290" s="528">
        <v>194</v>
      </c>
      <c r="AR290" s="523">
        <v>15</v>
      </c>
      <c r="AS290" s="393">
        <v>15</v>
      </c>
      <c r="AT290" s="600">
        <v>249.93958000000001</v>
      </c>
      <c r="AU290" s="394">
        <v>174.69254000000001</v>
      </c>
      <c r="AV290" s="394">
        <v>38.856259999999999</v>
      </c>
      <c r="AW290" s="394">
        <f>56.11385+67.33662</f>
        <v>123.45047</v>
      </c>
      <c r="AX290" s="394">
        <v>28.89002</v>
      </c>
      <c r="AY290" s="394">
        <v>0</v>
      </c>
      <c r="AZ290" s="394">
        <v>0</v>
      </c>
      <c r="BA290" s="394">
        <v>22.715949999999999</v>
      </c>
      <c r="BB290" s="394">
        <v>0.20029</v>
      </c>
      <c r="BC290" s="394">
        <v>11.222770000000001</v>
      </c>
      <c r="BD290" s="381" t="s">
        <v>167</v>
      </c>
      <c r="BE290" s="408" t="s">
        <v>175</v>
      </c>
      <c r="BF290" s="385"/>
      <c r="BG290" s="475">
        <v>176</v>
      </c>
      <c r="BH290" s="395">
        <f t="shared" si="159"/>
        <v>1288.3483505154641</v>
      </c>
      <c r="BI290" s="395">
        <f t="shared" si="160"/>
        <v>16.662638666666666</v>
      </c>
    </row>
    <row r="291" spans="1:61" s="358" customFormat="1" ht="19.2" x14ac:dyDescent="0.3">
      <c r="A291" s="359" t="s">
        <v>333</v>
      </c>
      <c r="B291" s="602" t="s">
        <v>4840</v>
      </c>
      <c r="C291" s="548" t="s">
        <v>4839</v>
      </c>
      <c r="D291" s="360">
        <v>0.4</v>
      </c>
      <c r="E291" s="528"/>
      <c r="F291" s="523"/>
      <c r="G291" s="393"/>
      <c r="H291" s="394"/>
      <c r="I291" s="394"/>
      <c r="J291" s="394"/>
      <c r="K291" s="394"/>
      <c r="L291" s="394"/>
      <c r="M291" s="394"/>
      <c r="N291" s="394"/>
      <c r="O291" s="394"/>
      <c r="P291" s="394"/>
      <c r="Q291" s="394"/>
      <c r="R291" s="381"/>
      <c r="S291" s="408"/>
      <c r="T291" s="385"/>
      <c r="U291" s="475"/>
      <c r="V291" s="395"/>
      <c r="W291" s="395"/>
      <c r="X291" s="528"/>
      <c r="Y291" s="523"/>
      <c r="Z291" s="393"/>
      <c r="AA291" s="394"/>
      <c r="AB291" s="394"/>
      <c r="AC291" s="394"/>
      <c r="AD291" s="394"/>
      <c r="AE291" s="394"/>
      <c r="AF291" s="394"/>
      <c r="AG291" s="394"/>
      <c r="AH291" s="394"/>
      <c r="AI291" s="394"/>
      <c r="AJ291" s="394"/>
      <c r="AK291" s="381"/>
      <c r="AL291" s="408"/>
      <c r="AM291" s="385"/>
      <c r="AN291" s="475"/>
      <c r="AO291" s="395"/>
      <c r="AP291" s="395"/>
      <c r="AQ291" s="528">
        <v>115</v>
      </c>
      <c r="AR291" s="523">
        <v>15</v>
      </c>
      <c r="AS291" s="393">
        <v>15</v>
      </c>
      <c r="AT291" s="600">
        <v>102.75894</v>
      </c>
      <c r="AU291" s="394">
        <v>71.915450000000007</v>
      </c>
      <c r="AV291" s="394">
        <v>23.033349999999999</v>
      </c>
      <c r="AW291" s="394">
        <v>44.891080000000002</v>
      </c>
      <c r="AX291" s="394">
        <v>11.34544</v>
      </c>
      <c r="AY291" s="394">
        <v>0</v>
      </c>
      <c r="AZ291" s="394">
        <v>0</v>
      </c>
      <c r="BA291" s="394">
        <v>9.5218799999999995</v>
      </c>
      <c r="BB291" s="394">
        <v>0.20029</v>
      </c>
      <c r="BC291" s="394">
        <v>11.222770000000001</v>
      </c>
      <c r="BD291" s="381" t="s">
        <v>167</v>
      </c>
      <c r="BE291" s="408" t="s">
        <v>175</v>
      </c>
      <c r="BF291" s="385"/>
      <c r="BG291" s="475">
        <v>178</v>
      </c>
      <c r="BH291" s="395">
        <f t="shared" ref="BH291:BH298" si="161">AT291/AQ291*1000</f>
        <v>893.55599999999993</v>
      </c>
      <c r="BI291" s="395">
        <f t="shared" ref="BI291:BI298" si="162">AT291/AR291</f>
        <v>6.8505959999999995</v>
      </c>
    </row>
    <row r="292" spans="1:61" s="358" customFormat="1" ht="19.2" x14ac:dyDescent="0.3">
      <c r="A292" s="359" t="s">
        <v>334</v>
      </c>
      <c r="B292" s="602" t="s">
        <v>4848</v>
      </c>
      <c r="C292" s="548" t="s">
        <v>4847</v>
      </c>
      <c r="D292" s="360">
        <v>0.4</v>
      </c>
      <c r="E292" s="528"/>
      <c r="F292" s="523"/>
      <c r="G292" s="393"/>
      <c r="H292" s="394"/>
      <c r="I292" s="394"/>
      <c r="J292" s="394"/>
      <c r="K292" s="394"/>
      <c r="L292" s="394"/>
      <c r="M292" s="394"/>
      <c r="N292" s="394"/>
      <c r="O292" s="394"/>
      <c r="P292" s="394"/>
      <c r="Q292" s="394"/>
      <c r="R292" s="381"/>
      <c r="S292" s="408"/>
      <c r="T292" s="385"/>
      <c r="U292" s="475"/>
      <c r="V292" s="395"/>
      <c r="W292" s="395"/>
      <c r="X292" s="528"/>
      <c r="Y292" s="523"/>
      <c r="Z292" s="393"/>
      <c r="AA292" s="394"/>
      <c r="AB292" s="394"/>
      <c r="AC292" s="394"/>
      <c r="AD292" s="394"/>
      <c r="AE292" s="394"/>
      <c r="AF292" s="394"/>
      <c r="AG292" s="394"/>
      <c r="AH292" s="394"/>
      <c r="AI292" s="394"/>
      <c r="AJ292" s="394"/>
      <c r="AK292" s="381"/>
      <c r="AL292" s="408"/>
      <c r="AM292" s="385"/>
      <c r="AN292" s="475"/>
      <c r="AO292" s="395"/>
      <c r="AP292" s="395"/>
      <c r="AQ292" s="528">
        <v>305</v>
      </c>
      <c r="AR292" s="523">
        <v>10</v>
      </c>
      <c r="AS292" s="393">
        <v>10</v>
      </c>
      <c r="AT292" s="600">
        <v>383.74988000000002</v>
      </c>
      <c r="AU292" s="394">
        <v>266.19880999999998</v>
      </c>
      <c r="AV292" s="394">
        <v>61.088450000000002</v>
      </c>
      <c r="AW292" s="394">
        <f>22.50676+78.77366+50+30</f>
        <v>181.28041999999999</v>
      </c>
      <c r="AX292" s="394">
        <v>46.134779999999999</v>
      </c>
      <c r="AY292" s="394">
        <v>0</v>
      </c>
      <c r="AZ292" s="394">
        <v>0</v>
      </c>
      <c r="BA292" s="394">
        <v>35.17577</v>
      </c>
      <c r="BB292" s="394">
        <v>0.20029</v>
      </c>
      <c r="BC292" s="394">
        <v>11.25338</v>
      </c>
      <c r="BD292" s="381" t="s">
        <v>167</v>
      </c>
      <c r="BE292" s="408" t="s">
        <v>175</v>
      </c>
      <c r="BF292" s="385"/>
      <c r="BG292" s="475">
        <v>180</v>
      </c>
      <c r="BH292" s="395">
        <f t="shared" ref="BH292" si="163">AT292/AQ292*1000</f>
        <v>1258.1963278688527</v>
      </c>
      <c r="BI292" s="395">
        <f t="shared" ref="BI292" si="164">AT292/AR292</f>
        <v>38.374988000000002</v>
      </c>
    </row>
    <row r="293" spans="1:61" s="358" customFormat="1" ht="19.2" x14ac:dyDescent="0.3">
      <c r="A293" s="359" t="s">
        <v>335</v>
      </c>
      <c r="B293" s="602" t="s">
        <v>4854</v>
      </c>
      <c r="C293" s="548" t="s">
        <v>4853</v>
      </c>
      <c r="D293" s="360">
        <v>0.4</v>
      </c>
      <c r="E293" s="528"/>
      <c r="F293" s="523"/>
      <c r="G293" s="393"/>
      <c r="H293" s="394"/>
      <c r="I293" s="394"/>
      <c r="J293" s="394"/>
      <c r="K293" s="394"/>
      <c r="L293" s="394"/>
      <c r="M293" s="394"/>
      <c r="N293" s="394"/>
      <c r="O293" s="394"/>
      <c r="P293" s="394"/>
      <c r="Q293" s="394"/>
      <c r="R293" s="381"/>
      <c r="S293" s="408"/>
      <c r="T293" s="385"/>
      <c r="U293" s="475"/>
      <c r="V293" s="395"/>
      <c r="W293" s="395"/>
      <c r="X293" s="528"/>
      <c r="Y293" s="523"/>
      <c r="Z293" s="393"/>
      <c r="AA293" s="394"/>
      <c r="AB293" s="394"/>
      <c r="AC293" s="394"/>
      <c r="AD293" s="394"/>
      <c r="AE293" s="394"/>
      <c r="AF293" s="394"/>
      <c r="AG293" s="394"/>
      <c r="AH293" s="394"/>
      <c r="AI293" s="394"/>
      <c r="AJ293" s="394"/>
      <c r="AK293" s="381"/>
      <c r="AL293" s="408"/>
      <c r="AM293" s="385"/>
      <c r="AN293" s="475"/>
      <c r="AO293" s="395"/>
      <c r="AP293" s="395"/>
      <c r="AQ293" s="528">
        <v>310</v>
      </c>
      <c r="AR293" s="523">
        <v>15</v>
      </c>
      <c r="AS293" s="393">
        <v>15</v>
      </c>
      <c r="AT293" s="600">
        <v>313.26551999999998</v>
      </c>
      <c r="AU293" s="394">
        <v>216.92243999999999</v>
      </c>
      <c r="AV293" s="394">
        <v>62.0899</v>
      </c>
      <c r="AW293" s="394">
        <f>101.28042+22.50676+20</f>
        <v>143.78718000000001</v>
      </c>
      <c r="AX293" s="394">
        <v>36.407089999999997</v>
      </c>
      <c r="AY293" s="394">
        <v>0</v>
      </c>
      <c r="AZ293" s="394">
        <v>0</v>
      </c>
      <c r="BA293" s="394">
        <v>29.391929999999999</v>
      </c>
      <c r="BB293" s="394">
        <v>0.20029</v>
      </c>
      <c r="BC293" s="394">
        <v>11.25338</v>
      </c>
      <c r="BD293" s="381" t="s">
        <v>167</v>
      </c>
      <c r="BE293" s="408" t="s">
        <v>175</v>
      </c>
      <c r="BF293" s="385"/>
      <c r="BG293" s="475">
        <v>182</v>
      </c>
      <c r="BH293" s="395">
        <f t="shared" ref="BH293" si="165">AT293/AQ293*1000</f>
        <v>1010.5339354838709</v>
      </c>
      <c r="BI293" s="395">
        <f t="shared" ref="BI293" si="166">AT293/AR293</f>
        <v>20.884367999999998</v>
      </c>
    </row>
    <row r="294" spans="1:61" s="358" customFormat="1" ht="19.2" x14ac:dyDescent="0.3">
      <c r="A294" s="359" t="s">
        <v>336</v>
      </c>
      <c r="B294" s="602" t="s">
        <v>4892</v>
      </c>
      <c r="C294" s="548" t="s">
        <v>4891</v>
      </c>
      <c r="D294" s="360">
        <v>0.4</v>
      </c>
      <c r="E294" s="528"/>
      <c r="F294" s="523"/>
      <c r="G294" s="393"/>
      <c r="H294" s="394"/>
      <c r="I294" s="394"/>
      <c r="J294" s="394"/>
      <c r="K294" s="394"/>
      <c r="L294" s="394"/>
      <c r="M294" s="394"/>
      <c r="N294" s="394"/>
      <c r="O294" s="394"/>
      <c r="P294" s="394"/>
      <c r="Q294" s="394"/>
      <c r="R294" s="381"/>
      <c r="S294" s="408"/>
      <c r="T294" s="385"/>
      <c r="U294" s="475"/>
      <c r="V294" s="395"/>
      <c r="W294" s="395"/>
      <c r="X294" s="528"/>
      <c r="Y294" s="523"/>
      <c r="Z294" s="393"/>
      <c r="AA294" s="394"/>
      <c r="AB294" s="394"/>
      <c r="AC294" s="394"/>
      <c r="AD294" s="394"/>
      <c r="AE294" s="394"/>
      <c r="AF294" s="394"/>
      <c r="AG294" s="394"/>
      <c r="AH294" s="394"/>
      <c r="AI294" s="394"/>
      <c r="AJ294" s="394"/>
      <c r="AK294" s="381"/>
      <c r="AL294" s="408"/>
      <c r="AM294" s="385"/>
      <c r="AN294" s="475"/>
      <c r="AO294" s="395"/>
      <c r="AP294" s="395"/>
      <c r="AQ294" s="528">
        <v>90</v>
      </c>
      <c r="AR294" s="523">
        <v>5</v>
      </c>
      <c r="AS294" s="393">
        <v>5</v>
      </c>
      <c r="AT294" s="600">
        <v>62.073790000000002</v>
      </c>
      <c r="AU294" s="394">
        <v>43.833019999999998</v>
      </c>
      <c r="AV294" s="394">
        <v>18.0261</v>
      </c>
      <c r="AW294" s="394">
        <v>22.581880000000002</v>
      </c>
      <c r="AX294" s="394">
        <v>6.6988500000000002</v>
      </c>
      <c r="AY294" s="394">
        <v>0</v>
      </c>
      <c r="AZ294" s="394">
        <v>0</v>
      </c>
      <c r="BA294" s="394">
        <v>5.6563100000000004</v>
      </c>
      <c r="BB294" s="394">
        <v>0.20029</v>
      </c>
      <c r="BC294" s="394">
        <v>11.290940000000001</v>
      </c>
      <c r="BD294" s="381" t="s">
        <v>167</v>
      </c>
      <c r="BE294" s="408" t="s">
        <v>175</v>
      </c>
      <c r="BF294" s="385"/>
      <c r="BG294" s="475">
        <v>184</v>
      </c>
      <c r="BH294" s="395">
        <f t="shared" si="161"/>
        <v>689.70877777777787</v>
      </c>
      <c r="BI294" s="395">
        <f t="shared" si="162"/>
        <v>12.414758000000001</v>
      </c>
    </row>
    <row r="295" spans="1:61" s="358" customFormat="1" ht="19.2" x14ac:dyDescent="0.3">
      <c r="A295" s="359" t="s">
        <v>337</v>
      </c>
      <c r="B295" s="602" t="s">
        <v>4894</v>
      </c>
      <c r="C295" s="548" t="s">
        <v>4893</v>
      </c>
      <c r="D295" s="360">
        <v>0.4</v>
      </c>
      <c r="E295" s="528"/>
      <c r="F295" s="523"/>
      <c r="G295" s="393"/>
      <c r="H295" s="394"/>
      <c r="I295" s="394"/>
      <c r="J295" s="394"/>
      <c r="K295" s="394"/>
      <c r="L295" s="394"/>
      <c r="M295" s="394"/>
      <c r="N295" s="394"/>
      <c r="O295" s="394"/>
      <c r="P295" s="394"/>
      <c r="Q295" s="394"/>
      <c r="R295" s="381"/>
      <c r="S295" s="408"/>
      <c r="T295" s="385"/>
      <c r="U295" s="475"/>
      <c r="V295" s="395"/>
      <c r="W295" s="395"/>
      <c r="X295" s="528"/>
      <c r="Y295" s="523"/>
      <c r="Z295" s="393"/>
      <c r="AA295" s="394"/>
      <c r="AB295" s="394"/>
      <c r="AC295" s="394"/>
      <c r="AD295" s="394"/>
      <c r="AE295" s="394"/>
      <c r="AF295" s="394"/>
      <c r="AG295" s="394"/>
      <c r="AH295" s="394"/>
      <c r="AI295" s="394"/>
      <c r="AJ295" s="394"/>
      <c r="AK295" s="381"/>
      <c r="AL295" s="408"/>
      <c r="AM295" s="385"/>
      <c r="AN295" s="475"/>
      <c r="AO295" s="395"/>
      <c r="AP295" s="395"/>
      <c r="AQ295" s="528">
        <v>240</v>
      </c>
      <c r="AR295" s="523">
        <v>15</v>
      </c>
      <c r="AS295" s="393">
        <v>15</v>
      </c>
      <c r="AT295" s="600">
        <v>244.48511999999999</v>
      </c>
      <c r="AU295" s="394">
        <v>170.89984999999999</v>
      </c>
      <c r="AV295" s="394">
        <v>48.069600000000001</v>
      </c>
      <c r="AW295" s="394">
        <f>67.74564+33.87282+10</f>
        <v>111.61846</v>
      </c>
      <c r="AX295" s="394">
        <v>27.806239999999999</v>
      </c>
      <c r="AY295" s="394">
        <v>0</v>
      </c>
      <c r="AZ295" s="394">
        <v>0</v>
      </c>
      <c r="BA295" s="394">
        <v>22.42859</v>
      </c>
      <c r="BB295" s="394">
        <v>0.20029</v>
      </c>
      <c r="BC295" s="394">
        <v>11.290940000000001</v>
      </c>
      <c r="BD295" s="381" t="s">
        <v>167</v>
      </c>
      <c r="BE295" s="408" t="s">
        <v>175</v>
      </c>
      <c r="BF295" s="385"/>
      <c r="BG295" s="475">
        <v>186</v>
      </c>
      <c r="BH295" s="395">
        <f t="shared" si="161"/>
        <v>1018.688</v>
      </c>
      <c r="BI295" s="395">
        <f t="shared" si="162"/>
        <v>16.299008000000001</v>
      </c>
    </row>
    <row r="296" spans="1:61" s="358" customFormat="1" ht="19.2" x14ac:dyDescent="0.3">
      <c r="A296" s="359" t="s">
        <v>338</v>
      </c>
      <c r="B296" s="602" t="s">
        <v>4896</v>
      </c>
      <c r="C296" s="548" t="s">
        <v>4895</v>
      </c>
      <c r="D296" s="360">
        <v>0.4</v>
      </c>
      <c r="E296" s="528"/>
      <c r="F296" s="523"/>
      <c r="G296" s="393"/>
      <c r="H296" s="394"/>
      <c r="I296" s="394"/>
      <c r="J296" s="394"/>
      <c r="K296" s="394"/>
      <c r="L296" s="394"/>
      <c r="M296" s="394"/>
      <c r="N296" s="394"/>
      <c r="O296" s="394"/>
      <c r="P296" s="394"/>
      <c r="Q296" s="394"/>
      <c r="R296" s="381"/>
      <c r="S296" s="408"/>
      <c r="T296" s="385"/>
      <c r="U296" s="475"/>
      <c r="V296" s="395"/>
      <c r="W296" s="395"/>
      <c r="X296" s="528"/>
      <c r="Y296" s="523"/>
      <c r="Z296" s="393"/>
      <c r="AA296" s="394"/>
      <c r="AB296" s="394"/>
      <c r="AC296" s="394"/>
      <c r="AD296" s="394"/>
      <c r="AE296" s="394"/>
      <c r="AF296" s="394"/>
      <c r="AG296" s="394"/>
      <c r="AH296" s="394"/>
      <c r="AI296" s="394"/>
      <c r="AJ296" s="394"/>
      <c r="AK296" s="381"/>
      <c r="AL296" s="408"/>
      <c r="AM296" s="385"/>
      <c r="AN296" s="475"/>
      <c r="AO296" s="395"/>
      <c r="AP296" s="395"/>
      <c r="AQ296" s="528">
        <v>55</v>
      </c>
      <c r="AR296" s="523">
        <v>15</v>
      </c>
      <c r="AS296" s="393">
        <v>15</v>
      </c>
      <c r="AT296" s="600">
        <v>52.347099999999998</v>
      </c>
      <c r="AU296" s="394">
        <v>37.10886</v>
      </c>
      <c r="AV296" s="394">
        <v>11.01596</v>
      </c>
      <c r="AW296" s="394">
        <v>22.581880000000002</v>
      </c>
      <c r="AX296" s="394">
        <v>5.6271199999999997</v>
      </c>
      <c r="AY296" s="394">
        <v>0</v>
      </c>
      <c r="AZ296" s="394">
        <v>0</v>
      </c>
      <c r="BA296" s="394">
        <v>4.6920700000000002</v>
      </c>
      <c r="BB296" s="394">
        <v>0.20029</v>
      </c>
      <c r="BC296" s="394">
        <v>11.290940000000001</v>
      </c>
      <c r="BD296" s="381" t="s">
        <v>167</v>
      </c>
      <c r="BE296" s="408" t="s">
        <v>175</v>
      </c>
      <c r="BF296" s="385"/>
      <c r="BG296" s="475">
        <v>188</v>
      </c>
      <c r="BH296" s="395">
        <f t="shared" ref="BH296" si="167">AT296/AQ296*1000</f>
        <v>951.76545454545442</v>
      </c>
      <c r="BI296" s="395">
        <f t="shared" ref="BI296" si="168">AT296/AR296</f>
        <v>3.4898066666666665</v>
      </c>
    </row>
    <row r="297" spans="1:61" s="358" customFormat="1" ht="19.2" x14ac:dyDescent="0.3">
      <c r="A297" s="359" t="s">
        <v>339</v>
      </c>
      <c r="B297" s="602" t="s">
        <v>4917</v>
      </c>
      <c r="C297" s="548" t="s">
        <v>4916</v>
      </c>
      <c r="D297" s="360">
        <v>0.4</v>
      </c>
      <c r="E297" s="528"/>
      <c r="F297" s="523"/>
      <c r="G297" s="393"/>
      <c r="H297" s="394"/>
      <c r="I297" s="394"/>
      <c r="J297" s="394"/>
      <c r="K297" s="394"/>
      <c r="L297" s="394"/>
      <c r="M297" s="394"/>
      <c r="N297" s="394"/>
      <c r="O297" s="394"/>
      <c r="P297" s="394"/>
      <c r="Q297" s="394"/>
      <c r="R297" s="381"/>
      <c r="S297" s="408"/>
      <c r="T297" s="385"/>
      <c r="U297" s="475"/>
      <c r="V297" s="395"/>
      <c r="W297" s="395"/>
      <c r="X297" s="528"/>
      <c r="Y297" s="523"/>
      <c r="Z297" s="393"/>
      <c r="AA297" s="394"/>
      <c r="AB297" s="394"/>
      <c r="AC297" s="394"/>
      <c r="AD297" s="394"/>
      <c r="AE297" s="394"/>
      <c r="AF297" s="394"/>
      <c r="AG297" s="394"/>
      <c r="AH297" s="394"/>
      <c r="AI297" s="394"/>
      <c r="AJ297" s="394"/>
      <c r="AK297" s="381"/>
      <c r="AL297" s="408"/>
      <c r="AM297" s="385"/>
      <c r="AN297" s="475"/>
      <c r="AO297" s="395"/>
      <c r="AP297" s="395"/>
      <c r="AQ297" s="528">
        <v>131</v>
      </c>
      <c r="AR297" s="523">
        <v>15</v>
      </c>
      <c r="AS297" s="393">
        <v>15</v>
      </c>
      <c r="AT297" s="600">
        <v>178.8664</v>
      </c>
      <c r="AU297" s="394">
        <v>125.358019</v>
      </c>
      <c r="AV297" s="394">
        <v>26.23799</v>
      </c>
      <c r="AW297" s="394">
        <f>67.75644+22.58548</f>
        <v>90.341920000000002</v>
      </c>
      <c r="AX297" s="394">
        <v>20.154389999999999</v>
      </c>
      <c r="AY297" s="394">
        <v>0</v>
      </c>
      <c r="AZ297" s="394">
        <v>0</v>
      </c>
      <c r="BA297" s="394">
        <v>16.282579999999999</v>
      </c>
      <c r="BB297" s="394">
        <v>0.20029</v>
      </c>
      <c r="BC297" s="394">
        <v>11.29274</v>
      </c>
      <c r="BD297" s="381" t="s">
        <v>167</v>
      </c>
      <c r="BE297" s="408" t="s">
        <v>175</v>
      </c>
      <c r="BF297" s="385"/>
      <c r="BG297" s="475">
        <v>190</v>
      </c>
      <c r="BH297" s="395">
        <f t="shared" si="161"/>
        <v>1365.3923664122137</v>
      </c>
      <c r="BI297" s="395">
        <f t="shared" si="162"/>
        <v>11.924426666666667</v>
      </c>
    </row>
    <row r="298" spans="1:61" s="358" customFormat="1" ht="19.2" x14ac:dyDescent="0.3">
      <c r="A298" s="359" t="s">
        <v>340</v>
      </c>
      <c r="B298" s="602" t="s">
        <v>4919</v>
      </c>
      <c r="C298" s="548" t="s">
        <v>4918</v>
      </c>
      <c r="D298" s="360">
        <v>0.4</v>
      </c>
      <c r="E298" s="528"/>
      <c r="F298" s="523"/>
      <c r="G298" s="393"/>
      <c r="H298" s="394"/>
      <c r="I298" s="394"/>
      <c r="J298" s="394"/>
      <c r="K298" s="394"/>
      <c r="L298" s="394"/>
      <c r="M298" s="394"/>
      <c r="N298" s="394"/>
      <c r="O298" s="394"/>
      <c r="P298" s="394"/>
      <c r="Q298" s="394"/>
      <c r="R298" s="381"/>
      <c r="S298" s="408"/>
      <c r="T298" s="385"/>
      <c r="U298" s="475"/>
      <c r="V298" s="395"/>
      <c r="W298" s="395"/>
      <c r="X298" s="528"/>
      <c r="Y298" s="523"/>
      <c r="Z298" s="393"/>
      <c r="AA298" s="394"/>
      <c r="AB298" s="394"/>
      <c r="AC298" s="394"/>
      <c r="AD298" s="394"/>
      <c r="AE298" s="394"/>
      <c r="AF298" s="394"/>
      <c r="AG298" s="394"/>
      <c r="AH298" s="394"/>
      <c r="AI298" s="394"/>
      <c r="AJ298" s="394"/>
      <c r="AK298" s="381"/>
      <c r="AL298" s="408"/>
      <c r="AM298" s="385"/>
      <c r="AN298" s="475"/>
      <c r="AO298" s="395"/>
      <c r="AP298" s="395"/>
      <c r="AQ298" s="528">
        <v>94</v>
      </c>
      <c r="AR298" s="523">
        <v>15</v>
      </c>
      <c r="AS298" s="393">
        <v>15</v>
      </c>
      <c r="AT298" s="600">
        <v>134.41342</v>
      </c>
      <c r="AU298" s="394">
        <v>94.392939999999996</v>
      </c>
      <c r="AV298" s="394">
        <v>18.827259999999999</v>
      </c>
      <c r="AW298" s="394">
        <f>22.58548+45.17096</f>
        <v>67.756439999999998</v>
      </c>
      <c r="AX298" s="394">
        <v>15.44965</v>
      </c>
      <c r="AY298" s="394">
        <v>0</v>
      </c>
      <c r="AZ298" s="394">
        <v>0</v>
      </c>
      <c r="BA298" s="394">
        <v>12.052659999999999</v>
      </c>
      <c r="BB298" s="394">
        <v>0.20029</v>
      </c>
      <c r="BC298" s="394">
        <v>11.29274</v>
      </c>
      <c r="BD298" s="381" t="s">
        <v>167</v>
      </c>
      <c r="BE298" s="408" t="s">
        <v>175</v>
      </c>
      <c r="BF298" s="385"/>
      <c r="BG298" s="475">
        <v>192</v>
      </c>
      <c r="BH298" s="395">
        <f t="shared" si="161"/>
        <v>1429.9299999999998</v>
      </c>
      <c r="BI298" s="395">
        <f t="shared" si="162"/>
        <v>8.9608946666666665</v>
      </c>
    </row>
    <row r="299" spans="1:61" s="358" customFormat="1" x14ac:dyDescent="0.3">
      <c r="A299" s="359"/>
      <c r="B299" s="378"/>
      <c r="C299" s="548"/>
      <c r="D299" s="360"/>
      <c r="E299" s="528"/>
      <c r="F299" s="523"/>
      <c r="G299" s="393"/>
      <c r="H299" s="394"/>
      <c r="I299" s="394"/>
      <c r="J299" s="394"/>
      <c r="K299" s="394"/>
      <c r="L299" s="394"/>
      <c r="M299" s="394"/>
      <c r="N299" s="394"/>
      <c r="O299" s="394"/>
      <c r="P299" s="394"/>
      <c r="Q299" s="394"/>
      <c r="R299" s="385"/>
      <c r="S299" s="385"/>
      <c r="T299" s="385"/>
      <c r="U299" s="475"/>
      <c r="V299" s="395" t="e">
        <f t="shared" si="126"/>
        <v>#DIV/0!</v>
      </c>
      <c r="W299" s="395" t="e">
        <f t="shared" si="127"/>
        <v>#DIV/0!</v>
      </c>
      <c r="X299" s="528"/>
      <c r="Y299" s="523"/>
      <c r="Z299" s="393"/>
      <c r="AA299" s="394"/>
      <c r="AB299" s="394"/>
      <c r="AC299" s="394"/>
      <c r="AD299" s="394"/>
      <c r="AE299" s="394"/>
      <c r="AF299" s="394"/>
      <c r="AG299" s="394"/>
      <c r="AH299" s="394"/>
      <c r="AI299" s="394"/>
      <c r="AJ299" s="394"/>
      <c r="AK299" s="385"/>
      <c r="AL299" s="385"/>
      <c r="AM299" s="385"/>
      <c r="AN299" s="475"/>
      <c r="AO299" s="395" t="e">
        <f t="shared" si="110"/>
        <v>#DIV/0!</v>
      </c>
      <c r="AP299" s="395" t="e">
        <f t="shared" si="111"/>
        <v>#DIV/0!</v>
      </c>
      <c r="AQ299" s="528"/>
      <c r="AR299" s="523"/>
      <c r="AS299" s="393"/>
      <c r="AT299" s="394"/>
      <c r="AU299" s="394"/>
      <c r="AV299" s="394"/>
      <c r="AW299" s="394"/>
      <c r="AX299" s="394"/>
      <c r="AY299" s="394"/>
      <c r="AZ299" s="394"/>
      <c r="BA299" s="394"/>
      <c r="BB299" s="394"/>
      <c r="BC299" s="394"/>
      <c r="BD299" s="385"/>
      <c r="BE299" s="385"/>
      <c r="BF299" s="385"/>
      <c r="BG299" s="475"/>
      <c r="BH299" s="395" t="e">
        <f t="shared" si="112"/>
        <v>#DIV/0!</v>
      </c>
      <c r="BI299" s="395" t="e">
        <f t="shared" si="113"/>
        <v>#DIV/0!</v>
      </c>
    </row>
    <row r="300" spans="1:61" s="358" customFormat="1" ht="24.75" customHeight="1" x14ac:dyDescent="0.3">
      <c r="A300" s="354" t="s">
        <v>6309</v>
      </c>
      <c r="B300" s="355" t="s">
        <v>192</v>
      </c>
      <c r="C300" s="587"/>
      <c r="D300" s="356">
        <v>0.4</v>
      </c>
      <c r="E300" s="389">
        <f t="shared" ref="E300:Q300" si="169">SUM(E301:E354)</f>
        <v>2061</v>
      </c>
      <c r="F300" s="389">
        <f t="shared" si="169"/>
        <v>350</v>
      </c>
      <c r="G300" s="389">
        <f t="shared" si="169"/>
        <v>350</v>
      </c>
      <c r="H300" s="390">
        <f t="shared" si="169"/>
        <v>2133.9028899999998</v>
      </c>
      <c r="I300" s="390">
        <f t="shared" si="169"/>
        <v>1517.581686</v>
      </c>
      <c r="J300" s="390">
        <f t="shared" si="169"/>
        <v>230.31162</v>
      </c>
      <c r="K300" s="390">
        <f t="shared" si="169"/>
        <v>1105.5156299999999</v>
      </c>
      <c r="L300" s="390">
        <f t="shared" si="169"/>
        <v>270.56341999999995</v>
      </c>
      <c r="M300" s="390">
        <f t="shared" si="169"/>
        <v>0</v>
      </c>
      <c r="N300" s="390">
        <f t="shared" si="169"/>
        <v>0</v>
      </c>
      <c r="O300" s="390">
        <f t="shared" si="169"/>
        <v>169.52194</v>
      </c>
      <c r="P300" s="390">
        <f t="shared" si="169"/>
        <v>1344.2</v>
      </c>
      <c r="Q300" s="390">
        <f t="shared" si="169"/>
        <v>144.93592999999998</v>
      </c>
      <c r="R300" s="391"/>
      <c r="S300" s="391"/>
      <c r="T300" s="391"/>
      <c r="U300" s="474"/>
      <c r="V300" s="392">
        <f t="shared" si="126"/>
        <v>1035.3725812712275</v>
      </c>
      <c r="W300" s="392">
        <f t="shared" si="127"/>
        <v>6.0968653999999995</v>
      </c>
      <c r="X300" s="389">
        <f t="shared" ref="X300:AJ300" si="170">SUM(X301:X354)</f>
        <v>5313</v>
      </c>
      <c r="Y300" s="389">
        <f t="shared" si="170"/>
        <v>460</v>
      </c>
      <c r="Z300" s="389">
        <f t="shared" si="170"/>
        <v>460</v>
      </c>
      <c r="AA300" s="390">
        <f t="shared" si="170"/>
        <v>6335.7889999999989</v>
      </c>
      <c r="AB300" s="390">
        <f t="shared" si="170"/>
        <v>4555.5515899999991</v>
      </c>
      <c r="AC300" s="390">
        <f t="shared" si="170"/>
        <v>1008.7104400000001</v>
      </c>
      <c r="AD300" s="390">
        <f t="shared" si="170"/>
        <v>3083.2159899999997</v>
      </c>
      <c r="AE300" s="390">
        <f t="shared" si="170"/>
        <v>832.11833000000001</v>
      </c>
      <c r="AF300" s="390">
        <f t="shared" si="170"/>
        <v>0</v>
      </c>
      <c r="AG300" s="390">
        <f t="shared" si="170"/>
        <v>0</v>
      </c>
      <c r="AH300" s="390">
        <f t="shared" si="170"/>
        <v>464.94515000000013</v>
      </c>
      <c r="AI300" s="390">
        <f t="shared" si="170"/>
        <v>4.8437999999999999</v>
      </c>
      <c r="AJ300" s="390">
        <f t="shared" si="170"/>
        <v>330.99932999999999</v>
      </c>
      <c r="AK300" s="391"/>
      <c r="AL300" s="391"/>
      <c r="AM300" s="391"/>
      <c r="AN300" s="474"/>
      <c r="AO300" s="392">
        <f t="shared" si="110"/>
        <v>1192.5068699416524</v>
      </c>
      <c r="AP300" s="392">
        <f t="shared" si="111"/>
        <v>13.773454347826084</v>
      </c>
      <c r="AQ300" s="389">
        <f t="shared" ref="AQ300:BC300" si="171">SUM(AQ301:AQ354)</f>
        <v>2436</v>
      </c>
      <c r="AR300" s="389">
        <f t="shared" si="171"/>
        <v>350</v>
      </c>
      <c r="AS300" s="389">
        <f t="shared" si="171"/>
        <v>350</v>
      </c>
      <c r="AT300" s="390">
        <f t="shared" si="171"/>
        <v>2938.5020100000002</v>
      </c>
      <c r="AU300" s="390">
        <f t="shared" si="171"/>
        <v>2121.6873699999996</v>
      </c>
      <c r="AV300" s="390">
        <f t="shared" si="171"/>
        <v>604.35252000000003</v>
      </c>
      <c r="AW300" s="390">
        <f t="shared" si="171"/>
        <v>1221.33798</v>
      </c>
      <c r="AX300" s="390">
        <f t="shared" si="171"/>
        <v>333.6506</v>
      </c>
      <c r="AY300" s="390">
        <f t="shared" si="171"/>
        <v>0</v>
      </c>
      <c r="AZ300" s="390">
        <f t="shared" si="171"/>
        <v>0</v>
      </c>
      <c r="BA300" s="390">
        <f t="shared" si="171"/>
        <v>228.49242999999996</v>
      </c>
      <c r="BB300" s="390">
        <f t="shared" si="171"/>
        <v>3.8131000000000008</v>
      </c>
      <c r="BC300" s="390">
        <f t="shared" si="171"/>
        <v>166.11242999999999</v>
      </c>
      <c r="BD300" s="391"/>
      <c r="BE300" s="391"/>
      <c r="BF300" s="391"/>
      <c r="BG300" s="474"/>
      <c r="BH300" s="392">
        <f t="shared" si="112"/>
        <v>1206.2816133004928</v>
      </c>
      <c r="BI300" s="392">
        <f t="shared" si="113"/>
        <v>8.3957200285714286</v>
      </c>
    </row>
    <row r="301" spans="1:61" s="358" customFormat="1" ht="19.2" x14ac:dyDescent="0.3">
      <c r="A301" s="359" t="s">
        <v>178</v>
      </c>
      <c r="B301" s="537" t="s">
        <v>569</v>
      </c>
      <c r="C301" s="546" t="s">
        <v>438</v>
      </c>
      <c r="D301" s="360">
        <v>0.4</v>
      </c>
      <c r="E301" s="528">
        <v>200</v>
      </c>
      <c r="F301" s="523">
        <v>15</v>
      </c>
      <c r="G301" s="393">
        <v>15</v>
      </c>
      <c r="H301" s="542">
        <v>304.13376</v>
      </c>
      <c r="I301" s="394">
        <v>219.65828999999999</v>
      </c>
      <c r="J301" s="394">
        <v>21.802</v>
      </c>
      <c r="K301" s="394">
        <f>82.831+70.998</f>
        <v>153.82900000000001</v>
      </c>
      <c r="L301" s="394">
        <v>37.457160000000002</v>
      </c>
      <c r="M301" s="394">
        <v>0</v>
      </c>
      <c r="N301" s="394">
        <v>0</v>
      </c>
      <c r="O301" s="394">
        <v>23.2592</v>
      </c>
      <c r="P301" s="394">
        <v>109.01</v>
      </c>
      <c r="Q301" s="394">
        <v>11.833</v>
      </c>
      <c r="R301" s="381" t="s">
        <v>167</v>
      </c>
      <c r="S301" s="408" t="s">
        <v>175</v>
      </c>
      <c r="T301" s="385"/>
      <c r="U301" s="475">
        <v>161</v>
      </c>
      <c r="V301" s="395">
        <f t="shared" ref="V301:V304" si="172">H301/E301*1000</f>
        <v>1520.6687999999999</v>
      </c>
      <c r="W301" s="395">
        <f t="shared" ref="W301:W304" si="173">H301/F301</f>
        <v>20.275583999999998</v>
      </c>
      <c r="X301" s="528"/>
      <c r="Y301" s="523"/>
      <c r="Z301" s="393"/>
      <c r="AA301" s="542"/>
      <c r="AB301" s="394"/>
      <c r="AC301" s="394"/>
      <c r="AD301" s="394"/>
      <c r="AE301" s="394"/>
      <c r="AF301" s="394"/>
      <c r="AG301" s="394"/>
      <c r="AH301" s="394"/>
      <c r="AI301" s="394"/>
      <c r="AJ301" s="394"/>
      <c r="AK301" s="381"/>
      <c r="AL301" s="408"/>
      <c r="AM301" s="385"/>
      <c r="AN301" s="475"/>
      <c r="AO301" s="395" t="e">
        <f t="shared" ref="AO301:AO356" si="174">AA301/X301*1000</f>
        <v>#DIV/0!</v>
      </c>
      <c r="AP301" s="395" t="e">
        <f t="shared" ref="AP301:AP356" si="175">AA301/Y301</f>
        <v>#DIV/0!</v>
      </c>
      <c r="AQ301" s="528"/>
      <c r="AR301" s="523"/>
      <c r="AS301" s="393"/>
      <c r="AT301" s="542"/>
      <c r="AU301" s="394"/>
      <c r="AV301" s="394"/>
      <c r="AW301" s="394"/>
      <c r="AX301" s="394"/>
      <c r="AY301" s="394"/>
      <c r="AZ301" s="394"/>
      <c r="BA301" s="394"/>
      <c r="BB301" s="394"/>
      <c r="BC301" s="394"/>
      <c r="BD301" s="381"/>
      <c r="BE301" s="408"/>
      <c r="BF301" s="385"/>
      <c r="BG301" s="475"/>
      <c r="BH301" s="395" t="e">
        <f t="shared" ref="BH301:BH356" si="176">AT301/AQ301*1000</f>
        <v>#DIV/0!</v>
      </c>
      <c r="BI301" s="395" t="e">
        <f t="shared" ref="BI301:BI356" si="177">AT301/AR301</f>
        <v>#DIV/0!</v>
      </c>
    </row>
    <row r="302" spans="1:61" s="358" customFormat="1" ht="19.2" x14ac:dyDescent="0.3">
      <c r="A302" s="359" t="s">
        <v>182</v>
      </c>
      <c r="B302" s="537" t="s">
        <v>573</v>
      </c>
      <c r="C302" s="546" t="s">
        <v>442</v>
      </c>
      <c r="D302" s="360">
        <v>0.4</v>
      </c>
      <c r="E302" s="528">
        <v>250</v>
      </c>
      <c r="F302" s="523">
        <v>15</v>
      </c>
      <c r="G302" s="393">
        <v>15</v>
      </c>
      <c r="H302" s="542">
        <v>171.30735999999999</v>
      </c>
      <c r="I302" s="394">
        <v>120.306736</v>
      </c>
      <c r="J302" s="394">
        <v>27.252500000000001</v>
      </c>
      <c r="K302" s="394">
        <f>59.1158+23.64632</f>
        <v>82.762119999999996</v>
      </c>
      <c r="L302" s="394">
        <v>22.440259999999999</v>
      </c>
      <c r="M302" s="394">
        <v>0</v>
      </c>
      <c r="N302" s="394">
        <v>0</v>
      </c>
      <c r="O302" s="394">
        <v>14.13359</v>
      </c>
      <c r="P302" s="394">
        <v>109.01</v>
      </c>
      <c r="Q302" s="394">
        <v>11.82316</v>
      </c>
      <c r="R302" s="381" t="s">
        <v>167</v>
      </c>
      <c r="S302" s="408" t="s">
        <v>175</v>
      </c>
      <c r="T302" s="385"/>
      <c r="U302" s="475">
        <v>163</v>
      </c>
      <c r="V302" s="395">
        <f t="shared" si="172"/>
        <v>685.22943999999995</v>
      </c>
      <c r="W302" s="395">
        <f t="shared" si="173"/>
        <v>11.420490666666666</v>
      </c>
      <c r="X302" s="528"/>
      <c r="Y302" s="523"/>
      <c r="Z302" s="393"/>
      <c r="AA302" s="542"/>
      <c r="AB302" s="394"/>
      <c r="AC302" s="394"/>
      <c r="AD302" s="394"/>
      <c r="AE302" s="394"/>
      <c r="AF302" s="394"/>
      <c r="AG302" s="394"/>
      <c r="AH302" s="394"/>
      <c r="AI302" s="394"/>
      <c r="AJ302" s="394"/>
      <c r="AK302" s="381"/>
      <c r="AL302" s="408"/>
      <c r="AM302" s="385"/>
      <c r="AN302" s="475"/>
      <c r="AO302" s="395" t="e">
        <f t="shared" si="174"/>
        <v>#DIV/0!</v>
      </c>
      <c r="AP302" s="395" t="e">
        <f t="shared" si="175"/>
        <v>#DIV/0!</v>
      </c>
      <c r="AQ302" s="528"/>
      <c r="AR302" s="523"/>
      <c r="AS302" s="393"/>
      <c r="AT302" s="542"/>
      <c r="AU302" s="394"/>
      <c r="AV302" s="394"/>
      <c r="AW302" s="394"/>
      <c r="AX302" s="394"/>
      <c r="AY302" s="394"/>
      <c r="AZ302" s="394"/>
      <c r="BA302" s="394"/>
      <c r="BB302" s="394"/>
      <c r="BC302" s="394"/>
      <c r="BD302" s="381"/>
      <c r="BE302" s="408"/>
      <c r="BF302" s="385"/>
      <c r="BG302" s="475"/>
      <c r="BH302" s="395" t="e">
        <f t="shared" si="176"/>
        <v>#DIV/0!</v>
      </c>
      <c r="BI302" s="395" t="e">
        <f t="shared" si="177"/>
        <v>#DIV/0!</v>
      </c>
    </row>
    <row r="303" spans="1:61" s="358" customFormat="1" ht="19.2" x14ac:dyDescent="0.3">
      <c r="A303" s="359" t="s">
        <v>184</v>
      </c>
      <c r="B303" s="537" t="s">
        <v>574</v>
      </c>
      <c r="C303" s="546" t="s">
        <v>443</v>
      </c>
      <c r="D303" s="360">
        <v>0.4</v>
      </c>
      <c r="E303" s="528">
        <v>190</v>
      </c>
      <c r="F303" s="523">
        <v>15</v>
      </c>
      <c r="G303" s="393">
        <v>15</v>
      </c>
      <c r="H303" s="542">
        <v>215.60302999999999</v>
      </c>
      <c r="I303" s="394">
        <v>155.44481999999999</v>
      </c>
      <c r="J303" s="394">
        <v>20.7119</v>
      </c>
      <c r="K303" s="394">
        <f>70.998+23.666</f>
        <v>94.664000000000001</v>
      </c>
      <c r="L303" s="394">
        <v>26.234380000000002</v>
      </c>
      <c r="M303" s="394">
        <v>0</v>
      </c>
      <c r="N303" s="394">
        <v>0</v>
      </c>
      <c r="O303" s="394">
        <v>16.730090000000001</v>
      </c>
      <c r="P303" s="394">
        <v>109.01</v>
      </c>
      <c r="Q303" s="394">
        <v>11.833</v>
      </c>
      <c r="R303" s="381" t="s">
        <v>167</v>
      </c>
      <c r="S303" s="408" t="s">
        <v>175</v>
      </c>
      <c r="T303" s="385"/>
      <c r="U303" s="475">
        <v>166</v>
      </c>
      <c r="V303" s="395">
        <f t="shared" si="172"/>
        <v>1134.7527894736843</v>
      </c>
      <c r="W303" s="395">
        <f t="shared" si="173"/>
        <v>14.373535333333333</v>
      </c>
      <c r="X303" s="528"/>
      <c r="Y303" s="523"/>
      <c r="Z303" s="393"/>
      <c r="AA303" s="542"/>
      <c r="AB303" s="394"/>
      <c r="AC303" s="394"/>
      <c r="AD303" s="394"/>
      <c r="AE303" s="394"/>
      <c r="AF303" s="394"/>
      <c r="AG303" s="394"/>
      <c r="AH303" s="394"/>
      <c r="AI303" s="394"/>
      <c r="AJ303" s="394"/>
      <c r="AK303" s="381"/>
      <c r="AL303" s="408"/>
      <c r="AM303" s="385"/>
      <c r="AN303" s="475"/>
      <c r="AO303" s="395" t="e">
        <f t="shared" si="174"/>
        <v>#DIV/0!</v>
      </c>
      <c r="AP303" s="395" t="e">
        <f t="shared" si="175"/>
        <v>#DIV/0!</v>
      </c>
      <c r="AQ303" s="528"/>
      <c r="AR303" s="523"/>
      <c r="AS303" s="393"/>
      <c r="AT303" s="542"/>
      <c r="AU303" s="394"/>
      <c r="AV303" s="394"/>
      <c r="AW303" s="394"/>
      <c r="AX303" s="394"/>
      <c r="AY303" s="394"/>
      <c r="AZ303" s="394"/>
      <c r="BA303" s="394"/>
      <c r="BB303" s="394"/>
      <c r="BC303" s="394"/>
      <c r="BD303" s="381"/>
      <c r="BE303" s="408"/>
      <c r="BF303" s="385"/>
      <c r="BG303" s="475"/>
      <c r="BH303" s="395" t="e">
        <f t="shared" si="176"/>
        <v>#DIV/0!</v>
      </c>
      <c r="BI303" s="395" t="e">
        <f t="shared" si="177"/>
        <v>#DIV/0!</v>
      </c>
    </row>
    <row r="304" spans="1:61" s="358" customFormat="1" ht="19.2" x14ac:dyDescent="0.3">
      <c r="A304" s="359" t="s">
        <v>186</v>
      </c>
      <c r="B304" s="537" t="s">
        <v>581</v>
      </c>
      <c r="C304" s="546" t="s">
        <v>451</v>
      </c>
      <c r="D304" s="360">
        <v>0.4</v>
      </c>
      <c r="E304" s="528">
        <v>170</v>
      </c>
      <c r="F304" s="523">
        <v>15</v>
      </c>
      <c r="G304" s="393">
        <v>15</v>
      </c>
      <c r="H304" s="542">
        <v>243.81796</v>
      </c>
      <c r="I304" s="394">
        <v>174.73577</v>
      </c>
      <c r="J304" s="394">
        <v>18.531700000000001</v>
      </c>
      <c r="K304" s="394">
        <f>23.5792+47.1584+70.7376</f>
        <v>141.4752</v>
      </c>
      <c r="L304" s="394">
        <v>31.473040000000001</v>
      </c>
      <c r="M304" s="394">
        <v>0</v>
      </c>
      <c r="N304" s="394">
        <v>0</v>
      </c>
      <c r="O304" s="394">
        <v>18.693770000000001</v>
      </c>
      <c r="P304" s="394">
        <v>109.01</v>
      </c>
      <c r="Q304" s="394">
        <v>11.7896</v>
      </c>
      <c r="R304" s="381" t="s">
        <v>167</v>
      </c>
      <c r="S304" s="408" t="s">
        <v>175</v>
      </c>
      <c r="T304" s="385"/>
      <c r="U304" s="475">
        <v>168</v>
      </c>
      <c r="V304" s="395">
        <f t="shared" si="172"/>
        <v>1434.2232941176471</v>
      </c>
      <c r="W304" s="395">
        <f t="shared" si="173"/>
        <v>16.254530666666668</v>
      </c>
      <c r="X304" s="528"/>
      <c r="Y304" s="523"/>
      <c r="Z304" s="393"/>
      <c r="AA304" s="542"/>
      <c r="AB304" s="394"/>
      <c r="AC304" s="394"/>
      <c r="AD304" s="394"/>
      <c r="AE304" s="394"/>
      <c r="AF304" s="394"/>
      <c r="AG304" s="394"/>
      <c r="AH304" s="394"/>
      <c r="AI304" s="394"/>
      <c r="AJ304" s="394"/>
      <c r="AK304" s="381"/>
      <c r="AL304" s="408"/>
      <c r="AM304" s="385"/>
      <c r="AN304" s="475"/>
      <c r="AO304" s="395" t="e">
        <f t="shared" si="174"/>
        <v>#DIV/0!</v>
      </c>
      <c r="AP304" s="395" t="e">
        <f t="shared" si="175"/>
        <v>#DIV/0!</v>
      </c>
      <c r="AQ304" s="528"/>
      <c r="AR304" s="523"/>
      <c r="AS304" s="393"/>
      <c r="AT304" s="542"/>
      <c r="AU304" s="394"/>
      <c r="AV304" s="394"/>
      <c r="AW304" s="394"/>
      <c r="AX304" s="394"/>
      <c r="AY304" s="394"/>
      <c r="AZ304" s="394"/>
      <c r="BA304" s="394"/>
      <c r="BB304" s="394"/>
      <c r="BC304" s="394"/>
      <c r="BD304" s="381"/>
      <c r="BE304" s="408"/>
      <c r="BF304" s="385"/>
      <c r="BG304" s="475"/>
      <c r="BH304" s="395" t="e">
        <f t="shared" si="176"/>
        <v>#DIV/0!</v>
      </c>
      <c r="BI304" s="395" t="e">
        <f t="shared" si="177"/>
        <v>#DIV/0!</v>
      </c>
    </row>
    <row r="305" spans="1:61" s="358" customFormat="1" ht="19.2" x14ac:dyDescent="0.3">
      <c r="A305" s="359" t="s">
        <v>189</v>
      </c>
      <c r="B305" s="537" t="s">
        <v>608</v>
      </c>
      <c r="C305" s="546" t="s">
        <v>481</v>
      </c>
      <c r="D305" s="360">
        <v>0.4</v>
      </c>
      <c r="E305" s="528">
        <v>120</v>
      </c>
      <c r="F305" s="523">
        <v>100</v>
      </c>
      <c r="G305" s="393">
        <v>100</v>
      </c>
      <c r="H305" s="542">
        <v>132.39700999999999</v>
      </c>
      <c r="I305" s="394">
        <v>94.830789999999993</v>
      </c>
      <c r="J305" s="394">
        <v>13.622400000000001</v>
      </c>
      <c r="K305" s="394">
        <f>48.17704+24.08852</f>
        <v>72.265559999999994</v>
      </c>
      <c r="L305" s="394">
        <v>17.07976</v>
      </c>
      <c r="M305" s="394">
        <v>0</v>
      </c>
      <c r="N305" s="394">
        <v>0</v>
      </c>
      <c r="O305" s="394">
        <v>10.106490000000001</v>
      </c>
      <c r="P305" s="394">
        <v>113.52</v>
      </c>
      <c r="Q305" s="394">
        <v>12.04426</v>
      </c>
      <c r="R305" s="381" t="s">
        <v>167</v>
      </c>
      <c r="S305" s="408" t="s">
        <v>175</v>
      </c>
      <c r="T305" s="385"/>
      <c r="U305" s="475">
        <v>171</v>
      </c>
      <c r="V305" s="395">
        <f t="shared" ref="V305" si="178">H305/E305*1000</f>
        <v>1103.3084166666667</v>
      </c>
      <c r="W305" s="395">
        <f t="shared" ref="W305" si="179">H305/F305</f>
        <v>1.3239700999999999</v>
      </c>
      <c r="X305" s="528"/>
      <c r="Y305" s="523"/>
      <c r="Z305" s="393"/>
      <c r="AA305" s="542"/>
      <c r="AB305" s="394"/>
      <c r="AC305" s="394"/>
      <c r="AD305" s="394"/>
      <c r="AE305" s="394"/>
      <c r="AF305" s="394"/>
      <c r="AG305" s="394"/>
      <c r="AH305" s="394"/>
      <c r="AI305" s="394"/>
      <c r="AJ305" s="394"/>
      <c r="AK305" s="381"/>
      <c r="AL305" s="408"/>
      <c r="AM305" s="385"/>
      <c r="AN305" s="475"/>
      <c r="AO305" s="395" t="e">
        <f t="shared" si="174"/>
        <v>#DIV/0!</v>
      </c>
      <c r="AP305" s="395" t="e">
        <f t="shared" si="175"/>
        <v>#DIV/0!</v>
      </c>
      <c r="AQ305" s="528"/>
      <c r="AR305" s="523"/>
      <c r="AS305" s="393"/>
      <c r="AT305" s="542"/>
      <c r="AU305" s="394"/>
      <c r="AV305" s="394"/>
      <c r="AW305" s="394"/>
      <c r="AX305" s="394"/>
      <c r="AY305" s="394"/>
      <c r="AZ305" s="394"/>
      <c r="BA305" s="394"/>
      <c r="BB305" s="394"/>
      <c r="BC305" s="394"/>
      <c r="BD305" s="381"/>
      <c r="BE305" s="408"/>
      <c r="BF305" s="385"/>
      <c r="BG305" s="475"/>
      <c r="BH305" s="395" t="e">
        <f t="shared" si="176"/>
        <v>#DIV/0!</v>
      </c>
      <c r="BI305" s="395" t="e">
        <f t="shared" si="177"/>
        <v>#DIV/0!</v>
      </c>
    </row>
    <row r="306" spans="1:61" s="358" customFormat="1" ht="19.2" x14ac:dyDescent="0.3">
      <c r="A306" s="359" t="s">
        <v>267</v>
      </c>
      <c r="B306" s="537" t="s">
        <v>612</v>
      </c>
      <c r="C306" s="546" t="s">
        <v>486</v>
      </c>
      <c r="D306" s="360">
        <v>0.4</v>
      </c>
      <c r="E306" s="528">
        <v>160</v>
      </c>
      <c r="F306" s="523">
        <v>15</v>
      </c>
      <c r="G306" s="393">
        <v>15</v>
      </c>
      <c r="H306" s="542">
        <v>172.58028999999999</v>
      </c>
      <c r="I306" s="394">
        <v>122.54640000000001</v>
      </c>
      <c r="J306" s="394">
        <v>18.1632</v>
      </c>
      <c r="K306" s="394">
        <f>72.26556+24.08852</f>
        <v>96.354079999999996</v>
      </c>
      <c r="L306" s="394">
        <v>22.674859999999999</v>
      </c>
      <c r="M306" s="394">
        <v>0</v>
      </c>
      <c r="N306" s="394">
        <v>0</v>
      </c>
      <c r="O306" s="394">
        <v>13.483359999999999</v>
      </c>
      <c r="P306" s="394">
        <v>113.52</v>
      </c>
      <c r="Q306" s="394">
        <v>12.04426</v>
      </c>
      <c r="R306" s="381" t="s">
        <v>167</v>
      </c>
      <c r="S306" s="408" t="s">
        <v>175</v>
      </c>
      <c r="T306" s="385"/>
      <c r="U306" s="475">
        <v>173</v>
      </c>
      <c r="V306" s="395">
        <f t="shared" ref="V306:V309" si="180">H306/E306*1000</f>
        <v>1078.6268125000001</v>
      </c>
      <c r="W306" s="395">
        <f t="shared" ref="W306:W309" si="181">H306/F306</f>
        <v>11.505352666666665</v>
      </c>
      <c r="X306" s="528"/>
      <c r="Y306" s="523"/>
      <c r="Z306" s="393"/>
      <c r="AA306" s="542"/>
      <c r="AB306" s="394"/>
      <c r="AC306" s="394"/>
      <c r="AD306" s="394"/>
      <c r="AE306" s="394"/>
      <c r="AF306" s="394"/>
      <c r="AG306" s="394"/>
      <c r="AH306" s="394"/>
      <c r="AI306" s="394"/>
      <c r="AJ306" s="394"/>
      <c r="AK306" s="381"/>
      <c r="AL306" s="408"/>
      <c r="AM306" s="385"/>
      <c r="AN306" s="475"/>
      <c r="AO306" s="395" t="e">
        <f t="shared" si="174"/>
        <v>#DIV/0!</v>
      </c>
      <c r="AP306" s="395" t="e">
        <f t="shared" si="175"/>
        <v>#DIV/0!</v>
      </c>
      <c r="AQ306" s="528"/>
      <c r="AR306" s="523"/>
      <c r="AS306" s="393"/>
      <c r="AT306" s="542"/>
      <c r="AU306" s="394"/>
      <c r="AV306" s="394"/>
      <c r="AW306" s="394"/>
      <c r="AX306" s="394"/>
      <c r="AY306" s="394"/>
      <c r="AZ306" s="394"/>
      <c r="BA306" s="394"/>
      <c r="BB306" s="394"/>
      <c r="BC306" s="394"/>
      <c r="BD306" s="381"/>
      <c r="BE306" s="408"/>
      <c r="BF306" s="385"/>
      <c r="BG306" s="475"/>
      <c r="BH306" s="395" t="e">
        <f t="shared" si="176"/>
        <v>#DIV/0!</v>
      </c>
      <c r="BI306" s="395" t="e">
        <f t="shared" si="177"/>
        <v>#DIV/0!</v>
      </c>
    </row>
    <row r="307" spans="1:61" s="358" customFormat="1" ht="19.2" x14ac:dyDescent="0.3">
      <c r="A307" s="359" t="s">
        <v>268</v>
      </c>
      <c r="B307" s="537" t="s">
        <v>615</v>
      </c>
      <c r="C307" s="546" t="s">
        <v>489</v>
      </c>
      <c r="D307" s="360">
        <v>0.4</v>
      </c>
      <c r="E307" s="528">
        <v>260</v>
      </c>
      <c r="F307" s="523">
        <v>15</v>
      </c>
      <c r="G307" s="393">
        <v>15</v>
      </c>
      <c r="H307" s="542">
        <v>235.07361</v>
      </c>
      <c r="I307" s="394">
        <v>166.63285999999999</v>
      </c>
      <c r="J307" s="394">
        <v>29.5152</v>
      </c>
      <c r="K307" s="394">
        <f>96.35408+24.08852</f>
        <v>120.4426</v>
      </c>
      <c r="L307" s="394">
        <v>30.306979999999999</v>
      </c>
      <c r="M307" s="394">
        <v>0</v>
      </c>
      <c r="N307" s="394">
        <v>0</v>
      </c>
      <c r="O307" s="394">
        <v>18.637119999999999</v>
      </c>
      <c r="P307" s="394">
        <v>113.52</v>
      </c>
      <c r="Q307" s="394">
        <v>12.04426</v>
      </c>
      <c r="R307" s="381" t="s">
        <v>167</v>
      </c>
      <c r="S307" s="408" t="s">
        <v>175</v>
      </c>
      <c r="T307" s="385"/>
      <c r="U307" s="475">
        <v>175</v>
      </c>
      <c r="V307" s="395">
        <f t="shared" si="180"/>
        <v>904.12926923076918</v>
      </c>
      <c r="W307" s="395">
        <f t="shared" si="181"/>
        <v>15.671574</v>
      </c>
      <c r="X307" s="528"/>
      <c r="Y307" s="523"/>
      <c r="Z307" s="393"/>
      <c r="AA307" s="542"/>
      <c r="AB307" s="394"/>
      <c r="AC307" s="394"/>
      <c r="AD307" s="394"/>
      <c r="AE307" s="394"/>
      <c r="AF307" s="394"/>
      <c r="AG307" s="394"/>
      <c r="AH307" s="394"/>
      <c r="AI307" s="394"/>
      <c r="AJ307" s="394"/>
      <c r="AK307" s="381"/>
      <c r="AL307" s="408"/>
      <c r="AM307" s="385"/>
      <c r="AN307" s="475"/>
      <c r="AO307" s="395" t="e">
        <f t="shared" si="174"/>
        <v>#DIV/0!</v>
      </c>
      <c r="AP307" s="395" t="e">
        <f t="shared" si="175"/>
        <v>#DIV/0!</v>
      </c>
      <c r="AQ307" s="528"/>
      <c r="AR307" s="523"/>
      <c r="AS307" s="393"/>
      <c r="AT307" s="542"/>
      <c r="AU307" s="394"/>
      <c r="AV307" s="394"/>
      <c r="AW307" s="394"/>
      <c r="AX307" s="394"/>
      <c r="AY307" s="394"/>
      <c r="AZ307" s="394"/>
      <c r="BA307" s="394"/>
      <c r="BB307" s="394"/>
      <c r="BC307" s="394"/>
      <c r="BD307" s="381"/>
      <c r="BE307" s="408"/>
      <c r="BF307" s="385"/>
      <c r="BG307" s="475"/>
      <c r="BH307" s="395" t="e">
        <f t="shared" si="176"/>
        <v>#DIV/0!</v>
      </c>
      <c r="BI307" s="395" t="e">
        <f t="shared" si="177"/>
        <v>#DIV/0!</v>
      </c>
    </row>
    <row r="308" spans="1:61" s="358" customFormat="1" ht="19.2" x14ac:dyDescent="0.3">
      <c r="A308" s="359" t="s">
        <v>269</v>
      </c>
      <c r="B308" s="537" t="s">
        <v>616</v>
      </c>
      <c r="C308" s="546" t="s">
        <v>490</v>
      </c>
      <c r="D308" s="360">
        <v>0.4</v>
      </c>
      <c r="E308" s="528">
        <v>85</v>
      </c>
      <c r="F308" s="523">
        <v>15</v>
      </c>
      <c r="G308" s="393">
        <v>15</v>
      </c>
      <c r="H308" s="542">
        <v>53.596200000000003</v>
      </c>
      <c r="I308" s="394">
        <v>37.727029999999999</v>
      </c>
      <c r="J308" s="394">
        <v>9.6492000000000004</v>
      </c>
      <c r="K308" s="394">
        <v>24.08832</v>
      </c>
      <c r="L308" s="394">
        <v>7.09938</v>
      </c>
      <c r="M308" s="394">
        <v>0</v>
      </c>
      <c r="N308" s="394">
        <v>0</v>
      </c>
      <c r="O308" s="394">
        <v>4.3335999999999997</v>
      </c>
      <c r="P308" s="394">
        <v>113.52</v>
      </c>
      <c r="Q308" s="394">
        <v>12.04416</v>
      </c>
      <c r="R308" s="381" t="s">
        <v>167</v>
      </c>
      <c r="S308" s="408" t="s">
        <v>175</v>
      </c>
      <c r="T308" s="385"/>
      <c r="U308" s="475">
        <v>178</v>
      </c>
      <c r="V308" s="395">
        <f t="shared" si="180"/>
        <v>630.54352941176478</v>
      </c>
      <c r="W308" s="395">
        <f t="shared" si="181"/>
        <v>3.57308</v>
      </c>
      <c r="X308" s="528"/>
      <c r="Y308" s="523"/>
      <c r="Z308" s="393"/>
      <c r="AA308" s="542"/>
      <c r="AB308" s="394"/>
      <c r="AC308" s="394"/>
      <c r="AD308" s="394"/>
      <c r="AE308" s="394"/>
      <c r="AF308" s="394"/>
      <c r="AG308" s="394"/>
      <c r="AH308" s="394"/>
      <c r="AI308" s="394"/>
      <c r="AJ308" s="394"/>
      <c r="AK308" s="381"/>
      <c r="AL308" s="408"/>
      <c r="AM308" s="385"/>
      <c r="AN308" s="475"/>
      <c r="AO308" s="395" t="e">
        <f t="shared" si="174"/>
        <v>#DIV/0!</v>
      </c>
      <c r="AP308" s="395" t="e">
        <f t="shared" si="175"/>
        <v>#DIV/0!</v>
      </c>
      <c r="AQ308" s="528"/>
      <c r="AR308" s="523"/>
      <c r="AS308" s="393"/>
      <c r="AT308" s="542"/>
      <c r="AU308" s="394"/>
      <c r="AV308" s="394"/>
      <c r="AW308" s="394"/>
      <c r="AX308" s="394"/>
      <c r="AY308" s="394"/>
      <c r="AZ308" s="394"/>
      <c r="BA308" s="394"/>
      <c r="BB308" s="394"/>
      <c r="BC308" s="394"/>
      <c r="BD308" s="381"/>
      <c r="BE308" s="408"/>
      <c r="BF308" s="385"/>
      <c r="BG308" s="475"/>
      <c r="BH308" s="395" t="e">
        <f t="shared" si="176"/>
        <v>#DIV/0!</v>
      </c>
      <c r="BI308" s="395" t="e">
        <f t="shared" si="177"/>
        <v>#DIV/0!</v>
      </c>
    </row>
    <row r="309" spans="1:61" s="358" customFormat="1" ht="19.2" x14ac:dyDescent="0.3">
      <c r="A309" s="359" t="s">
        <v>270</v>
      </c>
      <c r="B309" s="537" t="s">
        <v>625</v>
      </c>
      <c r="C309" s="546" t="s">
        <v>500</v>
      </c>
      <c r="D309" s="360">
        <v>0.4</v>
      </c>
      <c r="E309" s="528">
        <v>250</v>
      </c>
      <c r="F309" s="523">
        <v>15</v>
      </c>
      <c r="G309" s="393">
        <v>15</v>
      </c>
      <c r="H309" s="542">
        <v>247.21163999999999</v>
      </c>
      <c r="I309" s="394">
        <v>177.68541999999999</v>
      </c>
      <c r="J309" s="394">
        <v>28.38</v>
      </c>
      <c r="K309" s="394">
        <f>60.2213+24.64802+49.29604</f>
        <v>134.16535999999999</v>
      </c>
      <c r="L309" s="394">
        <v>30.724799999999998</v>
      </c>
      <c r="M309" s="394">
        <v>0</v>
      </c>
      <c r="N309" s="394">
        <v>0</v>
      </c>
      <c r="O309" s="394">
        <v>19.16235</v>
      </c>
      <c r="P309" s="394">
        <v>113.52</v>
      </c>
      <c r="Q309" s="394">
        <v>12.324009999999999</v>
      </c>
      <c r="R309" s="381" t="s">
        <v>167</v>
      </c>
      <c r="S309" s="408" t="s">
        <v>175</v>
      </c>
      <c r="T309" s="385"/>
      <c r="U309" s="475">
        <v>180</v>
      </c>
      <c r="V309" s="395">
        <f t="shared" si="180"/>
        <v>988.84655999999995</v>
      </c>
      <c r="W309" s="395">
        <f t="shared" si="181"/>
        <v>16.480775999999999</v>
      </c>
      <c r="X309" s="528"/>
      <c r="Y309" s="523"/>
      <c r="Z309" s="393"/>
      <c r="AA309" s="542"/>
      <c r="AB309" s="394"/>
      <c r="AC309" s="394"/>
      <c r="AD309" s="394"/>
      <c r="AE309" s="394"/>
      <c r="AF309" s="394"/>
      <c r="AG309" s="394"/>
      <c r="AH309" s="394"/>
      <c r="AI309" s="394"/>
      <c r="AJ309" s="394"/>
      <c r="AK309" s="381"/>
      <c r="AL309" s="408"/>
      <c r="AM309" s="385"/>
      <c r="AN309" s="475"/>
      <c r="AO309" s="395" t="e">
        <f t="shared" si="174"/>
        <v>#DIV/0!</v>
      </c>
      <c r="AP309" s="395" t="e">
        <f t="shared" si="175"/>
        <v>#DIV/0!</v>
      </c>
      <c r="AQ309" s="528"/>
      <c r="AR309" s="523"/>
      <c r="AS309" s="393"/>
      <c r="AT309" s="542"/>
      <c r="AU309" s="394"/>
      <c r="AV309" s="394"/>
      <c r="AW309" s="394"/>
      <c r="AX309" s="394"/>
      <c r="AY309" s="394"/>
      <c r="AZ309" s="394"/>
      <c r="BA309" s="394"/>
      <c r="BB309" s="394"/>
      <c r="BC309" s="394"/>
      <c r="BD309" s="381"/>
      <c r="BE309" s="408"/>
      <c r="BF309" s="385"/>
      <c r="BG309" s="475"/>
      <c r="BH309" s="395" t="e">
        <f t="shared" si="176"/>
        <v>#DIV/0!</v>
      </c>
      <c r="BI309" s="395" t="e">
        <f t="shared" si="177"/>
        <v>#DIV/0!</v>
      </c>
    </row>
    <row r="310" spans="1:61" s="358" customFormat="1" ht="19.2" x14ac:dyDescent="0.3">
      <c r="A310" s="359" t="s">
        <v>271</v>
      </c>
      <c r="B310" s="537" t="s">
        <v>664</v>
      </c>
      <c r="C310" s="546" t="s">
        <v>493</v>
      </c>
      <c r="D310" s="360">
        <v>0.4</v>
      </c>
      <c r="E310" s="528">
        <v>160</v>
      </c>
      <c r="F310" s="523">
        <v>15</v>
      </c>
      <c r="G310" s="393">
        <v>15</v>
      </c>
      <c r="H310" s="542">
        <v>157.99842000000001</v>
      </c>
      <c r="I310" s="394">
        <v>113.21253</v>
      </c>
      <c r="J310" s="394">
        <v>18.1632</v>
      </c>
      <c r="K310" s="394">
        <f>12.20998+12.42455+24.41996+36.62994</f>
        <v>85.684429999999992</v>
      </c>
      <c r="L310" s="394">
        <v>20.820409999999999</v>
      </c>
      <c r="M310" s="394">
        <v>0</v>
      </c>
      <c r="N310" s="394">
        <v>0</v>
      </c>
      <c r="O310" s="394">
        <v>11.924950000000001</v>
      </c>
      <c r="P310" s="394">
        <v>113.52</v>
      </c>
      <c r="Q310" s="394">
        <v>12.20998</v>
      </c>
      <c r="R310" s="381" t="s">
        <v>167</v>
      </c>
      <c r="S310" s="408" t="s">
        <v>175</v>
      </c>
      <c r="T310" s="385"/>
      <c r="U310" s="475">
        <v>182</v>
      </c>
      <c r="V310" s="395">
        <f t="shared" ref="V310:V312" si="182">H310/E310*1000</f>
        <v>987.49012500000015</v>
      </c>
      <c r="W310" s="395">
        <f t="shared" ref="W310:W312" si="183">H310/F310</f>
        <v>10.533228000000001</v>
      </c>
      <c r="X310" s="528"/>
      <c r="Y310" s="523"/>
      <c r="Z310" s="393"/>
      <c r="AA310" s="542"/>
      <c r="AB310" s="394"/>
      <c r="AC310" s="394"/>
      <c r="AD310" s="394"/>
      <c r="AE310" s="394"/>
      <c r="AF310" s="394"/>
      <c r="AG310" s="394"/>
      <c r="AH310" s="394"/>
      <c r="AI310" s="394"/>
      <c r="AJ310" s="394"/>
      <c r="AK310" s="381"/>
      <c r="AL310" s="408"/>
      <c r="AM310" s="385"/>
      <c r="AN310" s="475"/>
      <c r="AO310" s="395" t="e">
        <f t="shared" si="174"/>
        <v>#DIV/0!</v>
      </c>
      <c r="AP310" s="395" t="e">
        <f t="shared" si="175"/>
        <v>#DIV/0!</v>
      </c>
      <c r="AQ310" s="528"/>
      <c r="AR310" s="523"/>
      <c r="AS310" s="393"/>
      <c r="AT310" s="542"/>
      <c r="AU310" s="394"/>
      <c r="AV310" s="394"/>
      <c r="AW310" s="394"/>
      <c r="AX310" s="394"/>
      <c r="AY310" s="394"/>
      <c r="AZ310" s="394"/>
      <c r="BA310" s="394"/>
      <c r="BB310" s="394"/>
      <c r="BC310" s="394"/>
      <c r="BD310" s="381"/>
      <c r="BE310" s="408"/>
      <c r="BF310" s="385"/>
      <c r="BG310" s="475"/>
      <c r="BH310" s="395" t="e">
        <f t="shared" si="176"/>
        <v>#DIV/0!</v>
      </c>
      <c r="BI310" s="395" t="e">
        <f t="shared" si="177"/>
        <v>#DIV/0!</v>
      </c>
    </row>
    <row r="311" spans="1:61" s="358" customFormat="1" ht="19.2" x14ac:dyDescent="0.3">
      <c r="A311" s="359" t="s">
        <v>272</v>
      </c>
      <c r="B311" s="537" t="s">
        <v>631</v>
      </c>
      <c r="C311" s="546" t="s">
        <v>507</v>
      </c>
      <c r="D311" s="360">
        <v>0.4</v>
      </c>
      <c r="E311" s="528">
        <v>105</v>
      </c>
      <c r="F311" s="523">
        <v>100</v>
      </c>
      <c r="G311" s="393">
        <v>100</v>
      </c>
      <c r="H311" s="542">
        <v>97.050330000000002</v>
      </c>
      <c r="I311" s="394">
        <v>64.742459999999994</v>
      </c>
      <c r="J311" s="394">
        <v>11.919600000000001</v>
      </c>
      <c r="K311" s="394">
        <v>49.892479999999999</v>
      </c>
      <c r="L311" s="394">
        <v>12.02591</v>
      </c>
      <c r="M311" s="394">
        <v>0</v>
      </c>
      <c r="N311" s="394">
        <v>0</v>
      </c>
      <c r="O311" s="394">
        <v>9.4043799999999997</v>
      </c>
      <c r="P311" s="394">
        <v>113.52</v>
      </c>
      <c r="Q311" s="394">
        <v>12.47312</v>
      </c>
      <c r="R311" s="381" t="s">
        <v>167</v>
      </c>
      <c r="S311" s="408" t="s">
        <v>175</v>
      </c>
      <c r="T311" s="385"/>
      <c r="U311" s="475">
        <v>185</v>
      </c>
      <c r="V311" s="395">
        <f t="shared" si="182"/>
        <v>924.28885714285718</v>
      </c>
      <c r="W311" s="395">
        <f t="shared" si="183"/>
        <v>0.97050330000000007</v>
      </c>
      <c r="X311" s="528"/>
      <c r="Y311" s="523"/>
      <c r="Z311" s="393"/>
      <c r="AA311" s="542"/>
      <c r="AB311" s="394"/>
      <c r="AC311" s="394"/>
      <c r="AD311" s="394"/>
      <c r="AE311" s="394"/>
      <c r="AF311" s="394"/>
      <c r="AG311" s="394"/>
      <c r="AH311" s="394"/>
      <c r="AI311" s="394"/>
      <c r="AJ311" s="394"/>
      <c r="AK311" s="381"/>
      <c r="AL311" s="408"/>
      <c r="AM311" s="385"/>
      <c r="AN311" s="475"/>
      <c r="AO311" s="395" t="e">
        <f t="shared" si="174"/>
        <v>#DIV/0!</v>
      </c>
      <c r="AP311" s="395" t="e">
        <f t="shared" si="175"/>
        <v>#DIV/0!</v>
      </c>
      <c r="AQ311" s="528"/>
      <c r="AR311" s="523"/>
      <c r="AS311" s="393"/>
      <c r="AT311" s="542"/>
      <c r="AU311" s="394"/>
      <c r="AV311" s="394"/>
      <c r="AW311" s="394"/>
      <c r="AX311" s="394"/>
      <c r="AY311" s="394"/>
      <c r="AZ311" s="394"/>
      <c r="BA311" s="394"/>
      <c r="BB311" s="394"/>
      <c r="BC311" s="394"/>
      <c r="BD311" s="381"/>
      <c r="BE311" s="408"/>
      <c r="BF311" s="385"/>
      <c r="BG311" s="475"/>
      <c r="BH311" s="395" t="e">
        <f t="shared" si="176"/>
        <v>#DIV/0!</v>
      </c>
      <c r="BI311" s="395" t="e">
        <f t="shared" si="177"/>
        <v>#DIV/0!</v>
      </c>
    </row>
    <row r="312" spans="1:61" s="358" customFormat="1" ht="19.2" x14ac:dyDescent="0.3">
      <c r="A312" s="359" t="s">
        <v>273</v>
      </c>
      <c r="B312" s="537" t="s">
        <v>632</v>
      </c>
      <c r="C312" s="546" t="s">
        <v>508</v>
      </c>
      <c r="D312" s="360">
        <v>0.4</v>
      </c>
      <c r="E312" s="528">
        <v>111</v>
      </c>
      <c r="F312" s="523">
        <v>15</v>
      </c>
      <c r="G312" s="393">
        <v>15</v>
      </c>
      <c r="H312" s="542">
        <v>103.13328</v>
      </c>
      <c r="I312" s="394">
        <v>70.058580000000006</v>
      </c>
      <c r="J312" s="394">
        <v>12.600720000000001</v>
      </c>
      <c r="K312" s="394">
        <v>49.892479999999999</v>
      </c>
      <c r="L312" s="394">
        <v>12.22648</v>
      </c>
      <c r="M312" s="394">
        <v>0</v>
      </c>
      <c r="N312" s="394">
        <v>0</v>
      </c>
      <c r="O312" s="394">
        <v>9.6530400000000007</v>
      </c>
      <c r="P312" s="394">
        <v>113.52</v>
      </c>
      <c r="Q312" s="394">
        <v>12.47312</v>
      </c>
      <c r="R312" s="381" t="s">
        <v>167</v>
      </c>
      <c r="S312" s="408" t="s">
        <v>175</v>
      </c>
      <c r="T312" s="385"/>
      <c r="U312" s="475">
        <v>187</v>
      </c>
      <c r="V312" s="395">
        <f t="shared" si="182"/>
        <v>929.12864864864866</v>
      </c>
      <c r="W312" s="395">
        <f t="shared" si="183"/>
        <v>6.8755519999999999</v>
      </c>
      <c r="X312" s="528"/>
      <c r="Y312" s="523"/>
      <c r="Z312" s="393"/>
      <c r="AA312" s="542"/>
      <c r="AB312" s="394"/>
      <c r="AC312" s="394"/>
      <c r="AD312" s="394"/>
      <c r="AE312" s="394"/>
      <c r="AF312" s="394"/>
      <c r="AG312" s="394"/>
      <c r="AH312" s="394"/>
      <c r="AI312" s="394"/>
      <c r="AJ312" s="394"/>
      <c r="AK312" s="381"/>
      <c r="AL312" s="408"/>
      <c r="AM312" s="385"/>
      <c r="AN312" s="475"/>
      <c r="AO312" s="395" t="e">
        <f t="shared" si="174"/>
        <v>#DIV/0!</v>
      </c>
      <c r="AP312" s="395" t="e">
        <f t="shared" si="175"/>
        <v>#DIV/0!</v>
      </c>
      <c r="AQ312" s="528"/>
      <c r="AR312" s="523"/>
      <c r="AS312" s="393"/>
      <c r="AT312" s="542"/>
      <c r="AU312" s="394"/>
      <c r="AV312" s="394"/>
      <c r="AW312" s="394"/>
      <c r="AX312" s="394"/>
      <c r="AY312" s="394"/>
      <c r="AZ312" s="394"/>
      <c r="BA312" s="394"/>
      <c r="BB312" s="394"/>
      <c r="BC312" s="394"/>
      <c r="BD312" s="381"/>
      <c r="BE312" s="408"/>
      <c r="BF312" s="385"/>
      <c r="BG312" s="475"/>
      <c r="BH312" s="395" t="e">
        <f t="shared" si="176"/>
        <v>#DIV/0!</v>
      </c>
      <c r="BI312" s="395" t="e">
        <f t="shared" si="177"/>
        <v>#DIV/0!</v>
      </c>
    </row>
    <row r="313" spans="1:61" s="358" customFormat="1" ht="19.2" x14ac:dyDescent="0.3">
      <c r="A313" s="359" t="s">
        <v>178</v>
      </c>
      <c r="B313" s="572" t="s">
        <v>2391</v>
      </c>
      <c r="C313" s="546" t="s">
        <v>2390</v>
      </c>
      <c r="D313" s="360">
        <v>0.4</v>
      </c>
      <c r="E313" s="528"/>
      <c r="F313" s="523"/>
      <c r="G313" s="393"/>
      <c r="H313" s="571"/>
      <c r="I313" s="394"/>
      <c r="J313" s="394"/>
      <c r="K313" s="394"/>
      <c r="L313" s="394"/>
      <c r="M313" s="394"/>
      <c r="N313" s="394"/>
      <c r="O313" s="394"/>
      <c r="P313" s="394"/>
      <c r="Q313" s="394"/>
      <c r="R313" s="381"/>
      <c r="S313" s="408"/>
      <c r="T313" s="385"/>
      <c r="U313" s="475"/>
      <c r="V313" s="395"/>
      <c r="W313" s="395"/>
      <c r="X313" s="528">
        <v>150</v>
      </c>
      <c r="Y313" s="523">
        <v>15</v>
      </c>
      <c r="Z313" s="393">
        <v>15</v>
      </c>
      <c r="AA313" s="571">
        <v>139.00083000000001</v>
      </c>
      <c r="AB313" s="394">
        <v>99.873249999999999</v>
      </c>
      <c r="AC313" s="394">
        <v>17.027999999999999</v>
      </c>
      <c r="AD313" s="394">
        <f>50.22188+25.11094</f>
        <v>75.332819999999998</v>
      </c>
      <c r="AE313" s="394">
        <v>18.083480000000002</v>
      </c>
      <c r="AF313" s="394">
        <v>0</v>
      </c>
      <c r="AG313" s="394">
        <v>0</v>
      </c>
      <c r="AH313" s="394">
        <v>10.308719999999999</v>
      </c>
      <c r="AI313" s="394">
        <v>0.11352</v>
      </c>
      <c r="AJ313" s="394">
        <v>12.55547</v>
      </c>
      <c r="AK313" s="381" t="s">
        <v>167</v>
      </c>
      <c r="AL313" s="408" t="s">
        <v>175</v>
      </c>
      <c r="AM313" s="385"/>
      <c r="AN313" s="475">
        <v>204</v>
      </c>
      <c r="AO313" s="395">
        <f t="shared" ref="AO313:AO315" si="184">AA313/X313*1000</f>
        <v>926.67220000000009</v>
      </c>
      <c r="AP313" s="395">
        <f t="shared" ref="AP313:AP315" si="185">AA313/Y313</f>
        <v>9.2667219999999997</v>
      </c>
      <c r="AQ313" s="528"/>
      <c r="AR313" s="523"/>
      <c r="AS313" s="393"/>
      <c r="AT313" s="571"/>
      <c r="AU313" s="394"/>
      <c r="AV313" s="394"/>
      <c r="AW313" s="394"/>
      <c r="AX313" s="394"/>
      <c r="AY313" s="394"/>
      <c r="AZ313" s="394"/>
      <c r="BA313" s="394"/>
      <c r="BB313" s="394"/>
      <c r="BC313" s="394"/>
      <c r="BD313" s="381"/>
      <c r="BE313" s="408"/>
      <c r="BF313" s="385"/>
      <c r="BG313" s="475"/>
      <c r="BH313" s="395" t="e">
        <f t="shared" si="176"/>
        <v>#DIV/0!</v>
      </c>
      <c r="BI313" s="395" t="e">
        <f t="shared" si="177"/>
        <v>#DIV/0!</v>
      </c>
    </row>
    <row r="314" spans="1:61" s="358" customFormat="1" ht="19.2" x14ac:dyDescent="0.3">
      <c r="A314" s="359" t="s">
        <v>182</v>
      </c>
      <c r="B314" s="572" t="s">
        <v>2393</v>
      </c>
      <c r="C314" s="546" t="s">
        <v>2392</v>
      </c>
      <c r="D314" s="360">
        <v>0.4</v>
      </c>
      <c r="E314" s="528"/>
      <c r="F314" s="523"/>
      <c r="G314" s="393"/>
      <c r="H314" s="571"/>
      <c r="I314" s="394"/>
      <c r="J314" s="394"/>
      <c r="K314" s="394"/>
      <c r="L314" s="394"/>
      <c r="M314" s="394"/>
      <c r="N314" s="394"/>
      <c r="O314" s="394"/>
      <c r="P314" s="394"/>
      <c r="Q314" s="394"/>
      <c r="R314" s="381"/>
      <c r="S314" s="408"/>
      <c r="T314" s="385"/>
      <c r="U314" s="475"/>
      <c r="V314" s="395"/>
      <c r="W314" s="395"/>
      <c r="X314" s="528">
        <v>240</v>
      </c>
      <c r="Y314" s="523">
        <v>15</v>
      </c>
      <c r="Z314" s="393">
        <v>15</v>
      </c>
      <c r="AA314" s="571">
        <v>228.37035</v>
      </c>
      <c r="AB314" s="394">
        <v>164.01139000000001</v>
      </c>
      <c r="AC314" s="394">
        <v>27.244800000000001</v>
      </c>
      <c r="AD314" s="394">
        <f>100.44376+25.11094</f>
        <v>125.5547</v>
      </c>
      <c r="AE314" s="394">
        <v>29.616050000000001</v>
      </c>
      <c r="AF314" s="394">
        <v>0</v>
      </c>
      <c r="AG314" s="394">
        <v>0</v>
      </c>
      <c r="AH314" s="394">
        <v>16.989560000000001</v>
      </c>
      <c r="AI314" s="394">
        <v>0.11352</v>
      </c>
      <c r="AJ314" s="394">
        <v>12.55547</v>
      </c>
      <c r="AK314" s="381" t="s">
        <v>167</v>
      </c>
      <c r="AL314" s="408" t="s">
        <v>175</v>
      </c>
      <c r="AM314" s="385"/>
      <c r="AN314" s="475">
        <v>206</v>
      </c>
      <c r="AO314" s="395">
        <f t="shared" si="184"/>
        <v>951.54312500000003</v>
      </c>
      <c r="AP314" s="395">
        <f t="shared" si="185"/>
        <v>15.224690000000001</v>
      </c>
      <c r="AQ314" s="528"/>
      <c r="AR314" s="523"/>
      <c r="AS314" s="393"/>
      <c r="AT314" s="571"/>
      <c r="AU314" s="394"/>
      <c r="AV314" s="394"/>
      <c r="AW314" s="394"/>
      <c r="AX314" s="394"/>
      <c r="AY314" s="394"/>
      <c r="AZ314" s="394"/>
      <c r="BA314" s="394"/>
      <c r="BB314" s="394"/>
      <c r="BC314" s="394"/>
      <c r="BD314" s="381"/>
      <c r="BE314" s="408"/>
      <c r="BF314" s="385"/>
      <c r="BG314" s="475"/>
      <c r="BH314" s="395" t="e">
        <f t="shared" si="176"/>
        <v>#DIV/0!</v>
      </c>
      <c r="BI314" s="395" t="e">
        <f t="shared" si="177"/>
        <v>#DIV/0!</v>
      </c>
    </row>
    <row r="315" spans="1:61" s="358" customFormat="1" ht="19.2" x14ac:dyDescent="0.3">
      <c r="A315" s="359" t="s">
        <v>184</v>
      </c>
      <c r="B315" s="572" t="s">
        <v>2395</v>
      </c>
      <c r="C315" s="546" t="s">
        <v>2394</v>
      </c>
      <c r="D315" s="360">
        <v>0.4</v>
      </c>
      <c r="E315" s="528"/>
      <c r="F315" s="523"/>
      <c r="G315" s="393"/>
      <c r="H315" s="571"/>
      <c r="I315" s="394"/>
      <c r="J315" s="394"/>
      <c r="K315" s="394"/>
      <c r="L315" s="394"/>
      <c r="M315" s="394"/>
      <c r="N315" s="394"/>
      <c r="O315" s="394"/>
      <c r="P315" s="394"/>
      <c r="Q315" s="394"/>
      <c r="R315" s="381"/>
      <c r="S315" s="408"/>
      <c r="T315" s="385"/>
      <c r="U315" s="475"/>
      <c r="V315" s="395"/>
      <c r="W315" s="395"/>
      <c r="X315" s="528">
        <v>340</v>
      </c>
      <c r="Y315" s="523">
        <v>10</v>
      </c>
      <c r="Z315" s="393">
        <v>10</v>
      </c>
      <c r="AA315" s="571">
        <v>309.09584000000001</v>
      </c>
      <c r="AB315" s="394">
        <v>223.36322000000001</v>
      </c>
      <c r="AC315" s="394">
        <v>38.596800000000002</v>
      </c>
      <c r="AD315" s="394">
        <f>138.11017+25.11094</f>
        <v>163.22111000000001</v>
      </c>
      <c r="AE315" s="394">
        <v>39.358559999999997</v>
      </c>
      <c r="AF315" s="394">
        <v>0</v>
      </c>
      <c r="AG315" s="394">
        <v>0</v>
      </c>
      <c r="AH315" s="394">
        <v>22.678000000000001</v>
      </c>
      <c r="AI315" s="394">
        <v>0.11352</v>
      </c>
      <c r="AJ315" s="394">
        <v>12.55547</v>
      </c>
      <c r="AK315" s="381" t="s">
        <v>167</v>
      </c>
      <c r="AL315" s="408" t="s">
        <v>175</v>
      </c>
      <c r="AM315" s="385"/>
      <c r="AN315" s="475">
        <v>208</v>
      </c>
      <c r="AO315" s="395">
        <f t="shared" si="184"/>
        <v>909.10541176470599</v>
      </c>
      <c r="AP315" s="395">
        <f t="shared" si="185"/>
        <v>30.909584000000002</v>
      </c>
      <c r="AQ315" s="528"/>
      <c r="AR315" s="523"/>
      <c r="AS315" s="393"/>
      <c r="AT315" s="571"/>
      <c r="AU315" s="394"/>
      <c r="AV315" s="394"/>
      <c r="AW315" s="394"/>
      <c r="AX315" s="394"/>
      <c r="AY315" s="394"/>
      <c r="AZ315" s="394"/>
      <c r="BA315" s="394"/>
      <c r="BB315" s="394"/>
      <c r="BC315" s="394"/>
      <c r="BD315" s="381"/>
      <c r="BE315" s="408"/>
      <c r="BF315" s="385"/>
      <c r="BG315" s="475"/>
      <c r="BH315" s="395" t="e">
        <f t="shared" si="176"/>
        <v>#DIV/0!</v>
      </c>
      <c r="BI315" s="395" t="e">
        <f t="shared" si="177"/>
        <v>#DIV/0!</v>
      </c>
    </row>
    <row r="316" spans="1:61" s="358" customFormat="1" ht="19.2" x14ac:dyDescent="0.3">
      <c r="A316" s="359" t="s">
        <v>186</v>
      </c>
      <c r="B316" s="572" t="s">
        <v>2398</v>
      </c>
      <c r="C316" s="546" t="s">
        <v>2397</v>
      </c>
      <c r="D316" s="360">
        <v>0.4</v>
      </c>
      <c r="E316" s="528"/>
      <c r="F316" s="523"/>
      <c r="G316" s="393"/>
      <c r="H316" s="571"/>
      <c r="I316" s="394"/>
      <c r="J316" s="394"/>
      <c r="K316" s="394"/>
      <c r="L316" s="394"/>
      <c r="M316" s="394"/>
      <c r="N316" s="394"/>
      <c r="O316" s="394"/>
      <c r="P316" s="394"/>
      <c r="Q316" s="394"/>
      <c r="R316" s="381"/>
      <c r="S316" s="408"/>
      <c r="T316" s="385"/>
      <c r="U316" s="475"/>
      <c r="V316" s="395"/>
      <c r="W316" s="395"/>
      <c r="X316" s="528">
        <v>175</v>
      </c>
      <c r="Y316" s="523">
        <v>15</v>
      </c>
      <c r="Z316" s="393">
        <v>15</v>
      </c>
      <c r="AA316" s="571">
        <v>179.15302</v>
      </c>
      <c r="AB316" s="394">
        <v>128.91750999999999</v>
      </c>
      <c r="AC316" s="394">
        <v>19.866</v>
      </c>
      <c r="AD316" s="394">
        <f>75.33312+25.11104</f>
        <v>100.44416</v>
      </c>
      <c r="AE316" s="394">
        <v>23.17709</v>
      </c>
      <c r="AF316" s="394">
        <v>0</v>
      </c>
      <c r="AG316" s="394">
        <v>0</v>
      </c>
      <c r="AH316" s="394">
        <v>13.23204</v>
      </c>
      <c r="AI316" s="394">
        <v>0.11352</v>
      </c>
      <c r="AJ316" s="394">
        <v>12.55552</v>
      </c>
      <c r="AK316" s="381" t="s">
        <v>167</v>
      </c>
      <c r="AL316" s="408" t="s">
        <v>175</v>
      </c>
      <c r="AM316" s="385"/>
      <c r="AN316" s="475">
        <v>210</v>
      </c>
      <c r="AO316" s="395">
        <f t="shared" ref="AO316:AO327" si="186">AA316/X316*1000</f>
        <v>1023.7315428571427</v>
      </c>
      <c r="AP316" s="395">
        <f t="shared" ref="AP316:AP327" si="187">AA316/Y316</f>
        <v>11.943534666666666</v>
      </c>
      <c r="AQ316" s="528"/>
      <c r="AR316" s="523"/>
      <c r="AS316" s="393"/>
      <c r="AT316" s="571"/>
      <c r="AU316" s="394"/>
      <c r="AV316" s="394"/>
      <c r="AW316" s="394"/>
      <c r="AX316" s="394"/>
      <c r="AY316" s="394"/>
      <c r="AZ316" s="394"/>
      <c r="BA316" s="394"/>
      <c r="BB316" s="394"/>
      <c r="BC316" s="394"/>
      <c r="BD316" s="381"/>
      <c r="BE316" s="408"/>
      <c r="BF316" s="385"/>
      <c r="BG316" s="475"/>
      <c r="BH316" s="395" t="e">
        <f t="shared" si="176"/>
        <v>#DIV/0!</v>
      </c>
      <c r="BI316" s="395" t="e">
        <f t="shared" si="177"/>
        <v>#DIV/0!</v>
      </c>
    </row>
    <row r="317" spans="1:61" s="358" customFormat="1" ht="19.2" x14ac:dyDescent="0.3">
      <c r="A317" s="359" t="s">
        <v>189</v>
      </c>
      <c r="B317" s="572" t="s">
        <v>2400</v>
      </c>
      <c r="C317" s="546" t="s">
        <v>2399</v>
      </c>
      <c r="D317" s="360">
        <v>0.4</v>
      </c>
      <c r="E317" s="528"/>
      <c r="F317" s="523"/>
      <c r="G317" s="393"/>
      <c r="H317" s="571"/>
      <c r="I317" s="394"/>
      <c r="J317" s="394"/>
      <c r="K317" s="394"/>
      <c r="L317" s="394"/>
      <c r="M317" s="394"/>
      <c r="N317" s="394"/>
      <c r="O317" s="394"/>
      <c r="P317" s="394"/>
      <c r="Q317" s="394"/>
      <c r="R317" s="381"/>
      <c r="S317" s="408"/>
      <c r="T317" s="385"/>
      <c r="U317" s="475"/>
      <c r="V317" s="395"/>
      <c r="W317" s="395"/>
      <c r="X317" s="528">
        <v>123</v>
      </c>
      <c r="Y317" s="523">
        <v>15</v>
      </c>
      <c r="Z317" s="393">
        <v>15</v>
      </c>
      <c r="AA317" s="571">
        <v>83.754090000000005</v>
      </c>
      <c r="AB317" s="394">
        <v>57.880490000000002</v>
      </c>
      <c r="AC317" s="394">
        <v>13.962960000000001</v>
      </c>
      <c r="AD317" s="394">
        <v>37.666589999999999</v>
      </c>
      <c r="AE317" s="394">
        <v>11.521850000000001</v>
      </c>
      <c r="AF317" s="394">
        <v>0</v>
      </c>
      <c r="AG317" s="394">
        <v>0</v>
      </c>
      <c r="AH317" s="394">
        <v>7.0303699999999996</v>
      </c>
      <c r="AI317" s="394">
        <v>0.11352</v>
      </c>
      <c r="AJ317" s="394">
        <v>12.555529999999999</v>
      </c>
      <c r="AK317" s="381" t="s">
        <v>167</v>
      </c>
      <c r="AL317" s="408" t="s">
        <v>175</v>
      </c>
      <c r="AM317" s="385"/>
      <c r="AN317" s="475">
        <v>212</v>
      </c>
      <c r="AO317" s="395">
        <f t="shared" si="186"/>
        <v>680.92756097560982</v>
      </c>
      <c r="AP317" s="395">
        <f t="shared" si="187"/>
        <v>5.5836060000000005</v>
      </c>
      <c r="AQ317" s="528"/>
      <c r="AR317" s="523"/>
      <c r="AS317" s="393"/>
      <c r="AT317" s="571"/>
      <c r="AU317" s="394"/>
      <c r="AV317" s="394"/>
      <c r="AW317" s="394"/>
      <c r="AX317" s="394"/>
      <c r="AY317" s="394"/>
      <c r="AZ317" s="394"/>
      <c r="BA317" s="394"/>
      <c r="BB317" s="394"/>
      <c r="BC317" s="394"/>
      <c r="BD317" s="381"/>
      <c r="BE317" s="408"/>
      <c r="BF317" s="385"/>
      <c r="BG317" s="475"/>
      <c r="BH317" s="395" t="e">
        <f t="shared" si="176"/>
        <v>#DIV/0!</v>
      </c>
      <c r="BI317" s="395" t="e">
        <f t="shared" si="177"/>
        <v>#DIV/0!</v>
      </c>
    </row>
    <row r="318" spans="1:61" s="358" customFormat="1" ht="19.2" x14ac:dyDescent="0.3">
      <c r="A318" s="359" t="s">
        <v>267</v>
      </c>
      <c r="B318" s="572" t="s">
        <v>2402</v>
      </c>
      <c r="C318" s="546" t="s">
        <v>2401</v>
      </c>
      <c r="D318" s="360">
        <v>0.4</v>
      </c>
      <c r="E318" s="528"/>
      <c r="F318" s="523"/>
      <c r="G318" s="393"/>
      <c r="H318" s="571"/>
      <c r="I318" s="394"/>
      <c r="J318" s="394"/>
      <c r="K318" s="394"/>
      <c r="L318" s="394"/>
      <c r="M318" s="394"/>
      <c r="N318" s="394"/>
      <c r="O318" s="394"/>
      <c r="P318" s="394"/>
      <c r="Q318" s="394"/>
      <c r="R318" s="381"/>
      <c r="S318" s="408"/>
      <c r="T318" s="385"/>
      <c r="U318" s="475"/>
      <c r="V318" s="395"/>
      <c r="W318" s="395"/>
      <c r="X318" s="528">
        <v>357</v>
      </c>
      <c r="Y318" s="523">
        <v>15</v>
      </c>
      <c r="Z318" s="393">
        <v>15</v>
      </c>
      <c r="AA318" s="571">
        <v>433.20744000000002</v>
      </c>
      <c r="AB318" s="394">
        <v>303.64170000000001</v>
      </c>
      <c r="AC318" s="394">
        <v>40.52664</v>
      </c>
      <c r="AD318" s="394">
        <f>75.33312+125.5552+37.66656</f>
        <v>238.55488</v>
      </c>
      <c r="AE318" s="394">
        <v>59.736440000000002</v>
      </c>
      <c r="AF318" s="394">
        <v>0</v>
      </c>
      <c r="AG318" s="394">
        <v>0</v>
      </c>
      <c r="AH318" s="394">
        <v>34.326369999999997</v>
      </c>
      <c r="AI318" s="394">
        <v>0.11352</v>
      </c>
      <c r="AJ318" s="394">
        <v>12.55552</v>
      </c>
      <c r="AK318" s="381" t="s">
        <v>167</v>
      </c>
      <c r="AL318" s="408" t="s">
        <v>175</v>
      </c>
      <c r="AM318" s="385"/>
      <c r="AN318" s="475">
        <v>214</v>
      </c>
      <c r="AO318" s="395">
        <f t="shared" si="186"/>
        <v>1213.4662184873951</v>
      </c>
      <c r="AP318" s="395">
        <f t="shared" si="187"/>
        <v>28.880496000000001</v>
      </c>
      <c r="AQ318" s="528"/>
      <c r="AR318" s="523"/>
      <c r="AS318" s="393"/>
      <c r="AT318" s="571"/>
      <c r="AU318" s="394"/>
      <c r="AV318" s="394"/>
      <c r="AW318" s="394"/>
      <c r="AX318" s="394"/>
      <c r="AY318" s="394"/>
      <c r="AZ318" s="394"/>
      <c r="BA318" s="394"/>
      <c r="BB318" s="394"/>
      <c r="BC318" s="394"/>
      <c r="BD318" s="381"/>
      <c r="BE318" s="408"/>
      <c r="BF318" s="385"/>
      <c r="BG318" s="475"/>
      <c r="BH318" s="395" t="e">
        <f t="shared" si="176"/>
        <v>#DIV/0!</v>
      </c>
      <c r="BI318" s="395" t="e">
        <f t="shared" si="177"/>
        <v>#DIV/0!</v>
      </c>
    </row>
    <row r="319" spans="1:61" s="358" customFormat="1" ht="19.2" x14ac:dyDescent="0.3">
      <c r="A319" s="359" t="s">
        <v>268</v>
      </c>
      <c r="B319" s="572" t="s">
        <v>2404</v>
      </c>
      <c r="C319" s="546" t="s">
        <v>2403</v>
      </c>
      <c r="D319" s="360">
        <v>0.4</v>
      </c>
      <c r="E319" s="528"/>
      <c r="F319" s="523"/>
      <c r="G319" s="393"/>
      <c r="H319" s="571"/>
      <c r="I319" s="394"/>
      <c r="J319" s="394"/>
      <c r="K319" s="394"/>
      <c r="L319" s="394"/>
      <c r="M319" s="394"/>
      <c r="N319" s="394"/>
      <c r="O319" s="394"/>
      <c r="P319" s="394"/>
      <c r="Q319" s="394"/>
      <c r="R319" s="381"/>
      <c r="S319" s="408"/>
      <c r="T319" s="385"/>
      <c r="U319" s="475"/>
      <c r="V319" s="395"/>
      <c r="W319" s="395"/>
      <c r="X319" s="528">
        <v>56</v>
      </c>
      <c r="Y319" s="523">
        <v>15</v>
      </c>
      <c r="Z319" s="393">
        <v>15</v>
      </c>
      <c r="AA319" s="571">
        <v>33.43441</v>
      </c>
      <c r="AB319" s="394">
        <v>23.544119999999999</v>
      </c>
      <c r="AC319" s="394">
        <v>6.3571200000000001</v>
      </c>
      <c r="AD319" s="394">
        <v>12.555529999999999</v>
      </c>
      <c r="AE319" s="394">
        <v>4.3924700000000003</v>
      </c>
      <c r="AF319" s="394">
        <v>0</v>
      </c>
      <c r="AG319" s="394">
        <v>0</v>
      </c>
      <c r="AH319" s="394">
        <v>2.7000299999999999</v>
      </c>
      <c r="AI319" s="394">
        <v>0.11352</v>
      </c>
      <c r="AJ319" s="394">
        <v>12.555529999999999</v>
      </c>
      <c r="AK319" s="381" t="s">
        <v>167</v>
      </c>
      <c r="AL319" s="408" t="s">
        <v>175</v>
      </c>
      <c r="AM319" s="385"/>
      <c r="AN319" s="475">
        <v>217</v>
      </c>
      <c r="AO319" s="395">
        <f t="shared" si="186"/>
        <v>597.04303571428579</v>
      </c>
      <c r="AP319" s="395">
        <f t="shared" si="187"/>
        <v>2.2289606666666666</v>
      </c>
      <c r="AQ319" s="528"/>
      <c r="AR319" s="523"/>
      <c r="AS319" s="393"/>
      <c r="AT319" s="571"/>
      <c r="AU319" s="394"/>
      <c r="AV319" s="394"/>
      <c r="AW319" s="394"/>
      <c r="AX319" s="394"/>
      <c r="AY319" s="394"/>
      <c r="AZ319" s="394"/>
      <c r="BA319" s="394"/>
      <c r="BB319" s="394"/>
      <c r="BC319" s="394"/>
      <c r="BD319" s="381"/>
      <c r="BE319" s="408"/>
      <c r="BF319" s="385"/>
      <c r="BG319" s="475"/>
      <c r="BH319" s="395" t="e">
        <f t="shared" si="176"/>
        <v>#DIV/0!</v>
      </c>
      <c r="BI319" s="395" t="e">
        <f t="shared" si="177"/>
        <v>#DIV/0!</v>
      </c>
    </row>
    <row r="320" spans="1:61" s="358" customFormat="1" ht="19.2" x14ac:dyDescent="0.3">
      <c r="A320" s="359" t="s">
        <v>269</v>
      </c>
      <c r="B320" s="572" t="s">
        <v>2406</v>
      </c>
      <c r="C320" s="546" t="s">
        <v>2405</v>
      </c>
      <c r="D320" s="360">
        <v>0.4</v>
      </c>
      <c r="E320" s="528"/>
      <c r="F320" s="523"/>
      <c r="G320" s="393"/>
      <c r="H320" s="571"/>
      <c r="I320" s="394"/>
      <c r="J320" s="394"/>
      <c r="K320" s="394"/>
      <c r="L320" s="394"/>
      <c r="M320" s="394"/>
      <c r="N320" s="394"/>
      <c r="O320" s="394"/>
      <c r="P320" s="394"/>
      <c r="Q320" s="394"/>
      <c r="R320" s="381"/>
      <c r="S320" s="408"/>
      <c r="T320" s="385"/>
      <c r="U320" s="475"/>
      <c r="V320" s="395"/>
      <c r="W320" s="395"/>
      <c r="X320" s="528">
        <v>98</v>
      </c>
      <c r="Y320" s="523">
        <v>15</v>
      </c>
      <c r="Z320" s="393">
        <v>15</v>
      </c>
      <c r="AA320" s="571">
        <v>105.23941000000001</v>
      </c>
      <c r="AB320" s="394">
        <v>70.822590000000005</v>
      </c>
      <c r="AC320" s="394">
        <v>11.12496</v>
      </c>
      <c r="AD320" s="394">
        <v>51.5184</v>
      </c>
      <c r="AE320" s="394">
        <v>15.887</v>
      </c>
      <c r="AF320" s="394">
        <v>0</v>
      </c>
      <c r="AG320" s="394">
        <v>0</v>
      </c>
      <c r="AH320" s="394">
        <v>9.1159199999999991</v>
      </c>
      <c r="AI320" s="394">
        <v>0.11352</v>
      </c>
      <c r="AJ320" s="394">
        <v>12.8796</v>
      </c>
      <c r="AK320" s="381" t="s">
        <v>167</v>
      </c>
      <c r="AL320" s="408" t="s">
        <v>175</v>
      </c>
      <c r="AM320" s="385"/>
      <c r="AN320" s="475">
        <v>219</v>
      </c>
      <c r="AO320" s="395">
        <f t="shared" si="186"/>
        <v>1073.8715306122451</v>
      </c>
      <c r="AP320" s="395">
        <f t="shared" si="187"/>
        <v>7.0159606666666674</v>
      </c>
      <c r="AQ320" s="528"/>
      <c r="AR320" s="523"/>
      <c r="AS320" s="393"/>
      <c r="AT320" s="571"/>
      <c r="AU320" s="394"/>
      <c r="AV320" s="394"/>
      <c r="AW320" s="394"/>
      <c r="AX320" s="394"/>
      <c r="AY320" s="394"/>
      <c r="AZ320" s="394"/>
      <c r="BA320" s="394"/>
      <c r="BB320" s="394"/>
      <c r="BC320" s="394"/>
      <c r="BD320" s="381"/>
      <c r="BE320" s="408"/>
      <c r="BF320" s="385"/>
      <c r="BG320" s="475"/>
      <c r="BH320" s="395" t="e">
        <f t="shared" si="176"/>
        <v>#DIV/0!</v>
      </c>
      <c r="BI320" s="395" t="e">
        <f t="shared" si="177"/>
        <v>#DIV/0!</v>
      </c>
    </row>
    <row r="321" spans="1:61" s="358" customFormat="1" ht="19.2" x14ac:dyDescent="0.3">
      <c r="A321" s="359" t="s">
        <v>270</v>
      </c>
      <c r="B321" s="572" t="s">
        <v>2408</v>
      </c>
      <c r="C321" s="546" t="s">
        <v>2407</v>
      </c>
      <c r="D321" s="360">
        <v>0.4</v>
      </c>
      <c r="E321" s="528"/>
      <c r="F321" s="523"/>
      <c r="G321" s="393"/>
      <c r="H321" s="571"/>
      <c r="I321" s="394"/>
      <c r="J321" s="394"/>
      <c r="K321" s="394"/>
      <c r="L321" s="394"/>
      <c r="M321" s="394"/>
      <c r="N321" s="394"/>
      <c r="O321" s="394"/>
      <c r="P321" s="394"/>
      <c r="Q321" s="394"/>
      <c r="R321" s="381"/>
      <c r="S321" s="408"/>
      <c r="T321" s="385"/>
      <c r="U321" s="475"/>
      <c r="V321" s="395"/>
      <c r="W321" s="395"/>
      <c r="X321" s="528">
        <v>172</v>
      </c>
      <c r="Y321" s="523">
        <v>15</v>
      </c>
      <c r="Z321" s="393">
        <v>15</v>
      </c>
      <c r="AA321" s="571">
        <v>84.279139999999998</v>
      </c>
      <c r="AB321" s="394">
        <v>33.288310000000003</v>
      </c>
      <c r="AC321" s="394">
        <v>19.52544</v>
      </c>
      <c r="AD321" s="394"/>
      <c r="AE321" s="394">
        <v>23.273910000000001</v>
      </c>
      <c r="AF321" s="394">
        <v>0</v>
      </c>
      <c r="AG321" s="394">
        <v>0</v>
      </c>
      <c r="AH321" s="394">
        <v>13.61267</v>
      </c>
      <c r="AI321" s="394">
        <v>0.11352</v>
      </c>
      <c r="AJ321" s="394"/>
      <c r="AK321" s="381" t="s">
        <v>167</v>
      </c>
      <c r="AL321" s="408" t="s">
        <v>175</v>
      </c>
      <c r="AM321" s="385"/>
      <c r="AN321" s="475">
        <v>221</v>
      </c>
      <c r="AO321" s="395">
        <f t="shared" si="186"/>
        <v>489.995</v>
      </c>
      <c r="AP321" s="395">
        <f t="shared" si="187"/>
        <v>5.6186093333333336</v>
      </c>
      <c r="AQ321" s="528"/>
      <c r="AR321" s="523"/>
      <c r="AS321" s="393"/>
      <c r="AT321" s="571"/>
      <c r="AU321" s="394"/>
      <c r="AV321" s="394"/>
      <c r="AW321" s="394"/>
      <c r="AX321" s="394"/>
      <c r="AY321" s="394"/>
      <c r="AZ321" s="394"/>
      <c r="BA321" s="394"/>
      <c r="BB321" s="394"/>
      <c r="BC321" s="394"/>
      <c r="BD321" s="381"/>
      <c r="BE321" s="408"/>
      <c r="BF321" s="385"/>
      <c r="BG321" s="475"/>
      <c r="BH321" s="395" t="e">
        <f t="shared" si="176"/>
        <v>#DIV/0!</v>
      </c>
      <c r="BI321" s="395" t="e">
        <f t="shared" si="177"/>
        <v>#DIV/0!</v>
      </c>
    </row>
    <row r="322" spans="1:61" s="358" customFormat="1" ht="19.2" x14ac:dyDescent="0.3">
      <c r="A322" s="359" t="s">
        <v>271</v>
      </c>
      <c r="B322" s="572" t="s">
        <v>2410</v>
      </c>
      <c r="C322" s="546" t="s">
        <v>2409</v>
      </c>
      <c r="D322" s="360">
        <v>0.4</v>
      </c>
      <c r="E322" s="528"/>
      <c r="F322" s="523"/>
      <c r="G322" s="393"/>
      <c r="H322" s="571"/>
      <c r="I322" s="394"/>
      <c r="J322" s="394"/>
      <c r="K322" s="394"/>
      <c r="L322" s="394"/>
      <c r="M322" s="394"/>
      <c r="N322" s="394"/>
      <c r="O322" s="394"/>
      <c r="P322" s="394"/>
      <c r="Q322" s="394"/>
      <c r="R322" s="381"/>
      <c r="S322" s="408"/>
      <c r="T322" s="385"/>
      <c r="U322" s="475"/>
      <c r="V322" s="395"/>
      <c r="W322" s="395"/>
      <c r="X322" s="528">
        <v>115</v>
      </c>
      <c r="Y322" s="523">
        <v>15</v>
      </c>
      <c r="Z322" s="393">
        <v>15</v>
      </c>
      <c r="AA322" s="571">
        <v>137.94268</v>
      </c>
      <c r="AB322" s="394">
        <v>96.926519999999996</v>
      </c>
      <c r="AC322" s="394">
        <v>13.0548</v>
      </c>
      <c r="AD322" s="394">
        <f>25.75066+51.50132</f>
        <v>77.251980000000003</v>
      </c>
      <c r="AE322" s="394">
        <v>18.844650000000001</v>
      </c>
      <c r="AF322" s="394">
        <v>0</v>
      </c>
      <c r="AG322" s="394">
        <v>0</v>
      </c>
      <c r="AH322" s="394">
        <v>10.888870000000001</v>
      </c>
      <c r="AI322" s="394">
        <v>0.11352</v>
      </c>
      <c r="AJ322" s="394">
        <v>12.87533</v>
      </c>
      <c r="AK322" s="381" t="s">
        <v>167</v>
      </c>
      <c r="AL322" s="408" t="s">
        <v>175</v>
      </c>
      <c r="AM322" s="385"/>
      <c r="AN322" s="475">
        <v>223</v>
      </c>
      <c r="AO322" s="395">
        <f t="shared" si="186"/>
        <v>1199.5015652173913</v>
      </c>
      <c r="AP322" s="395">
        <f t="shared" si="187"/>
        <v>9.1961786666666665</v>
      </c>
      <c r="AQ322" s="528"/>
      <c r="AR322" s="523"/>
      <c r="AS322" s="393"/>
      <c r="AT322" s="571"/>
      <c r="AU322" s="394"/>
      <c r="AV322" s="394"/>
      <c r="AW322" s="394"/>
      <c r="AX322" s="394"/>
      <c r="AY322" s="394"/>
      <c r="AZ322" s="394"/>
      <c r="BA322" s="394"/>
      <c r="BB322" s="394"/>
      <c r="BC322" s="394"/>
      <c r="BD322" s="381"/>
      <c r="BE322" s="408"/>
      <c r="BF322" s="385"/>
      <c r="BG322" s="475"/>
      <c r="BH322" s="395" t="e">
        <f t="shared" si="176"/>
        <v>#DIV/0!</v>
      </c>
      <c r="BI322" s="395" t="e">
        <f t="shared" si="177"/>
        <v>#DIV/0!</v>
      </c>
    </row>
    <row r="323" spans="1:61" s="358" customFormat="1" ht="19.2" x14ac:dyDescent="0.3">
      <c r="A323" s="359" t="s">
        <v>272</v>
      </c>
      <c r="B323" s="572" t="s">
        <v>2412</v>
      </c>
      <c r="C323" s="546" t="s">
        <v>2411</v>
      </c>
      <c r="D323" s="360">
        <v>0.4</v>
      </c>
      <c r="E323" s="528"/>
      <c r="F323" s="523"/>
      <c r="G323" s="393"/>
      <c r="H323" s="571"/>
      <c r="I323" s="394"/>
      <c r="J323" s="394"/>
      <c r="K323" s="394"/>
      <c r="L323" s="394"/>
      <c r="M323" s="394"/>
      <c r="N323" s="394"/>
      <c r="O323" s="394"/>
      <c r="P323" s="394"/>
      <c r="Q323" s="394"/>
      <c r="R323" s="381"/>
      <c r="S323" s="408"/>
      <c r="T323" s="385"/>
      <c r="U323" s="475"/>
      <c r="V323" s="395"/>
      <c r="W323" s="395"/>
      <c r="X323" s="528">
        <v>300</v>
      </c>
      <c r="Y323" s="523">
        <v>15</v>
      </c>
      <c r="Z323" s="393">
        <v>15</v>
      </c>
      <c r="AA323" s="571">
        <v>389.82209</v>
      </c>
      <c r="AB323" s="394">
        <v>274.71618000000001</v>
      </c>
      <c r="AC323" s="394">
        <v>34.055999999999997</v>
      </c>
      <c r="AD323" s="394">
        <f>25.75066+77.25198+115.87797</f>
        <v>218.88060999999999</v>
      </c>
      <c r="AE323" s="394">
        <v>53.832540000000002</v>
      </c>
      <c r="AF323" s="394">
        <v>0</v>
      </c>
      <c r="AG323" s="394">
        <v>0</v>
      </c>
      <c r="AH323" s="394">
        <v>30.245059999999999</v>
      </c>
      <c r="AI323" s="394">
        <v>0.11352</v>
      </c>
      <c r="AJ323" s="394">
        <v>12.87533</v>
      </c>
      <c r="AK323" s="381" t="s">
        <v>167</v>
      </c>
      <c r="AL323" s="408" t="s">
        <v>175</v>
      </c>
      <c r="AM323" s="385"/>
      <c r="AN323" s="475">
        <v>225</v>
      </c>
      <c r="AO323" s="395">
        <f t="shared" si="186"/>
        <v>1299.4069666666667</v>
      </c>
      <c r="AP323" s="395">
        <f t="shared" si="187"/>
        <v>25.988139333333333</v>
      </c>
      <c r="AQ323" s="528"/>
      <c r="AR323" s="523"/>
      <c r="AS323" s="393"/>
      <c r="AT323" s="571"/>
      <c r="AU323" s="394"/>
      <c r="AV323" s="394"/>
      <c r="AW323" s="394"/>
      <c r="AX323" s="394"/>
      <c r="AY323" s="394"/>
      <c r="AZ323" s="394"/>
      <c r="BA323" s="394"/>
      <c r="BB323" s="394"/>
      <c r="BC323" s="394"/>
      <c r="BD323" s="381"/>
      <c r="BE323" s="408"/>
      <c r="BF323" s="385"/>
      <c r="BG323" s="475"/>
      <c r="BH323" s="395" t="e">
        <f t="shared" si="176"/>
        <v>#DIV/0!</v>
      </c>
      <c r="BI323" s="395" t="e">
        <f t="shared" si="177"/>
        <v>#DIV/0!</v>
      </c>
    </row>
    <row r="324" spans="1:61" s="358" customFormat="1" ht="19.2" x14ac:dyDescent="0.3">
      <c r="A324" s="359" t="s">
        <v>273</v>
      </c>
      <c r="B324" s="572" t="s">
        <v>2414</v>
      </c>
      <c r="C324" s="546" t="s">
        <v>2413</v>
      </c>
      <c r="D324" s="360">
        <v>0.4</v>
      </c>
      <c r="E324" s="528"/>
      <c r="F324" s="523"/>
      <c r="G324" s="393"/>
      <c r="H324" s="571"/>
      <c r="I324" s="394"/>
      <c r="J324" s="394"/>
      <c r="K324" s="394"/>
      <c r="L324" s="394"/>
      <c r="M324" s="394"/>
      <c r="N324" s="394"/>
      <c r="O324" s="394"/>
      <c r="P324" s="394"/>
      <c r="Q324" s="394"/>
      <c r="R324" s="381"/>
      <c r="S324" s="408"/>
      <c r="T324" s="385"/>
      <c r="U324" s="475"/>
      <c r="V324" s="395"/>
      <c r="W324" s="395"/>
      <c r="X324" s="528">
        <v>80</v>
      </c>
      <c r="Y324" s="523">
        <v>15</v>
      </c>
      <c r="Z324" s="393">
        <v>15</v>
      </c>
      <c r="AA324" s="571">
        <v>93.657309999999995</v>
      </c>
      <c r="AB324" s="394">
        <v>66.08578</v>
      </c>
      <c r="AC324" s="394">
        <v>9.0815999999999999</v>
      </c>
      <c r="AD324" s="394">
        <f>25.77554+25.77554</f>
        <v>51.551079999999999</v>
      </c>
      <c r="AE324" s="394">
        <v>12.582319999999999</v>
      </c>
      <c r="AF324" s="394">
        <v>0</v>
      </c>
      <c r="AG324" s="394">
        <v>0</v>
      </c>
      <c r="AH324" s="394">
        <v>7.3481300000000003</v>
      </c>
      <c r="AI324" s="394">
        <v>0.11352</v>
      </c>
      <c r="AJ324" s="394">
        <v>12.88777</v>
      </c>
      <c r="AK324" s="381" t="s">
        <v>167</v>
      </c>
      <c r="AL324" s="408" t="s">
        <v>175</v>
      </c>
      <c r="AM324" s="385"/>
      <c r="AN324" s="475">
        <v>227</v>
      </c>
      <c r="AO324" s="395">
        <f t="shared" si="186"/>
        <v>1170.716375</v>
      </c>
      <c r="AP324" s="395">
        <f t="shared" si="187"/>
        <v>6.2438206666666662</v>
      </c>
      <c r="AQ324" s="528"/>
      <c r="AR324" s="523"/>
      <c r="AS324" s="393"/>
      <c r="AT324" s="571"/>
      <c r="AU324" s="394"/>
      <c r="AV324" s="394"/>
      <c r="AW324" s="394"/>
      <c r="AX324" s="394"/>
      <c r="AY324" s="394"/>
      <c r="AZ324" s="394"/>
      <c r="BA324" s="394"/>
      <c r="BB324" s="394"/>
      <c r="BC324" s="394"/>
      <c r="BD324" s="381"/>
      <c r="BE324" s="408"/>
      <c r="BF324" s="385"/>
      <c r="BG324" s="475"/>
      <c r="BH324" s="395" t="e">
        <f t="shared" si="176"/>
        <v>#DIV/0!</v>
      </c>
      <c r="BI324" s="395" t="e">
        <f t="shared" si="177"/>
        <v>#DIV/0!</v>
      </c>
    </row>
    <row r="325" spans="1:61" s="358" customFormat="1" ht="19.2" x14ac:dyDescent="0.3">
      <c r="A325" s="359" t="s">
        <v>274</v>
      </c>
      <c r="B325" s="572" t="s">
        <v>2415</v>
      </c>
      <c r="C325" s="546" t="s">
        <v>2461</v>
      </c>
      <c r="D325" s="360">
        <v>0.4</v>
      </c>
      <c r="E325" s="528"/>
      <c r="F325" s="523"/>
      <c r="G325" s="393"/>
      <c r="H325" s="571"/>
      <c r="I325" s="394"/>
      <c r="J325" s="394"/>
      <c r="K325" s="394"/>
      <c r="L325" s="394"/>
      <c r="M325" s="394"/>
      <c r="N325" s="394"/>
      <c r="O325" s="394"/>
      <c r="P325" s="394"/>
      <c r="Q325" s="394"/>
      <c r="R325" s="381"/>
      <c r="S325" s="408"/>
      <c r="T325" s="385"/>
      <c r="U325" s="475"/>
      <c r="V325" s="395"/>
      <c r="W325" s="395"/>
      <c r="X325" s="528">
        <v>240</v>
      </c>
      <c r="Y325" s="523">
        <v>80</v>
      </c>
      <c r="Z325" s="393">
        <v>80</v>
      </c>
      <c r="AA325" s="571">
        <v>323.46035000000001</v>
      </c>
      <c r="AB325" s="394">
        <v>226.99449999999999</v>
      </c>
      <c r="AC325" s="394">
        <v>27.244800000000001</v>
      </c>
      <c r="AD325" s="394">
        <f>90.39058+51.65176+38.73882</f>
        <v>180.78116</v>
      </c>
      <c r="AE325" s="394">
        <v>45.576860000000003</v>
      </c>
      <c r="AF325" s="394">
        <v>0</v>
      </c>
      <c r="AG325" s="394">
        <v>0</v>
      </c>
      <c r="AH325" s="394">
        <v>24.914670000000001</v>
      </c>
      <c r="AI325" s="394">
        <v>0.11352</v>
      </c>
      <c r="AJ325" s="394">
        <v>12.912940000000001</v>
      </c>
      <c r="AK325" s="381" t="s">
        <v>167</v>
      </c>
      <c r="AL325" s="408" t="s">
        <v>175</v>
      </c>
      <c r="AM325" s="385"/>
      <c r="AN325" s="475">
        <v>229</v>
      </c>
      <c r="AO325" s="395">
        <f t="shared" si="186"/>
        <v>1347.7514583333334</v>
      </c>
      <c r="AP325" s="395">
        <f t="shared" si="187"/>
        <v>4.0432543750000001</v>
      </c>
      <c r="AQ325" s="528"/>
      <c r="AR325" s="523"/>
      <c r="AS325" s="393"/>
      <c r="AT325" s="571"/>
      <c r="AU325" s="394"/>
      <c r="AV325" s="394"/>
      <c r="AW325" s="394"/>
      <c r="AX325" s="394"/>
      <c r="AY325" s="394"/>
      <c r="AZ325" s="394"/>
      <c r="BA325" s="394"/>
      <c r="BB325" s="394"/>
      <c r="BC325" s="394"/>
      <c r="BD325" s="381"/>
      <c r="BE325" s="408"/>
      <c r="BF325" s="385"/>
      <c r="BG325" s="475"/>
      <c r="BH325" s="395" t="e">
        <f t="shared" si="176"/>
        <v>#DIV/0!</v>
      </c>
      <c r="BI325" s="395" t="e">
        <f t="shared" si="177"/>
        <v>#DIV/0!</v>
      </c>
    </row>
    <row r="326" spans="1:61" s="358" customFormat="1" ht="19.2" x14ac:dyDescent="0.3">
      <c r="A326" s="359" t="s">
        <v>275</v>
      </c>
      <c r="B326" s="572" t="s">
        <v>2417</v>
      </c>
      <c r="C326" s="546" t="s">
        <v>2416</v>
      </c>
      <c r="D326" s="360">
        <v>0.4</v>
      </c>
      <c r="E326" s="528"/>
      <c r="F326" s="523"/>
      <c r="G326" s="393"/>
      <c r="H326" s="571"/>
      <c r="I326" s="394"/>
      <c r="J326" s="394"/>
      <c r="K326" s="394"/>
      <c r="L326" s="394"/>
      <c r="M326" s="394"/>
      <c r="N326" s="394"/>
      <c r="O326" s="394"/>
      <c r="P326" s="394"/>
      <c r="Q326" s="394"/>
      <c r="R326" s="381"/>
      <c r="S326" s="408"/>
      <c r="T326" s="385"/>
      <c r="U326" s="475"/>
      <c r="V326" s="395"/>
      <c r="W326" s="395"/>
      <c r="X326" s="528">
        <v>295</v>
      </c>
      <c r="Y326" s="523">
        <v>15</v>
      </c>
      <c r="Z326" s="393">
        <v>15</v>
      </c>
      <c r="AA326" s="571">
        <v>700.10329999999999</v>
      </c>
      <c r="AB326" s="394">
        <v>480.26434</v>
      </c>
      <c r="AC326" s="394">
        <v>33.488399999999999</v>
      </c>
      <c r="AD326" s="394">
        <f>193.722+103.3184+77.4888</f>
        <v>374.52919999999995</v>
      </c>
      <c r="AE326" s="394">
        <v>103.33011999999999</v>
      </c>
      <c r="AF326" s="394">
        <v>0</v>
      </c>
      <c r="AG326" s="394">
        <v>0</v>
      </c>
      <c r="AH326" s="394">
        <v>57.140999999999998</v>
      </c>
      <c r="AI326" s="394">
        <v>0.11352</v>
      </c>
      <c r="AJ326" s="394">
        <v>12.9148</v>
      </c>
      <c r="AK326" s="381" t="s">
        <v>167</v>
      </c>
      <c r="AL326" s="408" t="s">
        <v>175</v>
      </c>
      <c r="AM326" s="385"/>
      <c r="AN326" s="475">
        <v>232</v>
      </c>
      <c r="AO326" s="395">
        <f t="shared" si="186"/>
        <v>2373.2315254237287</v>
      </c>
      <c r="AP326" s="395">
        <f t="shared" si="187"/>
        <v>46.673553333333331</v>
      </c>
      <c r="AQ326" s="528"/>
      <c r="AR326" s="523"/>
      <c r="AS326" s="393"/>
      <c r="AT326" s="571"/>
      <c r="AU326" s="394"/>
      <c r="AV326" s="394"/>
      <c r="AW326" s="394"/>
      <c r="AX326" s="394"/>
      <c r="AY326" s="394"/>
      <c r="AZ326" s="394"/>
      <c r="BA326" s="394"/>
      <c r="BB326" s="394"/>
      <c r="BC326" s="394"/>
      <c r="BD326" s="381"/>
      <c r="BE326" s="408"/>
      <c r="BF326" s="385"/>
      <c r="BG326" s="475"/>
      <c r="BH326" s="395" t="e">
        <f t="shared" si="176"/>
        <v>#DIV/0!</v>
      </c>
      <c r="BI326" s="395" t="e">
        <f t="shared" si="177"/>
        <v>#DIV/0!</v>
      </c>
    </row>
    <row r="327" spans="1:61" s="358" customFormat="1" ht="19.2" x14ac:dyDescent="0.3">
      <c r="A327" s="359" t="s">
        <v>276</v>
      </c>
      <c r="B327" s="572" t="s">
        <v>2419</v>
      </c>
      <c r="C327" s="546" t="s">
        <v>2418</v>
      </c>
      <c r="D327" s="360">
        <v>0.4</v>
      </c>
      <c r="E327" s="528"/>
      <c r="F327" s="523"/>
      <c r="G327" s="393"/>
      <c r="H327" s="571"/>
      <c r="I327" s="394"/>
      <c r="J327" s="394"/>
      <c r="K327" s="394"/>
      <c r="L327" s="394"/>
      <c r="M327" s="394"/>
      <c r="N327" s="394"/>
      <c r="O327" s="394"/>
      <c r="P327" s="394"/>
      <c r="Q327" s="394"/>
      <c r="R327" s="381"/>
      <c r="S327" s="408"/>
      <c r="T327" s="385"/>
      <c r="U327" s="475"/>
      <c r="V327" s="395"/>
      <c r="W327" s="395"/>
      <c r="X327" s="528">
        <v>301</v>
      </c>
      <c r="Y327" s="523">
        <v>15</v>
      </c>
      <c r="Z327" s="393">
        <v>15</v>
      </c>
      <c r="AA327" s="571">
        <v>416.34647000000001</v>
      </c>
      <c r="AB327" s="394">
        <v>303.74543</v>
      </c>
      <c r="AC327" s="394">
        <v>81.634209999999996</v>
      </c>
      <c r="AD327" s="394">
        <f>77.68932+51.79288+77.68932</f>
        <v>207.17151999999999</v>
      </c>
      <c r="AE327" s="394">
        <v>53.726410000000001</v>
      </c>
      <c r="AF327" s="394">
        <v>0</v>
      </c>
      <c r="AG327" s="394">
        <v>0</v>
      </c>
      <c r="AH327" s="394">
        <v>28.952169999999999</v>
      </c>
      <c r="AI327" s="394">
        <v>0.27121000000000001</v>
      </c>
      <c r="AJ327" s="394">
        <v>12.948219999999999</v>
      </c>
      <c r="AK327" s="381" t="s">
        <v>167</v>
      </c>
      <c r="AL327" s="408" t="s">
        <v>175</v>
      </c>
      <c r="AM327" s="385"/>
      <c r="AN327" s="475">
        <v>235</v>
      </c>
      <c r="AO327" s="395">
        <f t="shared" si="186"/>
        <v>1383.2108637873755</v>
      </c>
      <c r="AP327" s="395">
        <f t="shared" si="187"/>
        <v>27.756431333333335</v>
      </c>
      <c r="AQ327" s="528"/>
      <c r="AR327" s="523"/>
      <c r="AS327" s="393"/>
      <c r="AT327" s="571"/>
      <c r="AU327" s="394"/>
      <c r="AV327" s="394"/>
      <c r="AW327" s="394"/>
      <c r="AX327" s="394"/>
      <c r="AY327" s="394"/>
      <c r="AZ327" s="394"/>
      <c r="BA327" s="394"/>
      <c r="BB327" s="394"/>
      <c r="BC327" s="394"/>
      <c r="BD327" s="381"/>
      <c r="BE327" s="408"/>
      <c r="BF327" s="385"/>
      <c r="BG327" s="475"/>
      <c r="BH327" s="395" t="e">
        <f t="shared" si="176"/>
        <v>#DIV/0!</v>
      </c>
      <c r="BI327" s="395" t="e">
        <f t="shared" si="177"/>
        <v>#DIV/0!</v>
      </c>
    </row>
    <row r="328" spans="1:61" s="358" customFormat="1" ht="19.2" x14ac:dyDescent="0.3">
      <c r="A328" s="359" t="s">
        <v>277</v>
      </c>
      <c r="B328" s="572" t="s">
        <v>2535</v>
      </c>
      <c r="C328" s="546" t="s">
        <v>2534</v>
      </c>
      <c r="D328" s="360">
        <v>0.4</v>
      </c>
      <c r="E328" s="528"/>
      <c r="F328" s="523"/>
      <c r="G328" s="393"/>
      <c r="H328" s="571"/>
      <c r="I328" s="394"/>
      <c r="J328" s="394"/>
      <c r="K328" s="394"/>
      <c r="L328" s="394"/>
      <c r="M328" s="394"/>
      <c r="N328" s="394"/>
      <c r="O328" s="394"/>
      <c r="P328" s="394"/>
      <c r="Q328" s="394"/>
      <c r="R328" s="381"/>
      <c r="S328" s="408"/>
      <c r="T328" s="385"/>
      <c r="U328" s="475"/>
      <c r="V328" s="395"/>
      <c r="W328" s="395"/>
      <c r="X328" s="528">
        <v>186</v>
      </c>
      <c r="Y328" s="523">
        <v>15</v>
      </c>
      <c r="Z328" s="393">
        <v>15</v>
      </c>
      <c r="AA328" s="571">
        <v>188.20855</v>
      </c>
      <c r="AB328" s="394">
        <v>141.52432999999999</v>
      </c>
      <c r="AC328" s="394">
        <v>50.445059999999998</v>
      </c>
      <c r="AD328" s="394">
        <v>78.019499999999994</v>
      </c>
      <c r="AE328" s="394">
        <v>20.836290000000002</v>
      </c>
      <c r="AF328" s="394">
        <v>0</v>
      </c>
      <c r="AG328" s="394">
        <v>0</v>
      </c>
      <c r="AH328" s="394">
        <v>12.63447</v>
      </c>
      <c r="AI328" s="394">
        <v>0.27121000000000001</v>
      </c>
      <c r="AJ328" s="394">
        <v>13.00325</v>
      </c>
      <c r="AK328" s="381" t="s">
        <v>167</v>
      </c>
      <c r="AL328" s="408" t="s">
        <v>175</v>
      </c>
      <c r="AM328" s="385"/>
      <c r="AN328" s="475">
        <v>237</v>
      </c>
      <c r="AO328" s="395">
        <f t="shared" ref="AO328:AO338" si="188">AA328/X328*1000</f>
        <v>1011.8739247311828</v>
      </c>
      <c r="AP328" s="395">
        <f t="shared" ref="AP328:AP338" si="189">AA328/Y328</f>
        <v>12.547236666666667</v>
      </c>
      <c r="AQ328" s="528"/>
      <c r="AR328" s="523"/>
      <c r="AS328" s="393"/>
      <c r="AT328" s="571"/>
      <c r="AU328" s="394"/>
      <c r="AV328" s="394"/>
      <c r="AW328" s="394"/>
      <c r="AX328" s="394"/>
      <c r="AY328" s="394"/>
      <c r="AZ328" s="394"/>
      <c r="BA328" s="394"/>
      <c r="BB328" s="394"/>
      <c r="BC328" s="394"/>
      <c r="BD328" s="381"/>
      <c r="BE328" s="408"/>
      <c r="BF328" s="385"/>
      <c r="BG328" s="475"/>
      <c r="BH328" s="395" t="e">
        <f t="shared" si="176"/>
        <v>#DIV/0!</v>
      </c>
      <c r="BI328" s="395" t="e">
        <f t="shared" si="177"/>
        <v>#DIV/0!</v>
      </c>
    </row>
    <row r="329" spans="1:61" s="358" customFormat="1" ht="19.2" x14ac:dyDescent="0.3">
      <c r="A329" s="359" t="s">
        <v>326</v>
      </c>
      <c r="B329" s="572" t="s">
        <v>2537</v>
      </c>
      <c r="C329" s="546" t="s">
        <v>2536</v>
      </c>
      <c r="D329" s="360">
        <v>0.4</v>
      </c>
      <c r="E329" s="528"/>
      <c r="F329" s="523"/>
      <c r="G329" s="393"/>
      <c r="H329" s="571"/>
      <c r="I329" s="394"/>
      <c r="J329" s="394"/>
      <c r="K329" s="394"/>
      <c r="L329" s="394"/>
      <c r="M329" s="394"/>
      <c r="N329" s="394"/>
      <c r="O329" s="394"/>
      <c r="P329" s="394"/>
      <c r="Q329" s="394"/>
      <c r="R329" s="381"/>
      <c r="S329" s="408"/>
      <c r="T329" s="385"/>
      <c r="U329" s="475"/>
      <c r="V329" s="395"/>
      <c r="W329" s="395"/>
      <c r="X329" s="528">
        <v>81</v>
      </c>
      <c r="Y329" s="523">
        <v>15</v>
      </c>
      <c r="Z329" s="393">
        <v>15</v>
      </c>
      <c r="AA329" s="571">
        <v>159.72332</v>
      </c>
      <c r="AB329" s="394">
        <v>115.90555999999999</v>
      </c>
      <c r="AC329" s="394">
        <v>21.96801</v>
      </c>
      <c r="AD329" s="394">
        <f>26.81158+53.62316</f>
        <v>80.434740000000005</v>
      </c>
      <c r="AE329" s="394">
        <v>21.265519999999999</v>
      </c>
      <c r="AF329" s="394">
        <v>0</v>
      </c>
      <c r="AG329" s="394">
        <v>0</v>
      </c>
      <c r="AH329" s="394">
        <v>11.079029999999999</v>
      </c>
      <c r="AI329" s="394">
        <v>0.27121000000000001</v>
      </c>
      <c r="AJ329" s="394">
        <v>13.40579</v>
      </c>
      <c r="AK329" s="381" t="s">
        <v>167</v>
      </c>
      <c r="AL329" s="408" t="s">
        <v>175</v>
      </c>
      <c r="AM329" s="385"/>
      <c r="AN329" s="475">
        <v>239</v>
      </c>
      <c r="AO329" s="395">
        <f t="shared" si="188"/>
        <v>1971.8928395061728</v>
      </c>
      <c r="AP329" s="395">
        <f t="shared" si="189"/>
        <v>10.648221333333334</v>
      </c>
      <c r="AQ329" s="528"/>
      <c r="AR329" s="523"/>
      <c r="AS329" s="393"/>
      <c r="AT329" s="571"/>
      <c r="AU329" s="394"/>
      <c r="AV329" s="394"/>
      <c r="AW329" s="394"/>
      <c r="AX329" s="394"/>
      <c r="AY329" s="394"/>
      <c r="AZ329" s="394"/>
      <c r="BA329" s="394"/>
      <c r="BB329" s="394"/>
      <c r="BC329" s="394"/>
      <c r="BD329" s="381"/>
      <c r="BE329" s="408"/>
      <c r="BF329" s="385"/>
      <c r="BG329" s="475"/>
      <c r="BH329" s="395" t="e">
        <f t="shared" si="176"/>
        <v>#DIV/0!</v>
      </c>
      <c r="BI329" s="395" t="e">
        <f t="shared" si="177"/>
        <v>#DIV/0!</v>
      </c>
    </row>
    <row r="330" spans="1:61" s="358" customFormat="1" ht="19.2" x14ac:dyDescent="0.3">
      <c r="A330" s="359"/>
      <c r="B330" s="572" t="s">
        <v>2279</v>
      </c>
      <c r="C330" s="546" t="s">
        <v>2538</v>
      </c>
      <c r="D330" s="360">
        <v>0.4</v>
      </c>
      <c r="E330" s="528"/>
      <c r="F330" s="523"/>
      <c r="G330" s="393"/>
      <c r="H330" s="571"/>
      <c r="I330" s="394"/>
      <c r="J330" s="394"/>
      <c r="K330" s="394"/>
      <c r="L330" s="394"/>
      <c r="M330" s="394"/>
      <c r="N330" s="394"/>
      <c r="O330" s="394"/>
      <c r="P330" s="394"/>
      <c r="Q330" s="394"/>
      <c r="R330" s="381"/>
      <c r="S330" s="408"/>
      <c r="T330" s="385"/>
      <c r="U330" s="475"/>
      <c r="V330" s="395"/>
      <c r="W330" s="395"/>
      <c r="X330" s="528">
        <v>190</v>
      </c>
      <c r="Y330" s="523">
        <v>15</v>
      </c>
      <c r="Z330" s="393">
        <v>15</v>
      </c>
      <c r="AA330" s="571">
        <v>171.78648000000001</v>
      </c>
      <c r="AB330" s="394">
        <v>128.60251</v>
      </c>
      <c r="AC330" s="394">
        <v>51.529899999999998</v>
      </c>
      <c r="AD330" s="394">
        <f>40.82154+27.21436</f>
        <v>68.035899999999998</v>
      </c>
      <c r="AE330" s="394">
        <v>20.126930000000002</v>
      </c>
      <c r="AF330" s="394">
        <v>0</v>
      </c>
      <c r="AG330" s="394">
        <v>0</v>
      </c>
      <c r="AH330" s="394">
        <v>11.331799999999999</v>
      </c>
      <c r="AI330" s="394">
        <v>0.27121000000000001</v>
      </c>
      <c r="AJ330" s="394">
        <v>13.60718</v>
      </c>
      <c r="AK330" s="381" t="s">
        <v>167</v>
      </c>
      <c r="AL330" s="408" t="s">
        <v>175</v>
      </c>
      <c r="AM330" s="385"/>
      <c r="AN330" s="475">
        <v>241</v>
      </c>
      <c r="AO330" s="395">
        <f t="shared" si="188"/>
        <v>904.13936842105272</v>
      </c>
      <c r="AP330" s="395">
        <f t="shared" si="189"/>
        <v>11.452432</v>
      </c>
      <c r="AQ330" s="528"/>
      <c r="AR330" s="523"/>
      <c r="AS330" s="393"/>
      <c r="AT330" s="571"/>
      <c r="AU330" s="394"/>
      <c r="AV330" s="394"/>
      <c r="AW330" s="394"/>
      <c r="AX330" s="394"/>
      <c r="AY330" s="394"/>
      <c r="AZ330" s="394"/>
      <c r="BA330" s="394"/>
      <c r="BB330" s="394"/>
      <c r="BC330" s="394"/>
      <c r="BD330" s="381"/>
      <c r="BE330" s="408"/>
      <c r="BF330" s="385"/>
      <c r="BG330" s="475"/>
      <c r="BH330" s="395" t="e">
        <f t="shared" si="176"/>
        <v>#DIV/0!</v>
      </c>
      <c r="BI330" s="395" t="e">
        <f t="shared" si="177"/>
        <v>#DIV/0!</v>
      </c>
    </row>
    <row r="331" spans="1:61" s="358" customFormat="1" ht="19.2" x14ac:dyDescent="0.3">
      <c r="A331" s="359" t="s">
        <v>328</v>
      </c>
      <c r="B331" s="572" t="s">
        <v>2540</v>
      </c>
      <c r="C331" s="546" t="s">
        <v>2539</v>
      </c>
      <c r="D331" s="360">
        <v>0.4</v>
      </c>
      <c r="E331" s="528"/>
      <c r="F331" s="523"/>
      <c r="G331" s="393"/>
      <c r="H331" s="571"/>
      <c r="I331" s="394"/>
      <c r="J331" s="394"/>
      <c r="K331" s="394"/>
      <c r="L331" s="394"/>
      <c r="M331" s="394"/>
      <c r="N331" s="394"/>
      <c r="O331" s="394"/>
      <c r="P331" s="394"/>
      <c r="Q331" s="394"/>
      <c r="R331" s="381"/>
      <c r="S331" s="408"/>
      <c r="T331" s="385"/>
      <c r="U331" s="475"/>
      <c r="V331" s="395"/>
      <c r="W331" s="395"/>
      <c r="X331" s="528">
        <v>479</v>
      </c>
      <c r="Y331" s="523">
        <v>15</v>
      </c>
      <c r="Z331" s="393">
        <v>15</v>
      </c>
      <c r="AA331" s="571">
        <v>327.17239000000001</v>
      </c>
      <c r="AB331" s="394">
        <v>249.93078</v>
      </c>
      <c r="AC331" s="394">
        <v>129.90959000000001</v>
      </c>
      <c r="AD331" s="394">
        <f>42.74196+56.98928</f>
        <v>99.73124</v>
      </c>
      <c r="AE331" s="394">
        <v>34.568489999999997</v>
      </c>
      <c r="AF331" s="394">
        <v>0</v>
      </c>
      <c r="AG331" s="394">
        <v>0</v>
      </c>
      <c r="AH331" s="394">
        <v>21.03744</v>
      </c>
      <c r="AI331" s="394">
        <v>0.27121000000000001</v>
      </c>
      <c r="AJ331" s="394">
        <v>14.24732</v>
      </c>
      <c r="AK331" s="381" t="s">
        <v>167</v>
      </c>
      <c r="AL331" s="408" t="s">
        <v>175</v>
      </c>
      <c r="AM331" s="385"/>
      <c r="AN331" s="475">
        <v>243</v>
      </c>
      <c r="AO331" s="395">
        <f t="shared" si="188"/>
        <v>683.0321294363257</v>
      </c>
      <c r="AP331" s="395">
        <f t="shared" si="189"/>
        <v>21.811492666666666</v>
      </c>
      <c r="AQ331" s="528"/>
      <c r="AR331" s="523"/>
      <c r="AS331" s="393"/>
      <c r="AT331" s="571"/>
      <c r="AU331" s="394"/>
      <c r="AV331" s="394"/>
      <c r="AW331" s="394"/>
      <c r="AX331" s="394"/>
      <c r="AY331" s="394"/>
      <c r="AZ331" s="394"/>
      <c r="BA331" s="394"/>
      <c r="BB331" s="394"/>
      <c r="BC331" s="394"/>
      <c r="BD331" s="381"/>
      <c r="BE331" s="408"/>
      <c r="BF331" s="385"/>
      <c r="BG331" s="475"/>
      <c r="BH331" s="395" t="e">
        <f t="shared" si="176"/>
        <v>#DIV/0!</v>
      </c>
      <c r="BI331" s="395" t="e">
        <f t="shared" si="177"/>
        <v>#DIV/0!</v>
      </c>
    </row>
    <row r="332" spans="1:61" s="358" customFormat="1" ht="19.2" x14ac:dyDescent="0.3">
      <c r="A332" s="359" t="s">
        <v>329</v>
      </c>
      <c r="B332" s="572" t="s">
        <v>2542</v>
      </c>
      <c r="C332" s="546" t="s">
        <v>2541</v>
      </c>
      <c r="D332" s="360">
        <v>0.4</v>
      </c>
      <c r="E332" s="528"/>
      <c r="F332" s="523"/>
      <c r="G332" s="393"/>
      <c r="H332" s="571"/>
      <c r="I332" s="394"/>
      <c r="J332" s="394"/>
      <c r="K332" s="394"/>
      <c r="L332" s="394"/>
      <c r="M332" s="394"/>
      <c r="N332" s="394"/>
      <c r="O332" s="394"/>
      <c r="P332" s="394"/>
      <c r="Q332" s="394"/>
      <c r="R332" s="381"/>
      <c r="S332" s="408"/>
      <c r="T332" s="385"/>
      <c r="U332" s="475"/>
      <c r="V332" s="395"/>
      <c r="W332" s="395"/>
      <c r="X332" s="528">
        <v>165</v>
      </c>
      <c r="Y332" s="523">
        <v>15</v>
      </c>
      <c r="Z332" s="393">
        <v>15</v>
      </c>
      <c r="AA332" s="571">
        <v>165.13704999999999</v>
      </c>
      <c r="AB332" s="394">
        <v>123.21015</v>
      </c>
      <c r="AC332" s="394">
        <v>44.749650000000003</v>
      </c>
      <c r="AD332" s="394">
        <f>42.74196+28.49464</f>
        <v>71.236599999999996</v>
      </c>
      <c r="AE332" s="394">
        <v>20.05968</v>
      </c>
      <c r="AF332" s="394">
        <v>0</v>
      </c>
      <c r="AG332" s="394">
        <v>0</v>
      </c>
      <c r="AH332" s="394">
        <v>10.73752</v>
      </c>
      <c r="AI332" s="394">
        <v>0.27121000000000001</v>
      </c>
      <c r="AJ332" s="394">
        <v>14.24732</v>
      </c>
      <c r="AK332" s="381" t="s">
        <v>167</v>
      </c>
      <c r="AL332" s="408" t="s">
        <v>175</v>
      </c>
      <c r="AM332" s="385"/>
      <c r="AN332" s="475">
        <v>245</v>
      </c>
      <c r="AO332" s="395">
        <f t="shared" si="188"/>
        <v>1000.830606060606</v>
      </c>
      <c r="AP332" s="395">
        <f t="shared" si="189"/>
        <v>11.009136666666667</v>
      </c>
      <c r="AQ332" s="528"/>
      <c r="AR332" s="523"/>
      <c r="AS332" s="393"/>
      <c r="AT332" s="571"/>
      <c r="AU332" s="394"/>
      <c r="AV332" s="394"/>
      <c r="AW332" s="394"/>
      <c r="AX332" s="394"/>
      <c r="AY332" s="394"/>
      <c r="AZ332" s="394"/>
      <c r="BA332" s="394"/>
      <c r="BB332" s="394"/>
      <c r="BC332" s="394"/>
      <c r="BD332" s="381"/>
      <c r="BE332" s="408"/>
      <c r="BF332" s="385"/>
      <c r="BG332" s="475"/>
      <c r="BH332" s="395" t="e">
        <f t="shared" si="176"/>
        <v>#DIV/0!</v>
      </c>
      <c r="BI332" s="395" t="e">
        <f t="shared" si="177"/>
        <v>#DIV/0!</v>
      </c>
    </row>
    <row r="333" spans="1:61" s="358" customFormat="1" ht="19.2" x14ac:dyDescent="0.3">
      <c r="A333" s="359" t="s">
        <v>330</v>
      </c>
      <c r="B333" s="572" t="s">
        <v>2544</v>
      </c>
      <c r="C333" s="546" t="s">
        <v>2543</v>
      </c>
      <c r="D333" s="360">
        <v>0.4</v>
      </c>
      <c r="E333" s="528"/>
      <c r="F333" s="523"/>
      <c r="G333" s="393"/>
      <c r="H333" s="571"/>
      <c r="I333" s="394"/>
      <c r="J333" s="394"/>
      <c r="K333" s="394"/>
      <c r="L333" s="394"/>
      <c r="M333" s="394"/>
      <c r="N333" s="394"/>
      <c r="O333" s="394"/>
      <c r="P333" s="394"/>
      <c r="Q333" s="394"/>
      <c r="R333" s="381"/>
      <c r="S333" s="408"/>
      <c r="T333" s="385"/>
      <c r="U333" s="475"/>
      <c r="V333" s="395"/>
      <c r="W333" s="395"/>
      <c r="X333" s="528">
        <v>348</v>
      </c>
      <c r="Y333" s="523">
        <v>15</v>
      </c>
      <c r="Z333" s="393">
        <v>15</v>
      </c>
      <c r="AA333" s="571">
        <v>726.10197000000005</v>
      </c>
      <c r="AB333" s="394">
        <v>537.47127999999998</v>
      </c>
      <c r="AC333" s="394">
        <v>94.381079999999997</v>
      </c>
      <c r="AD333" s="394">
        <f>167.86341+39.05406+28.03412+55.4826+51.79288</f>
        <v>342.22707000000003</v>
      </c>
      <c r="AE333" s="394">
        <v>90.014409999999998</v>
      </c>
      <c r="AF333" s="394">
        <v>0</v>
      </c>
      <c r="AG333" s="394">
        <v>0</v>
      </c>
      <c r="AH333" s="394">
        <v>48.123049999999999</v>
      </c>
      <c r="AI333" s="394">
        <v>0.27121000000000001</v>
      </c>
      <c r="AJ333" s="394">
        <v>12.912570000000001</v>
      </c>
      <c r="AK333" s="381" t="s">
        <v>167</v>
      </c>
      <c r="AL333" s="408" t="s">
        <v>175</v>
      </c>
      <c r="AM333" s="385"/>
      <c r="AN333" s="475">
        <v>247</v>
      </c>
      <c r="AO333" s="395">
        <f t="shared" si="188"/>
        <v>2086.4999137931036</v>
      </c>
      <c r="AP333" s="395">
        <f t="shared" si="189"/>
        <v>48.406798000000002</v>
      </c>
      <c r="AQ333" s="528"/>
      <c r="AR333" s="523"/>
      <c r="AS333" s="393"/>
      <c r="AT333" s="571"/>
      <c r="AU333" s="394"/>
      <c r="AV333" s="394"/>
      <c r="AW333" s="394"/>
      <c r="AX333" s="394"/>
      <c r="AY333" s="394"/>
      <c r="AZ333" s="394"/>
      <c r="BA333" s="394"/>
      <c r="BB333" s="394"/>
      <c r="BC333" s="394"/>
      <c r="BD333" s="381"/>
      <c r="BE333" s="408"/>
      <c r="BF333" s="385"/>
      <c r="BG333" s="475"/>
      <c r="BH333" s="395" t="e">
        <f t="shared" si="176"/>
        <v>#DIV/0!</v>
      </c>
      <c r="BI333" s="395" t="e">
        <f t="shared" si="177"/>
        <v>#DIV/0!</v>
      </c>
    </row>
    <row r="334" spans="1:61" s="358" customFormat="1" ht="19.2" x14ac:dyDescent="0.3">
      <c r="A334" s="359" t="s">
        <v>331</v>
      </c>
      <c r="B334" s="572" t="s">
        <v>2546</v>
      </c>
      <c r="C334" s="546" t="s">
        <v>2545</v>
      </c>
      <c r="D334" s="360">
        <v>0.4</v>
      </c>
      <c r="E334" s="528"/>
      <c r="F334" s="523"/>
      <c r="G334" s="393"/>
      <c r="H334" s="571"/>
      <c r="I334" s="394"/>
      <c r="J334" s="394"/>
      <c r="K334" s="394"/>
      <c r="L334" s="394"/>
      <c r="M334" s="394"/>
      <c r="N334" s="394"/>
      <c r="O334" s="394"/>
      <c r="P334" s="394"/>
      <c r="Q334" s="394"/>
      <c r="R334" s="381"/>
      <c r="S334" s="408"/>
      <c r="T334" s="385"/>
      <c r="U334" s="475"/>
      <c r="V334" s="395"/>
      <c r="W334" s="395"/>
      <c r="X334" s="528">
        <v>135</v>
      </c>
      <c r="Y334" s="523">
        <v>15</v>
      </c>
      <c r="Z334" s="393">
        <v>15</v>
      </c>
      <c r="AA334" s="571">
        <v>93.87039</v>
      </c>
      <c r="AB334" s="394">
        <v>71.050880000000006</v>
      </c>
      <c r="AC334" s="394">
        <v>36.613349999999997</v>
      </c>
      <c r="AD334" s="394">
        <v>28.49464</v>
      </c>
      <c r="AE334" s="394">
        <v>10.72925</v>
      </c>
      <c r="AF334" s="394">
        <v>0</v>
      </c>
      <c r="AG334" s="394">
        <v>0</v>
      </c>
      <c r="AH334" s="394">
        <v>5.94679</v>
      </c>
      <c r="AI334" s="394">
        <v>0.27121000000000001</v>
      </c>
      <c r="AJ334" s="394">
        <v>14.24732</v>
      </c>
      <c r="AK334" s="381" t="s">
        <v>167</v>
      </c>
      <c r="AL334" s="408" t="s">
        <v>175</v>
      </c>
      <c r="AM334" s="385"/>
      <c r="AN334" s="475">
        <v>249</v>
      </c>
      <c r="AO334" s="395">
        <f t="shared" si="188"/>
        <v>695.3362222222222</v>
      </c>
      <c r="AP334" s="395">
        <f t="shared" si="189"/>
        <v>6.2580260000000001</v>
      </c>
      <c r="AQ334" s="528"/>
      <c r="AR334" s="523"/>
      <c r="AS334" s="393"/>
      <c r="AT334" s="571"/>
      <c r="AU334" s="394"/>
      <c r="AV334" s="394"/>
      <c r="AW334" s="394"/>
      <c r="AX334" s="394"/>
      <c r="AY334" s="394"/>
      <c r="AZ334" s="394"/>
      <c r="BA334" s="394"/>
      <c r="BB334" s="394"/>
      <c r="BC334" s="394"/>
      <c r="BD334" s="381"/>
      <c r="BE334" s="408"/>
      <c r="BF334" s="385"/>
      <c r="BG334" s="475"/>
      <c r="BH334" s="395" t="e">
        <f t="shared" si="176"/>
        <v>#DIV/0!</v>
      </c>
      <c r="BI334" s="395" t="e">
        <f t="shared" si="177"/>
        <v>#DIV/0!</v>
      </c>
    </row>
    <row r="335" spans="1:61" s="358" customFormat="1" ht="19.2" x14ac:dyDescent="0.3">
      <c r="A335" s="359" t="s">
        <v>332</v>
      </c>
      <c r="B335" s="572" t="s">
        <v>2548</v>
      </c>
      <c r="C335" s="546" t="s">
        <v>2547</v>
      </c>
      <c r="D335" s="360">
        <v>0.4</v>
      </c>
      <c r="E335" s="528"/>
      <c r="F335" s="523"/>
      <c r="G335" s="393"/>
      <c r="H335" s="571"/>
      <c r="I335" s="394"/>
      <c r="J335" s="394"/>
      <c r="K335" s="394"/>
      <c r="L335" s="394"/>
      <c r="M335" s="394"/>
      <c r="N335" s="394"/>
      <c r="O335" s="394"/>
      <c r="P335" s="394"/>
      <c r="Q335" s="394"/>
      <c r="R335" s="381"/>
      <c r="S335" s="408"/>
      <c r="T335" s="385"/>
      <c r="U335" s="475"/>
      <c r="V335" s="395"/>
      <c r="W335" s="395"/>
      <c r="X335" s="528">
        <v>300</v>
      </c>
      <c r="Y335" s="523">
        <v>15</v>
      </c>
      <c r="Z335" s="393">
        <v>15</v>
      </c>
      <c r="AA335" s="571">
        <v>324.09564</v>
      </c>
      <c r="AB335" s="394">
        <v>243.12966</v>
      </c>
      <c r="AC335" s="394">
        <v>81.363</v>
      </c>
      <c r="AD335" s="394">
        <f>114.29216+28.57304</f>
        <v>142.86519999999999</v>
      </c>
      <c r="AE335" s="394">
        <v>38.510689999999997</v>
      </c>
      <c r="AF335" s="394">
        <v>0</v>
      </c>
      <c r="AG335" s="394">
        <v>0</v>
      </c>
      <c r="AH335" s="394">
        <v>20.79081</v>
      </c>
      <c r="AI335" s="394">
        <v>0.27121000000000001</v>
      </c>
      <c r="AJ335" s="394">
        <v>14.286519999999999</v>
      </c>
      <c r="AK335" s="381" t="s">
        <v>167</v>
      </c>
      <c r="AL335" s="408" t="s">
        <v>175</v>
      </c>
      <c r="AM335" s="385"/>
      <c r="AN335" s="475">
        <v>251</v>
      </c>
      <c r="AO335" s="395">
        <f t="shared" si="188"/>
        <v>1080.3188</v>
      </c>
      <c r="AP335" s="395">
        <f t="shared" si="189"/>
        <v>21.606376000000001</v>
      </c>
      <c r="AQ335" s="528"/>
      <c r="AR335" s="523"/>
      <c r="AS335" s="393"/>
      <c r="AT335" s="571"/>
      <c r="AU335" s="394"/>
      <c r="AV335" s="394"/>
      <c r="AW335" s="394"/>
      <c r="AX335" s="394"/>
      <c r="AY335" s="394"/>
      <c r="AZ335" s="394"/>
      <c r="BA335" s="394"/>
      <c r="BB335" s="394"/>
      <c r="BC335" s="394"/>
      <c r="BD335" s="381"/>
      <c r="BE335" s="408"/>
      <c r="BF335" s="385"/>
      <c r="BG335" s="475"/>
      <c r="BH335" s="395" t="e">
        <f t="shared" si="176"/>
        <v>#DIV/0!</v>
      </c>
      <c r="BI335" s="395" t="e">
        <f t="shared" si="177"/>
        <v>#DIV/0!</v>
      </c>
    </row>
    <row r="336" spans="1:61" s="358" customFormat="1" ht="19.2" x14ac:dyDescent="0.3">
      <c r="A336" s="359" t="s">
        <v>333</v>
      </c>
      <c r="B336" s="572" t="s">
        <v>2550</v>
      </c>
      <c r="C336" s="546" t="s">
        <v>2549</v>
      </c>
      <c r="D336" s="360">
        <v>0.4</v>
      </c>
      <c r="E336" s="528"/>
      <c r="F336" s="523"/>
      <c r="G336" s="393"/>
      <c r="H336" s="571"/>
      <c r="I336" s="394"/>
      <c r="J336" s="394"/>
      <c r="K336" s="394"/>
      <c r="L336" s="394"/>
      <c r="M336" s="394"/>
      <c r="N336" s="394"/>
      <c r="O336" s="394"/>
      <c r="P336" s="394"/>
      <c r="Q336" s="394"/>
      <c r="R336" s="381"/>
      <c r="S336" s="408"/>
      <c r="T336" s="385"/>
      <c r="U336" s="475"/>
      <c r="V336" s="395"/>
      <c r="W336" s="395"/>
      <c r="X336" s="528">
        <v>183</v>
      </c>
      <c r="Y336" s="523">
        <v>20</v>
      </c>
      <c r="Z336" s="393">
        <v>20</v>
      </c>
      <c r="AA336" s="571">
        <v>234.72450000000001</v>
      </c>
      <c r="AB336" s="394">
        <v>174.75746000000001</v>
      </c>
      <c r="AC336" s="394">
        <v>49.631430000000002</v>
      </c>
      <c r="AD336" s="394">
        <f>57.14608+57.14608</f>
        <v>114.29216</v>
      </c>
      <c r="AE336" s="394">
        <v>28.893989999999999</v>
      </c>
      <c r="AF336" s="394">
        <v>0</v>
      </c>
      <c r="AG336" s="394">
        <v>0</v>
      </c>
      <c r="AH336" s="394">
        <v>15.242990000000001</v>
      </c>
      <c r="AI336" s="394">
        <v>0.27121000000000001</v>
      </c>
      <c r="AJ336" s="394">
        <v>14.286519999999999</v>
      </c>
      <c r="AK336" s="381" t="s">
        <v>167</v>
      </c>
      <c r="AL336" s="408" t="s">
        <v>175</v>
      </c>
      <c r="AM336" s="385"/>
      <c r="AN336" s="475">
        <v>253</v>
      </c>
      <c r="AO336" s="395">
        <f t="shared" si="188"/>
        <v>1282.6475409836066</v>
      </c>
      <c r="AP336" s="395">
        <f t="shared" si="189"/>
        <v>11.736225000000001</v>
      </c>
      <c r="AQ336" s="528"/>
      <c r="AR336" s="523"/>
      <c r="AS336" s="393"/>
      <c r="AT336" s="571"/>
      <c r="AU336" s="394"/>
      <c r="AV336" s="394"/>
      <c r="AW336" s="394"/>
      <c r="AX336" s="394"/>
      <c r="AY336" s="394"/>
      <c r="AZ336" s="394"/>
      <c r="BA336" s="394"/>
      <c r="BB336" s="394"/>
      <c r="BC336" s="394"/>
      <c r="BD336" s="381"/>
      <c r="BE336" s="408"/>
      <c r="BF336" s="385"/>
      <c r="BG336" s="475"/>
      <c r="BH336" s="395" t="e">
        <f t="shared" si="176"/>
        <v>#DIV/0!</v>
      </c>
      <c r="BI336" s="395" t="e">
        <f t="shared" si="177"/>
        <v>#DIV/0!</v>
      </c>
    </row>
    <row r="337" spans="1:61" s="358" customFormat="1" ht="19.2" x14ac:dyDescent="0.3">
      <c r="A337" s="359" t="s">
        <v>334</v>
      </c>
      <c r="B337" s="572" t="s">
        <v>2552</v>
      </c>
      <c r="C337" s="546" t="s">
        <v>2551</v>
      </c>
      <c r="D337" s="360">
        <v>0.4</v>
      </c>
      <c r="E337" s="528"/>
      <c r="F337" s="523"/>
      <c r="G337" s="393"/>
      <c r="H337" s="571"/>
      <c r="I337" s="394"/>
      <c r="J337" s="394"/>
      <c r="K337" s="394"/>
      <c r="L337" s="394"/>
      <c r="M337" s="394"/>
      <c r="N337" s="394"/>
      <c r="O337" s="394"/>
      <c r="P337" s="394"/>
      <c r="Q337" s="394"/>
      <c r="R337" s="381"/>
      <c r="S337" s="408"/>
      <c r="T337" s="385"/>
      <c r="U337" s="475"/>
      <c r="V337" s="395"/>
      <c r="W337" s="395"/>
      <c r="X337" s="528">
        <v>144</v>
      </c>
      <c r="Y337" s="523">
        <v>15</v>
      </c>
      <c r="Z337" s="393">
        <v>15</v>
      </c>
      <c r="AA337" s="571">
        <v>201.59016</v>
      </c>
      <c r="AB337" s="394">
        <v>150.9376</v>
      </c>
      <c r="AC337" s="394">
        <v>39.05424</v>
      </c>
      <c r="AD337" s="394">
        <v>100.00564</v>
      </c>
      <c r="AE337" s="394">
        <v>23.970939999999999</v>
      </c>
      <c r="AF337" s="394">
        <v>0</v>
      </c>
      <c r="AG337" s="394">
        <v>0</v>
      </c>
      <c r="AH337" s="394">
        <v>13.004899999999999</v>
      </c>
      <c r="AI337" s="394">
        <v>0.27121000000000001</v>
      </c>
      <c r="AJ337" s="394">
        <v>14.286519999999999</v>
      </c>
      <c r="AK337" s="381" t="s">
        <v>167</v>
      </c>
      <c r="AL337" s="408" t="s">
        <v>175</v>
      </c>
      <c r="AM337" s="385"/>
      <c r="AN337" s="475">
        <v>255</v>
      </c>
      <c r="AO337" s="395">
        <f t="shared" si="188"/>
        <v>1399.9316666666666</v>
      </c>
      <c r="AP337" s="395">
        <f t="shared" si="189"/>
        <v>13.439344</v>
      </c>
      <c r="AQ337" s="528"/>
      <c r="AR337" s="523"/>
      <c r="AS337" s="393"/>
      <c r="AT337" s="571"/>
      <c r="AU337" s="394"/>
      <c r="AV337" s="394"/>
      <c r="AW337" s="394"/>
      <c r="AX337" s="394"/>
      <c r="AY337" s="394"/>
      <c r="AZ337" s="394"/>
      <c r="BA337" s="394"/>
      <c r="BB337" s="394"/>
      <c r="BC337" s="394"/>
      <c r="BD337" s="381"/>
      <c r="BE337" s="408"/>
      <c r="BF337" s="385"/>
      <c r="BG337" s="475"/>
      <c r="BH337" s="395" t="e">
        <f t="shared" si="176"/>
        <v>#DIV/0!</v>
      </c>
      <c r="BI337" s="395" t="e">
        <f t="shared" si="177"/>
        <v>#DIV/0!</v>
      </c>
    </row>
    <row r="338" spans="1:61" s="358" customFormat="1" ht="19.2" x14ac:dyDescent="0.3">
      <c r="A338" s="359" t="s">
        <v>335</v>
      </c>
      <c r="B338" s="572" t="s">
        <v>2554</v>
      </c>
      <c r="C338" s="546" t="s">
        <v>2553</v>
      </c>
      <c r="D338" s="360">
        <v>0.4</v>
      </c>
      <c r="E338" s="528"/>
      <c r="F338" s="523"/>
      <c r="G338" s="393"/>
      <c r="H338" s="571"/>
      <c r="I338" s="394"/>
      <c r="J338" s="394"/>
      <c r="K338" s="394"/>
      <c r="L338" s="394"/>
      <c r="M338" s="394"/>
      <c r="N338" s="394"/>
      <c r="O338" s="394"/>
      <c r="P338" s="394"/>
      <c r="Q338" s="394"/>
      <c r="R338" s="381"/>
      <c r="S338" s="408"/>
      <c r="T338" s="385"/>
      <c r="U338" s="475"/>
      <c r="V338" s="395"/>
      <c r="W338" s="395"/>
      <c r="X338" s="528">
        <v>60</v>
      </c>
      <c r="Y338" s="523">
        <v>20</v>
      </c>
      <c r="Z338" s="393">
        <v>20</v>
      </c>
      <c r="AA338" s="571">
        <v>86.51182</v>
      </c>
      <c r="AB338" s="394">
        <v>64.956050000000005</v>
      </c>
      <c r="AC338" s="394">
        <v>16.272600000000001</v>
      </c>
      <c r="AD338" s="394">
        <v>42.859560000000002</v>
      </c>
      <c r="AE338" s="394">
        <v>10.202389999999999</v>
      </c>
      <c r="AF338" s="394">
        <v>0</v>
      </c>
      <c r="AG338" s="394">
        <v>0</v>
      </c>
      <c r="AH338" s="394">
        <v>5.5327700000000002</v>
      </c>
      <c r="AI338" s="394">
        <v>0.27121000000000001</v>
      </c>
      <c r="AJ338" s="394">
        <v>14.286519999999999</v>
      </c>
      <c r="AK338" s="381" t="s">
        <v>167</v>
      </c>
      <c r="AL338" s="408" t="s">
        <v>175</v>
      </c>
      <c r="AM338" s="385"/>
      <c r="AN338" s="475">
        <v>257</v>
      </c>
      <c r="AO338" s="395">
        <f t="shared" si="188"/>
        <v>1441.8636666666666</v>
      </c>
      <c r="AP338" s="395">
        <f t="shared" si="189"/>
        <v>4.3255910000000002</v>
      </c>
      <c r="AQ338" s="528"/>
      <c r="AR338" s="523"/>
      <c r="AS338" s="393"/>
      <c r="AT338" s="571"/>
      <c r="AU338" s="394"/>
      <c r="AV338" s="394"/>
      <c r="AW338" s="394"/>
      <c r="AX338" s="394"/>
      <c r="AY338" s="394"/>
      <c r="AZ338" s="394"/>
      <c r="BA338" s="394"/>
      <c r="BB338" s="394"/>
      <c r="BC338" s="394"/>
      <c r="BD338" s="381"/>
      <c r="BE338" s="408"/>
      <c r="BF338" s="385"/>
      <c r="BG338" s="475"/>
      <c r="BH338" s="395" t="e">
        <f t="shared" si="176"/>
        <v>#DIV/0!</v>
      </c>
      <c r="BI338" s="395" t="e">
        <f t="shared" si="177"/>
        <v>#DIV/0!</v>
      </c>
    </row>
    <row r="339" spans="1:61" s="358" customFormat="1" ht="19.2" x14ac:dyDescent="0.3">
      <c r="A339" s="359" t="s">
        <v>178</v>
      </c>
      <c r="B339" s="602" t="s">
        <v>4653</v>
      </c>
      <c r="C339" s="548" t="s">
        <v>4654</v>
      </c>
      <c r="D339" s="360">
        <v>0.4</v>
      </c>
      <c r="E339" s="528"/>
      <c r="F339" s="523"/>
      <c r="G339" s="393"/>
      <c r="H339" s="394"/>
      <c r="I339" s="394"/>
      <c r="J339" s="394"/>
      <c r="K339" s="394"/>
      <c r="L339" s="394"/>
      <c r="M339" s="394"/>
      <c r="N339" s="394"/>
      <c r="O339" s="394"/>
      <c r="P339" s="394"/>
      <c r="Q339" s="394"/>
      <c r="R339" s="381"/>
      <c r="S339" s="408"/>
      <c r="T339" s="385"/>
      <c r="U339" s="475"/>
      <c r="V339" s="395"/>
      <c r="W339" s="395"/>
      <c r="X339" s="528"/>
      <c r="Y339" s="523"/>
      <c r="Z339" s="393"/>
      <c r="AA339" s="394"/>
      <c r="AB339" s="394"/>
      <c r="AC339" s="394"/>
      <c r="AD339" s="394"/>
      <c r="AE339" s="394"/>
      <c r="AF339" s="394"/>
      <c r="AG339" s="394"/>
      <c r="AH339" s="394"/>
      <c r="AI339" s="394"/>
      <c r="AJ339" s="394"/>
      <c r="AK339" s="381"/>
      <c r="AL339" s="408"/>
      <c r="AM339" s="385"/>
      <c r="AN339" s="475"/>
      <c r="AO339" s="395"/>
      <c r="AP339" s="395"/>
      <c r="AQ339" s="528">
        <v>67</v>
      </c>
      <c r="AR339" s="523">
        <v>15</v>
      </c>
      <c r="AS339" s="393">
        <v>15</v>
      </c>
      <c r="AT339" s="600">
        <v>115.7666</v>
      </c>
      <c r="AU339" s="394">
        <v>85.322469999999996</v>
      </c>
      <c r="AV339" s="394">
        <v>18.17107</v>
      </c>
      <c r="AW339" s="394">
        <f>28.575+28.575</f>
        <v>57.15</v>
      </c>
      <c r="AX339" s="394">
        <v>15.0266</v>
      </c>
      <c r="AY339" s="394">
        <v>0</v>
      </c>
      <c r="AZ339" s="394">
        <v>0</v>
      </c>
      <c r="BA339" s="394">
        <v>7.5620599999999998</v>
      </c>
      <c r="BB339" s="394">
        <v>0.27121000000000001</v>
      </c>
      <c r="BC339" s="394">
        <v>14.2875</v>
      </c>
      <c r="BD339" s="381" t="s">
        <v>167</v>
      </c>
      <c r="BE339" s="408" t="s">
        <v>175</v>
      </c>
      <c r="BF339" s="385"/>
      <c r="BG339" s="475">
        <v>194</v>
      </c>
      <c r="BH339" s="395">
        <f t="shared" ref="BH339:BH344" si="190">AT339/AQ339*1000</f>
        <v>1727.8597014925372</v>
      </c>
      <c r="BI339" s="395">
        <f t="shared" ref="BI339:BI344" si="191">AT339/AR339</f>
        <v>7.7177733333333327</v>
      </c>
    </row>
    <row r="340" spans="1:61" s="358" customFormat="1" ht="19.2" x14ac:dyDescent="0.3">
      <c r="A340" s="359" t="s">
        <v>182</v>
      </c>
      <c r="B340" s="602" t="s">
        <v>4673</v>
      </c>
      <c r="C340" s="548" t="s">
        <v>4672</v>
      </c>
      <c r="D340" s="360">
        <v>0.4</v>
      </c>
      <c r="E340" s="528"/>
      <c r="F340" s="523"/>
      <c r="G340" s="393"/>
      <c r="H340" s="394"/>
      <c r="I340" s="394"/>
      <c r="J340" s="394"/>
      <c r="K340" s="394"/>
      <c r="L340" s="394"/>
      <c r="M340" s="394"/>
      <c r="N340" s="394"/>
      <c r="O340" s="394"/>
      <c r="P340" s="394"/>
      <c r="Q340" s="394"/>
      <c r="R340" s="381"/>
      <c r="S340" s="408"/>
      <c r="T340" s="385"/>
      <c r="U340" s="475"/>
      <c r="V340" s="395"/>
      <c r="W340" s="395"/>
      <c r="X340" s="528"/>
      <c r="Y340" s="523"/>
      <c r="Z340" s="393"/>
      <c r="AA340" s="394"/>
      <c r="AB340" s="394"/>
      <c r="AC340" s="394"/>
      <c r="AD340" s="394"/>
      <c r="AE340" s="394"/>
      <c r="AF340" s="394"/>
      <c r="AG340" s="394"/>
      <c r="AH340" s="394"/>
      <c r="AI340" s="394"/>
      <c r="AJ340" s="394"/>
      <c r="AK340" s="381"/>
      <c r="AL340" s="408"/>
      <c r="AM340" s="385"/>
      <c r="AN340" s="475"/>
      <c r="AO340" s="395"/>
      <c r="AP340" s="395"/>
      <c r="AQ340" s="528">
        <v>28</v>
      </c>
      <c r="AR340" s="523">
        <v>15</v>
      </c>
      <c r="AS340" s="393">
        <v>15</v>
      </c>
      <c r="AT340" s="600">
        <v>48.261110000000002</v>
      </c>
      <c r="AU340" s="394">
        <v>33.499000000000002</v>
      </c>
      <c r="AV340" s="394">
        <v>7.5938800000000004</v>
      </c>
      <c r="AW340" s="394">
        <v>14.2875</v>
      </c>
      <c r="AX340" s="394">
        <v>4.7878100000000003</v>
      </c>
      <c r="AY340" s="394">
        <v>0</v>
      </c>
      <c r="AZ340" s="394">
        <v>0</v>
      </c>
      <c r="BA340" s="394">
        <v>4.2746700000000004</v>
      </c>
      <c r="BB340" s="394">
        <v>0.27121000000000001</v>
      </c>
      <c r="BC340" s="394">
        <v>14.2875</v>
      </c>
      <c r="BD340" s="381" t="s">
        <v>167</v>
      </c>
      <c r="BE340" s="408" t="s">
        <v>175</v>
      </c>
      <c r="BF340" s="385"/>
      <c r="BG340" s="475">
        <v>197</v>
      </c>
      <c r="BH340" s="395">
        <f t="shared" si="190"/>
        <v>1723.6110714285714</v>
      </c>
      <c r="BI340" s="395">
        <f t="shared" si="191"/>
        <v>3.2174073333333335</v>
      </c>
    </row>
    <row r="341" spans="1:61" s="358" customFormat="1" ht="19.2" x14ac:dyDescent="0.3">
      <c r="A341" s="359" t="s">
        <v>184</v>
      </c>
      <c r="B341" s="602" t="s">
        <v>4675</v>
      </c>
      <c r="C341" s="548" t="s">
        <v>4674</v>
      </c>
      <c r="D341" s="360">
        <v>0.4</v>
      </c>
      <c r="E341" s="528"/>
      <c r="F341" s="523"/>
      <c r="G341" s="393"/>
      <c r="H341" s="394"/>
      <c r="I341" s="394"/>
      <c r="J341" s="394"/>
      <c r="K341" s="394"/>
      <c r="L341" s="394"/>
      <c r="M341" s="394"/>
      <c r="N341" s="394"/>
      <c r="O341" s="394"/>
      <c r="P341" s="394"/>
      <c r="Q341" s="394"/>
      <c r="R341" s="381"/>
      <c r="S341" s="408"/>
      <c r="T341" s="385"/>
      <c r="U341" s="475"/>
      <c r="V341" s="395"/>
      <c r="W341" s="395"/>
      <c r="X341" s="528"/>
      <c r="Y341" s="523"/>
      <c r="Z341" s="393"/>
      <c r="AA341" s="394"/>
      <c r="AB341" s="394"/>
      <c r="AC341" s="394"/>
      <c r="AD341" s="394"/>
      <c r="AE341" s="394"/>
      <c r="AF341" s="394"/>
      <c r="AG341" s="394"/>
      <c r="AH341" s="394"/>
      <c r="AI341" s="394"/>
      <c r="AJ341" s="394"/>
      <c r="AK341" s="381"/>
      <c r="AL341" s="408"/>
      <c r="AM341" s="385"/>
      <c r="AN341" s="475"/>
      <c r="AO341" s="395"/>
      <c r="AP341" s="395"/>
      <c r="AQ341" s="528">
        <v>184</v>
      </c>
      <c r="AR341" s="523">
        <v>15</v>
      </c>
      <c r="AS341" s="393">
        <v>15</v>
      </c>
      <c r="AT341" s="600">
        <v>255.75637</v>
      </c>
      <c r="AU341" s="394">
        <v>188.50953999999999</v>
      </c>
      <c r="AV341" s="394">
        <v>49.902639999999998</v>
      </c>
      <c r="AW341" s="394">
        <v>42.862499999999997</v>
      </c>
      <c r="AX341" s="394">
        <v>33.442250000000001</v>
      </c>
      <c r="AY341" s="394">
        <v>0</v>
      </c>
      <c r="AZ341" s="394">
        <v>0</v>
      </c>
      <c r="BA341" s="394">
        <v>16.606670000000001</v>
      </c>
      <c r="BB341" s="394">
        <v>0.27121000000000001</v>
      </c>
      <c r="BC341" s="394">
        <v>14.2875</v>
      </c>
      <c r="BD341" s="381" t="s">
        <v>167</v>
      </c>
      <c r="BE341" s="408" t="s">
        <v>175</v>
      </c>
      <c r="BF341" s="385"/>
      <c r="BG341" s="475">
        <v>199</v>
      </c>
      <c r="BH341" s="395">
        <f t="shared" si="190"/>
        <v>1389.9802717391306</v>
      </c>
      <c r="BI341" s="395">
        <f t="shared" si="191"/>
        <v>17.050424666666668</v>
      </c>
    </row>
    <row r="342" spans="1:61" s="358" customFormat="1" ht="19.2" x14ac:dyDescent="0.3">
      <c r="A342" s="359" t="s">
        <v>186</v>
      </c>
      <c r="B342" s="602" t="s">
        <v>4704</v>
      </c>
      <c r="C342" s="548" t="s">
        <v>4703</v>
      </c>
      <c r="D342" s="360">
        <v>0.4</v>
      </c>
      <c r="E342" s="528"/>
      <c r="F342" s="523"/>
      <c r="G342" s="393"/>
      <c r="H342" s="394"/>
      <c r="I342" s="394"/>
      <c r="J342" s="394"/>
      <c r="K342" s="394"/>
      <c r="L342" s="394"/>
      <c r="M342" s="394"/>
      <c r="N342" s="394"/>
      <c r="O342" s="394"/>
      <c r="P342" s="394"/>
      <c r="Q342" s="394"/>
      <c r="R342" s="381"/>
      <c r="S342" s="408"/>
      <c r="T342" s="385"/>
      <c r="U342" s="475"/>
      <c r="V342" s="395"/>
      <c r="W342" s="395"/>
      <c r="X342" s="528"/>
      <c r="Y342" s="523"/>
      <c r="Z342" s="393"/>
      <c r="AA342" s="394"/>
      <c r="AB342" s="394"/>
      <c r="AC342" s="394"/>
      <c r="AD342" s="394"/>
      <c r="AE342" s="394"/>
      <c r="AF342" s="394"/>
      <c r="AG342" s="394"/>
      <c r="AH342" s="394"/>
      <c r="AI342" s="394"/>
      <c r="AJ342" s="394"/>
      <c r="AK342" s="381"/>
      <c r="AL342" s="408"/>
      <c r="AM342" s="385"/>
      <c r="AN342" s="475"/>
      <c r="AO342" s="395"/>
      <c r="AP342" s="395"/>
      <c r="AQ342" s="528">
        <v>180</v>
      </c>
      <c r="AR342" s="523">
        <v>15</v>
      </c>
      <c r="AS342" s="393">
        <v>15</v>
      </c>
      <c r="AT342" s="600">
        <v>194.52897999999999</v>
      </c>
      <c r="AU342" s="394">
        <v>139.02602999999999</v>
      </c>
      <c r="AV342" s="394">
        <v>48.817799999999998</v>
      </c>
      <c r="AW342" s="394">
        <f>32.58501+43.44668</f>
        <v>76.031689999999998</v>
      </c>
      <c r="AX342" s="394">
        <v>27.405290000000001</v>
      </c>
      <c r="AY342" s="394">
        <v>0</v>
      </c>
      <c r="AZ342" s="394">
        <v>0</v>
      </c>
      <c r="BA342" s="394">
        <v>13.80284</v>
      </c>
      <c r="BB342" s="394">
        <v>0.27121000000000001</v>
      </c>
      <c r="BC342" s="394">
        <v>10.86167</v>
      </c>
      <c r="BD342" s="381" t="s">
        <v>167</v>
      </c>
      <c r="BE342" s="408" t="s">
        <v>175</v>
      </c>
      <c r="BF342" s="385"/>
      <c r="BG342" s="475">
        <v>201</v>
      </c>
      <c r="BH342" s="395">
        <f t="shared" si="190"/>
        <v>1080.7165555555555</v>
      </c>
      <c r="BI342" s="395">
        <f t="shared" si="191"/>
        <v>12.968598666666667</v>
      </c>
    </row>
    <row r="343" spans="1:61" s="358" customFormat="1" ht="19.2" x14ac:dyDescent="0.3">
      <c r="A343" s="359" t="s">
        <v>189</v>
      </c>
      <c r="B343" s="602" t="s">
        <v>1462</v>
      </c>
      <c r="C343" s="548" t="s">
        <v>4767</v>
      </c>
      <c r="D343" s="360">
        <v>0.4</v>
      </c>
      <c r="E343" s="528"/>
      <c r="F343" s="523"/>
      <c r="G343" s="393"/>
      <c r="H343" s="394"/>
      <c r="I343" s="394"/>
      <c r="J343" s="394"/>
      <c r="K343" s="394"/>
      <c r="L343" s="394"/>
      <c r="M343" s="394"/>
      <c r="N343" s="394"/>
      <c r="O343" s="394"/>
      <c r="P343" s="394"/>
      <c r="Q343" s="394"/>
      <c r="R343" s="381"/>
      <c r="S343" s="408"/>
      <c r="T343" s="385"/>
      <c r="U343" s="475"/>
      <c r="V343" s="395"/>
      <c r="W343" s="395"/>
      <c r="X343" s="528"/>
      <c r="Y343" s="523"/>
      <c r="Z343" s="393"/>
      <c r="AA343" s="394"/>
      <c r="AB343" s="394"/>
      <c r="AC343" s="394"/>
      <c r="AD343" s="394"/>
      <c r="AE343" s="394"/>
      <c r="AF343" s="394"/>
      <c r="AG343" s="394"/>
      <c r="AH343" s="394"/>
      <c r="AI343" s="394"/>
      <c r="AJ343" s="394"/>
      <c r="AK343" s="381"/>
      <c r="AL343" s="408"/>
      <c r="AM343" s="385"/>
      <c r="AN343" s="475"/>
      <c r="AO343" s="395"/>
      <c r="AP343" s="395"/>
      <c r="AQ343" s="528">
        <v>54</v>
      </c>
      <c r="AR343" s="523">
        <v>50</v>
      </c>
      <c r="AS343" s="393">
        <v>50</v>
      </c>
      <c r="AT343" s="600">
        <v>23.3674</v>
      </c>
      <c r="AU343" s="394">
        <v>18.545470000000002</v>
      </c>
      <c r="AV343" s="394">
        <v>14.645339999999999</v>
      </c>
      <c r="AW343" s="394"/>
      <c r="AX343" s="394">
        <v>1.44255</v>
      </c>
      <c r="AY343" s="394">
        <v>0</v>
      </c>
      <c r="AZ343" s="394">
        <v>0</v>
      </c>
      <c r="BA343" s="394">
        <v>1.6319999999999999</v>
      </c>
      <c r="BB343" s="394">
        <v>0.27121000000000001</v>
      </c>
      <c r="BC343" s="394"/>
      <c r="BD343" s="381" t="s">
        <v>167</v>
      </c>
      <c r="BE343" s="408" t="s">
        <v>175</v>
      </c>
      <c r="BF343" s="385"/>
      <c r="BG343" s="475">
        <v>203</v>
      </c>
      <c r="BH343" s="395">
        <f t="shared" si="190"/>
        <v>432.72962962962964</v>
      </c>
      <c r="BI343" s="395">
        <f t="shared" si="191"/>
        <v>0.46734799999999999</v>
      </c>
    </row>
    <row r="344" spans="1:61" s="358" customFormat="1" ht="19.2" x14ac:dyDescent="0.3">
      <c r="A344" s="359" t="s">
        <v>267</v>
      </c>
      <c r="B344" s="602" t="s">
        <v>4772</v>
      </c>
      <c r="C344" s="548" t="s">
        <v>4771</v>
      </c>
      <c r="D344" s="360">
        <v>0.4</v>
      </c>
      <c r="E344" s="528"/>
      <c r="F344" s="523"/>
      <c r="G344" s="393"/>
      <c r="H344" s="394"/>
      <c r="I344" s="394"/>
      <c r="J344" s="394"/>
      <c r="K344" s="394"/>
      <c r="L344" s="394"/>
      <c r="M344" s="394"/>
      <c r="N344" s="394"/>
      <c r="O344" s="394"/>
      <c r="P344" s="394"/>
      <c r="Q344" s="394"/>
      <c r="R344" s="381"/>
      <c r="S344" s="408"/>
      <c r="T344" s="385"/>
      <c r="U344" s="475"/>
      <c r="V344" s="395"/>
      <c r="W344" s="395"/>
      <c r="X344" s="528"/>
      <c r="Y344" s="523"/>
      <c r="Z344" s="393"/>
      <c r="AA344" s="394"/>
      <c r="AB344" s="394"/>
      <c r="AC344" s="394"/>
      <c r="AD344" s="394"/>
      <c r="AE344" s="394"/>
      <c r="AF344" s="394"/>
      <c r="AG344" s="394"/>
      <c r="AH344" s="394"/>
      <c r="AI344" s="394"/>
      <c r="AJ344" s="394"/>
      <c r="AK344" s="381"/>
      <c r="AL344" s="408"/>
      <c r="AM344" s="385"/>
      <c r="AN344" s="475"/>
      <c r="AO344" s="395"/>
      <c r="AP344" s="395"/>
      <c r="AQ344" s="528">
        <v>223</v>
      </c>
      <c r="AR344" s="523">
        <v>15</v>
      </c>
      <c r="AS344" s="393">
        <v>15</v>
      </c>
      <c r="AT344" s="600">
        <v>230.20164</v>
      </c>
      <c r="AU344" s="394">
        <v>169.59784999999999</v>
      </c>
      <c r="AV344" s="394">
        <v>60.47983</v>
      </c>
      <c r="AW344" s="394">
        <f>68.25324+21.88084</f>
        <v>90.134080000000012</v>
      </c>
      <c r="AX344" s="394">
        <v>22.166699999999999</v>
      </c>
      <c r="AY344" s="394">
        <v>0</v>
      </c>
      <c r="AZ344" s="394">
        <v>0</v>
      </c>
      <c r="BA344" s="394">
        <v>18.817170000000001</v>
      </c>
      <c r="BB344" s="394">
        <v>0.27121000000000001</v>
      </c>
      <c r="BC344" s="394">
        <v>11.375540000000001</v>
      </c>
      <c r="BD344" s="381" t="s">
        <v>167</v>
      </c>
      <c r="BE344" s="408" t="s">
        <v>175</v>
      </c>
      <c r="BF344" s="385"/>
      <c r="BG344" s="475">
        <v>204</v>
      </c>
      <c r="BH344" s="395">
        <f t="shared" si="190"/>
        <v>1032.2943497757849</v>
      </c>
      <c r="BI344" s="395">
        <f t="shared" si="191"/>
        <v>15.346776</v>
      </c>
    </row>
    <row r="345" spans="1:61" s="358" customFormat="1" ht="19.2" x14ac:dyDescent="0.3">
      <c r="A345" s="359" t="s">
        <v>268</v>
      </c>
      <c r="B345" s="602" t="s">
        <v>4788</v>
      </c>
      <c r="C345" s="548" t="s">
        <v>4787</v>
      </c>
      <c r="D345" s="360">
        <v>0.4</v>
      </c>
      <c r="E345" s="528"/>
      <c r="F345" s="523"/>
      <c r="G345" s="393"/>
      <c r="H345" s="394"/>
      <c r="I345" s="394"/>
      <c r="J345" s="394"/>
      <c r="K345" s="394"/>
      <c r="L345" s="394"/>
      <c r="M345" s="394"/>
      <c r="N345" s="394"/>
      <c r="O345" s="394"/>
      <c r="P345" s="394"/>
      <c r="Q345" s="394"/>
      <c r="R345" s="381"/>
      <c r="S345" s="408"/>
      <c r="T345" s="385"/>
      <c r="U345" s="475"/>
      <c r="V345" s="395"/>
      <c r="W345" s="395"/>
      <c r="X345" s="528"/>
      <c r="Y345" s="523"/>
      <c r="Z345" s="393"/>
      <c r="AA345" s="394"/>
      <c r="AB345" s="394"/>
      <c r="AC345" s="394"/>
      <c r="AD345" s="394"/>
      <c r="AE345" s="394"/>
      <c r="AF345" s="394"/>
      <c r="AG345" s="394"/>
      <c r="AH345" s="394"/>
      <c r="AI345" s="394"/>
      <c r="AJ345" s="394"/>
      <c r="AK345" s="381"/>
      <c r="AL345" s="408"/>
      <c r="AM345" s="385"/>
      <c r="AN345" s="475"/>
      <c r="AO345" s="395"/>
      <c r="AP345" s="395"/>
      <c r="AQ345" s="528">
        <v>143</v>
      </c>
      <c r="AR345" s="523">
        <v>5</v>
      </c>
      <c r="AS345" s="393">
        <v>5</v>
      </c>
      <c r="AT345" s="600">
        <v>142.76965000000001</v>
      </c>
      <c r="AU345" s="394">
        <v>104.08911999999999</v>
      </c>
      <c r="AV345" s="394">
        <v>38.783029999999997</v>
      </c>
      <c r="AW345" s="394">
        <f>32.58501+21.72334</f>
        <v>54.308349999999997</v>
      </c>
      <c r="AX345" s="394">
        <v>14.5222</v>
      </c>
      <c r="AY345" s="394">
        <v>0</v>
      </c>
      <c r="AZ345" s="394">
        <v>0</v>
      </c>
      <c r="BA345" s="394">
        <v>11.847939999999999</v>
      </c>
      <c r="BB345" s="394">
        <v>0.27121000000000001</v>
      </c>
      <c r="BC345" s="394">
        <v>10.86167</v>
      </c>
      <c r="BD345" s="381" t="s">
        <v>167</v>
      </c>
      <c r="BE345" s="408" t="s">
        <v>175</v>
      </c>
      <c r="BF345" s="385"/>
      <c r="BG345" s="475">
        <v>206</v>
      </c>
      <c r="BH345" s="395">
        <f t="shared" ref="BH345" si="192">AT345/AQ345*1000</f>
        <v>998.38916083916092</v>
      </c>
      <c r="BI345" s="395">
        <f t="shared" ref="BI345" si="193">AT345/AR345</f>
        <v>28.553930000000001</v>
      </c>
    </row>
    <row r="346" spans="1:61" s="358" customFormat="1" ht="19.2" x14ac:dyDescent="0.3">
      <c r="A346" s="359" t="s">
        <v>269</v>
      </c>
      <c r="B346" s="602" t="s">
        <v>4743</v>
      </c>
      <c r="C346" s="548" t="s">
        <v>4798</v>
      </c>
      <c r="D346" s="360">
        <v>0.4</v>
      </c>
      <c r="E346" s="528"/>
      <c r="F346" s="523"/>
      <c r="G346" s="393"/>
      <c r="H346" s="394"/>
      <c r="I346" s="394"/>
      <c r="J346" s="394"/>
      <c r="K346" s="394"/>
      <c r="L346" s="394"/>
      <c r="M346" s="394"/>
      <c r="N346" s="394"/>
      <c r="O346" s="394"/>
      <c r="P346" s="394"/>
      <c r="Q346" s="394"/>
      <c r="R346" s="381"/>
      <c r="S346" s="408"/>
      <c r="T346" s="385"/>
      <c r="U346" s="475"/>
      <c r="V346" s="395"/>
      <c r="W346" s="395"/>
      <c r="X346" s="528"/>
      <c r="Y346" s="523"/>
      <c r="Z346" s="393"/>
      <c r="AA346" s="394"/>
      <c r="AB346" s="394"/>
      <c r="AC346" s="394"/>
      <c r="AD346" s="394"/>
      <c r="AE346" s="394"/>
      <c r="AF346" s="394"/>
      <c r="AG346" s="394"/>
      <c r="AH346" s="394"/>
      <c r="AI346" s="394"/>
      <c r="AJ346" s="394"/>
      <c r="AK346" s="381"/>
      <c r="AL346" s="408"/>
      <c r="AM346" s="385"/>
      <c r="AN346" s="475"/>
      <c r="AO346" s="395"/>
      <c r="AP346" s="395"/>
      <c r="AQ346" s="528">
        <v>37</v>
      </c>
      <c r="AR346" s="523">
        <v>120</v>
      </c>
      <c r="AS346" s="393">
        <v>120</v>
      </c>
      <c r="AT346" s="600">
        <v>32.182160000000003</v>
      </c>
      <c r="AU346" s="394">
        <v>23.787140000000001</v>
      </c>
      <c r="AV346" s="394">
        <v>10.03477</v>
      </c>
      <c r="AW346" s="394">
        <v>11.0252</v>
      </c>
      <c r="AX346" s="394">
        <v>3.0653800000000002</v>
      </c>
      <c r="AY346" s="394">
        <v>0</v>
      </c>
      <c r="AZ346" s="394">
        <v>0</v>
      </c>
      <c r="BA346" s="394">
        <v>2.6077599999999999</v>
      </c>
      <c r="BB346" s="394">
        <v>0.27121000000000001</v>
      </c>
      <c r="BC346" s="394">
        <v>11.0252</v>
      </c>
      <c r="BD346" s="381" t="s">
        <v>167</v>
      </c>
      <c r="BE346" s="408" t="s">
        <v>175</v>
      </c>
      <c r="BF346" s="385"/>
      <c r="BG346" s="475">
        <v>208</v>
      </c>
      <c r="BH346" s="395">
        <f t="shared" ref="BH346:BH350" si="194">AT346/AQ346*1000</f>
        <v>869.7881081081083</v>
      </c>
      <c r="BI346" s="395">
        <f t="shared" ref="BI346:BI350" si="195">AT346/AR346</f>
        <v>0.26818466666666668</v>
      </c>
    </row>
    <row r="347" spans="1:61" s="358" customFormat="1" ht="19.2" x14ac:dyDescent="0.3">
      <c r="A347" s="359" t="s">
        <v>270</v>
      </c>
      <c r="B347" s="602" t="s">
        <v>4804</v>
      </c>
      <c r="C347" s="548" t="s">
        <v>4803</v>
      </c>
      <c r="D347" s="360">
        <v>0.4</v>
      </c>
      <c r="E347" s="528"/>
      <c r="F347" s="523"/>
      <c r="G347" s="393"/>
      <c r="H347" s="394"/>
      <c r="I347" s="394"/>
      <c r="J347" s="394"/>
      <c r="K347" s="394"/>
      <c r="L347" s="394"/>
      <c r="M347" s="394"/>
      <c r="N347" s="394"/>
      <c r="O347" s="394"/>
      <c r="P347" s="394"/>
      <c r="Q347" s="394"/>
      <c r="R347" s="381"/>
      <c r="S347" s="408"/>
      <c r="T347" s="385"/>
      <c r="U347" s="475"/>
      <c r="V347" s="395"/>
      <c r="W347" s="395"/>
      <c r="X347" s="528"/>
      <c r="Y347" s="523"/>
      <c r="Z347" s="393"/>
      <c r="AA347" s="394"/>
      <c r="AB347" s="394"/>
      <c r="AC347" s="394"/>
      <c r="AD347" s="394"/>
      <c r="AE347" s="394"/>
      <c r="AF347" s="394"/>
      <c r="AG347" s="394"/>
      <c r="AH347" s="394"/>
      <c r="AI347" s="394"/>
      <c r="AJ347" s="394"/>
      <c r="AK347" s="381"/>
      <c r="AL347" s="408"/>
      <c r="AM347" s="385"/>
      <c r="AN347" s="475"/>
      <c r="AO347" s="395"/>
      <c r="AP347" s="395"/>
      <c r="AQ347" s="528">
        <v>140</v>
      </c>
      <c r="AR347" s="523">
        <v>15</v>
      </c>
      <c r="AS347" s="393">
        <v>15</v>
      </c>
      <c r="AT347" s="600">
        <v>140.46451999999999</v>
      </c>
      <c r="AU347" s="394">
        <v>101.84443</v>
      </c>
      <c r="AV347" s="394">
        <v>37.9694</v>
      </c>
      <c r="AW347" s="394">
        <f>11.44426+45.77704</f>
        <v>57.221299999999999</v>
      </c>
      <c r="AX347" s="394">
        <v>14.800129999999999</v>
      </c>
      <c r="AY347" s="394">
        <v>0</v>
      </c>
      <c r="AZ347" s="394">
        <v>0</v>
      </c>
      <c r="BA347" s="394">
        <v>11.731529999999999</v>
      </c>
      <c r="BB347" s="394">
        <v>0.27121000000000001</v>
      </c>
      <c r="BC347" s="394">
        <v>11.44426</v>
      </c>
      <c r="BD347" s="381" t="s">
        <v>167</v>
      </c>
      <c r="BE347" s="408" t="s">
        <v>175</v>
      </c>
      <c r="BF347" s="385"/>
      <c r="BG347" s="475">
        <v>210</v>
      </c>
      <c r="BH347" s="395">
        <f t="shared" si="194"/>
        <v>1003.318</v>
      </c>
      <c r="BI347" s="395">
        <f t="shared" si="195"/>
        <v>9.3643013333333336</v>
      </c>
    </row>
    <row r="348" spans="1:61" s="358" customFormat="1" ht="19.2" x14ac:dyDescent="0.3">
      <c r="A348" s="359" t="s">
        <v>271</v>
      </c>
      <c r="B348" s="602" t="s">
        <v>4829</v>
      </c>
      <c r="C348" s="548" t="s">
        <v>4828</v>
      </c>
      <c r="D348" s="360">
        <v>0.4</v>
      </c>
      <c r="E348" s="528"/>
      <c r="F348" s="523"/>
      <c r="G348" s="393"/>
      <c r="H348" s="394"/>
      <c r="I348" s="394"/>
      <c r="J348" s="394"/>
      <c r="K348" s="394"/>
      <c r="L348" s="394"/>
      <c r="M348" s="394"/>
      <c r="N348" s="394"/>
      <c r="O348" s="394"/>
      <c r="P348" s="394"/>
      <c r="Q348" s="394"/>
      <c r="R348" s="381"/>
      <c r="S348" s="408"/>
      <c r="T348" s="385"/>
      <c r="U348" s="475"/>
      <c r="V348" s="395"/>
      <c r="W348" s="395"/>
      <c r="X348" s="528"/>
      <c r="Y348" s="523"/>
      <c r="Z348" s="393"/>
      <c r="AA348" s="394"/>
      <c r="AB348" s="394"/>
      <c r="AC348" s="394"/>
      <c r="AD348" s="394"/>
      <c r="AE348" s="394"/>
      <c r="AF348" s="394"/>
      <c r="AG348" s="394"/>
      <c r="AH348" s="394"/>
      <c r="AI348" s="394"/>
      <c r="AJ348" s="394"/>
      <c r="AK348" s="381"/>
      <c r="AL348" s="408"/>
      <c r="AM348" s="385"/>
      <c r="AN348" s="475"/>
      <c r="AO348" s="395"/>
      <c r="AP348" s="395"/>
      <c r="AQ348" s="528">
        <f>215+61</f>
        <v>276</v>
      </c>
      <c r="AR348" s="523">
        <v>15</v>
      </c>
      <c r="AS348" s="393">
        <v>15</v>
      </c>
      <c r="AT348" s="600">
        <v>476.52530999999999</v>
      </c>
      <c r="AU348" s="394">
        <v>343.83012000000002</v>
      </c>
      <c r="AV348" s="394">
        <f>58.31015+16.54381</f>
        <v>74.853960000000001</v>
      </c>
      <c r="AW348" s="394">
        <f>21.88084+11.22277+10+154.29274+33.06273</f>
        <v>230.45908000000003</v>
      </c>
      <c r="AX348" s="394">
        <v>51.543930000000003</v>
      </c>
      <c r="AY348" s="394">
        <v>0</v>
      </c>
      <c r="AZ348" s="394">
        <v>0</v>
      </c>
      <c r="BA348" s="394">
        <v>39.654980000000002</v>
      </c>
      <c r="BB348" s="394">
        <v>0.27121000000000001</v>
      </c>
      <c r="BC348" s="394">
        <v>11.222770000000001</v>
      </c>
      <c r="BD348" s="381" t="s">
        <v>167</v>
      </c>
      <c r="BE348" s="408" t="s">
        <v>175</v>
      </c>
      <c r="BF348" s="385"/>
      <c r="BG348" s="475">
        <v>212</v>
      </c>
      <c r="BH348" s="395">
        <f t="shared" si="194"/>
        <v>1726.5409782608697</v>
      </c>
      <c r="BI348" s="395">
        <f t="shared" si="195"/>
        <v>31.768353999999999</v>
      </c>
    </row>
    <row r="349" spans="1:61" s="358" customFormat="1" ht="19.2" x14ac:dyDescent="0.3">
      <c r="A349" s="359" t="s">
        <v>272</v>
      </c>
      <c r="B349" s="602" t="s">
        <v>4850</v>
      </c>
      <c r="C349" s="548" t="s">
        <v>4849</v>
      </c>
      <c r="D349" s="360">
        <v>0.4</v>
      </c>
      <c r="E349" s="528"/>
      <c r="F349" s="523"/>
      <c r="G349" s="393"/>
      <c r="H349" s="394"/>
      <c r="I349" s="394"/>
      <c r="J349" s="394"/>
      <c r="K349" s="394"/>
      <c r="L349" s="394"/>
      <c r="M349" s="394"/>
      <c r="N349" s="394"/>
      <c r="O349" s="394"/>
      <c r="P349" s="394"/>
      <c r="Q349" s="394"/>
      <c r="R349" s="381"/>
      <c r="S349" s="408"/>
      <c r="T349" s="385"/>
      <c r="U349" s="475"/>
      <c r="V349" s="395"/>
      <c r="W349" s="395"/>
      <c r="X349" s="528"/>
      <c r="Y349" s="523"/>
      <c r="Z349" s="393"/>
      <c r="AA349" s="394"/>
      <c r="AB349" s="394"/>
      <c r="AC349" s="394"/>
      <c r="AD349" s="394"/>
      <c r="AE349" s="394"/>
      <c r="AF349" s="394"/>
      <c r="AG349" s="394"/>
      <c r="AH349" s="394"/>
      <c r="AI349" s="394"/>
      <c r="AJ349" s="394"/>
      <c r="AK349" s="381"/>
      <c r="AL349" s="408"/>
      <c r="AM349" s="385"/>
      <c r="AN349" s="475"/>
      <c r="AO349" s="395"/>
      <c r="AP349" s="395"/>
      <c r="AQ349" s="528">
        <v>255</v>
      </c>
      <c r="AR349" s="523">
        <v>15</v>
      </c>
      <c r="AS349" s="393">
        <v>15</v>
      </c>
      <c r="AT349" s="600">
        <v>348.75619</v>
      </c>
      <c r="AU349" s="394">
        <v>246.95527000000001</v>
      </c>
      <c r="AV349" s="394">
        <v>56.151000000000003</v>
      </c>
      <c r="AW349" s="394">
        <f>67.67022+10+45.01352+20+22.50676</f>
        <v>165.19049999999999</v>
      </c>
      <c r="AX349" s="394">
        <v>39.097670000000001</v>
      </c>
      <c r="AY349" s="394">
        <v>0</v>
      </c>
      <c r="AZ349" s="394">
        <v>0</v>
      </c>
      <c r="BA349" s="394">
        <v>30.716390000000001</v>
      </c>
      <c r="BB349" s="394">
        <v>0.22020000000000001</v>
      </c>
      <c r="BC349" s="394">
        <v>11.278370000000001</v>
      </c>
      <c r="BD349" s="381" t="s">
        <v>167</v>
      </c>
      <c r="BE349" s="408" t="s">
        <v>175</v>
      </c>
      <c r="BF349" s="385"/>
      <c r="BG349" s="475">
        <v>215</v>
      </c>
      <c r="BH349" s="395">
        <f t="shared" ref="BH349" si="196">AT349/AQ349*1000</f>
        <v>1367.6713333333332</v>
      </c>
      <c r="BI349" s="395">
        <f t="shared" ref="BI349" si="197">AT349/AR349</f>
        <v>23.250412666666666</v>
      </c>
    </row>
    <row r="350" spans="1:61" s="358" customFormat="1" ht="19.2" x14ac:dyDescent="0.3">
      <c r="A350" s="359" t="s">
        <v>273</v>
      </c>
      <c r="B350" s="602" t="s">
        <v>4878</v>
      </c>
      <c r="C350" s="548" t="s">
        <v>4877</v>
      </c>
      <c r="D350" s="360">
        <v>0.4</v>
      </c>
      <c r="E350" s="528"/>
      <c r="F350" s="523"/>
      <c r="G350" s="393"/>
      <c r="H350" s="394"/>
      <c r="I350" s="394"/>
      <c r="J350" s="394"/>
      <c r="K350" s="394"/>
      <c r="L350" s="394"/>
      <c r="M350" s="394"/>
      <c r="N350" s="394"/>
      <c r="O350" s="394"/>
      <c r="P350" s="394"/>
      <c r="Q350" s="394"/>
      <c r="R350" s="381"/>
      <c r="S350" s="408"/>
      <c r="T350" s="385"/>
      <c r="U350" s="475"/>
      <c r="V350" s="395"/>
      <c r="W350" s="395"/>
      <c r="X350" s="528"/>
      <c r="Y350" s="523"/>
      <c r="Z350" s="393"/>
      <c r="AA350" s="394"/>
      <c r="AB350" s="394"/>
      <c r="AC350" s="394"/>
      <c r="AD350" s="394"/>
      <c r="AE350" s="394"/>
      <c r="AF350" s="394"/>
      <c r="AG350" s="394"/>
      <c r="AH350" s="394"/>
      <c r="AI350" s="394"/>
      <c r="AJ350" s="394"/>
      <c r="AK350" s="381"/>
      <c r="AL350" s="408"/>
      <c r="AM350" s="385"/>
      <c r="AN350" s="475"/>
      <c r="AO350" s="395"/>
      <c r="AP350" s="395"/>
      <c r="AQ350" s="528">
        <v>287</v>
      </c>
      <c r="AR350" s="523">
        <v>15</v>
      </c>
      <c r="AS350" s="393">
        <v>15</v>
      </c>
      <c r="AT350" s="600">
        <v>317.07810000000001</v>
      </c>
      <c r="AU350" s="394">
        <v>233.70283000000001</v>
      </c>
      <c r="AV350" s="394">
        <v>63.197400000000002</v>
      </c>
      <c r="AW350" s="394">
        <f>112.9094+11.29094+30</f>
        <v>154.20034000000001</v>
      </c>
      <c r="AX350" s="394">
        <v>37.131349999999998</v>
      </c>
      <c r="AY350" s="394">
        <v>0</v>
      </c>
      <c r="AZ350" s="394">
        <v>0</v>
      </c>
      <c r="BA350" s="394">
        <v>14.79522</v>
      </c>
      <c r="BB350" s="394">
        <v>0.22020000000000001</v>
      </c>
      <c r="BC350" s="394">
        <v>11.290940000000001</v>
      </c>
      <c r="BD350" s="381" t="s">
        <v>167</v>
      </c>
      <c r="BE350" s="408" t="s">
        <v>175</v>
      </c>
      <c r="BF350" s="385"/>
      <c r="BG350" s="475">
        <v>217</v>
      </c>
      <c r="BH350" s="395">
        <f t="shared" si="194"/>
        <v>1104.8017421602788</v>
      </c>
      <c r="BI350" s="395">
        <f t="shared" si="195"/>
        <v>21.138539999999999</v>
      </c>
    </row>
    <row r="351" spans="1:61" s="358" customFormat="1" ht="19.2" x14ac:dyDescent="0.3">
      <c r="A351" s="359" t="s">
        <v>274</v>
      </c>
      <c r="B351" s="602" t="s">
        <v>4890</v>
      </c>
      <c r="C351" s="548" t="s">
        <v>4889</v>
      </c>
      <c r="D351" s="360">
        <v>0.4</v>
      </c>
      <c r="E351" s="528"/>
      <c r="F351" s="523"/>
      <c r="G351" s="393"/>
      <c r="H351" s="394"/>
      <c r="I351" s="394"/>
      <c r="J351" s="394"/>
      <c r="K351" s="394"/>
      <c r="L351" s="394"/>
      <c r="M351" s="394"/>
      <c r="N351" s="394"/>
      <c r="O351" s="394"/>
      <c r="P351" s="394"/>
      <c r="Q351" s="394"/>
      <c r="R351" s="381"/>
      <c r="S351" s="408"/>
      <c r="T351" s="385"/>
      <c r="U351" s="475"/>
      <c r="V351" s="395"/>
      <c r="W351" s="395"/>
      <c r="X351" s="528"/>
      <c r="Y351" s="523"/>
      <c r="Z351" s="393"/>
      <c r="AA351" s="394"/>
      <c r="AB351" s="394"/>
      <c r="AC351" s="394"/>
      <c r="AD351" s="394"/>
      <c r="AE351" s="394"/>
      <c r="AF351" s="394"/>
      <c r="AG351" s="394"/>
      <c r="AH351" s="394"/>
      <c r="AI351" s="394"/>
      <c r="AJ351" s="394"/>
      <c r="AK351" s="381"/>
      <c r="AL351" s="408"/>
      <c r="AM351" s="385"/>
      <c r="AN351" s="475"/>
      <c r="AO351" s="395"/>
      <c r="AP351" s="395"/>
      <c r="AQ351" s="528">
        <v>155</v>
      </c>
      <c r="AR351" s="523">
        <v>10</v>
      </c>
      <c r="AS351" s="393">
        <v>10</v>
      </c>
      <c r="AT351" s="600">
        <v>240.47578999999999</v>
      </c>
      <c r="AU351" s="394">
        <v>167.93132</v>
      </c>
      <c r="AV351" s="394">
        <v>34.131</v>
      </c>
      <c r="AW351" s="394">
        <f>67.74564+20+33.87282</f>
        <v>121.61846</v>
      </c>
      <c r="AX351" s="394">
        <v>28.788309999999999</v>
      </c>
      <c r="AY351" s="394">
        <v>0</v>
      </c>
      <c r="AZ351" s="394">
        <v>0</v>
      </c>
      <c r="BA351" s="394">
        <v>21.58032</v>
      </c>
      <c r="BB351" s="394">
        <v>0.22020000000000001</v>
      </c>
      <c r="BC351" s="394">
        <v>11.290940000000001</v>
      </c>
      <c r="BD351" s="381" t="s">
        <v>167</v>
      </c>
      <c r="BE351" s="408" t="s">
        <v>175</v>
      </c>
      <c r="BF351" s="385"/>
      <c r="BG351" s="475">
        <v>219</v>
      </c>
      <c r="BH351" s="395">
        <f t="shared" ref="BH351:BH352" si="198">AT351/AQ351*1000</f>
        <v>1551.4567096774192</v>
      </c>
      <c r="BI351" s="395">
        <f t="shared" ref="BI351:BI352" si="199">AT351/AR351</f>
        <v>24.047578999999999</v>
      </c>
    </row>
    <row r="352" spans="1:61" s="358" customFormat="1" ht="19.2" x14ac:dyDescent="0.3">
      <c r="A352" s="359" t="s">
        <v>275</v>
      </c>
      <c r="B352" s="602" t="s">
        <v>4898</v>
      </c>
      <c r="C352" s="548" t="s">
        <v>4897</v>
      </c>
      <c r="D352" s="360">
        <v>0.4</v>
      </c>
      <c r="E352" s="528"/>
      <c r="F352" s="523"/>
      <c r="G352" s="393"/>
      <c r="H352" s="394"/>
      <c r="I352" s="394"/>
      <c r="J352" s="394"/>
      <c r="K352" s="394"/>
      <c r="L352" s="394"/>
      <c r="M352" s="394"/>
      <c r="N352" s="394"/>
      <c r="O352" s="394"/>
      <c r="P352" s="394"/>
      <c r="Q352" s="394"/>
      <c r="R352" s="381"/>
      <c r="S352" s="408"/>
      <c r="T352" s="385"/>
      <c r="U352" s="475"/>
      <c r="V352" s="395"/>
      <c r="W352" s="395"/>
      <c r="X352" s="528"/>
      <c r="Y352" s="523"/>
      <c r="Z352" s="393"/>
      <c r="AA352" s="394"/>
      <c r="AB352" s="394"/>
      <c r="AC352" s="394"/>
      <c r="AD352" s="394"/>
      <c r="AE352" s="394"/>
      <c r="AF352" s="394"/>
      <c r="AG352" s="394"/>
      <c r="AH352" s="394"/>
      <c r="AI352" s="394"/>
      <c r="AJ352" s="394"/>
      <c r="AK352" s="381"/>
      <c r="AL352" s="408"/>
      <c r="AM352" s="385"/>
      <c r="AN352" s="475"/>
      <c r="AO352" s="395"/>
      <c r="AP352" s="395"/>
      <c r="AQ352" s="528">
        <v>296</v>
      </c>
      <c r="AR352" s="523">
        <v>15</v>
      </c>
      <c r="AS352" s="393">
        <v>15</v>
      </c>
      <c r="AT352" s="600">
        <v>266.56025</v>
      </c>
      <c r="AU352" s="394">
        <v>189.99941999999999</v>
      </c>
      <c r="AV352" s="394">
        <v>65.179199999999994</v>
      </c>
      <c r="AW352" s="394">
        <f>56.4547+45.16376</f>
        <v>101.61846</v>
      </c>
      <c r="AX352" s="394">
        <v>28.774380000000001</v>
      </c>
      <c r="AY352" s="394">
        <v>0</v>
      </c>
      <c r="AZ352" s="394">
        <v>0</v>
      </c>
      <c r="BA352" s="394">
        <v>23.484950000000001</v>
      </c>
      <c r="BB352" s="394">
        <v>0.22020000000000001</v>
      </c>
      <c r="BC352" s="394">
        <v>11.290940000000001</v>
      </c>
      <c r="BD352" s="381" t="s">
        <v>167</v>
      </c>
      <c r="BE352" s="408" t="s">
        <v>175</v>
      </c>
      <c r="BF352" s="385"/>
      <c r="BG352" s="475">
        <v>222</v>
      </c>
      <c r="BH352" s="395">
        <f t="shared" si="198"/>
        <v>900.5413851351351</v>
      </c>
      <c r="BI352" s="395">
        <f t="shared" si="199"/>
        <v>17.770683333333334</v>
      </c>
    </row>
    <row r="353" spans="1:61" s="358" customFormat="1" ht="19.2" x14ac:dyDescent="0.3">
      <c r="A353" s="359" t="s">
        <v>276</v>
      </c>
      <c r="B353" s="602" t="s">
        <v>4952</v>
      </c>
      <c r="C353" s="548" t="s">
        <v>4951</v>
      </c>
      <c r="D353" s="360">
        <v>0.4</v>
      </c>
      <c r="E353" s="528"/>
      <c r="F353" s="523"/>
      <c r="G353" s="393"/>
      <c r="H353" s="394"/>
      <c r="I353" s="394"/>
      <c r="J353" s="394"/>
      <c r="K353" s="394"/>
      <c r="L353" s="394"/>
      <c r="M353" s="394"/>
      <c r="N353" s="394"/>
      <c r="O353" s="394"/>
      <c r="P353" s="394"/>
      <c r="Q353" s="394"/>
      <c r="R353" s="381"/>
      <c r="S353" s="408"/>
      <c r="T353" s="385"/>
      <c r="U353" s="475"/>
      <c r="V353" s="395"/>
      <c r="W353" s="395"/>
      <c r="X353" s="528"/>
      <c r="Y353" s="523"/>
      <c r="Z353" s="393"/>
      <c r="AA353" s="394"/>
      <c r="AB353" s="394"/>
      <c r="AC353" s="394"/>
      <c r="AD353" s="394"/>
      <c r="AE353" s="394"/>
      <c r="AF353" s="394"/>
      <c r="AG353" s="394"/>
      <c r="AH353" s="394"/>
      <c r="AI353" s="394"/>
      <c r="AJ353" s="394"/>
      <c r="AK353" s="381"/>
      <c r="AL353" s="408"/>
      <c r="AM353" s="385"/>
      <c r="AN353" s="475"/>
      <c r="AO353" s="395"/>
      <c r="AP353" s="395"/>
      <c r="AQ353" s="528">
        <v>111</v>
      </c>
      <c r="AR353" s="523">
        <v>15</v>
      </c>
      <c r="AS353" s="393">
        <v>15</v>
      </c>
      <c r="AT353" s="600">
        <v>105.80794</v>
      </c>
      <c r="AU353" s="394">
        <v>75.047359999999998</v>
      </c>
      <c r="AV353" s="394">
        <v>24.4422</v>
      </c>
      <c r="AW353" s="394">
        <f>22.61526+22.61526</f>
        <v>45.230519999999999</v>
      </c>
      <c r="AX353" s="394">
        <v>11.65605</v>
      </c>
      <c r="AY353" s="394">
        <v>0</v>
      </c>
      <c r="AZ353" s="394">
        <v>0</v>
      </c>
      <c r="BA353" s="394">
        <v>9.3779299999999992</v>
      </c>
      <c r="BB353" s="394">
        <v>0.22020000000000001</v>
      </c>
      <c r="BC353" s="394">
        <v>11.30763</v>
      </c>
      <c r="BD353" s="381" t="s">
        <v>167</v>
      </c>
      <c r="BE353" s="408" t="s">
        <v>175</v>
      </c>
      <c r="BF353" s="385"/>
      <c r="BG353" s="475">
        <v>224</v>
      </c>
      <c r="BH353" s="395">
        <f t="shared" ref="BH353" si="200">AT353/AQ353*1000</f>
        <v>953.22468468468469</v>
      </c>
      <c r="BI353" s="395">
        <f t="shared" ref="BI353" si="201">AT353/AR353</f>
        <v>7.0538626666666664</v>
      </c>
    </row>
    <row r="354" spans="1:61" s="358" customFormat="1" x14ac:dyDescent="0.3">
      <c r="A354" s="359"/>
      <c r="B354" s="378"/>
      <c r="C354" s="546"/>
      <c r="D354" s="360"/>
      <c r="E354" s="528"/>
      <c r="F354" s="523"/>
      <c r="G354" s="393"/>
      <c r="H354" s="394"/>
      <c r="I354" s="394"/>
      <c r="J354" s="394"/>
      <c r="K354" s="394"/>
      <c r="L354" s="394"/>
      <c r="M354" s="394"/>
      <c r="N354" s="394"/>
      <c r="O354" s="394"/>
      <c r="P354" s="394"/>
      <c r="Q354" s="394"/>
      <c r="R354" s="385"/>
      <c r="S354" s="385"/>
      <c r="T354" s="385"/>
      <c r="U354" s="475"/>
      <c r="V354" s="395" t="e">
        <f t="shared" ref="V354" si="202">H354/E354*1000</f>
        <v>#DIV/0!</v>
      </c>
      <c r="W354" s="395" t="e">
        <f t="shared" ref="W354" si="203">H354/F354</f>
        <v>#DIV/0!</v>
      </c>
      <c r="X354" s="528"/>
      <c r="Y354" s="523"/>
      <c r="Z354" s="393"/>
      <c r="AA354" s="394"/>
      <c r="AB354" s="394"/>
      <c r="AC354" s="394"/>
      <c r="AD354" s="394"/>
      <c r="AE354" s="394"/>
      <c r="AF354" s="394"/>
      <c r="AG354" s="394"/>
      <c r="AH354" s="394"/>
      <c r="AI354" s="394"/>
      <c r="AJ354" s="394"/>
      <c r="AK354" s="385"/>
      <c r="AL354" s="385"/>
      <c r="AM354" s="385"/>
      <c r="AN354" s="475"/>
      <c r="AO354" s="395" t="e">
        <f t="shared" si="174"/>
        <v>#DIV/0!</v>
      </c>
      <c r="AP354" s="395" t="e">
        <f t="shared" si="175"/>
        <v>#DIV/0!</v>
      </c>
      <c r="AQ354" s="528"/>
      <c r="AR354" s="523"/>
      <c r="AS354" s="393"/>
      <c r="AT354" s="394"/>
      <c r="AU354" s="394"/>
      <c r="AV354" s="394"/>
      <c r="AW354" s="394"/>
      <c r="AX354" s="394"/>
      <c r="AY354" s="394"/>
      <c r="AZ354" s="394"/>
      <c r="BA354" s="394"/>
      <c r="BB354" s="394"/>
      <c r="BC354" s="394"/>
      <c r="BD354" s="385"/>
      <c r="BE354" s="385"/>
      <c r="BF354" s="385"/>
      <c r="BG354" s="475"/>
      <c r="BH354" s="395" t="e">
        <f t="shared" si="176"/>
        <v>#DIV/0!</v>
      </c>
      <c r="BI354" s="395" t="e">
        <f t="shared" si="177"/>
        <v>#DIV/0!</v>
      </c>
    </row>
    <row r="355" spans="1:61" s="358" customFormat="1" ht="72" x14ac:dyDescent="0.3">
      <c r="A355" s="410" t="s">
        <v>6311</v>
      </c>
      <c r="B355" s="411" t="s">
        <v>6312</v>
      </c>
      <c r="C355" s="586"/>
      <c r="D355" s="412"/>
      <c r="E355" s="413">
        <f>E356+E402+E451+E456</f>
        <v>6823</v>
      </c>
      <c r="F355" s="413">
        <f>F356+F402+F451+F456</f>
        <v>1850</v>
      </c>
      <c r="G355" s="413">
        <f>G356+G402+G451+G456</f>
        <v>1850</v>
      </c>
      <c r="H355" s="414">
        <f>H356+H402+H451+H456</f>
        <v>7747.8950299999997</v>
      </c>
      <c r="I355" s="414">
        <f t="shared" ref="I355:Q355" si="204">I356+I402+I451+I456</f>
        <v>6018.9005100000004</v>
      </c>
      <c r="J355" s="414">
        <f t="shared" si="204"/>
        <v>1857.41887</v>
      </c>
      <c r="K355" s="414">
        <f t="shared" si="204"/>
        <v>2683.2690900000007</v>
      </c>
      <c r="L355" s="414">
        <f t="shared" si="204"/>
        <v>732.56955999999991</v>
      </c>
      <c r="M355" s="414">
        <f t="shared" si="204"/>
        <v>0</v>
      </c>
      <c r="N355" s="414">
        <f t="shared" si="204"/>
        <v>0</v>
      </c>
      <c r="O355" s="414">
        <f t="shared" si="204"/>
        <v>474.71467000000001</v>
      </c>
      <c r="P355" s="414">
        <f t="shared" si="204"/>
        <v>6360.56</v>
      </c>
      <c r="Q355" s="414">
        <f t="shared" si="204"/>
        <v>305.50632999999999</v>
      </c>
      <c r="R355" s="415"/>
      <c r="S355" s="415"/>
      <c r="T355" s="415"/>
      <c r="U355" s="473"/>
      <c r="V355" s="416">
        <f t="shared" ref="V355:V356" si="205">H355/E355*1000</f>
        <v>1135.5554785285065</v>
      </c>
      <c r="W355" s="416">
        <f t="shared" ref="W355:W356" si="206">H355/F355</f>
        <v>4.1880513675675672</v>
      </c>
      <c r="X355" s="413">
        <f>X356+X402+X451+X456</f>
        <v>10925</v>
      </c>
      <c r="Y355" s="413">
        <f t="shared" ref="Y355:Z355" si="207">Y356+Y402+Y451+Y456</f>
        <v>3397</v>
      </c>
      <c r="Z355" s="413">
        <f t="shared" si="207"/>
        <v>3397</v>
      </c>
      <c r="AA355" s="414">
        <f>AA356+AA402+AA451+AA456</f>
        <v>11055.82086</v>
      </c>
      <c r="AB355" s="414">
        <f t="shared" ref="AB355:AJ355" si="208">AB356+AB402+AB451+AB456</f>
        <v>8545.3303800000012</v>
      </c>
      <c r="AC355" s="414">
        <f t="shared" si="208"/>
        <v>3465.5970600000001</v>
      </c>
      <c r="AD355" s="414">
        <f t="shared" si="208"/>
        <v>4064.7854600000001</v>
      </c>
      <c r="AE355" s="414">
        <f t="shared" si="208"/>
        <v>1166.8734100000001</v>
      </c>
      <c r="AF355" s="414">
        <f t="shared" si="208"/>
        <v>0</v>
      </c>
      <c r="AG355" s="414">
        <f t="shared" si="208"/>
        <v>0</v>
      </c>
      <c r="AH355" s="414">
        <f t="shared" si="208"/>
        <v>657.9436300000001</v>
      </c>
      <c r="AI355" s="414">
        <f t="shared" si="208"/>
        <v>11.564290000000003</v>
      </c>
      <c r="AJ355" s="414">
        <f t="shared" si="208"/>
        <v>459.62072999999992</v>
      </c>
      <c r="AK355" s="415"/>
      <c r="AL355" s="415"/>
      <c r="AM355" s="415"/>
      <c r="AN355" s="473"/>
      <c r="AO355" s="416">
        <f t="shared" si="174"/>
        <v>1011.9744494279176</v>
      </c>
      <c r="AP355" s="416">
        <f t="shared" si="175"/>
        <v>3.2545837091551366</v>
      </c>
      <c r="AQ355" s="413">
        <f>AQ356+AQ402+AQ451+AQ456</f>
        <v>10243</v>
      </c>
      <c r="AR355" s="413">
        <f t="shared" ref="AR355:AS355" si="209">AR356+AR402+AR451+AR456</f>
        <v>3537</v>
      </c>
      <c r="AS355" s="413">
        <f t="shared" si="209"/>
        <v>3537</v>
      </c>
      <c r="AT355" s="414">
        <f>AT356+AT402+AT451+AT456</f>
        <v>11237.721020000001</v>
      </c>
      <c r="AU355" s="414">
        <f t="shared" ref="AU355:BC355" si="210">AU356+AU402+AU451+AU456</f>
        <v>8277.3002400000005</v>
      </c>
      <c r="AV355" s="414">
        <f t="shared" si="210"/>
        <v>3584.6890800000001</v>
      </c>
      <c r="AW355" s="414">
        <f t="shared" si="210"/>
        <v>3143.3897900000002</v>
      </c>
      <c r="AX355" s="414">
        <f t="shared" si="210"/>
        <v>1253.2782399999999</v>
      </c>
      <c r="AY355" s="414">
        <f t="shared" si="210"/>
        <v>85.8</v>
      </c>
      <c r="AZ355" s="414">
        <f t="shared" si="210"/>
        <v>0</v>
      </c>
      <c r="BA355" s="414">
        <f t="shared" si="210"/>
        <v>756.5590400000001</v>
      </c>
      <c r="BB355" s="414">
        <f t="shared" si="210"/>
        <v>11.538260000000001</v>
      </c>
      <c r="BC355" s="414">
        <f t="shared" si="210"/>
        <v>371.85727000000003</v>
      </c>
      <c r="BD355" s="415"/>
      <c r="BE355" s="415"/>
      <c r="BF355" s="415"/>
      <c r="BG355" s="473"/>
      <c r="BH355" s="416">
        <f t="shared" si="176"/>
        <v>1097.1122737479254</v>
      </c>
      <c r="BI355" s="416">
        <f t="shared" si="177"/>
        <v>3.1771899971727455</v>
      </c>
    </row>
    <row r="356" spans="1:61" s="358" customFormat="1" ht="24.75" customHeight="1" x14ac:dyDescent="0.3">
      <c r="A356" s="354" t="s">
        <v>6311</v>
      </c>
      <c r="B356" s="355" t="s">
        <v>212</v>
      </c>
      <c r="C356" s="587"/>
      <c r="D356" s="356">
        <v>0.4</v>
      </c>
      <c r="E356" s="389">
        <f t="shared" ref="E356:Q356" si="211">SUM(E357:E401)</f>
        <v>3023</v>
      </c>
      <c r="F356" s="389">
        <f t="shared" si="211"/>
        <v>525</v>
      </c>
      <c r="G356" s="389">
        <f t="shared" si="211"/>
        <v>525</v>
      </c>
      <c r="H356" s="390">
        <f t="shared" si="211"/>
        <v>2903.9005099999999</v>
      </c>
      <c r="I356" s="390">
        <f t="shared" si="211"/>
        <v>2168.8688900000002</v>
      </c>
      <c r="J356" s="390">
        <f t="shared" si="211"/>
        <v>708.81274999999994</v>
      </c>
      <c r="K356" s="390">
        <f t="shared" si="211"/>
        <v>1290.5209600000003</v>
      </c>
      <c r="L356" s="390">
        <f t="shared" si="211"/>
        <v>329.48093999999998</v>
      </c>
      <c r="M356" s="390">
        <f t="shared" si="211"/>
        <v>0</v>
      </c>
      <c r="N356" s="390">
        <f t="shared" si="211"/>
        <v>0</v>
      </c>
      <c r="O356" s="390">
        <f t="shared" si="211"/>
        <v>199.89046999999999</v>
      </c>
      <c r="P356" s="390">
        <f t="shared" si="211"/>
        <v>3327.9700000000007</v>
      </c>
      <c r="Q356" s="390">
        <f t="shared" si="211"/>
        <v>167.05594000000002</v>
      </c>
      <c r="R356" s="391"/>
      <c r="S356" s="391"/>
      <c r="T356" s="391"/>
      <c r="U356" s="474"/>
      <c r="V356" s="392">
        <f t="shared" si="205"/>
        <v>960.60221964935488</v>
      </c>
      <c r="W356" s="392">
        <f t="shared" si="206"/>
        <v>5.5312390666666662</v>
      </c>
      <c r="X356" s="389">
        <f t="shared" ref="X356:AJ356" si="212">SUM(X357:X401)</f>
        <v>3423</v>
      </c>
      <c r="Y356" s="389">
        <f t="shared" si="212"/>
        <v>180</v>
      </c>
      <c r="Z356" s="389">
        <f t="shared" si="212"/>
        <v>180</v>
      </c>
      <c r="AA356" s="390">
        <f t="shared" si="212"/>
        <v>3959.1517099999996</v>
      </c>
      <c r="AB356" s="390">
        <f t="shared" si="212"/>
        <v>2925.88006</v>
      </c>
      <c r="AC356" s="390">
        <f t="shared" si="212"/>
        <v>841.09253999999999</v>
      </c>
      <c r="AD356" s="390">
        <f t="shared" si="212"/>
        <v>1879.2059799999997</v>
      </c>
      <c r="AE356" s="390">
        <f t="shared" si="212"/>
        <v>493.43257</v>
      </c>
      <c r="AF356" s="390">
        <f t="shared" si="212"/>
        <v>0</v>
      </c>
      <c r="AG356" s="390">
        <f t="shared" si="212"/>
        <v>0</v>
      </c>
      <c r="AH356" s="390">
        <f t="shared" si="212"/>
        <v>265.60417000000001</v>
      </c>
      <c r="AI356" s="390">
        <f t="shared" si="212"/>
        <v>2.9104799999999997</v>
      </c>
      <c r="AJ356" s="390">
        <f t="shared" si="212"/>
        <v>161.42307</v>
      </c>
      <c r="AK356" s="391"/>
      <c r="AL356" s="391"/>
      <c r="AM356" s="391"/>
      <c r="AN356" s="474"/>
      <c r="AO356" s="392">
        <f t="shared" si="174"/>
        <v>1156.6321092608823</v>
      </c>
      <c r="AP356" s="392">
        <f t="shared" si="175"/>
        <v>21.995287277777777</v>
      </c>
      <c r="AQ356" s="389">
        <f t="shared" ref="AQ356:BC356" si="213">SUM(AQ357:AQ401)</f>
        <v>4061</v>
      </c>
      <c r="AR356" s="389">
        <f t="shared" si="213"/>
        <v>1172</v>
      </c>
      <c r="AS356" s="389">
        <f t="shared" si="213"/>
        <v>1172</v>
      </c>
      <c r="AT356" s="390">
        <f t="shared" si="213"/>
        <v>5342.8185600000006</v>
      </c>
      <c r="AU356" s="390">
        <f t="shared" si="213"/>
        <v>3592.9236700000001</v>
      </c>
      <c r="AV356" s="390">
        <f t="shared" si="213"/>
        <v>1201.0530799999999</v>
      </c>
      <c r="AW356" s="390">
        <f t="shared" si="213"/>
        <v>2029.37274</v>
      </c>
      <c r="AX356" s="390">
        <f t="shared" si="213"/>
        <v>832.96125999999992</v>
      </c>
      <c r="AY356" s="390">
        <f t="shared" si="213"/>
        <v>0</v>
      </c>
      <c r="AZ356" s="390">
        <f t="shared" si="213"/>
        <v>0</v>
      </c>
      <c r="BA356" s="390">
        <f t="shared" si="213"/>
        <v>451.10267999999996</v>
      </c>
      <c r="BB356" s="390">
        <f t="shared" si="213"/>
        <v>4.8138400000000008</v>
      </c>
      <c r="BC356" s="390">
        <f t="shared" si="213"/>
        <v>177.26754</v>
      </c>
      <c r="BD356" s="391"/>
      <c r="BE356" s="391"/>
      <c r="BF356" s="391"/>
      <c r="BG356" s="474"/>
      <c r="BH356" s="392">
        <f t="shared" si="176"/>
        <v>1315.6411130263484</v>
      </c>
      <c r="BI356" s="392">
        <f t="shared" si="177"/>
        <v>4.5587189078498298</v>
      </c>
    </row>
    <row r="357" spans="1:61" s="358" customFormat="1" ht="19.2" x14ac:dyDescent="0.3">
      <c r="A357" s="359" t="s">
        <v>178</v>
      </c>
      <c r="B357" s="537" t="s">
        <v>549</v>
      </c>
      <c r="C357" s="546" t="s">
        <v>412</v>
      </c>
      <c r="D357" s="360">
        <v>0.4</v>
      </c>
      <c r="E357" s="528">
        <v>15</v>
      </c>
      <c r="F357" s="523">
        <v>60</v>
      </c>
      <c r="G357" s="393">
        <v>60</v>
      </c>
      <c r="H357" s="542">
        <v>20.75225</v>
      </c>
      <c r="I357" s="394">
        <v>15.16412</v>
      </c>
      <c r="J357" s="394">
        <v>3.0831</v>
      </c>
      <c r="K357" s="394">
        <v>10</v>
      </c>
      <c r="L357" s="394">
        <v>2.4382700000000002</v>
      </c>
      <c r="M357" s="394">
        <v>0</v>
      </c>
      <c r="N357" s="394">
        <v>0</v>
      </c>
      <c r="O357" s="394">
        <v>1.5108200000000001</v>
      </c>
      <c r="P357" s="394">
        <v>205.54</v>
      </c>
      <c r="Q357" s="394">
        <v>10</v>
      </c>
      <c r="R357" s="381" t="s">
        <v>167</v>
      </c>
      <c r="S357" s="408" t="s">
        <v>175</v>
      </c>
      <c r="T357" s="385"/>
      <c r="U357" s="475">
        <v>189</v>
      </c>
      <c r="V357" s="395">
        <f t="shared" ref="V357:V360" si="214">H357/E357*1000</f>
        <v>1383.4833333333333</v>
      </c>
      <c r="W357" s="395">
        <f t="shared" ref="W357:W360" si="215">H357/F357</f>
        <v>0.34587083333333335</v>
      </c>
      <c r="X357" s="528"/>
      <c r="Y357" s="523"/>
      <c r="Z357" s="393"/>
      <c r="AA357" s="542"/>
      <c r="AB357" s="394"/>
      <c r="AC357" s="394"/>
      <c r="AD357" s="394"/>
      <c r="AE357" s="394"/>
      <c r="AF357" s="394"/>
      <c r="AG357" s="394"/>
      <c r="AH357" s="394"/>
      <c r="AI357" s="394"/>
      <c r="AJ357" s="394"/>
      <c r="AK357" s="381"/>
      <c r="AL357" s="408"/>
      <c r="AM357" s="385"/>
      <c r="AN357" s="475"/>
      <c r="AO357" s="395" t="e">
        <f t="shared" ref="AO357:AO451" si="216">AA357/X357*1000</f>
        <v>#DIV/0!</v>
      </c>
      <c r="AP357" s="395" t="e">
        <f t="shared" ref="AP357:AP451" si="217">AA357/Y357</f>
        <v>#DIV/0!</v>
      </c>
      <c r="AQ357" s="528"/>
      <c r="AR357" s="523"/>
      <c r="AS357" s="393"/>
      <c r="AT357" s="542"/>
      <c r="AU357" s="394"/>
      <c r="AV357" s="394"/>
      <c r="AW357" s="394"/>
      <c r="AX357" s="394"/>
      <c r="AY357" s="394"/>
      <c r="AZ357" s="394"/>
      <c r="BA357" s="394"/>
      <c r="BB357" s="394"/>
      <c r="BC357" s="394"/>
      <c r="BD357" s="381"/>
      <c r="BE357" s="408"/>
      <c r="BF357" s="385"/>
      <c r="BG357" s="475"/>
      <c r="BH357" s="395" t="e">
        <f t="shared" ref="BH357:BH451" si="218">AT357/AQ357*1000</f>
        <v>#DIV/0!</v>
      </c>
      <c r="BI357" s="395" t="e">
        <f t="shared" ref="BI357:BI451" si="219">AT357/AR357</f>
        <v>#DIV/0!</v>
      </c>
    </row>
    <row r="358" spans="1:61" s="358" customFormat="1" ht="19.2" x14ac:dyDescent="0.3">
      <c r="A358" s="359" t="s">
        <v>182</v>
      </c>
      <c r="B358" s="537" t="s">
        <v>255</v>
      </c>
      <c r="C358" s="546" t="s">
        <v>436</v>
      </c>
      <c r="D358" s="360">
        <v>0.4</v>
      </c>
      <c r="E358" s="528">
        <v>115</v>
      </c>
      <c r="F358" s="523">
        <v>100</v>
      </c>
      <c r="G358" s="393">
        <v>100</v>
      </c>
      <c r="H358" s="542">
        <v>111.38079</v>
      </c>
      <c r="I358" s="394">
        <v>79.507140000000007</v>
      </c>
      <c r="J358" s="394">
        <v>23.638249999999999</v>
      </c>
      <c r="K358" s="394">
        <f>9.86334+39.45336</f>
        <v>49.316700000000004</v>
      </c>
      <c r="L358" s="394">
        <v>14.322369999999999</v>
      </c>
      <c r="M358" s="394">
        <v>0</v>
      </c>
      <c r="N358" s="394">
        <v>0</v>
      </c>
      <c r="O358" s="394">
        <v>8.7128200000000007</v>
      </c>
      <c r="P358" s="394">
        <v>205.55</v>
      </c>
      <c r="Q358" s="394">
        <v>9.8633400000000009</v>
      </c>
      <c r="R358" s="381" t="s">
        <v>167</v>
      </c>
      <c r="S358" s="408" t="s">
        <v>175</v>
      </c>
      <c r="T358" s="385"/>
      <c r="U358" s="475">
        <v>191</v>
      </c>
      <c r="V358" s="395">
        <f t="shared" si="214"/>
        <v>968.52860869565211</v>
      </c>
      <c r="W358" s="395">
        <f t="shared" si="215"/>
        <v>1.1138079000000001</v>
      </c>
      <c r="X358" s="528"/>
      <c r="Y358" s="523"/>
      <c r="Z358" s="393"/>
      <c r="AA358" s="542"/>
      <c r="AB358" s="394"/>
      <c r="AC358" s="394"/>
      <c r="AD358" s="394"/>
      <c r="AE358" s="394"/>
      <c r="AF358" s="394"/>
      <c r="AG358" s="394"/>
      <c r="AH358" s="394"/>
      <c r="AI358" s="394"/>
      <c r="AJ358" s="394"/>
      <c r="AK358" s="381"/>
      <c r="AL358" s="408"/>
      <c r="AM358" s="385"/>
      <c r="AN358" s="475"/>
      <c r="AO358" s="395" t="e">
        <f t="shared" si="216"/>
        <v>#DIV/0!</v>
      </c>
      <c r="AP358" s="395" t="e">
        <f t="shared" si="217"/>
        <v>#DIV/0!</v>
      </c>
      <c r="AQ358" s="528"/>
      <c r="AR358" s="523"/>
      <c r="AS358" s="393"/>
      <c r="AT358" s="542"/>
      <c r="AU358" s="394"/>
      <c r="AV358" s="394"/>
      <c r="AW358" s="394"/>
      <c r="AX358" s="394"/>
      <c r="AY358" s="394"/>
      <c r="AZ358" s="394"/>
      <c r="BA358" s="394"/>
      <c r="BB358" s="394"/>
      <c r="BC358" s="394"/>
      <c r="BD358" s="381"/>
      <c r="BE358" s="408"/>
      <c r="BF358" s="385"/>
      <c r="BG358" s="475"/>
      <c r="BH358" s="395" t="e">
        <f t="shared" si="218"/>
        <v>#DIV/0!</v>
      </c>
      <c r="BI358" s="395" t="e">
        <f t="shared" si="219"/>
        <v>#DIV/0!</v>
      </c>
    </row>
    <row r="359" spans="1:61" s="358" customFormat="1" ht="19.2" x14ac:dyDescent="0.3">
      <c r="A359" s="359" t="s">
        <v>184</v>
      </c>
      <c r="B359" s="537" t="s">
        <v>568</v>
      </c>
      <c r="C359" s="546" t="s">
        <v>437</v>
      </c>
      <c r="D359" s="360">
        <v>0.4</v>
      </c>
      <c r="E359" s="528">
        <v>150</v>
      </c>
      <c r="F359" s="523">
        <v>15</v>
      </c>
      <c r="G359" s="393">
        <v>15</v>
      </c>
      <c r="H359" s="542">
        <v>132.27162000000001</v>
      </c>
      <c r="I359" s="394">
        <v>97.780420000000007</v>
      </c>
      <c r="J359" s="394">
        <v>30.831</v>
      </c>
      <c r="K359" s="394">
        <f>11.833+47.332</f>
        <v>59.164999999999999</v>
      </c>
      <c r="L359" s="394">
        <v>15.46433</v>
      </c>
      <c r="M359" s="394">
        <v>0</v>
      </c>
      <c r="N359" s="394">
        <v>0</v>
      </c>
      <c r="O359" s="394">
        <v>9.4569299999999998</v>
      </c>
      <c r="P359" s="394">
        <v>205.54</v>
      </c>
      <c r="Q359" s="394">
        <v>11.833</v>
      </c>
      <c r="R359" s="381" t="s">
        <v>167</v>
      </c>
      <c r="S359" s="408" t="s">
        <v>175</v>
      </c>
      <c r="T359" s="385"/>
      <c r="U359" s="475">
        <v>193</v>
      </c>
      <c r="V359" s="395">
        <f t="shared" si="214"/>
        <v>881.81080000000009</v>
      </c>
      <c r="W359" s="395">
        <f t="shared" si="215"/>
        <v>8.8181080000000005</v>
      </c>
      <c r="X359" s="528"/>
      <c r="Y359" s="523"/>
      <c r="Z359" s="393"/>
      <c r="AA359" s="542"/>
      <c r="AB359" s="394"/>
      <c r="AC359" s="394"/>
      <c r="AD359" s="394"/>
      <c r="AE359" s="394"/>
      <c r="AF359" s="394"/>
      <c r="AG359" s="394"/>
      <c r="AH359" s="394"/>
      <c r="AI359" s="394"/>
      <c r="AJ359" s="394"/>
      <c r="AK359" s="381"/>
      <c r="AL359" s="408"/>
      <c r="AM359" s="385"/>
      <c r="AN359" s="475"/>
      <c r="AO359" s="395" t="e">
        <f t="shared" si="216"/>
        <v>#DIV/0!</v>
      </c>
      <c r="AP359" s="395" t="e">
        <f t="shared" si="217"/>
        <v>#DIV/0!</v>
      </c>
      <c r="AQ359" s="528"/>
      <c r="AR359" s="523"/>
      <c r="AS359" s="393"/>
      <c r="AT359" s="542"/>
      <c r="AU359" s="394"/>
      <c r="AV359" s="394"/>
      <c r="AW359" s="394"/>
      <c r="AX359" s="394"/>
      <c r="AY359" s="394"/>
      <c r="AZ359" s="394"/>
      <c r="BA359" s="394"/>
      <c r="BB359" s="394"/>
      <c r="BC359" s="394"/>
      <c r="BD359" s="381"/>
      <c r="BE359" s="408"/>
      <c r="BF359" s="385"/>
      <c r="BG359" s="475"/>
      <c r="BH359" s="395" t="e">
        <f t="shared" si="218"/>
        <v>#DIV/0!</v>
      </c>
      <c r="BI359" s="395" t="e">
        <f t="shared" si="219"/>
        <v>#DIV/0!</v>
      </c>
    </row>
    <row r="360" spans="1:61" s="358" customFormat="1" ht="19.2" x14ac:dyDescent="0.3">
      <c r="A360" s="359" t="s">
        <v>186</v>
      </c>
      <c r="B360" s="537" t="s">
        <v>572</v>
      </c>
      <c r="C360" s="546" t="s">
        <v>441</v>
      </c>
      <c r="D360" s="360">
        <v>0.4</v>
      </c>
      <c r="E360" s="528">
        <v>400</v>
      </c>
      <c r="F360" s="523">
        <v>5</v>
      </c>
      <c r="G360" s="393">
        <v>5</v>
      </c>
      <c r="H360" s="542">
        <v>327.19238999999999</v>
      </c>
      <c r="I360" s="394">
        <v>241.89639</v>
      </c>
      <c r="J360" s="394">
        <v>82.215999999999994</v>
      </c>
      <c r="K360" s="394">
        <f>118.33+23.666</f>
        <v>141.99600000000001</v>
      </c>
      <c r="L360" s="394">
        <v>37.33466</v>
      </c>
      <c r="M360" s="394">
        <v>0</v>
      </c>
      <c r="N360" s="394">
        <v>0</v>
      </c>
      <c r="O360" s="394">
        <v>23.682099999999998</v>
      </c>
      <c r="P360" s="394">
        <v>205.54</v>
      </c>
      <c r="Q360" s="394">
        <v>11.833</v>
      </c>
      <c r="R360" s="381" t="s">
        <v>167</v>
      </c>
      <c r="S360" s="408" t="s">
        <v>175</v>
      </c>
      <c r="T360" s="385"/>
      <c r="U360" s="475">
        <v>195</v>
      </c>
      <c r="V360" s="395">
        <f t="shared" si="214"/>
        <v>817.98097499999994</v>
      </c>
      <c r="W360" s="395">
        <f t="shared" si="215"/>
        <v>65.438478000000003</v>
      </c>
      <c r="X360" s="528"/>
      <c r="Y360" s="523"/>
      <c r="Z360" s="393"/>
      <c r="AA360" s="542"/>
      <c r="AB360" s="394"/>
      <c r="AC360" s="394"/>
      <c r="AD360" s="394"/>
      <c r="AE360" s="394"/>
      <c r="AF360" s="394"/>
      <c r="AG360" s="394"/>
      <c r="AH360" s="394"/>
      <c r="AI360" s="394"/>
      <c r="AJ360" s="394"/>
      <c r="AK360" s="381"/>
      <c r="AL360" s="408"/>
      <c r="AM360" s="385"/>
      <c r="AN360" s="475"/>
      <c r="AO360" s="395" t="e">
        <f t="shared" si="216"/>
        <v>#DIV/0!</v>
      </c>
      <c r="AP360" s="395" t="e">
        <f t="shared" si="217"/>
        <v>#DIV/0!</v>
      </c>
      <c r="AQ360" s="528"/>
      <c r="AR360" s="523"/>
      <c r="AS360" s="393"/>
      <c r="AT360" s="542"/>
      <c r="AU360" s="394"/>
      <c r="AV360" s="394"/>
      <c r="AW360" s="394"/>
      <c r="AX360" s="394"/>
      <c r="AY360" s="394"/>
      <c r="AZ360" s="394"/>
      <c r="BA360" s="394"/>
      <c r="BB360" s="394"/>
      <c r="BC360" s="394"/>
      <c r="BD360" s="381"/>
      <c r="BE360" s="408"/>
      <c r="BF360" s="385"/>
      <c r="BG360" s="475"/>
      <c r="BH360" s="395" t="e">
        <f t="shared" si="218"/>
        <v>#DIV/0!</v>
      </c>
      <c r="BI360" s="395" t="e">
        <f t="shared" si="219"/>
        <v>#DIV/0!</v>
      </c>
    </row>
    <row r="361" spans="1:61" s="358" customFormat="1" ht="19.2" x14ac:dyDescent="0.3">
      <c r="A361" s="359" t="s">
        <v>189</v>
      </c>
      <c r="B361" s="537" t="s">
        <v>591</v>
      </c>
      <c r="C361" s="546" t="s">
        <v>463</v>
      </c>
      <c r="D361" s="360">
        <v>0.4</v>
      </c>
      <c r="E361" s="528">
        <v>70</v>
      </c>
      <c r="F361" s="523">
        <v>15</v>
      </c>
      <c r="G361" s="393">
        <v>15</v>
      </c>
      <c r="H361" s="542">
        <v>92.663460000000001</v>
      </c>
      <c r="I361" s="394">
        <v>68.856170000000006</v>
      </c>
      <c r="J361" s="394">
        <v>15.946</v>
      </c>
      <c r="K361" s="394">
        <f>11.833+11.833+23.666</f>
        <v>47.332000000000001</v>
      </c>
      <c r="L361" s="394">
        <v>10.587149999999999</v>
      </c>
      <c r="M361" s="394">
        <v>0</v>
      </c>
      <c r="N361" s="394">
        <v>0</v>
      </c>
      <c r="O361" s="394">
        <v>6.5311399999999997</v>
      </c>
      <c r="P361" s="394">
        <v>227.8</v>
      </c>
      <c r="Q361" s="394">
        <v>11.833</v>
      </c>
      <c r="R361" s="381" t="s">
        <v>167</v>
      </c>
      <c r="S361" s="408" t="s">
        <v>175</v>
      </c>
      <c r="T361" s="385"/>
      <c r="U361" s="475">
        <v>197</v>
      </c>
      <c r="V361" s="395">
        <f t="shared" ref="V361:V363" si="220">H361/E361*1000</f>
        <v>1323.7637142857143</v>
      </c>
      <c r="W361" s="395">
        <f t="shared" ref="W361:W363" si="221">H361/F361</f>
        <v>6.1775640000000003</v>
      </c>
      <c r="X361" s="528"/>
      <c r="Y361" s="523"/>
      <c r="Z361" s="393"/>
      <c r="AA361" s="542"/>
      <c r="AB361" s="394"/>
      <c r="AC361" s="394"/>
      <c r="AD361" s="394"/>
      <c r="AE361" s="394"/>
      <c r="AF361" s="394"/>
      <c r="AG361" s="394"/>
      <c r="AH361" s="394"/>
      <c r="AI361" s="394"/>
      <c r="AJ361" s="394"/>
      <c r="AK361" s="381"/>
      <c r="AL361" s="408"/>
      <c r="AM361" s="385"/>
      <c r="AN361" s="475"/>
      <c r="AO361" s="395" t="e">
        <f t="shared" si="216"/>
        <v>#DIV/0!</v>
      </c>
      <c r="AP361" s="395" t="e">
        <f t="shared" si="217"/>
        <v>#DIV/0!</v>
      </c>
      <c r="AQ361" s="528"/>
      <c r="AR361" s="523"/>
      <c r="AS361" s="393"/>
      <c r="AT361" s="542"/>
      <c r="AU361" s="394"/>
      <c r="AV361" s="394"/>
      <c r="AW361" s="394"/>
      <c r="AX361" s="394"/>
      <c r="AY361" s="394"/>
      <c r="AZ361" s="394"/>
      <c r="BA361" s="394"/>
      <c r="BB361" s="394"/>
      <c r="BC361" s="394"/>
      <c r="BD361" s="381"/>
      <c r="BE361" s="408"/>
      <c r="BF361" s="385"/>
      <c r="BG361" s="475"/>
      <c r="BH361" s="395" t="e">
        <f t="shared" si="218"/>
        <v>#DIV/0!</v>
      </c>
      <c r="BI361" s="395" t="e">
        <f t="shared" si="219"/>
        <v>#DIV/0!</v>
      </c>
    </row>
    <row r="362" spans="1:61" s="358" customFormat="1" ht="19.2" x14ac:dyDescent="0.3">
      <c r="A362" s="359" t="s">
        <v>267</v>
      </c>
      <c r="B362" s="537" t="s">
        <v>605</v>
      </c>
      <c r="C362" s="546" t="s">
        <v>478</v>
      </c>
      <c r="D362" s="360">
        <v>0.4</v>
      </c>
      <c r="E362" s="528">
        <v>100</v>
      </c>
      <c r="F362" s="523">
        <v>15</v>
      </c>
      <c r="G362" s="393">
        <v>15</v>
      </c>
      <c r="H362" s="542">
        <v>86.412819999999996</v>
      </c>
      <c r="I362" s="394">
        <v>64.687749999999994</v>
      </c>
      <c r="J362" s="394">
        <v>22.78</v>
      </c>
      <c r="K362" s="394">
        <v>36.132779999999997</v>
      </c>
      <c r="L362" s="394">
        <v>9.7297899999999995</v>
      </c>
      <c r="M362" s="394">
        <v>0</v>
      </c>
      <c r="N362" s="394">
        <v>0</v>
      </c>
      <c r="O362" s="394">
        <v>5.9157400000000004</v>
      </c>
      <c r="P362" s="394">
        <v>227.8</v>
      </c>
      <c r="Q362" s="394">
        <v>12.04426</v>
      </c>
      <c r="R362" s="381" t="s">
        <v>167</v>
      </c>
      <c r="S362" s="408" t="s">
        <v>175</v>
      </c>
      <c r="T362" s="385"/>
      <c r="U362" s="475">
        <v>199</v>
      </c>
      <c r="V362" s="395">
        <f t="shared" si="220"/>
        <v>864.12819999999999</v>
      </c>
      <c r="W362" s="395">
        <f t="shared" si="221"/>
        <v>5.760854666666666</v>
      </c>
      <c r="X362" s="528"/>
      <c r="Y362" s="523"/>
      <c r="Z362" s="393"/>
      <c r="AA362" s="542"/>
      <c r="AB362" s="394"/>
      <c r="AC362" s="394"/>
      <c r="AD362" s="394"/>
      <c r="AE362" s="394"/>
      <c r="AF362" s="394"/>
      <c r="AG362" s="394"/>
      <c r="AH362" s="394"/>
      <c r="AI362" s="394"/>
      <c r="AJ362" s="394"/>
      <c r="AK362" s="381"/>
      <c r="AL362" s="408"/>
      <c r="AM362" s="385"/>
      <c r="AN362" s="475"/>
      <c r="AO362" s="395" t="e">
        <f t="shared" si="216"/>
        <v>#DIV/0!</v>
      </c>
      <c r="AP362" s="395" t="e">
        <f t="shared" si="217"/>
        <v>#DIV/0!</v>
      </c>
      <c r="AQ362" s="528"/>
      <c r="AR362" s="523"/>
      <c r="AS362" s="393"/>
      <c r="AT362" s="542"/>
      <c r="AU362" s="394"/>
      <c r="AV362" s="394"/>
      <c r="AW362" s="394"/>
      <c r="AX362" s="394"/>
      <c r="AY362" s="394"/>
      <c r="AZ362" s="394"/>
      <c r="BA362" s="394"/>
      <c r="BB362" s="394"/>
      <c r="BC362" s="394"/>
      <c r="BD362" s="381"/>
      <c r="BE362" s="408"/>
      <c r="BF362" s="385"/>
      <c r="BG362" s="475"/>
      <c r="BH362" s="395" t="e">
        <f t="shared" si="218"/>
        <v>#DIV/0!</v>
      </c>
      <c r="BI362" s="395" t="e">
        <f t="shared" si="219"/>
        <v>#DIV/0!</v>
      </c>
    </row>
    <row r="363" spans="1:61" s="358" customFormat="1" ht="19.2" x14ac:dyDescent="0.3">
      <c r="A363" s="359" t="s">
        <v>268</v>
      </c>
      <c r="B363" s="537" t="s">
        <v>618</v>
      </c>
      <c r="C363" s="546" t="s">
        <v>492</v>
      </c>
      <c r="D363" s="360">
        <v>0.4</v>
      </c>
      <c r="E363" s="528">
        <v>66</v>
      </c>
      <c r="F363" s="523">
        <v>15</v>
      </c>
      <c r="G363" s="393">
        <v>15</v>
      </c>
      <c r="H363" s="542">
        <v>99.048479999999998</v>
      </c>
      <c r="I363" s="394">
        <v>69.594880000000003</v>
      </c>
      <c r="J363" s="394">
        <v>15.034800000000001</v>
      </c>
      <c r="K363" s="394">
        <f>24.64802+24.64802</f>
        <v>49.296039999999998</v>
      </c>
      <c r="L363" s="394">
        <v>10.21983</v>
      </c>
      <c r="M363" s="394">
        <v>0</v>
      </c>
      <c r="N363" s="394">
        <v>0</v>
      </c>
      <c r="O363" s="394">
        <v>8.8052700000000002</v>
      </c>
      <c r="P363" s="394">
        <v>227.8</v>
      </c>
      <c r="Q363" s="394">
        <v>12.324009999999999</v>
      </c>
      <c r="R363" s="381" t="s">
        <v>167</v>
      </c>
      <c r="S363" s="408" t="s">
        <v>175</v>
      </c>
      <c r="T363" s="385"/>
      <c r="U363" s="475">
        <v>201</v>
      </c>
      <c r="V363" s="395">
        <f t="shared" si="220"/>
        <v>1500.7345454545452</v>
      </c>
      <c r="W363" s="395">
        <f t="shared" si="221"/>
        <v>6.6032320000000002</v>
      </c>
      <c r="X363" s="528"/>
      <c r="Y363" s="523"/>
      <c r="Z363" s="393"/>
      <c r="AA363" s="542"/>
      <c r="AB363" s="394"/>
      <c r="AC363" s="394"/>
      <c r="AD363" s="394"/>
      <c r="AE363" s="394"/>
      <c r="AF363" s="394"/>
      <c r="AG363" s="394"/>
      <c r="AH363" s="394"/>
      <c r="AI363" s="394"/>
      <c r="AJ363" s="394"/>
      <c r="AK363" s="381"/>
      <c r="AL363" s="408"/>
      <c r="AM363" s="385"/>
      <c r="AN363" s="475"/>
      <c r="AO363" s="395" t="e">
        <f t="shared" si="216"/>
        <v>#DIV/0!</v>
      </c>
      <c r="AP363" s="395" t="e">
        <f t="shared" si="217"/>
        <v>#DIV/0!</v>
      </c>
      <c r="AQ363" s="528"/>
      <c r="AR363" s="523"/>
      <c r="AS363" s="393"/>
      <c r="AT363" s="542"/>
      <c r="AU363" s="394"/>
      <c r="AV363" s="394"/>
      <c r="AW363" s="394"/>
      <c r="AX363" s="394"/>
      <c r="AY363" s="394"/>
      <c r="AZ363" s="394"/>
      <c r="BA363" s="394"/>
      <c r="BB363" s="394"/>
      <c r="BC363" s="394"/>
      <c r="BD363" s="381"/>
      <c r="BE363" s="408"/>
      <c r="BF363" s="385"/>
      <c r="BG363" s="475"/>
      <c r="BH363" s="395" t="e">
        <f t="shared" si="218"/>
        <v>#DIV/0!</v>
      </c>
      <c r="BI363" s="395" t="e">
        <f t="shared" si="219"/>
        <v>#DIV/0!</v>
      </c>
    </row>
    <row r="364" spans="1:61" s="358" customFormat="1" ht="19.2" x14ac:dyDescent="0.3">
      <c r="A364" s="359" t="s">
        <v>269</v>
      </c>
      <c r="B364" s="537" t="s">
        <v>621</v>
      </c>
      <c r="C364" s="546" t="s">
        <v>496</v>
      </c>
      <c r="D364" s="360">
        <v>0.4</v>
      </c>
      <c r="E364" s="528"/>
      <c r="F364" s="523">
        <v>130</v>
      </c>
      <c r="G364" s="393">
        <v>130</v>
      </c>
      <c r="H364" s="542">
        <v>58.894019999999998</v>
      </c>
      <c r="I364" s="394">
        <v>45.761940000000003</v>
      </c>
      <c r="J364" s="394">
        <v>35.308999999999997</v>
      </c>
      <c r="K364" s="394"/>
      <c r="L364" s="394">
        <v>4.6161399999999997</v>
      </c>
      <c r="M364" s="394">
        <v>0</v>
      </c>
      <c r="N364" s="394">
        <v>0</v>
      </c>
      <c r="O364" s="394">
        <v>3.9293999999999998</v>
      </c>
      <c r="P364" s="394">
        <v>227.8</v>
      </c>
      <c r="Q364" s="394"/>
      <c r="R364" s="381" t="s">
        <v>167</v>
      </c>
      <c r="S364" s="408" t="s">
        <v>175</v>
      </c>
      <c r="T364" s="385"/>
      <c r="U364" s="475">
        <v>202</v>
      </c>
      <c r="V364" s="395" t="e">
        <f t="shared" ref="V364" si="222">H364/E364*1000</f>
        <v>#DIV/0!</v>
      </c>
      <c r="W364" s="395">
        <f t="shared" ref="W364" si="223">H364/F364</f>
        <v>0.45303092307692305</v>
      </c>
      <c r="X364" s="528"/>
      <c r="Y364" s="523"/>
      <c r="Z364" s="393"/>
      <c r="AA364" s="542"/>
      <c r="AB364" s="394"/>
      <c r="AC364" s="394"/>
      <c r="AD364" s="394"/>
      <c r="AE364" s="394"/>
      <c r="AF364" s="394"/>
      <c r="AG364" s="394"/>
      <c r="AH364" s="394"/>
      <c r="AI364" s="394"/>
      <c r="AJ364" s="394"/>
      <c r="AK364" s="381"/>
      <c r="AL364" s="408"/>
      <c r="AM364" s="385"/>
      <c r="AN364" s="475"/>
      <c r="AO364" s="395" t="e">
        <f t="shared" si="216"/>
        <v>#DIV/0!</v>
      </c>
      <c r="AP364" s="395" t="e">
        <f t="shared" si="217"/>
        <v>#DIV/0!</v>
      </c>
      <c r="AQ364" s="528"/>
      <c r="AR364" s="523"/>
      <c r="AS364" s="393"/>
      <c r="AT364" s="542"/>
      <c r="AU364" s="394"/>
      <c r="AV364" s="394"/>
      <c r="AW364" s="394"/>
      <c r="AX364" s="394"/>
      <c r="AY364" s="394"/>
      <c r="AZ364" s="394"/>
      <c r="BA364" s="394"/>
      <c r="BB364" s="394"/>
      <c r="BC364" s="394"/>
      <c r="BD364" s="381"/>
      <c r="BE364" s="408"/>
      <c r="BF364" s="385"/>
      <c r="BG364" s="475"/>
      <c r="BH364" s="395" t="e">
        <f t="shared" si="218"/>
        <v>#DIV/0!</v>
      </c>
      <c r="BI364" s="395" t="e">
        <f t="shared" si="219"/>
        <v>#DIV/0!</v>
      </c>
    </row>
    <row r="365" spans="1:61" s="358" customFormat="1" ht="19.2" x14ac:dyDescent="0.3">
      <c r="A365" s="359" t="s">
        <v>270</v>
      </c>
      <c r="B365" s="537" t="s">
        <v>623</v>
      </c>
      <c r="C365" s="546" t="s">
        <v>498</v>
      </c>
      <c r="D365" s="360">
        <v>0.4</v>
      </c>
      <c r="E365" s="528">
        <v>191</v>
      </c>
      <c r="F365" s="523">
        <v>15</v>
      </c>
      <c r="G365" s="393">
        <v>15</v>
      </c>
      <c r="H365" s="542">
        <v>200.84971999999999</v>
      </c>
      <c r="I365" s="394">
        <v>149.35049000000001</v>
      </c>
      <c r="J365" s="394">
        <v>43.509799999999998</v>
      </c>
      <c r="K365" s="394">
        <f>61.62005+36.97203</f>
        <v>98.592079999999996</v>
      </c>
      <c r="L365" s="394">
        <v>22.90821</v>
      </c>
      <c r="M365" s="394">
        <v>0</v>
      </c>
      <c r="N365" s="394">
        <v>0</v>
      </c>
      <c r="O365" s="394">
        <v>14.1511</v>
      </c>
      <c r="P365" s="394">
        <v>227.8</v>
      </c>
      <c r="Q365" s="394">
        <v>12.324009999999999</v>
      </c>
      <c r="R365" s="381" t="s">
        <v>167</v>
      </c>
      <c r="S365" s="408" t="s">
        <v>175</v>
      </c>
      <c r="T365" s="385"/>
      <c r="U365" s="475">
        <v>205</v>
      </c>
      <c r="V365" s="395">
        <f t="shared" ref="V365:V367" si="224">H365/E365*1000</f>
        <v>1051.5692146596857</v>
      </c>
      <c r="W365" s="395">
        <f t="shared" ref="W365:W367" si="225">H365/F365</f>
        <v>13.389981333333333</v>
      </c>
      <c r="X365" s="528"/>
      <c r="Y365" s="523"/>
      <c r="Z365" s="393"/>
      <c r="AA365" s="542"/>
      <c r="AB365" s="394"/>
      <c r="AC365" s="394"/>
      <c r="AD365" s="394"/>
      <c r="AE365" s="394"/>
      <c r="AF365" s="394"/>
      <c r="AG365" s="394"/>
      <c r="AH365" s="394"/>
      <c r="AI365" s="394"/>
      <c r="AJ365" s="394"/>
      <c r="AK365" s="381"/>
      <c r="AL365" s="408"/>
      <c r="AM365" s="385"/>
      <c r="AN365" s="475"/>
      <c r="AO365" s="395" t="e">
        <f t="shared" si="216"/>
        <v>#DIV/0!</v>
      </c>
      <c r="AP365" s="395" t="e">
        <f t="shared" si="217"/>
        <v>#DIV/0!</v>
      </c>
      <c r="AQ365" s="528"/>
      <c r="AR365" s="523"/>
      <c r="AS365" s="393"/>
      <c r="AT365" s="542"/>
      <c r="AU365" s="394"/>
      <c r="AV365" s="394"/>
      <c r="AW365" s="394"/>
      <c r="AX365" s="394"/>
      <c r="AY365" s="394"/>
      <c r="AZ365" s="394"/>
      <c r="BA365" s="394"/>
      <c r="BB365" s="394"/>
      <c r="BC365" s="394"/>
      <c r="BD365" s="381"/>
      <c r="BE365" s="408"/>
      <c r="BF365" s="385"/>
      <c r="BG365" s="475"/>
      <c r="BH365" s="395" t="e">
        <f t="shared" si="218"/>
        <v>#DIV/0!</v>
      </c>
      <c r="BI365" s="395" t="e">
        <f t="shared" si="219"/>
        <v>#DIV/0!</v>
      </c>
    </row>
    <row r="366" spans="1:61" s="358" customFormat="1" ht="19.2" x14ac:dyDescent="0.3">
      <c r="A366" s="359" t="s">
        <v>271</v>
      </c>
      <c r="B366" s="537" t="s">
        <v>663</v>
      </c>
      <c r="C366" s="546" t="s">
        <v>511</v>
      </c>
      <c r="D366" s="360">
        <v>0.4</v>
      </c>
      <c r="E366" s="528">
        <v>302</v>
      </c>
      <c r="F366" s="523">
        <v>15</v>
      </c>
      <c r="G366" s="393">
        <v>15</v>
      </c>
      <c r="H366" s="542">
        <v>347.18464</v>
      </c>
      <c r="I366" s="394">
        <v>260.47431</v>
      </c>
      <c r="J366" s="394">
        <v>68.795599999999993</v>
      </c>
      <c r="K366" s="394">
        <f>149.99796+24.99966</f>
        <v>174.99762000000001</v>
      </c>
      <c r="L366" s="394">
        <v>39.437750000000001</v>
      </c>
      <c r="M366" s="394">
        <v>0</v>
      </c>
      <c r="N366" s="394">
        <v>0</v>
      </c>
      <c r="O366" s="394">
        <v>23.086449999999999</v>
      </c>
      <c r="P366" s="394">
        <v>227.8</v>
      </c>
      <c r="Q366" s="394">
        <v>12.499829999999999</v>
      </c>
      <c r="R366" s="381" t="s">
        <v>167</v>
      </c>
      <c r="S366" s="408" t="s">
        <v>175</v>
      </c>
      <c r="T366" s="385"/>
      <c r="U366" s="475">
        <v>207</v>
      </c>
      <c r="V366" s="395">
        <f t="shared" si="224"/>
        <v>1149.6180132450331</v>
      </c>
      <c r="W366" s="395">
        <f t="shared" si="225"/>
        <v>23.145642666666667</v>
      </c>
      <c r="X366" s="528"/>
      <c r="Y366" s="523"/>
      <c r="Z366" s="393"/>
      <c r="AA366" s="542"/>
      <c r="AB366" s="394"/>
      <c r="AC366" s="394"/>
      <c r="AD366" s="394"/>
      <c r="AE366" s="394"/>
      <c r="AF366" s="394"/>
      <c r="AG366" s="394"/>
      <c r="AH366" s="394"/>
      <c r="AI366" s="394"/>
      <c r="AJ366" s="394"/>
      <c r="AK366" s="381"/>
      <c r="AL366" s="408"/>
      <c r="AM366" s="385"/>
      <c r="AN366" s="475"/>
      <c r="AO366" s="395" t="e">
        <f t="shared" si="216"/>
        <v>#DIV/0!</v>
      </c>
      <c r="AP366" s="395" t="e">
        <f t="shared" si="217"/>
        <v>#DIV/0!</v>
      </c>
      <c r="AQ366" s="528"/>
      <c r="AR366" s="523"/>
      <c r="AS366" s="393"/>
      <c r="AT366" s="542"/>
      <c r="AU366" s="394"/>
      <c r="AV366" s="394"/>
      <c r="AW366" s="394"/>
      <c r="AX366" s="394"/>
      <c r="AY366" s="394"/>
      <c r="AZ366" s="394"/>
      <c r="BA366" s="394"/>
      <c r="BB366" s="394"/>
      <c r="BC366" s="394"/>
      <c r="BD366" s="381"/>
      <c r="BE366" s="408"/>
      <c r="BF366" s="385"/>
      <c r="BG366" s="475"/>
      <c r="BH366" s="395" t="e">
        <f t="shared" si="218"/>
        <v>#DIV/0!</v>
      </c>
      <c r="BI366" s="395" t="e">
        <f t="shared" si="219"/>
        <v>#DIV/0!</v>
      </c>
    </row>
    <row r="367" spans="1:61" s="358" customFormat="1" ht="19.2" x14ac:dyDescent="0.3">
      <c r="A367" s="359" t="s">
        <v>272</v>
      </c>
      <c r="B367" s="537" t="s">
        <v>665</v>
      </c>
      <c r="C367" s="546" t="s">
        <v>502</v>
      </c>
      <c r="D367" s="360">
        <v>0.4</v>
      </c>
      <c r="E367" s="528">
        <v>412</v>
      </c>
      <c r="F367" s="523">
        <v>15</v>
      </c>
      <c r="G367" s="393">
        <v>15</v>
      </c>
      <c r="H367" s="542">
        <v>426.91681</v>
      </c>
      <c r="I367" s="394">
        <v>318.12623000000002</v>
      </c>
      <c r="J367" s="394">
        <v>93.8536</v>
      </c>
      <c r="K367" s="394">
        <f>86.26807+73.94406+36.97203</f>
        <v>197.18415999999999</v>
      </c>
      <c r="L367" s="394">
        <v>49.988619999999997</v>
      </c>
      <c r="M367" s="394">
        <v>0</v>
      </c>
      <c r="N367" s="394">
        <v>0</v>
      </c>
      <c r="O367" s="394">
        <v>29.206109999999999</v>
      </c>
      <c r="P367" s="394">
        <v>227.8</v>
      </c>
      <c r="Q367" s="394">
        <v>12.324009999999999</v>
      </c>
      <c r="R367" s="381" t="s">
        <v>167</v>
      </c>
      <c r="S367" s="408" t="s">
        <v>175</v>
      </c>
      <c r="T367" s="385"/>
      <c r="U367" s="475">
        <v>209</v>
      </c>
      <c r="V367" s="395">
        <f t="shared" si="224"/>
        <v>1036.2058495145632</v>
      </c>
      <c r="W367" s="395">
        <f t="shared" si="225"/>
        <v>28.461120666666666</v>
      </c>
      <c r="X367" s="528"/>
      <c r="Y367" s="523"/>
      <c r="Z367" s="393"/>
      <c r="AA367" s="542"/>
      <c r="AB367" s="394"/>
      <c r="AC367" s="394"/>
      <c r="AD367" s="394"/>
      <c r="AE367" s="394"/>
      <c r="AF367" s="394"/>
      <c r="AG367" s="394"/>
      <c r="AH367" s="394"/>
      <c r="AI367" s="394"/>
      <c r="AJ367" s="394"/>
      <c r="AK367" s="381"/>
      <c r="AL367" s="408"/>
      <c r="AM367" s="385"/>
      <c r="AN367" s="475"/>
      <c r="AO367" s="395" t="e">
        <f t="shared" si="216"/>
        <v>#DIV/0!</v>
      </c>
      <c r="AP367" s="395" t="e">
        <f t="shared" si="217"/>
        <v>#DIV/0!</v>
      </c>
      <c r="AQ367" s="528"/>
      <c r="AR367" s="523"/>
      <c r="AS367" s="393"/>
      <c r="AT367" s="542"/>
      <c r="AU367" s="394"/>
      <c r="AV367" s="394"/>
      <c r="AW367" s="394"/>
      <c r="AX367" s="394"/>
      <c r="AY367" s="394"/>
      <c r="AZ367" s="394"/>
      <c r="BA367" s="394"/>
      <c r="BB367" s="394"/>
      <c r="BC367" s="394"/>
      <c r="BD367" s="381"/>
      <c r="BE367" s="408"/>
      <c r="BF367" s="385"/>
      <c r="BG367" s="475"/>
      <c r="BH367" s="395" t="e">
        <f t="shared" si="218"/>
        <v>#DIV/0!</v>
      </c>
      <c r="BI367" s="395" t="e">
        <f t="shared" si="219"/>
        <v>#DIV/0!</v>
      </c>
    </row>
    <row r="368" spans="1:61" s="358" customFormat="1" ht="19.2" x14ac:dyDescent="0.3">
      <c r="A368" s="359" t="s">
        <v>273</v>
      </c>
      <c r="B368" s="537" t="s">
        <v>653</v>
      </c>
      <c r="C368" s="546" t="s">
        <v>533</v>
      </c>
      <c r="D368" s="360">
        <v>0.4</v>
      </c>
      <c r="E368" s="528">
        <v>95</v>
      </c>
      <c r="F368" s="523">
        <v>80</v>
      </c>
      <c r="G368" s="393">
        <v>80</v>
      </c>
      <c r="H368" s="542">
        <v>89.347719999999995</v>
      </c>
      <c r="I368" s="394">
        <v>69.730590000000007</v>
      </c>
      <c r="J368" s="394">
        <v>21.640999999999998</v>
      </c>
      <c r="K368" s="394">
        <v>37.633110000000002</v>
      </c>
      <c r="L368" s="394">
        <v>9.1760699999999993</v>
      </c>
      <c r="M368" s="394">
        <v>0</v>
      </c>
      <c r="N368" s="394">
        <v>0</v>
      </c>
      <c r="O368" s="394">
        <v>5.2256200000000002</v>
      </c>
      <c r="P368" s="394">
        <v>227.8</v>
      </c>
      <c r="Q368" s="394">
        <v>12.544370000000001</v>
      </c>
      <c r="R368" s="381" t="s">
        <v>167</v>
      </c>
      <c r="S368" s="408" t="s">
        <v>175</v>
      </c>
      <c r="T368" s="385"/>
      <c r="U368" s="475">
        <v>212</v>
      </c>
      <c r="V368" s="395">
        <f t="shared" ref="V368:V371" si="226">H368/E368*1000</f>
        <v>940.50231578947364</v>
      </c>
      <c r="W368" s="395">
        <f t="shared" ref="W368:W371" si="227">H368/F368</f>
        <v>1.1168464999999999</v>
      </c>
      <c r="X368" s="528"/>
      <c r="Y368" s="523"/>
      <c r="Z368" s="393"/>
      <c r="AA368" s="542"/>
      <c r="AB368" s="394"/>
      <c r="AC368" s="394"/>
      <c r="AD368" s="394"/>
      <c r="AE368" s="394"/>
      <c r="AF368" s="394"/>
      <c r="AG368" s="394"/>
      <c r="AH368" s="394"/>
      <c r="AI368" s="394"/>
      <c r="AJ368" s="394"/>
      <c r="AK368" s="381"/>
      <c r="AL368" s="408"/>
      <c r="AM368" s="385"/>
      <c r="AN368" s="475"/>
      <c r="AO368" s="395" t="e">
        <f t="shared" si="216"/>
        <v>#DIV/0!</v>
      </c>
      <c r="AP368" s="395" t="e">
        <f t="shared" si="217"/>
        <v>#DIV/0!</v>
      </c>
      <c r="AQ368" s="528"/>
      <c r="AR368" s="523"/>
      <c r="AS368" s="393"/>
      <c r="AT368" s="542"/>
      <c r="AU368" s="394"/>
      <c r="AV368" s="394"/>
      <c r="AW368" s="394"/>
      <c r="AX368" s="394"/>
      <c r="AY368" s="394"/>
      <c r="AZ368" s="394"/>
      <c r="BA368" s="394"/>
      <c r="BB368" s="394"/>
      <c r="BC368" s="394"/>
      <c r="BD368" s="381"/>
      <c r="BE368" s="408"/>
      <c r="BF368" s="385"/>
      <c r="BG368" s="475"/>
      <c r="BH368" s="395" t="e">
        <f t="shared" si="218"/>
        <v>#DIV/0!</v>
      </c>
      <c r="BI368" s="395" t="e">
        <f t="shared" si="219"/>
        <v>#DIV/0!</v>
      </c>
    </row>
    <row r="369" spans="1:61" s="358" customFormat="1" ht="19.2" x14ac:dyDescent="0.3">
      <c r="A369" s="359" t="s">
        <v>274</v>
      </c>
      <c r="B369" s="537" t="s">
        <v>655</v>
      </c>
      <c r="C369" s="546" t="s">
        <v>535</v>
      </c>
      <c r="D369" s="360">
        <v>0.4</v>
      </c>
      <c r="E369" s="528">
        <v>386</v>
      </c>
      <c r="F369" s="523">
        <v>15</v>
      </c>
      <c r="G369" s="393">
        <v>15</v>
      </c>
      <c r="H369" s="542">
        <v>376.70753999999999</v>
      </c>
      <c r="I369" s="394">
        <v>282.23406999999997</v>
      </c>
      <c r="J369" s="394">
        <v>87.930800000000005</v>
      </c>
      <c r="K369" s="394">
        <f>100.35496+75.26622</f>
        <v>175.62118000000001</v>
      </c>
      <c r="L369" s="394">
        <v>43.473010000000002</v>
      </c>
      <c r="M369" s="394">
        <v>0</v>
      </c>
      <c r="N369" s="394">
        <v>0</v>
      </c>
      <c r="O369" s="394">
        <v>25.268879999999999</v>
      </c>
      <c r="P369" s="394">
        <v>227.8</v>
      </c>
      <c r="Q369" s="394">
        <v>12.544370000000001</v>
      </c>
      <c r="R369" s="381" t="s">
        <v>167</v>
      </c>
      <c r="S369" s="408" t="s">
        <v>175</v>
      </c>
      <c r="T369" s="385"/>
      <c r="U369" s="475">
        <v>214</v>
      </c>
      <c r="V369" s="395">
        <f t="shared" si="226"/>
        <v>975.92626943005178</v>
      </c>
      <c r="W369" s="395">
        <f t="shared" si="227"/>
        <v>25.113835999999999</v>
      </c>
      <c r="X369" s="528"/>
      <c r="Y369" s="523"/>
      <c r="Z369" s="393"/>
      <c r="AA369" s="542"/>
      <c r="AB369" s="394"/>
      <c r="AC369" s="394"/>
      <c r="AD369" s="394"/>
      <c r="AE369" s="394"/>
      <c r="AF369" s="394"/>
      <c r="AG369" s="394"/>
      <c r="AH369" s="394"/>
      <c r="AI369" s="394"/>
      <c r="AJ369" s="394"/>
      <c r="AK369" s="381"/>
      <c r="AL369" s="408"/>
      <c r="AM369" s="385"/>
      <c r="AN369" s="475"/>
      <c r="AO369" s="395" t="e">
        <f t="shared" si="216"/>
        <v>#DIV/0!</v>
      </c>
      <c r="AP369" s="395" t="e">
        <f t="shared" si="217"/>
        <v>#DIV/0!</v>
      </c>
      <c r="AQ369" s="528"/>
      <c r="AR369" s="523"/>
      <c r="AS369" s="393"/>
      <c r="AT369" s="542"/>
      <c r="AU369" s="394"/>
      <c r="AV369" s="394"/>
      <c r="AW369" s="394"/>
      <c r="AX369" s="394"/>
      <c r="AY369" s="394"/>
      <c r="AZ369" s="394"/>
      <c r="BA369" s="394"/>
      <c r="BB369" s="394"/>
      <c r="BC369" s="394"/>
      <c r="BD369" s="381"/>
      <c r="BE369" s="408"/>
      <c r="BF369" s="385"/>
      <c r="BG369" s="475"/>
      <c r="BH369" s="395" t="e">
        <f t="shared" si="218"/>
        <v>#DIV/0!</v>
      </c>
      <c r="BI369" s="395" t="e">
        <f t="shared" si="219"/>
        <v>#DIV/0!</v>
      </c>
    </row>
    <row r="370" spans="1:61" s="358" customFormat="1" ht="19.2" x14ac:dyDescent="0.3">
      <c r="A370" s="359"/>
      <c r="B370" s="537" t="s">
        <v>656</v>
      </c>
      <c r="C370" s="546" t="s">
        <v>536</v>
      </c>
      <c r="D370" s="360">
        <v>0.4</v>
      </c>
      <c r="E370" s="528">
        <v>398</v>
      </c>
      <c r="F370" s="523">
        <v>15</v>
      </c>
      <c r="G370" s="393">
        <v>15</v>
      </c>
      <c r="H370" s="542">
        <v>241.29821000000001</v>
      </c>
      <c r="I370" s="394">
        <v>183.24734000000001</v>
      </c>
      <c r="J370" s="394">
        <v>90.664400000000001</v>
      </c>
      <c r="K370" s="394">
        <f>50.17748+25.08874</f>
        <v>75.266220000000004</v>
      </c>
      <c r="L370" s="394">
        <v>26.350860000000001</v>
      </c>
      <c r="M370" s="394">
        <v>0</v>
      </c>
      <c r="N370" s="394">
        <v>0</v>
      </c>
      <c r="O370" s="394">
        <v>15.78152</v>
      </c>
      <c r="P370" s="394">
        <v>227.8</v>
      </c>
      <c r="Q370" s="394">
        <v>12.544370000000001</v>
      </c>
      <c r="R370" s="381" t="s">
        <v>167</v>
      </c>
      <c r="S370" s="408" t="s">
        <v>175</v>
      </c>
      <c r="T370" s="385"/>
      <c r="U370" s="475">
        <v>216</v>
      </c>
      <c r="V370" s="395">
        <f t="shared" si="226"/>
        <v>606.27690954773868</v>
      </c>
      <c r="W370" s="395">
        <f t="shared" si="227"/>
        <v>16.086547333333336</v>
      </c>
      <c r="X370" s="528"/>
      <c r="Y370" s="523"/>
      <c r="Z370" s="393"/>
      <c r="AA370" s="542"/>
      <c r="AB370" s="394"/>
      <c r="AC370" s="394"/>
      <c r="AD370" s="394"/>
      <c r="AE370" s="394"/>
      <c r="AF370" s="394"/>
      <c r="AG370" s="394"/>
      <c r="AH370" s="394"/>
      <c r="AI370" s="394"/>
      <c r="AJ370" s="394"/>
      <c r="AK370" s="381"/>
      <c r="AL370" s="408"/>
      <c r="AM370" s="385"/>
      <c r="AN370" s="475"/>
      <c r="AO370" s="395" t="e">
        <f t="shared" si="216"/>
        <v>#DIV/0!</v>
      </c>
      <c r="AP370" s="395" t="e">
        <f t="shared" si="217"/>
        <v>#DIV/0!</v>
      </c>
      <c r="AQ370" s="528"/>
      <c r="AR370" s="523"/>
      <c r="AS370" s="393"/>
      <c r="AT370" s="542"/>
      <c r="AU370" s="394"/>
      <c r="AV370" s="394"/>
      <c r="AW370" s="394"/>
      <c r="AX370" s="394"/>
      <c r="AY370" s="394"/>
      <c r="AZ370" s="394"/>
      <c r="BA370" s="394"/>
      <c r="BB370" s="394"/>
      <c r="BC370" s="394"/>
      <c r="BD370" s="381"/>
      <c r="BE370" s="408"/>
      <c r="BF370" s="385"/>
      <c r="BG370" s="475"/>
      <c r="BH370" s="395" t="e">
        <f t="shared" si="218"/>
        <v>#DIV/0!</v>
      </c>
      <c r="BI370" s="395" t="e">
        <f t="shared" si="219"/>
        <v>#DIV/0!</v>
      </c>
    </row>
    <row r="371" spans="1:61" s="358" customFormat="1" ht="19.2" x14ac:dyDescent="0.3">
      <c r="A371" s="359" t="s">
        <v>276</v>
      </c>
      <c r="B371" s="537" t="s">
        <v>657</v>
      </c>
      <c r="C371" s="546" t="s">
        <v>537</v>
      </c>
      <c r="D371" s="360">
        <v>0.4</v>
      </c>
      <c r="E371" s="528">
        <v>323</v>
      </c>
      <c r="F371" s="523">
        <v>15</v>
      </c>
      <c r="G371" s="393">
        <v>15</v>
      </c>
      <c r="H371" s="542">
        <v>292.98003999999997</v>
      </c>
      <c r="I371" s="394">
        <v>222.45705000000001</v>
      </c>
      <c r="J371" s="394">
        <v>73.579400000000007</v>
      </c>
      <c r="K371" s="394">
        <f>87.81059+50.17748</f>
        <v>137.98806999999999</v>
      </c>
      <c r="L371" s="394">
        <v>33.433880000000002</v>
      </c>
      <c r="M371" s="394">
        <v>0</v>
      </c>
      <c r="N371" s="394">
        <v>0</v>
      </c>
      <c r="O371" s="394">
        <v>18.626570000000001</v>
      </c>
      <c r="P371" s="394">
        <v>227.8</v>
      </c>
      <c r="Q371" s="394">
        <v>12.544370000000001</v>
      </c>
      <c r="R371" s="381" t="s">
        <v>167</v>
      </c>
      <c r="S371" s="408" t="s">
        <v>175</v>
      </c>
      <c r="T371" s="385"/>
      <c r="U371" s="475">
        <v>218</v>
      </c>
      <c r="V371" s="395">
        <f t="shared" si="226"/>
        <v>907.05894736842095</v>
      </c>
      <c r="W371" s="395">
        <f t="shared" si="227"/>
        <v>19.532002666666664</v>
      </c>
      <c r="X371" s="528"/>
      <c r="Y371" s="523"/>
      <c r="Z371" s="393"/>
      <c r="AA371" s="542"/>
      <c r="AB371" s="394"/>
      <c r="AC371" s="394"/>
      <c r="AD371" s="394"/>
      <c r="AE371" s="394"/>
      <c r="AF371" s="394"/>
      <c r="AG371" s="394"/>
      <c r="AH371" s="394"/>
      <c r="AI371" s="394"/>
      <c r="AJ371" s="394"/>
      <c r="AK371" s="381"/>
      <c r="AL371" s="408"/>
      <c r="AM371" s="385"/>
      <c r="AN371" s="475"/>
      <c r="AO371" s="395" t="e">
        <f t="shared" si="216"/>
        <v>#DIV/0!</v>
      </c>
      <c r="AP371" s="395" t="e">
        <f t="shared" si="217"/>
        <v>#DIV/0!</v>
      </c>
      <c r="AQ371" s="528"/>
      <c r="AR371" s="523"/>
      <c r="AS371" s="393"/>
      <c r="AT371" s="542"/>
      <c r="AU371" s="394"/>
      <c r="AV371" s="394"/>
      <c r="AW371" s="394"/>
      <c r="AX371" s="394"/>
      <c r="AY371" s="394"/>
      <c r="AZ371" s="394"/>
      <c r="BA371" s="394"/>
      <c r="BB371" s="394"/>
      <c r="BC371" s="394"/>
      <c r="BD371" s="381"/>
      <c r="BE371" s="408"/>
      <c r="BF371" s="385"/>
      <c r="BG371" s="475"/>
      <c r="BH371" s="395" t="e">
        <f t="shared" si="218"/>
        <v>#DIV/0!</v>
      </c>
      <c r="BI371" s="395" t="e">
        <f t="shared" si="219"/>
        <v>#DIV/0!</v>
      </c>
    </row>
    <row r="372" spans="1:61" s="358" customFormat="1" ht="19.2" x14ac:dyDescent="0.3">
      <c r="A372" s="359" t="s">
        <v>178</v>
      </c>
      <c r="B372" s="572" t="s">
        <v>2421</v>
      </c>
      <c r="C372" s="546" t="s">
        <v>2420</v>
      </c>
      <c r="D372" s="360">
        <v>0.4</v>
      </c>
      <c r="E372" s="528"/>
      <c r="F372" s="523"/>
      <c r="G372" s="393"/>
      <c r="H372" s="571"/>
      <c r="I372" s="394"/>
      <c r="J372" s="394"/>
      <c r="K372" s="394"/>
      <c r="L372" s="394"/>
      <c r="M372" s="394"/>
      <c r="N372" s="394"/>
      <c r="O372" s="394"/>
      <c r="P372" s="394"/>
      <c r="Q372" s="394"/>
      <c r="R372" s="381"/>
      <c r="S372" s="408"/>
      <c r="T372" s="385"/>
      <c r="U372" s="475"/>
      <c r="V372" s="395"/>
      <c r="W372" s="395"/>
      <c r="X372" s="528">
        <v>114</v>
      </c>
      <c r="Y372" s="523">
        <v>15</v>
      </c>
      <c r="Z372" s="393">
        <v>15</v>
      </c>
      <c r="AA372" s="571">
        <v>110.18689999999999</v>
      </c>
      <c r="AB372" s="394">
        <v>82.993009999999998</v>
      </c>
      <c r="AC372" s="394">
        <v>25.969200000000001</v>
      </c>
      <c r="AD372" s="394">
        <f>25.11094+25.11094</f>
        <v>50.221879999999999</v>
      </c>
      <c r="AE372" s="394">
        <v>12.623390000000001</v>
      </c>
      <c r="AF372" s="394">
        <v>0</v>
      </c>
      <c r="AG372" s="394">
        <v>0</v>
      </c>
      <c r="AH372" s="394">
        <v>7.1559999999999997</v>
      </c>
      <c r="AI372" s="394">
        <v>0.2278</v>
      </c>
      <c r="AJ372" s="394">
        <v>12.55547</v>
      </c>
      <c r="AK372" s="381" t="s">
        <v>167</v>
      </c>
      <c r="AL372" s="408" t="s">
        <v>175</v>
      </c>
      <c r="AM372" s="385"/>
      <c r="AN372" s="475">
        <v>259</v>
      </c>
      <c r="AO372" s="395">
        <f t="shared" ref="AO372" si="228">AA372/X372*1000</f>
        <v>966.55175438596484</v>
      </c>
      <c r="AP372" s="395">
        <f t="shared" ref="AP372" si="229">AA372/Y372</f>
        <v>7.345793333333333</v>
      </c>
      <c r="AQ372" s="528"/>
      <c r="AR372" s="523"/>
      <c r="AS372" s="393"/>
      <c r="AT372" s="571"/>
      <c r="AU372" s="394"/>
      <c r="AV372" s="394"/>
      <c r="AW372" s="394"/>
      <c r="AX372" s="394"/>
      <c r="AY372" s="394"/>
      <c r="AZ372" s="394"/>
      <c r="BA372" s="394"/>
      <c r="BB372" s="394"/>
      <c r="BC372" s="394"/>
      <c r="BD372" s="381"/>
      <c r="BE372" s="408"/>
      <c r="BF372" s="385"/>
      <c r="BG372" s="475"/>
      <c r="BH372" s="395" t="e">
        <f t="shared" si="218"/>
        <v>#DIV/0!</v>
      </c>
      <c r="BI372" s="395" t="e">
        <f t="shared" si="219"/>
        <v>#DIV/0!</v>
      </c>
    </row>
    <row r="373" spans="1:61" s="358" customFormat="1" ht="19.2" x14ac:dyDescent="0.3">
      <c r="A373" s="359" t="s">
        <v>182</v>
      </c>
      <c r="B373" s="572" t="s">
        <v>2304</v>
      </c>
      <c r="C373" s="546" t="s">
        <v>2422</v>
      </c>
      <c r="D373" s="360">
        <v>0.4</v>
      </c>
      <c r="E373" s="528"/>
      <c r="F373" s="523"/>
      <c r="G373" s="393"/>
      <c r="H373" s="571"/>
      <c r="I373" s="394"/>
      <c r="J373" s="394"/>
      <c r="K373" s="394"/>
      <c r="L373" s="394"/>
      <c r="M373" s="394"/>
      <c r="N373" s="394"/>
      <c r="O373" s="394"/>
      <c r="P373" s="394"/>
      <c r="Q373" s="394"/>
      <c r="R373" s="381"/>
      <c r="S373" s="408"/>
      <c r="T373" s="385"/>
      <c r="U373" s="475"/>
      <c r="V373" s="395"/>
      <c r="W373" s="395"/>
      <c r="X373" s="528">
        <v>95</v>
      </c>
      <c r="Y373" s="523">
        <v>15</v>
      </c>
      <c r="Z373" s="393">
        <v>15</v>
      </c>
      <c r="AA373" s="571">
        <v>101.12594</v>
      </c>
      <c r="AB373" s="394">
        <v>75.367940000000004</v>
      </c>
      <c r="AC373" s="394">
        <v>21.640999999999998</v>
      </c>
      <c r="AD373" s="394">
        <f>25.11104+25.11104</f>
        <v>50.222079999999998</v>
      </c>
      <c r="AE373" s="394">
        <v>11.98086</v>
      </c>
      <c r="AF373" s="394">
        <v>0</v>
      </c>
      <c r="AG373" s="394">
        <v>0</v>
      </c>
      <c r="AH373" s="394">
        <v>9.7597400000000007</v>
      </c>
      <c r="AI373" s="394">
        <v>0.2278</v>
      </c>
      <c r="AJ373" s="394">
        <v>12.55552</v>
      </c>
      <c r="AK373" s="381" t="s">
        <v>167</v>
      </c>
      <c r="AL373" s="408" t="s">
        <v>175</v>
      </c>
      <c r="AM373" s="385"/>
      <c r="AN373" s="475">
        <v>261</v>
      </c>
      <c r="AO373" s="395">
        <f t="shared" ref="AO373:AO376" si="230">AA373/X373*1000</f>
        <v>1064.4835789473684</v>
      </c>
      <c r="AP373" s="395">
        <f t="shared" ref="AP373:AP376" si="231">AA373/Y373</f>
        <v>6.7417293333333337</v>
      </c>
      <c r="AQ373" s="528"/>
      <c r="AR373" s="523"/>
      <c r="AS373" s="393"/>
      <c r="AT373" s="571"/>
      <c r="AU373" s="394"/>
      <c r="AV373" s="394"/>
      <c r="AW373" s="394"/>
      <c r="AX373" s="394"/>
      <c r="AY373" s="394"/>
      <c r="AZ373" s="394"/>
      <c r="BA373" s="394"/>
      <c r="BB373" s="394"/>
      <c r="BC373" s="394"/>
      <c r="BD373" s="381"/>
      <c r="BE373" s="408"/>
      <c r="BF373" s="385"/>
      <c r="BG373" s="475"/>
      <c r="BH373" s="395" t="e">
        <f t="shared" si="218"/>
        <v>#DIV/0!</v>
      </c>
      <c r="BI373" s="395" t="e">
        <f t="shared" si="219"/>
        <v>#DIV/0!</v>
      </c>
    </row>
    <row r="374" spans="1:61" s="358" customFormat="1" ht="19.2" x14ac:dyDescent="0.3">
      <c r="A374" s="359" t="s">
        <v>184</v>
      </c>
      <c r="B374" s="572" t="s">
        <v>2424</v>
      </c>
      <c r="C374" s="546" t="s">
        <v>2423</v>
      </c>
      <c r="D374" s="360">
        <v>0.4</v>
      </c>
      <c r="E374" s="528"/>
      <c r="F374" s="523"/>
      <c r="G374" s="393"/>
      <c r="H374" s="571"/>
      <c r="I374" s="394"/>
      <c r="J374" s="394"/>
      <c r="K374" s="394"/>
      <c r="L374" s="394"/>
      <c r="M374" s="394"/>
      <c r="N374" s="394"/>
      <c r="O374" s="394"/>
      <c r="P374" s="394"/>
      <c r="Q374" s="394"/>
      <c r="R374" s="381"/>
      <c r="S374" s="408"/>
      <c r="T374" s="385"/>
      <c r="U374" s="475"/>
      <c r="V374" s="395"/>
      <c r="W374" s="395"/>
      <c r="X374" s="528">
        <v>120</v>
      </c>
      <c r="Y374" s="523">
        <v>15</v>
      </c>
      <c r="Z374" s="393">
        <v>15</v>
      </c>
      <c r="AA374" s="571">
        <v>116.20708999999999</v>
      </c>
      <c r="AB374" s="394">
        <v>85.260230000000007</v>
      </c>
      <c r="AC374" s="394">
        <v>27.335999999999999</v>
      </c>
      <c r="AD374" s="394">
        <f>25.7592+25.7592</f>
        <v>51.5184</v>
      </c>
      <c r="AE374" s="394">
        <v>14.053929999999999</v>
      </c>
      <c r="AF374" s="394">
        <v>0</v>
      </c>
      <c r="AG374" s="394">
        <v>0</v>
      </c>
      <c r="AH374" s="394">
        <v>8.2989800000000002</v>
      </c>
      <c r="AI374" s="394">
        <v>0.2278</v>
      </c>
      <c r="AJ374" s="394">
        <v>12.8796</v>
      </c>
      <c r="AK374" s="381" t="s">
        <v>167</v>
      </c>
      <c r="AL374" s="408" t="s">
        <v>175</v>
      </c>
      <c r="AM374" s="385"/>
      <c r="AN374" s="475">
        <v>263</v>
      </c>
      <c r="AO374" s="395">
        <f t="shared" si="230"/>
        <v>968.39241666666669</v>
      </c>
      <c r="AP374" s="395">
        <f t="shared" si="231"/>
        <v>7.7471393333333332</v>
      </c>
      <c r="AQ374" s="528"/>
      <c r="AR374" s="523"/>
      <c r="AS374" s="393"/>
      <c r="AT374" s="571"/>
      <c r="AU374" s="394"/>
      <c r="AV374" s="394"/>
      <c r="AW374" s="394"/>
      <c r="AX374" s="394"/>
      <c r="AY374" s="394"/>
      <c r="AZ374" s="394"/>
      <c r="BA374" s="394"/>
      <c r="BB374" s="394"/>
      <c r="BC374" s="394"/>
      <c r="BD374" s="381"/>
      <c r="BE374" s="408"/>
      <c r="BF374" s="385"/>
      <c r="BG374" s="475"/>
      <c r="BH374" s="395" t="e">
        <f t="shared" si="218"/>
        <v>#DIV/0!</v>
      </c>
      <c r="BI374" s="395" t="e">
        <f t="shared" si="219"/>
        <v>#DIV/0!</v>
      </c>
    </row>
    <row r="375" spans="1:61" s="358" customFormat="1" ht="19.2" x14ac:dyDescent="0.3">
      <c r="A375" s="359" t="s">
        <v>186</v>
      </c>
      <c r="B375" s="572" t="s">
        <v>2426</v>
      </c>
      <c r="C375" s="546" t="s">
        <v>2425</v>
      </c>
      <c r="D375" s="360">
        <v>0.4</v>
      </c>
      <c r="E375" s="528"/>
      <c r="F375" s="523"/>
      <c r="G375" s="393"/>
      <c r="H375" s="571"/>
      <c r="I375" s="394"/>
      <c r="J375" s="394"/>
      <c r="K375" s="394"/>
      <c r="L375" s="394"/>
      <c r="M375" s="394"/>
      <c r="N375" s="394"/>
      <c r="O375" s="394"/>
      <c r="P375" s="394"/>
      <c r="Q375" s="394"/>
      <c r="R375" s="381"/>
      <c r="S375" s="408"/>
      <c r="T375" s="385"/>
      <c r="U375" s="475"/>
      <c r="V375" s="395"/>
      <c r="W375" s="395"/>
      <c r="X375" s="528">
        <v>320</v>
      </c>
      <c r="Y375" s="523">
        <v>15</v>
      </c>
      <c r="Z375" s="393">
        <v>15</v>
      </c>
      <c r="AA375" s="571">
        <v>298.13997999999998</v>
      </c>
      <c r="AB375" s="394">
        <v>219.16597999999999</v>
      </c>
      <c r="AC375" s="394">
        <v>72.896000000000001</v>
      </c>
      <c r="AD375" s="394">
        <f>77.39484+51.59656</f>
        <v>128.9914</v>
      </c>
      <c r="AE375" s="394">
        <v>35.715510000000002</v>
      </c>
      <c r="AF375" s="394">
        <v>0</v>
      </c>
      <c r="AG375" s="394">
        <v>0</v>
      </c>
      <c r="AH375" s="394">
        <v>21.23732</v>
      </c>
      <c r="AI375" s="394">
        <v>0.2278</v>
      </c>
      <c r="AJ375" s="394">
        <v>12.899139999999999</v>
      </c>
      <c r="AK375" s="381" t="s">
        <v>167</v>
      </c>
      <c r="AL375" s="408" t="s">
        <v>175</v>
      </c>
      <c r="AM375" s="385"/>
      <c r="AN375" s="475">
        <v>265</v>
      </c>
      <c r="AO375" s="395">
        <f t="shared" si="230"/>
        <v>931.68743749999999</v>
      </c>
      <c r="AP375" s="395">
        <f t="shared" si="231"/>
        <v>19.875998666666664</v>
      </c>
      <c r="AQ375" s="528"/>
      <c r="AR375" s="523"/>
      <c r="AS375" s="393"/>
      <c r="AT375" s="571"/>
      <c r="AU375" s="394"/>
      <c r="AV375" s="394"/>
      <c r="AW375" s="394"/>
      <c r="AX375" s="394"/>
      <c r="AY375" s="394"/>
      <c r="AZ375" s="394"/>
      <c r="BA375" s="394"/>
      <c r="BB375" s="394"/>
      <c r="BC375" s="394"/>
      <c r="BD375" s="381"/>
      <c r="BE375" s="408"/>
      <c r="BF375" s="385"/>
      <c r="BG375" s="475"/>
      <c r="BH375" s="395" t="e">
        <f t="shared" si="218"/>
        <v>#DIV/0!</v>
      </c>
      <c r="BI375" s="395" t="e">
        <f t="shared" si="219"/>
        <v>#DIV/0!</v>
      </c>
    </row>
    <row r="376" spans="1:61" s="358" customFormat="1" ht="19.2" x14ac:dyDescent="0.3">
      <c r="A376" s="359" t="s">
        <v>189</v>
      </c>
      <c r="B376" s="572" t="s">
        <v>2428</v>
      </c>
      <c r="C376" s="546" t="s">
        <v>2427</v>
      </c>
      <c r="D376" s="360">
        <v>0.4</v>
      </c>
      <c r="E376" s="528"/>
      <c r="F376" s="523"/>
      <c r="G376" s="393"/>
      <c r="H376" s="571"/>
      <c r="I376" s="394"/>
      <c r="J376" s="394"/>
      <c r="K376" s="394"/>
      <c r="L376" s="394"/>
      <c r="M376" s="394"/>
      <c r="N376" s="394"/>
      <c r="O376" s="394"/>
      <c r="P376" s="394"/>
      <c r="Q376" s="394"/>
      <c r="R376" s="381"/>
      <c r="S376" s="408"/>
      <c r="T376" s="385"/>
      <c r="U376" s="475"/>
      <c r="V376" s="395"/>
      <c r="W376" s="395"/>
      <c r="X376" s="528">
        <v>256</v>
      </c>
      <c r="Y376" s="523">
        <v>15</v>
      </c>
      <c r="Z376" s="393">
        <v>15</v>
      </c>
      <c r="AA376" s="571">
        <v>339.99752000000001</v>
      </c>
      <c r="AB376" s="394">
        <v>251.23186000000001</v>
      </c>
      <c r="AC376" s="394">
        <v>63.976959999999998</v>
      </c>
      <c r="AD376" s="394">
        <f>38.73882+129.1294</f>
        <v>167.86822000000001</v>
      </c>
      <c r="AE376" s="394">
        <v>41.612180000000002</v>
      </c>
      <c r="AF376" s="394">
        <v>0</v>
      </c>
      <c r="AG376" s="394">
        <v>0</v>
      </c>
      <c r="AH376" s="394">
        <v>23.038360000000001</v>
      </c>
      <c r="AI376" s="394">
        <v>0.24990999999999999</v>
      </c>
      <c r="AJ376" s="394">
        <v>12.912940000000001</v>
      </c>
      <c r="AK376" s="381" t="s">
        <v>167</v>
      </c>
      <c r="AL376" s="408" t="s">
        <v>175</v>
      </c>
      <c r="AM376" s="385"/>
      <c r="AN376" s="475">
        <v>267</v>
      </c>
      <c r="AO376" s="395">
        <f t="shared" si="230"/>
        <v>1328.1153125000001</v>
      </c>
      <c r="AP376" s="395">
        <f t="shared" si="231"/>
        <v>22.666501333333333</v>
      </c>
      <c r="AQ376" s="528"/>
      <c r="AR376" s="523"/>
      <c r="AS376" s="393"/>
      <c r="AT376" s="571"/>
      <c r="AU376" s="394"/>
      <c r="AV376" s="394"/>
      <c r="AW376" s="394"/>
      <c r="AX376" s="394"/>
      <c r="AY376" s="394"/>
      <c r="AZ376" s="394"/>
      <c r="BA376" s="394"/>
      <c r="BB376" s="394"/>
      <c r="BC376" s="394"/>
      <c r="BD376" s="381"/>
      <c r="BE376" s="408"/>
      <c r="BF376" s="385"/>
      <c r="BG376" s="475"/>
      <c r="BH376" s="395" t="e">
        <f t="shared" si="218"/>
        <v>#DIV/0!</v>
      </c>
      <c r="BI376" s="395" t="e">
        <f t="shared" si="219"/>
        <v>#DIV/0!</v>
      </c>
    </row>
    <row r="377" spans="1:61" s="358" customFormat="1" ht="19.2" x14ac:dyDescent="0.3">
      <c r="A377" s="359" t="s">
        <v>267</v>
      </c>
      <c r="B377" s="572" t="s">
        <v>2556</v>
      </c>
      <c r="C377" s="546" t="s">
        <v>2555</v>
      </c>
      <c r="D377" s="360">
        <v>0.4</v>
      </c>
      <c r="E377" s="528"/>
      <c r="F377" s="523"/>
      <c r="G377" s="393"/>
      <c r="H377" s="571"/>
      <c r="I377" s="394"/>
      <c r="J377" s="394"/>
      <c r="K377" s="394"/>
      <c r="L377" s="394"/>
      <c r="M377" s="394"/>
      <c r="N377" s="394"/>
      <c r="O377" s="394"/>
      <c r="P377" s="394"/>
      <c r="Q377" s="394"/>
      <c r="R377" s="381"/>
      <c r="S377" s="408"/>
      <c r="T377" s="385"/>
      <c r="U377" s="475"/>
      <c r="V377" s="395"/>
      <c r="W377" s="395"/>
      <c r="X377" s="528">
        <v>115</v>
      </c>
      <c r="Y377" s="523">
        <v>15</v>
      </c>
      <c r="Z377" s="393">
        <v>15</v>
      </c>
      <c r="AA377" s="571">
        <v>115.54882000000001</v>
      </c>
      <c r="AB377" s="394">
        <v>88.523970000000006</v>
      </c>
      <c r="AC377" s="394">
        <v>28.739650000000001</v>
      </c>
      <c r="AD377" s="394">
        <v>52.07208</v>
      </c>
      <c r="AE377" s="394">
        <v>14.39217</v>
      </c>
      <c r="AF377" s="394">
        <v>0</v>
      </c>
      <c r="AG377" s="394">
        <v>0</v>
      </c>
      <c r="AH377" s="394">
        <v>4.0381</v>
      </c>
      <c r="AI377" s="394">
        <v>0.24990999999999999</v>
      </c>
      <c r="AJ377" s="394">
        <v>13.01802</v>
      </c>
      <c r="AK377" s="381" t="s">
        <v>167</v>
      </c>
      <c r="AL377" s="408" t="s">
        <v>175</v>
      </c>
      <c r="AM377" s="385"/>
      <c r="AN377" s="475">
        <v>269</v>
      </c>
      <c r="AO377" s="395">
        <f t="shared" ref="AO377:AO383" si="232">AA377/X377*1000</f>
        <v>1004.7723478260871</v>
      </c>
      <c r="AP377" s="395">
        <f t="shared" ref="AP377:AP383" si="233">AA377/Y377</f>
        <v>7.703254666666667</v>
      </c>
      <c r="AQ377" s="528"/>
      <c r="AR377" s="523"/>
      <c r="AS377" s="393"/>
      <c r="AT377" s="571"/>
      <c r="AU377" s="394"/>
      <c r="AV377" s="394"/>
      <c r="AW377" s="394"/>
      <c r="AX377" s="394"/>
      <c r="AY377" s="394"/>
      <c r="AZ377" s="394"/>
      <c r="BA377" s="394"/>
      <c r="BB377" s="394"/>
      <c r="BC377" s="394"/>
      <c r="BD377" s="381"/>
      <c r="BE377" s="408"/>
      <c r="BF377" s="385"/>
      <c r="BG377" s="475"/>
      <c r="BH377" s="395" t="e">
        <f t="shared" si="218"/>
        <v>#DIV/0!</v>
      </c>
      <c r="BI377" s="395" t="e">
        <f t="shared" si="219"/>
        <v>#DIV/0!</v>
      </c>
    </row>
    <row r="378" spans="1:61" s="358" customFormat="1" ht="19.2" x14ac:dyDescent="0.3">
      <c r="A378" s="359" t="s">
        <v>268</v>
      </c>
      <c r="B378" s="572" t="s">
        <v>2558</v>
      </c>
      <c r="C378" s="546" t="s">
        <v>2557</v>
      </c>
      <c r="D378" s="360">
        <v>0.4</v>
      </c>
      <c r="E378" s="528"/>
      <c r="F378" s="523"/>
      <c r="G378" s="393"/>
      <c r="H378" s="571"/>
      <c r="I378" s="394"/>
      <c r="J378" s="394"/>
      <c r="K378" s="394"/>
      <c r="L378" s="394"/>
      <c r="M378" s="394"/>
      <c r="N378" s="394"/>
      <c r="O378" s="394"/>
      <c r="P378" s="394"/>
      <c r="Q378" s="394"/>
      <c r="R378" s="381"/>
      <c r="S378" s="408"/>
      <c r="T378" s="385"/>
      <c r="U378" s="475"/>
      <c r="V378" s="395"/>
      <c r="W378" s="395"/>
      <c r="X378" s="528">
        <v>254</v>
      </c>
      <c r="Y378" s="523">
        <v>15</v>
      </c>
      <c r="Z378" s="393">
        <v>15</v>
      </c>
      <c r="AA378" s="571">
        <v>319.40087999999997</v>
      </c>
      <c r="AB378" s="394">
        <v>236.68006</v>
      </c>
      <c r="AC378" s="394">
        <v>63.477139999999999</v>
      </c>
      <c r="AD378" s="394">
        <f>70.0858+84.10296</f>
        <v>154.18876</v>
      </c>
      <c r="AE378" s="394">
        <v>39.919510000000002</v>
      </c>
      <c r="AF378" s="394">
        <v>0</v>
      </c>
      <c r="AG378" s="394">
        <v>0</v>
      </c>
      <c r="AH378" s="394">
        <v>21.00834</v>
      </c>
      <c r="AI378" s="394">
        <v>0.24990999999999999</v>
      </c>
      <c r="AJ378" s="394">
        <v>14.017160000000001</v>
      </c>
      <c r="AK378" s="381" t="s">
        <v>167</v>
      </c>
      <c r="AL378" s="408" t="s">
        <v>175</v>
      </c>
      <c r="AM378" s="385"/>
      <c r="AN378" s="475">
        <v>271</v>
      </c>
      <c r="AO378" s="395">
        <f t="shared" si="232"/>
        <v>1257.4837795275589</v>
      </c>
      <c r="AP378" s="395">
        <f t="shared" si="233"/>
        <v>21.293391999999997</v>
      </c>
      <c r="AQ378" s="528"/>
      <c r="AR378" s="523"/>
      <c r="AS378" s="393"/>
      <c r="AT378" s="571"/>
      <c r="AU378" s="394"/>
      <c r="AV378" s="394"/>
      <c r="AW378" s="394"/>
      <c r="AX378" s="394"/>
      <c r="AY378" s="394"/>
      <c r="AZ378" s="394"/>
      <c r="BA378" s="394"/>
      <c r="BB378" s="394"/>
      <c r="BC378" s="394"/>
      <c r="BD378" s="381"/>
      <c r="BE378" s="408"/>
      <c r="BF378" s="385"/>
      <c r="BG378" s="475"/>
      <c r="BH378" s="395" t="e">
        <f t="shared" si="218"/>
        <v>#DIV/0!</v>
      </c>
      <c r="BI378" s="395" t="e">
        <f t="shared" si="219"/>
        <v>#DIV/0!</v>
      </c>
    </row>
    <row r="379" spans="1:61" s="358" customFormat="1" ht="19.2" x14ac:dyDescent="0.3">
      <c r="A379" s="359" t="s">
        <v>269</v>
      </c>
      <c r="B379" s="572" t="s">
        <v>2560</v>
      </c>
      <c r="C379" s="546" t="s">
        <v>2559</v>
      </c>
      <c r="D379" s="360">
        <v>0.4</v>
      </c>
      <c r="E379" s="528"/>
      <c r="F379" s="523"/>
      <c r="G379" s="393"/>
      <c r="H379" s="571"/>
      <c r="I379" s="394"/>
      <c r="J379" s="394"/>
      <c r="K379" s="394"/>
      <c r="L379" s="394"/>
      <c r="M379" s="394"/>
      <c r="N379" s="394"/>
      <c r="O379" s="394"/>
      <c r="P379" s="394"/>
      <c r="Q379" s="394"/>
      <c r="R379" s="381"/>
      <c r="S379" s="408"/>
      <c r="T379" s="385"/>
      <c r="U379" s="475"/>
      <c r="V379" s="395"/>
      <c r="W379" s="395"/>
      <c r="X379" s="528">
        <v>190</v>
      </c>
      <c r="Y379" s="523">
        <v>15</v>
      </c>
      <c r="Z379" s="393">
        <v>15</v>
      </c>
      <c r="AA379" s="571">
        <v>186.92572999999999</v>
      </c>
      <c r="AB379" s="394">
        <v>137.36888999999999</v>
      </c>
      <c r="AC379" s="394">
        <v>47.482900000000001</v>
      </c>
      <c r="AD379" s="394">
        <f>56.06824+28.03412</f>
        <v>84.102360000000004</v>
      </c>
      <c r="AE379" s="394">
        <v>23.667190000000002</v>
      </c>
      <c r="AF379" s="394">
        <v>0</v>
      </c>
      <c r="AG379" s="394">
        <v>0</v>
      </c>
      <c r="AH379" s="394">
        <v>12.70064</v>
      </c>
      <c r="AI379" s="394">
        <v>0.24990999999999999</v>
      </c>
      <c r="AJ379" s="394">
        <v>14.017060000000001</v>
      </c>
      <c r="AK379" s="381" t="s">
        <v>167</v>
      </c>
      <c r="AL379" s="408" t="s">
        <v>175</v>
      </c>
      <c r="AM379" s="385"/>
      <c r="AN379" s="475">
        <v>273</v>
      </c>
      <c r="AO379" s="395">
        <f t="shared" si="232"/>
        <v>983.81963157894722</v>
      </c>
      <c r="AP379" s="395">
        <f t="shared" si="233"/>
        <v>12.461715333333332</v>
      </c>
      <c r="AQ379" s="528"/>
      <c r="AR379" s="523"/>
      <c r="AS379" s="393"/>
      <c r="AT379" s="571"/>
      <c r="AU379" s="394"/>
      <c r="AV379" s="394"/>
      <c r="AW379" s="394"/>
      <c r="AX379" s="394"/>
      <c r="AY379" s="394"/>
      <c r="AZ379" s="394"/>
      <c r="BA379" s="394"/>
      <c r="BB379" s="394"/>
      <c r="BC379" s="394"/>
      <c r="BD379" s="381"/>
      <c r="BE379" s="408"/>
      <c r="BF379" s="385"/>
      <c r="BG379" s="475"/>
      <c r="BH379" s="395" t="e">
        <f t="shared" si="218"/>
        <v>#DIV/0!</v>
      </c>
      <c r="BI379" s="395" t="e">
        <f t="shared" si="219"/>
        <v>#DIV/0!</v>
      </c>
    </row>
    <row r="380" spans="1:61" s="358" customFormat="1" ht="19.2" x14ac:dyDescent="0.3">
      <c r="A380" s="359" t="s">
        <v>270</v>
      </c>
      <c r="B380" s="572" t="s">
        <v>2562</v>
      </c>
      <c r="C380" s="546" t="s">
        <v>2561</v>
      </c>
      <c r="D380" s="360">
        <v>0.4</v>
      </c>
      <c r="E380" s="528"/>
      <c r="F380" s="523"/>
      <c r="G380" s="393"/>
      <c r="H380" s="571"/>
      <c r="I380" s="394"/>
      <c r="J380" s="394"/>
      <c r="K380" s="394"/>
      <c r="L380" s="394"/>
      <c r="M380" s="394"/>
      <c r="N380" s="394"/>
      <c r="O380" s="394"/>
      <c r="P380" s="394"/>
      <c r="Q380" s="394"/>
      <c r="R380" s="381"/>
      <c r="S380" s="408"/>
      <c r="T380" s="385"/>
      <c r="U380" s="475"/>
      <c r="V380" s="395"/>
      <c r="W380" s="395"/>
      <c r="X380" s="528">
        <v>899</v>
      </c>
      <c r="Y380" s="523">
        <v>15</v>
      </c>
      <c r="Z380" s="393">
        <v>15</v>
      </c>
      <c r="AA380" s="571">
        <v>886.26320999999996</v>
      </c>
      <c r="AB380" s="394">
        <v>652.75094999999999</v>
      </c>
      <c r="AC380" s="394">
        <v>224.66909000000001</v>
      </c>
      <c r="AD380" s="394">
        <f>141.89054+12.89914+168.20592+13.01802+39.05406</f>
        <v>375.06767999999994</v>
      </c>
      <c r="AE380" s="394">
        <v>112.69141</v>
      </c>
      <c r="AF380" s="394">
        <v>0</v>
      </c>
      <c r="AG380" s="394">
        <v>0</v>
      </c>
      <c r="AH380" s="394">
        <v>59.472090000000001</v>
      </c>
      <c r="AI380" s="394">
        <v>0.24990999999999999</v>
      </c>
      <c r="AJ380" s="394">
        <v>14.017160000000001</v>
      </c>
      <c r="AK380" s="381" t="s">
        <v>167</v>
      </c>
      <c r="AL380" s="408" t="s">
        <v>175</v>
      </c>
      <c r="AM380" s="385"/>
      <c r="AN380" s="475">
        <v>275</v>
      </c>
      <c r="AO380" s="395">
        <f t="shared" si="232"/>
        <v>985.83226918798664</v>
      </c>
      <c r="AP380" s="395">
        <f t="shared" si="233"/>
        <v>59.084213999999996</v>
      </c>
      <c r="AQ380" s="528"/>
      <c r="AR380" s="523"/>
      <c r="AS380" s="393"/>
      <c r="AT380" s="571"/>
      <c r="AU380" s="394"/>
      <c r="AV380" s="394"/>
      <c r="AW380" s="394"/>
      <c r="AX380" s="394"/>
      <c r="AY380" s="394"/>
      <c r="AZ380" s="394"/>
      <c r="BA380" s="394"/>
      <c r="BB380" s="394"/>
      <c r="BC380" s="394"/>
      <c r="BD380" s="381"/>
      <c r="BE380" s="408"/>
      <c r="BF380" s="385"/>
      <c r="BG380" s="475"/>
      <c r="BH380" s="395" t="e">
        <f t="shared" si="218"/>
        <v>#DIV/0!</v>
      </c>
      <c r="BI380" s="395" t="e">
        <f t="shared" si="219"/>
        <v>#DIV/0!</v>
      </c>
    </row>
    <row r="381" spans="1:61" s="358" customFormat="1" ht="19.2" x14ac:dyDescent="0.3">
      <c r="A381" s="359" t="s">
        <v>271</v>
      </c>
      <c r="B381" s="572" t="s">
        <v>2564</v>
      </c>
      <c r="C381" s="546" t="s">
        <v>2563</v>
      </c>
      <c r="D381" s="360">
        <v>0.4</v>
      </c>
      <c r="E381" s="528"/>
      <c r="F381" s="523"/>
      <c r="G381" s="393"/>
      <c r="H381" s="571"/>
      <c r="I381" s="394"/>
      <c r="J381" s="394"/>
      <c r="K381" s="394"/>
      <c r="L381" s="394"/>
      <c r="M381" s="394"/>
      <c r="N381" s="394"/>
      <c r="O381" s="394"/>
      <c r="P381" s="394"/>
      <c r="Q381" s="394"/>
      <c r="R381" s="381"/>
      <c r="S381" s="408"/>
      <c r="T381" s="385"/>
      <c r="U381" s="475"/>
      <c r="V381" s="395"/>
      <c r="W381" s="395"/>
      <c r="X381" s="528">
        <v>495</v>
      </c>
      <c r="Y381" s="523">
        <v>15</v>
      </c>
      <c r="Z381" s="393">
        <v>15</v>
      </c>
      <c r="AA381" s="571">
        <v>604.52976000000001</v>
      </c>
      <c r="AB381" s="394">
        <v>445.67243999999999</v>
      </c>
      <c r="AC381" s="394">
        <v>123.70545</v>
      </c>
      <c r="AD381" s="394">
        <f>168.20592+84.10296+42.05148</f>
        <v>294.36036000000001</v>
      </c>
      <c r="AE381" s="394">
        <v>76.497659999999996</v>
      </c>
      <c r="AF381" s="394">
        <v>0</v>
      </c>
      <c r="AG381" s="394">
        <v>0</v>
      </c>
      <c r="AH381" s="394">
        <v>40.40231</v>
      </c>
      <c r="AI381" s="394">
        <v>0.24990999999999999</v>
      </c>
      <c r="AJ381" s="394">
        <v>14.017160000000001</v>
      </c>
      <c r="AK381" s="381" t="s">
        <v>167</v>
      </c>
      <c r="AL381" s="408" t="s">
        <v>175</v>
      </c>
      <c r="AM381" s="385"/>
      <c r="AN381" s="475">
        <v>278</v>
      </c>
      <c r="AO381" s="395">
        <f t="shared" si="232"/>
        <v>1221.2722424242424</v>
      </c>
      <c r="AP381" s="395">
        <f t="shared" si="233"/>
        <v>40.301983999999997</v>
      </c>
      <c r="AQ381" s="528"/>
      <c r="AR381" s="523"/>
      <c r="AS381" s="393"/>
      <c r="AT381" s="571"/>
      <c r="AU381" s="394"/>
      <c r="AV381" s="394"/>
      <c r="AW381" s="394"/>
      <c r="AX381" s="394"/>
      <c r="AY381" s="394"/>
      <c r="AZ381" s="394"/>
      <c r="BA381" s="394"/>
      <c r="BB381" s="394"/>
      <c r="BC381" s="394"/>
      <c r="BD381" s="381"/>
      <c r="BE381" s="408"/>
      <c r="BF381" s="385"/>
      <c r="BG381" s="475"/>
      <c r="BH381" s="395" t="e">
        <f t="shared" si="218"/>
        <v>#DIV/0!</v>
      </c>
      <c r="BI381" s="395" t="e">
        <f t="shared" si="219"/>
        <v>#DIV/0!</v>
      </c>
    </row>
    <row r="382" spans="1:61" s="358" customFormat="1" ht="19.2" x14ac:dyDescent="0.3">
      <c r="A382" s="359" t="s">
        <v>272</v>
      </c>
      <c r="B382" s="572" t="s">
        <v>2566</v>
      </c>
      <c r="C382" s="546" t="s">
        <v>2565</v>
      </c>
      <c r="D382" s="360">
        <v>0.4</v>
      </c>
      <c r="E382" s="528"/>
      <c r="F382" s="523"/>
      <c r="G382" s="393"/>
      <c r="H382" s="571"/>
      <c r="I382" s="394"/>
      <c r="J382" s="394"/>
      <c r="K382" s="394"/>
      <c r="L382" s="394"/>
      <c r="M382" s="394"/>
      <c r="N382" s="394"/>
      <c r="O382" s="394"/>
      <c r="P382" s="394"/>
      <c r="Q382" s="394"/>
      <c r="R382" s="381"/>
      <c r="S382" s="408"/>
      <c r="T382" s="385"/>
      <c r="U382" s="475"/>
      <c r="V382" s="395"/>
      <c r="W382" s="395"/>
      <c r="X382" s="528">
        <v>320</v>
      </c>
      <c r="Y382" s="523">
        <v>15</v>
      </c>
      <c r="Z382" s="393">
        <v>15</v>
      </c>
      <c r="AA382" s="571">
        <v>566.37590999999998</v>
      </c>
      <c r="AB382" s="394">
        <v>418.11543999999998</v>
      </c>
      <c r="AC382" s="394">
        <v>79.971199999999996</v>
      </c>
      <c r="AD382" s="394">
        <f>242.20444+28.49464+42.74196</f>
        <v>313.44103999999999</v>
      </c>
      <c r="AE382" s="394">
        <v>71.099699999999999</v>
      </c>
      <c r="AF382" s="394">
        <v>0</v>
      </c>
      <c r="AG382" s="394">
        <v>0</v>
      </c>
      <c r="AH382" s="394">
        <v>37.668979999999998</v>
      </c>
      <c r="AI382" s="394">
        <v>0.24990999999999999</v>
      </c>
      <c r="AJ382" s="394">
        <v>14.24732</v>
      </c>
      <c r="AK382" s="381" t="s">
        <v>167</v>
      </c>
      <c r="AL382" s="408" t="s">
        <v>175</v>
      </c>
      <c r="AM382" s="385"/>
      <c r="AN382" s="475">
        <v>280</v>
      </c>
      <c r="AO382" s="395">
        <f t="shared" si="232"/>
        <v>1769.92471875</v>
      </c>
      <c r="AP382" s="395">
        <f t="shared" si="233"/>
        <v>37.758393999999996</v>
      </c>
      <c r="AQ382" s="528"/>
      <c r="AR382" s="523"/>
      <c r="AS382" s="393"/>
      <c r="AT382" s="571"/>
      <c r="AU382" s="394"/>
      <c r="AV382" s="394"/>
      <c r="AW382" s="394"/>
      <c r="AX382" s="394"/>
      <c r="AY382" s="394"/>
      <c r="AZ382" s="394"/>
      <c r="BA382" s="394"/>
      <c r="BB382" s="394"/>
      <c r="BC382" s="394"/>
      <c r="BD382" s="381"/>
      <c r="BE382" s="408"/>
      <c r="BF382" s="385"/>
      <c r="BG382" s="475"/>
      <c r="BH382" s="395" t="e">
        <f t="shared" si="218"/>
        <v>#DIV/0!</v>
      </c>
      <c r="BI382" s="395" t="e">
        <f t="shared" si="219"/>
        <v>#DIV/0!</v>
      </c>
    </row>
    <row r="383" spans="1:61" s="358" customFormat="1" ht="19.2" x14ac:dyDescent="0.3">
      <c r="A383" s="359" t="s">
        <v>273</v>
      </c>
      <c r="B383" s="572" t="s">
        <v>2568</v>
      </c>
      <c r="C383" s="546" t="s">
        <v>2567</v>
      </c>
      <c r="D383" s="360">
        <v>0.4</v>
      </c>
      <c r="E383" s="528"/>
      <c r="F383" s="523"/>
      <c r="G383" s="393"/>
      <c r="H383" s="571"/>
      <c r="I383" s="394"/>
      <c r="J383" s="394"/>
      <c r="K383" s="394"/>
      <c r="L383" s="394"/>
      <c r="M383" s="394"/>
      <c r="N383" s="394"/>
      <c r="O383" s="394"/>
      <c r="P383" s="394"/>
      <c r="Q383" s="394"/>
      <c r="R383" s="381"/>
      <c r="S383" s="408"/>
      <c r="T383" s="385"/>
      <c r="U383" s="475"/>
      <c r="V383" s="395"/>
      <c r="W383" s="395"/>
      <c r="X383" s="528">
        <v>245</v>
      </c>
      <c r="Y383" s="523">
        <v>15</v>
      </c>
      <c r="Z383" s="393">
        <v>15</v>
      </c>
      <c r="AA383" s="571">
        <v>314.44997000000001</v>
      </c>
      <c r="AB383" s="394">
        <v>232.74929</v>
      </c>
      <c r="AC383" s="394">
        <v>61.22795</v>
      </c>
      <c r="AD383" s="394">
        <f>100.00564+57.14608</f>
        <v>157.15172000000001</v>
      </c>
      <c r="AE383" s="394">
        <v>39.17906</v>
      </c>
      <c r="AF383" s="394">
        <v>0</v>
      </c>
      <c r="AG383" s="394">
        <v>0</v>
      </c>
      <c r="AH383" s="394">
        <v>20.823309999999999</v>
      </c>
      <c r="AI383" s="394">
        <v>0.24990999999999999</v>
      </c>
      <c r="AJ383" s="394">
        <v>14.286519999999999</v>
      </c>
      <c r="AK383" s="381" t="s">
        <v>167</v>
      </c>
      <c r="AL383" s="408" t="s">
        <v>175</v>
      </c>
      <c r="AM383" s="385"/>
      <c r="AN383" s="475">
        <v>282</v>
      </c>
      <c r="AO383" s="395">
        <f t="shared" si="232"/>
        <v>1283.4692653061225</v>
      </c>
      <c r="AP383" s="395">
        <f t="shared" si="233"/>
        <v>20.963331333333333</v>
      </c>
      <c r="AQ383" s="528"/>
      <c r="AR383" s="523"/>
      <c r="AS383" s="393"/>
      <c r="AT383" s="571"/>
      <c r="AU383" s="394"/>
      <c r="AV383" s="394"/>
      <c r="AW383" s="394"/>
      <c r="AX383" s="394"/>
      <c r="AY383" s="394"/>
      <c r="AZ383" s="394"/>
      <c r="BA383" s="394"/>
      <c r="BB383" s="394"/>
      <c r="BC383" s="394"/>
      <c r="BD383" s="381"/>
      <c r="BE383" s="408"/>
      <c r="BF383" s="385"/>
      <c r="BG383" s="475"/>
      <c r="BH383" s="395" t="e">
        <f>AT383/AQ383*1000</f>
        <v>#DIV/0!</v>
      </c>
      <c r="BI383" s="395" t="e">
        <f>AT383/AR383</f>
        <v>#DIV/0!</v>
      </c>
    </row>
    <row r="384" spans="1:61" s="358" customFormat="1" ht="19.2" x14ac:dyDescent="0.3">
      <c r="A384" s="359" t="s">
        <v>178</v>
      </c>
      <c r="B384" s="602" t="s">
        <v>4679</v>
      </c>
      <c r="C384" s="548" t="s">
        <v>4678</v>
      </c>
      <c r="D384" s="360">
        <v>0.4</v>
      </c>
      <c r="E384" s="528"/>
      <c r="F384" s="523"/>
      <c r="G384" s="393"/>
      <c r="H384" s="394"/>
      <c r="I384" s="394"/>
      <c r="J384" s="394"/>
      <c r="K384" s="394"/>
      <c r="L384" s="394"/>
      <c r="M384" s="394"/>
      <c r="N384" s="394"/>
      <c r="O384" s="394"/>
      <c r="P384" s="394"/>
      <c r="Q384" s="394"/>
      <c r="R384" s="381"/>
      <c r="S384" s="408"/>
      <c r="T384" s="385"/>
      <c r="U384" s="475"/>
      <c r="V384" s="395"/>
      <c r="W384" s="395"/>
      <c r="X384" s="528"/>
      <c r="Y384" s="523"/>
      <c r="Z384" s="393"/>
      <c r="AA384" s="394"/>
      <c r="AB384" s="394"/>
      <c r="AC384" s="394"/>
      <c r="AD384" s="394"/>
      <c r="AE384" s="394"/>
      <c r="AF384" s="394"/>
      <c r="AG384" s="394"/>
      <c r="AH384" s="394"/>
      <c r="AI384" s="394"/>
      <c r="AJ384" s="394"/>
      <c r="AK384" s="381"/>
      <c r="AL384" s="408"/>
      <c r="AM384" s="385"/>
      <c r="AN384" s="475"/>
      <c r="AO384" s="395"/>
      <c r="AP384" s="395"/>
      <c r="AQ384" s="528">
        <v>150</v>
      </c>
      <c r="AR384" s="523">
        <v>150</v>
      </c>
      <c r="AS384" s="393">
        <v>150</v>
      </c>
      <c r="AT384" s="600">
        <v>99.462100000000007</v>
      </c>
      <c r="AU384" s="394">
        <v>74.710120000000003</v>
      </c>
      <c r="AV384" s="394">
        <v>37.486499999999999</v>
      </c>
      <c r="AW384" s="394">
        <v>28.574560000000002</v>
      </c>
      <c r="AX384" s="394">
        <v>12.09647</v>
      </c>
      <c r="AY384" s="394">
        <v>0</v>
      </c>
      <c r="AZ384" s="394">
        <v>0</v>
      </c>
      <c r="BA384" s="394">
        <v>6.2744499999999999</v>
      </c>
      <c r="BB384" s="394">
        <v>0.24990999999999999</v>
      </c>
      <c r="BC384" s="394">
        <v>14.287280000000001</v>
      </c>
      <c r="BD384" s="381" t="s">
        <v>167</v>
      </c>
      <c r="BE384" s="408" t="s">
        <v>175</v>
      </c>
      <c r="BF384" s="385"/>
      <c r="BG384" s="475">
        <v>226</v>
      </c>
      <c r="BH384" s="395">
        <f t="shared" ref="BH384" si="234">AT384/AQ384*1000</f>
        <v>663.08066666666673</v>
      </c>
      <c r="BI384" s="395">
        <f t="shared" ref="BI384" si="235">AT384/AR384</f>
        <v>0.66308066666666676</v>
      </c>
    </row>
    <row r="385" spans="1:61" s="358" customFormat="1" ht="28.8" x14ac:dyDescent="0.3">
      <c r="A385" s="359" t="s">
        <v>182</v>
      </c>
      <c r="B385" s="602" t="s">
        <v>4687</v>
      </c>
      <c r="C385" s="548" t="s">
        <v>4686</v>
      </c>
      <c r="D385" s="360">
        <v>0.4</v>
      </c>
      <c r="E385" s="528"/>
      <c r="F385" s="523"/>
      <c r="G385" s="393"/>
      <c r="H385" s="394"/>
      <c r="I385" s="394"/>
      <c r="J385" s="394"/>
      <c r="K385" s="394"/>
      <c r="L385" s="394"/>
      <c r="M385" s="394"/>
      <c r="N385" s="394"/>
      <c r="O385" s="394"/>
      <c r="P385" s="394"/>
      <c r="Q385" s="394"/>
      <c r="R385" s="381"/>
      <c r="S385" s="408"/>
      <c r="T385" s="385"/>
      <c r="U385" s="475"/>
      <c r="V385" s="395"/>
      <c r="W385" s="395"/>
      <c r="X385" s="528"/>
      <c r="Y385" s="523"/>
      <c r="Z385" s="393"/>
      <c r="AA385" s="394"/>
      <c r="AB385" s="394"/>
      <c r="AC385" s="394"/>
      <c r="AD385" s="394"/>
      <c r="AE385" s="394"/>
      <c r="AF385" s="394"/>
      <c r="AG385" s="394"/>
      <c r="AH385" s="394"/>
      <c r="AI385" s="394"/>
      <c r="AJ385" s="394"/>
      <c r="AK385" s="381"/>
      <c r="AL385" s="408"/>
      <c r="AM385" s="385"/>
      <c r="AN385" s="475"/>
      <c r="AO385" s="395"/>
      <c r="AP385" s="395"/>
      <c r="AQ385" s="528">
        <v>210</v>
      </c>
      <c r="AR385" s="523">
        <v>150</v>
      </c>
      <c r="AS385" s="393">
        <v>150</v>
      </c>
      <c r="AT385" s="600">
        <v>107.74614</v>
      </c>
      <c r="AU385" s="394">
        <v>59.014389999999999</v>
      </c>
      <c r="AV385" s="394">
        <v>52.481099999999998</v>
      </c>
      <c r="AW385" s="394"/>
      <c r="AX385" s="394">
        <v>8.6821900000000003</v>
      </c>
      <c r="AY385" s="394">
        <v>0</v>
      </c>
      <c r="AZ385" s="394">
        <v>0</v>
      </c>
      <c r="BA385" s="394">
        <v>16.471579999999999</v>
      </c>
      <c r="BB385" s="394">
        <v>0.24990999999999999</v>
      </c>
      <c r="BC385" s="394"/>
      <c r="BD385" s="381" t="s">
        <v>167</v>
      </c>
      <c r="BE385" s="408" t="s">
        <v>175</v>
      </c>
      <c r="BF385" s="385"/>
      <c r="BG385" s="475">
        <v>228</v>
      </c>
      <c r="BH385" s="395">
        <f t="shared" ref="BH385:BH387" si="236">AT385/AQ385*1000</f>
        <v>513.07685714285708</v>
      </c>
      <c r="BI385" s="395">
        <f t="shared" ref="BI385:BI387" si="237">AT385/AR385</f>
        <v>0.71830759999999994</v>
      </c>
    </row>
    <row r="386" spans="1:61" s="358" customFormat="1" ht="28.8" x14ac:dyDescent="0.3">
      <c r="A386" s="359" t="s">
        <v>184</v>
      </c>
      <c r="B386" s="602" t="s">
        <v>4687</v>
      </c>
      <c r="C386" s="548" t="s">
        <v>4688</v>
      </c>
      <c r="D386" s="360">
        <v>0.4</v>
      </c>
      <c r="E386" s="528"/>
      <c r="F386" s="523"/>
      <c r="G386" s="393"/>
      <c r="H386" s="394"/>
      <c r="I386" s="394"/>
      <c r="J386" s="394"/>
      <c r="K386" s="394"/>
      <c r="L386" s="394"/>
      <c r="M386" s="394"/>
      <c r="N386" s="394"/>
      <c r="O386" s="394"/>
      <c r="P386" s="394"/>
      <c r="Q386" s="394"/>
      <c r="R386" s="381"/>
      <c r="S386" s="408"/>
      <c r="T386" s="385"/>
      <c r="U386" s="475"/>
      <c r="V386" s="395"/>
      <c r="W386" s="395"/>
      <c r="X386" s="528"/>
      <c r="Y386" s="523"/>
      <c r="Z386" s="393"/>
      <c r="AA386" s="394"/>
      <c r="AB386" s="394"/>
      <c r="AC386" s="394"/>
      <c r="AD386" s="394"/>
      <c r="AE386" s="394"/>
      <c r="AF386" s="394"/>
      <c r="AG386" s="394"/>
      <c r="AH386" s="394"/>
      <c r="AI386" s="394"/>
      <c r="AJ386" s="394"/>
      <c r="AK386" s="381"/>
      <c r="AL386" s="408"/>
      <c r="AM386" s="385"/>
      <c r="AN386" s="475"/>
      <c r="AO386" s="395"/>
      <c r="AP386" s="395"/>
      <c r="AQ386" s="528">
        <v>300</v>
      </c>
      <c r="AR386" s="523">
        <v>150</v>
      </c>
      <c r="AS386" s="393">
        <v>150</v>
      </c>
      <c r="AT386" s="600">
        <v>144.29175000000001</v>
      </c>
      <c r="AU386" s="394">
        <v>106.57795</v>
      </c>
      <c r="AV386" s="394">
        <v>74.972999999999999</v>
      </c>
      <c r="AW386" s="394">
        <v>22.140440000000002</v>
      </c>
      <c r="AX386" s="394">
        <v>17.919329999999999</v>
      </c>
      <c r="AY386" s="394">
        <v>0</v>
      </c>
      <c r="AZ386" s="394">
        <v>0</v>
      </c>
      <c r="BA386" s="394">
        <v>9.8401499999999995</v>
      </c>
      <c r="BB386" s="394">
        <v>0.24990999999999999</v>
      </c>
      <c r="BC386" s="394">
        <v>11.070220000000001</v>
      </c>
      <c r="BD386" s="381" t="s">
        <v>167</v>
      </c>
      <c r="BE386" s="408" t="s">
        <v>175</v>
      </c>
      <c r="BF386" s="385"/>
      <c r="BG386" s="475">
        <v>229</v>
      </c>
      <c r="BH386" s="395">
        <f t="shared" si="236"/>
        <v>480.97250000000003</v>
      </c>
      <c r="BI386" s="395">
        <f t="shared" si="237"/>
        <v>0.96194500000000005</v>
      </c>
    </row>
    <row r="387" spans="1:61" s="358" customFormat="1" ht="28.8" x14ac:dyDescent="0.3">
      <c r="A387" s="359" t="s">
        <v>186</v>
      </c>
      <c r="B387" s="602" t="s">
        <v>4687</v>
      </c>
      <c r="C387" s="548" t="s">
        <v>4692</v>
      </c>
      <c r="D387" s="360">
        <v>0.4</v>
      </c>
      <c r="E387" s="528"/>
      <c r="F387" s="523"/>
      <c r="G387" s="393"/>
      <c r="H387" s="394"/>
      <c r="I387" s="394"/>
      <c r="J387" s="394"/>
      <c r="K387" s="394"/>
      <c r="L387" s="394"/>
      <c r="M387" s="394"/>
      <c r="N387" s="394"/>
      <c r="O387" s="394"/>
      <c r="P387" s="394"/>
      <c r="Q387" s="394"/>
      <c r="R387" s="381"/>
      <c r="S387" s="408"/>
      <c r="T387" s="385"/>
      <c r="U387" s="475"/>
      <c r="V387" s="395"/>
      <c r="W387" s="395"/>
      <c r="X387" s="528"/>
      <c r="Y387" s="523"/>
      <c r="Z387" s="393"/>
      <c r="AA387" s="394"/>
      <c r="AB387" s="394"/>
      <c r="AC387" s="394"/>
      <c r="AD387" s="394"/>
      <c r="AE387" s="394"/>
      <c r="AF387" s="394"/>
      <c r="AG387" s="394"/>
      <c r="AH387" s="394"/>
      <c r="AI387" s="394"/>
      <c r="AJ387" s="394"/>
      <c r="AK387" s="381"/>
      <c r="AL387" s="408"/>
      <c r="AM387" s="385"/>
      <c r="AN387" s="475"/>
      <c r="AO387" s="395"/>
      <c r="AP387" s="395"/>
      <c r="AQ387" s="528">
        <v>135</v>
      </c>
      <c r="AR387" s="523">
        <v>150</v>
      </c>
      <c r="AS387" s="393">
        <v>150</v>
      </c>
      <c r="AT387" s="600">
        <v>50.884480000000003</v>
      </c>
      <c r="AU387" s="394">
        <v>38.878010000000003</v>
      </c>
      <c r="AV387" s="394">
        <v>33.737850000000002</v>
      </c>
      <c r="AW387" s="394"/>
      <c r="AX387" s="394">
        <v>5.58141</v>
      </c>
      <c r="AY387" s="394">
        <v>0</v>
      </c>
      <c r="AZ387" s="394">
        <v>0</v>
      </c>
      <c r="BA387" s="394">
        <v>3.20913</v>
      </c>
      <c r="BB387" s="394">
        <v>0.24990999999999999</v>
      </c>
      <c r="BC387" s="394"/>
      <c r="BD387" s="381" t="s">
        <v>167</v>
      </c>
      <c r="BE387" s="408" t="s">
        <v>175</v>
      </c>
      <c r="BF387" s="385"/>
      <c r="BG387" s="475">
        <v>231</v>
      </c>
      <c r="BH387" s="395">
        <f t="shared" si="236"/>
        <v>376.92207407407409</v>
      </c>
      <c r="BI387" s="395">
        <f t="shared" si="237"/>
        <v>0.33922986666666671</v>
      </c>
    </row>
    <row r="388" spans="1:61" s="358" customFormat="1" ht="19.2" x14ac:dyDescent="0.3">
      <c r="A388" s="359" t="s">
        <v>189</v>
      </c>
      <c r="B388" s="602" t="s">
        <v>4749</v>
      </c>
      <c r="C388" s="548" t="s">
        <v>4748</v>
      </c>
      <c r="D388" s="360">
        <v>0.4</v>
      </c>
      <c r="E388" s="528"/>
      <c r="F388" s="523"/>
      <c r="G388" s="393"/>
      <c r="H388" s="394"/>
      <c r="I388" s="394"/>
      <c r="J388" s="394"/>
      <c r="K388" s="394"/>
      <c r="L388" s="394"/>
      <c r="M388" s="394"/>
      <c r="N388" s="394"/>
      <c r="O388" s="394"/>
      <c r="P388" s="394"/>
      <c r="Q388" s="394"/>
      <c r="R388" s="381"/>
      <c r="S388" s="408"/>
      <c r="T388" s="385"/>
      <c r="U388" s="475"/>
      <c r="V388" s="395"/>
      <c r="W388" s="395"/>
      <c r="X388" s="528"/>
      <c r="Y388" s="523"/>
      <c r="Z388" s="393"/>
      <c r="AA388" s="394"/>
      <c r="AB388" s="394"/>
      <c r="AC388" s="394"/>
      <c r="AD388" s="394"/>
      <c r="AE388" s="394"/>
      <c r="AF388" s="394"/>
      <c r="AG388" s="394"/>
      <c r="AH388" s="394"/>
      <c r="AI388" s="394"/>
      <c r="AJ388" s="394"/>
      <c r="AK388" s="381"/>
      <c r="AL388" s="408"/>
      <c r="AM388" s="385"/>
      <c r="AN388" s="475"/>
      <c r="AO388" s="395"/>
      <c r="AP388" s="395"/>
      <c r="AQ388" s="528">
        <v>190</v>
      </c>
      <c r="AR388" s="523">
        <v>150</v>
      </c>
      <c r="AS388" s="393">
        <v>150</v>
      </c>
      <c r="AT388" s="600">
        <v>181.46340000000001</v>
      </c>
      <c r="AU388" s="394">
        <v>134.28706</v>
      </c>
      <c r="AV388" s="394">
        <v>56.825200000000002</v>
      </c>
      <c r="AW388" s="394">
        <v>65.170019999999994</v>
      </c>
      <c r="AX388" s="394">
        <v>16.963850000000001</v>
      </c>
      <c r="AY388" s="394">
        <v>0</v>
      </c>
      <c r="AZ388" s="394">
        <v>0</v>
      </c>
      <c r="BA388" s="394">
        <v>14.764950000000001</v>
      </c>
      <c r="BB388" s="394">
        <v>0.29908000000000001</v>
      </c>
      <c r="BC388" s="394">
        <v>10.86167</v>
      </c>
      <c r="BD388" s="381" t="s">
        <v>167</v>
      </c>
      <c r="BE388" s="408" t="s">
        <v>175</v>
      </c>
      <c r="BF388" s="385"/>
      <c r="BG388" s="475">
        <v>232</v>
      </c>
      <c r="BH388" s="395">
        <f t="shared" ref="BH388:BH390" si="238">AT388/AQ388*1000</f>
        <v>955.07052631578949</v>
      </c>
      <c r="BI388" s="395">
        <f t="shared" ref="BI388:BI390" si="239">AT388/AR388</f>
        <v>1.2097560000000001</v>
      </c>
    </row>
    <row r="389" spans="1:61" s="358" customFormat="1" ht="19.2" x14ac:dyDescent="0.3">
      <c r="A389" s="359" t="s">
        <v>267</v>
      </c>
      <c r="B389" s="602" t="s">
        <v>4755</v>
      </c>
      <c r="C389" s="548" t="s">
        <v>4754</v>
      </c>
      <c r="D389" s="360">
        <v>0.4</v>
      </c>
      <c r="E389" s="528"/>
      <c r="F389" s="523"/>
      <c r="G389" s="393"/>
      <c r="H389" s="394"/>
      <c r="I389" s="394"/>
      <c r="J389" s="394"/>
      <c r="K389" s="394"/>
      <c r="L389" s="394"/>
      <c r="M389" s="394"/>
      <c r="N389" s="394"/>
      <c r="O389" s="394"/>
      <c r="P389" s="394"/>
      <c r="Q389" s="394"/>
      <c r="R389" s="381"/>
      <c r="S389" s="408"/>
      <c r="T389" s="385"/>
      <c r="U389" s="475"/>
      <c r="V389" s="395"/>
      <c r="W389" s="395"/>
      <c r="X389" s="528"/>
      <c r="Y389" s="523"/>
      <c r="Z389" s="393"/>
      <c r="AA389" s="394"/>
      <c r="AB389" s="394"/>
      <c r="AC389" s="394"/>
      <c r="AD389" s="394"/>
      <c r="AE389" s="394"/>
      <c r="AF389" s="394"/>
      <c r="AG389" s="394"/>
      <c r="AH389" s="394"/>
      <c r="AI389" s="394"/>
      <c r="AJ389" s="394"/>
      <c r="AK389" s="381"/>
      <c r="AL389" s="408"/>
      <c r="AM389" s="385"/>
      <c r="AN389" s="475"/>
      <c r="AO389" s="395"/>
      <c r="AP389" s="395"/>
      <c r="AQ389" s="528">
        <v>405</v>
      </c>
      <c r="AR389" s="523">
        <v>15</v>
      </c>
      <c r="AS389" s="393">
        <v>15</v>
      </c>
      <c r="AT389" s="600">
        <v>1101.7989299999999</v>
      </c>
      <c r="AU389" s="394">
        <v>512.245</v>
      </c>
      <c r="AV389" s="394">
        <v>101.21355</v>
      </c>
      <c r="AW389" s="394">
        <f>85.725+257.175</f>
        <v>342.9</v>
      </c>
      <c r="AX389" s="394">
        <v>396.12392</v>
      </c>
      <c r="AY389" s="394">
        <v>0</v>
      </c>
      <c r="AZ389" s="394">
        <v>0</v>
      </c>
      <c r="BA389" s="394">
        <v>99.515829999999994</v>
      </c>
      <c r="BB389" s="394">
        <v>0.24990999999999999</v>
      </c>
      <c r="BC389" s="394">
        <v>14.2875</v>
      </c>
      <c r="BD389" s="381" t="s">
        <v>167</v>
      </c>
      <c r="BE389" s="408" t="s">
        <v>175</v>
      </c>
      <c r="BF389" s="385"/>
      <c r="BG389" s="475">
        <v>239</v>
      </c>
      <c r="BH389" s="395">
        <f t="shared" si="238"/>
        <v>2720.4911851851848</v>
      </c>
      <c r="BI389" s="395">
        <f t="shared" si="239"/>
        <v>73.453261999999995</v>
      </c>
    </row>
    <row r="390" spans="1:61" s="358" customFormat="1" ht="19.2" x14ac:dyDescent="0.3">
      <c r="A390" s="359" t="s">
        <v>268</v>
      </c>
      <c r="B390" s="602" t="s">
        <v>4774</v>
      </c>
      <c r="C390" s="548" t="s">
        <v>4773</v>
      </c>
      <c r="D390" s="360">
        <v>0.4</v>
      </c>
      <c r="E390" s="528"/>
      <c r="F390" s="523"/>
      <c r="G390" s="393"/>
      <c r="H390" s="394"/>
      <c r="I390" s="394"/>
      <c r="J390" s="394"/>
      <c r="K390" s="394"/>
      <c r="L390" s="394"/>
      <c r="M390" s="394"/>
      <c r="N390" s="394"/>
      <c r="O390" s="394"/>
      <c r="P390" s="394"/>
      <c r="Q390" s="394"/>
      <c r="R390" s="381"/>
      <c r="S390" s="408"/>
      <c r="T390" s="385"/>
      <c r="U390" s="475"/>
      <c r="V390" s="395"/>
      <c r="W390" s="395"/>
      <c r="X390" s="528"/>
      <c r="Y390" s="523"/>
      <c r="Z390" s="393"/>
      <c r="AA390" s="394"/>
      <c r="AB390" s="394"/>
      <c r="AC390" s="394"/>
      <c r="AD390" s="394"/>
      <c r="AE390" s="394"/>
      <c r="AF390" s="394"/>
      <c r="AG390" s="394"/>
      <c r="AH390" s="394"/>
      <c r="AI390" s="394"/>
      <c r="AJ390" s="394"/>
      <c r="AK390" s="381"/>
      <c r="AL390" s="408"/>
      <c r="AM390" s="385"/>
      <c r="AN390" s="475"/>
      <c r="AO390" s="395"/>
      <c r="AP390" s="395"/>
      <c r="AQ390" s="528">
        <v>440</v>
      </c>
      <c r="AR390" s="523">
        <v>15</v>
      </c>
      <c r="AS390" s="393">
        <v>15</v>
      </c>
      <c r="AT390" s="600">
        <v>602.60532000000001</v>
      </c>
      <c r="AU390" s="394">
        <v>435.07242000000002</v>
      </c>
      <c r="AV390" s="394">
        <v>141.97919999999999</v>
      </c>
      <c r="AW390" s="394">
        <f>65.17002+173.78672</f>
        <v>238.95674</v>
      </c>
      <c r="AX390" s="394">
        <v>62.80742</v>
      </c>
      <c r="AY390" s="394">
        <v>0</v>
      </c>
      <c r="AZ390" s="394">
        <v>0</v>
      </c>
      <c r="BA390" s="394">
        <v>51.535550000000001</v>
      </c>
      <c r="BB390" s="394">
        <v>0.32268000000000002</v>
      </c>
      <c r="BC390" s="394">
        <v>10.86167</v>
      </c>
      <c r="BD390" s="381" t="s">
        <v>167</v>
      </c>
      <c r="BE390" s="408" t="s">
        <v>175</v>
      </c>
      <c r="BF390" s="385"/>
      <c r="BG390" s="475">
        <v>241</v>
      </c>
      <c r="BH390" s="395">
        <f t="shared" si="238"/>
        <v>1369.5575454545453</v>
      </c>
      <c r="BI390" s="395">
        <f t="shared" si="239"/>
        <v>40.173687999999999</v>
      </c>
    </row>
    <row r="391" spans="1:61" s="358" customFormat="1" ht="19.2" x14ac:dyDescent="0.3">
      <c r="A391" s="359" t="s">
        <v>269</v>
      </c>
      <c r="B391" s="602" t="s">
        <v>2566</v>
      </c>
      <c r="C391" s="548" t="s">
        <v>2565</v>
      </c>
      <c r="D391" s="360">
        <v>0.4</v>
      </c>
      <c r="E391" s="528"/>
      <c r="F391" s="523"/>
      <c r="G391" s="393"/>
      <c r="H391" s="394"/>
      <c r="I391" s="394"/>
      <c r="J391" s="394"/>
      <c r="K391" s="394"/>
      <c r="L391" s="394"/>
      <c r="M391" s="394"/>
      <c r="N391" s="394"/>
      <c r="O391" s="394"/>
      <c r="P391" s="394"/>
      <c r="Q391" s="394"/>
      <c r="R391" s="381"/>
      <c r="S391" s="408"/>
      <c r="T391" s="385"/>
      <c r="U391" s="475"/>
      <c r="V391" s="395"/>
      <c r="W391" s="395"/>
      <c r="X391" s="528"/>
      <c r="Y391" s="523"/>
      <c r="Z391" s="393"/>
      <c r="AA391" s="394"/>
      <c r="AB391" s="394"/>
      <c r="AC391" s="394"/>
      <c r="AD391" s="394"/>
      <c r="AE391" s="394"/>
      <c r="AF391" s="394"/>
      <c r="AG391" s="394"/>
      <c r="AH391" s="394"/>
      <c r="AI391" s="394"/>
      <c r="AJ391" s="394"/>
      <c r="AK391" s="381"/>
      <c r="AL391" s="408"/>
      <c r="AM391" s="385"/>
      <c r="AN391" s="475"/>
      <c r="AO391" s="395"/>
      <c r="AP391" s="395"/>
      <c r="AQ391" s="528">
        <v>320</v>
      </c>
      <c r="AR391" s="523">
        <v>15</v>
      </c>
      <c r="AS391" s="393">
        <v>15</v>
      </c>
      <c r="AT391" s="600">
        <v>681.44347000000005</v>
      </c>
      <c r="AU391" s="394">
        <v>499.29226</v>
      </c>
      <c r="AV391" s="394">
        <v>79.971199999999996</v>
      </c>
      <c r="AW391" s="394">
        <f>242.20444+33.08907+28.49464+44.11876+42.74196</f>
        <v>390.64887000000004</v>
      </c>
      <c r="AX391" s="394">
        <v>69.926900000000003</v>
      </c>
      <c r="AY391" s="394">
        <v>0</v>
      </c>
      <c r="AZ391" s="394">
        <v>0</v>
      </c>
      <c r="BA391" s="394">
        <v>54.751260000000002</v>
      </c>
      <c r="BB391" s="394">
        <v>0.24990999999999999</v>
      </c>
      <c r="BC391" s="394">
        <v>14.24732</v>
      </c>
      <c r="BD391" s="381" t="s">
        <v>167</v>
      </c>
      <c r="BE391" s="408" t="s">
        <v>175</v>
      </c>
      <c r="BF391" s="385"/>
      <c r="BG391" s="475">
        <v>244</v>
      </c>
      <c r="BH391" s="395">
        <f t="shared" ref="BH391:BH392" si="240">AT391/AQ391*1000</f>
        <v>2129.5108437500003</v>
      </c>
      <c r="BI391" s="395">
        <f t="shared" ref="BI391:BI392" si="241">AT391/AR391</f>
        <v>45.429564666666671</v>
      </c>
    </row>
    <row r="392" spans="1:61" s="358" customFormat="1" ht="19.2" x14ac:dyDescent="0.3">
      <c r="A392" s="359" t="s">
        <v>270</v>
      </c>
      <c r="B392" s="602" t="s">
        <v>4852</v>
      </c>
      <c r="C392" s="548" t="s">
        <v>4851</v>
      </c>
      <c r="D392" s="360">
        <v>0.4</v>
      </c>
      <c r="E392" s="528"/>
      <c r="F392" s="523"/>
      <c r="G392" s="393"/>
      <c r="H392" s="394"/>
      <c r="I392" s="394"/>
      <c r="J392" s="394"/>
      <c r="K392" s="394"/>
      <c r="L392" s="394"/>
      <c r="M392" s="394"/>
      <c r="N392" s="394"/>
      <c r="O392" s="394"/>
      <c r="P392" s="394"/>
      <c r="Q392" s="394"/>
      <c r="R392" s="381"/>
      <c r="S392" s="408"/>
      <c r="T392" s="385"/>
      <c r="U392" s="475"/>
      <c r="V392" s="395"/>
      <c r="W392" s="395"/>
      <c r="X392" s="528"/>
      <c r="Y392" s="523"/>
      <c r="Z392" s="393"/>
      <c r="AA392" s="394"/>
      <c r="AB392" s="394"/>
      <c r="AC392" s="394"/>
      <c r="AD392" s="394"/>
      <c r="AE392" s="394"/>
      <c r="AF392" s="394"/>
      <c r="AG392" s="394"/>
      <c r="AH392" s="394"/>
      <c r="AI392" s="394"/>
      <c r="AJ392" s="394"/>
      <c r="AK392" s="381"/>
      <c r="AL392" s="408"/>
      <c r="AM392" s="385"/>
      <c r="AN392" s="475"/>
      <c r="AO392" s="395"/>
      <c r="AP392" s="395"/>
      <c r="AQ392" s="528">
        <v>35</v>
      </c>
      <c r="AR392" s="523">
        <v>5</v>
      </c>
      <c r="AS392" s="393">
        <v>5</v>
      </c>
      <c r="AT392" s="600">
        <v>283.58710000000002</v>
      </c>
      <c r="AU392" s="394">
        <v>204.52548999999999</v>
      </c>
      <c r="AV392" s="394">
        <v>61.311399999999999</v>
      </c>
      <c r="AW392" s="394">
        <f>56.39185+67.67022</f>
        <v>124.06207000000001</v>
      </c>
      <c r="AX392" s="394">
        <v>30.16695</v>
      </c>
      <c r="AY392" s="394">
        <v>0</v>
      </c>
      <c r="AZ392" s="394">
        <v>0</v>
      </c>
      <c r="BA392" s="394">
        <v>23.983250000000002</v>
      </c>
      <c r="BB392" s="394">
        <v>0.29908000000000001</v>
      </c>
      <c r="BC392" s="394">
        <v>11.278370000000001</v>
      </c>
      <c r="BD392" s="381" t="s">
        <v>167</v>
      </c>
      <c r="BE392" s="408" t="s">
        <v>175</v>
      </c>
      <c r="BF392" s="385"/>
      <c r="BG392" s="475">
        <v>246</v>
      </c>
      <c r="BH392" s="395">
        <f t="shared" si="240"/>
        <v>8102.488571428571</v>
      </c>
      <c r="BI392" s="395">
        <f t="shared" si="241"/>
        <v>56.717420000000004</v>
      </c>
    </row>
    <row r="393" spans="1:61" s="358" customFormat="1" ht="19.2" x14ac:dyDescent="0.3">
      <c r="A393" s="359" t="s">
        <v>271</v>
      </c>
      <c r="B393" s="602" t="s">
        <v>4870</v>
      </c>
      <c r="C393" s="548" t="s">
        <v>4869</v>
      </c>
      <c r="D393" s="360">
        <v>0.4</v>
      </c>
      <c r="E393" s="528"/>
      <c r="F393" s="523"/>
      <c r="G393" s="393"/>
      <c r="H393" s="394"/>
      <c r="I393" s="394"/>
      <c r="J393" s="394"/>
      <c r="K393" s="394"/>
      <c r="L393" s="394"/>
      <c r="M393" s="394"/>
      <c r="N393" s="394"/>
      <c r="O393" s="394"/>
      <c r="P393" s="394"/>
      <c r="Q393" s="394"/>
      <c r="R393" s="381"/>
      <c r="S393" s="408"/>
      <c r="T393" s="385"/>
      <c r="U393" s="475"/>
      <c r="V393" s="395"/>
      <c r="W393" s="395"/>
      <c r="X393" s="528"/>
      <c r="Y393" s="523"/>
      <c r="Z393" s="393"/>
      <c r="AA393" s="394"/>
      <c r="AB393" s="394"/>
      <c r="AC393" s="394"/>
      <c r="AD393" s="394"/>
      <c r="AE393" s="394"/>
      <c r="AF393" s="394"/>
      <c r="AG393" s="394"/>
      <c r="AH393" s="394"/>
      <c r="AI393" s="394"/>
      <c r="AJ393" s="394"/>
      <c r="AK393" s="381"/>
      <c r="AL393" s="408"/>
      <c r="AM393" s="385"/>
      <c r="AN393" s="475"/>
      <c r="AO393" s="395"/>
      <c r="AP393" s="395"/>
      <c r="AQ393" s="528">
        <v>330</v>
      </c>
      <c r="AR393" s="523">
        <v>85</v>
      </c>
      <c r="AS393" s="393">
        <v>85</v>
      </c>
      <c r="AT393" s="600">
        <v>330.36475000000002</v>
      </c>
      <c r="AU393" s="394">
        <v>244.19535999999999</v>
      </c>
      <c r="AV393" s="394">
        <v>98.696399999999997</v>
      </c>
      <c r="AW393" s="394">
        <v>124.20034</v>
      </c>
      <c r="AX393" s="394">
        <v>31.79121</v>
      </c>
      <c r="AY393" s="394">
        <v>0</v>
      </c>
      <c r="AZ393" s="394">
        <v>0</v>
      </c>
      <c r="BA393" s="394">
        <v>26.56399</v>
      </c>
      <c r="BB393" s="394">
        <v>0.29908000000000001</v>
      </c>
      <c r="BC393" s="394">
        <v>11.290940000000001</v>
      </c>
      <c r="BD393" s="381" t="s">
        <v>167</v>
      </c>
      <c r="BE393" s="408" t="s">
        <v>175</v>
      </c>
      <c r="BF393" s="385"/>
      <c r="BG393" s="475">
        <v>248</v>
      </c>
      <c r="BH393" s="395">
        <f t="shared" ref="BH393:BH394" si="242">AT393/AQ393*1000</f>
        <v>1001.1053030303029</v>
      </c>
      <c r="BI393" s="395">
        <f t="shared" ref="BI393:BI394" si="243">AT393/AR393</f>
        <v>3.8866441176470592</v>
      </c>
    </row>
    <row r="394" spans="1:61" s="358" customFormat="1" ht="19.2" x14ac:dyDescent="0.3">
      <c r="A394" s="359" t="s">
        <v>272</v>
      </c>
      <c r="B394" s="602" t="s">
        <v>4880</v>
      </c>
      <c r="C394" s="601" t="s">
        <v>4879</v>
      </c>
      <c r="D394" s="360">
        <v>0.4</v>
      </c>
      <c r="E394" s="528"/>
      <c r="F394" s="523"/>
      <c r="G394" s="393"/>
      <c r="H394" s="394"/>
      <c r="I394" s="394"/>
      <c r="J394" s="394"/>
      <c r="K394" s="394"/>
      <c r="L394" s="394"/>
      <c r="M394" s="394"/>
      <c r="N394" s="394"/>
      <c r="O394" s="394"/>
      <c r="P394" s="394"/>
      <c r="Q394" s="394"/>
      <c r="R394" s="381"/>
      <c r="S394" s="408"/>
      <c r="T394" s="385"/>
      <c r="U394" s="475"/>
      <c r="V394" s="395"/>
      <c r="W394" s="395"/>
      <c r="X394" s="528"/>
      <c r="Y394" s="523"/>
      <c r="Z394" s="393"/>
      <c r="AA394" s="394"/>
      <c r="AB394" s="394"/>
      <c r="AC394" s="394"/>
      <c r="AD394" s="394"/>
      <c r="AE394" s="394"/>
      <c r="AF394" s="394"/>
      <c r="AG394" s="394"/>
      <c r="AH394" s="394"/>
      <c r="AI394" s="394"/>
      <c r="AJ394" s="394"/>
      <c r="AK394" s="381"/>
      <c r="AL394" s="408"/>
      <c r="AM394" s="385"/>
      <c r="AN394" s="475"/>
      <c r="AO394" s="395"/>
      <c r="AP394" s="395"/>
      <c r="AQ394" s="528">
        <v>170</v>
      </c>
      <c r="AR394" s="523">
        <v>15</v>
      </c>
      <c r="AS394" s="393">
        <v>15</v>
      </c>
      <c r="AT394" s="600">
        <v>121.60679</v>
      </c>
      <c r="AU394" s="394">
        <v>92.294200000000004</v>
      </c>
      <c r="AV394" s="394">
        <v>50.843600000000002</v>
      </c>
      <c r="AW394" s="394">
        <v>22.581880000000002</v>
      </c>
      <c r="AX394" s="394">
        <v>9.9123900000000003</v>
      </c>
      <c r="AY394" s="394">
        <v>0</v>
      </c>
      <c r="AZ394" s="394">
        <v>0</v>
      </c>
      <c r="BA394" s="394">
        <v>9.3017599999999998</v>
      </c>
      <c r="BB394" s="394">
        <v>0.29908000000000001</v>
      </c>
      <c r="BC394" s="394">
        <v>11.290940000000001</v>
      </c>
      <c r="BD394" s="381" t="s">
        <v>167</v>
      </c>
      <c r="BE394" s="408" t="s">
        <v>175</v>
      </c>
      <c r="BF394" s="385"/>
      <c r="BG394" s="475">
        <v>250</v>
      </c>
      <c r="BH394" s="395">
        <f t="shared" si="242"/>
        <v>715.3340588235294</v>
      </c>
      <c r="BI394" s="395">
        <f t="shared" si="243"/>
        <v>8.1071193333333333</v>
      </c>
    </row>
    <row r="395" spans="1:61" s="358" customFormat="1" ht="19.2" x14ac:dyDescent="0.3">
      <c r="A395" s="359" t="s">
        <v>273</v>
      </c>
      <c r="B395" s="602" t="s">
        <v>4888</v>
      </c>
      <c r="C395" s="548" t="s">
        <v>4887</v>
      </c>
      <c r="D395" s="360">
        <v>0.4</v>
      </c>
      <c r="E395" s="528"/>
      <c r="F395" s="523"/>
      <c r="G395" s="393"/>
      <c r="H395" s="394"/>
      <c r="I395" s="394"/>
      <c r="J395" s="394"/>
      <c r="K395" s="394"/>
      <c r="L395" s="394"/>
      <c r="M395" s="394"/>
      <c r="N395" s="394"/>
      <c r="O395" s="394"/>
      <c r="P395" s="394"/>
      <c r="Q395" s="394"/>
      <c r="R395" s="381"/>
      <c r="S395" s="408"/>
      <c r="T395" s="385"/>
      <c r="U395" s="475"/>
      <c r="V395" s="395"/>
      <c r="W395" s="395"/>
      <c r="X395" s="528"/>
      <c r="Y395" s="523"/>
      <c r="Z395" s="393"/>
      <c r="AA395" s="394"/>
      <c r="AB395" s="394"/>
      <c r="AC395" s="394"/>
      <c r="AD395" s="394"/>
      <c r="AE395" s="394"/>
      <c r="AF395" s="394"/>
      <c r="AG395" s="394"/>
      <c r="AH395" s="394"/>
      <c r="AI395" s="394"/>
      <c r="AJ395" s="394"/>
      <c r="AK395" s="381"/>
      <c r="AL395" s="408"/>
      <c r="AM395" s="385"/>
      <c r="AN395" s="475"/>
      <c r="AO395" s="395"/>
      <c r="AP395" s="395"/>
      <c r="AQ395" s="528">
        <v>200</v>
      </c>
      <c r="AR395" s="523">
        <v>120</v>
      </c>
      <c r="AS395" s="393">
        <v>120</v>
      </c>
      <c r="AT395" s="600">
        <v>110.51728</v>
      </c>
      <c r="AU395" s="394">
        <v>83.597009999999997</v>
      </c>
      <c r="AV395" s="394">
        <v>59.816000000000003</v>
      </c>
      <c r="AW395" s="394">
        <v>11.29753</v>
      </c>
      <c r="AX395" s="394">
        <v>9.9128299999999996</v>
      </c>
      <c r="AY395" s="394">
        <v>0</v>
      </c>
      <c r="AZ395" s="394">
        <v>0</v>
      </c>
      <c r="BA395" s="394">
        <v>8.3834199999999992</v>
      </c>
      <c r="BB395" s="394">
        <v>0.29998000000000002</v>
      </c>
      <c r="BC395" s="394">
        <v>11.29753</v>
      </c>
      <c r="BD395" s="381" t="s">
        <v>167</v>
      </c>
      <c r="BE395" s="408" t="s">
        <v>175</v>
      </c>
      <c r="BF395" s="385"/>
      <c r="BG395" s="475">
        <v>252</v>
      </c>
      <c r="BH395" s="395">
        <f t="shared" ref="BH395:BH396" si="244">AT395/AQ395*1000</f>
        <v>552.58640000000003</v>
      </c>
      <c r="BI395" s="395">
        <f t="shared" ref="BI395:BI396" si="245">AT395/AR395</f>
        <v>0.92097733333333331</v>
      </c>
    </row>
    <row r="396" spans="1:61" s="358" customFormat="1" ht="19.2" x14ac:dyDescent="0.3">
      <c r="A396" s="359" t="s">
        <v>274</v>
      </c>
      <c r="B396" s="602" t="s">
        <v>4903</v>
      </c>
      <c r="C396" s="548" t="s">
        <v>4902</v>
      </c>
      <c r="D396" s="360">
        <v>0.4</v>
      </c>
      <c r="E396" s="528"/>
      <c r="F396" s="523"/>
      <c r="G396" s="393"/>
      <c r="H396" s="394"/>
      <c r="I396" s="394"/>
      <c r="J396" s="394"/>
      <c r="K396" s="394"/>
      <c r="L396" s="394"/>
      <c r="M396" s="394"/>
      <c r="N396" s="394"/>
      <c r="O396" s="394"/>
      <c r="P396" s="394"/>
      <c r="Q396" s="394"/>
      <c r="R396" s="381"/>
      <c r="S396" s="408"/>
      <c r="T396" s="385"/>
      <c r="U396" s="475"/>
      <c r="V396" s="395"/>
      <c r="W396" s="395"/>
      <c r="X396" s="528"/>
      <c r="Y396" s="523"/>
      <c r="Z396" s="393"/>
      <c r="AA396" s="394"/>
      <c r="AB396" s="394"/>
      <c r="AC396" s="394"/>
      <c r="AD396" s="394"/>
      <c r="AE396" s="394"/>
      <c r="AF396" s="394"/>
      <c r="AG396" s="394"/>
      <c r="AH396" s="394"/>
      <c r="AI396" s="394"/>
      <c r="AJ396" s="394"/>
      <c r="AK396" s="381"/>
      <c r="AL396" s="408"/>
      <c r="AM396" s="385"/>
      <c r="AN396" s="475"/>
      <c r="AO396" s="395"/>
      <c r="AP396" s="395"/>
      <c r="AQ396" s="528">
        <v>374</v>
      </c>
      <c r="AR396" s="523">
        <v>15</v>
      </c>
      <c r="AS396" s="393">
        <v>15</v>
      </c>
      <c r="AT396" s="600">
        <v>524.70266000000004</v>
      </c>
      <c r="AU396" s="394">
        <v>377.94015000000002</v>
      </c>
      <c r="AV396" s="394">
        <v>111.85592</v>
      </c>
      <c r="AW396" s="394">
        <f>112.9094+45.16376+40+20+11.27031</f>
        <v>229.34347</v>
      </c>
      <c r="AX396" s="394">
        <v>56.2196</v>
      </c>
      <c r="AY396" s="394">
        <v>0</v>
      </c>
      <c r="AZ396" s="394">
        <v>0</v>
      </c>
      <c r="BA396" s="394">
        <v>44.40701</v>
      </c>
      <c r="BB396" s="394">
        <v>0.29908000000000001</v>
      </c>
      <c r="BC396" s="394">
        <v>11.290940000000001</v>
      </c>
      <c r="BD396" s="381" t="s">
        <v>167</v>
      </c>
      <c r="BE396" s="408" t="s">
        <v>175</v>
      </c>
      <c r="BF396" s="385"/>
      <c r="BG396" s="475">
        <v>255</v>
      </c>
      <c r="BH396" s="395">
        <f t="shared" si="244"/>
        <v>1402.9482887700535</v>
      </c>
      <c r="BI396" s="395">
        <f t="shared" si="245"/>
        <v>34.980177333333337</v>
      </c>
    </row>
    <row r="397" spans="1:61" s="358" customFormat="1" ht="19.2" x14ac:dyDescent="0.3">
      <c r="A397" s="359" t="s">
        <v>275</v>
      </c>
      <c r="B397" s="602" t="s">
        <v>2333</v>
      </c>
      <c r="C397" s="548" t="s">
        <v>4834</v>
      </c>
      <c r="D397" s="360">
        <v>0.4</v>
      </c>
      <c r="E397" s="528"/>
      <c r="F397" s="523"/>
      <c r="G397" s="393"/>
      <c r="H397" s="394"/>
      <c r="I397" s="394"/>
      <c r="J397" s="394"/>
      <c r="K397" s="394"/>
      <c r="L397" s="394"/>
      <c r="M397" s="394"/>
      <c r="N397" s="394"/>
      <c r="O397" s="394"/>
      <c r="P397" s="394"/>
      <c r="Q397" s="394"/>
      <c r="R397" s="381"/>
      <c r="S397" s="408"/>
      <c r="T397" s="385"/>
      <c r="U397" s="475"/>
      <c r="V397" s="395"/>
      <c r="W397" s="395"/>
      <c r="X397" s="528"/>
      <c r="Y397" s="523"/>
      <c r="Z397" s="393"/>
      <c r="AA397" s="394"/>
      <c r="AB397" s="394"/>
      <c r="AC397" s="394"/>
      <c r="AD397" s="394"/>
      <c r="AE397" s="394"/>
      <c r="AF397" s="394"/>
      <c r="AG397" s="394"/>
      <c r="AH397" s="394"/>
      <c r="AI397" s="394"/>
      <c r="AJ397" s="394"/>
      <c r="AK397" s="381"/>
      <c r="AL397" s="408"/>
      <c r="AM397" s="385"/>
      <c r="AN397" s="475"/>
      <c r="AO397" s="395"/>
      <c r="AP397" s="395"/>
      <c r="AQ397" s="528">
        <v>116</v>
      </c>
      <c r="AR397" s="523">
        <v>100</v>
      </c>
      <c r="AS397" s="393">
        <v>100</v>
      </c>
      <c r="AT397" s="600">
        <v>124.33584</v>
      </c>
      <c r="AU397" s="394">
        <v>93.344660000000005</v>
      </c>
      <c r="AV397" s="394">
        <v>34.693280000000001</v>
      </c>
      <c r="AW397" s="394">
        <v>45.170960000000001</v>
      </c>
      <c r="AX397" s="394">
        <v>11.43796</v>
      </c>
      <c r="AY397" s="394">
        <v>0</v>
      </c>
      <c r="AZ397" s="394">
        <v>0</v>
      </c>
      <c r="BA397" s="394">
        <v>9.5494299999999992</v>
      </c>
      <c r="BB397" s="394">
        <v>0.29908000000000001</v>
      </c>
      <c r="BC397" s="394">
        <v>11.29274</v>
      </c>
      <c r="BD397" s="381" t="s">
        <v>167</v>
      </c>
      <c r="BE397" s="408" t="s">
        <v>175</v>
      </c>
      <c r="BF397" s="385"/>
      <c r="BG397" s="475">
        <v>257</v>
      </c>
      <c r="BH397" s="395">
        <f t="shared" ref="BH397:BH399" si="246">AT397/AQ397*1000</f>
        <v>1071.8606896551726</v>
      </c>
      <c r="BI397" s="395">
        <f t="shared" ref="BI397:BI399" si="247">AT397/AR397</f>
        <v>1.2433584</v>
      </c>
    </row>
    <row r="398" spans="1:61" s="358" customFormat="1" ht="19.2" x14ac:dyDescent="0.3">
      <c r="A398" s="359" t="s">
        <v>276</v>
      </c>
      <c r="B398" s="602" t="s">
        <v>4931</v>
      </c>
      <c r="C398" s="548" t="s">
        <v>4930</v>
      </c>
      <c r="D398" s="360">
        <v>0.4</v>
      </c>
      <c r="E398" s="528"/>
      <c r="F398" s="523"/>
      <c r="G398" s="393"/>
      <c r="H398" s="394"/>
      <c r="I398" s="394"/>
      <c r="J398" s="394"/>
      <c r="K398" s="394"/>
      <c r="L398" s="394"/>
      <c r="M398" s="394"/>
      <c r="N398" s="394"/>
      <c r="O398" s="394"/>
      <c r="P398" s="394"/>
      <c r="Q398" s="394"/>
      <c r="R398" s="381"/>
      <c r="S398" s="408"/>
      <c r="T398" s="385"/>
      <c r="U398" s="475"/>
      <c r="V398" s="395"/>
      <c r="W398" s="395"/>
      <c r="X398" s="528"/>
      <c r="Y398" s="523"/>
      <c r="Z398" s="393"/>
      <c r="AA398" s="394"/>
      <c r="AB398" s="394"/>
      <c r="AC398" s="394"/>
      <c r="AD398" s="394"/>
      <c r="AE398" s="394"/>
      <c r="AF398" s="394"/>
      <c r="AG398" s="394"/>
      <c r="AH398" s="394"/>
      <c r="AI398" s="394"/>
      <c r="AJ398" s="394"/>
      <c r="AK398" s="381"/>
      <c r="AL398" s="408"/>
      <c r="AM398" s="385"/>
      <c r="AN398" s="475"/>
      <c r="AO398" s="395"/>
      <c r="AP398" s="395"/>
      <c r="AQ398" s="528">
        <v>143</v>
      </c>
      <c r="AR398" s="523">
        <v>15</v>
      </c>
      <c r="AS398" s="393">
        <v>15</v>
      </c>
      <c r="AT398" s="600">
        <v>214.68224000000001</v>
      </c>
      <c r="AU398" s="394">
        <v>154.47994</v>
      </c>
      <c r="AV398" s="394">
        <v>42.768439999999998</v>
      </c>
      <c r="AW398" s="394">
        <f>33.89259+67.78518</f>
        <v>101.67777</v>
      </c>
      <c r="AX398" s="394">
        <v>23.235720000000001</v>
      </c>
      <c r="AY398" s="394">
        <v>0</v>
      </c>
      <c r="AZ398" s="394">
        <v>0</v>
      </c>
      <c r="BA398" s="394">
        <v>18.13409</v>
      </c>
      <c r="BB398" s="394">
        <v>0.29908000000000001</v>
      </c>
      <c r="BC398" s="394">
        <v>11.29753</v>
      </c>
      <c r="BD398" s="381" t="s">
        <v>167</v>
      </c>
      <c r="BE398" s="408" t="s">
        <v>175</v>
      </c>
      <c r="BF398" s="385"/>
      <c r="BG398" s="475">
        <v>259</v>
      </c>
      <c r="BH398" s="395">
        <f t="shared" ref="BH398" si="248">AT398/AQ398*1000</f>
        <v>1501.2744055944056</v>
      </c>
      <c r="BI398" s="395">
        <f t="shared" ref="BI398" si="249">AT398/AR398</f>
        <v>14.312149333333334</v>
      </c>
    </row>
    <row r="399" spans="1:61" s="358" customFormat="1" ht="19.2" x14ac:dyDescent="0.3">
      <c r="A399" s="359" t="s">
        <v>277</v>
      </c>
      <c r="B399" s="602" t="s">
        <v>4954</v>
      </c>
      <c r="C399" s="548" t="s">
        <v>4953</v>
      </c>
      <c r="D399" s="360">
        <v>0.4</v>
      </c>
      <c r="E399" s="528"/>
      <c r="F399" s="523"/>
      <c r="G399" s="393"/>
      <c r="H399" s="394"/>
      <c r="I399" s="394"/>
      <c r="J399" s="394"/>
      <c r="K399" s="394"/>
      <c r="L399" s="394"/>
      <c r="M399" s="394"/>
      <c r="N399" s="394"/>
      <c r="O399" s="394"/>
      <c r="P399" s="394"/>
      <c r="Q399" s="394"/>
      <c r="R399" s="381"/>
      <c r="S399" s="408"/>
      <c r="T399" s="385"/>
      <c r="U399" s="475"/>
      <c r="V399" s="395"/>
      <c r="W399" s="395"/>
      <c r="X399" s="528"/>
      <c r="Y399" s="523"/>
      <c r="Z399" s="393"/>
      <c r="AA399" s="394"/>
      <c r="AB399" s="394"/>
      <c r="AC399" s="394"/>
      <c r="AD399" s="394"/>
      <c r="AE399" s="394"/>
      <c r="AF399" s="394"/>
      <c r="AG399" s="394"/>
      <c r="AH399" s="394"/>
      <c r="AI399" s="394"/>
      <c r="AJ399" s="394"/>
      <c r="AK399" s="381"/>
      <c r="AL399" s="408"/>
      <c r="AM399" s="385"/>
      <c r="AN399" s="475"/>
      <c r="AO399" s="395"/>
      <c r="AP399" s="395"/>
      <c r="AQ399" s="528">
        <v>172</v>
      </c>
      <c r="AR399" s="523">
        <v>7</v>
      </c>
      <c r="AS399" s="393">
        <v>7</v>
      </c>
      <c r="AT399" s="600">
        <v>191.01115999999999</v>
      </c>
      <c r="AU399" s="394">
        <v>139.03932</v>
      </c>
      <c r="AV399" s="394">
        <v>51.441760000000002</v>
      </c>
      <c r="AW399" s="394">
        <f>33.92289+45.23052</f>
        <v>79.153410000000008</v>
      </c>
      <c r="AX399" s="394">
        <v>19.609570000000001</v>
      </c>
      <c r="AY399" s="394">
        <v>0</v>
      </c>
      <c r="AZ399" s="394">
        <v>0</v>
      </c>
      <c r="BA399" s="394">
        <v>15.789960000000001</v>
      </c>
      <c r="BB399" s="394">
        <v>0.29908000000000001</v>
      </c>
      <c r="BC399" s="394">
        <v>11.30763</v>
      </c>
      <c r="BD399" s="381" t="s">
        <v>167</v>
      </c>
      <c r="BE399" s="408" t="s">
        <v>175</v>
      </c>
      <c r="BF399" s="385"/>
      <c r="BG399" s="475">
        <v>261</v>
      </c>
      <c r="BH399" s="395">
        <f t="shared" si="246"/>
        <v>1110.53</v>
      </c>
      <c r="BI399" s="395">
        <f t="shared" si="247"/>
        <v>27.287308571428571</v>
      </c>
    </row>
    <row r="400" spans="1:61" s="358" customFormat="1" ht="19.2" x14ac:dyDescent="0.3">
      <c r="A400" s="359" t="s">
        <v>326</v>
      </c>
      <c r="B400" s="602" t="s">
        <v>4956</v>
      </c>
      <c r="C400" s="548" t="s">
        <v>4955</v>
      </c>
      <c r="D400" s="360">
        <v>0.4</v>
      </c>
      <c r="E400" s="528"/>
      <c r="F400" s="523"/>
      <c r="G400" s="393"/>
      <c r="H400" s="394"/>
      <c r="I400" s="394"/>
      <c r="J400" s="394"/>
      <c r="K400" s="394"/>
      <c r="L400" s="394"/>
      <c r="M400" s="394"/>
      <c r="N400" s="394"/>
      <c r="O400" s="394"/>
      <c r="P400" s="394"/>
      <c r="Q400" s="394"/>
      <c r="R400" s="381"/>
      <c r="S400" s="408"/>
      <c r="T400" s="385"/>
      <c r="U400" s="475"/>
      <c r="V400" s="395"/>
      <c r="W400" s="395"/>
      <c r="X400" s="528"/>
      <c r="Y400" s="523"/>
      <c r="Z400" s="393"/>
      <c r="AA400" s="394"/>
      <c r="AB400" s="394"/>
      <c r="AC400" s="394"/>
      <c r="AD400" s="394"/>
      <c r="AE400" s="394"/>
      <c r="AF400" s="394"/>
      <c r="AG400" s="394"/>
      <c r="AH400" s="394"/>
      <c r="AI400" s="394"/>
      <c r="AJ400" s="394"/>
      <c r="AK400" s="381"/>
      <c r="AL400" s="408"/>
      <c r="AM400" s="385"/>
      <c r="AN400" s="475"/>
      <c r="AO400" s="395"/>
      <c r="AP400" s="395"/>
      <c r="AQ400" s="528">
        <v>371</v>
      </c>
      <c r="AR400" s="523">
        <v>15</v>
      </c>
      <c r="AS400" s="393">
        <v>15</v>
      </c>
      <c r="AT400" s="600">
        <v>472.31515000000002</v>
      </c>
      <c r="AU400" s="394">
        <v>343.43033000000003</v>
      </c>
      <c r="AV400" s="394">
        <v>110.95868</v>
      </c>
      <c r="AW400" s="394">
        <f>33.91578+67.83156+101.74734</f>
        <v>203.49467999999999</v>
      </c>
      <c r="AX400" s="394">
        <v>50.573540000000001</v>
      </c>
      <c r="AY400" s="394">
        <v>0</v>
      </c>
      <c r="AZ400" s="394">
        <v>0</v>
      </c>
      <c r="BA400" s="394">
        <v>38.626869999999997</v>
      </c>
      <c r="BB400" s="394">
        <v>0.29908000000000001</v>
      </c>
      <c r="BC400" s="394">
        <v>11.305260000000001</v>
      </c>
      <c r="BD400" s="381" t="s">
        <v>167</v>
      </c>
      <c r="BE400" s="408" t="s">
        <v>175</v>
      </c>
      <c r="BF400" s="385"/>
      <c r="BG400" s="475">
        <v>264</v>
      </c>
      <c r="BH400" s="395">
        <f t="shared" ref="BH400" si="250">AT400/AQ400*1000</f>
        <v>1273.0866576819408</v>
      </c>
      <c r="BI400" s="395">
        <f t="shared" ref="BI400" si="251">AT400/AR400</f>
        <v>31.487676666666669</v>
      </c>
    </row>
    <row r="401" spans="1:61" s="358" customFormat="1" x14ac:dyDescent="0.3">
      <c r="A401" s="359"/>
      <c r="B401" s="378"/>
      <c r="C401" s="546"/>
      <c r="D401" s="360"/>
      <c r="E401" s="528"/>
      <c r="F401" s="523"/>
      <c r="G401" s="393"/>
      <c r="H401" s="394"/>
      <c r="I401" s="394"/>
      <c r="J401" s="394"/>
      <c r="K401" s="394"/>
      <c r="L401" s="394"/>
      <c r="M401" s="394"/>
      <c r="N401" s="394"/>
      <c r="O401" s="394"/>
      <c r="P401" s="394"/>
      <c r="Q401" s="394"/>
      <c r="R401" s="385"/>
      <c r="S401" s="385"/>
      <c r="T401" s="385"/>
      <c r="U401" s="475"/>
      <c r="V401" s="395" t="e">
        <f t="shared" ref="V401:V456" si="252">H401/E401*1000</f>
        <v>#DIV/0!</v>
      </c>
      <c r="W401" s="395" t="e">
        <f t="shared" ref="W401:W456" si="253">H401/F401</f>
        <v>#DIV/0!</v>
      </c>
      <c r="X401" s="528"/>
      <c r="Y401" s="523"/>
      <c r="Z401" s="393"/>
      <c r="AA401" s="394"/>
      <c r="AB401" s="394"/>
      <c r="AC401" s="394"/>
      <c r="AD401" s="394"/>
      <c r="AE401" s="394"/>
      <c r="AF401" s="394"/>
      <c r="AG401" s="394"/>
      <c r="AH401" s="394"/>
      <c r="AI401" s="394"/>
      <c r="AJ401" s="394"/>
      <c r="AK401" s="385"/>
      <c r="AL401" s="385"/>
      <c r="AM401" s="385"/>
      <c r="AN401" s="475"/>
      <c r="AO401" s="395" t="e">
        <f t="shared" si="216"/>
        <v>#DIV/0!</v>
      </c>
      <c r="AP401" s="395" t="e">
        <f t="shared" si="217"/>
        <v>#DIV/0!</v>
      </c>
      <c r="AQ401" s="528"/>
      <c r="AR401" s="523"/>
      <c r="AS401" s="393"/>
      <c r="AT401" s="394"/>
      <c r="AU401" s="394"/>
      <c r="AV401" s="394"/>
      <c r="AW401" s="394"/>
      <c r="AX401" s="394"/>
      <c r="AY401" s="394"/>
      <c r="AZ401" s="394"/>
      <c r="BA401" s="394"/>
      <c r="BB401" s="394"/>
      <c r="BC401" s="394"/>
      <c r="BD401" s="385"/>
      <c r="BE401" s="385"/>
      <c r="BF401" s="385"/>
      <c r="BG401" s="475"/>
      <c r="BH401" s="395" t="e">
        <f t="shared" si="218"/>
        <v>#DIV/0!</v>
      </c>
      <c r="BI401" s="395" t="e">
        <f t="shared" si="219"/>
        <v>#DIV/0!</v>
      </c>
    </row>
    <row r="402" spans="1:61" s="358" customFormat="1" ht="24.6" customHeight="1" x14ac:dyDescent="0.3">
      <c r="A402" s="354" t="s">
        <v>6311</v>
      </c>
      <c r="B402" s="355" t="s">
        <v>213</v>
      </c>
      <c r="C402" s="587"/>
      <c r="D402" s="356">
        <v>0.4</v>
      </c>
      <c r="E402" s="389">
        <f t="shared" ref="E402:Q402" si="254">SUM(E403:E449)</f>
        <v>2372</v>
      </c>
      <c r="F402" s="389">
        <f t="shared" si="254"/>
        <v>765</v>
      </c>
      <c r="G402" s="389">
        <f t="shared" si="254"/>
        <v>765</v>
      </c>
      <c r="H402" s="390">
        <f t="shared" si="254"/>
        <v>2281.1190199999996</v>
      </c>
      <c r="I402" s="390">
        <f t="shared" si="254"/>
        <v>1743.7971600000001</v>
      </c>
      <c r="J402" s="390">
        <f t="shared" si="254"/>
        <v>727.06097999999997</v>
      </c>
      <c r="K402" s="390">
        <f t="shared" si="254"/>
        <v>898.01263000000006</v>
      </c>
      <c r="L402" s="390">
        <f t="shared" si="254"/>
        <v>245.00889000000001</v>
      </c>
      <c r="M402" s="390">
        <f t="shared" si="254"/>
        <v>0</v>
      </c>
      <c r="N402" s="390">
        <f t="shared" si="254"/>
        <v>0</v>
      </c>
      <c r="O402" s="390">
        <f t="shared" si="254"/>
        <v>144.46376000000001</v>
      </c>
      <c r="P402" s="390">
        <f t="shared" si="254"/>
        <v>2737.5899999999997</v>
      </c>
      <c r="Q402" s="390">
        <f t="shared" si="254"/>
        <v>104.94315999999999</v>
      </c>
      <c r="R402" s="391"/>
      <c r="S402" s="391"/>
      <c r="T402" s="391"/>
      <c r="U402" s="474"/>
      <c r="V402" s="392">
        <f t="shared" si="252"/>
        <v>961.68592748735227</v>
      </c>
      <c r="W402" s="392">
        <f t="shared" si="253"/>
        <v>2.9818549281045748</v>
      </c>
      <c r="X402" s="389">
        <f t="shared" ref="X402:AJ402" si="255">SUM(X403:X449)</f>
        <v>6538</v>
      </c>
      <c r="Y402" s="389">
        <f t="shared" si="255"/>
        <v>2450</v>
      </c>
      <c r="Z402" s="389">
        <f t="shared" si="255"/>
        <v>2450</v>
      </c>
      <c r="AA402" s="390">
        <f t="shared" si="255"/>
        <v>5656.9562399999995</v>
      </c>
      <c r="AB402" s="390">
        <f t="shared" si="255"/>
        <v>4430.6827600000015</v>
      </c>
      <c r="AC402" s="390">
        <f t="shared" si="255"/>
        <v>2269.7965199999999</v>
      </c>
      <c r="AD402" s="390">
        <f t="shared" si="255"/>
        <v>1758.9064100000003</v>
      </c>
      <c r="AE402" s="390">
        <f t="shared" si="255"/>
        <v>559.24662999999998</v>
      </c>
      <c r="AF402" s="390">
        <f t="shared" si="255"/>
        <v>0</v>
      </c>
      <c r="AG402" s="390">
        <f t="shared" si="255"/>
        <v>0</v>
      </c>
      <c r="AH402" s="390">
        <f t="shared" si="255"/>
        <v>326.9973</v>
      </c>
      <c r="AI402" s="390">
        <f t="shared" si="255"/>
        <v>8.0551300000000037</v>
      </c>
      <c r="AJ402" s="390">
        <f t="shared" si="255"/>
        <v>245.32024999999996</v>
      </c>
      <c r="AK402" s="391"/>
      <c r="AL402" s="391"/>
      <c r="AM402" s="391"/>
      <c r="AN402" s="474"/>
      <c r="AO402" s="392">
        <f t="shared" si="216"/>
        <v>865.24261853777909</v>
      </c>
      <c r="AP402" s="392">
        <f t="shared" si="217"/>
        <v>2.3089617306122445</v>
      </c>
      <c r="AQ402" s="389">
        <f>SUM(AQ403:AQ450)</f>
        <v>3243</v>
      </c>
      <c r="AR402" s="389">
        <f t="shared" ref="AR402:AS402" si="256">SUM(AR403:AR450)</f>
        <v>1790</v>
      </c>
      <c r="AS402" s="389">
        <f t="shared" si="256"/>
        <v>1790</v>
      </c>
      <c r="AT402" s="390">
        <f>SUM(AT403:AT450)</f>
        <v>3087.9313000000002</v>
      </c>
      <c r="AU402" s="390">
        <f t="shared" ref="AU402:BC402" si="257">SUM(AU403:AU450)</f>
        <v>2423.9052299999998</v>
      </c>
      <c r="AV402" s="390">
        <f t="shared" si="257"/>
        <v>1288.5068000000001</v>
      </c>
      <c r="AW402" s="390">
        <f t="shared" si="257"/>
        <v>796.28595999999982</v>
      </c>
      <c r="AX402" s="390">
        <f t="shared" si="257"/>
        <v>246.58955</v>
      </c>
      <c r="AY402" s="390">
        <f t="shared" si="257"/>
        <v>0</v>
      </c>
      <c r="AZ402" s="390">
        <f t="shared" si="257"/>
        <v>0</v>
      </c>
      <c r="BA402" s="390">
        <f t="shared" si="257"/>
        <v>196.38991000000004</v>
      </c>
      <c r="BB402" s="390">
        <f t="shared" si="257"/>
        <v>5.9826800000000011</v>
      </c>
      <c r="BC402" s="390">
        <f t="shared" si="257"/>
        <v>140.47505000000001</v>
      </c>
      <c r="BD402" s="391"/>
      <c r="BE402" s="391"/>
      <c r="BF402" s="391"/>
      <c r="BG402" s="474"/>
      <c r="BH402" s="392">
        <f t="shared" si="218"/>
        <v>952.18356460067844</v>
      </c>
      <c r="BI402" s="392">
        <f t="shared" si="219"/>
        <v>1.7251012849162013</v>
      </c>
    </row>
    <row r="403" spans="1:61" s="358" customFormat="1" ht="19.2" x14ac:dyDescent="0.3">
      <c r="A403" s="359" t="s">
        <v>178</v>
      </c>
      <c r="B403" s="537" t="s">
        <v>551</v>
      </c>
      <c r="C403" s="547" t="s">
        <v>416</v>
      </c>
      <c r="D403" s="360">
        <v>0.4</v>
      </c>
      <c r="E403" s="528">
        <v>70</v>
      </c>
      <c r="F403" s="523">
        <v>50</v>
      </c>
      <c r="G403" s="393">
        <v>50</v>
      </c>
      <c r="H403" s="542">
        <v>57.837139999999998</v>
      </c>
      <c r="I403" s="394">
        <v>44.5002</v>
      </c>
      <c r="J403" s="394">
        <v>19.427099999999999</v>
      </c>
      <c r="K403" s="394">
        <v>19.886780000000002</v>
      </c>
      <c r="L403" s="394">
        <v>6.0675999999999997</v>
      </c>
      <c r="M403" s="394">
        <v>0</v>
      </c>
      <c r="N403" s="394">
        <v>0</v>
      </c>
      <c r="O403" s="394">
        <v>3.58643</v>
      </c>
      <c r="P403" s="394">
        <v>277.52999999999997</v>
      </c>
      <c r="Q403" s="394">
        <v>9.9433900000000008</v>
      </c>
      <c r="R403" s="381" t="s">
        <v>167</v>
      </c>
      <c r="S403" s="408" t="s">
        <v>175</v>
      </c>
      <c r="T403" s="385"/>
      <c r="U403" s="475">
        <v>220</v>
      </c>
      <c r="V403" s="395">
        <f t="shared" ref="V403:V405" si="258">H403/E403*1000</f>
        <v>826.24485714285709</v>
      </c>
      <c r="W403" s="395">
        <f t="shared" ref="W403:W405" si="259">H403/F403</f>
        <v>1.1567428</v>
      </c>
      <c r="X403" s="528"/>
      <c r="Y403" s="523"/>
      <c r="Z403" s="393"/>
      <c r="AA403" s="542"/>
      <c r="AB403" s="394"/>
      <c r="AC403" s="394"/>
      <c r="AD403" s="394"/>
      <c r="AE403" s="394"/>
      <c r="AF403" s="394"/>
      <c r="AG403" s="394"/>
      <c r="AH403" s="394"/>
      <c r="AI403" s="394"/>
      <c r="AJ403" s="394"/>
      <c r="AK403" s="381"/>
      <c r="AL403" s="408"/>
      <c r="AM403" s="385"/>
      <c r="AN403" s="475"/>
      <c r="AO403" s="395" t="e">
        <f t="shared" si="216"/>
        <v>#DIV/0!</v>
      </c>
      <c r="AP403" s="395" t="e">
        <f t="shared" si="217"/>
        <v>#DIV/0!</v>
      </c>
      <c r="AQ403" s="528"/>
      <c r="AR403" s="523"/>
      <c r="AS403" s="393"/>
      <c r="AT403" s="542"/>
      <c r="AU403" s="394"/>
      <c r="AV403" s="394"/>
      <c r="AW403" s="394"/>
      <c r="AX403" s="394"/>
      <c r="AY403" s="394"/>
      <c r="AZ403" s="394"/>
      <c r="BA403" s="394"/>
      <c r="BB403" s="394"/>
      <c r="BC403" s="394"/>
      <c r="BD403" s="381"/>
      <c r="BE403" s="408"/>
      <c r="BF403" s="385"/>
      <c r="BG403" s="475"/>
      <c r="BH403" s="395" t="e">
        <f t="shared" si="218"/>
        <v>#DIV/0!</v>
      </c>
      <c r="BI403" s="395" t="e">
        <f t="shared" si="219"/>
        <v>#DIV/0!</v>
      </c>
    </row>
    <row r="404" spans="1:61" s="358" customFormat="1" ht="19.2" x14ac:dyDescent="0.3">
      <c r="A404" s="359" t="s">
        <v>182</v>
      </c>
      <c r="B404" s="537" t="s">
        <v>559</v>
      </c>
      <c r="C404" s="547" t="s">
        <v>424</v>
      </c>
      <c r="D404" s="360">
        <v>0.4</v>
      </c>
      <c r="E404" s="528">
        <v>295</v>
      </c>
      <c r="F404" s="523">
        <v>15</v>
      </c>
      <c r="G404" s="393">
        <v>15</v>
      </c>
      <c r="H404" s="542">
        <v>359.33433000000002</v>
      </c>
      <c r="I404" s="394">
        <v>265.58461999999997</v>
      </c>
      <c r="J404" s="394">
        <v>81.871350000000007</v>
      </c>
      <c r="K404" s="394">
        <f>79.54712+79.54712</f>
        <v>159.09424000000001</v>
      </c>
      <c r="L404" s="394">
        <v>43.709859999999999</v>
      </c>
      <c r="M404" s="394">
        <v>0</v>
      </c>
      <c r="N404" s="394">
        <v>0</v>
      </c>
      <c r="O404" s="394">
        <v>24.749610000000001</v>
      </c>
      <c r="P404" s="394">
        <v>277.52999999999997</v>
      </c>
      <c r="Q404" s="394">
        <v>9.9433900000000008</v>
      </c>
      <c r="R404" s="381" t="s">
        <v>167</v>
      </c>
      <c r="S404" s="408" t="s">
        <v>175</v>
      </c>
      <c r="T404" s="385"/>
      <c r="U404" s="475">
        <v>222</v>
      </c>
      <c r="V404" s="395">
        <f t="shared" si="258"/>
        <v>1218.0824745762714</v>
      </c>
      <c r="W404" s="395">
        <f t="shared" si="259"/>
        <v>23.955622000000002</v>
      </c>
      <c r="X404" s="528"/>
      <c r="Y404" s="523"/>
      <c r="Z404" s="393"/>
      <c r="AA404" s="542"/>
      <c r="AB404" s="394"/>
      <c r="AC404" s="394"/>
      <c r="AD404" s="394"/>
      <c r="AE404" s="394"/>
      <c r="AF404" s="394"/>
      <c r="AG404" s="394"/>
      <c r="AH404" s="394"/>
      <c r="AI404" s="394"/>
      <c r="AJ404" s="394"/>
      <c r="AK404" s="381"/>
      <c r="AL404" s="408"/>
      <c r="AM404" s="385"/>
      <c r="AN404" s="475"/>
      <c r="AO404" s="395" t="e">
        <f t="shared" si="216"/>
        <v>#DIV/0!</v>
      </c>
      <c r="AP404" s="395" t="e">
        <f t="shared" si="217"/>
        <v>#DIV/0!</v>
      </c>
      <c r="AQ404" s="528"/>
      <c r="AR404" s="523"/>
      <c r="AS404" s="393"/>
      <c r="AT404" s="542"/>
      <c r="AU404" s="394"/>
      <c r="AV404" s="394"/>
      <c r="AW404" s="394"/>
      <c r="AX404" s="394"/>
      <c r="AY404" s="394"/>
      <c r="AZ404" s="394"/>
      <c r="BA404" s="394"/>
      <c r="BB404" s="394"/>
      <c r="BC404" s="394"/>
      <c r="BD404" s="381"/>
      <c r="BE404" s="408"/>
      <c r="BF404" s="385"/>
      <c r="BG404" s="475"/>
      <c r="BH404" s="395" t="e">
        <f t="shared" si="218"/>
        <v>#DIV/0!</v>
      </c>
      <c r="BI404" s="395" t="e">
        <f t="shared" si="219"/>
        <v>#DIV/0!</v>
      </c>
    </row>
    <row r="405" spans="1:61" s="358" customFormat="1" ht="19.2" x14ac:dyDescent="0.3">
      <c r="A405" s="359" t="s">
        <v>184</v>
      </c>
      <c r="B405" s="537" t="s">
        <v>316</v>
      </c>
      <c r="C405" s="547" t="s">
        <v>482</v>
      </c>
      <c r="D405" s="360">
        <v>0.4</v>
      </c>
      <c r="E405" s="528">
        <v>231</v>
      </c>
      <c r="F405" s="523">
        <v>150</v>
      </c>
      <c r="G405" s="393">
        <v>150</v>
      </c>
      <c r="H405" s="542">
        <v>215.57875999999999</v>
      </c>
      <c r="I405" s="394">
        <v>164.85185000000001</v>
      </c>
      <c r="J405" s="394">
        <v>72.023489999999995</v>
      </c>
      <c r="K405" s="394">
        <f>48.17704+12.04426+24.08852</f>
        <v>84.309820000000002</v>
      </c>
      <c r="L405" s="394">
        <v>22.939710000000002</v>
      </c>
      <c r="M405" s="394">
        <v>0</v>
      </c>
      <c r="N405" s="394">
        <v>0</v>
      </c>
      <c r="O405" s="394">
        <v>13.743779999999999</v>
      </c>
      <c r="P405" s="394">
        <v>311.79000000000002</v>
      </c>
      <c r="Q405" s="394">
        <v>12.04426</v>
      </c>
      <c r="R405" s="381" t="s">
        <v>167</v>
      </c>
      <c r="S405" s="408" t="s">
        <v>175</v>
      </c>
      <c r="T405" s="385"/>
      <c r="U405" s="475">
        <v>225</v>
      </c>
      <c r="V405" s="395">
        <f t="shared" si="258"/>
        <v>933.24138528138519</v>
      </c>
      <c r="W405" s="395">
        <f t="shared" si="259"/>
        <v>1.4371917333333333</v>
      </c>
      <c r="X405" s="528"/>
      <c r="Y405" s="523"/>
      <c r="Z405" s="393"/>
      <c r="AA405" s="542"/>
      <c r="AB405" s="394"/>
      <c r="AC405" s="394"/>
      <c r="AD405" s="394"/>
      <c r="AE405" s="394"/>
      <c r="AF405" s="394"/>
      <c r="AG405" s="394"/>
      <c r="AH405" s="394"/>
      <c r="AI405" s="394"/>
      <c r="AJ405" s="394"/>
      <c r="AK405" s="381"/>
      <c r="AL405" s="408"/>
      <c r="AM405" s="385"/>
      <c r="AN405" s="475"/>
      <c r="AO405" s="395" t="e">
        <f t="shared" si="216"/>
        <v>#DIV/0!</v>
      </c>
      <c r="AP405" s="395" t="e">
        <f t="shared" si="217"/>
        <v>#DIV/0!</v>
      </c>
      <c r="AQ405" s="528"/>
      <c r="AR405" s="523"/>
      <c r="AS405" s="393"/>
      <c r="AT405" s="542"/>
      <c r="AU405" s="394"/>
      <c r="AV405" s="394"/>
      <c r="AW405" s="394"/>
      <c r="AX405" s="394"/>
      <c r="AY405" s="394"/>
      <c r="AZ405" s="394"/>
      <c r="BA405" s="394"/>
      <c r="BB405" s="394"/>
      <c r="BC405" s="394"/>
      <c r="BD405" s="381"/>
      <c r="BE405" s="408"/>
      <c r="BF405" s="385"/>
      <c r="BG405" s="475"/>
      <c r="BH405" s="395" t="e">
        <f t="shared" si="218"/>
        <v>#DIV/0!</v>
      </c>
      <c r="BI405" s="395" t="e">
        <f t="shared" si="219"/>
        <v>#DIV/0!</v>
      </c>
    </row>
    <row r="406" spans="1:61" s="358" customFormat="1" ht="19.2" x14ac:dyDescent="0.3">
      <c r="A406" s="359" t="s">
        <v>186</v>
      </c>
      <c r="B406" s="537" t="s">
        <v>609</v>
      </c>
      <c r="C406" s="547" t="s">
        <v>483</v>
      </c>
      <c r="D406" s="360">
        <v>0.4</v>
      </c>
      <c r="E406" s="528">
        <v>576</v>
      </c>
      <c r="F406" s="523">
        <v>100</v>
      </c>
      <c r="G406" s="393">
        <v>100</v>
      </c>
      <c r="H406" s="542">
        <v>586.35292000000004</v>
      </c>
      <c r="I406" s="394">
        <v>447.88299000000001</v>
      </c>
      <c r="J406" s="394">
        <v>179.59103999999999</v>
      </c>
      <c r="K406" s="394">
        <f>168.61964+72.26556</f>
        <v>240.8852</v>
      </c>
      <c r="L406" s="394">
        <v>62.717799999999997</v>
      </c>
      <c r="M406" s="394">
        <v>0</v>
      </c>
      <c r="N406" s="394">
        <v>0</v>
      </c>
      <c r="O406" s="394">
        <v>37.438189999999999</v>
      </c>
      <c r="P406" s="394">
        <v>311.79000000000002</v>
      </c>
      <c r="Q406" s="394">
        <v>12.04426</v>
      </c>
      <c r="R406" s="381" t="s">
        <v>167</v>
      </c>
      <c r="S406" s="408" t="s">
        <v>175</v>
      </c>
      <c r="T406" s="385"/>
      <c r="U406" s="475">
        <v>227</v>
      </c>
      <c r="V406" s="395">
        <f t="shared" ref="V406:V410" si="260">H406/E406*1000</f>
        <v>1017.9738194444445</v>
      </c>
      <c r="W406" s="395">
        <f t="shared" ref="W406:W410" si="261">H406/F406</f>
        <v>5.8635292000000003</v>
      </c>
      <c r="X406" s="528"/>
      <c r="Y406" s="523"/>
      <c r="Z406" s="393"/>
      <c r="AA406" s="542"/>
      <c r="AB406" s="394"/>
      <c r="AC406" s="394"/>
      <c r="AD406" s="394"/>
      <c r="AE406" s="394"/>
      <c r="AF406" s="394"/>
      <c r="AG406" s="394"/>
      <c r="AH406" s="394"/>
      <c r="AI406" s="394"/>
      <c r="AJ406" s="394"/>
      <c r="AK406" s="381"/>
      <c r="AL406" s="408"/>
      <c r="AM406" s="385"/>
      <c r="AN406" s="475"/>
      <c r="AO406" s="395" t="e">
        <f t="shared" si="216"/>
        <v>#DIV/0!</v>
      </c>
      <c r="AP406" s="395" t="e">
        <f t="shared" si="217"/>
        <v>#DIV/0!</v>
      </c>
      <c r="AQ406" s="528"/>
      <c r="AR406" s="523"/>
      <c r="AS406" s="393"/>
      <c r="AT406" s="542"/>
      <c r="AU406" s="394"/>
      <c r="AV406" s="394"/>
      <c r="AW406" s="394"/>
      <c r="AX406" s="394"/>
      <c r="AY406" s="394"/>
      <c r="AZ406" s="394"/>
      <c r="BA406" s="394"/>
      <c r="BB406" s="394"/>
      <c r="BC406" s="394"/>
      <c r="BD406" s="381"/>
      <c r="BE406" s="408"/>
      <c r="BF406" s="385"/>
      <c r="BG406" s="475"/>
      <c r="BH406" s="395" t="e">
        <f t="shared" si="218"/>
        <v>#DIV/0!</v>
      </c>
      <c r="BI406" s="395" t="e">
        <f t="shared" si="219"/>
        <v>#DIV/0!</v>
      </c>
    </row>
    <row r="407" spans="1:61" s="358" customFormat="1" ht="55.2" x14ac:dyDescent="0.3">
      <c r="A407" s="359" t="s">
        <v>189</v>
      </c>
      <c r="B407" s="557" t="s">
        <v>610</v>
      </c>
      <c r="C407" s="547" t="s">
        <v>484</v>
      </c>
      <c r="D407" s="360">
        <v>0.4</v>
      </c>
      <c r="E407" s="528">
        <v>220</v>
      </c>
      <c r="F407" s="523">
        <v>150</v>
      </c>
      <c r="G407" s="393">
        <v>150</v>
      </c>
      <c r="H407" s="542">
        <v>125.8192</v>
      </c>
      <c r="I407" s="394">
        <v>99.69726</v>
      </c>
      <c r="J407" s="394">
        <v>68.593800000000002</v>
      </c>
      <c r="K407" s="394">
        <f>12.04426+12.04426</f>
        <v>24.088519999999999</v>
      </c>
      <c r="L407" s="394">
        <v>11.632630000000001</v>
      </c>
      <c r="M407" s="394">
        <v>0</v>
      </c>
      <c r="N407" s="394">
        <v>0</v>
      </c>
      <c r="O407" s="394">
        <v>7.21793</v>
      </c>
      <c r="P407" s="394">
        <v>311.79000000000002</v>
      </c>
      <c r="Q407" s="394">
        <v>12.04426</v>
      </c>
      <c r="R407" s="381" t="s">
        <v>167</v>
      </c>
      <c r="S407" s="408" t="s">
        <v>175</v>
      </c>
      <c r="T407" s="385"/>
      <c r="U407" s="475">
        <v>229</v>
      </c>
      <c r="V407" s="395">
        <f t="shared" si="260"/>
        <v>571.90545454545452</v>
      </c>
      <c r="W407" s="395">
        <f t="shared" si="261"/>
        <v>0.83879466666666669</v>
      </c>
      <c r="X407" s="528"/>
      <c r="Y407" s="523"/>
      <c r="Z407" s="393"/>
      <c r="AA407" s="542"/>
      <c r="AB407" s="394"/>
      <c r="AC407" s="394"/>
      <c r="AD407" s="394"/>
      <c r="AE407" s="394"/>
      <c r="AF407" s="394"/>
      <c r="AG407" s="394"/>
      <c r="AH407" s="394"/>
      <c r="AI407" s="394"/>
      <c r="AJ407" s="394"/>
      <c r="AK407" s="381"/>
      <c r="AL407" s="408"/>
      <c r="AM407" s="385"/>
      <c r="AN407" s="475"/>
      <c r="AO407" s="395" t="e">
        <f t="shared" si="216"/>
        <v>#DIV/0!</v>
      </c>
      <c r="AP407" s="395" t="e">
        <f t="shared" si="217"/>
        <v>#DIV/0!</v>
      </c>
      <c r="AQ407" s="528"/>
      <c r="AR407" s="523"/>
      <c r="AS407" s="393"/>
      <c r="AT407" s="542"/>
      <c r="AU407" s="394"/>
      <c r="AV407" s="394"/>
      <c r="AW407" s="394"/>
      <c r="AX407" s="394"/>
      <c r="AY407" s="394"/>
      <c r="AZ407" s="394"/>
      <c r="BA407" s="394"/>
      <c r="BB407" s="394"/>
      <c r="BC407" s="394"/>
      <c r="BD407" s="381"/>
      <c r="BE407" s="408"/>
      <c r="BF407" s="385"/>
      <c r="BG407" s="475"/>
      <c r="BH407" s="395" t="e">
        <f t="shared" si="218"/>
        <v>#DIV/0!</v>
      </c>
      <c r="BI407" s="395" t="e">
        <f t="shared" si="219"/>
        <v>#DIV/0!</v>
      </c>
    </row>
    <row r="408" spans="1:61" s="358" customFormat="1" ht="19.2" x14ac:dyDescent="0.3">
      <c r="A408" s="359" t="s">
        <v>267</v>
      </c>
      <c r="B408" s="537" t="s">
        <v>611</v>
      </c>
      <c r="C408" s="547" t="s">
        <v>485</v>
      </c>
      <c r="D408" s="360">
        <v>0.4</v>
      </c>
      <c r="E408" s="528">
        <v>190</v>
      </c>
      <c r="F408" s="523">
        <v>15</v>
      </c>
      <c r="G408" s="393">
        <v>15</v>
      </c>
      <c r="H408" s="542">
        <v>200.53217000000001</v>
      </c>
      <c r="I408" s="394">
        <v>152.90438</v>
      </c>
      <c r="J408" s="394">
        <v>59.240099999999998</v>
      </c>
      <c r="K408" s="394">
        <f>48.17704+12.04426+24.08852</f>
        <v>84.309820000000002</v>
      </c>
      <c r="L408" s="394">
        <v>21.56915</v>
      </c>
      <c r="M408" s="394">
        <v>0</v>
      </c>
      <c r="N408" s="394">
        <v>0</v>
      </c>
      <c r="O408" s="394">
        <v>12.8721</v>
      </c>
      <c r="P408" s="394">
        <v>311.79000000000002</v>
      </c>
      <c r="Q408" s="394">
        <v>12.04426</v>
      </c>
      <c r="R408" s="381" t="s">
        <v>167</v>
      </c>
      <c r="S408" s="408" t="s">
        <v>175</v>
      </c>
      <c r="T408" s="385"/>
      <c r="U408" s="475">
        <v>231</v>
      </c>
      <c r="V408" s="395">
        <f t="shared" si="260"/>
        <v>1055.4324736842107</v>
      </c>
      <c r="W408" s="395">
        <f t="shared" si="261"/>
        <v>13.368811333333333</v>
      </c>
      <c r="X408" s="528"/>
      <c r="Y408" s="523"/>
      <c r="Z408" s="393"/>
      <c r="AA408" s="542"/>
      <c r="AB408" s="394"/>
      <c r="AC408" s="394"/>
      <c r="AD408" s="394"/>
      <c r="AE408" s="394"/>
      <c r="AF408" s="394"/>
      <c r="AG408" s="394"/>
      <c r="AH408" s="394"/>
      <c r="AI408" s="394"/>
      <c r="AJ408" s="394"/>
      <c r="AK408" s="381"/>
      <c r="AL408" s="408"/>
      <c r="AM408" s="385"/>
      <c r="AN408" s="475"/>
      <c r="AO408" s="395" t="e">
        <f t="shared" si="216"/>
        <v>#DIV/0!</v>
      </c>
      <c r="AP408" s="395" t="e">
        <f t="shared" si="217"/>
        <v>#DIV/0!</v>
      </c>
      <c r="AQ408" s="528"/>
      <c r="AR408" s="523"/>
      <c r="AS408" s="393"/>
      <c r="AT408" s="542"/>
      <c r="AU408" s="394"/>
      <c r="AV408" s="394"/>
      <c r="AW408" s="394"/>
      <c r="AX408" s="394"/>
      <c r="AY408" s="394"/>
      <c r="AZ408" s="394"/>
      <c r="BA408" s="394"/>
      <c r="BB408" s="394"/>
      <c r="BC408" s="394"/>
      <c r="BD408" s="381"/>
      <c r="BE408" s="408"/>
      <c r="BF408" s="385"/>
      <c r="BG408" s="475"/>
      <c r="BH408" s="395" t="e">
        <f t="shared" si="218"/>
        <v>#DIV/0!</v>
      </c>
      <c r="BI408" s="395" t="e">
        <f t="shared" si="219"/>
        <v>#DIV/0!</v>
      </c>
    </row>
    <row r="409" spans="1:61" s="358" customFormat="1" ht="19.2" x14ac:dyDescent="0.3">
      <c r="A409" s="359" t="s">
        <v>268</v>
      </c>
      <c r="B409" s="537" t="s">
        <v>613</v>
      </c>
      <c r="C409" s="547" t="s">
        <v>487</v>
      </c>
      <c r="D409" s="360">
        <v>0.4</v>
      </c>
      <c r="E409" s="528">
        <v>110</v>
      </c>
      <c r="F409" s="523">
        <v>150</v>
      </c>
      <c r="G409" s="393">
        <v>150</v>
      </c>
      <c r="H409" s="542">
        <v>115.22329000000001</v>
      </c>
      <c r="I409" s="394">
        <v>87.678690000000003</v>
      </c>
      <c r="J409" s="394">
        <v>34.296900000000001</v>
      </c>
      <c r="K409" s="394">
        <f>36.13278+12.04426</f>
        <v>48.177039999999998</v>
      </c>
      <c r="L409" s="394">
        <v>12.35632</v>
      </c>
      <c r="M409" s="394">
        <v>0</v>
      </c>
      <c r="N409" s="394">
        <v>0</v>
      </c>
      <c r="O409" s="394">
        <v>7.4874200000000002</v>
      </c>
      <c r="P409" s="394">
        <v>311.79000000000002</v>
      </c>
      <c r="Q409" s="394">
        <v>12.04426</v>
      </c>
      <c r="R409" s="381" t="s">
        <v>167</v>
      </c>
      <c r="S409" s="408" t="s">
        <v>175</v>
      </c>
      <c r="T409" s="385"/>
      <c r="U409" s="475">
        <v>233</v>
      </c>
      <c r="V409" s="395">
        <f t="shared" si="260"/>
        <v>1047.4844545454546</v>
      </c>
      <c r="W409" s="395">
        <f t="shared" si="261"/>
        <v>0.76815526666666667</v>
      </c>
      <c r="X409" s="528"/>
      <c r="Y409" s="523"/>
      <c r="Z409" s="393"/>
      <c r="AA409" s="542"/>
      <c r="AB409" s="394"/>
      <c r="AC409" s="394"/>
      <c r="AD409" s="394"/>
      <c r="AE409" s="394"/>
      <c r="AF409" s="394"/>
      <c r="AG409" s="394"/>
      <c r="AH409" s="394"/>
      <c r="AI409" s="394"/>
      <c r="AJ409" s="394"/>
      <c r="AK409" s="381"/>
      <c r="AL409" s="408"/>
      <c r="AM409" s="385"/>
      <c r="AN409" s="475"/>
      <c r="AO409" s="395" t="e">
        <f t="shared" si="216"/>
        <v>#DIV/0!</v>
      </c>
      <c r="AP409" s="395" t="e">
        <f t="shared" si="217"/>
        <v>#DIV/0!</v>
      </c>
      <c r="AQ409" s="528"/>
      <c r="AR409" s="523"/>
      <c r="AS409" s="393"/>
      <c r="AT409" s="542"/>
      <c r="AU409" s="394"/>
      <c r="AV409" s="394"/>
      <c r="AW409" s="394"/>
      <c r="AX409" s="394"/>
      <c r="AY409" s="394"/>
      <c r="AZ409" s="394"/>
      <c r="BA409" s="394"/>
      <c r="BB409" s="394"/>
      <c r="BC409" s="394"/>
      <c r="BD409" s="381"/>
      <c r="BE409" s="408"/>
      <c r="BF409" s="385"/>
      <c r="BG409" s="475"/>
      <c r="BH409" s="395" t="e">
        <f t="shared" si="218"/>
        <v>#DIV/0!</v>
      </c>
      <c r="BI409" s="395" t="e">
        <f t="shared" si="219"/>
        <v>#DIV/0!</v>
      </c>
    </row>
    <row r="410" spans="1:61" s="358" customFormat="1" ht="19.2" x14ac:dyDescent="0.3">
      <c r="A410" s="359" t="s">
        <v>269</v>
      </c>
      <c r="B410" s="537" t="s">
        <v>620</v>
      </c>
      <c r="C410" s="547" t="s">
        <v>495</v>
      </c>
      <c r="D410" s="360">
        <v>0.4</v>
      </c>
      <c r="E410" s="528">
        <v>250</v>
      </c>
      <c r="F410" s="523">
        <v>120</v>
      </c>
      <c r="G410" s="393">
        <v>120</v>
      </c>
      <c r="H410" s="542">
        <v>136.42917</v>
      </c>
      <c r="I410" s="394">
        <v>108.50026</v>
      </c>
      <c r="J410" s="394">
        <v>77.947500000000005</v>
      </c>
      <c r="K410" s="394">
        <f>12.32901+12.32901</f>
        <v>24.65802</v>
      </c>
      <c r="L410" s="394">
        <v>12.17479</v>
      </c>
      <c r="M410" s="394">
        <v>0</v>
      </c>
      <c r="N410" s="394">
        <v>0</v>
      </c>
      <c r="O410" s="394">
        <v>7.8557499999999996</v>
      </c>
      <c r="P410" s="394">
        <v>311.79000000000002</v>
      </c>
      <c r="Q410" s="394">
        <v>12.32901</v>
      </c>
      <c r="R410" s="381" t="s">
        <v>167</v>
      </c>
      <c r="S410" s="408" t="s">
        <v>175</v>
      </c>
      <c r="T410" s="385"/>
      <c r="U410" s="475">
        <v>235</v>
      </c>
      <c r="V410" s="395">
        <f t="shared" si="260"/>
        <v>545.71668</v>
      </c>
      <c r="W410" s="395">
        <f t="shared" si="261"/>
        <v>1.1369097500000001</v>
      </c>
      <c r="X410" s="528"/>
      <c r="Y410" s="523"/>
      <c r="Z410" s="393"/>
      <c r="AA410" s="542"/>
      <c r="AB410" s="394"/>
      <c r="AC410" s="394"/>
      <c r="AD410" s="394"/>
      <c r="AE410" s="394"/>
      <c r="AF410" s="394"/>
      <c r="AG410" s="394"/>
      <c r="AH410" s="394"/>
      <c r="AI410" s="394"/>
      <c r="AJ410" s="394"/>
      <c r="AK410" s="381"/>
      <c r="AL410" s="408"/>
      <c r="AM410" s="385"/>
      <c r="AN410" s="475"/>
      <c r="AO410" s="395" t="e">
        <f t="shared" si="216"/>
        <v>#DIV/0!</v>
      </c>
      <c r="AP410" s="395" t="e">
        <f t="shared" si="217"/>
        <v>#DIV/0!</v>
      </c>
      <c r="AQ410" s="528"/>
      <c r="AR410" s="523"/>
      <c r="AS410" s="393"/>
      <c r="AT410" s="542"/>
      <c r="AU410" s="394"/>
      <c r="AV410" s="394"/>
      <c r="AW410" s="394"/>
      <c r="AX410" s="394"/>
      <c r="AY410" s="394"/>
      <c r="AZ410" s="394"/>
      <c r="BA410" s="394"/>
      <c r="BB410" s="394"/>
      <c r="BC410" s="394"/>
      <c r="BD410" s="381"/>
      <c r="BE410" s="408"/>
      <c r="BF410" s="385"/>
      <c r="BG410" s="475"/>
      <c r="BH410" s="395" t="e">
        <f t="shared" si="218"/>
        <v>#DIV/0!</v>
      </c>
      <c r="BI410" s="395" t="e">
        <f t="shared" si="219"/>
        <v>#DIV/0!</v>
      </c>
    </row>
    <row r="411" spans="1:61" s="358" customFormat="1" ht="19.2" x14ac:dyDescent="0.3">
      <c r="A411" s="359" t="s">
        <v>270</v>
      </c>
      <c r="B411" s="537" t="s">
        <v>634</v>
      </c>
      <c r="C411" s="547" t="s">
        <v>510</v>
      </c>
      <c r="D411" s="360">
        <v>0.4</v>
      </c>
      <c r="E411" s="528">
        <v>430</v>
      </c>
      <c r="F411" s="523">
        <v>15</v>
      </c>
      <c r="G411" s="393">
        <v>15</v>
      </c>
      <c r="H411" s="542">
        <v>484.01204000000001</v>
      </c>
      <c r="I411" s="394">
        <v>372.19691</v>
      </c>
      <c r="J411" s="394">
        <v>134.06970000000001</v>
      </c>
      <c r="K411" s="394">
        <f>75.03642+100.04856+37.51821</f>
        <v>212.60319000000001</v>
      </c>
      <c r="L411" s="394">
        <v>51.841030000000003</v>
      </c>
      <c r="M411" s="394">
        <v>0</v>
      </c>
      <c r="N411" s="394">
        <v>0</v>
      </c>
      <c r="O411" s="394">
        <v>29.512550000000001</v>
      </c>
      <c r="P411" s="394">
        <v>311.79000000000002</v>
      </c>
      <c r="Q411" s="394">
        <v>12.506069999999999</v>
      </c>
      <c r="R411" s="381" t="s">
        <v>167</v>
      </c>
      <c r="S411" s="408" t="s">
        <v>175</v>
      </c>
      <c r="T411" s="385"/>
      <c r="U411" s="475">
        <v>237</v>
      </c>
      <c r="V411" s="395">
        <f t="shared" ref="V411" si="262">H411/E411*1000</f>
        <v>1125.6093953488373</v>
      </c>
      <c r="W411" s="395">
        <f t="shared" ref="W411" si="263">H411/F411</f>
        <v>32.267469333333331</v>
      </c>
      <c r="X411" s="528"/>
      <c r="Y411" s="523"/>
      <c r="Z411" s="393"/>
      <c r="AA411" s="542"/>
      <c r="AB411" s="394"/>
      <c r="AC411" s="394"/>
      <c r="AD411" s="394"/>
      <c r="AE411" s="394"/>
      <c r="AF411" s="394"/>
      <c r="AG411" s="394"/>
      <c r="AH411" s="394"/>
      <c r="AI411" s="394"/>
      <c r="AJ411" s="394"/>
      <c r="AK411" s="381"/>
      <c r="AL411" s="408"/>
      <c r="AM411" s="385"/>
      <c r="AN411" s="475"/>
      <c r="AO411" s="395" t="e">
        <f t="shared" si="216"/>
        <v>#DIV/0!</v>
      </c>
      <c r="AP411" s="395" t="e">
        <f t="shared" si="217"/>
        <v>#DIV/0!</v>
      </c>
      <c r="AQ411" s="528"/>
      <c r="AR411" s="523"/>
      <c r="AS411" s="393"/>
      <c r="AT411" s="542"/>
      <c r="AU411" s="394"/>
      <c r="AV411" s="394"/>
      <c r="AW411" s="394"/>
      <c r="AX411" s="394"/>
      <c r="AY411" s="394"/>
      <c r="AZ411" s="394"/>
      <c r="BA411" s="394"/>
      <c r="BB411" s="394"/>
      <c r="BC411" s="394"/>
      <c r="BD411" s="381"/>
      <c r="BE411" s="408"/>
      <c r="BF411" s="385"/>
      <c r="BG411" s="475"/>
      <c r="BH411" s="395" t="e">
        <f t="shared" si="218"/>
        <v>#DIV/0!</v>
      </c>
      <c r="BI411" s="395" t="e">
        <f t="shared" si="219"/>
        <v>#DIV/0!</v>
      </c>
    </row>
    <row r="412" spans="1:61" s="358" customFormat="1" ht="19.2" x14ac:dyDescent="0.3">
      <c r="A412" s="359"/>
      <c r="B412" s="572" t="s">
        <v>2430</v>
      </c>
      <c r="C412" s="547" t="s">
        <v>2429</v>
      </c>
      <c r="D412" s="360">
        <v>0.4</v>
      </c>
      <c r="E412" s="528"/>
      <c r="F412" s="523"/>
      <c r="G412" s="393"/>
      <c r="H412" s="571"/>
      <c r="I412" s="394"/>
      <c r="J412" s="394"/>
      <c r="K412" s="394"/>
      <c r="L412" s="394"/>
      <c r="M412" s="394"/>
      <c r="N412" s="394"/>
      <c r="O412" s="394"/>
      <c r="P412" s="394"/>
      <c r="Q412" s="394"/>
      <c r="R412" s="381"/>
      <c r="S412" s="408"/>
      <c r="T412" s="385"/>
      <c r="U412" s="475"/>
      <c r="V412" s="395"/>
      <c r="W412" s="395"/>
      <c r="X412" s="528">
        <v>239</v>
      </c>
      <c r="Y412" s="523">
        <v>15</v>
      </c>
      <c r="Z412" s="393">
        <v>15</v>
      </c>
      <c r="AA412" s="571">
        <v>191.48034999999999</v>
      </c>
      <c r="AB412" s="394">
        <v>150.31948</v>
      </c>
      <c r="AC412" s="394">
        <v>74.517809999999997</v>
      </c>
      <c r="AD412" s="394">
        <v>62.7776</v>
      </c>
      <c r="AE412" s="394">
        <v>18.67221</v>
      </c>
      <c r="AF412" s="394">
        <v>0</v>
      </c>
      <c r="AG412" s="394">
        <v>0</v>
      </c>
      <c r="AH412" s="394">
        <v>11.021179999999999</v>
      </c>
      <c r="AI412" s="394">
        <v>0.31179000000000001</v>
      </c>
      <c r="AJ412" s="394">
        <v>12.55552</v>
      </c>
      <c r="AK412" s="381" t="s">
        <v>167</v>
      </c>
      <c r="AL412" s="408" t="s">
        <v>175</v>
      </c>
      <c r="AM412" s="385"/>
      <c r="AN412" s="475">
        <v>284</v>
      </c>
      <c r="AO412" s="395">
        <f t="shared" ref="AO412:AO422" si="264">AA412/X412*1000</f>
        <v>801.1730125523012</v>
      </c>
      <c r="AP412" s="395">
        <f t="shared" ref="AP412:AP422" si="265">AA412/Y412</f>
        <v>12.765356666666666</v>
      </c>
      <c r="AQ412" s="528"/>
      <c r="AR412" s="523"/>
      <c r="AS412" s="393"/>
      <c r="AT412" s="571"/>
      <c r="AU412" s="394"/>
      <c r="AV412" s="394"/>
      <c r="AW412" s="394"/>
      <c r="AX412" s="394"/>
      <c r="AY412" s="394"/>
      <c r="AZ412" s="394"/>
      <c r="BA412" s="394"/>
      <c r="BB412" s="394"/>
      <c r="BC412" s="394"/>
      <c r="BD412" s="381"/>
      <c r="BE412" s="408"/>
      <c r="BF412" s="385"/>
      <c r="BG412" s="475"/>
      <c r="BH412" s="395" t="e">
        <f t="shared" si="218"/>
        <v>#DIV/0!</v>
      </c>
      <c r="BI412" s="395" t="e">
        <f t="shared" si="219"/>
        <v>#DIV/0!</v>
      </c>
    </row>
    <row r="413" spans="1:61" s="358" customFormat="1" ht="19.2" x14ac:dyDescent="0.3">
      <c r="A413" s="359" t="s">
        <v>182</v>
      </c>
      <c r="B413" s="572" t="s">
        <v>2432</v>
      </c>
      <c r="C413" s="547" t="s">
        <v>2431</v>
      </c>
      <c r="D413" s="360">
        <v>0.4</v>
      </c>
      <c r="E413" s="528"/>
      <c r="F413" s="523"/>
      <c r="G413" s="393"/>
      <c r="H413" s="571"/>
      <c r="I413" s="394"/>
      <c r="J413" s="394"/>
      <c r="K413" s="394"/>
      <c r="L413" s="394"/>
      <c r="M413" s="394"/>
      <c r="N413" s="394"/>
      <c r="O413" s="394"/>
      <c r="P413" s="394"/>
      <c r="Q413" s="394"/>
      <c r="R413" s="381"/>
      <c r="S413" s="408"/>
      <c r="T413" s="385"/>
      <c r="U413" s="475"/>
      <c r="V413" s="395"/>
      <c r="W413" s="395"/>
      <c r="X413" s="528">
        <v>277</v>
      </c>
      <c r="Y413" s="523">
        <v>15</v>
      </c>
      <c r="Z413" s="393">
        <v>15</v>
      </c>
      <c r="AA413" s="571">
        <v>128.34360000000001</v>
      </c>
      <c r="AB413" s="394">
        <v>106.11084</v>
      </c>
      <c r="AC413" s="394">
        <v>86.365830000000003</v>
      </c>
      <c r="AD413" s="394"/>
      <c r="AE413" s="394">
        <v>9.3490800000000007</v>
      </c>
      <c r="AF413" s="394">
        <v>0</v>
      </c>
      <c r="AG413" s="394">
        <v>0</v>
      </c>
      <c r="AH413" s="394">
        <v>6.2646699999999997</v>
      </c>
      <c r="AI413" s="394">
        <v>0.31179000000000001</v>
      </c>
      <c r="AJ413" s="394"/>
      <c r="AK413" s="381" t="s">
        <v>167</v>
      </c>
      <c r="AL413" s="408" t="s">
        <v>175</v>
      </c>
      <c r="AM413" s="385"/>
      <c r="AN413" s="475">
        <v>286</v>
      </c>
      <c r="AO413" s="395">
        <f t="shared" si="264"/>
        <v>463.33429602888089</v>
      </c>
      <c r="AP413" s="395">
        <f t="shared" si="265"/>
        <v>8.5562400000000007</v>
      </c>
      <c r="AQ413" s="528"/>
      <c r="AR413" s="523"/>
      <c r="AS413" s="393"/>
      <c r="AT413" s="571"/>
      <c r="AU413" s="394"/>
      <c r="AV413" s="394"/>
      <c r="AW413" s="394"/>
      <c r="AX413" s="394"/>
      <c r="AY413" s="394"/>
      <c r="AZ413" s="394"/>
      <c r="BA413" s="394"/>
      <c r="BB413" s="394"/>
      <c r="BC413" s="394"/>
      <c r="BD413" s="381"/>
      <c r="BE413" s="408"/>
      <c r="BF413" s="385"/>
      <c r="BG413" s="475"/>
      <c r="BH413" s="395" t="e">
        <f t="shared" si="218"/>
        <v>#DIV/0!</v>
      </c>
      <c r="BI413" s="395" t="e">
        <f t="shared" si="219"/>
        <v>#DIV/0!</v>
      </c>
    </row>
    <row r="414" spans="1:61" s="358" customFormat="1" ht="19.2" x14ac:dyDescent="0.3">
      <c r="A414" s="359" t="s">
        <v>184</v>
      </c>
      <c r="B414" s="572" t="s">
        <v>2434</v>
      </c>
      <c r="C414" s="547" t="s">
        <v>2433</v>
      </c>
      <c r="D414" s="360">
        <v>0.4</v>
      </c>
      <c r="E414" s="528"/>
      <c r="F414" s="523"/>
      <c r="G414" s="393"/>
      <c r="H414" s="571"/>
      <c r="I414" s="394"/>
      <c r="J414" s="394"/>
      <c r="K414" s="394"/>
      <c r="L414" s="394"/>
      <c r="M414" s="394"/>
      <c r="N414" s="394"/>
      <c r="O414" s="394"/>
      <c r="P414" s="394"/>
      <c r="Q414" s="394"/>
      <c r="R414" s="381"/>
      <c r="S414" s="408"/>
      <c r="T414" s="385"/>
      <c r="U414" s="475"/>
      <c r="V414" s="395"/>
      <c r="W414" s="395"/>
      <c r="X414" s="528">
        <v>1008</v>
      </c>
      <c r="Y414" s="523">
        <v>15</v>
      </c>
      <c r="Z414" s="393">
        <v>15</v>
      </c>
      <c r="AA414" s="571">
        <v>1105.0206700000001</v>
      </c>
      <c r="AB414" s="394">
        <v>856.24311</v>
      </c>
      <c r="AC414" s="394">
        <v>314.28431999999998</v>
      </c>
      <c r="AD414" s="394">
        <f>225.99756+125.5341+37.66023+75.33252</f>
        <v>464.52440999999999</v>
      </c>
      <c r="AE414" s="394">
        <v>116.0133</v>
      </c>
      <c r="AF414" s="394">
        <v>0</v>
      </c>
      <c r="AG414" s="394">
        <v>0</v>
      </c>
      <c r="AH414" s="394">
        <v>65.269779999999997</v>
      </c>
      <c r="AI414" s="394">
        <v>0.31179000000000001</v>
      </c>
      <c r="AJ414" s="394">
        <v>12.55542</v>
      </c>
      <c r="AK414" s="381" t="s">
        <v>167</v>
      </c>
      <c r="AL414" s="408" t="s">
        <v>175</v>
      </c>
      <c r="AM414" s="385"/>
      <c r="AN414" s="475">
        <v>288</v>
      </c>
      <c r="AO414" s="395">
        <f t="shared" ref="AO414:AO420" si="266">AA414/X414*1000</f>
        <v>1096.2506646825398</v>
      </c>
      <c r="AP414" s="395">
        <f t="shared" ref="AP414:AP420" si="267">AA414/Y414</f>
        <v>73.668044666666674</v>
      </c>
      <c r="AQ414" s="528"/>
      <c r="AR414" s="523"/>
      <c r="AS414" s="393"/>
      <c r="AT414" s="571"/>
      <c r="AU414" s="394"/>
      <c r="AV414" s="394"/>
      <c r="AW414" s="394"/>
      <c r="AX414" s="394"/>
      <c r="AY414" s="394"/>
      <c r="AZ414" s="394"/>
      <c r="BA414" s="394"/>
      <c r="BB414" s="394"/>
      <c r="BC414" s="394"/>
      <c r="BD414" s="381"/>
      <c r="BE414" s="408"/>
      <c r="BF414" s="385"/>
      <c r="BG414" s="475"/>
      <c r="BH414" s="395" t="e">
        <f t="shared" si="218"/>
        <v>#DIV/0!</v>
      </c>
      <c r="BI414" s="395" t="e">
        <f t="shared" si="219"/>
        <v>#DIV/0!</v>
      </c>
    </row>
    <row r="415" spans="1:61" s="358" customFormat="1" ht="19.2" x14ac:dyDescent="0.3">
      <c r="A415" s="359" t="s">
        <v>186</v>
      </c>
      <c r="B415" s="572" t="s">
        <v>2436</v>
      </c>
      <c r="C415" s="547" t="s">
        <v>2435</v>
      </c>
      <c r="D415" s="360">
        <v>0.4</v>
      </c>
      <c r="E415" s="528"/>
      <c r="F415" s="523"/>
      <c r="G415" s="393"/>
      <c r="H415" s="571"/>
      <c r="I415" s="394"/>
      <c r="J415" s="394"/>
      <c r="K415" s="394"/>
      <c r="L415" s="394"/>
      <c r="M415" s="394"/>
      <c r="N415" s="394"/>
      <c r="O415" s="394"/>
      <c r="P415" s="394"/>
      <c r="Q415" s="394"/>
      <c r="R415" s="381"/>
      <c r="S415" s="408"/>
      <c r="T415" s="385"/>
      <c r="U415" s="475"/>
      <c r="V415" s="395"/>
      <c r="W415" s="395"/>
      <c r="X415" s="528">
        <v>70</v>
      </c>
      <c r="Y415" s="523">
        <v>150</v>
      </c>
      <c r="Z415" s="393">
        <v>150</v>
      </c>
      <c r="AA415" s="571">
        <v>85.579890000000006</v>
      </c>
      <c r="AB415" s="394">
        <v>64.51549</v>
      </c>
      <c r="AC415" s="394">
        <v>21.825299999999999</v>
      </c>
      <c r="AD415" s="394">
        <v>37.666409999999999</v>
      </c>
      <c r="AE415" s="394">
        <v>8.9123400000000004</v>
      </c>
      <c r="AF415" s="394">
        <v>0</v>
      </c>
      <c r="AG415" s="394">
        <v>0</v>
      </c>
      <c r="AH415" s="394">
        <v>5.7371999999999996</v>
      </c>
      <c r="AI415" s="394">
        <v>0.31179000000000001</v>
      </c>
      <c r="AJ415" s="394">
        <v>12.55547</v>
      </c>
      <c r="AK415" s="381" t="s">
        <v>167</v>
      </c>
      <c r="AL415" s="408" t="s">
        <v>175</v>
      </c>
      <c r="AM415" s="385"/>
      <c r="AN415" s="475">
        <v>290</v>
      </c>
      <c r="AO415" s="395">
        <f t="shared" si="266"/>
        <v>1222.5698571428572</v>
      </c>
      <c r="AP415" s="395">
        <f t="shared" si="267"/>
        <v>0.57053260000000006</v>
      </c>
      <c r="AQ415" s="528"/>
      <c r="AR415" s="523"/>
      <c r="AS415" s="393"/>
      <c r="AT415" s="571"/>
      <c r="AU415" s="394"/>
      <c r="AV415" s="394"/>
      <c r="AW415" s="394"/>
      <c r="AX415" s="394"/>
      <c r="AY415" s="394"/>
      <c r="AZ415" s="394"/>
      <c r="BA415" s="394"/>
      <c r="BB415" s="394"/>
      <c r="BC415" s="394"/>
      <c r="BD415" s="381"/>
      <c r="BE415" s="408"/>
      <c r="BF415" s="385"/>
      <c r="BG415" s="475"/>
      <c r="BH415" s="395" t="e">
        <f t="shared" si="218"/>
        <v>#DIV/0!</v>
      </c>
      <c r="BI415" s="395" t="e">
        <f t="shared" si="219"/>
        <v>#DIV/0!</v>
      </c>
    </row>
    <row r="416" spans="1:61" s="358" customFormat="1" ht="19.2" x14ac:dyDescent="0.3">
      <c r="A416" s="359" t="s">
        <v>189</v>
      </c>
      <c r="B416" s="572" t="s">
        <v>2438</v>
      </c>
      <c r="C416" s="547" t="s">
        <v>2437</v>
      </c>
      <c r="D416" s="360">
        <v>0.4</v>
      </c>
      <c r="E416" s="528"/>
      <c r="F416" s="523"/>
      <c r="G416" s="393"/>
      <c r="H416" s="571"/>
      <c r="I416" s="394"/>
      <c r="J416" s="394"/>
      <c r="K416" s="394"/>
      <c r="L416" s="394"/>
      <c r="M416" s="394"/>
      <c r="N416" s="394"/>
      <c r="O416" s="394"/>
      <c r="P416" s="394"/>
      <c r="Q416" s="394"/>
      <c r="R416" s="381"/>
      <c r="S416" s="408"/>
      <c r="T416" s="385"/>
      <c r="U416" s="475"/>
      <c r="V416" s="395"/>
      <c r="W416" s="395"/>
      <c r="X416" s="528">
        <v>307</v>
      </c>
      <c r="Y416" s="523">
        <v>150</v>
      </c>
      <c r="Z416" s="393">
        <v>150</v>
      </c>
      <c r="AA416" s="571">
        <v>345.67264999999998</v>
      </c>
      <c r="AB416" s="394">
        <v>268.28456</v>
      </c>
      <c r="AC416" s="394">
        <v>95.719530000000006</v>
      </c>
      <c r="AD416" s="394">
        <f>100.44376+50.22192</f>
        <v>150.66568000000001</v>
      </c>
      <c r="AE416" s="394">
        <v>34.816310000000001</v>
      </c>
      <c r="AF416" s="394">
        <v>0</v>
      </c>
      <c r="AG416" s="394">
        <v>0</v>
      </c>
      <c r="AH416" s="394">
        <v>20.954709999999999</v>
      </c>
      <c r="AI416" s="394">
        <v>0.31179000000000001</v>
      </c>
      <c r="AJ416" s="394">
        <v>12.55547</v>
      </c>
      <c r="AK416" s="381" t="s">
        <v>167</v>
      </c>
      <c r="AL416" s="408" t="s">
        <v>175</v>
      </c>
      <c r="AM416" s="385"/>
      <c r="AN416" s="475">
        <v>292</v>
      </c>
      <c r="AO416" s="395">
        <f t="shared" si="266"/>
        <v>1125.9695439739412</v>
      </c>
      <c r="AP416" s="395">
        <f t="shared" si="267"/>
        <v>2.3044843333333334</v>
      </c>
      <c r="AQ416" s="528"/>
      <c r="AR416" s="523"/>
      <c r="AS416" s="393"/>
      <c r="AT416" s="571"/>
      <c r="AU416" s="394"/>
      <c r="AV416" s="394"/>
      <c r="AW416" s="394"/>
      <c r="AX416" s="394"/>
      <c r="AY416" s="394"/>
      <c r="AZ416" s="394"/>
      <c r="BA416" s="394"/>
      <c r="BB416" s="394"/>
      <c r="BC416" s="394"/>
      <c r="BD416" s="381"/>
      <c r="BE416" s="408"/>
      <c r="BF416" s="385"/>
      <c r="BG416" s="475"/>
      <c r="BH416" s="395" t="e">
        <f t="shared" si="218"/>
        <v>#DIV/0!</v>
      </c>
      <c r="BI416" s="395" t="e">
        <f t="shared" si="219"/>
        <v>#DIV/0!</v>
      </c>
    </row>
    <row r="417" spans="1:61" s="358" customFormat="1" ht="19.2" x14ac:dyDescent="0.3">
      <c r="A417" s="359" t="s">
        <v>267</v>
      </c>
      <c r="B417" s="572" t="s">
        <v>1851</v>
      </c>
      <c r="C417" s="547" t="s">
        <v>1156</v>
      </c>
      <c r="D417" s="360">
        <v>0.4</v>
      </c>
      <c r="E417" s="528"/>
      <c r="F417" s="523"/>
      <c r="G417" s="393"/>
      <c r="H417" s="571"/>
      <c r="I417" s="394"/>
      <c r="J417" s="394"/>
      <c r="K417" s="394"/>
      <c r="L417" s="394"/>
      <c r="M417" s="394"/>
      <c r="N417" s="394"/>
      <c r="O417" s="394"/>
      <c r="P417" s="394"/>
      <c r="Q417" s="394"/>
      <c r="R417" s="381"/>
      <c r="S417" s="408"/>
      <c r="T417" s="385"/>
      <c r="U417" s="475"/>
      <c r="V417" s="395"/>
      <c r="W417" s="395"/>
      <c r="X417" s="528">
        <f>350+20</f>
        <v>370</v>
      </c>
      <c r="Y417" s="523">
        <v>100</v>
      </c>
      <c r="Z417" s="393">
        <v>100</v>
      </c>
      <c r="AA417" s="571">
        <v>241.23920000000001</v>
      </c>
      <c r="AB417" s="394">
        <v>182.28971000000001</v>
      </c>
      <c r="AC417" s="394">
        <f>97.0375+6.2358</f>
        <v>103.27329999999999</v>
      </c>
      <c r="AD417" s="394">
        <v>59.180160000000001</v>
      </c>
      <c r="AE417" s="394">
        <v>26.001290000000001</v>
      </c>
      <c r="AF417" s="394">
        <v>0</v>
      </c>
      <c r="AG417" s="394">
        <v>0</v>
      </c>
      <c r="AH417" s="394">
        <v>16.0075</v>
      </c>
      <c r="AI417" s="394">
        <v>0.27725</v>
      </c>
      <c r="AJ417" s="394">
        <v>9.8633600000000001</v>
      </c>
      <c r="AK417" s="381" t="s">
        <v>167</v>
      </c>
      <c r="AL417" s="408" t="s">
        <v>175</v>
      </c>
      <c r="AM417" s="385"/>
      <c r="AN417" s="475">
        <v>294</v>
      </c>
      <c r="AO417" s="395">
        <f t="shared" si="266"/>
        <v>651.99783783783778</v>
      </c>
      <c r="AP417" s="395">
        <f t="shared" si="267"/>
        <v>2.4123920000000001</v>
      </c>
      <c r="AQ417" s="528"/>
      <c r="AR417" s="523"/>
      <c r="AS417" s="393"/>
      <c r="AT417" s="571"/>
      <c r="AU417" s="394"/>
      <c r="AV417" s="394"/>
      <c r="AW417" s="394"/>
      <c r="AX417" s="394"/>
      <c r="AY417" s="394"/>
      <c r="AZ417" s="394"/>
      <c r="BA417" s="394"/>
      <c r="BB417" s="394"/>
      <c r="BC417" s="394"/>
      <c r="BD417" s="381"/>
      <c r="BE417" s="408"/>
      <c r="BF417" s="385"/>
      <c r="BG417" s="475"/>
      <c r="BH417" s="395" t="e">
        <f t="shared" si="218"/>
        <v>#DIV/0!</v>
      </c>
      <c r="BI417" s="395" t="e">
        <f t="shared" si="219"/>
        <v>#DIV/0!</v>
      </c>
    </row>
    <row r="418" spans="1:61" s="358" customFormat="1" ht="19.2" x14ac:dyDescent="0.3">
      <c r="A418" s="359" t="s">
        <v>268</v>
      </c>
      <c r="B418" s="572" t="s">
        <v>2440</v>
      </c>
      <c r="C418" s="547" t="s">
        <v>2439</v>
      </c>
      <c r="D418" s="360">
        <v>0.4</v>
      </c>
      <c r="E418" s="528"/>
      <c r="F418" s="523"/>
      <c r="G418" s="393"/>
      <c r="H418" s="571"/>
      <c r="I418" s="394"/>
      <c r="J418" s="394"/>
      <c r="K418" s="394"/>
      <c r="L418" s="394"/>
      <c r="M418" s="394"/>
      <c r="N418" s="394"/>
      <c r="O418" s="394"/>
      <c r="P418" s="394"/>
      <c r="Q418" s="394"/>
      <c r="R418" s="381"/>
      <c r="S418" s="408"/>
      <c r="T418" s="385"/>
      <c r="U418" s="475"/>
      <c r="V418" s="395"/>
      <c r="W418" s="395"/>
      <c r="X418" s="528">
        <v>287</v>
      </c>
      <c r="Y418" s="523">
        <v>150</v>
      </c>
      <c r="Z418" s="393">
        <v>150</v>
      </c>
      <c r="AA418" s="571">
        <v>319.45621</v>
      </c>
      <c r="AB418" s="394">
        <v>246.7927</v>
      </c>
      <c r="AC418" s="394">
        <v>89.483729999999994</v>
      </c>
      <c r="AD418" s="394">
        <f>87.88864+50.22208</f>
        <v>138.11071999999999</v>
      </c>
      <c r="AE418" s="394">
        <v>33.60333</v>
      </c>
      <c r="AF418" s="394">
        <v>0</v>
      </c>
      <c r="AG418" s="394">
        <v>0</v>
      </c>
      <c r="AH418" s="394">
        <v>19.14536</v>
      </c>
      <c r="AI418" s="394">
        <v>0.31179000000000001</v>
      </c>
      <c r="AJ418" s="394">
        <v>12.55552</v>
      </c>
      <c r="AK418" s="381" t="s">
        <v>167</v>
      </c>
      <c r="AL418" s="408" t="s">
        <v>175</v>
      </c>
      <c r="AM418" s="385"/>
      <c r="AN418" s="475">
        <v>299</v>
      </c>
      <c r="AO418" s="395">
        <f t="shared" si="266"/>
        <v>1113.0878397212543</v>
      </c>
      <c r="AP418" s="395">
        <f t="shared" si="267"/>
        <v>2.1297080666666668</v>
      </c>
      <c r="AQ418" s="528"/>
      <c r="AR418" s="523"/>
      <c r="AS418" s="393"/>
      <c r="AT418" s="571"/>
      <c r="AU418" s="394"/>
      <c r="AV418" s="394"/>
      <c r="AW418" s="394"/>
      <c r="AX418" s="394"/>
      <c r="AY418" s="394"/>
      <c r="AZ418" s="394"/>
      <c r="BA418" s="394"/>
      <c r="BB418" s="394"/>
      <c r="BC418" s="394"/>
      <c r="BD418" s="381"/>
      <c r="BE418" s="408"/>
      <c r="BF418" s="385"/>
      <c r="BG418" s="475"/>
      <c r="BH418" s="395" t="e">
        <f t="shared" si="218"/>
        <v>#DIV/0!</v>
      </c>
      <c r="BI418" s="395" t="e">
        <f t="shared" si="219"/>
        <v>#DIV/0!</v>
      </c>
    </row>
    <row r="419" spans="1:61" s="358" customFormat="1" ht="19.2" x14ac:dyDescent="0.3">
      <c r="A419" s="359" t="s">
        <v>269</v>
      </c>
      <c r="B419" s="572" t="s">
        <v>2442</v>
      </c>
      <c r="C419" s="547" t="s">
        <v>2441</v>
      </c>
      <c r="D419" s="360">
        <v>0.4</v>
      </c>
      <c r="E419" s="528"/>
      <c r="F419" s="523"/>
      <c r="G419" s="393"/>
      <c r="H419" s="571"/>
      <c r="I419" s="394"/>
      <c r="J419" s="394"/>
      <c r="K419" s="394"/>
      <c r="L419" s="394"/>
      <c r="M419" s="394"/>
      <c r="N419" s="394"/>
      <c r="O419" s="394"/>
      <c r="P419" s="394"/>
      <c r="Q419" s="394"/>
      <c r="R419" s="381"/>
      <c r="S419" s="408"/>
      <c r="T419" s="385"/>
      <c r="U419" s="475"/>
      <c r="V419" s="395"/>
      <c r="W419" s="395"/>
      <c r="X419" s="528">
        <v>90</v>
      </c>
      <c r="Y419" s="523">
        <v>150</v>
      </c>
      <c r="Z419" s="393">
        <v>150</v>
      </c>
      <c r="AA419" s="571">
        <v>79.467110000000005</v>
      </c>
      <c r="AB419" s="394">
        <v>61.542960000000001</v>
      </c>
      <c r="AC419" s="394">
        <v>28.0611</v>
      </c>
      <c r="AD419" s="394">
        <v>25.75066</v>
      </c>
      <c r="AE419" s="394">
        <v>7.9755599999999998</v>
      </c>
      <c r="AF419" s="394">
        <v>0</v>
      </c>
      <c r="AG419" s="394">
        <v>0</v>
      </c>
      <c r="AH419" s="394">
        <v>4.8770899999999999</v>
      </c>
      <c r="AI419" s="394">
        <v>0.31179000000000001</v>
      </c>
      <c r="AJ419" s="394">
        <v>12.87533</v>
      </c>
      <c r="AK419" s="381" t="s">
        <v>167</v>
      </c>
      <c r="AL419" s="408" t="s">
        <v>175</v>
      </c>
      <c r="AM419" s="385"/>
      <c r="AN419" s="475">
        <v>301</v>
      </c>
      <c r="AO419" s="395">
        <f t="shared" si="266"/>
        <v>882.96788888888898</v>
      </c>
      <c r="AP419" s="395">
        <f t="shared" si="267"/>
        <v>0.52978073333333342</v>
      </c>
      <c r="AQ419" s="528"/>
      <c r="AR419" s="523"/>
      <c r="AS419" s="393"/>
      <c r="AT419" s="571"/>
      <c r="AU419" s="394"/>
      <c r="AV419" s="394"/>
      <c r="AW419" s="394"/>
      <c r="AX419" s="394"/>
      <c r="AY419" s="394"/>
      <c r="AZ419" s="394"/>
      <c r="BA419" s="394"/>
      <c r="BB419" s="394"/>
      <c r="BC419" s="394"/>
      <c r="BD419" s="381"/>
      <c r="BE419" s="408"/>
      <c r="BF419" s="385"/>
      <c r="BG419" s="475"/>
      <c r="BH419" s="395" t="e">
        <f t="shared" si="218"/>
        <v>#DIV/0!</v>
      </c>
      <c r="BI419" s="395" t="e">
        <f t="shared" si="219"/>
        <v>#DIV/0!</v>
      </c>
    </row>
    <row r="420" spans="1:61" s="358" customFormat="1" ht="19.2" x14ac:dyDescent="0.3">
      <c r="A420" s="359" t="s">
        <v>270</v>
      </c>
      <c r="B420" s="572" t="s">
        <v>2444</v>
      </c>
      <c r="C420" s="547" t="s">
        <v>2443</v>
      </c>
      <c r="D420" s="360">
        <v>0.4</v>
      </c>
      <c r="E420" s="528"/>
      <c r="F420" s="523"/>
      <c r="G420" s="393"/>
      <c r="H420" s="571"/>
      <c r="I420" s="394"/>
      <c r="J420" s="394"/>
      <c r="K420" s="394"/>
      <c r="L420" s="394"/>
      <c r="M420" s="394"/>
      <c r="N420" s="394"/>
      <c r="O420" s="394"/>
      <c r="P420" s="394"/>
      <c r="Q420" s="394"/>
      <c r="R420" s="381"/>
      <c r="S420" s="408"/>
      <c r="T420" s="385"/>
      <c r="U420" s="475"/>
      <c r="V420" s="395"/>
      <c r="W420" s="395"/>
      <c r="X420" s="528">
        <v>195</v>
      </c>
      <c r="Y420" s="523">
        <v>150</v>
      </c>
      <c r="Z420" s="393">
        <v>150</v>
      </c>
      <c r="AA420" s="571">
        <v>166.47787</v>
      </c>
      <c r="AB420" s="394">
        <v>124.40375</v>
      </c>
      <c r="AC420" s="394">
        <v>60.799050000000001</v>
      </c>
      <c r="AD420" s="394">
        <v>51.50132</v>
      </c>
      <c r="AE420" s="394">
        <v>17.125489999999999</v>
      </c>
      <c r="AF420" s="394">
        <v>0</v>
      </c>
      <c r="AG420" s="394">
        <v>0</v>
      </c>
      <c r="AH420" s="394">
        <v>11.75803</v>
      </c>
      <c r="AI420" s="394">
        <v>0.31179000000000001</v>
      </c>
      <c r="AJ420" s="394">
        <v>12.87533</v>
      </c>
      <c r="AK420" s="381" t="s">
        <v>167</v>
      </c>
      <c r="AL420" s="408" t="s">
        <v>175</v>
      </c>
      <c r="AM420" s="385"/>
      <c r="AN420" s="475">
        <v>303</v>
      </c>
      <c r="AO420" s="395">
        <f t="shared" si="266"/>
        <v>853.73266666666666</v>
      </c>
      <c r="AP420" s="395">
        <f t="shared" si="267"/>
        <v>1.1098524666666667</v>
      </c>
      <c r="AQ420" s="528"/>
      <c r="AR420" s="523"/>
      <c r="AS420" s="393"/>
      <c r="AT420" s="571"/>
      <c r="AU420" s="394"/>
      <c r="AV420" s="394"/>
      <c r="AW420" s="394"/>
      <c r="AX420" s="394"/>
      <c r="AY420" s="394"/>
      <c r="AZ420" s="394"/>
      <c r="BA420" s="394"/>
      <c r="BB420" s="394"/>
      <c r="BC420" s="394"/>
      <c r="BD420" s="381"/>
      <c r="BE420" s="408"/>
      <c r="BF420" s="385"/>
      <c r="BG420" s="475"/>
      <c r="BH420" s="395" t="e">
        <f t="shared" si="218"/>
        <v>#DIV/0!</v>
      </c>
      <c r="BI420" s="395" t="e">
        <f t="shared" si="219"/>
        <v>#DIV/0!</v>
      </c>
    </row>
    <row r="421" spans="1:61" s="358" customFormat="1" ht="19.2" x14ac:dyDescent="0.3">
      <c r="A421" s="359" t="s">
        <v>271</v>
      </c>
      <c r="B421" s="572" t="s">
        <v>2446</v>
      </c>
      <c r="C421" s="547" t="s">
        <v>2445</v>
      </c>
      <c r="D421" s="360">
        <v>0.4</v>
      </c>
      <c r="E421" s="528"/>
      <c r="F421" s="523"/>
      <c r="G421" s="393"/>
      <c r="H421" s="571"/>
      <c r="I421" s="394"/>
      <c r="J421" s="394"/>
      <c r="K421" s="394"/>
      <c r="L421" s="394"/>
      <c r="M421" s="394"/>
      <c r="N421" s="394"/>
      <c r="O421" s="394"/>
      <c r="P421" s="394"/>
      <c r="Q421" s="394"/>
      <c r="R421" s="381"/>
      <c r="S421" s="408"/>
      <c r="T421" s="385"/>
      <c r="U421" s="475"/>
      <c r="V421" s="395"/>
      <c r="W421" s="395"/>
      <c r="X421" s="528">
        <v>115</v>
      </c>
      <c r="Y421" s="523">
        <v>150</v>
      </c>
      <c r="Z421" s="393">
        <v>150</v>
      </c>
      <c r="AA421" s="571">
        <v>181.72846999999999</v>
      </c>
      <c r="AB421" s="394">
        <v>135.54749000000001</v>
      </c>
      <c r="AC421" s="394">
        <v>35.855849999999997</v>
      </c>
      <c r="AD421" s="394">
        <f>38.7444+51.6592</f>
        <v>90.403599999999997</v>
      </c>
      <c r="AE421" s="394">
        <v>21.176870000000001</v>
      </c>
      <c r="AF421" s="394">
        <v>0</v>
      </c>
      <c r="AG421" s="394">
        <v>0</v>
      </c>
      <c r="AH421" s="394">
        <v>12.2577</v>
      </c>
      <c r="AI421" s="394">
        <v>0.31179000000000001</v>
      </c>
      <c r="AJ421" s="394">
        <v>12.9148</v>
      </c>
      <c r="AK421" s="381" t="s">
        <v>167</v>
      </c>
      <c r="AL421" s="408" t="s">
        <v>175</v>
      </c>
      <c r="AM421" s="385"/>
      <c r="AN421" s="475">
        <v>305</v>
      </c>
      <c r="AO421" s="395">
        <f t="shared" si="264"/>
        <v>1580.2475652173912</v>
      </c>
      <c r="AP421" s="395">
        <f t="shared" si="265"/>
        <v>1.2115231333333332</v>
      </c>
      <c r="AQ421" s="528"/>
      <c r="AR421" s="523"/>
      <c r="AS421" s="393"/>
      <c r="AT421" s="571"/>
      <c r="AU421" s="394"/>
      <c r="AV421" s="394"/>
      <c r="AW421" s="394"/>
      <c r="AX421" s="394"/>
      <c r="AY421" s="394"/>
      <c r="AZ421" s="394"/>
      <c r="BA421" s="394"/>
      <c r="BB421" s="394"/>
      <c r="BC421" s="394"/>
      <c r="BD421" s="381"/>
      <c r="BE421" s="408"/>
      <c r="BF421" s="385"/>
      <c r="BG421" s="475"/>
      <c r="BH421" s="395" t="e">
        <f t="shared" si="218"/>
        <v>#DIV/0!</v>
      </c>
      <c r="BI421" s="395" t="e">
        <f t="shared" si="219"/>
        <v>#DIV/0!</v>
      </c>
    </row>
    <row r="422" spans="1:61" s="358" customFormat="1" ht="19.2" x14ac:dyDescent="0.3">
      <c r="A422" s="359" t="s">
        <v>272</v>
      </c>
      <c r="B422" s="572" t="s">
        <v>254</v>
      </c>
      <c r="C422" s="547" t="s">
        <v>2447</v>
      </c>
      <c r="D422" s="360">
        <v>0.4</v>
      </c>
      <c r="E422" s="528"/>
      <c r="F422" s="523"/>
      <c r="G422" s="393"/>
      <c r="H422" s="571"/>
      <c r="I422" s="394"/>
      <c r="J422" s="394"/>
      <c r="K422" s="394"/>
      <c r="L422" s="394"/>
      <c r="M422" s="394"/>
      <c r="N422" s="394"/>
      <c r="O422" s="394"/>
      <c r="P422" s="394"/>
      <c r="Q422" s="394"/>
      <c r="R422" s="381"/>
      <c r="S422" s="408"/>
      <c r="T422" s="385"/>
      <c r="U422" s="475"/>
      <c r="V422" s="395"/>
      <c r="W422" s="395"/>
      <c r="X422" s="528">
        <v>30</v>
      </c>
      <c r="Y422" s="523">
        <v>150</v>
      </c>
      <c r="Z422" s="393">
        <v>150</v>
      </c>
      <c r="AA422" s="571">
        <v>17.397400000000001</v>
      </c>
      <c r="AB422" s="394">
        <v>15.14452</v>
      </c>
      <c r="AC422" s="394">
        <v>9.3536999999999999</v>
      </c>
      <c r="AD422" s="394"/>
      <c r="AE422" s="394">
        <v>1.0011699999999999</v>
      </c>
      <c r="AF422" s="394">
        <v>0</v>
      </c>
      <c r="AG422" s="394">
        <v>0</v>
      </c>
      <c r="AH422" s="394">
        <v>0.62472000000000005</v>
      </c>
      <c r="AI422" s="394">
        <v>0.31179000000000001</v>
      </c>
      <c r="AJ422" s="394"/>
      <c r="AK422" s="381" t="s">
        <v>167</v>
      </c>
      <c r="AL422" s="408" t="s">
        <v>175</v>
      </c>
      <c r="AM422" s="385"/>
      <c r="AN422" s="475">
        <v>307</v>
      </c>
      <c r="AO422" s="395">
        <f t="shared" si="264"/>
        <v>579.91333333333341</v>
      </c>
      <c r="AP422" s="395">
        <f t="shared" si="265"/>
        <v>0.11598266666666668</v>
      </c>
      <c r="AQ422" s="528"/>
      <c r="AR422" s="523"/>
      <c r="AS422" s="393"/>
      <c r="AT422" s="571"/>
      <c r="AU422" s="394"/>
      <c r="AV422" s="394"/>
      <c r="AW422" s="394"/>
      <c r="AX422" s="394"/>
      <c r="AY422" s="394"/>
      <c r="AZ422" s="394"/>
      <c r="BA422" s="394"/>
      <c r="BB422" s="394"/>
      <c r="BC422" s="394"/>
      <c r="BD422" s="381"/>
      <c r="BE422" s="408"/>
      <c r="BF422" s="385"/>
      <c r="BG422" s="475"/>
      <c r="BH422" s="395" t="e">
        <f t="shared" si="218"/>
        <v>#DIV/0!</v>
      </c>
      <c r="BI422" s="395" t="e">
        <f t="shared" si="219"/>
        <v>#DIV/0!</v>
      </c>
    </row>
    <row r="423" spans="1:61" s="358" customFormat="1" ht="19.2" x14ac:dyDescent="0.3">
      <c r="A423" s="359" t="s">
        <v>273</v>
      </c>
      <c r="B423" s="572" t="s">
        <v>2450</v>
      </c>
      <c r="C423" s="547" t="s">
        <v>2449</v>
      </c>
      <c r="D423" s="360">
        <v>0.4</v>
      </c>
      <c r="E423" s="528"/>
      <c r="F423" s="523"/>
      <c r="G423" s="393"/>
      <c r="H423" s="571"/>
      <c r="I423" s="394"/>
      <c r="J423" s="394"/>
      <c r="K423" s="394"/>
      <c r="L423" s="394"/>
      <c r="M423" s="394"/>
      <c r="N423" s="394"/>
      <c r="O423" s="394"/>
      <c r="P423" s="394"/>
      <c r="Q423" s="394"/>
      <c r="R423" s="381"/>
      <c r="S423" s="408"/>
      <c r="T423" s="385"/>
      <c r="U423" s="475"/>
      <c r="V423" s="395"/>
      <c r="W423" s="395"/>
      <c r="X423" s="528">
        <v>765</v>
      </c>
      <c r="Y423" s="523">
        <v>150</v>
      </c>
      <c r="Z423" s="393">
        <v>150</v>
      </c>
      <c r="AA423" s="571">
        <v>505.68223</v>
      </c>
      <c r="AB423" s="394">
        <v>414.98180000000002</v>
      </c>
      <c r="AC423" s="394">
        <v>308.78460000000001</v>
      </c>
      <c r="AD423" s="394">
        <f>12.91563+51.66252</f>
        <v>64.578149999999994</v>
      </c>
      <c r="AE423" s="394">
        <v>40.42604</v>
      </c>
      <c r="AF423" s="394">
        <v>0</v>
      </c>
      <c r="AG423" s="394">
        <v>0</v>
      </c>
      <c r="AH423" s="394">
        <v>24.971399999999999</v>
      </c>
      <c r="AI423" s="394">
        <v>0.40364</v>
      </c>
      <c r="AJ423" s="394">
        <v>12.91563</v>
      </c>
      <c r="AK423" s="381" t="s">
        <v>167</v>
      </c>
      <c r="AL423" s="408" t="s">
        <v>175</v>
      </c>
      <c r="AM423" s="385"/>
      <c r="AN423" s="475">
        <v>308</v>
      </c>
      <c r="AO423" s="395">
        <f t="shared" ref="AO423" si="268">AA423/X423*1000</f>
        <v>661.022522875817</v>
      </c>
      <c r="AP423" s="395">
        <f t="shared" ref="AP423" si="269">AA423/Y423</f>
        <v>3.3712148666666666</v>
      </c>
      <c r="AQ423" s="528"/>
      <c r="AR423" s="523"/>
      <c r="AS423" s="393"/>
      <c r="AT423" s="571"/>
      <c r="AU423" s="394"/>
      <c r="AV423" s="394"/>
      <c r="AW423" s="394"/>
      <c r="AX423" s="394"/>
      <c r="AY423" s="394"/>
      <c r="AZ423" s="394"/>
      <c r="BA423" s="394"/>
      <c r="BB423" s="394"/>
      <c r="BC423" s="394"/>
      <c r="BD423" s="381"/>
      <c r="BE423" s="408"/>
      <c r="BF423" s="385"/>
      <c r="BG423" s="475"/>
      <c r="BH423" s="395" t="e">
        <f t="shared" si="218"/>
        <v>#DIV/0!</v>
      </c>
      <c r="BI423" s="395" t="e">
        <f t="shared" si="219"/>
        <v>#DIV/0!</v>
      </c>
    </row>
    <row r="424" spans="1:61" s="358" customFormat="1" ht="19.2" x14ac:dyDescent="0.3">
      <c r="A424" s="359" t="s">
        <v>274</v>
      </c>
      <c r="B424" s="572" t="s">
        <v>2570</v>
      </c>
      <c r="C424" s="547" t="s">
        <v>2569</v>
      </c>
      <c r="D424" s="360">
        <v>0.4</v>
      </c>
      <c r="E424" s="528"/>
      <c r="F424" s="523"/>
      <c r="G424" s="393"/>
      <c r="H424" s="571"/>
      <c r="I424" s="394"/>
      <c r="J424" s="394"/>
      <c r="K424" s="394"/>
      <c r="L424" s="394"/>
      <c r="M424" s="394"/>
      <c r="N424" s="394"/>
      <c r="O424" s="394"/>
      <c r="P424" s="394"/>
      <c r="Q424" s="394"/>
      <c r="R424" s="381"/>
      <c r="S424" s="408"/>
      <c r="T424" s="385"/>
      <c r="U424" s="475"/>
      <c r="V424" s="395"/>
      <c r="W424" s="395"/>
      <c r="X424" s="528">
        <v>500</v>
      </c>
      <c r="Y424" s="523">
        <v>45</v>
      </c>
      <c r="Z424" s="393">
        <v>45</v>
      </c>
      <c r="AA424" s="571">
        <v>208.79750000000001</v>
      </c>
      <c r="AB424" s="394">
        <v>171.10314</v>
      </c>
      <c r="AC424" s="394">
        <v>155.89500000000001</v>
      </c>
      <c r="AD424" s="394"/>
      <c r="AE424" s="394">
        <v>16.81672</v>
      </c>
      <c r="AF424" s="394">
        <v>0</v>
      </c>
      <c r="AG424" s="394">
        <v>0</v>
      </c>
      <c r="AH424" s="394">
        <v>10.427820000000001</v>
      </c>
      <c r="AI424" s="394">
        <v>0.31179000000000001</v>
      </c>
      <c r="AJ424" s="394"/>
      <c r="AK424" s="381" t="s">
        <v>167</v>
      </c>
      <c r="AL424" s="408" t="s">
        <v>175</v>
      </c>
      <c r="AM424" s="385"/>
      <c r="AN424" s="475">
        <v>310</v>
      </c>
      <c r="AO424" s="395">
        <f t="shared" ref="AO424:AO434" si="270">AA424/X424*1000</f>
        <v>417.59500000000003</v>
      </c>
      <c r="AP424" s="395">
        <f t="shared" ref="AP424:AP434" si="271">AA424/Y424</f>
        <v>4.6399444444444446</v>
      </c>
      <c r="AQ424" s="528"/>
      <c r="AR424" s="523"/>
      <c r="AS424" s="393"/>
      <c r="AT424" s="571"/>
      <c r="AU424" s="394"/>
      <c r="AV424" s="394"/>
      <c r="AW424" s="394"/>
      <c r="AX424" s="394"/>
      <c r="AY424" s="394"/>
      <c r="AZ424" s="394"/>
      <c r="BA424" s="394"/>
      <c r="BB424" s="394"/>
      <c r="BC424" s="394"/>
      <c r="BD424" s="381"/>
      <c r="BE424" s="408"/>
      <c r="BF424" s="385"/>
      <c r="BG424" s="475"/>
      <c r="BH424" s="395" t="e">
        <f t="shared" si="218"/>
        <v>#DIV/0!</v>
      </c>
      <c r="BI424" s="395" t="e">
        <f t="shared" si="219"/>
        <v>#DIV/0!</v>
      </c>
    </row>
    <row r="425" spans="1:61" s="358" customFormat="1" ht="19.2" x14ac:dyDescent="0.3">
      <c r="A425" s="359" t="s">
        <v>275</v>
      </c>
      <c r="B425" s="572" t="s">
        <v>2572</v>
      </c>
      <c r="C425" s="547" t="s">
        <v>2571</v>
      </c>
      <c r="D425" s="360">
        <v>0.4</v>
      </c>
      <c r="E425" s="528"/>
      <c r="F425" s="523"/>
      <c r="G425" s="393"/>
      <c r="H425" s="571"/>
      <c r="I425" s="394"/>
      <c r="J425" s="394"/>
      <c r="K425" s="394"/>
      <c r="L425" s="394"/>
      <c r="M425" s="394"/>
      <c r="N425" s="394"/>
      <c r="O425" s="394"/>
      <c r="P425" s="394"/>
      <c r="Q425" s="394"/>
      <c r="R425" s="381"/>
      <c r="S425" s="408"/>
      <c r="T425" s="385"/>
      <c r="U425" s="475"/>
      <c r="V425" s="395"/>
      <c r="W425" s="395"/>
      <c r="X425" s="528">
        <v>400</v>
      </c>
      <c r="Y425" s="523">
        <v>150</v>
      </c>
      <c r="Z425" s="393">
        <v>150</v>
      </c>
      <c r="AA425" s="571">
        <v>206.00067000000001</v>
      </c>
      <c r="AB425" s="394">
        <v>164.79845</v>
      </c>
      <c r="AC425" s="394">
        <v>124.71599999999999</v>
      </c>
      <c r="AD425" s="394">
        <v>12.55542</v>
      </c>
      <c r="AE425" s="394">
        <v>17.70966</v>
      </c>
      <c r="AF425" s="394">
        <v>0</v>
      </c>
      <c r="AG425" s="394">
        <v>0</v>
      </c>
      <c r="AH425" s="394">
        <v>11.413740000000001</v>
      </c>
      <c r="AI425" s="394">
        <v>0.31179000000000001</v>
      </c>
      <c r="AJ425" s="394">
        <v>12.55542</v>
      </c>
      <c r="AK425" s="381" t="s">
        <v>167</v>
      </c>
      <c r="AL425" s="408" t="s">
        <v>175</v>
      </c>
      <c r="AM425" s="385"/>
      <c r="AN425" s="475">
        <v>311</v>
      </c>
      <c r="AO425" s="395">
        <f t="shared" si="270"/>
        <v>515.00167500000009</v>
      </c>
      <c r="AP425" s="395">
        <f t="shared" si="271"/>
        <v>1.3733378000000001</v>
      </c>
      <c r="AQ425" s="528"/>
      <c r="AR425" s="523"/>
      <c r="AS425" s="393"/>
      <c r="AT425" s="571"/>
      <c r="AU425" s="394"/>
      <c r="AV425" s="394"/>
      <c r="AW425" s="394"/>
      <c r="AX425" s="394"/>
      <c r="AY425" s="394"/>
      <c r="AZ425" s="394"/>
      <c r="BA425" s="394"/>
      <c r="BB425" s="394"/>
      <c r="BC425" s="394"/>
      <c r="BD425" s="381"/>
      <c r="BE425" s="408"/>
      <c r="BF425" s="385"/>
      <c r="BG425" s="475"/>
      <c r="BH425" s="395" t="e">
        <f t="shared" si="218"/>
        <v>#DIV/0!</v>
      </c>
      <c r="BI425" s="395" t="e">
        <f t="shared" si="219"/>
        <v>#DIV/0!</v>
      </c>
    </row>
    <row r="426" spans="1:61" s="358" customFormat="1" ht="19.2" x14ac:dyDescent="0.3">
      <c r="A426" s="359" t="s">
        <v>276</v>
      </c>
      <c r="B426" s="572" t="s">
        <v>2574</v>
      </c>
      <c r="C426" s="547" t="s">
        <v>2573</v>
      </c>
      <c r="D426" s="360">
        <v>0.4</v>
      </c>
      <c r="E426" s="528"/>
      <c r="F426" s="523"/>
      <c r="G426" s="393"/>
      <c r="H426" s="571"/>
      <c r="I426" s="394"/>
      <c r="J426" s="394"/>
      <c r="K426" s="394"/>
      <c r="L426" s="394"/>
      <c r="M426" s="394"/>
      <c r="N426" s="394"/>
      <c r="O426" s="394"/>
      <c r="P426" s="394"/>
      <c r="Q426" s="394"/>
      <c r="R426" s="381"/>
      <c r="S426" s="408"/>
      <c r="T426" s="385"/>
      <c r="U426" s="475"/>
      <c r="V426" s="395"/>
      <c r="W426" s="395"/>
      <c r="X426" s="528">
        <v>540</v>
      </c>
      <c r="Y426" s="523">
        <v>250</v>
      </c>
      <c r="Z426" s="393">
        <v>250</v>
      </c>
      <c r="AA426" s="571">
        <v>346.60960999999998</v>
      </c>
      <c r="AB426" s="394">
        <v>284.02452</v>
      </c>
      <c r="AC426" s="394">
        <v>217.96559999999999</v>
      </c>
      <c r="AD426" s="394">
        <v>38.74689</v>
      </c>
      <c r="AE426" s="394">
        <v>28.387039999999999</v>
      </c>
      <c r="AF426" s="394">
        <v>0</v>
      </c>
      <c r="AG426" s="394">
        <v>0</v>
      </c>
      <c r="AH426" s="394">
        <v>16.943010000000001</v>
      </c>
      <c r="AI426" s="394">
        <v>0.40364</v>
      </c>
      <c r="AJ426" s="394">
        <v>12.91563</v>
      </c>
      <c r="AK426" s="381" t="s">
        <v>167</v>
      </c>
      <c r="AL426" s="408" t="s">
        <v>175</v>
      </c>
      <c r="AM426" s="385"/>
      <c r="AN426" s="475">
        <v>313</v>
      </c>
      <c r="AO426" s="395">
        <f t="shared" si="270"/>
        <v>641.86964814814803</v>
      </c>
      <c r="AP426" s="395">
        <f t="shared" si="271"/>
        <v>1.3864384399999998</v>
      </c>
      <c r="AQ426" s="528"/>
      <c r="AR426" s="523"/>
      <c r="AS426" s="393"/>
      <c r="AT426" s="571"/>
      <c r="AU426" s="394"/>
      <c r="AV426" s="394"/>
      <c r="AW426" s="394"/>
      <c r="AX426" s="394"/>
      <c r="AY426" s="394"/>
      <c r="AZ426" s="394"/>
      <c r="BA426" s="394"/>
      <c r="BB426" s="394"/>
      <c r="BC426" s="394"/>
      <c r="BD426" s="381"/>
      <c r="BE426" s="408"/>
      <c r="BF426" s="385"/>
      <c r="BG426" s="475"/>
      <c r="BH426" s="395" t="e">
        <f t="shared" si="218"/>
        <v>#DIV/0!</v>
      </c>
      <c r="BI426" s="395" t="e">
        <f t="shared" si="219"/>
        <v>#DIV/0!</v>
      </c>
    </row>
    <row r="427" spans="1:61" s="358" customFormat="1" ht="19.2" x14ac:dyDescent="0.3">
      <c r="A427" s="359" t="s">
        <v>277</v>
      </c>
      <c r="B427" s="572" t="s">
        <v>2576</v>
      </c>
      <c r="C427" s="547" t="s">
        <v>2575</v>
      </c>
      <c r="D427" s="360">
        <v>0.4</v>
      </c>
      <c r="E427" s="528"/>
      <c r="F427" s="523"/>
      <c r="G427" s="393"/>
      <c r="H427" s="571"/>
      <c r="I427" s="394"/>
      <c r="J427" s="394"/>
      <c r="K427" s="394"/>
      <c r="L427" s="394"/>
      <c r="M427" s="394"/>
      <c r="N427" s="394"/>
      <c r="O427" s="394"/>
      <c r="P427" s="394"/>
      <c r="Q427" s="394"/>
      <c r="R427" s="381"/>
      <c r="S427" s="408"/>
      <c r="T427" s="385"/>
      <c r="U427" s="475"/>
      <c r="V427" s="395"/>
      <c r="W427" s="395"/>
      <c r="X427" s="528">
        <v>120</v>
      </c>
      <c r="Y427" s="523">
        <v>15</v>
      </c>
      <c r="Z427" s="393">
        <v>15</v>
      </c>
      <c r="AA427" s="571">
        <v>137.71985000000001</v>
      </c>
      <c r="AB427" s="394">
        <v>105.89739</v>
      </c>
      <c r="AC427" s="394">
        <v>48.436799999999998</v>
      </c>
      <c r="AD427" s="394">
        <f>25.89644+25.89644</f>
        <v>51.792879999999997</v>
      </c>
      <c r="AE427" s="394">
        <v>14.92953</v>
      </c>
      <c r="AF427" s="394">
        <v>0</v>
      </c>
      <c r="AG427" s="394">
        <v>0</v>
      </c>
      <c r="AH427" s="394">
        <v>8.2989800000000002</v>
      </c>
      <c r="AI427" s="394">
        <v>0.40364</v>
      </c>
      <c r="AJ427" s="394">
        <v>12.948219999999999</v>
      </c>
      <c r="AK427" s="381" t="s">
        <v>167</v>
      </c>
      <c r="AL427" s="408" t="s">
        <v>175</v>
      </c>
      <c r="AM427" s="385"/>
      <c r="AN427" s="475">
        <v>315</v>
      </c>
      <c r="AO427" s="395">
        <f t="shared" si="270"/>
        <v>1147.6654166666667</v>
      </c>
      <c r="AP427" s="395">
        <f t="shared" si="271"/>
        <v>9.1813233333333333</v>
      </c>
      <c r="AQ427" s="528"/>
      <c r="AR427" s="523"/>
      <c r="AS427" s="393"/>
      <c r="AT427" s="571"/>
      <c r="AU427" s="394"/>
      <c r="AV427" s="394"/>
      <c r="AW427" s="394"/>
      <c r="AX427" s="394"/>
      <c r="AY427" s="394"/>
      <c r="AZ427" s="394"/>
      <c r="BA427" s="394"/>
      <c r="BB427" s="394"/>
      <c r="BC427" s="394"/>
      <c r="BD427" s="381"/>
      <c r="BE427" s="408"/>
      <c r="BF427" s="385"/>
      <c r="BG427" s="475"/>
      <c r="BH427" s="395" t="e">
        <f t="shared" si="218"/>
        <v>#DIV/0!</v>
      </c>
      <c r="BI427" s="395" t="e">
        <f t="shared" si="219"/>
        <v>#DIV/0!</v>
      </c>
    </row>
    <row r="428" spans="1:61" s="358" customFormat="1" ht="19.2" x14ac:dyDescent="0.3">
      <c r="A428" s="359" t="s">
        <v>326</v>
      </c>
      <c r="B428" s="572" t="s">
        <v>302</v>
      </c>
      <c r="C428" s="547" t="s">
        <v>2577</v>
      </c>
      <c r="D428" s="360">
        <v>0.4</v>
      </c>
      <c r="E428" s="528"/>
      <c r="F428" s="523"/>
      <c r="G428" s="393"/>
      <c r="H428" s="571"/>
      <c r="I428" s="394"/>
      <c r="J428" s="394"/>
      <c r="K428" s="394"/>
      <c r="L428" s="394"/>
      <c r="M428" s="394"/>
      <c r="N428" s="394"/>
      <c r="O428" s="394"/>
      <c r="P428" s="394"/>
      <c r="Q428" s="394"/>
      <c r="R428" s="381"/>
      <c r="S428" s="408"/>
      <c r="T428" s="385"/>
      <c r="U428" s="475"/>
      <c r="V428" s="395"/>
      <c r="W428" s="395"/>
      <c r="X428" s="528">
        <v>191</v>
      </c>
      <c r="Y428" s="523">
        <v>150</v>
      </c>
      <c r="Z428" s="393">
        <v>150</v>
      </c>
      <c r="AA428" s="571">
        <v>289.32085999999998</v>
      </c>
      <c r="AB428" s="394">
        <v>220.55211</v>
      </c>
      <c r="AC428" s="394">
        <v>77.095240000000004</v>
      </c>
      <c r="AD428" s="394">
        <f>52.01304+52.01304+28.57304</f>
        <v>132.59912</v>
      </c>
      <c r="AE428" s="394">
        <v>31.279810000000001</v>
      </c>
      <c r="AF428" s="394">
        <v>0</v>
      </c>
      <c r="AG428" s="394">
        <v>0</v>
      </c>
      <c r="AH428" s="394">
        <v>18.332689999999999</v>
      </c>
      <c r="AI428" s="394">
        <v>0.40364</v>
      </c>
      <c r="AJ428" s="394">
        <v>13.003259999999999</v>
      </c>
      <c r="AK428" s="381" t="s">
        <v>167</v>
      </c>
      <c r="AL428" s="408" t="s">
        <v>175</v>
      </c>
      <c r="AM428" s="385"/>
      <c r="AN428" s="475">
        <v>317</v>
      </c>
      <c r="AO428" s="395">
        <f t="shared" si="270"/>
        <v>1514.76890052356</v>
      </c>
      <c r="AP428" s="395">
        <f t="shared" si="271"/>
        <v>1.9288057333333333</v>
      </c>
      <c r="AQ428" s="528"/>
      <c r="AR428" s="523"/>
      <c r="AS428" s="393"/>
      <c r="AT428" s="571"/>
      <c r="AU428" s="394"/>
      <c r="AV428" s="394"/>
      <c r="AW428" s="394"/>
      <c r="AX428" s="394"/>
      <c r="AY428" s="394"/>
      <c r="AZ428" s="394"/>
      <c r="BA428" s="394"/>
      <c r="BB428" s="394"/>
      <c r="BC428" s="394"/>
      <c r="BD428" s="381"/>
      <c r="BE428" s="408"/>
      <c r="BF428" s="385"/>
      <c r="BG428" s="475"/>
      <c r="BH428" s="395" t="e">
        <f t="shared" si="218"/>
        <v>#DIV/0!</v>
      </c>
      <c r="BI428" s="395" t="e">
        <f t="shared" si="219"/>
        <v>#DIV/0!</v>
      </c>
    </row>
    <row r="429" spans="1:61" s="358" customFormat="1" ht="19.2" x14ac:dyDescent="0.3">
      <c r="A429" s="359" t="s">
        <v>327</v>
      </c>
      <c r="B429" s="572" t="s">
        <v>302</v>
      </c>
      <c r="C429" s="547" t="s">
        <v>2578</v>
      </c>
      <c r="D429" s="360">
        <v>0.4</v>
      </c>
      <c r="E429" s="528"/>
      <c r="F429" s="523"/>
      <c r="G429" s="393"/>
      <c r="H429" s="571"/>
      <c r="I429" s="394"/>
      <c r="J429" s="394"/>
      <c r="K429" s="394"/>
      <c r="L429" s="394"/>
      <c r="M429" s="394"/>
      <c r="N429" s="394"/>
      <c r="O429" s="394"/>
      <c r="P429" s="394"/>
      <c r="Q429" s="394"/>
      <c r="R429" s="381"/>
      <c r="S429" s="408"/>
      <c r="T429" s="385"/>
      <c r="U429" s="475"/>
      <c r="V429" s="395"/>
      <c r="W429" s="395"/>
      <c r="X429" s="528">
        <v>191</v>
      </c>
      <c r="Y429" s="523">
        <v>150</v>
      </c>
      <c r="Z429" s="393">
        <v>150</v>
      </c>
      <c r="AA429" s="571">
        <v>102.15455</v>
      </c>
      <c r="AB429" s="394">
        <v>85.518749999999997</v>
      </c>
      <c r="AC429" s="394">
        <v>77.095240000000004</v>
      </c>
      <c r="AD429" s="394"/>
      <c r="AE429" s="394">
        <v>7.0269199999999996</v>
      </c>
      <c r="AF429" s="394">
        <v>0</v>
      </c>
      <c r="AG429" s="394">
        <v>0</v>
      </c>
      <c r="AH429" s="394">
        <v>4.7311100000000001</v>
      </c>
      <c r="AI429" s="394">
        <v>0.40364</v>
      </c>
      <c r="AJ429" s="394"/>
      <c r="AK429" s="381" t="s">
        <v>167</v>
      </c>
      <c r="AL429" s="408" t="s">
        <v>175</v>
      </c>
      <c r="AM429" s="385"/>
      <c r="AN429" s="475">
        <v>319</v>
      </c>
      <c r="AO429" s="395">
        <f t="shared" si="270"/>
        <v>534.84057591623036</v>
      </c>
      <c r="AP429" s="395">
        <f t="shared" si="271"/>
        <v>0.68103033333333329</v>
      </c>
      <c r="AQ429" s="528"/>
      <c r="AR429" s="523"/>
      <c r="AS429" s="393"/>
      <c r="AT429" s="571"/>
      <c r="AU429" s="394"/>
      <c r="AV429" s="394"/>
      <c r="AW429" s="394"/>
      <c r="AX429" s="394"/>
      <c r="AY429" s="394"/>
      <c r="AZ429" s="394"/>
      <c r="BA429" s="394"/>
      <c r="BB429" s="394"/>
      <c r="BC429" s="394"/>
      <c r="BD429" s="381"/>
      <c r="BE429" s="408"/>
      <c r="BF429" s="385"/>
      <c r="BG429" s="475"/>
      <c r="BH429" s="395" t="e">
        <f t="shared" si="218"/>
        <v>#DIV/0!</v>
      </c>
      <c r="BI429" s="395" t="e">
        <f t="shared" si="219"/>
        <v>#DIV/0!</v>
      </c>
    </row>
    <row r="430" spans="1:61" s="358" customFormat="1" ht="28.8" x14ac:dyDescent="0.3">
      <c r="A430" s="359" t="s">
        <v>328</v>
      </c>
      <c r="B430" s="572" t="s">
        <v>2580</v>
      </c>
      <c r="C430" s="547" t="s">
        <v>2579</v>
      </c>
      <c r="D430" s="360">
        <v>0.4</v>
      </c>
      <c r="E430" s="528"/>
      <c r="F430" s="523"/>
      <c r="G430" s="393"/>
      <c r="H430" s="571"/>
      <c r="I430" s="394"/>
      <c r="J430" s="394"/>
      <c r="K430" s="394"/>
      <c r="L430" s="394"/>
      <c r="M430" s="394"/>
      <c r="N430" s="394"/>
      <c r="O430" s="394"/>
      <c r="P430" s="394"/>
      <c r="Q430" s="394"/>
      <c r="R430" s="381"/>
      <c r="S430" s="408"/>
      <c r="T430" s="385"/>
      <c r="U430" s="475"/>
      <c r="V430" s="395"/>
      <c r="W430" s="395"/>
      <c r="X430" s="528">
        <v>90</v>
      </c>
      <c r="Y430" s="523">
        <v>150</v>
      </c>
      <c r="Z430" s="393">
        <v>150</v>
      </c>
      <c r="AA430" s="571">
        <v>72.863720000000001</v>
      </c>
      <c r="AB430" s="394">
        <v>59.774889999999999</v>
      </c>
      <c r="AC430" s="394">
        <v>36.327599999999997</v>
      </c>
      <c r="AD430" s="394">
        <v>13.607229999999999</v>
      </c>
      <c r="AE430" s="394">
        <v>5.9728399999999997</v>
      </c>
      <c r="AF430" s="394">
        <v>0</v>
      </c>
      <c r="AG430" s="394">
        <v>0</v>
      </c>
      <c r="AH430" s="394">
        <v>3.5082599999999999</v>
      </c>
      <c r="AI430" s="394">
        <v>0.40364</v>
      </c>
      <c r="AJ430" s="394">
        <v>13.607229999999999</v>
      </c>
      <c r="AK430" s="381" t="s">
        <v>167</v>
      </c>
      <c r="AL430" s="408" t="s">
        <v>175</v>
      </c>
      <c r="AM430" s="385"/>
      <c r="AN430" s="475">
        <v>320</v>
      </c>
      <c r="AO430" s="395">
        <f t="shared" si="270"/>
        <v>809.59688888888888</v>
      </c>
      <c r="AP430" s="395">
        <f t="shared" si="271"/>
        <v>0.48575813333333334</v>
      </c>
      <c r="AQ430" s="528"/>
      <c r="AR430" s="523"/>
      <c r="AS430" s="393"/>
      <c r="AT430" s="571"/>
      <c r="AU430" s="394"/>
      <c r="AV430" s="394"/>
      <c r="AW430" s="394"/>
      <c r="AX430" s="394"/>
      <c r="AY430" s="394"/>
      <c r="AZ430" s="394"/>
      <c r="BA430" s="394"/>
      <c r="BB430" s="394"/>
      <c r="BC430" s="394"/>
      <c r="BD430" s="381"/>
      <c r="BE430" s="408"/>
      <c r="BF430" s="385"/>
      <c r="BG430" s="475"/>
      <c r="BH430" s="395" t="e">
        <f t="shared" si="218"/>
        <v>#DIV/0!</v>
      </c>
      <c r="BI430" s="395" t="e">
        <f t="shared" si="219"/>
        <v>#DIV/0!</v>
      </c>
    </row>
    <row r="431" spans="1:61" s="358" customFormat="1" ht="19.2" x14ac:dyDescent="0.3">
      <c r="A431" s="359" t="s">
        <v>329</v>
      </c>
      <c r="B431" s="572" t="s">
        <v>2582</v>
      </c>
      <c r="C431" s="547" t="s">
        <v>2581</v>
      </c>
      <c r="D431" s="360">
        <v>0.4</v>
      </c>
      <c r="E431" s="528"/>
      <c r="F431" s="523"/>
      <c r="G431" s="393"/>
      <c r="H431" s="571"/>
      <c r="I431" s="394"/>
      <c r="J431" s="394"/>
      <c r="K431" s="394"/>
      <c r="L431" s="394"/>
      <c r="M431" s="394"/>
      <c r="N431" s="394"/>
      <c r="O431" s="394"/>
      <c r="P431" s="394"/>
      <c r="Q431" s="394"/>
      <c r="R431" s="381"/>
      <c r="S431" s="408"/>
      <c r="T431" s="385"/>
      <c r="U431" s="475"/>
      <c r="V431" s="395"/>
      <c r="W431" s="395"/>
      <c r="X431" s="528">
        <v>75</v>
      </c>
      <c r="Y431" s="523">
        <v>150</v>
      </c>
      <c r="Z431" s="393">
        <v>150</v>
      </c>
      <c r="AA431" s="571">
        <v>80.872889999999998</v>
      </c>
      <c r="AB431" s="394">
        <v>63.169879999999999</v>
      </c>
      <c r="AC431" s="394">
        <v>30.273</v>
      </c>
      <c r="AD431" s="394">
        <v>28.034320000000001</v>
      </c>
      <c r="AE431" s="394">
        <v>8.6169799999999999</v>
      </c>
      <c r="AF431" s="394">
        <v>0</v>
      </c>
      <c r="AG431" s="394">
        <v>0</v>
      </c>
      <c r="AH431" s="394">
        <v>4.4916</v>
      </c>
      <c r="AI431" s="394">
        <v>0.40364</v>
      </c>
      <c r="AJ431" s="394">
        <v>14.017160000000001</v>
      </c>
      <c r="AK431" s="381" t="s">
        <v>167</v>
      </c>
      <c r="AL431" s="408" t="s">
        <v>175</v>
      </c>
      <c r="AM431" s="385"/>
      <c r="AN431" s="475">
        <v>322</v>
      </c>
      <c r="AO431" s="395">
        <f t="shared" si="270"/>
        <v>1078.3052</v>
      </c>
      <c r="AP431" s="395">
        <f t="shared" si="271"/>
        <v>0.53915259999999998</v>
      </c>
      <c r="AQ431" s="528"/>
      <c r="AR431" s="523"/>
      <c r="AS431" s="393"/>
      <c r="AT431" s="571"/>
      <c r="AU431" s="394"/>
      <c r="AV431" s="394"/>
      <c r="AW431" s="394"/>
      <c r="AX431" s="394"/>
      <c r="AY431" s="394"/>
      <c r="AZ431" s="394"/>
      <c r="BA431" s="394"/>
      <c r="BB431" s="394"/>
      <c r="BC431" s="394"/>
      <c r="BD431" s="381"/>
      <c r="BE431" s="408"/>
      <c r="BF431" s="385"/>
      <c r="BG431" s="475"/>
      <c r="BH431" s="395" t="e">
        <f t="shared" si="218"/>
        <v>#DIV/0!</v>
      </c>
      <c r="BI431" s="395" t="e">
        <f t="shared" si="219"/>
        <v>#DIV/0!</v>
      </c>
    </row>
    <row r="432" spans="1:61" s="358" customFormat="1" ht="19.2" x14ac:dyDescent="0.3">
      <c r="A432" s="359" t="s">
        <v>330</v>
      </c>
      <c r="B432" s="572" t="s">
        <v>2584</v>
      </c>
      <c r="C432" s="547" t="s">
        <v>2583</v>
      </c>
      <c r="D432" s="360">
        <v>0.4</v>
      </c>
      <c r="E432" s="528"/>
      <c r="F432" s="523"/>
      <c r="G432" s="393"/>
      <c r="H432" s="571"/>
      <c r="I432" s="394"/>
      <c r="J432" s="394"/>
      <c r="K432" s="394"/>
      <c r="L432" s="394"/>
      <c r="M432" s="394"/>
      <c r="N432" s="394"/>
      <c r="O432" s="394"/>
      <c r="P432" s="394"/>
      <c r="Q432" s="394"/>
      <c r="R432" s="381"/>
      <c r="S432" s="408"/>
      <c r="T432" s="385"/>
      <c r="U432" s="475"/>
      <c r="V432" s="395"/>
      <c r="W432" s="395"/>
      <c r="X432" s="528">
        <v>268</v>
      </c>
      <c r="Y432" s="523">
        <v>15</v>
      </c>
      <c r="Z432" s="393">
        <v>15</v>
      </c>
      <c r="AA432" s="571">
        <v>357.27409</v>
      </c>
      <c r="AB432" s="394">
        <v>273.52787000000001</v>
      </c>
      <c r="AC432" s="394">
        <v>108.17552000000001</v>
      </c>
      <c r="AD432" s="394">
        <f>98.12012+56.06864</f>
        <v>154.18876</v>
      </c>
      <c r="AE432" s="394">
        <v>40.12997</v>
      </c>
      <c r="AF432" s="394">
        <v>0</v>
      </c>
      <c r="AG432" s="394">
        <v>0</v>
      </c>
      <c r="AH432" s="394">
        <v>21.370039999999999</v>
      </c>
      <c r="AI432" s="394">
        <v>0.40364</v>
      </c>
      <c r="AJ432" s="394">
        <v>14.017160000000001</v>
      </c>
      <c r="AK432" s="381" t="s">
        <v>167</v>
      </c>
      <c r="AL432" s="408" t="s">
        <v>175</v>
      </c>
      <c r="AM432" s="385"/>
      <c r="AN432" s="475">
        <v>324</v>
      </c>
      <c r="AO432" s="395">
        <f t="shared" si="270"/>
        <v>1333.1122761194031</v>
      </c>
      <c r="AP432" s="395">
        <f t="shared" si="271"/>
        <v>23.818272666666665</v>
      </c>
      <c r="AQ432" s="528"/>
      <c r="AR432" s="523"/>
      <c r="AS432" s="393"/>
      <c r="AT432" s="571"/>
      <c r="AU432" s="394"/>
      <c r="AV432" s="394"/>
      <c r="AW432" s="394"/>
      <c r="AX432" s="394"/>
      <c r="AY432" s="394"/>
      <c r="AZ432" s="394"/>
      <c r="BA432" s="394"/>
      <c r="BB432" s="394"/>
      <c r="BC432" s="394"/>
      <c r="BD432" s="381"/>
      <c r="BE432" s="408"/>
      <c r="BF432" s="385"/>
      <c r="BG432" s="475"/>
      <c r="BH432" s="395" t="e">
        <f t="shared" si="218"/>
        <v>#DIV/0!</v>
      </c>
      <c r="BI432" s="395" t="e">
        <f t="shared" si="219"/>
        <v>#DIV/0!</v>
      </c>
    </row>
    <row r="433" spans="1:61" s="358" customFormat="1" ht="19.2" x14ac:dyDescent="0.3">
      <c r="A433" s="359" t="s">
        <v>331</v>
      </c>
      <c r="B433" s="572" t="s">
        <v>2586</v>
      </c>
      <c r="C433" s="547" t="s">
        <v>2585</v>
      </c>
      <c r="D433" s="360">
        <v>0.4</v>
      </c>
      <c r="E433" s="528"/>
      <c r="F433" s="523"/>
      <c r="G433" s="393"/>
      <c r="H433" s="571"/>
      <c r="I433" s="394"/>
      <c r="J433" s="394"/>
      <c r="K433" s="394"/>
      <c r="L433" s="394"/>
      <c r="M433" s="394"/>
      <c r="N433" s="394"/>
      <c r="O433" s="394"/>
      <c r="P433" s="394"/>
      <c r="Q433" s="394"/>
      <c r="R433" s="381"/>
      <c r="S433" s="408"/>
      <c r="T433" s="385"/>
      <c r="U433" s="475"/>
      <c r="V433" s="395"/>
      <c r="W433" s="395"/>
      <c r="X433" s="528">
        <v>310</v>
      </c>
      <c r="Y433" s="523">
        <v>15</v>
      </c>
      <c r="Z433" s="393">
        <v>15</v>
      </c>
      <c r="AA433" s="571">
        <v>401.88900000000001</v>
      </c>
      <c r="AB433" s="394">
        <v>309.0009</v>
      </c>
      <c r="AC433" s="394">
        <v>125.1284</v>
      </c>
      <c r="AD433" s="394">
        <f>112.13728+56.06864</f>
        <v>168.20591999999999</v>
      </c>
      <c r="AE433" s="394">
        <v>44.44032</v>
      </c>
      <c r="AF433" s="394">
        <v>0</v>
      </c>
      <c r="AG433" s="394">
        <v>0</v>
      </c>
      <c r="AH433" s="394">
        <v>23.737279999999998</v>
      </c>
      <c r="AI433" s="394">
        <v>0.40364</v>
      </c>
      <c r="AJ433" s="394">
        <v>14.017160000000001</v>
      </c>
      <c r="AK433" s="381" t="s">
        <v>167</v>
      </c>
      <c r="AL433" s="408" t="s">
        <v>175</v>
      </c>
      <c r="AM433" s="385"/>
      <c r="AN433" s="475">
        <v>326</v>
      </c>
      <c r="AO433" s="395">
        <f t="shared" si="270"/>
        <v>1296.4161290322579</v>
      </c>
      <c r="AP433" s="395">
        <f t="shared" si="271"/>
        <v>26.7926</v>
      </c>
      <c r="AQ433" s="528"/>
      <c r="AR433" s="523"/>
      <c r="AS433" s="393"/>
      <c r="AT433" s="571"/>
      <c r="AU433" s="394"/>
      <c r="AV433" s="394"/>
      <c r="AW433" s="394"/>
      <c r="AX433" s="394"/>
      <c r="AY433" s="394"/>
      <c r="AZ433" s="394"/>
      <c r="BA433" s="394"/>
      <c r="BB433" s="394"/>
      <c r="BC433" s="394"/>
      <c r="BD433" s="381"/>
      <c r="BE433" s="408"/>
      <c r="BF433" s="385"/>
      <c r="BG433" s="475"/>
      <c r="BH433" s="395" t="e">
        <f t="shared" si="218"/>
        <v>#DIV/0!</v>
      </c>
      <c r="BI433" s="395" t="e">
        <f t="shared" si="219"/>
        <v>#DIV/0!</v>
      </c>
    </row>
    <row r="434" spans="1:61" s="358" customFormat="1" ht="19.2" x14ac:dyDescent="0.3">
      <c r="A434" s="359" t="s">
        <v>332</v>
      </c>
      <c r="B434" s="572" t="s">
        <v>2588</v>
      </c>
      <c r="C434" s="547" t="s">
        <v>2587</v>
      </c>
      <c r="D434" s="360">
        <v>0.4</v>
      </c>
      <c r="E434" s="528"/>
      <c r="F434" s="523"/>
      <c r="G434" s="393"/>
      <c r="H434" s="571"/>
      <c r="I434" s="394"/>
      <c r="J434" s="394"/>
      <c r="K434" s="394"/>
      <c r="L434" s="394"/>
      <c r="M434" s="394"/>
      <c r="N434" s="394"/>
      <c r="O434" s="394"/>
      <c r="P434" s="394"/>
      <c r="Q434" s="394"/>
      <c r="R434" s="381"/>
      <c r="S434" s="408"/>
      <c r="T434" s="385"/>
      <c r="U434" s="475"/>
      <c r="V434" s="395"/>
      <c r="W434" s="395"/>
      <c r="X434" s="528">
        <v>100</v>
      </c>
      <c r="Y434" s="523">
        <v>15</v>
      </c>
      <c r="Z434" s="393">
        <v>15</v>
      </c>
      <c r="AA434" s="571">
        <v>85.907849999999996</v>
      </c>
      <c r="AB434" s="394">
        <v>67.138450000000006</v>
      </c>
      <c r="AC434" s="394">
        <v>40.363999999999997</v>
      </c>
      <c r="AD434" s="394">
        <v>14.017160000000001</v>
      </c>
      <c r="AE434" s="394">
        <v>8.8638499999999993</v>
      </c>
      <c r="AF434" s="394">
        <v>0</v>
      </c>
      <c r="AG434" s="394">
        <v>0</v>
      </c>
      <c r="AH434" s="394">
        <v>4.8534300000000004</v>
      </c>
      <c r="AI434" s="394">
        <v>0.40364</v>
      </c>
      <c r="AJ434" s="394">
        <v>14.017160000000001</v>
      </c>
      <c r="AK434" s="381" t="s">
        <v>167</v>
      </c>
      <c r="AL434" s="408" t="s">
        <v>175</v>
      </c>
      <c r="AM434" s="385"/>
      <c r="AN434" s="475">
        <v>328</v>
      </c>
      <c r="AO434" s="395">
        <f t="shared" si="270"/>
        <v>859.07849999999996</v>
      </c>
      <c r="AP434" s="395">
        <f t="shared" si="271"/>
        <v>5.7271899999999993</v>
      </c>
      <c r="AQ434" s="528"/>
      <c r="AR434" s="523"/>
      <c r="AS434" s="393"/>
      <c r="AT434" s="571"/>
      <c r="AU434" s="394"/>
      <c r="AV434" s="394"/>
      <c r="AW434" s="394"/>
      <c r="AX434" s="394"/>
      <c r="AY434" s="394"/>
      <c r="AZ434" s="394"/>
      <c r="BA434" s="394"/>
      <c r="BB434" s="394"/>
      <c r="BC434" s="394"/>
      <c r="BD434" s="381"/>
      <c r="BE434" s="408"/>
      <c r="BF434" s="385"/>
      <c r="BG434" s="475"/>
      <c r="BH434" s="395" t="e">
        <f t="shared" si="218"/>
        <v>#DIV/0!</v>
      </c>
      <c r="BI434" s="395" t="e">
        <f t="shared" si="219"/>
        <v>#DIV/0!</v>
      </c>
    </row>
    <row r="435" spans="1:61" s="358" customFormat="1" ht="19.2" x14ac:dyDescent="0.3">
      <c r="A435" s="359" t="s">
        <v>178</v>
      </c>
      <c r="B435" s="602" t="s">
        <v>4258</v>
      </c>
      <c r="C435" s="548" t="s">
        <v>4650</v>
      </c>
      <c r="D435" s="360">
        <v>0.4</v>
      </c>
      <c r="E435" s="528"/>
      <c r="F435" s="523"/>
      <c r="G435" s="393"/>
      <c r="H435" s="394"/>
      <c r="I435" s="394"/>
      <c r="J435" s="394"/>
      <c r="K435" s="394"/>
      <c r="L435" s="394"/>
      <c r="M435" s="394"/>
      <c r="N435" s="394"/>
      <c r="O435" s="394"/>
      <c r="P435" s="394"/>
      <c r="Q435" s="394"/>
      <c r="R435" s="381"/>
      <c r="S435" s="408"/>
      <c r="T435" s="385"/>
      <c r="U435" s="475"/>
      <c r="V435" s="395"/>
      <c r="W435" s="395"/>
      <c r="X435" s="528"/>
      <c r="Y435" s="523"/>
      <c r="Z435" s="393"/>
      <c r="AA435" s="394"/>
      <c r="AB435" s="394"/>
      <c r="AC435" s="394"/>
      <c r="AD435" s="394"/>
      <c r="AE435" s="394"/>
      <c r="AF435" s="394"/>
      <c r="AG435" s="394"/>
      <c r="AH435" s="394"/>
      <c r="AI435" s="394"/>
      <c r="AJ435" s="394"/>
      <c r="AK435" s="381"/>
      <c r="AL435" s="408"/>
      <c r="AM435" s="385"/>
      <c r="AN435" s="475"/>
      <c r="AO435" s="395"/>
      <c r="AP435" s="395"/>
      <c r="AQ435" s="528">
        <v>210</v>
      </c>
      <c r="AR435" s="523">
        <v>15</v>
      </c>
      <c r="AS435" s="393">
        <v>15</v>
      </c>
      <c r="AT435" s="600">
        <v>264.55792000000002</v>
      </c>
      <c r="AU435" s="394">
        <v>239.72773000000001</v>
      </c>
      <c r="AV435" s="394">
        <v>80.325000000000003</v>
      </c>
      <c r="AW435" s="394"/>
      <c r="AX435" s="394"/>
      <c r="AY435" s="394">
        <v>0</v>
      </c>
      <c r="AZ435" s="394">
        <v>0</v>
      </c>
      <c r="BA435" s="394">
        <v>5.7886300000000004</v>
      </c>
      <c r="BB435" s="394">
        <v>0.38250000000000001</v>
      </c>
      <c r="BC435" s="394"/>
      <c r="BD435" s="381" t="s">
        <v>167</v>
      </c>
      <c r="BE435" s="408" t="s">
        <v>175</v>
      </c>
      <c r="BF435" s="385"/>
      <c r="BG435" s="475">
        <v>266</v>
      </c>
      <c r="BH435" s="395">
        <f t="shared" ref="BH435" si="272">AT435/AQ435*1000</f>
        <v>1259.799619047619</v>
      </c>
      <c r="BI435" s="395">
        <f t="shared" ref="BI435" si="273">AT435/AR435</f>
        <v>17.637194666666669</v>
      </c>
    </row>
    <row r="436" spans="1:61" s="358" customFormat="1" ht="19.2" x14ac:dyDescent="0.3">
      <c r="A436" s="359" t="s">
        <v>182</v>
      </c>
      <c r="B436" s="602" t="s">
        <v>4417</v>
      </c>
      <c r="C436" s="548" t="s">
        <v>3472</v>
      </c>
      <c r="D436" s="360">
        <v>0.4</v>
      </c>
      <c r="E436" s="528"/>
      <c r="F436" s="523"/>
      <c r="G436" s="393"/>
      <c r="H436" s="394"/>
      <c r="I436" s="394"/>
      <c r="J436" s="394"/>
      <c r="K436" s="394"/>
      <c r="L436" s="394"/>
      <c r="M436" s="394"/>
      <c r="N436" s="394"/>
      <c r="O436" s="394"/>
      <c r="P436" s="394"/>
      <c r="Q436" s="394"/>
      <c r="R436" s="381"/>
      <c r="S436" s="408"/>
      <c r="T436" s="385"/>
      <c r="U436" s="475"/>
      <c r="V436" s="395"/>
      <c r="W436" s="395"/>
      <c r="X436" s="528"/>
      <c r="Y436" s="523"/>
      <c r="Z436" s="393"/>
      <c r="AA436" s="394"/>
      <c r="AB436" s="394"/>
      <c r="AC436" s="394"/>
      <c r="AD436" s="394"/>
      <c r="AE436" s="394"/>
      <c r="AF436" s="394"/>
      <c r="AG436" s="394"/>
      <c r="AH436" s="394"/>
      <c r="AI436" s="394"/>
      <c r="AJ436" s="394"/>
      <c r="AK436" s="381"/>
      <c r="AL436" s="408"/>
      <c r="AM436" s="385"/>
      <c r="AN436" s="475"/>
      <c r="AO436" s="395"/>
      <c r="AP436" s="395"/>
      <c r="AQ436" s="528">
        <v>75</v>
      </c>
      <c r="AR436" s="523">
        <v>100</v>
      </c>
      <c r="AS436" s="393">
        <v>100</v>
      </c>
      <c r="AT436" s="600">
        <v>40.878540000000001</v>
      </c>
      <c r="AU436" s="394">
        <v>31.406639999999999</v>
      </c>
      <c r="AV436" s="394">
        <v>20.273</v>
      </c>
      <c r="AW436" s="394"/>
      <c r="AX436" s="394"/>
      <c r="AY436" s="394">
        <v>0</v>
      </c>
      <c r="AZ436" s="394">
        <v>0</v>
      </c>
      <c r="BA436" s="394">
        <v>2.20817</v>
      </c>
      <c r="BB436" s="394">
        <v>0.40364</v>
      </c>
      <c r="BC436" s="394"/>
      <c r="BD436" s="381" t="s">
        <v>167</v>
      </c>
      <c r="BE436" s="408" t="s">
        <v>175</v>
      </c>
      <c r="BF436" s="385"/>
      <c r="BG436" s="475">
        <v>267</v>
      </c>
      <c r="BH436" s="395">
        <f t="shared" ref="BH436:BH437" si="274">AT436/AQ436*1000</f>
        <v>545.04720000000009</v>
      </c>
      <c r="BI436" s="395">
        <f t="shared" ref="BI436:BI437" si="275">AT436/AR436</f>
        <v>0.40878540000000002</v>
      </c>
    </row>
    <row r="437" spans="1:61" s="358" customFormat="1" ht="19.2" x14ac:dyDescent="0.3">
      <c r="A437" s="359" t="s">
        <v>184</v>
      </c>
      <c r="B437" s="602" t="s">
        <v>4683</v>
      </c>
      <c r="C437" s="548" t="s">
        <v>4682</v>
      </c>
      <c r="D437" s="360">
        <v>0.4</v>
      </c>
      <c r="E437" s="528"/>
      <c r="F437" s="523"/>
      <c r="G437" s="393"/>
      <c r="H437" s="394"/>
      <c r="I437" s="394"/>
      <c r="J437" s="394"/>
      <c r="K437" s="394"/>
      <c r="L437" s="394"/>
      <c r="M437" s="394"/>
      <c r="N437" s="394"/>
      <c r="O437" s="394"/>
      <c r="P437" s="394"/>
      <c r="Q437" s="394"/>
      <c r="R437" s="381"/>
      <c r="S437" s="408"/>
      <c r="T437" s="385"/>
      <c r="U437" s="475"/>
      <c r="V437" s="395"/>
      <c r="W437" s="395"/>
      <c r="X437" s="528"/>
      <c r="Y437" s="523"/>
      <c r="Z437" s="393"/>
      <c r="AA437" s="394"/>
      <c r="AB437" s="394"/>
      <c r="AC437" s="394"/>
      <c r="AD437" s="394"/>
      <c r="AE437" s="394"/>
      <c r="AF437" s="394"/>
      <c r="AG437" s="394"/>
      <c r="AH437" s="394"/>
      <c r="AI437" s="394"/>
      <c r="AJ437" s="394"/>
      <c r="AK437" s="381"/>
      <c r="AL437" s="408"/>
      <c r="AM437" s="385"/>
      <c r="AN437" s="475"/>
      <c r="AO437" s="395"/>
      <c r="AP437" s="395"/>
      <c r="AQ437" s="528">
        <v>206</v>
      </c>
      <c r="AR437" s="523">
        <v>15</v>
      </c>
      <c r="AS437" s="393">
        <v>15</v>
      </c>
      <c r="AT437" s="600">
        <v>292.28546</v>
      </c>
      <c r="AU437" s="394">
        <v>223.33895000000001</v>
      </c>
      <c r="AV437" s="394">
        <v>78.795000000000002</v>
      </c>
      <c r="AW437" s="394">
        <f>71.99305+57.59444</f>
        <v>129.58749</v>
      </c>
      <c r="AX437" s="394">
        <v>33.946219999999997</v>
      </c>
      <c r="AY437" s="394">
        <v>0</v>
      </c>
      <c r="AZ437" s="394">
        <v>0</v>
      </c>
      <c r="BA437" s="394">
        <v>17.158560000000001</v>
      </c>
      <c r="BB437" s="394">
        <v>0.38250000000000001</v>
      </c>
      <c r="BC437" s="394">
        <v>14.39861</v>
      </c>
      <c r="BD437" s="381" t="s">
        <v>167</v>
      </c>
      <c r="BE437" s="408" t="s">
        <v>175</v>
      </c>
      <c r="BF437" s="385"/>
      <c r="BG437" s="475">
        <v>268</v>
      </c>
      <c r="BH437" s="395">
        <f t="shared" si="274"/>
        <v>1418.8614563106796</v>
      </c>
      <c r="BI437" s="395">
        <f t="shared" si="275"/>
        <v>19.485697333333334</v>
      </c>
    </row>
    <row r="438" spans="1:61" s="358" customFormat="1" ht="19.2" x14ac:dyDescent="0.3">
      <c r="A438" s="359" t="s">
        <v>186</v>
      </c>
      <c r="B438" s="602" t="s">
        <v>4693</v>
      </c>
      <c r="C438" s="548" t="s">
        <v>4694</v>
      </c>
      <c r="D438" s="360">
        <v>0.4</v>
      </c>
      <c r="E438" s="528"/>
      <c r="F438" s="523"/>
      <c r="G438" s="393"/>
      <c r="H438" s="394"/>
      <c r="I438" s="394"/>
      <c r="J438" s="394"/>
      <c r="K438" s="394"/>
      <c r="L438" s="394"/>
      <c r="M438" s="394"/>
      <c r="N438" s="394"/>
      <c r="O438" s="394"/>
      <c r="P438" s="394"/>
      <c r="Q438" s="394"/>
      <c r="R438" s="381"/>
      <c r="S438" s="408"/>
      <c r="T438" s="385"/>
      <c r="U438" s="475"/>
      <c r="V438" s="395"/>
      <c r="W438" s="395"/>
      <c r="X438" s="528"/>
      <c r="Y438" s="523"/>
      <c r="Z438" s="393"/>
      <c r="AA438" s="394"/>
      <c r="AB438" s="394"/>
      <c r="AC438" s="394"/>
      <c r="AD438" s="394"/>
      <c r="AE438" s="394"/>
      <c r="AF438" s="394"/>
      <c r="AG438" s="394"/>
      <c r="AH438" s="394"/>
      <c r="AI438" s="394"/>
      <c r="AJ438" s="394"/>
      <c r="AK438" s="381"/>
      <c r="AL438" s="408"/>
      <c r="AM438" s="385"/>
      <c r="AN438" s="475"/>
      <c r="AO438" s="395"/>
      <c r="AP438" s="395"/>
      <c r="AQ438" s="528">
        <v>92</v>
      </c>
      <c r="AR438" s="523">
        <v>150</v>
      </c>
      <c r="AS438" s="393">
        <v>150</v>
      </c>
      <c r="AT438" s="600">
        <v>127.9063</v>
      </c>
      <c r="AU438" s="394">
        <v>97.878309999999999</v>
      </c>
      <c r="AV438" s="394">
        <v>35.19</v>
      </c>
      <c r="AW438" s="394">
        <f>28.5404+28.5404</f>
        <v>57.080800000000004</v>
      </c>
      <c r="AX438" s="394">
        <v>14.46767</v>
      </c>
      <c r="AY438" s="394">
        <v>0</v>
      </c>
      <c r="AZ438" s="394">
        <v>0</v>
      </c>
      <c r="BA438" s="394">
        <v>7.6333799999999998</v>
      </c>
      <c r="BB438" s="394">
        <v>0.38250000000000001</v>
      </c>
      <c r="BC438" s="394">
        <v>14.270200000000001</v>
      </c>
      <c r="BD438" s="381" t="s">
        <v>167</v>
      </c>
      <c r="BE438" s="408" t="s">
        <v>175</v>
      </c>
      <c r="BF438" s="385"/>
      <c r="BG438" s="475">
        <v>270</v>
      </c>
      <c r="BH438" s="395">
        <f t="shared" ref="BH438:BH440" si="276">AT438/AQ438*1000</f>
        <v>1390.2858695652174</v>
      </c>
      <c r="BI438" s="395">
        <f t="shared" ref="BI438:BI440" si="277">AT438/AR438</f>
        <v>0.85270866666666667</v>
      </c>
    </row>
    <row r="439" spans="1:61" s="358" customFormat="1" ht="19.2" x14ac:dyDescent="0.3">
      <c r="A439" s="359" t="s">
        <v>189</v>
      </c>
      <c r="B439" s="602" t="s">
        <v>4751</v>
      </c>
      <c r="C439" s="548" t="s">
        <v>4750</v>
      </c>
      <c r="D439" s="360">
        <v>0.4</v>
      </c>
      <c r="E439" s="528"/>
      <c r="F439" s="523"/>
      <c r="G439" s="393"/>
      <c r="H439" s="394"/>
      <c r="I439" s="394"/>
      <c r="J439" s="394"/>
      <c r="K439" s="394"/>
      <c r="L439" s="394"/>
      <c r="M439" s="394"/>
      <c r="N439" s="394"/>
      <c r="O439" s="394"/>
      <c r="P439" s="394"/>
      <c r="Q439" s="394"/>
      <c r="R439" s="381"/>
      <c r="S439" s="408"/>
      <c r="T439" s="385"/>
      <c r="U439" s="475"/>
      <c r="V439" s="395"/>
      <c r="W439" s="395"/>
      <c r="X439" s="528"/>
      <c r="Y439" s="523"/>
      <c r="Z439" s="393"/>
      <c r="AA439" s="394"/>
      <c r="AB439" s="394"/>
      <c r="AC439" s="394"/>
      <c r="AD439" s="394"/>
      <c r="AE439" s="394"/>
      <c r="AF439" s="394"/>
      <c r="AG439" s="394"/>
      <c r="AH439" s="394"/>
      <c r="AI439" s="394"/>
      <c r="AJ439" s="394"/>
      <c r="AK439" s="381"/>
      <c r="AL439" s="408"/>
      <c r="AM439" s="385"/>
      <c r="AN439" s="475"/>
      <c r="AO439" s="395"/>
      <c r="AP439" s="395"/>
      <c r="AQ439" s="528">
        <v>378</v>
      </c>
      <c r="AR439" s="523">
        <v>150</v>
      </c>
      <c r="AS439" s="393">
        <v>150</v>
      </c>
      <c r="AT439" s="600">
        <v>379.72685000000001</v>
      </c>
      <c r="AU439" s="394">
        <v>290.62212</v>
      </c>
      <c r="AV439" s="394">
        <v>153.5436</v>
      </c>
      <c r="AW439" s="394">
        <f>97.75503+21.72334</f>
        <v>119.47837000000001</v>
      </c>
      <c r="AX439" s="394">
        <v>32.251460000000002</v>
      </c>
      <c r="AY439" s="394">
        <v>0</v>
      </c>
      <c r="AZ439" s="394">
        <v>0</v>
      </c>
      <c r="BA439" s="394">
        <v>27.852620000000002</v>
      </c>
      <c r="BB439" s="394">
        <v>0.40620000000000001</v>
      </c>
      <c r="BC439" s="394">
        <v>10.86167</v>
      </c>
      <c r="BD439" s="381" t="s">
        <v>167</v>
      </c>
      <c r="BE439" s="408" t="s">
        <v>175</v>
      </c>
      <c r="BF439" s="385"/>
      <c r="BG439" s="475">
        <v>272</v>
      </c>
      <c r="BH439" s="395">
        <f t="shared" ref="BH439" si="278">AT439/AQ439*1000</f>
        <v>1004.5683862433863</v>
      </c>
      <c r="BI439" s="395">
        <f t="shared" ref="BI439" si="279">AT439/AR439</f>
        <v>2.5315123333333336</v>
      </c>
    </row>
    <row r="440" spans="1:61" s="358" customFormat="1" ht="19.2" x14ac:dyDescent="0.3">
      <c r="A440" s="359" t="s">
        <v>267</v>
      </c>
      <c r="B440" s="602" t="s">
        <v>4758</v>
      </c>
      <c r="C440" s="548" t="s">
        <v>4759</v>
      </c>
      <c r="D440" s="360">
        <v>0.4</v>
      </c>
      <c r="E440" s="528"/>
      <c r="F440" s="523"/>
      <c r="G440" s="393"/>
      <c r="H440" s="394"/>
      <c r="I440" s="394"/>
      <c r="J440" s="394"/>
      <c r="K440" s="394"/>
      <c r="L440" s="394"/>
      <c r="M440" s="394"/>
      <c r="N440" s="394"/>
      <c r="O440" s="394"/>
      <c r="P440" s="394"/>
      <c r="Q440" s="394"/>
      <c r="R440" s="381"/>
      <c r="S440" s="408"/>
      <c r="T440" s="385"/>
      <c r="U440" s="475"/>
      <c r="V440" s="395"/>
      <c r="W440" s="395"/>
      <c r="X440" s="528"/>
      <c r="Y440" s="523"/>
      <c r="Z440" s="393"/>
      <c r="AA440" s="394"/>
      <c r="AB440" s="394"/>
      <c r="AC440" s="394"/>
      <c r="AD440" s="394"/>
      <c r="AE440" s="394"/>
      <c r="AF440" s="394"/>
      <c r="AG440" s="394"/>
      <c r="AH440" s="394"/>
      <c r="AI440" s="394"/>
      <c r="AJ440" s="394"/>
      <c r="AK440" s="381"/>
      <c r="AL440" s="408"/>
      <c r="AM440" s="385"/>
      <c r="AN440" s="475"/>
      <c r="AO440" s="395"/>
      <c r="AP440" s="395"/>
      <c r="AQ440" s="528">
        <v>150</v>
      </c>
      <c r="AR440" s="523">
        <v>150</v>
      </c>
      <c r="AS440" s="393">
        <v>150</v>
      </c>
      <c r="AT440" s="600">
        <v>78.286529999999999</v>
      </c>
      <c r="AU440" s="394">
        <v>64.922049999999999</v>
      </c>
      <c r="AV440" s="394">
        <v>57.375</v>
      </c>
      <c r="AW440" s="394"/>
      <c r="AX440" s="394">
        <v>6.2255200000000004</v>
      </c>
      <c r="AY440" s="394">
        <v>0</v>
      </c>
      <c r="AZ440" s="394">
        <v>0</v>
      </c>
      <c r="BA440" s="394">
        <v>3.5657000000000001</v>
      </c>
      <c r="BB440" s="394">
        <v>0.38250000000000001</v>
      </c>
      <c r="BC440" s="394"/>
      <c r="BD440" s="381" t="s">
        <v>167</v>
      </c>
      <c r="BE440" s="408" t="s">
        <v>175</v>
      </c>
      <c r="BF440" s="385"/>
      <c r="BG440" s="475">
        <v>274</v>
      </c>
      <c r="BH440" s="395">
        <f t="shared" si="276"/>
        <v>521.91020000000003</v>
      </c>
      <c r="BI440" s="395">
        <f t="shared" si="277"/>
        <v>0.52191019999999999</v>
      </c>
    </row>
    <row r="441" spans="1:61" s="358" customFormat="1" ht="19.2" x14ac:dyDescent="0.3">
      <c r="A441" s="359" t="s">
        <v>268</v>
      </c>
      <c r="B441" s="602" t="s">
        <v>4802</v>
      </c>
      <c r="C441" s="548" t="s">
        <v>4801</v>
      </c>
      <c r="D441" s="360">
        <v>0.4</v>
      </c>
      <c r="E441" s="528"/>
      <c r="F441" s="523"/>
      <c r="G441" s="393"/>
      <c r="H441" s="394"/>
      <c r="I441" s="394"/>
      <c r="J441" s="394"/>
      <c r="K441" s="394"/>
      <c r="L441" s="394"/>
      <c r="M441" s="394"/>
      <c r="N441" s="394"/>
      <c r="O441" s="394"/>
      <c r="P441" s="394"/>
      <c r="Q441" s="394"/>
      <c r="R441" s="381"/>
      <c r="S441" s="408"/>
      <c r="T441" s="385"/>
      <c r="U441" s="475"/>
      <c r="V441" s="395"/>
      <c r="W441" s="395"/>
      <c r="X441" s="528"/>
      <c r="Y441" s="523"/>
      <c r="Z441" s="393"/>
      <c r="AA441" s="394"/>
      <c r="AB441" s="394"/>
      <c r="AC441" s="394"/>
      <c r="AD441" s="394"/>
      <c r="AE441" s="394"/>
      <c r="AF441" s="394"/>
      <c r="AG441" s="394"/>
      <c r="AH441" s="394"/>
      <c r="AI441" s="394"/>
      <c r="AJ441" s="394"/>
      <c r="AK441" s="381"/>
      <c r="AL441" s="408"/>
      <c r="AM441" s="385"/>
      <c r="AN441" s="475"/>
      <c r="AO441" s="395"/>
      <c r="AP441" s="395"/>
      <c r="AQ441" s="528">
        <v>96</v>
      </c>
      <c r="AR441" s="523">
        <v>50</v>
      </c>
      <c r="AS441" s="393">
        <v>50</v>
      </c>
      <c r="AT441" s="600">
        <v>103.27679000000001</v>
      </c>
      <c r="AU441" s="394">
        <v>79.147310000000004</v>
      </c>
      <c r="AV441" s="394">
        <v>38.995199999999997</v>
      </c>
      <c r="AW441" s="394">
        <f>11.02091+22.04182</f>
        <v>33.062730000000002</v>
      </c>
      <c r="AX441" s="394">
        <v>9.1409500000000001</v>
      </c>
      <c r="AY441" s="394">
        <v>0</v>
      </c>
      <c r="AZ441" s="394">
        <v>0</v>
      </c>
      <c r="BA441" s="394">
        <v>7.3762600000000003</v>
      </c>
      <c r="BB441" s="394">
        <v>0.40620000000000001</v>
      </c>
      <c r="BC441" s="394">
        <v>11.020910000000001</v>
      </c>
      <c r="BD441" s="381" t="s">
        <v>167</v>
      </c>
      <c r="BE441" s="408" t="s">
        <v>175</v>
      </c>
      <c r="BF441" s="385"/>
      <c r="BG441" s="475">
        <v>275</v>
      </c>
      <c r="BH441" s="395">
        <f t="shared" ref="BH441:BH449" si="280">AT441/AQ441*1000</f>
        <v>1075.7998958333335</v>
      </c>
      <c r="BI441" s="395">
        <f t="shared" ref="BI441:BI449" si="281">AT441/AR441</f>
        <v>2.0655358000000001</v>
      </c>
    </row>
    <row r="442" spans="1:61" s="358" customFormat="1" ht="19.2" x14ac:dyDescent="0.3">
      <c r="A442" s="359" t="s">
        <v>269</v>
      </c>
      <c r="B442" s="602" t="s">
        <v>4831</v>
      </c>
      <c r="C442" s="548" t="s">
        <v>4830</v>
      </c>
      <c r="D442" s="360">
        <v>0.4</v>
      </c>
      <c r="E442" s="528"/>
      <c r="F442" s="523"/>
      <c r="G442" s="393"/>
      <c r="H442" s="394"/>
      <c r="I442" s="394"/>
      <c r="J442" s="394"/>
      <c r="K442" s="394"/>
      <c r="L442" s="394"/>
      <c r="M442" s="394"/>
      <c r="N442" s="394"/>
      <c r="O442" s="394"/>
      <c r="P442" s="394"/>
      <c r="Q442" s="394"/>
      <c r="R442" s="381"/>
      <c r="S442" s="408"/>
      <c r="T442" s="385"/>
      <c r="U442" s="475"/>
      <c r="V442" s="395"/>
      <c r="W442" s="395"/>
      <c r="X442" s="528"/>
      <c r="Y442" s="523"/>
      <c r="Z442" s="393"/>
      <c r="AA442" s="394"/>
      <c r="AB442" s="394"/>
      <c r="AC442" s="394"/>
      <c r="AD442" s="394"/>
      <c r="AE442" s="394"/>
      <c r="AF442" s="394"/>
      <c r="AG442" s="394"/>
      <c r="AH442" s="394"/>
      <c r="AI442" s="394"/>
      <c r="AJ442" s="394"/>
      <c r="AK442" s="381"/>
      <c r="AL442" s="408"/>
      <c r="AM442" s="385"/>
      <c r="AN442" s="475"/>
      <c r="AO442" s="395"/>
      <c r="AP442" s="395"/>
      <c r="AQ442" s="528">
        <v>227</v>
      </c>
      <c r="AR442" s="523">
        <v>150</v>
      </c>
      <c r="AS442" s="393">
        <v>150</v>
      </c>
      <c r="AT442" s="600">
        <v>193.83833000000001</v>
      </c>
      <c r="AU442" s="394">
        <v>153.70721</v>
      </c>
      <c r="AV442" s="394">
        <v>92.207400000000007</v>
      </c>
      <c r="AW442" s="394">
        <v>44.891080000000002</v>
      </c>
      <c r="AX442" s="394">
        <v>14.45449</v>
      </c>
      <c r="AY442" s="394">
        <v>0</v>
      </c>
      <c r="AZ442" s="394">
        <v>0</v>
      </c>
      <c r="BA442" s="394">
        <v>12.60746</v>
      </c>
      <c r="BB442" s="394">
        <v>0.40620000000000001</v>
      </c>
      <c r="BC442" s="394">
        <v>11.222770000000001</v>
      </c>
      <c r="BD442" s="381" t="s">
        <v>167</v>
      </c>
      <c r="BE442" s="408" t="s">
        <v>175</v>
      </c>
      <c r="BF442" s="385"/>
      <c r="BG442" s="475">
        <v>277</v>
      </c>
      <c r="BH442" s="395">
        <f t="shared" si="280"/>
        <v>853.91334801762116</v>
      </c>
      <c r="BI442" s="395">
        <f t="shared" si="281"/>
        <v>1.2922555333333334</v>
      </c>
    </row>
    <row r="443" spans="1:61" s="358" customFormat="1" ht="19.2" x14ac:dyDescent="0.3">
      <c r="A443" s="359" t="s">
        <v>270</v>
      </c>
      <c r="B443" s="602" t="s">
        <v>4833</v>
      </c>
      <c r="C443" s="548" t="s">
        <v>4832</v>
      </c>
      <c r="D443" s="360">
        <v>0.4</v>
      </c>
      <c r="E443" s="528"/>
      <c r="F443" s="523"/>
      <c r="G443" s="393"/>
      <c r="H443" s="394"/>
      <c r="I443" s="394"/>
      <c r="J443" s="394"/>
      <c r="K443" s="394"/>
      <c r="L443" s="394"/>
      <c r="M443" s="394"/>
      <c r="N443" s="394"/>
      <c r="O443" s="394"/>
      <c r="P443" s="394"/>
      <c r="Q443" s="394"/>
      <c r="R443" s="381"/>
      <c r="S443" s="408"/>
      <c r="T443" s="385"/>
      <c r="U443" s="475"/>
      <c r="V443" s="395"/>
      <c r="W443" s="395"/>
      <c r="X443" s="528"/>
      <c r="Y443" s="523"/>
      <c r="Z443" s="393"/>
      <c r="AA443" s="394"/>
      <c r="AB443" s="394"/>
      <c r="AC443" s="394"/>
      <c r="AD443" s="394"/>
      <c r="AE443" s="394"/>
      <c r="AF443" s="394"/>
      <c r="AG443" s="394"/>
      <c r="AH443" s="394"/>
      <c r="AI443" s="394"/>
      <c r="AJ443" s="394"/>
      <c r="AK443" s="381"/>
      <c r="AL443" s="408"/>
      <c r="AM443" s="385"/>
      <c r="AN443" s="475"/>
      <c r="AO443" s="395"/>
      <c r="AP443" s="395"/>
      <c r="AQ443" s="528">
        <v>205</v>
      </c>
      <c r="AR443" s="523">
        <v>150</v>
      </c>
      <c r="AS443" s="393">
        <v>150</v>
      </c>
      <c r="AT443" s="600">
        <v>129.79150000000001</v>
      </c>
      <c r="AU443" s="394">
        <v>107.46505999999999</v>
      </c>
      <c r="AV443" s="394">
        <v>83.271000000000001</v>
      </c>
      <c r="AW443" s="394">
        <v>11.20984</v>
      </c>
      <c r="AX443" s="394">
        <v>7.7289399999999997</v>
      </c>
      <c r="AY443" s="394">
        <v>0</v>
      </c>
      <c r="AZ443" s="394">
        <v>0</v>
      </c>
      <c r="BA443" s="394">
        <v>7.2361199999999997</v>
      </c>
      <c r="BB443" s="394">
        <v>0.40620000000000001</v>
      </c>
      <c r="BC443" s="394">
        <v>11.20984</v>
      </c>
      <c r="BD443" s="381" t="s">
        <v>167</v>
      </c>
      <c r="BE443" s="408" t="s">
        <v>175</v>
      </c>
      <c r="BF443" s="385"/>
      <c r="BG443" s="475">
        <v>279</v>
      </c>
      <c r="BH443" s="395">
        <f t="shared" si="280"/>
        <v>633.12926829268304</v>
      </c>
      <c r="BI443" s="395">
        <f t="shared" si="281"/>
        <v>0.8652766666666668</v>
      </c>
    </row>
    <row r="444" spans="1:61" s="358" customFormat="1" ht="19.2" x14ac:dyDescent="0.3">
      <c r="A444" s="359" t="s">
        <v>271</v>
      </c>
      <c r="B444" s="602" t="s">
        <v>2333</v>
      </c>
      <c r="C444" s="548" t="s">
        <v>4834</v>
      </c>
      <c r="D444" s="360">
        <v>0.4</v>
      </c>
      <c r="E444" s="528"/>
      <c r="F444" s="523"/>
      <c r="G444" s="393"/>
      <c r="H444" s="394"/>
      <c r="I444" s="394"/>
      <c r="J444" s="394"/>
      <c r="K444" s="394"/>
      <c r="L444" s="394"/>
      <c r="M444" s="394"/>
      <c r="N444" s="394"/>
      <c r="O444" s="394"/>
      <c r="P444" s="394"/>
      <c r="Q444" s="394"/>
      <c r="R444" s="381"/>
      <c r="S444" s="408"/>
      <c r="T444" s="385"/>
      <c r="U444" s="475"/>
      <c r="V444" s="395"/>
      <c r="W444" s="395"/>
      <c r="X444" s="528"/>
      <c r="Y444" s="523"/>
      <c r="Z444" s="393"/>
      <c r="AA444" s="394"/>
      <c r="AB444" s="394"/>
      <c r="AC444" s="394"/>
      <c r="AD444" s="394"/>
      <c r="AE444" s="394"/>
      <c r="AF444" s="394"/>
      <c r="AG444" s="394"/>
      <c r="AH444" s="394"/>
      <c r="AI444" s="394"/>
      <c r="AJ444" s="394"/>
      <c r="AK444" s="381"/>
      <c r="AL444" s="408"/>
      <c r="AM444" s="385"/>
      <c r="AN444" s="475"/>
      <c r="AO444" s="395"/>
      <c r="AP444" s="395"/>
      <c r="AQ444" s="528">
        <v>74</v>
      </c>
      <c r="AR444" s="523">
        <v>100</v>
      </c>
      <c r="AS444" s="393">
        <v>100</v>
      </c>
      <c r="AT444" s="600">
        <v>126.91036</v>
      </c>
      <c r="AU444" s="394">
        <v>94.040520000000001</v>
      </c>
      <c r="AV444" s="394">
        <v>30.058800000000002</v>
      </c>
      <c r="AW444" s="394">
        <f>33.76014+20</f>
        <v>53.76014</v>
      </c>
      <c r="AX444" s="394">
        <v>12.27195</v>
      </c>
      <c r="AY444" s="394">
        <v>0</v>
      </c>
      <c r="AZ444" s="394">
        <v>0</v>
      </c>
      <c r="BA444" s="394">
        <v>10.017480000000001</v>
      </c>
      <c r="BB444" s="394">
        <v>0.40620000000000001</v>
      </c>
      <c r="BC444" s="394">
        <v>11.25338</v>
      </c>
      <c r="BD444" s="381" t="s">
        <v>167</v>
      </c>
      <c r="BE444" s="408" t="s">
        <v>175</v>
      </c>
      <c r="BF444" s="385"/>
      <c r="BG444" s="475">
        <v>281</v>
      </c>
      <c r="BH444" s="395">
        <f t="shared" ref="BH444" si="282">AT444/AQ444*1000</f>
        <v>1715.0048648648649</v>
      </c>
      <c r="BI444" s="395">
        <f t="shared" ref="BI444" si="283">AT444/AR444</f>
        <v>1.2691036</v>
      </c>
    </row>
    <row r="445" spans="1:61" s="358" customFormat="1" ht="19.2" x14ac:dyDescent="0.3">
      <c r="A445" s="359" t="s">
        <v>272</v>
      </c>
      <c r="B445" s="602" t="s">
        <v>314</v>
      </c>
      <c r="C445" s="548" t="s">
        <v>4845</v>
      </c>
      <c r="D445" s="360">
        <v>0.4</v>
      </c>
      <c r="E445" s="528"/>
      <c r="F445" s="523"/>
      <c r="G445" s="393"/>
      <c r="H445" s="394"/>
      <c r="I445" s="394"/>
      <c r="J445" s="394"/>
      <c r="K445" s="394"/>
      <c r="L445" s="394"/>
      <c r="M445" s="394"/>
      <c r="N445" s="394"/>
      <c r="O445" s="394"/>
      <c r="P445" s="394"/>
      <c r="Q445" s="394"/>
      <c r="R445" s="381"/>
      <c r="S445" s="408"/>
      <c r="T445" s="385"/>
      <c r="U445" s="475"/>
      <c r="V445" s="395"/>
      <c r="W445" s="395"/>
      <c r="X445" s="528"/>
      <c r="Y445" s="523"/>
      <c r="Z445" s="393"/>
      <c r="AA445" s="394"/>
      <c r="AB445" s="394"/>
      <c r="AC445" s="394"/>
      <c r="AD445" s="394"/>
      <c r="AE445" s="394"/>
      <c r="AF445" s="394"/>
      <c r="AG445" s="394"/>
      <c r="AH445" s="394"/>
      <c r="AI445" s="394"/>
      <c r="AJ445" s="394"/>
      <c r="AK445" s="381"/>
      <c r="AL445" s="408"/>
      <c r="AM445" s="385"/>
      <c r="AN445" s="475"/>
      <c r="AO445" s="395"/>
      <c r="AP445" s="395"/>
      <c r="AQ445" s="528">
        <v>870</v>
      </c>
      <c r="AR445" s="523">
        <v>300</v>
      </c>
      <c r="AS445" s="393">
        <v>300</v>
      </c>
      <c r="AT445" s="600">
        <v>750.12334999999996</v>
      </c>
      <c r="AU445" s="394">
        <v>577.47207000000003</v>
      </c>
      <c r="AV445" s="394">
        <v>353.39400000000001</v>
      </c>
      <c r="AW445" s="394">
        <f>33.27201+44.89108+99.81603</f>
        <v>177.97912000000002</v>
      </c>
      <c r="AX445" s="394">
        <v>65.150630000000007</v>
      </c>
      <c r="AY445" s="394">
        <v>0</v>
      </c>
      <c r="AZ445" s="394">
        <v>0</v>
      </c>
      <c r="BA445" s="394">
        <v>53.03772</v>
      </c>
      <c r="BB445" s="394">
        <v>0.40620000000000001</v>
      </c>
      <c r="BC445" s="394">
        <v>11.090669999999999</v>
      </c>
      <c r="BD445" s="381" t="s">
        <v>167</v>
      </c>
      <c r="BE445" s="408" t="s">
        <v>175</v>
      </c>
      <c r="BF445" s="385"/>
      <c r="BG445" s="475">
        <v>284</v>
      </c>
      <c r="BH445" s="395">
        <f t="shared" si="280"/>
        <v>862.21074712643679</v>
      </c>
      <c r="BI445" s="395">
        <f t="shared" si="281"/>
        <v>2.5004111666666664</v>
      </c>
    </row>
    <row r="446" spans="1:61" s="358" customFormat="1" ht="19.2" x14ac:dyDescent="0.3">
      <c r="A446" s="359" t="s">
        <v>273</v>
      </c>
      <c r="B446" s="602" t="s">
        <v>4856</v>
      </c>
      <c r="C446" s="548" t="s">
        <v>4855</v>
      </c>
      <c r="D446" s="360">
        <v>0.4</v>
      </c>
      <c r="E446" s="528"/>
      <c r="F446" s="523"/>
      <c r="G446" s="393"/>
      <c r="H446" s="394"/>
      <c r="I446" s="394"/>
      <c r="J446" s="394"/>
      <c r="K446" s="394"/>
      <c r="L446" s="394"/>
      <c r="M446" s="394"/>
      <c r="N446" s="394"/>
      <c r="O446" s="394"/>
      <c r="P446" s="394"/>
      <c r="Q446" s="394"/>
      <c r="R446" s="381"/>
      <c r="S446" s="408"/>
      <c r="T446" s="385"/>
      <c r="U446" s="475"/>
      <c r="V446" s="395"/>
      <c r="W446" s="395"/>
      <c r="X446" s="528"/>
      <c r="Y446" s="523"/>
      <c r="Z446" s="393"/>
      <c r="AA446" s="394"/>
      <c r="AB446" s="394"/>
      <c r="AC446" s="394"/>
      <c r="AD446" s="394"/>
      <c r="AE446" s="394"/>
      <c r="AF446" s="394"/>
      <c r="AG446" s="394"/>
      <c r="AH446" s="394"/>
      <c r="AI446" s="394"/>
      <c r="AJ446" s="394"/>
      <c r="AK446" s="381"/>
      <c r="AL446" s="408"/>
      <c r="AM446" s="385"/>
      <c r="AN446" s="475"/>
      <c r="AO446" s="395"/>
      <c r="AP446" s="395"/>
      <c r="AQ446" s="528">
        <v>110</v>
      </c>
      <c r="AR446" s="523">
        <v>150</v>
      </c>
      <c r="AS446" s="393">
        <v>150</v>
      </c>
      <c r="AT446" s="600">
        <v>162.56143</v>
      </c>
      <c r="AU446" s="394">
        <v>120.91397000000001</v>
      </c>
      <c r="AV446" s="394">
        <v>44.682000000000002</v>
      </c>
      <c r="AW446" s="394">
        <v>67.514579999999995</v>
      </c>
      <c r="AX446" s="394">
        <v>16.36684</v>
      </c>
      <c r="AY446" s="394">
        <v>0</v>
      </c>
      <c r="AZ446" s="394">
        <v>0</v>
      </c>
      <c r="BA446" s="394">
        <v>12.4597</v>
      </c>
      <c r="BB446" s="394">
        <v>0.40620000000000001</v>
      </c>
      <c r="BC446" s="394">
        <v>11.25243</v>
      </c>
      <c r="BD446" s="381" t="s">
        <v>167</v>
      </c>
      <c r="BE446" s="408" t="s">
        <v>175</v>
      </c>
      <c r="BF446" s="385"/>
      <c r="BG446" s="475">
        <v>286</v>
      </c>
      <c r="BH446" s="395">
        <f t="shared" ref="BH446" si="284">AT446/AQ446*1000</f>
        <v>1477.8311818181817</v>
      </c>
      <c r="BI446" s="395">
        <f t="shared" ref="BI446" si="285">AT446/AR446</f>
        <v>1.0837428666666666</v>
      </c>
    </row>
    <row r="447" spans="1:61" s="358" customFormat="1" ht="19.2" x14ac:dyDescent="0.3">
      <c r="A447" s="359" t="s">
        <v>274</v>
      </c>
      <c r="B447" s="602" t="s">
        <v>4872</v>
      </c>
      <c r="C447" s="548" t="s">
        <v>4871</v>
      </c>
      <c r="D447" s="360">
        <v>0.4</v>
      </c>
      <c r="E447" s="528"/>
      <c r="F447" s="523"/>
      <c r="G447" s="393"/>
      <c r="H447" s="394"/>
      <c r="I447" s="394"/>
      <c r="J447" s="394"/>
      <c r="K447" s="394"/>
      <c r="L447" s="394"/>
      <c r="M447" s="394"/>
      <c r="N447" s="394"/>
      <c r="O447" s="394"/>
      <c r="P447" s="394"/>
      <c r="Q447" s="394"/>
      <c r="R447" s="381"/>
      <c r="S447" s="408"/>
      <c r="T447" s="385"/>
      <c r="U447" s="475"/>
      <c r="V447" s="395"/>
      <c r="W447" s="395"/>
      <c r="X447" s="528"/>
      <c r="Y447" s="523"/>
      <c r="Z447" s="393"/>
      <c r="AA447" s="394"/>
      <c r="AB447" s="394"/>
      <c r="AC447" s="394"/>
      <c r="AD447" s="394"/>
      <c r="AE447" s="394"/>
      <c r="AF447" s="394"/>
      <c r="AG447" s="394"/>
      <c r="AH447" s="394"/>
      <c r="AI447" s="394"/>
      <c r="AJ447" s="394"/>
      <c r="AK447" s="381"/>
      <c r="AL447" s="408"/>
      <c r="AM447" s="385"/>
      <c r="AN447" s="475"/>
      <c r="AO447" s="395"/>
      <c r="AP447" s="395"/>
      <c r="AQ447" s="528">
        <v>85</v>
      </c>
      <c r="AR447" s="523">
        <v>100</v>
      </c>
      <c r="AS447" s="393">
        <v>100</v>
      </c>
      <c r="AT447" s="600">
        <v>79.365840000000006</v>
      </c>
      <c r="AU447" s="394">
        <v>61.554000000000002</v>
      </c>
      <c r="AV447" s="394">
        <v>34.527000000000001</v>
      </c>
      <c r="AW447" s="394">
        <v>22.581880000000002</v>
      </c>
      <c r="AX447" s="394">
        <v>6.54575</v>
      </c>
      <c r="AY447" s="394">
        <v>0</v>
      </c>
      <c r="AZ447" s="394">
        <v>0</v>
      </c>
      <c r="BA447" s="394">
        <v>5.5185599999999999</v>
      </c>
      <c r="BB447" s="394">
        <v>0.40620000000000001</v>
      </c>
      <c r="BC447" s="394">
        <v>11.290940000000001</v>
      </c>
      <c r="BD447" s="381" t="s">
        <v>167</v>
      </c>
      <c r="BE447" s="408" t="s">
        <v>175</v>
      </c>
      <c r="BF447" s="385"/>
      <c r="BG447" s="475">
        <v>288</v>
      </c>
      <c r="BH447" s="395">
        <f t="shared" si="280"/>
        <v>933.71576470588252</v>
      </c>
      <c r="BI447" s="395">
        <f t="shared" si="281"/>
        <v>0.7936584000000001</v>
      </c>
    </row>
    <row r="448" spans="1:61" s="358" customFormat="1" ht="19.2" x14ac:dyDescent="0.3">
      <c r="A448" s="359" t="s">
        <v>275</v>
      </c>
      <c r="B448" s="602" t="s">
        <v>4921</v>
      </c>
      <c r="C448" s="548" t="s">
        <v>4920</v>
      </c>
      <c r="D448" s="360">
        <v>0.4</v>
      </c>
      <c r="E448" s="528"/>
      <c r="F448" s="523"/>
      <c r="G448" s="393"/>
      <c r="H448" s="394"/>
      <c r="I448" s="394"/>
      <c r="J448" s="394"/>
      <c r="K448" s="394"/>
      <c r="L448" s="394"/>
      <c r="M448" s="394"/>
      <c r="N448" s="394"/>
      <c r="O448" s="394"/>
      <c r="P448" s="394"/>
      <c r="Q448" s="394"/>
      <c r="R448" s="381"/>
      <c r="S448" s="408"/>
      <c r="T448" s="385"/>
      <c r="U448" s="475"/>
      <c r="V448" s="395"/>
      <c r="W448" s="395"/>
      <c r="X448" s="528"/>
      <c r="Y448" s="523"/>
      <c r="Z448" s="393"/>
      <c r="AA448" s="394"/>
      <c r="AB448" s="394"/>
      <c r="AC448" s="394"/>
      <c r="AD448" s="394"/>
      <c r="AE448" s="394"/>
      <c r="AF448" s="394"/>
      <c r="AG448" s="394"/>
      <c r="AH448" s="394"/>
      <c r="AI448" s="394"/>
      <c r="AJ448" s="394"/>
      <c r="AK448" s="381"/>
      <c r="AL448" s="408"/>
      <c r="AM448" s="385"/>
      <c r="AN448" s="475"/>
      <c r="AO448" s="395"/>
      <c r="AP448" s="395"/>
      <c r="AQ448" s="528">
        <v>315</v>
      </c>
      <c r="AR448" s="523">
        <v>150</v>
      </c>
      <c r="AS448" s="393">
        <v>150</v>
      </c>
      <c r="AT448" s="600">
        <v>196.43401</v>
      </c>
      <c r="AU448" s="394">
        <v>158.89118999999999</v>
      </c>
      <c r="AV448" s="394">
        <v>125.9118</v>
      </c>
      <c r="AW448" s="394">
        <v>22.58548</v>
      </c>
      <c r="AX448" s="394">
        <v>13.58858</v>
      </c>
      <c r="AY448" s="394">
        <v>0</v>
      </c>
      <c r="AZ448" s="394">
        <v>0</v>
      </c>
      <c r="BA448" s="394">
        <v>11.85501</v>
      </c>
      <c r="BB448" s="394">
        <v>0.39972000000000002</v>
      </c>
      <c r="BC448" s="394">
        <v>11.29274</v>
      </c>
      <c r="BD448" s="381" t="s">
        <v>167</v>
      </c>
      <c r="BE448" s="408" t="s">
        <v>175</v>
      </c>
      <c r="BF448" s="385"/>
      <c r="BG448" s="475">
        <v>290</v>
      </c>
      <c r="BH448" s="395">
        <f t="shared" si="280"/>
        <v>623.60003174603173</v>
      </c>
      <c r="BI448" s="395">
        <f t="shared" si="281"/>
        <v>1.3095600666666667</v>
      </c>
    </row>
    <row r="449" spans="1:61" s="358" customFormat="1" ht="19.2" x14ac:dyDescent="0.3">
      <c r="A449" s="359" t="s">
        <v>276</v>
      </c>
      <c r="B449" s="602" t="s">
        <v>4936</v>
      </c>
      <c r="C449" s="548" t="s">
        <v>4935</v>
      </c>
      <c r="D449" s="360">
        <v>0.4</v>
      </c>
      <c r="E449" s="528"/>
      <c r="F449" s="523"/>
      <c r="G449" s="393"/>
      <c r="H449" s="394"/>
      <c r="I449" s="394"/>
      <c r="J449" s="394"/>
      <c r="K449" s="394"/>
      <c r="L449" s="394"/>
      <c r="M449" s="394"/>
      <c r="N449" s="394"/>
      <c r="O449" s="394"/>
      <c r="P449" s="394"/>
      <c r="Q449" s="394"/>
      <c r="R449" s="381"/>
      <c r="S449" s="408"/>
      <c r="T449" s="385"/>
      <c r="U449" s="475"/>
      <c r="V449" s="395"/>
      <c r="W449" s="395"/>
      <c r="X449" s="528"/>
      <c r="Y449" s="523"/>
      <c r="Z449" s="393"/>
      <c r="AA449" s="394"/>
      <c r="AB449" s="394"/>
      <c r="AC449" s="394"/>
      <c r="AD449" s="394"/>
      <c r="AE449" s="394"/>
      <c r="AF449" s="394"/>
      <c r="AG449" s="394"/>
      <c r="AH449" s="394"/>
      <c r="AI449" s="394"/>
      <c r="AJ449" s="394"/>
      <c r="AK449" s="381"/>
      <c r="AL449" s="408"/>
      <c r="AM449" s="385"/>
      <c r="AN449" s="475"/>
      <c r="AO449" s="395"/>
      <c r="AP449" s="395"/>
      <c r="AQ449" s="528">
        <v>150</v>
      </c>
      <c r="AR449" s="523">
        <v>60</v>
      </c>
      <c r="AS449" s="393">
        <v>60</v>
      </c>
      <c r="AT449" s="600">
        <v>161.98809</v>
      </c>
      <c r="AU449" s="394">
        <v>122.8181</v>
      </c>
      <c r="AV449" s="394">
        <v>59.957999999999998</v>
      </c>
      <c r="AW449" s="394">
        <v>56.554450000000003</v>
      </c>
      <c r="AX449" s="394">
        <v>14.45055</v>
      </c>
      <c r="AY449" s="394">
        <v>0</v>
      </c>
      <c r="AZ449" s="394">
        <v>0</v>
      </c>
      <c r="BA449" s="394">
        <v>12.074540000000001</v>
      </c>
      <c r="BB449" s="394">
        <v>0.39972000000000002</v>
      </c>
      <c r="BC449" s="394">
        <v>11.310890000000001</v>
      </c>
      <c r="BD449" s="381" t="s">
        <v>167</v>
      </c>
      <c r="BE449" s="408" t="s">
        <v>175</v>
      </c>
      <c r="BF449" s="385"/>
      <c r="BG449" s="475">
        <v>292</v>
      </c>
      <c r="BH449" s="395">
        <f t="shared" si="280"/>
        <v>1079.9205999999999</v>
      </c>
      <c r="BI449" s="395">
        <f t="shared" si="281"/>
        <v>2.6998015</v>
      </c>
    </row>
    <row r="450" spans="1:61" s="358" customFormat="1" x14ac:dyDescent="0.3">
      <c r="A450" s="359"/>
      <c r="B450" s="378"/>
      <c r="C450" s="547"/>
      <c r="D450" s="360"/>
      <c r="E450" s="528"/>
      <c r="F450" s="523"/>
      <c r="G450" s="393"/>
      <c r="H450" s="394"/>
      <c r="I450" s="394"/>
      <c r="J450" s="394"/>
      <c r="K450" s="394"/>
      <c r="L450" s="394"/>
      <c r="M450" s="394"/>
      <c r="N450" s="394"/>
      <c r="O450" s="394"/>
      <c r="P450" s="394"/>
      <c r="Q450" s="394"/>
      <c r="R450" s="385"/>
      <c r="S450" s="385"/>
      <c r="T450" s="385"/>
      <c r="U450" s="475"/>
      <c r="V450" s="395" t="e">
        <f t="shared" si="252"/>
        <v>#DIV/0!</v>
      </c>
      <c r="W450" s="395" t="e">
        <f t="shared" si="253"/>
        <v>#DIV/0!</v>
      </c>
      <c r="X450" s="528"/>
      <c r="Y450" s="523"/>
      <c r="Z450" s="393"/>
      <c r="AA450" s="394"/>
      <c r="AB450" s="394"/>
      <c r="AC450" s="394"/>
      <c r="AD450" s="394"/>
      <c r="AE450" s="394"/>
      <c r="AF450" s="394"/>
      <c r="AG450" s="394"/>
      <c r="AH450" s="394"/>
      <c r="AI450" s="394"/>
      <c r="AJ450" s="394"/>
      <c r="AK450" s="385"/>
      <c r="AL450" s="385"/>
      <c r="AM450" s="385"/>
      <c r="AN450" s="475"/>
      <c r="AO450" s="395" t="e">
        <f t="shared" si="216"/>
        <v>#DIV/0!</v>
      </c>
      <c r="AP450" s="395" t="e">
        <f t="shared" si="217"/>
        <v>#DIV/0!</v>
      </c>
      <c r="AQ450" s="528"/>
      <c r="AR450" s="523"/>
      <c r="AS450" s="393"/>
      <c r="AT450" s="394"/>
      <c r="AU450" s="394"/>
      <c r="AV450" s="394"/>
      <c r="AW450" s="394"/>
      <c r="AX450" s="394"/>
      <c r="AY450" s="394"/>
      <c r="AZ450" s="394"/>
      <c r="BA450" s="394"/>
      <c r="BB450" s="394"/>
      <c r="BC450" s="394"/>
      <c r="BD450" s="385"/>
      <c r="BE450" s="385"/>
      <c r="BF450" s="385"/>
      <c r="BG450" s="475"/>
      <c r="BH450" s="395" t="e">
        <f t="shared" si="218"/>
        <v>#DIV/0!</v>
      </c>
      <c r="BI450" s="395" t="e">
        <f t="shared" si="219"/>
        <v>#DIV/0!</v>
      </c>
    </row>
    <row r="451" spans="1:61" s="358" customFormat="1" ht="24.75" customHeight="1" x14ac:dyDescent="0.3">
      <c r="A451" s="354" t="s">
        <v>6311</v>
      </c>
      <c r="B451" s="355" t="s">
        <v>214</v>
      </c>
      <c r="C451" s="587"/>
      <c r="D451" s="356">
        <v>6</v>
      </c>
      <c r="E451" s="389">
        <f t="shared" ref="E451:Q451" si="286">SUM(E452:E455)</f>
        <v>0</v>
      </c>
      <c r="F451" s="389">
        <f t="shared" si="286"/>
        <v>0</v>
      </c>
      <c r="G451" s="389">
        <f t="shared" si="286"/>
        <v>0</v>
      </c>
      <c r="H451" s="390">
        <f t="shared" si="286"/>
        <v>0</v>
      </c>
      <c r="I451" s="390">
        <f t="shared" si="286"/>
        <v>0</v>
      </c>
      <c r="J451" s="390">
        <f t="shared" si="286"/>
        <v>0</v>
      </c>
      <c r="K451" s="390">
        <f t="shared" si="286"/>
        <v>0</v>
      </c>
      <c r="L451" s="390">
        <f t="shared" si="286"/>
        <v>0</v>
      </c>
      <c r="M451" s="390">
        <f t="shared" si="286"/>
        <v>0</v>
      </c>
      <c r="N451" s="390">
        <f t="shared" si="286"/>
        <v>0</v>
      </c>
      <c r="O451" s="390">
        <f t="shared" si="286"/>
        <v>0</v>
      </c>
      <c r="P451" s="390">
        <f t="shared" si="286"/>
        <v>0</v>
      </c>
      <c r="Q451" s="390">
        <f t="shared" si="286"/>
        <v>0</v>
      </c>
      <c r="R451" s="391"/>
      <c r="S451" s="391"/>
      <c r="T451" s="391"/>
      <c r="U451" s="474"/>
      <c r="V451" s="392" t="e">
        <f t="shared" si="252"/>
        <v>#DIV/0!</v>
      </c>
      <c r="W451" s="392" t="e">
        <f t="shared" si="253"/>
        <v>#DIV/0!</v>
      </c>
      <c r="X451" s="389">
        <f t="shared" ref="X451:AJ451" si="287">SUM(X452:X455)</f>
        <v>0</v>
      </c>
      <c r="Y451" s="389">
        <f t="shared" si="287"/>
        <v>0</v>
      </c>
      <c r="Z451" s="389">
        <f t="shared" si="287"/>
        <v>0</v>
      </c>
      <c r="AA451" s="390">
        <f t="shared" si="287"/>
        <v>0</v>
      </c>
      <c r="AB451" s="390">
        <f t="shared" si="287"/>
        <v>0</v>
      </c>
      <c r="AC451" s="390">
        <f t="shared" si="287"/>
        <v>0</v>
      </c>
      <c r="AD451" s="390">
        <f t="shared" si="287"/>
        <v>0</v>
      </c>
      <c r="AE451" s="390">
        <f t="shared" si="287"/>
        <v>0</v>
      </c>
      <c r="AF451" s="390">
        <f t="shared" si="287"/>
        <v>0</v>
      </c>
      <c r="AG451" s="390">
        <f t="shared" si="287"/>
        <v>0</v>
      </c>
      <c r="AH451" s="390">
        <f t="shared" si="287"/>
        <v>0</v>
      </c>
      <c r="AI451" s="390">
        <f t="shared" si="287"/>
        <v>0</v>
      </c>
      <c r="AJ451" s="390">
        <f t="shared" si="287"/>
        <v>0</v>
      </c>
      <c r="AK451" s="391"/>
      <c r="AL451" s="391"/>
      <c r="AM451" s="391"/>
      <c r="AN451" s="474"/>
      <c r="AO451" s="392" t="e">
        <f t="shared" si="216"/>
        <v>#DIV/0!</v>
      </c>
      <c r="AP451" s="392" t="e">
        <f t="shared" si="217"/>
        <v>#DIV/0!</v>
      </c>
      <c r="AQ451" s="389">
        <f t="shared" ref="AQ451:BC451" si="288">SUM(AQ452:AQ455)</f>
        <v>0</v>
      </c>
      <c r="AR451" s="389">
        <f t="shared" si="288"/>
        <v>0</v>
      </c>
      <c r="AS451" s="389">
        <f t="shared" si="288"/>
        <v>0</v>
      </c>
      <c r="AT451" s="390">
        <f t="shared" si="288"/>
        <v>0</v>
      </c>
      <c r="AU451" s="390">
        <f t="shared" si="288"/>
        <v>0</v>
      </c>
      <c r="AV451" s="390">
        <f t="shared" si="288"/>
        <v>0</v>
      </c>
      <c r="AW451" s="390">
        <f t="shared" si="288"/>
        <v>0</v>
      </c>
      <c r="AX451" s="390">
        <f t="shared" si="288"/>
        <v>0</v>
      </c>
      <c r="AY451" s="390">
        <f t="shared" si="288"/>
        <v>0</v>
      </c>
      <c r="AZ451" s="390">
        <f t="shared" si="288"/>
        <v>0</v>
      </c>
      <c r="BA451" s="390">
        <f t="shared" si="288"/>
        <v>0</v>
      </c>
      <c r="BB451" s="390">
        <f t="shared" si="288"/>
        <v>0</v>
      </c>
      <c r="BC451" s="390">
        <f t="shared" si="288"/>
        <v>0</v>
      </c>
      <c r="BD451" s="391"/>
      <c r="BE451" s="391"/>
      <c r="BF451" s="391"/>
      <c r="BG451" s="474"/>
      <c r="BH451" s="392" t="e">
        <f t="shared" si="218"/>
        <v>#DIV/0!</v>
      </c>
      <c r="BI451" s="392" t="e">
        <f t="shared" si="219"/>
        <v>#DIV/0!</v>
      </c>
    </row>
    <row r="452" spans="1:61" s="358" customFormat="1" x14ac:dyDescent="0.3">
      <c r="A452" s="359"/>
      <c r="B452" s="537"/>
      <c r="C452" s="546"/>
      <c r="D452" s="360"/>
      <c r="E452" s="528"/>
      <c r="F452" s="523"/>
      <c r="G452" s="393"/>
      <c r="H452" s="542"/>
      <c r="I452" s="394"/>
      <c r="J452" s="394"/>
      <c r="K452" s="394"/>
      <c r="L452" s="394"/>
      <c r="M452" s="394"/>
      <c r="N452" s="394"/>
      <c r="O452" s="394"/>
      <c r="P452" s="394"/>
      <c r="Q452" s="394"/>
      <c r="R452" s="381"/>
      <c r="S452" s="408"/>
      <c r="T452" s="385"/>
      <c r="U452" s="475"/>
      <c r="V452" s="395"/>
      <c r="W452" s="395"/>
      <c r="X452" s="528"/>
      <c r="Y452" s="523"/>
      <c r="Z452" s="393"/>
      <c r="AA452" s="542"/>
      <c r="AB452" s="394"/>
      <c r="AC452" s="394"/>
      <c r="AD452" s="394"/>
      <c r="AE452" s="394"/>
      <c r="AF452" s="394"/>
      <c r="AG452" s="394"/>
      <c r="AH452" s="394"/>
      <c r="AI452" s="394"/>
      <c r="AJ452" s="394"/>
      <c r="AK452" s="381"/>
      <c r="AL452" s="408"/>
      <c r="AM452" s="385"/>
      <c r="AN452" s="475"/>
      <c r="AO452" s="392" t="e">
        <f t="shared" ref="AO452:AO453" si="289">AA452/X452*1000</f>
        <v>#DIV/0!</v>
      </c>
      <c r="AP452" s="392" t="e">
        <f t="shared" ref="AP452:AP453" si="290">AA452/Y452</f>
        <v>#DIV/0!</v>
      </c>
      <c r="AQ452" s="528"/>
      <c r="AR452" s="523"/>
      <c r="AS452" s="393"/>
      <c r="AT452" s="542"/>
      <c r="AU452" s="394"/>
      <c r="AV452" s="394"/>
      <c r="AW452" s="394"/>
      <c r="AX452" s="394"/>
      <c r="AY452" s="394"/>
      <c r="AZ452" s="394"/>
      <c r="BA452" s="394"/>
      <c r="BB452" s="394"/>
      <c r="BC452" s="394"/>
      <c r="BD452" s="381"/>
      <c r="BE452" s="408"/>
      <c r="BF452" s="385"/>
      <c r="BG452" s="475"/>
      <c r="BH452" s="395" t="e">
        <f t="shared" ref="BH452:BH505" si="291">AT452/AQ452*1000</f>
        <v>#DIV/0!</v>
      </c>
      <c r="BI452" s="395" t="e">
        <f t="shared" ref="BI452:BI505" si="292">AT452/AR452</f>
        <v>#DIV/0!</v>
      </c>
    </row>
    <row r="453" spans="1:61" s="358" customFormat="1" ht="15.6" customHeight="1" x14ac:dyDescent="0.3">
      <c r="A453" s="359"/>
      <c r="B453" s="572"/>
      <c r="C453" s="546"/>
      <c r="D453" s="360"/>
      <c r="E453" s="528"/>
      <c r="F453" s="523"/>
      <c r="G453" s="393"/>
      <c r="H453" s="571"/>
      <c r="I453" s="394"/>
      <c r="J453" s="394"/>
      <c r="K453" s="394"/>
      <c r="L453" s="394"/>
      <c r="M453" s="394"/>
      <c r="N453" s="394"/>
      <c r="O453" s="394"/>
      <c r="P453" s="394"/>
      <c r="Q453" s="394"/>
      <c r="R453" s="381"/>
      <c r="S453" s="408"/>
      <c r="T453" s="385"/>
      <c r="U453" s="475"/>
      <c r="V453" s="395"/>
      <c r="W453" s="395"/>
      <c r="X453" s="528"/>
      <c r="Y453" s="523"/>
      <c r="Z453" s="393"/>
      <c r="AA453" s="571"/>
      <c r="AB453" s="394"/>
      <c r="AC453" s="394"/>
      <c r="AD453" s="394"/>
      <c r="AE453" s="394"/>
      <c r="AF453" s="394"/>
      <c r="AG453" s="394"/>
      <c r="AH453" s="394"/>
      <c r="AI453" s="394"/>
      <c r="AJ453" s="394"/>
      <c r="AK453" s="381"/>
      <c r="AL453" s="408"/>
      <c r="AM453" s="385"/>
      <c r="AN453" s="475"/>
      <c r="AO453" s="392" t="e">
        <f t="shared" si="289"/>
        <v>#DIV/0!</v>
      </c>
      <c r="AP453" s="392" t="e">
        <f t="shared" si="290"/>
        <v>#DIV/0!</v>
      </c>
      <c r="AQ453" s="528"/>
      <c r="AR453" s="523"/>
      <c r="AS453" s="393"/>
      <c r="AT453" s="571"/>
      <c r="AU453" s="394"/>
      <c r="AV453" s="394"/>
      <c r="AW453" s="394"/>
      <c r="AX453" s="394"/>
      <c r="AY453" s="394"/>
      <c r="AZ453" s="394"/>
      <c r="BA453" s="394"/>
      <c r="BB453" s="394"/>
      <c r="BC453" s="394"/>
      <c r="BD453" s="381"/>
      <c r="BE453" s="408"/>
      <c r="BF453" s="385"/>
      <c r="BG453" s="475"/>
      <c r="BH453" s="395" t="e">
        <f t="shared" si="291"/>
        <v>#DIV/0!</v>
      </c>
      <c r="BI453" s="395" t="e">
        <f t="shared" si="292"/>
        <v>#DIV/0!</v>
      </c>
    </row>
    <row r="454" spans="1:61" s="358" customFormat="1" x14ac:dyDescent="0.3">
      <c r="A454" s="359"/>
      <c r="B454" s="602"/>
      <c r="C454" s="548"/>
      <c r="D454" s="360"/>
      <c r="E454" s="528"/>
      <c r="F454" s="523"/>
      <c r="G454" s="393"/>
      <c r="H454" s="394"/>
      <c r="I454" s="394"/>
      <c r="J454" s="394"/>
      <c r="K454" s="394"/>
      <c r="L454" s="394"/>
      <c r="M454" s="394"/>
      <c r="N454" s="394"/>
      <c r="O454" s="394"/>
      <c r="P454" s="394"/>
      <c r="Q454" s="394"/>
      <c r="R454" s="381"/>
      <c r="S454" s="408"/>
      <c r="T454" s="385"/>
      <c r="U454" s="475"/>
      <c r="V454" s="395"/>
      <c r="W454" s="395"/>
      <c r="X454" s="528"/>
      <c r="Y454" s="523"/>
      <c r="Z454" s="393"/>
      <c r="AA454" s="394"/>
      <c r="AB454" s="394"/>
      <c r="AC454" s="394"/>
      <c r="AD454" s="394"/>
      <c r="AE454" s="394"/>
      <c r="AF454" s="394"/>
      <c r="AG454" s="394"/>
      <c r="AH454" s="394"/>
      <c r="AI454" s="394"/>
      <c r="AJ454" s="394"/>
      <c r="AK454" s="381"/>
      <c r="AL454" s="408"/>
      <c r="AM454" s="385"/>
      <c r="AN454" s="475"/>
      <c r="AO454" s="395"/>
      <c r="AP454" s="395"/>
      <c r="AQ454" s="528"/>
      <c r="AR454" s="523"/>
      <c r="AS454" s="393"/>
      <c r="AT454" s="600"/>
      <c r="AU454" s="394"/>
      <c r="AV454" s="394"/>
      <c r="AW454" s="394"/>
      <c r="AX454" s="394"/>
      <c r="AY454" s="394"/>
      <c r="AZ454" s="394"/>
      <c r="BA454" s="394"/>
      <c r="BB454" s="394"/>
      <c r="BC454" s="394"/>
      <c r="BD454" s="381"/>
      <c r="BE454" s="408"/>
      <c r="BF454" s="385"/>
      <c r="BG454" s="475"/>
      <c r="BH454" s="395"/>
      <c r="BI454" s="395"/>
    </row>
    <row r="455" spans="1:61" s="358" customFormat="1" x14ac:dyDescent="0.3">
      <c r="A455" s="359"/>
      <c r="B455" s="378"/>
      <c r="C455" s="546"/>
      <c r="D455" s="360"/>
      <c r="E455" s="528"/>
      <c r="F455" s="523"/>
      <c r="G455" s="393"/>
      <c r="H455" s="394"/>
      <c r="I455" s="394"/>
      <c r="J455" s="394"/>
      <c r="K455" s="394"/>
      <c r="L455" s="394"/>
      <c r="M455" s="394"/>
      <c r="N455" s="394"/>
      <c r="O455" s="394"/>
      <c r="P455" s="394"/>
      <c r="Q455" s="394"/>
      <c r="R455" s="385"/>
      <c r="S455" s="385"/>
      <c r="T455" s="385"/>
      <c r="U455" s="475"/>
      <c r="V455" s="395" t="e">
        <f t="shared" si="252"/>
        <v>#DIV/0!</v>
      </c>
      <c r="W455" s="395" t="e">
        <f t="shared" si="253"/>
        <v>#DIV/0!</v>
      </c>
      <c r="X455" s="528"/>
      <c r="Y455" s="523"/>
      <c r="Z455" s="393"/>
      <c r="AA455" s="394"/>
      <c r="AB455" s="394"/>
      <c r="AC455" s="394"/>
      <c r="AD455" s="394"/>
      <c r="AE455" s="394"/>
      <c r="AF455" s="394"/>
      <c r="AG455" s="394"/>
      <c r="AH455" s="394"/>
      <c r="AI455" s="394"/>
      <c r="AJ455" s="394"/>
      <c r="AK455" s="385"/>
      <c r="AL455" s="385"/>
      <c r="AM455" s="385"/>
      <c r="AN455" s="475"/>
      <c r="AO455" s="395" t="e">
        <f t="shared" ref="AO455:AO591" si="293">AA455/X455*1000</f>
        <v>#DIV/0!</v>
      </c>
      <c r="AP455" s="395" t="e">
        <f t="shared" ref="AP455:AP591" si="294">AA455/Y455</f>
        <v>#DIV/0!</v>
      </c>
      <c r="AQ455" s="528"/>
      <c r="AR455" s="523"/>
      <c r="AS455" s="393"/>
      <c r="AT455" s="394"/>
      <c r="AU455" s="394"/>
      <c r="AV455" s="394"/>
      <c r="AW455" s="394"/>
      <c r="AX455" s="394"/>
      <c r="AY455" s="394"/>
      <c r="AZ455" s="394"/>
      <c r="BA455" s="394"/>
      <c r="BB455" s="394"/>
      <c r="BC455" s="394"/>
      <c r="BD455" s="385"/>
      <c r="BE455" s="385"/>
      <c r="BF455" s="385"/>
      <c r="BG455" s="475"/>
      <c r="BH455" s="395" t="e">
        <f t="shared" si="291"/>
        <v>#DIV/0!</v>
      </c>
      <c r="BI455" s="395" t="e">
        <f t="shared" si="292"/>
        <v>#DIV/0!</v>
      </c>
    </row>
    <row r="456" spans="1:61" s="358" customFormat="1" ht="24.75" customHeight="1" x14ac:dyDescent="0.3">
      <c r="A456" s="354" t="s">
        <v>6311</v>
      </c>
      <c r="B456" s="355" t="s">
        <v>215</v>
      </c>
      <c r="C456" s="587"/>
      <c r="D456" s="356">
        <v>6</v>
      </c>
      <c r="E456" s="389">
        <f t="shared" ref="E456:Q456" si="295">SUM(E457:E471)</f>
        <v>1428</v>
      </c>
      <c r="F456" s="389">
        <f t="shared" si="295"/>
        <v>560</v>
      </c>
      <c r="G456" s="389">
        <f t="shared" si="295"/>
        <v>560</v>
      </c>
      <c r="H456" s="390">
        <f t="shared" si="295"/>
        <v>2562.8755000000001</v>
      </c>
      <c r="I456" s="390">
        <f t="shared" si="295"/>
        <v>2106.2344600000001</v>
      </c>
      <c r="J456" s="390">
        <f t="shared" si="295"/>
        <v>421.54514000000006</v>
      </c>
      <c r="K456" s="390">
        <f t="shared" si="295"/>
        <v>494.7355</v>
      </c>
      <c r="L456" s="390">
        <f t="shared" si="295"/>
        <v>158.07972999999998</v>
      </c>
      <c r="M456" s="390">
        <f t="shared" si="295"/>
        <v>0</v>
      </c>
      <c r="N456" s="390">
        <f t="shared" si="295"/>
        <v>0</v>
      </c>
      <c r="O456" s="390">
        <f t="shared" si="295"/>
        <v>130.36043999999998</v>
      </c>
      <c r="P456" s="390">
        <f t="shared" si="295"/>
        <v>295</v>
      </c>
      <c r="Q456" s="390">
        <f t="shared" si="295"/>
        <v>33.50723</v>
      </c>
      <c r="R456" s="391"/>
      <c r="S456" s="391"/>
      <c r="T456" s="391"/>
      <c r="U456" s="474"/>
      <c r="V456" s="392">
        <f t="shared" si="252"/>
        <v>1794.7307422969188</v>
      </c>
      <c r="W456" s="392">
        <f t="shared" si="253"/>
        <v>4.5765633928571434</v>
      </c>
      <c r="X456" s="389">
        <f t="shared" ref="X456:AJ456" si="296">SUM(X457:X471)</f>
        <v>964</v>
      </c>
      <c r="Y456" s="389">
        <f t="shared" si="296"/>
        <v>767</v>
      </c>
      <c r="Z456" s="389">
        <f t="shared" si="296"/>
        <v>767</v>
      </c>
      <c r="AA456" s="390">
        <f t="shared" si="296"/>
        <v>1439.71291</v>
      </c>
      <c r="AB456" s="390">
        <f t="shared" si="296"/>
        <v>1188.76756</v>
      </c>
      <c r="AC456" s="390">
        <f t="shared" si="296"/>
        <v>354.70800000000003</v>
      </c>
      <c r="AD456" s="390">
        <f t="shared" si="296"/>
        <v>426.67307</v>
      </c>
      <c r="AE456" s="390">
        <f t="shared" si="296"/>
        <v>114.19421</v>
      </c>
      <c r="AF456" s="390">
        <f t="shared" si="296"/>
        <v>0</v>
      </c>
      <c r="AG456" s="390">
        <f t="shared" si="296"/>
        <v>0</v>
      </c>
      <c r="AH456" s="390">
        <f t="shared" si="296"/>
        <v>65.342159999999993</v>
      </c>
      <c r="AI456" s="390">
        <f t="shared" si="296"/>
        <v>0.59867999999999999</v>
      </c>
      <c r="AJ456" s="390">
        <f t="shared" si="296"/>
        <v>52.877410000000005</v>
      </c>
      <c r="AK456" s="391"/>
      <c r="AL456" s="391"/>
      <c r="AM456" s="391"/>
      <c r="AN456" s="474"/>
      <c r="AO456" s="392">
        <f t="shared" si="293"/>
        <v>1493.4781224066389</v>
      </c>
      <c r="AP456" s="392">
        <f t="shared" si="294"/>
        <v>1.8770702868318123</v>
      </c>
      <c r="AQ456" s="389">
        <f t="shared" ref="AQ456:BC456" si="297">SUM(AQ457:AQ471)</f>
        <v>2939</v>
      </c>
      <c r="AR456" s="389">
        <f t="shared" si="297"/>
        <v>575</v>
      </c>
      <c r="AS456" s="389">
        <f t="shared" si="297"/>
        <v>575</v>
      </c>
      <c r="AT456" s="390">
        <f t="shared" si="297"/>
        <v>2806.9711600000001</v>
      </c>
      <c r="AU456" s="390">
        <f t="shared" si="297"/>
        <v>2260.4713400000001</v>
      </c>
      <c r="AV456" s="390">
        <f t="shared" si="297"/>
        <v>1095.1292000000001</v>
      </c>
      <c r="AW456" s="390">
        <f t="shared" si="297"/>
        <v>317.73108999999999</v>
      </c>
      <c r="AX456" s="390">
        <f t="shared" si="297"/>
        <v>173.72743</v>
      </c>
      <c r="AY456" s="390">
        <f t="shared" si="297"/>
        <v>85.8</v>
      </c>
      <c r="AZ456" s="390">
        <f t="shared" si="297"/>
        <v>0</v>
      </c>
      <c r="BA456" s="390">
        <f t="shared" si="297"/>
        <v>109.06645</v>
      </c>
      <c r="BB456" s="390">
        <f t="shared" si="297"/>
        <v>0.74174000000000007</v>
      </c>
      <c r="BC456" s="390">
        <f t="shared" si="297"/>
        <v>54.114680000000007</v>
      </c>
      <c r="BD456" s="391"/>
      <c r="BE456" s="391"/>
      <c r="BF456" s="391"/>
      <c r="BG456" s="474"/>
      <c r="BH456" s="392">
        <f t="shared" si="291"/>
        <v>955.07695134399466</v>
      </c>
      <c r="BI456" s="392">
        <f t="shared" si="292"/>
        <v>4.881688973913044</v>
      </c>
    </row>
    <row r="457" spans="1:61" s="358" customFormat="1" ht="19.2" x14ac:dyDescent="0.3">
      <c r="A457" s="359" t="s">
        <v>178</v>
      </c>
      <c r="B457" s="537" t="s">
        <v>325</v>
      </c>
      <c r="C457" s="547" t="s">
        <v>414</v>
      </c>
      <c r="D457" s="360">
        <v>6</v>
      </c>
      <c r="E457" s="528">
        <v>142</v>
      </c>
      <c r="F457" s="393">
        <v>60</v>
      </c>
      <c r="G457" s="393">
        <v>60</v>
      </c>
      <c r="H457" s="542">
        <v>465.01884999999999</v>
      </c>
      <c r="I457" s="394">
        <v>369.47007000000002</v>
      </c>
      <c r="J457" s="394">
        <v>41.191000000000003</v>
      </c>
      <c r="K457" s="394">
        <v>78.924800000000005</v>
      </c>
      <c r="L457" s="394">
        <v>26.786809999999999</v>
      </c>
      <c r="M457" s="394">
        <v>0</v>
      </c>
      <c r="N457" s="394">
        <v>0</v>
      </c>
      <c r="O457" s="394">
        <v>28.23066</v>
      </c>
      <c r="P457" s="394">
        <v>96.92</v>
      </c>
      <c r="Q457" s="394">
        <v>9.8656000000000006</v>
      </c>
      <c r="R457" s="381" t="s">
        <v>167</v>
      </c>
      <c r="S457" s="408" t="s">
        <v>175</v>
      </c>
      <c r="T457" s="385"/>
      <c r="U457" s="475">
        <v>240</v>
      </c>
      <c r="V457" s="395">
        <f t="shared" ref="V457:V459" si="298">H457/E457*1000</f>
        <v>3274.7806338028167</v>
      </c>
      <c r="W457" s="395">
        <f t="shared" ref="W457:W459" si="299">H457/F457</f>
        <v>7.7503141666666666</v>
      </c>
      <c r="X457" s="528"/>
      <c r="Y457" s="393"/>
      <c r="Z457" s="393"/>
      <c r="AA457" s="542"/>
      <c r="AB457" s="394"/>
      <c r="AC457" s="394"/>
      <c r="AD457" s="394"/>
      <c r="AE457" s="394"/>
      <c r="AF457" s="394"/>
      <c r="AG457" s="394"/>
      <c r="AH457" s="394"/>
      <c r="AI457" s="394"/>
      <c r="AJ457" s="394"/>
      <c r="AK457" s="381"/>
      <c r="AL457" s="408"/>
      <c r="AM457" s="385"/>
      <c r="AN457" s="475"/>
      <c r="AO457" s="395" t="e">
        <f t="shared" si="293"/>
        <v>#DIV/0!</v>
      </c>
      <c r="AP457" s="395" t="e">
        <f t="shared" si="294"/>
        <v>#DIV/0!</v>
      </c>
      <c r="AQ457" s="528"/>
      <c r="AR457" s="393"/>
      <c r="AS457" s="393"/>
      <c r="AT457" s="542"/>
      <c r="AU457" s="394"/>
      <c r="AV457" s="394"/>
      <c r="AW457" s="394"/>
      <c r="AX457" s="394"/>
      <c r="AY457" s="394"/>
      <c r="AZ457" s="394"/>
      <c r="BA457" s="394"/>
      <c r="BB457" s="394"/>
      <c r="BC457" s="394"/>
      <c r="BD457" s="381"/>
      <c r="BE457" s="408"/>
      <c r="BF457" s="385"/>
      <c r="BG457" s="475"/>
      <c r="BH457" s="395" t="e">
        <f t="shared" si="291"/>
        <v>#DIV/0!</v>
      </c>
      <c r="BI457" s="395" t="e">
        <f t="shared" si="292"/>
        <v>#DIV/0!</v>
      </c>
    </row>
    <row r="458" spans="1:61" s="358" customFormat="1" ht="19.2" x14ac:dyDescent="0.3">
      <c r="A458" s="359" t="s">
        <v>182</v>
      </c>
      <c r="B458" s="537" t="s">
        <v>576</v>
      </c>
      <c r="C458" s="547" t="s">
        <v>445</v>
      </c>
      <c r="D458" s="360">
        <v>6</v>
      </c>
      <c r="E458" s="528">
        <v>336</v>
      </c>
      <c r="F458" s="393">
        <v>150</v>
      </c>
      <c r="G458" s="393">
        <v>150</v>
      </c>
      <c r="H458" s="542">
        <v>444.54169999999999</v>
      </c>
      <c r="I458" s="394">
        <v>351.28250000000003</v>
      </c>
      <c r="J458" s="394">
        <v>99.066239999999993</v>
      </c>
      <c r="K458" s="394">
        <f>81.03963+46.30836+34.73127</f>
        <v>162.07926</v>
      </c>
      <c r="L458" s="394">
        <v>37.858199999999997</v>
      </c>
      <c r="M458" s="394">
        <v>0</v>
      </c>
      <c r="N458" s="394">
        <v>0</v>
      </c>
      <c r="O458" s="394">
        <v>26.264959999999999</v>
      </c>
      <c r="P458" s="394">
        <v>98.28</v>
      </c>
      <c r="Q458" s="394">
        <v>11.57709</v>
      </c>
      <c r="R458" s="381" t="s">
        <v>167</v>
      </c>
      <c r="S458" s="408" t="s">
        <v>175</v>
      </c>
      <c r="T458" s="385"/>
      <c r="U458" s="475">
        <v>246</v>
      </c>
      <c r="V458" s="395">
        <f t="shared" si="298"/>
        <v>1323.0407738095237</v>
      </c>
      <c r="W458" s="395">
        <f t="shared" si="299"/>
        <v>2.9636113333333332</v>
      </c>
      <c r="X458" s="528"/>
      <c r="Y458" s="393"/>
      <c r="Z458" s="393"/>
      <c r="AA458" s="542"/>
      <c r="AB458" s="394"/>
      <c r="AC458" s="394"/>
      <c r="AD458" s="394"/>
      <c r="AE458" s="394"/>
      <c r="AF458" s="394"/>
      <c r="AG458" s="394"/>
      <c r="AH458" s="394"/>
      <c r="AI458" s="394"/>
      <c r="AJ458" s="394"/>
      <c r="AK458" s="381"/>
      <c r="AL458" s="408"/>
      <c r="AM458" s="385"/>
      <c r="AN458" s="475"/>
      <c r="AO458" s="395" t="e">
        <f t="shared" si="293"/>
        <v>#DIV/0!</v>
      </c>
      <c r="AP458" s="395" t="e">
        <f t="shared" si="294"/>
        <v>#DIV/0!</v>
      </c>
      <c r="AQ458" s="528"/>
      <c r="AR458" s="393"/>
      <c r="AS458" s="393"/>
      <c r="AT458" s="542"/>
      <c r="AU458" s="394"/>
      <c r="AV458" s="394"/>
      <c r="AW458" s="394"/>
      <c r="AX458" s="394"/>
      <c r="AY458" s="394"/>
      <c r="AZ458" s="394"/>
      <c r="BA458" s="394"/>
      <c r="BB458" s="394"/>
      <c r="BC458" s="394"/>
      <c r="BD458" s="381"/>
      <c r="BE458" s="408"/>
      <c r="BF458" s="385"/>
      <c r="BG458" s="475"/>
      <c r="BH458" s="395" t="e">
        <f t="shared" si="291"/>
        <v>#DIV/0!</v>
      </c>
      <c r="BI458" s="395" t="e">
        <f t="shared" si="292"/>
        <v>#DIV/0!</v>
      </c>
    </row>
    <row r="459" spans="1:61" s="358" customFormat="1" ht="19.2" x14ac:dyDescent="0.3">
      <c r="A459" s="359" t="s">
        <v>184</v>
      </c>
      <c r="B459" s="537" t="s">
        <v>603</v>
      </c>
      <c r="C459" s="547" t="s">
        <v>476</v>
      </c>
      <c r="D459" s="360">
        <v>6</v>
      </c>
      <c r="E459" s="528">
        <v>950</v>
      </c>
      <c r="F459" s="393">
        <v>350</v>
      </c>
      <c r="G459" s="393">
        <v>350</v>
      </c>
      <c r="H459" s="542">
        <v>1653.31495</v>
      </c>
      <c r="I459" s="394">
        <v>1385.48189</v>
      </c>
      <c r="J459" s="394">
        <f>209.58+71.7079</f>
        <v>281.28790000000004</v>
      </c>
      <c r="K459" s="394">
        <f>12.06454+24.50518+217.16172</f>
        <v>253.73143999999999</v>
      </c>
      <c r="L459" s="394">
        <v>93.434719999999999</v>
      </c>
      <c r="M459" s="394">
        <v>0</v>
      </c>
      <c r="N459" s="394">
        <v>0</v>
      </c>
      <c r="O459" s="394">
        <v>75.864819999999995</v>
      </c>
      <c r="P459" s="394">
        <v>99.8</v>
      </c>
      <c r="Q459" s="394">
        <v>12.064539999999999</v>
      </c>
      <c r="R459" s="381" t="s">
        <v>167</v>
      </c>
      <c r="S459" s="408" t="s">
        <v>175</v>
      </c>
      <c r="T459" s="385"/>
      <c r="U459" s="475">
        <v>249</v>
      </c>
      <c r="V459" s="395">
        <f t="shared" si="298"/>
        <v>1740.3315263157895</v>
      </c>
      <c r="W459" s="395">
        <f t="shared" si="299"/>
        <v>4.723757</v>
      </c>
      <c r="X459" s="528"/>
      <c r="Y459" s="393"/>
      <c r="Z459" s="393"/>
      <c r="AA459" s="542"/>
      <c r="AB459" s="394"/>
      <c r="AC459" s="394"/>
      <c r="AD459" s="394"/>
      <c r="AE459" s="394"/>
      <c r="AF459" s="394"/>
      <c r="AG459" s="394"/>
      <c r="AH459" s="394"/>
      <c r="AI459" s="394"/>
      <c r="AJ459" s="394"/>
      <c r="AK459" s="381"/>
      <c r="AL459" s="408"/>
      <c r="AM459" s="385"/>
      <c r="AN459" s="475"/>
      <c r="AO459" s="395" t="e">
        <f t="shared" si="293"/>
        <v>#DIV/0!</v>
      </c>
      <c r="AP459" s="395" t="e">
        <f t="shared" si="294"/>
        <v>#DIV/0!</v>
      </c>
      <c r="AQ459" s="528"/>
      <c r="AR459" s="393"/>
      <c r="AS459" s="393"/>
      <c r="AT459" s="542"/>
      <c r="AU459" s="394"/>
      <c r="AV459" s="394"/>
      <c r="AW459" s="394"/>
      <c r="AX459" s="394"/>
      <c r="AY459" s="394"/>
      <c r="AZ459" s="394"/>
      <c r="BA459" s="394"/>
      <c r="BB459" s="394"/>
      <c r="BC459" s="394"/>
      <c r="BD459" s="381"/>
      <c r="BE459" s="408"/>
      <c r="BF459" s="385"/>
      <c r="BG459" s="475"/>
      <c r="BH459" s="395" t="e">
        <f t="shared" si="291"/>
        <v>#DIV/0!</v>
      </c>
      <c r="BI459" s="395" t="e">
        <f t="shared" si="292"/>
        <v>#DIV/0!</v>
      </c>
    </row>
    <row r="460" spans="1:61" s="358" customFormat="1" ht="19.2" x14ac:dyDescent="0.3">
      <c r="A460" s="359" t="s">
        <v>178</v>
      </c>
      <c r="B460" s="572" t="s">
        <v>2450</v>
      </c>
      <c r="C460" s="547" t="s">
        <v>2449</v>
      </c>
      <c r="D460" s="360">
        <v>6</v>
      </c>
      <c r="E460" s="528"/>
      <c r="F460" s="393"/>
      <c r="G460" s="393"/>
      <c r="H460" s="571"/>
      <c r="I460" s="394"/>
      <c r="J460" s="394"/>
      <c r="K460" s="394"/>
      <c r="L460" s="394"/>
      <c r="M460" s="394"/>
      <c r="N460" s="394"/>
      <c r="O460" s="394"/>
      <c r="P460" s="394"/>
      <c r="Q460" s="394"/>
      <c r="R460" s="381"/>
      <c r="S460" s="408"/>
      <c r="T460" s="385"/>
      <c r="U460" s="475"/>
      <c r="V460" s="395"/>
      <c r="W460" s="395"/>
      <c r="X460" s="528">
        <v>70</v>
      </c>
      <c r="Y460" s="393">
        <v>150</v>
      </c>
      <c r="Z460" s="393">
        <v>150</v>
      </c>
      <c r="AA460" s="571">
        <v>109.56543000000001</v>
      </c>
      <c r="AB460" s="394">
        <v>95.827119999999994</v>
      </c>
      <c r="AC460" s="394">
        <v>26.187000000000001</v>
      </c>
      <c r="AD460" s="394">
        <v>25.83126</v>
      </c>
      <c r="AE460" s="394">
        <v>5.8734400000000004</v>
      </c>
      <c r="AF460" s="394">
        <v>0</v>
      </c>
      <c r="AG460" s="394">
        <v>0</v>
      </c>
      <c r="AH460" s="394">
        <v>3.7190500000000002</v>
      </c>
      <c r="AI460" s="394">
        <v>0.12470000000000001</v>
      </c>
      <c r="AJ460" s="394">
        <v>12.91563</v>
      </c>
      <c r="AK460" s="381" t="s">
        <v>167</v>
      </c>
      <c r="AL460" s="408" t="s">
        <v>175</v>
      </c>
      <c r="AM460" s="385"/>
      <c r="AN460" s="475">
        <v>330</v>
      </c>
      <c r="AO460" s="395">
        <f t="shared" ref="AO460:AO461" si="300">AA460/X460*1000</f>
        <v>1565.2204285714286</v>
      </c>
      <c r="AP460" s="395">
        <f t="shared" ref="AP460:AP461" si="301">AA460/Y460</f>
        <v>0.73043620000000009</v>
      </c>
      <c r="AQ460" s="528"/>
      <c r="AR460" s="393"/>
      <c r="AS460" s="393"/>
      <c r="AT460" s="571"/>
      <c r="AU460" s="394"/>
      <c r="AV460" s="394"/>
      <c r="AW460" s="394"/>
      <c r="AX460" s="394"/>
      <c r="AY460" s="394"/>
      <c r="AZ460" s="394"/>
      <c r="BA460" s="394"/>
      <c r="BB460" s="394"/>
      <c r="BC460" s="394"/>
      <c r="BD460" s="381"/>
      <c r="BE460" s="408"/>
      <c r="BF460" s="385"/>
      <c r="BG460" s="475"/>
      <c r="BH460" s="395" t="e">
        <f t="shared" si="291"/>
        <v>#DIV/0!</v>
      </c>
      <c r="BI460" s="395" t="e">
        <f t="shared" si="292"/>
        <v>#DIV/0!</v>
      </c>
    </row>
    <row r="461" spans="1:61" s="358" customFormat="1" ht="19.2" x14ac:dyDescent="0.3">
      <c r="A461" s="359" t="s">
        <v>182</v>
      </c>
      <c r="B461" s="572" t="s">
        <v>302</v>
      </c>
      <c r="C461" s="547" t="s">
        <v>2577</v>
      </c>
      <c r="D461" s="360">
        <v>6</v>
      </c>
      <c r="E461" s="528"/>
      <c r="F461" s="393"/>
      <c r="G461" s="393"/>
      <c r="H461" s="571"/>
      <c r="I461" s="394"/>
      <c r="J461" s="394"/>
      <c r="K461" s="394"/>
      <c r="L461" s="394"/>
      <c r="M461" s="394"/>
      <c r="N461" s="394"/>
      <c r="O461" s="394"/>
      <c r="P461" s="394"/>
      <c r="Q461" s="394"/>
      <c r="R461" s="381"/>
      <c r="S461" s="408"/>
      <c r="T461" s="385"/>
      <c r="U461" s="475"/>
      <c r="V461" s="395"/>
      <c r="W461" s="395"/>
      <c r="X461" s="528">
        <v>62</v>
      </c>
      <c r="Y461" s="393">
        <v>150</v>
      </c>
      <c r="Z461" s="393">
        <v>150</v>
      </c>
      <c r="AA461" s="571">
        <v>76.384429999999995</v>
      </c>
      <c r="AB461" s="394">
        <v>72.760230000000007</v>
      </c>
      <c r="AC461" s="394">
        <v>23.194199999999999</v>
      </c>
      <c r="AD461" s="394"/>
      <c r="AE461" s="394">
        <v>1.4354499999999999</v>
      </c>
      <c r="AF461" s="394">
        <v>0</v>
      </c>
      <c r="AG461" s="394">
        <v>0</v>
      </c>
      <c r="AH461" s="394">
        <v>1.0319100000000001</v>
      </c>
      <c r="AI461" s="394">
        <v>0.12470000000000001</v>
      </c>
      <c r="AJ461" s="394"/>
      <c r="AK461" s="381" t="s">
        <v>167</v>
      </c>
      <c r="AL461" s="408" t="s">
        <v>175</v>
      </c>
      <c r="AM461" s="385"/>
      <c r="AN461" s="475">
        <v>332</v>
      </c>
      <c r="AO461" s="395">
        <f t="shared" si="300"/>
        <v>1232.0069354838711</v>
      </c>
      <c r="AP461" s="395">
        <f t="shared" si="301"/>
        <v>0.50922953333333332</v>
      </c>
      <c r="AQ461" s="528"/>
      <c r="AR461" s="393"/>
      <c r="AS461" s="393"/>
      <c r="AT461" s="571"/>
      <c r="AU461" s="394"/>
      <c r="AV461" s="394"/>
      <c r="AW461" s="394"/>
      <c r="AX461" s="394"/>
      <c r="AY461" s="394"/>
      <c r="AZ461" s="394"/>
      <c r="BA461" s="394"/>
      <c r="BB461" s="394"/>
      <c r="BC461" s="394"/>
      <c r="BD461" s="381"/>
      <c r="BE461" s="408"/>
      <c r="BF461" s="385"/>
      <c r="BG461" s="475"/>
      <c r="BH461" s="395" t="e">
        <f t="shared" si="291"/>
        <v>#DIV/0!</v>
      </c>
      <c r="BI461" s="395" t="e">
        <f t="shared" si="292"/>
        <v>#DIV/0!</v>
      </c>
    </row>
    <row r="462" spans="1:61" s="358" customFormat="1" ht="19.2" x14ac:dyDescent="0.3">
      <c r="A462" s="359" t="s">
        <v>184</v>
      </c>
      <c r="B462" s="572" t="s">
        <v>2582</v>
      </c>
      <c r="C462" s="547" t="s">
        <v>2581</v>
      </c>
      <c r="D462" s="360">
        <v>6</v>
      </c>
      <c r="E462" s="528"/>
      <c r="F462" s="393"/>
      <c r="G462" s="393"/>
      <c r="H462" s="571"/>
      <c r="I462" s="394"/>
      <c r="J462" s="394"/>
      <c r="K462" s="394"/>
      <c r="L462" s="394"/>
      <c r="M462" s="394"/>
      <c r="N462" s="394"/>
      <c r="O462" s="394"/>
      <c r="P462" s="394"/>
      <c r="Q462" s="394"/>
      <c r="R462" s="381"/>
      <c r="S462" s="408"/>
      <c r="T462" s="385"/>
      <c r="U462" s="475"/>
      <c r="V462" s="395"/>
      <c r="W462" s="395"/>
      <c r="X462" s="528">
        <v>257</v>
      </c>
      <c r="Y462" s="393">
        <v>150</v>
      </c>
      <c r="Z462" s="393">
        <v>150</v>
      </c>
      <c r="AA462" s="571">
        <v>415.98090000000002</v>
      </c>
      <c r="AB462" s="394">
        <v>341.66989999999998</v>
      </c>
      <c r="AC462" s="394">
        <v>102.8775</v>
      </c>
      <c r="AD462" s="394">
        <v>126.15443999999999</v>
      </c>
      <c r="AE462" s="394">
        <v>33.331919999999997</v>
      </c>
      <c r="AF462" s="394">
        <v>0</v>
      </c>
      <c r="AG462" s="394">
        <v>0</v>
      </c>
      <c r="AH462" s="394">
        <v>19.413699999999999</v>
      </c>
      <c r="AI462" s="394">
        <v>0.12470000000000001</v>
      </c>
      <c r="AJ462" s="394">
        <v>14.017160000000001</v>
      </c>
      <c r="AK462" s="381" t="s">
        <v>167</v>
      </c>
      <c r="AL462" s="408" t="s">
        <v>175</v>
      </c>
      <c r="AM462" s="385"/>
      <c r="AN462" s="475">
        <v>334</v>
      </c>
      <c r="AO462" s="395">
        <f t="shared" ref="AO462:AO463" si="302">AA462/X462*1000</f>
        <v>1618.6027237354085</v>
      </c>
      <c r="AP462" s="395">
        <f t="shared" ref="AP462:AP463" si="303">AA462/Y462</f>
        <v>2.7732060000000001</v>
      </c>
      <c r="AQ462" s="528"/>
      <c r="AR462" s="393"/>
      <c r="AS462" s="393"/>
      <c r="AT462" s="571"/>
      <c r="AU462" s="394"/>
      <c r="AV462" s="394"/>
      <c r="AW462" s="394"/>
      <c r="AX462" s="394"/>
      <c r="AY462" s="394"/>
      <c r="AZ462" s="394"/>
      <c r="BA462" s="394"/>
      <c r="BB462" s="394"/>
      <c r="BC462" s="394"/>
      <c r="BD462" s="381"/>
      <c r="BE462" s="408"/>
      <c r="BF462" s="385"/>
      <c r="BG462" s="475"/>
      <c r="BH462" s="395" t="e">
        <f t="shared" si="291"/>
        <v>#DIV/0!</v>
      </c>
      <c r="BI462" s="395" t="e">
        <f t="shared" si="292"/>
        <v>#DIV/0!</v>
      </c>
    </row>
    <row r="463" spans="1:61" s="358" customFormat="1" ht="19.2" x14ac:dyDescent="0.3">
      <c r="A463" s="359" t="s">
        <v>186</v>
      </c>
      <c r="B463" s="572" t="s">
        <v>2588</v>
      </c>
      <c r="C463" s="547" t="s">
        <v>2587</v>
      </c>
      <c r="D463" s="360">
        <v>6</v>
      </c>
      <c r="E463" s="528"/>
      <c r="F463" s="393"/>
      <c r="G463" s="393"/>
      <c r="H463" s="571"/>
      <c r="I463" s="394"/>
      <c r="J463" s="394"/>
      <c r="K463" s="394"/>
      <c r="L463" s="394"/>
      <c r="M463" s="394"/>
      <c r="N463" s="394"/>
      <c r="O463" s="394"/>
      <c r="P463" s="394"/>
      <c r="Q463" s="394"/>
      <c r="R463" s="381"/>
      <c r="S463" s="408"/>
      <c r="T463" s="385"/>
      <c r="U463" s="475"/>
      <c r="V463" s="395"/>
      <c r="W463" s="395"/>
      <c r="X463" s="528">
        <v>405</v>
      </c>
      <c r="Y463" s="393">
        <v>15</v>
      </c>
      <c r="Z463" s="393">
        <v>15</v>
      </c>
      <c r="AA463" s="571">
        <v>611.17767000000003</v>
      </c>
      <c r="AB463" s="394">
        <v>489.60816</v>
      </c>
      <c r="AC463" s="394">
        <v>151.51050000000001</v>
      </c>
      <c r="AD463" s="394">
        <v>210.85712000000001</v>
      </c>
      <c r="AE463" s="394">
        <v>56.247619999999998</v>
      </c>
      <c r="AF463" s="394">
        <v>0</v>
      </c>
      <c r="AG463" s="394">
        <v>0</v>
      </c>
      <c r="AH463" s="394">
        <v>31.315940000000001</v>
      </c>
      <c r="AI463" s="394">
        <v>0.12470000000000001</v>
      </c>
      <c r="AJ463" s="394">
        <v>13.178570000000001</v>
      </c>
      <c r="AK463" s="381" t="s">
        <v>167</v>
      </c>
      <c r="AL463" s="408" t="s">
        <v>175</v>
      </c>
      <c r="AM463" s="385"/>
      <c r="AN463" s="475">
        <v>337</v>
      </c>
      <c r="AO463" s="395">
        <f t="shared" si="302"/>
        <v>1509.0806666666667</v>
      </c>
      <c r="AP463" s="395">
        <f t="shared" si="303"/>
        <v>40.745178000000003</v>
      </c>
      <c r="AQ463" s="528"/>
      <c r="AR463" s="393"/>
      <c r="AS463" s="393"/>
      <c r="AT463" s="571"/>
      <c r="AU463" s="394"/>
      <c r="AV463" s="394"/>
      <c r="AW463" s="394"/>
      <c r="AX463" s="394"/>
      <c r="AY463" s="394"/>
      <c r="AZ463" s="394"/>
      <c r="BA463" s="394"/>
      <c r="BB463" s="394"/>
      <c r="BC463" s="394"/>
      <c r="BD463" s="381"/>
      <c r="BE463" s="408"/>
      <c r="BF463" s="385"/>
      <c r="BG463" s="475"/>
      <c r="BH463" s="395" t="e">
        <f t="shared" si="291"/>
        <v>#DIV/0!</v>
      </c>
      <c r="BI463" s="395" t="e">
        <f t="shared" si="292"/>
        <v>#DIV/0!</v>
      </c>
    </row>
    <row r="464" spans="1:61" s="358" customFormat="1" ht="19.2" x14ac:dyDescent="0.3">
      <c r="A464" s="359" t="s">
        <v>189</v>
      </c>
      <c r="B464" s="572" t="s">
        <v>2594</v>
      </c>
      <c r="C464" s="547" t="s">
        <v>2608</v>
      </c>
      <c r="D464" s="360">
        <v>6</v>
      </c>
      <c r="E464" s="528"/>
      <c r="F464" s="393"/>
      <c r="G464" s="393"/>
      <c r="H464" s="571"/>
      <c r="I464" s="394"/>
      <c r="J464" s="394"/>
      <c r="K464" s="394"/>
      <c r="L464" s="394"/>
      <c r="M464" s="394"/>
      <c r="N464" s="394"/>
      <c r="O464" s="394"/>
      <c r="P464" s="394"/>
      <c r="Q464" s="394"/>
      <c r="R464" s="381"/>
      <c r="S464" s="408"/>
      <c r="T464" s="385"/>
      <c r="U464" s="475"/>
      <c r="V464" s="395"/>
      <c r="W464" s="395"/>
      <c r="X464" s="528">
        <v>170</v>
      </c>
      <c r="Y464" s="393">
        <v>302</v>
      </c>
      <c r="Z464" s="393">
        <v>302</v>
      </c>
      <c r="AA464" s="571">
        <v>226.60448</v>
      </c>
      <c r="AB464" s="394">
        <v>188.90215000000001</v>
      </c>
      <c r="AC464" s="394">
        <v>50.938800000000001</v>
      </c>
      <c r="AD464" s="394">
        <v>63.830249999999999</v>
      </c>
      <c r="AE464" s="394">
        <v>17.305779999999999</v>
      </c>
      <c r="AF464" s="394">
        <v>0</v>
      </c>
      <c r="AG464" s="394">
        <v>0</v>
      </c>
      <c r="AH464" s="394">
        <v>9.8615600000000008</v>
      </c>
      <c r="AI464" s="394">
        <v>9.9879999999999997E-2</v>
      </c>
      <c r="AJ464" s="394">
        <v>12.76605</v>
      </c>
      <c r="AK464" s="381" t="s">
        <v>167</v>
      </c>
      <c r="AL464" s="408" t="s">
        <v>175</v>
      </c>
      <c r="AM464" s="385"/>
      <c r="AN464" s="475">
        <v>401</v>
      </c>
      <c r="AO464" s="395">
        <f t="shared" ref="AO464" si="304">AA464/X464*1000</f>
        <v>1332.9675294117646</v>
      </c>
      <c r="AP464" s="395">
        <f t="shared" ref="AP464" si="305">AA464/Y464</f>
        <v>0.75034596026490064</v>
      </c>
      <c r="AQ464" s="528"/>
      <c r="AR464" s="393"/>
      <c r="AS464" s="393"/>
      <c r="AT464" s="571"/>
      <c r="AU464" s="394"/>
      <c r="AV464" s="394"/>
      <c r="AW464" s="394"/>
      <c r="AX464" s="394"/>
      <c r="AY464" s="394"/>
      <c r="AZ464" s="394"/>
      <c r="BA464" s="394"/>
      <c r="BB464" s="394"/>
      <c r="BC464" s="394"/>
      <c r="BD464" s="381"/>
      <c r="BE464" s="408"/>
      <c r="BF464" s="385"/>
      <c r="BG464" s="475"/>
      <c r="BH464" s="395" t="e">
        <f t="shared" si="291"/>
        <v>#DIV/0!</v>
      </c>
      <c r="BI464" s="395" t="e">
        <f t="shared" si="292"/>
        <v>#DIV/0!</v>
      </c>
    </row>
    <row r="465" spans="1:61" s="358" customFormat="1" ht="19.2" x14ac:dyDescent="0.3">
      <c r="A465" s="359" t="s">
        <v>178</v>
      </c>
      <c r="B465" s="602" t="s">
        <v>4643</v>
      </c>
      <c r="C465" s="617" t="s">
        <v>4646</v>
      </c>
      <c r="D465" s="360">
        <v>6</v>
      </c>
      <c r="E465" s="528"/>
      <c r="F465" s="523"/>
      <c r="G465" s="393"/>
      <c r="H465" s="394"/>
      <c r="I465" s="394"/>
      <c r="J465" s="394"/>
      <c r="K465" s="394"/>
      <c r="L465" s="394"/>
      <c r="M465" s="394"/>
      <c r="N465" s="394"/>
      <c r="O465" s="394"/>
      <c r="P465" s="394"/>
      <c r="Q465" s="394"/>
      <c r="R465" s="381"/>
      <c r="S465" s="408"/>
      <c r="T465" s="385"/>
      <c r="U465" s="475"/>
      <c r="V465" s="395"/>
      <c r="W465" s="395"/>
      <c r="X465" s="528"/>
      <c r="Y465" s="523"/>
      <c r="Z465" s="393"/>
      <c r="AA465" s="394"/>
      <c r="AB465" s="394"/>
      <c r="AC465" s="394"/>
      <c r="AD465" s="394"/>
      <c r="AE465" s="394"/>
      <c r="AF465" s="394"/>
      <c r="AG465" s="394"/>
      <c r="AH465" s="394"/>
      <c r="AI465" s="394"/>
      <c r="AJ465" s="394"/>
      <c r="AK465" s="381"/>
      <c r="AL465" s="408"/>
      <c r="AM465" s="385"/>
      <c r="AN465" s="475"/>
      <c r="AO465" s="395"/>
      <c r="AP465" s="395"/>
      <c r="AQ465" s="528">
        <v>1403</v>
      </c>
      <c r="AR465" s="523">
        <v>150</v>
      </c>
      <c r="AS465" s="393">
        <v>150</v>
      </c>
      <c r="AT465" s="600">
        <v>932.99444000000005</v>
      </c>
      <c r="AU465" s="394">
        <v>802.41279999999995</v>
      </c>
      <c r="AV465" s="394">
        <v>524.98699999999997</v>
      </c>
      <c r="AW465" s="394">
        <v>14.2875</v>
      </c>
      <c r="AX465" s="394"/>
      <c r="AY465" s="394">
        <v>80</v>
      </c>
      <c r="AZ465" s="394">
        <v>0</v>
      </c>
      <c r="BA465" s="394">
        <v>11.79204</v>
      </c>
      <c r="BB465" s="394">
        <v>0.12470000000000001</v>
      </c>
      <c r="BC465" s="394">
        <v>14.2875</v>
      </c>
      <c r="BD465" s="381" t="s">
        <v>167</v>
      </c>
      <c r="BE465" s="408" t="s">
        <v>175</v>
      </c>
      <c r="BF465" s="385"/>
      <c r="BG465" s="475">
        <v>295</v>
      </c>
      <c r="BH465" s="395">
        <f t="shared" ref="BH465:BH470" si="306">AT465/AQ465*1000</f>
        <v>664.99960085531006</v>
      </c>
      <c r="BI465" s="395">
        <f t="shared" ref="BI465:BI470" si="307">AT465/AR465</f>
        <v>6.2199629333333339</v>
      </c>
    </row>
    <row r="466" spans="1:61" s="358" customFormat="1" ht="19.2" x14ac:dyDescent="0.3">
      <c r="A466" s="359" t="s">
        <v>182</v>
      </c>
      <c r="B466" s="602" t="s">
        <v>4643</v>
      </c>
      <c r="C466" s="617" t="s">
        <v>4647</v>
      </c>
      <c r="D466" s="360">
        <v>6</v>
      </c>
      <c r="E466" s="528"/>
      <c r="F466" s="523"/>
      <c r="G466" s="393"/>
      <c r="H466" s="394"/>
      <c r="I466" s="394"/>
      <c r="J466" s="394"/>
      <c r="K466" s="394"/>
      <c r="L466" s="394"/>
      <c r="M466" s="394"/>
      <c r="N466" s="394"/>
      <c r="O466" s="394"/>
      <c r="P466" s="394"/>
      <c r="Q466" s="394"/>
      <c r="R466" s="381"/>
      <c r="S466" s="408"/>
      <c r="T466" s="385"/>
      <c r="U466" s="475"/>
      <c r="V466" s="395"/>
      <c r="W466" s="395"/>
      <c r="X466" s="528"/>
      <c r="Y466" s="523"/>
      <c r="Z466" s="393"/>
      <c r="AA466" s="394"/>
      <c r="AB466" s="394"/>
      <c r="AC466" s="394"/>
      <c r="AD466" s="394"/>
      <c r="AE466" s="394"/>
      <c r="AF466" s="394"/>
      <c r="AG466" s="394"/>
      <c r="AH466" s="394"/>
      <c r="AI466" s="394"/>
      <c r="AJ466" s="394"/>
      <c r="AK466" s="381"/>
      <c r="AL466" s="408"/>
      <c r="AM466" s="385"/>
      <c r="AN466" s="475"/>
      <c r="AO466" s="395"/>
      <c r="AP466" s="395"/>
      <c r="AQ466" s="528">
        <v>96</v>
      </c>
      <c r="AR466" s="523">
        <v>150</v>
      </c>
      <c r="AS466" s="393">
        <v>150</v>
      </c>
      <c r="AT466" s="600">
        <v>109.46861</v>
      </c>
      <c r="AU466" s="394">
        <v>105.25427999999999</v>
      </c>
      <c r="AV466" s="394">
        <v>36.162999999999997</v>
      </c>
      <c r="AW466" s="394"/>
      <c r="AX466" s="394"/>
      <c r="AY466" s="394">
        <v>0</v>
      </c>
      <c r="AZ466" s="394">
        <v>0</v>
      </c>
      <c r="BA466" s="394">
        <v>0.98248000000000002</v>
      </c>
      <c r="BB466" s="394">
        <v>0.12470000000000001</v>
      </c>
      <c r="BC466" s="394"/>
      <c r="BD466" s="381" t="s">
        <v>167</v>
      </c>
      <c r="BE466" s="408" t="s">
        <v>175</v>
      </c>
      <c r="BF466" s="385"/>
      <c r="BG466" s="475">
        <v>296</v>
      </c>
      <c r="BH466" s="395">
        <f t="shared" si="306"/>
        <v>1140.2980208333333</v>
      </c>
      <c r="BI466" s="395">
        <f t="shared" si="307"/>
        <v>0.72979073333333333</v>
      </c>
    </row>
    <row r="467" spans="1:61" s="358" customFormat="1" ht="19.2" x14ac:dyDescent="0.3">
      <c r="A467" s="359" t="s">
        <v>184</v>
      </c>
      <c r="B467" s="602" t="s">
        <v>4258</v>
      </c>
      <c r="C467" s="548" t="s">
        <v>4649</v>
      </c>
      <c r="D467" s="360">
        <v>6</v>
      </c>
      <c r="E467" s="528"/>
      <c r="F467" s="523"/>
      <c r="G467" s="393"/>
      <c r="H467" s="394"/>
      <c r="I467" s="394"/>
      <c r="J467" s="394"/>
      <c r="K467" s="394"/>
      <c r="L467" s="394"/>
      <c r="M467" s="394"/>
      <c r="N467" s="394"/>
      <c r="O467" s="394"/>
      <c r="P467" s="394"/>
      <c r="Q467" s="394"/>
      <c r="R467" s="381"/>
      <c r="S467" s="408"/>
      <c r="T467" s="385"/>
      <c r="U467" s="475"/>
      <c r="V467" s="395"/>
      <c r="W467" s="395"/>
      <c r="X467" s="528"/>
      <c r="Y467" s="523"/>
      <c r="Z467" s="393"/>
      <c r="AA467" s="394"/>
      <c r="AB467" s="394"/>
      <c r="AC467" s="394"/>
      <c r="AD467" s="394"/>
      <c r="AE467" s="394"/>
      <c r="AF467" s="394"/>
      <c r="AG467" s="394"/>
      <c r="AH467" s="394"/>
      <c r="AI467" s="394"/>
      <c r="AJ467" s="394"/>
      <c r="AK467" s="381"/>
      <c r="AL467" s="408"/>
      <c r="AM467" s="385"/>
      <c r="AN467" s="475"/>
      <c r="AO467" s="395"/>
      <c r="AP467" s="395"/>
      <c r="AQ467" s="528">
        <v>45</v>
      </c>
      <c r="AR467" s="523">
        <v>15</v>
      </c>
      <c r="AS467" s="393">
        <v>15</v>
      </c>
      <c r="AT467" s="600">
        <v>289.15077000000002</v>
      </c>
      <c r="AU467" s="394">
        <v>250.47800000000001</v>
      </c>
      <c r="AV467" s="394">
        <v>16.834499999999998</v>
      </c>
      <c r="AW467" s="394">
        <v>28.5745</v>
      </c>
      <c r="AX467" s="394"/>
      <c r="AY467" s="394">
        <v>0</v>
      </c>
      <c r="AZ467" s="394">
        <v>0</v>
      </c>
      <c r="BA467" s="394">
        <v>4.3531599999999999</v>
      </c>
      <c r="BB467" s="394">
        <v>0.12470000000000001</v>
      </c>
      <c r="BC467" s="394">
        <v>14.28725</v>
      </c>
      <c r="BD467" s="381" t="s">
        <v>167</v>
      </c>
      <c r="BE467" s="408" t="s">
        <v>175</v>
      </c>
      <c r="BF467" s="385"/>
      <c r="BG467" s="475">
        <v>299</v>
      </c>
      <c r="BH467" s="395">
        <f t="shared" si="306"/>
        <v>6425.5726666666678</v>
      </c>
      <c r="BI467" s="395">
        <f t="shared" si="307"/>
        <v>19.276718000000002</v>
      </c>
    </row>
    <row r="468" spans="1:61" s="358" customFormat="1" ht="19.2" x14ac:dyDescent="0.3">
      <c r="A468" s="359" t="s">
        <v>186</v>
      </c>
      <c r="B468" s="602" t="s">
        <v>4779</v>
      </c>
      <c r="C468" s="548" t="s">
        <v>4780</v>
      </c>
      <c r="D468" s="360">
        <v>6</v>
      </c>
      <c r="E468" s="528"/>
      <c r="F468" s="523"/>
      <c r="G468" s="393"/>
      <c r="H468" s="394"/>
      <c r="I468" s="394"/>
      <c r="J468" s="394"/>
      <c r="K468" s="394"/>
      <c r="L468" s="394"/>
      <c r="M468" s="394"/>
      <c r="N468" s="394"/>
      <c r="O468" s="394"/>
      <c r="P468" s="394"/>
      <c r="Q468" s="394"/>
      <c r="R468" s="381"/>
      <c r="S468" s="408"/>
      <c r="T468" s="385"/>
      <c r="U468" s="475"/>
      <c r="V468" s="395"/>
      <c r="W468" s="395"/>
      <c r="X468" s="528"/>
      <c r="Y468" s="523"/>
      <c r="Z468" s="393"/>
      <c r="AA468" s="394"/>
      <c r="AB468" s="394"/>
      <c r="AC468" s="394"/>
      <c r="AD468" s="394"/>
      <c r="AE468" s="394"/>
      <c r="AF468" s="394"/>
      <c r="AG468" s="394"/>
      <c r="AH468" s="394"/>
      <c r="AI468" s="394"/>
      <c r="AJ468" s="394"/>
      <c r="AK468" s="381"/>
      <c r="AL468" s="408"/>
      <c r="AM468" s="385"/>
      <c r="AN468" s="475"/>
      <c r="AO468" s="395"/>
      <c r="AP468" s="395"/>
      <c r="AQ468" s="528">
        <v>892</v>
      </c>
      <c r="AR468" s="523">
        <v>10</v>
      </c>
      <c r="AS468" s="393">
        <v>10</v>
      </c>
      <c r="AT468" s="600">
        <v>642.78887999999995</v>
      </c>
      <c r="AU468" s="394">
        <v>577.67593999999997</v>
      </c>
      <c r="AV468" s="394">
        <f>325.0929+8.2768</f>
        <v>333.36969999999997</v>
      </c>
      <c r="AW468" s="394"/>
      <c r="AX468" s="394">
        <v>18.551870000000001</v>
      </c>
      <c r="AY468" s="394">
        <v>0</v>
      </c>
      <c r="AZ468" s="394">
        <v>0</v>
      </c>
      <c r="BA468" s="394">
        <v>21.66583</v>
      </c>
      <c r="BB468" s="394">
        <v>0.12470000000000001</v>
      </c>
      <c r="BC468" s="394"/>
      <c r="BD468" s="381" t="s">
        <v>167</v>
      </c>
      <c r="BE468" s="408" t="s">
        <v>175</v>
      </c>
      <c r="BF468" s="385"/>
      <c r="BG468" s="475">
        <v>301</v>
      </c>
      <c r="BH468" s="395">
        <f t="shared" si="306"/>
        <v>720.61533632286989</v>
      </c>
      <c r="BI468" s="395">
        <f t="shared" si="307"/>
        <v>64.278887999999995</v>
      </c>
    </row>
    <row r="469" spans="1:61" s="358" customFormat="1" ht="19.2" x14ac:dyDescent="0.3">
      <c r="A469" s="359" t="s">
        <v>189</v>
      </c>
      <c r="B469" s="602" t="s">
        <v>2582</v>
      </c>
      <c r="C469" s="548" t="s">
        <v>4783</v>
      </c>
      <c r="D469" s="360">
        <v>6</v>
      </c>
      <c r="E469" s="528"/>
      <c r="F469" s="523"/>
      <c r="G469" s="393"/>
      <c r="H469" s="394"/>
      <c r="I469" s="394"/>
      <c r="J469" s="394"/>
      <c r="K469" s="394"/>
      <c r="L469" s="394"/>
      <c r="M469" s="394"/>
      <c r="N469" s="394"/>
      <c r="O469" s="394"/>
      <c r="P469" s="394"/>
      <c r="Q469" s="394"/>
      <c r="R469" s="381"/>
      <c r="S469" s="408"/>
      <c r="T469" s="385"/>
      <c r="U469" s="475"/>
      <c r="V469" s="395"/>
      <c r="W469" s="395"/>
      <c r="X469" s="528"/>
      <c r="Y469" s="523"/>
      <c r="Z469" s="393"/>
      <c r="AA469" s="394"/>
      <c r="AB469" s="394"/>
      <c r="AC469" s="394"/>
      <c r="AD469" s="394"/>
      <c r="AE469" s="394"/>
      <c r="AF469" s="394"/>
      <c r="AG469" s="394"/>
      <c r="AH469" s="394"/>
      <c r="AI469" s="394"/>
      <c r="AJ469" s="394"/>
      <c r="AK469" s="381"/>
      <c r="AL469" s="408"/>
      <c r="AM469" s="385"/>
      <c r="AN469" s="475"/>
      <c r="AO469" s="395"/>
      <c r="AP469" s="395"/>
      <c r="AQ469" s="528">
        <v>270</v>
      </c>
      <c r="AR469" s="523">
        <v>150</v>
      </c>
      <c r="AS469" s="393">
        <v>150</v>
      </c>
      <c r="AT469" s="600">
        <v>389.21615000000003</v>
      </c>
      <c r="AU469" s="394">
        <v>184.59721999999999</v>
      </c>
      <c r="AV469" s="394">
        <v>101.00700000000001</v>
      </c>
      <c r="AW469" s="394">
        <v>128.58750000000001</v>
      </c>
      <c r="AX469" s="394">
        <v>124.92712</v>
      </c>
      <c r="AY469" s="394">
        <v>5.8</v>
      </c>
      <c r="AZ469" s="394">
        <v>0</v>
      </c>
      <c r="BA469" s="394">
        <v>38.059460000000001</v>
      </c>
      <c r="BB469" s="394">
        <v>0.12470000000000001</v>
      </c>
      <c r="BC469" s="394">
        <v>14.2875</v>
      </c>
      <c r="BD469" s="381" t="s">
        <v>167</v>
      </c>
      <c r="BE469" s="408" t="s">
        <v>175</v>
      </c>
      <c r="BF469" s="385"/>
      <c r="BG469" s="475">
        <v>307</v>
      </c>
      <c r="BH469" s="395">
        <f t="shared" ref="BH469" si="308">AT469/AQ469*1000</f>
        <v>1441.5412962962964</v>
      </c>
      <c r="BI469" s="395">
        <f t="shared" ref="BI469" si="309">AT469/AR469</f>
        <v>2.5947743333333335</v>
      </c>
    </row>
    <row r="470" spans="1:61" s="358" customFormat="1" ht="19.2" x14ac:dyDescent="0.3">
      <c r="A470" s="359" t="s">
        <v>267</v>
      </c>
      <c r="B470" s="602" t="s">
        <v>4842</v>
      </c>
      <c r="C470" s="548" t="s">
        <v>4844</v>
      </c>
      <c r="D470" s="360">
        <v>6</v>
      </c>
      <c r="E470" s="528"/>
      <c r="F470" s="523"/>
      <c r="G470" s="393"/>
      <c r="H470" s="394"/>
      <c r="I470" s="394"/>
      <c r="J470" s="394"/>
      <c r="K470" s="394"/>
      <c r="L470" s="394"/>
      <c r="M470" s="394"/>
      <c r="N470" s="394"/>
      <c r="O470" s="394"/>
      <c r="P470" s="394"/>
      <c r="Q470" s="394"/>
      <c r="R470" s="381"/>
      <c r="S470" s="408"/>
      <c r="T470" s="385"/>
      <c r="U470" s="475"/>
      <c r="V470" s="395"/>
      <c r="W470" s="395"/>
      <c r="X470" s="528"/>
      <c r="Y470" s="523"/>
      <c r="Z470" s="393"/>
      <c r="AA470" s="394"/>
      <c r="AB470" s="394"/>
      <c r="AC470" s="394"/>
      <c r="AD470" s="394"/>
      <c r="AE470" s="394"/>
      <c r="AF470" s="394"/>
      <c r="AG470" s="394"/>
      <c r="AH470" s="394"/>
      <c r="AI470" s="394"/>
      <c r="AJ470" s="394"/>
      <c r="AK470" s="381"/>
      <c r="AL470" s="408"/>
      <c r="AM470" s="385"/>
      <c r="AN470" s="475"/>
      <c r="AO470" s="395"/>
      <c r="AP470" s="395"/>
      <c r="AQ470" s="528">
        <v>233</v>
      </c>
      <c r="AR470" s="523">
        <v>100</v>
      </c>
      <c r="AS470" s="393">
        <v>100</v>
      </c>
      <c r="AT470" s="600">
        <v>443.35230999999999</v>
      </c>
      <c r="AU470" s="394">
        <v>340.05309999999997</v>
      </c>
      <c r="AV470" s="394">
        <v>82.768000000000001</v>
      </c>
      <c r="AW470" s="394">
        <v>146.28158999999999</v>
      </c>
      <c r="AX470" s="394">
        <v>30.248439999999999</v>
      </c>
      <c r="AY470" s="394">
        <v>0</v>
      </c>
      <c r="AZ470" s="394">
        <v>0</v>
      </c>
      <c r="BA470" s="394">
        <v>32.213479999999997</v>
      </c>
      <c r="BB470" s="394">
        <v>0.11824</v>
      </c>
      <c r="BC470" s="394">
        <v>11.25243</v>
      </c>
      <c r="BD470" s="381" t="s">
        <v>167</v>
      </c>
      <c r="BE470" s="408" t="s">
        <v>175</v>
      </c>
      <c r="BF470" s="385"/>
      <c r="BG470" s="475">
        <v>312</v>
      </c>
      <c r="BH470" s="395">
        <f t="shared" si="306"/>
        <v>1902.7996137339055</v>
      </c>
      <c r="BI470" s="395">
        <f t="shared" si="307"/>
        <v>4.4335230999999995</v>
      </c>
    </row>
    <row r="471" spans="1:61" s="358" customFormat="1" x14ac:dyDescent="0.3">
      <c r="A471" s="359"/>
      <c r="B471" s="378"/>
      <c r="C471" s="547"/>
      <c r="D471" s="360"/>
      <c r="E471" s="398"/>
      <c r="F471" s="393"/>
      <c r="G471" s="393"/>
      <c r="H471" s="394"/>
      <c r="I471" s="394"/>
      <c r="J471" s="394"/>
      <c r="K471" s="394"/>
      <c r="L471" s="394"/>
      <c r="M471" s="394"/>
      <c r="N471" s="394"/>
      <c r="O471" s="394"/>
      <c r="P471" s="394"/>
      <c r="Q471" s="394"/>
      <c r="R471" s="385"/>
      <c r="S471" s="385"/>
      <c r="T471" s="385"/>
      <c r="U471" s="475"/>
      <c r="V471" s="395" t="e">
        <f t="shared" ref="V471:V612" si="310">H471/E471*1000</f>
        <v>#DIV/0!</v>
      </c>
      <c r="W471" s="395" t="e">
        <f t="shared" ref="W471:W612" si="311">H471/F471</f>
        <v>#DIV/0!</v>
      </c>
      <c r="X471" s="398"/>
      <c r="Y471" s="393"/>
      <c r="Z471" s="393"/>
      <c r="AA471" s="394"/>
      <c r="AB471" s="394"/>
      <c r="AC471" s="394"/>
      <c r="AD471" s="394"/>
      <c r="AE471" s="394"/>
      <c r="AF471" s="394"/>
      <c r="AG471" s="394"/>
      <c r="AH471" s="394"/>
      <c r="AI471" s="394"/>
      <c r="AJ471" s="394"/>
      <c r="AK471" s="385"/>
      <c r="AL471" s="385"/>
      <c r="AM471" s="385"/>
      <c r="AN471" s="475"/>
      <c r="AO471" s="395" t="e">
        <f t="shared" si="293"/>
        <v>#DIV/0!</v>
      </c>
      <c r="AP471" s="395" t="e">
        <f t="shared" si="294"/>
        <v>#DIV/0!</v>
      </c>
      <c r="AQ471" s="398"/>
      <c r="AR471" s="393"/>
      <c r="AS471" s="393"/>
      <c r="AT471" s="394"/>
      <c r="AU471" s="394"/>
      <c r="AV471" s="394"/>
      <c r="AW471" s="394"/>
      <c r="AX471" s="394"/>
      <c r="AY471" s="394"/>
      <c r="AZ471" s="394"/>
      <c r="BA471" s="394"/>
      <c r="BB471" s="394"/>
      <c r="BC471" s="394"/>
      <c r="BD471" s="385"/>
      <c r="BE471" s="385"/>
      <c r="BF471" s="385"/>
      <c r="BG471" s="475"/>
      <c r="BH471" s="395" t="e">
        <f t="shared" si="291"/>
        <v>#DIV/0!</v>
      </c>
      <c r="BI471" s="395" t="e">
        <f t="shared" si="292"/>
        <v>#DIV/0!</v>
      </c>
    </row>
    <row r="472" spans="1:61" s="358" customFormat="1" ht="72" x14ac:dyDescent="0.3">
      <c r="A472" s="410" t="s">
        <v>6313</v>
      </c>
      <c r="B472" s="411" t="s">
        <v>6314</v>
      </c>
      <c r="C472" s="586"/>
      <c r="D472" s="412"/>
      <c r="E472" s="413">
        <f t="shared" ref="E472:Q472" si="312">E473+E476+E489</f>
        <v>3158</v>
      </c>
      <c r="F472" s="413">
        <f t="shared" si="312"/>
        <v>1130</v>
      </c>
      <c r="G472" s="413">
        <f t="shared" si="312"/>
        <v>1130</v>
      </c>
      <c r="H472" s="414">
        <f t="shared" si="312"/>
        <v>3463.3296399999999</v>
      </c>
      <c r="I472" s="414">
        <f t="shared" si="312"/>
        <v>2573.4375</v>
      </c>
      <c r="J472" s="414">
        <f t="shared" si="312"/>
        <v>958.60490000000004</v>
      </c>
      <c r="K472" s="414">
        <f t="shared" si="312"/>
        <v>908.77043999999978</v>
      </c>
      <c r="L472" s="414">
        <f t="shared" si="312"/>
        <v>294.44703000000004</v>
      </c>
      <c r="M472" s="414">
        <f t="shared" si="312"/>
        <v>0</v>
      </c>
      <c r="N472" s="414">
        <f t="shared" si="312"/>
        <v>0</v>
      </c>
      <c r="O472" s="414">
        <f t="shared" si="312"/>
        <v>196.14690999999999</v>
      </c>
      <c r="P472" s="414">
        <f t="shared" si="312"/>
        <v>1825.2</v>
      </c>
      <c r="Q472" s="414">
        <f t="shared" si="312"/>
        <v>91.839470000000006</v>
      </c>
      <c r="R472" s="415"/>
      <c r="S472" s="415"/>
      <c r="T472" s="415"/>
      <c r="U472" s="473"/>
      <c r="V472" s="416">
        <f t="shared" si="310"/>
        <v>1096.6844965167827</v>
      </c>
      <c r="W472" s="416">
        <f t="shared" si="311"/>
        <v>3.0648934867256639</v>
      </c>
      <c r="X472" s="413">
        <f t="shared" ref="X472:AJ472" si="313">X473+X476+X489</f>
        <v>214</v>
      </c>
      <c r="Y472" s="413">
        <f t="shared" si="313"/>
        <v>350</v>
      </c>
      <c r="Z472" s="413">
        <f t="shared" si="313"/>
        <v>350</v>
      </c>
      <c r="AA472" s="414">
        <f t="shared" si="313"/>
        <v>825.5307600000001</v>
      </c>
      <c r="AB472" s="414">
        <f t="shared" si="313"/>
        <v>633.04205000000002</v>
      </c>
      <c r="AC472" s="414">
        <f t="shared" si="313"/>
        <v>71.390360000000001</v>
      </c>
      <c r="AD472" s="414">
        <f t="shared" si="313"/>
        <v>387.86376999999999</v>
      </c>
      <c r="AE472" s="414">
        <f t="shared" si="313"/>
        <v>89.445900000000009</v>
      </c>
      <c r="AF472" s="414">
        <f t="shared" si="313"/>
        <v>0</v>
      </c>
      <c r="AG472" s="414">
        <f t="shared" si="313"/>
        <v>0</v>
      </c>
      <c r="AH472" s="414">
        <f t="shared" si="313"/>
        <v>49.90155</v>
      </c>
      <c r="AI472" s="414">
        <f t="shared" si="313"/>
        <v>0.39079000000000003</v>
      </c>
      <c r="AJ472" s="414">
        <f t="shared" si="313"/>
        <v>24.939869999999999</v>
      </c>
      <c r="AK472" s="415"/>
      <c r="AL472" s="415"/>
      <c r="AM472" s="415"/>
      <c r="AN472" s="473"/>
      <c r="AO472" s="416">
        <f t="shared" si="293"/>
        <v>3857.6203738317759</v>
      </c>
      <c r="AP472" s="416">
        <f t="shared" si="294"/>
        <v>2.3586593142857146</v>
      </c>
      <c r="AQ472" s="413">
        <f t="shared" ref="AQ472:BC472" si="314">AQ473+AQ476+AQ489</f>
        <v>1287</v>
      </c>
      <c r="AR472" s="413">
        <f t="shared" si="314"/>
        <v>656</v>
      </c>
      <c r="AS472" s="413">
        <f t="shared" si="314"/>
        <v>656</v>
      </c>
      <c r="AT472" s="414">
        <f t="shared" si="314"/>
        <v>841.05297999999993</v>
      </c>
      <c r="AU472" s="414">
        <f t="shared" si="314"/>
        <v>634.69809000000009</v>
      </c>
      <c r="AV472" s="414">
        <f t="shared" si="314"/>
        <v>349.98678000000007</v>
      </c>
      <c r="AW472" s="414">
        <f t="shared" si="314"/>
        <v>194.24657000000002</v>
      </c>
      <c r="AX472" s="414">
        <f t="shared" si="314"/>
        <v>82.472790000000003</v>
      </c>
      <c r="AY472" s="414">
        <f t="shared" si="314"/>
        <v>0</v>
      </c>
      <c r="AZ472" s="414">
        <f t="shared" si="314"/>
        <v>0</v>
      </c>
      <c r="BA472" s="414">
        <f t="shared" si="314"/>
        <v>61.203870000000002</v>
      </c>
      <c r="BB472" s="414">
        <f t="shared" si="314"/>
        <v>1.0877600000000001</v>
      </c>
      <c r="BC472" s="414">
        <f t="shared" si="314"/>
        <v>43.655230000000003</v>
      </c>
      <c r="BD472" s="415"/>
      <c r="BE472" s="415"/>
      <c r="BF472" s="415"/>
      <c r="BG472" s="473"/>
      <c r="BH472" s="416">
        <f t="shared" si="291"/>
        <v>653.4988189588189</v>
      </c>
      <c r="BI472" s="416">
        <f t="shared" si="292"/>
        <v>1.2820929573170732</v>
      </c>
    </row>
    <row r="473" spans="1:61" s="358" customFormat="1" ht="24.75" customHeight="1" x14ac:dyDescent="0.3">
      <c r="A473" s="354" t="s">
        <v>6313</v>
      </c>
      <c r="B473" s="355" t="s">
        <v>179</v>
      </c>
      <c r="C473" s="587"/>
      <c r="D473" s="356">
        <v>0.4</v>
      </c>
      <c r="E473" s="389">
        <f t="shared" ref="E473:Q473" si="315">SUM(E474:E475)</f>
        <v>0</v>
      </c>
      <c r="F473" s="389">
        <f t="shared" si="315"/>
        <v>0</v>
      </c>
      <c r="G473" s="389">
        <f t="shared" si="315"/>
        <v>0</v>
      </c>
      <c r="H473" s="390">
        <f t="shared" si="315"/>
        <v>0</v>
      </c>
      <c r="I473" s="390">
        <f t="shared" si="315"/>
        <v>0</v>
      </c>
      <c r="J473" s="390">
        <f t="shared" si="315"/>
        <v>0</v>
      </c>
      <c r="K473" s="390">
        <f t="shared" si="315"/>
        <v>0</v>
      </c>
      <c r="L473" s="390">
        <f t="shared" si="315"/>
        <v>0</v>
      </c>
      <c r="M473" s="390">
        <f t="shared" si="315"/>
        <v>0</v>
      </c>
      <c r="N473" s="390">
        <f t="shared" si="315"/>
        <v>0</v>
      </c>
      <c r="O473" s="390">
        <f t="shared" si="315"/>
        <v>0</v>
      </c>
      <c r="P473" s="390">
        <f t="shared" si="315"/>
        <v>0</v>
      </c>
      <c r="Q473" s="390">
        <f t="shared" si="315"/>
        <v>0</v>
      </c>
      <c r="R473" s="391"/>
      <c r="S473" s="391"/>
      <c r="T473" s="391"/>
      <c r="U473" s="474"/>
      <c r="V473" s="392" t="e">
        <f t="shared" si="310"/>
        <v>#DIV/0!</v>
      </c>
      <c r="W473" s="392" t="e">
        <f t="shared" si="311"/>
        <v>#DIV/0!</v>
      </c>
      <c r="X473" s="389">
        <f t="shared" ref="X473:AJ473" si="316">SUM(X474:X475)</f>
        <v>0</v>
      </c>
      <c r="Y473" s="389">
        <f t="shared" si="316"/>
        <v>0</v>
      </c>
      <c r="Z473" s="389">
        <f t="shared" si="316"/>
        <v>0</v>
      </c>
      <c r="AA473" s="390">
        <f t="shared" si="316"/>
        <v>0</v>
      </c>
      <c r="AB473" s="390">
        <f t="shared" si="316"/>
        <v>0</v>
      </c>
      <c r="AC473" s="390">
        <f t="shared" si="316"/>
        <v>0</v>
      </c>
      <c r="AD473" s="390">
        <f t="shared" si="316"/>
        <v>0</v>
      </c>
      <c r="AE473" s="390">
        <f t="shared" si="316"/>
        <v>0</v>
      </c>
      <c r="AF473" s="390">
        <f t="shared" si="316"/>
        <v>0</v>
      </c>
      <c r="AG473" s="390">
        <f t="shared" si="316"/>
        <v>0</v>
      </c>
      <c r="AH473" s="390">
        <f t="shared" si="316"/>
        <v>0</v>
      </c>
      <c r="AI473" s="390">
        <f t="shared" si="316"/>
        <v>0</v>
      </c>
      <c r="AJ473" s="390">
        <f t="shared" si="316"/>
        <v>0</v>
      </c>
      <c r="AK473" s="391"/>
      <c r="AL473" s="391"/>
      <c r="AM473" s="391"/>
      <c r="AN473" s="474"/>
      <c r="AO473" s="392" t="e">
        <f t="shared" si="293"/>
        <v>#DIV/0!</v>
      </c>
      <c r="AP473" s="392" t="e">
        <f t="shared" si="294"/>
        <v>#DIV/0!</v>
      </c>
      <c r="AQ473" s="389">
        <f t="shared" ref="AQ473:BC473" si="317">SUM(AQ474:AQ475)</f>
        <v>0</v>
      </c>
      <c r="AR473" s="389">
        <f t="shared" si="317"/>
        <v>0</v>
      </c>
      <c r="AS473" s="389">
        <f t="shared" si="317"/>
        <v>0</v>
      </c>
      <c r="AT473" s="390">
        <f t="shared" si="317"/>
        <v>0</v>
      </c>
      <c r="AU473" s="390">
        <f t="shared" si="317"/>
        <v>0</v>
      </c>
      <c r="AV473" s="390">
        <f t="shared" si="317"/>
        <v>0</v>
      </c>
      <c r="AW473" s="390">
        <f t="shared" si="317"/>
        <v>0</v>
      </c>
      <c r="AX473" s="390">
        <f t="shared" si="317"/>
        <v>0</v>
      </c>
      <c r="AY473" s="390">
        <f t="shared" si="317"/>
        <v>0</v>
      </c>
      <c r="AZ473" s="390">
        <f t="shared" si="317"/>
        <v>0</v>
      </c>
      <c r="BA473" s="390">
        <f t="shared" si="317"/>
        <v>0</v>
      </c>
      <c r="BB473" s="390">
        <f t="shared" si="317"/>
        <v>0</v>
      </c>
      <c r="BC473" s="390">
        <f t="shared" si="317"/>
        <v>0</v>
      </c>
      <c r="BD473" s="391"/>
      <c r="BE473" s="391"/>
      <c r="BF473" s="391"/>
      <c r="BG473" s="474"/>
      <c r="BH473" s="392" t="e">
        <f t="shared" si="291"/>
        <v>#DIV/0!</v>
      </c>
      <c r="BI473" s="392" t="e">
        <f t="shared" si="292"/>
        <v>#DIV/0!</v>
      </c>
    </row>
    <row r="474" spans="1:61" s="358" customFormat="1" x14ac:dyDescent="0.3">
      <c r="A474" s="359"/>
      <c r="B474" s="378"/>
      <c r="C474" s="588"/>
      <c r="D474" s="360">
        <v>0.4</v>
      </c>
      <c r="E474" s="530"/>
      <c r="F474" s="530"/>
      <c r="G474" s="393"/>
      <c r="H474" s="394"/>
      <c r="I474" s="394"/>
      <c r="J474" s="394"/>
      <c r="K474" s="394"/>
      <c r="L474" s="394"/>
      <c r="M474" s="394"/>
      <c r="N474" s="394"/>
      <c r="O474" s="394"/>
      <c r="P474" s="394"/>
      <c r="Q474" s="394"/>
      <c r="R474" s="385"/>
      <c r="S474" s="385"/>
      <c r="T474" s="385"/>
      <c r="U474" s="475"/>
      <c r="V474" s="395" t="e">
        <f t="shared" si="310"/>
        <v>#DIV/0!</v>
      </c>
      <c r="W474" s="395" t="e">
        <f t="shared" si="311"/>
        <v>#DIV/0!</v>
      </c>
      <c r="X474" s="530"/>
      <c r="Y474" s="530"/>
      <c r="Z474" s="393"/>
      <c r="AA474" s="394"/>
      <c r="AB474" s="394"/>
      <c r="AC474" s="394"/>
      <c r="AD474" s="394"/>
      <c r="AE474" s="394"/>
      <c r="AF474" s="394"/>
      <c r="AG474" s="394"/>
      <c r="AH474" s="394"/>
      <c r="AI474" s="394"/>
      <c r="AJ474" s="394"/>
      <c r="AK474" s="385"/>
      <c r="AL474" s="385"/>
      <c r="AM474" s="385"/>
      <c r="AN474" s="475"/>
      <c r="AO474" s="395" t="e">
        <f t="shared" si="293"/>
        <v>#DIV/0!</v>
      </c>
      <c r="AP474" s="395" t="e">
        <f t="shared" si="294"/>
        <v>#DIV/0!</v>
      </c>
      <c r="AQ474" s="530"/>
      <c r="AR474" s="530"/>
      <c r="AS474" s="393"/>
      <c r="AT474" s="394"/>
      <c r="AU474" s="394"/>
      <c r="AV474" s="394"/>
      <c r="AW474" s="394"/>
      <c r="AX474" s="394"/>
      <c r="AY474" s="394"/>
      <c r="AZ474" s="394"/>
      <c r="BA474" s="394"/>
      <c r="BB474" s="394"/>
      <c r="BC474" s="394"/>
      <c r="BD474" s="385"/>
      <c r="BE474" s="385"/>
      <c r="BF474" s="385"/>
      <c r="BG474" s="475"/>
      <c r="BH474" s="395" t="e">
        <f t="shared" si="291"/>
        <v>#DIV/0!</v>
      </c>
      <c r="BI474" s="395" t="e">
        <f t="shared" si="292"/>
        <v>#DIV/0!</v>
      </c>
    </row>
    <row r="475" spans="1:61" s="358" customFormat="1" x14ac:dyDescent="0.3">
      <c r="A475" s="359"/>
      <c r="B475" s="378"/>
      <c r="C475" s="588"/>
      <c r="D475" s="360"/>
      <c r="E475" s="530"/>
      <c r="F475" s="530"/>
      <c r="G475" s="393"/>
      <c r="H475" s="394"/>
      <c r="I475" s="394"/>
      <c r="J475" s="394"/>
      <c r="K475" s="394"/>
      <c r="L475" s="394"/>
      <c r="M475" s="394"/>
      <c r="N475" s="394"/>
      <c r="O475" s="394"/>
      <c r="P475" s="394"/>
      <c r="Q475" s="394"/>
      <c r="R475" s="385"/>
      <c r="S475" s="385"/>
      <c r="T475" s="385"/>
      <c r="U475" s="475"/>
      <c r="V475" s="395" t="e">
        <f t="shared" si="310"/>
        <v>#DIV/0!</v>
      </c>
      <c r="W475" s="395" t="e">
        <f t="shared" si="311"/>
        <v>#DIV/0!</v>
      </c>
      <c r="X475" s="530"/>
      <c r="Y475" s="530"/>
      <c r="Z475" s="393"/>
      <c r="AA475" s="394"/>
      <c r="AB475" s="394"/>
      <c r="AC475" s="394"/>
      <c r="AD475" s="394"/>
      <c r="AE475" s="394"/>
      <c r="AF475" s="394"/>
      <c r="AG475" s="394"/>
      <c r="AH475" s="394"/>
      <c r="AI475" s="394"/>
      <c r="AJ475" s="394"/>
      <c r="AK475" s="385"/>
      <c r="AL475" s="385"/>
      <c r="AM475" s="385"/>
      <c r="AN475" s="475"/>
      <c r="AO475" s="395" t="e">
        <f t="shared" si="293"/>
        <v>#DIV/0!</v>
      </c>
      <c r="AP475" s="395" t="e">
        <f t="shared" si="294"/>
        <v>#DIV/0!</v>
      </c>
      <c r="AQ475" s="530"/>
      <c r="AR475" s="530"/>
      <c r="AS475" s="393"/>
      <c r="AT475" s="394"/>
      <c r="AU475" s="394"/>
      <c r="AV475" s="394"/>
      <c r="AW475" s="394"/>
      <c r="AX475" s="394"/>
      <c r="AY475" s="394"/>
      <c r="AZ475" s="394"/>
      <c r="BA475" s="394"/>
      <c r="BB475" s="394"/>
      <c r="BC475" s="394"/>
      <c r="BD475" s="385"/>
      <c r="BE475" s="385"/>
      <c r="BF475" s="385"/>
      <c r="BG475" s="475"/>
      <c r="BH475" s="395" t="e">
        <f t="shared" si="291"/>
        <v>#DIV/0!</v>
      </c>
      <c r="BI475" s="395" t="e">
        <f t="shared" si="292"/>
        <v>#DIV/0!</v>
      </c>
    </row>
    <row r="476" spans="1:61" s="358" customFormat="1" ht="24.75" customHeight="1" x14ac:dyDescent="0.3">
      <c r="A476" s="354" t="s">
        <v>6313</v>
      </c>
      <c r="B476" s="355" t="s">
        <v>197</v>
      </c>
      <c r="C476" s="587"/>
      <c r="D476" s="356">
        <v>0.4</v>
      </c>
      <c r="E476" s="389">
        <f t="shared" ref="E476:Q476" si="318">SUM(E477:E488)</f>
        <v>1900</v>
      </c>
      <c r="F476" s="389">
        <f t="shared" si="318"/>
        <v>830</v>
      </c>
      <c r="G476" s="389">
        <f t="shared" si="318"/>
        <v>830</v>
      </c>
      <c r="H476" s="390">
        <f t="shared" si="318"/>
        <v>1698.5278499999999</v>
      </c>
      <c r="I476" s="390">
        <f t="shared" si="318"/>
        <v>1260.54721</v>
      </c>
      <c r="J476" s="390">
        <f t="shared" si="318"/>
        <v>510.065</v>
      </c>
      <c r="K476" s="390">
        <f t="shared" si="318"/>
        <v>593.8366299999999</v>
      </c>
      <c r="L476" s="390">
        <f t="shared" si="318"/>
        <v>192.40322</v>
      </c>
      <c r="M476" s="390">
        <f t="shared" si="318"/>
        <v>0</v>
      </c>
      <c r="N476" s="390">
        <f t="shared" si="318"/>
        <v>0</v>
      </c>
      <c r="O476" s="390">
        <f t="shared" si="318"/>
        <v>115.49081</v>
      </c>
      <c r="P476" s="390">
        <f t="shared" si="318"/>
        <v>1587.5</v>
      </c>
      <c r="Q476" s="390">
        <f t="shared" si="318"/>
        <v>71.55547</v>
      </c>
      <c r="R476" s="391"/>
      <c r="S476" s="391"/>
      <c r="T476" s="391"/>
      <c r="U476" s="474"/>
      <c r="V476" s="392">
        <f t="shared" si="310"/>
        <v>893.96202631578944</v>
      </c>
      <c r="W476" s="392">
        <f t="shared" si="311"/>
        <v>2.046419096385542</v>
      </c>
      <c r="X476" s="389">
        <f t="shared" ref="X476:AJ476" si="319">SUM(X477:X488)</f>
        <v>44</v>
      </c>
      <c r="Y476" s="389">
        <f t="shared" si="319"/>
        <v>250</v>
      </c>
      <c r="Z476" s="389">
        <f t="shared" si="319"/>
        <v>250</v>
      </c>
      <c r="AA476" s="390">
        <f t="shared" si="319"/>
        <v>39.894069999999999</v>
      </c>
      <c r="AB476" s="390">
        <f t="shared" si="319"/>
        <v>31.016380000000002</v>
      </c>
      <c r="AC476" s="390">
        <f t="shared" si="319"/>
        <v>11.96536</v>
      </c>
      <c r="AD476" s="390">
        <f t="shared" si="319"/>
        <v>12.87533</v>
      </c>
      <c r="AE476" s="390">
        <f t="shared" si="319"/>
        <v>3.95099</v>
      </c>
      <c r="AF476" s="390">
        <f t="shared" si="319"/>
        <v>0</v>
      </c>
      <c r="AG476" s="390">
        <f t="shared" si="319"/>
        <v>0</v>
      </c>
      <c r="AH476" s="390">
        <f t="shared" si="319"/>
        <v>2.4147699999999999</v>
      </c>
      <c r="AI476" s="390">
        <f t="shared" si="319"/>
        <v>0.27194000000000002</v>
      </c>
      <c r="AJ476" s="390">
        <f t="shared" si="319"/>
        <v>12.87533</v>
      </c>
      <c r="AK476" s="391"/>
      <c r="AL476" s="391"/>
      <c r="AM476" s="391"/>
      <c r="AN476" s="474"/>
      <c r="AO476" s="392">
        <f t="shared" si="293"/>
        <v>906.68340909090909</v>
      </c>
      <c r="AP476" s="392">
        <f t="shared" si="294"/>
        <v>0.15957627999999999</v>
      </c>
      <c r="AQ476" s="389">
        <f t="shared" ref="AQ476:BC476" si="320">SUM(AQ477:AQ488)</f>
        <v>1287</v>
      </c>
      <c r="AR476" s="389">
        <f t="shared" si="320"/>
        <v>656</v>
      </c>
      <c r="AS476" s="389">
        <f t="shared" si="320"/>
        <v>656</v>
      </c>
      <c r="AT476" s="390">
        <f t="shared" si="320"/>
        <v>841.05297999999993</v>
      </c>
      <c r="AU476" s="390">
        <f t="shared" si="320"/>
        <v>634.69809000000009</v>
      </c>
      <c r="AV476" s="390">
        <f t="shared" si="320"/>
        <v>349.98678000000007</v>
      </c>
      <c r="AW476" s="390">
        <f t="shared" si="320"/>
        <v>194.24657000000002</v>
      </c>
      <c r="AX476" s="390">
        <f t="shared" si="320"/>
        <v>82.472790000000003</v>
      </c>
      <c r="AY476" s="390">
        <f t="shared" si="320"/>
        <v>0</v>
      </c>
      <c r="AZ476" s="390">
        <f t="shared" si="320"/>
        <v>0</v>
      </c>
      <c r="BA476" s="390">
        <f t="shared" si="320"/>
        <v>61.203870000000002</v>
      </c>
      <c r="BB476" s="390">
        <f t="shared" si="320"/>
        <v>1.0877600000000001</v>
      </c>
      <c r="BC476" s="390">
        <f t="shared" si="320"/>
        <v>43.655230000000003</v>
      </c>
      <c r="BD476" s="391"/>
      <c r="BE476" s="391"/>
      <c r="BF476" s="391"/>
      <c r="BG476" s="474"/>
      <c r="BH476" s="392">
        <f t="shared" si="291"/>
        <v>653.4988189588189</v>
      </c>
      <c r="BI476" s="392">
        <f t="shared" si="292"/>
        <v>1.2820929573170732</v>
      </c>
    </row>
    <row r="477" spans="1:61" s="358" customFormat="1" ht="19.2" x14ac:dyDescent="0.3">
      <c r="A477" s="359"/>
      <c r="B477" s="537" t="s">
        <v>560</v>
      </c>
      <c r="C477" s="546" t="s">
        <v>425</v>
      </c>
      <c r="D477" s="360">
        <v>0.4</v>
      </c>
      <c r="E477" s="531">
        <v>550</v>
      </c>
      <c r="F477" s="523">
        <v>150</v>
      </c>
      <c r="G477" s="393">
        <v>150</v>
      </c>
      <c r="H477" s="542">
        <v>556.45336999999995</v>
      </c>
      <c r="I477" s="394">
        <v>409.37457999999998</v>
      </c>
      <c r="J477" s="394">
        <v>149.56700000000001</v>
      </c>
      <c r="K477" s="394">
        <f>139.20746+9.94339+69.03463+9.94339</f>
        <v>228.12886999999998</v>
      </c>
      <c r="L477" s="394">
        <v>62.929450000000003</v>
      </c>
      <c r="M477" s="394">
        <v>0</v>
      </c>
      <c r="N477" s="394">
        <v>0</v>
      </c>
      <c r="O477" s="394">
        <v>36.189050000000002</v>
      </c>
      <c r="P477" s="394">
        <v>271.94</v>
      </c>
      <c r="Q477" s="394">
        <v>9.9433900000000008</v>
      </c>
      <c r="R477" s="381" t="s">
        <v>167</v>
      </c>
      <c r="S477" s="408" t="s">
        <v>175</v>
      </c>
      <c r="T477" s="385"/>
      <c r="U477" s="475">
        <v>254</v>
      </c>
      <c r="V477" s="395">
        <f t="shared" ref="V477:V488" si="321">H477/E477*1000</f>
        <v>1011.7334</v>
      </c>
      <c r="W477" s="395">
        <f t="shared" ref="W477:W488" si="322">H477/F477</f>
        <v>3.7096891333333328</v>
      </c>
      <c r="X477" s="531"/>
      <c r="Y477" s="523"/>
      <c r="Z477" s="393"/>
      <c r="AA477" s="542"/>
      <c r="AB477" s="394"/>
      <c r="AC477" s="394"/>
      <c r="AD477" s="394"/>
      <c r="AE477" s="394"/>
      <c r="AF477" s="394"/>
      <c r="AG477" s="394"/>
      <c r="AH477" s="394"/>
      <c r="AI477" s="394"/>
      <c r="AJ477" s="394"/>
      <c r="AK477" s="381"/>
      <c r="AL477" s="408"/>
      <c r="AM477" s="385"/>
      <c r="AN477" s="475"/>
      <c r="AO477" s="395" t="e">
        <f t="shared" si="293"/>
        <v>#DIV/0!</v>
      </c>
      <c r="AP477" s="395" t="e">
        <f t="shared" si="294"/>
        <v>#DIV/0!</v>
      </c>
      <c r="AQ477" s="531"/>
      <c r="AR477" s="523"/>
      <c r="AS477" s="393"/>
      <c r="AT477" s="542"/>
      <c r="AU477" s="394"/>
      <c r="AV477" s="394"/>
      <c r="AW477" s="394"/>
      <c r="AX477" s="394"/>
      <c r="AY477" s="394"/>
      <c r="AZ477" s="394"/>
      <c r="BA477" s="394"/>
      <c r="BB477" s="394"/>
      <c r="BC477" s="394"/>
      <c r="BD477" s="381"/>
      <c r="BE477" s="408"/>
      <c r="BF477" s="385"/>
      <c r="BG477" s="475"/>
      <c r="BH477" s="395" t="e">
        <f t="shared" si="291"/>
        <v>#DIV/0!</v>
      </c>
      <c r="BI477" s="395" t="e">
        <f t="shared" si="292"/>
        <v>#DIV/0!</v>
      </c>
    </row>
    <row r="478" spans="1:61" s="358" customFormat="1" ht="19.2" x14ac:dyDescent="0.3">
      <c r="A478" s="359" t="s">
        <v>182</v>
      </c>
      <c r="B478" s="537" t="s">
        <v>580</v>
      </c>
      <c r="C478" s="546" t="s">
        <v>450</v>
      </c>
      <c r="D478" s="360">
        <v>0.4</v>
      </c>
      <c r="E478" s="531">
        <v>170</v>
      </c>
      <c r="F478" s="523">
        <v>150</v>
      </c>
      <c r="G478" s="393">
        <v>150</v>
      </c>
      <c r="H478" s="542">
        <v>102.10196000000001</v>
      </c>
      <c r="I478" s="394">
        <v>80.202650000000006</v>
      </c>
      <c r="J478" s="394">
        <v>46.229799999999997</v>
      </c>
      <c r="K478" s="394">
        <v>23.666</v>
      </c>
      <c r="L478" s="394">
        <v>9.5458999999999996</v>
      </c>
      <c r="M478" s="394">
        <v>0</v>
      </c>
      <c r="N478" s="394">
        <v>0</v>
      </c>
      <c r="O478" s="394">
        <v>6.1407499999999997</v>
      </c>
      <c r="P478" s="394">
        <v>271.94</v>
      </c>
      <c r="Q478" s="394">
        <v>11.833</v>
      </c>
      <c r="R478" s="381" t="s">
        <v>167</v>
      </c>
      <c r="S478" s="408" t="s">
        <v>175</v>
      </c>
      <c r="T478" s="385"/>
      <c r="U478" s="475">
        <v>257</v>
      </c>
      <c r="V478" s="395">
        <f t="shared" si="321"/>
        <v>600.59976470588242</v>
      </c>
      <c r="W478" s="395">
        <f t="shared" si="322"/>
        <v>0.68067973333333331</v>
      </c>
      <c r="X478" s="531"/>
      <c r="Y478" s="523"/>
      <c r="Z478" s="393"/>
      <c r="AA478" s="542"/>
      <c r="AB478" s="394"/>
      <c r="AC478" s="394"/>
      <c r="AD478" s="394"/>
      <c r="AE478" s="394"/>
      <c r="AF478" s="394"/>
      <c r="AG478" s="394"/>
      <c r="AH478" s="394"/>
      <c r="AI478" s="394"/>
      <c r="AJ478" s="394"/>
      <c r="AK478" s="381"/>
      <c r="AL478" s="408"/>
      <c r="AM478" s="385"/>
      <c r="AN478" s="475"/>
      <c r="AO478" s="395" t="e">
        <f t="shared" si="293"/>
        <v>#DIV/0!</v>
      </c>
      <c r="AP478" s="395" t="e">
        <f t="shared" si="294"/>
        <v>#DIV/0!</v>
      </c>
      <c r="AQ478" s="531"/>
      <c r="AR478" s="523"/>
      <c r="AS478" s="393"/>
      <c r="AT478" s="542"/>
      <c r="AU478" s="394"/>
      <c r="AV478" s="394"/>
      <c r="AW478" s="394"/>
      <c r="AX478" s="394"/>
      <c r="AY478" s="394"/>
      <c r="AZ478" s="394"/>
      <c r="BA478" s="394"/>
      <c r="BB478" s="394"/>
      <c r="BC478" s="394"/>
      <c r="BD478" s="381"/>
      <c r="BE478" s="408"/>
      <c r="BF478" s="385"/>
      <c r="BG478" s="475"/>
      <c r="BH478" s="395" t="e">
        <f t="shared" si="291"/>
        <v>#DIV/0!</v>
      </c>
      <c r="BI478" s="395" t="e">
        <f t="shared" si="292"/>
        <v>#DIV/0!</v>
      </c>
    </row>
    <row r="479" spans="1:61" s="358" customFormat="1" ht="19.2" x14ac:dyDescent="0.3">
      <c r="A479" s="359" t="s">
        <v>184</v>
      </c>
      <c r="B479" s="537" t="s">
        <v>622</v>
      </c>
      <c r="C479" s="546" t="s">
        <v>497</v>
      </c>
      <c r="D479" s="360">
        <v>0.4</v>
      </c>
      <c r="E479" s="531">
        <v>70</v>
      </c>
      <c r="F479" s="523">
        <v>150</v>
      </c>
      <c r="G479" s="393">
        <v>150</v>
      </c>
      <c r="H479" s="542">
        <v>65.608869999999996</v>
      </c>
      <c r="I479" s="394">
        <v>47.48657</v>
      </c>
      <c r="J479" s="394">
        <v>19.035799999999998</v>
      </c>
      <c r="K479" s="394">
        <f>12.25268+12.25268</f>
        <v>24.50536</v>
      </c>
      <c r="L479" s="394">
        <v>6.30185</v>
      </c>
      <c r="M479" s="394">
        <v>0</v>
      </c>
      <c r="N479" s="394">
        <v>0</v>
      </c>
      <c r="O479" s="394">
        <v>5.4415699999999996</v>
      </c>
      <c r="P479" s="394">
        <v>271.94</v>
      </c>
      <c r="Q479" s="394">
        <v>12.25268</v>
      </c>
      <c r="R479" s="381" t="s">
        <v>167</v>
      </c>
      <c r="S479" s="408" t="s">
        <v>175</v>
      </c>
      <c r="T479" s="385"/>
      <c r="U479" s="475">
        <v>259</v>
      </c>
      <c r="V479" s="395">
        <f t="shared" si="321"/>
        <v>937.26957142857134</v>
      </c>
      <c r="W479" s="395">
        <f t="shared" si="322"/>
        <v>0.43739246666666665</v>
      </c>
      <c r="X479" s="531"/>
      <c r="Y479" s="523"/>
      <c r="Z479" s="393"/>
      <c r="AA479" s="542"/>
      <c r="AB479" s="394"/>
      <c r="AC479" s="394"/>
      <c r="AD479" s="394"/>
      <c r="AE479" s="394"/>
      <c r="AF479" s="394"/>
      <c r="AG479" s="394"/>
      <c r="AH479" s="394"/>
      <c r="AI479" s="394"/>
      <c r="AJ479" s="394"/>
      <c r="AK479" s="381"/>
      <c r="AL479" s="408"/>
      <c r="AM479" s="385"/>
      <c r="AN479" s="475"/>
      <c r="AO479" s="395" t="e">
        <f t="shared" si="293"/>
        <v>#DIV/0!</v>
      </c>
      <c r="AP479" s="395" t="e">
        <f t="shared" si="294"/>
        <v>#DIV/0!</v>
      </c>
      <c r="AQ479" s="531"/>
      <c r="AR479" s="523"/>
      <c r="AS479" s="393"/>
      <c r="AT479" s="542"/>
      <c r="AU479" s="394"/>
      <c r="AV479" s="394"/>
      <c r="AW479" s="394"/>
      <c r="AX479" s="394"/>
      <c r="AY479" s="394"/>
      <c r="AZ479" s="394"/>
      <c r="BA479" s="394"/>
      <c r="BB479" s="394"/>
      <c r="BC479" s="394"/>
      <c r="BD479" s="381"/>
      <c r="BE479" s="408"/>
      <c r="BF479" s="385"/>
      <c r="BG479" s="475"/>
      <c r="BH479" s="395" t="e">
        <f t="shared" si="291"/>
        <v>#DIV/0!</v>
      </c>
      <c r="BI479" s="395" t="e">
        <f t="shared" si="292"/>
        <v>#DIV/0!</v>
      </c>
    </row>
    <row r="480" spans="1:61" s="358" customFormat="1" ht="19.2" x14ac:dyDescent="0.3">
      <c r="A480" s="359" t="s">
        <v>186</v>
      </c>
      <c r="B480" s="537" t="s">
        <v>558</v>
      </c>
      <c r="C480" s="546" t="s">
        <v>423</v>
      </c>
      <c r="D480" s="360">
        <v>0.4</v>
      </c>
      <c r="E480" s="531">
        <v>160</v>
      </c>
      <c r="F480" s="523">
        <v>15</v>
      </c>
      <c r="G480" s="393">
        <v>15</v>
      </c>
      <c r="H480" s="542">
        <v>201.08445</v>
      </c>
      <c r="I480" s="394">
        <v>154.68867</v>
      </c>
      <c r="J480" s="394">
        <v>43.510399999999997</v>
      </c>
      <c r="K480" s="394">
        <v>62.365699999999997</v>
      </c>
      <c r="L480" s="394">
        <v>20.25573</v>
      </c>
      <c r="M480" s="394">
        <v>0</v>
      </c>
      <c r="N480" s="394">
        <v>0</v>
      </c>
      <c r="O480" s="394">
        <v>12.835150000000001</v>
      </c>
      <c r="P480" s="394">
        <v>271.94</v>
      </c>
      <c r="Q480" s="394">
        <v>12.473140000000001</v>
      </c>
      <c r="R480" s="381" t="s">
        <v>167</v>
      </c>
      <c r="S480" s="408" t="s">
        <v>175</v>
      </c>
      <c r="T480" s="385"/>
      <c r="U480" s="475">
        <v>261</v>
      </c>
      <c r="V480" s="395">
        <f t="shared" si="321"/>
        <v>1256.7778125</v>
      </c>
      <c r="W480" s="395">
        <f t="shared" si="322"/>
        <v>13.40563</v>
      </c>
      <c r="X480" s="531"/>
      <c r="Y480" s="523"/>
      <c r="Z480" s="393"/>
      <c r="AA480" s="542"/>
      <c r="AB480" s="394"/>
      <c r="AC480" s="394"/>
      <c r="AD480" s="394"/>
      <c r="AE480" s="394"/>
      <c r="AF480" s="394"/>
      <c r="AG480" s="394"/>
      <c r="AH480" s="394"/>
      <c r="AI480" s="394"/>
      <c r="AJ480" s="394"/>
      <c r="AK480" s="381"/>
      <c r="AL480" s="408"/>
      <c r="AM480" s="385"/>
      <c r="AN480" s="475"/>
      <c r="AO480" s="395" t="e">
        <f t="shared" si="293"/>
        <v>#DIV/0!</v>
      </c>
      <c r="AP480" s="395" t="e">
        <f t="shared" si="294"/>
        <v>#DIV/0!</v>
      </c>
      <c r="AQ480" s="531"/>
      <c r="AR480" s="523"/>
      <c r="AS480" s="393"/>
      <c r="AT480" s="542"/>
      <c r="AU480" s="394"/>
      <c r="AV480" s="394"/>
      <c r="AW480" s="394"/>
      <c r="AX480" s="394"/>
      <c r="AY480" s="394"/>
      <c r="AZ480" s="394"/>
      <c r="BA480" s="394"/>
      <c r="BB480" s="394"/>
      <c r="BC480" s="394"/>
      <c r="BD480" s="381"/>
      <c r="BE480" s="408"/>
      <c r="BF480" s="385"/>
      <c r="BG480" s="475"/>
      <c r="BH480" s="395" t="e">
        <f t="shared" si="291"/>
        <v>#DIV/0!</v>
      </c>
      <c r="BI480" s="395" t="e">
        <f t="shared" si="292"/>
        <v>#DIV/0!</v>
      </c>
    </row>
    <row r="481" spans="1:61" s="358" customFormat="1" ht="19.2" x14ac:dyDescent="0.3">
      <c r="A481" s="359" t="s">
        <v>189</v>
      </c>
      <c r="B481" s="537" t="s">
        <v>641</v>
      </c>
      <c r="C481" s="546" t="s">
        <v>519</v>
      </c>
      <c r="D481" s="360">
        <v>0.4</v>
      </c>
      <c r="E481" s="531">
        <v>800</v>
      </c>
      <c r="F481" s="523">
        <v>350</v>
      </c>
      <c r="G481" s="393">
        <v>350</v>
      </c>
      <c r="H481" s="542">
        <v>631.30565999999999</v>
      </c>
      <c r="I481" s="394">
        <v>461.47032000000002</v>
      </c>
      <c r="J481" s="394">
        <v>217.55199999999999</v>
      </c>
      <c r="K481" s="394">
        <f>87.7541+50.1452+50.1452+4.5414</f>
        <v>192.58589999999998</v>
      </c>
      <c r="L481" s="394">
        <v>77.456909999999993</v>
      </c>
      <c r="M481" s="394">
        <v>0</v>
      </c>
      <c r="N481" s="394">
        <v>0</v>
      </c>
      <c r="O481" s="394">
        <v>45.599679999999999</v>
      </c>
      <c r="P481" s="394">
        <v>271.94</v>
      </c>
      <c r="Q481" s="394">
        <v>12.536300000000001</v>
      </c>
      <c r="R481" s="381" t="s">
        <v>167</v>
      </c>
      <c r="S481" s="408" t="s">
        <v>175</v>
      </c>
      <c r="T481" s="385"/>
      <c r="U481" s="475">
        <v>263</v>
      </c>
      <c r="V481" s="395">
        <f t="shared" si="321"/>
        <v>789.13207499999999</v>
      </c>
      <c r="W481" s="395">
        <f t="shared" si="322"/>
        <v>1.8037304571428572</v>
      </c>
      <c r="X481" s="531"/>
      <c r="Y481" s="523"/>
      <c r="Z481" s="393"/>
      <c r="AA481" s="542"/>
      <c r="AB481" s="394"/>
      <c r="AC481" s="394"/>
      <c r="AD481" s="394"/>
      <c r="AE481" s="394"/>
      <c r="AF481" s="394"/>
      <c r="AG481" s="394"/>
      <c r="AH481" s="394"/>
      <c r="AI481" s="394"/>
      <c r="AJ481" s="394"/>
      <c r="AK481" s="381"/>
      <c r="AL481" s="408"/>
      <c r="AM481" s="385"/>
      <c r="AN481" s="475"/>
      <c r="AO481" s="395" t="e">
        <f t="shared" si="293"/>
        <v>#DIV/0!</v>
      </c>
      <c r="AP481" s="395" t="e">
        <f t="shared" si="294"/>
        <v>#DIV/0!</v>
      </c>
      <c r="AQ481" s="531"/>
      <c r="AR481" s="523"/>
      <c r="AS481" s="393"/>
      <c r="AT481" s="542"/>
      <c r="AU481" s="394"/>
      <c r="AV481" s="394"/>
      <c r="AW481" s="394"/>
      <c r="AX481" s="394"/>
      <c r="AY481" s="394"/>
      <c r="AZ481" s="394"/>
      <c r="BA481" s="394"/>
      <c r="BB481" s="394"/>
      <c r="BC481" s="394"/>
      <c r="BD481" s="381"/>
      <c r="BE481" s="408"/>
      <c r="BF481" s="385"/>
      <c r="BG481" s="475"/>
      <c r="BH481" s="395" t="e">
        <f t="shared" si="291"/>
        <v>#DIV/0!</v>
      </c>
      <c r="BI481" s="395" t="e">
        <f t="shared" si="292"/>
        <v>#DIV/0!</v>
      </c>
    </row>
    <row r="482" spans="1:61" s="358" customFormat="1" ht="19.2" x14ac:dyDescent="0.3">
      <c r="A482" s="359" t="s">
        <v>267</v>
      </c>
      <c r="B482" s="537" t="s">
        <v>644</v>
      </c>
      <c r="C482" s="546" t="s">
        <v>522</v>
      </c>
      <c r="D482" s="360">
        <v>0.4</v>
      </c>
      <c r="E482" s="531">
        <v>150</v>
      </c>
      <c r="F482" s="523">
        <v>15</v>
      </c>
      <c r="G482" s="393">
        <v>15</v>
      </c>
      <c r="H482" s="542">
        <v>141.97354000000001</v>
      </c>
      <c r="I482" s="394">
        <v>107.32442</v>
      </c>
      <c r="J482" s="394">
        <v>34.17</v>
      </c>
      <c r="K482" s="394">
        <f>37.55088+25.03392</f>
        <v>62.584800000000001</v>
      </c>
      <c r="L482" s="394">
        <v>15.91338</v>
      </c>
      <c r="M482" s="394">
        <v>0</v>
      </c>
      <c r="N482" s="394">
        <v>0</v>
      </c>
      <c r="O482" s="394">
        <v>9.2846100000000007</v>
      </c>
      <c r="P482" s="394">
        <v>227.8</v>
      </c>
      <c r="Q482" s="394">
        <v>12.516959999999999</v>
      </c>
      <c r="R482" s="381" t="s">
        <v>167</v>
      </c>
      <c r="S482" s="408" t="s">
        <v>175</v>
      </c>
      <c r="T482" s="385"/>
      <c r="U482" s="475">
        <v>266</v>
      </c>
      <c r="V482" s="395">
        <f t="shared" si="321"/>
        <v>946.4902666666668</v>
      </c>
      <c r="W482" s="395">
        <f t="shared" si="322"/>
        <v>9.4649026666666671</v>
      </c>
      <c r="X482" s="531"/>
      <c r="Y482" s="523"/>
      <c r="Z482" s="393"/>
      <c r="AA482" s="542"/>
      <c r="AB482" s="394"/>
      <c r="AC482" s="394"/>
      <c r="AD482" s="394"/>
      <c r="AE482" s="394"/>
      <c r="AF482" s="394"/>
      <c r="AG482" s="394"/>
      <c r="AH482" s="394"/>
      <c r="AI482" s="394"/>
      <c r="AJ482" s="394"/>
      <c r="AK482" s="381"/>
      <c r="AL482" s="408"/>
      <c r="AM482" s="385"/>
      <c r="AN482" s="475"/>
      <c r="AO482" s="395" t="e">
        <f t="shared" si="293"/>
        <v>#DIV/0!</v>
      </c>
      <c r="AP482" s="395" t="e">
        <f t="shared" si="294"/>
        <v>#DIV/0!</v>
      </c>
      <c r="AQ482" s="531"/>
      <c r="AR482" s="523"/>
      <c r="AS482" s="393"/>
      <c r="AT482" s="542"/>
      <c r="AU482" s="394"/>
      <c r="AV482" s="394"/>
      <c r="AW482" s="394"/>
      <c r="AX482" s="394"/>
      <c r="AY482" s="394"/>
      <c r="AZ482" s="394"/>
      <c r="BA482" s="394"/>
      <c r="BB482" s="394"/>
      <c r="BC482" s="394"/>
      <c r="BD482" s="381"/>
      <c r="BE482" s="408"/>
      <c r="BF482" s="385"/>
      <c r="BG482" s="475"/>
      <c r="BH482" s="395" t="e">
        <f t="shared" si="291"/>
        <v>#DIV/0!</v>
      </c>
      <c r="BI482" s="395" t="e">
        <f t="shared" si="292"/>
        <v>#DIV/0!</v>
      </c>
    </row>
    <row r="483" spans="1:61" s="358" customFormat="1" ht="19.2" x14ac:dyDescent="0.3">
      <c r="A483" s="359" t="s">
        <v>178</v>
      </c>
      <c r="B483" s="572" t="s">
        <v>622</v>
      </c>
      <c r="C483" s="546" t="s">
        <v>2589</v>
      </c>
      <c r="D483" s="360">
        <v>0.4</v>
      </c>
      <c r="E483" s="531"/>
      <c r="F483" s="523"/>
      <c r="G483" s="393"/>
      <c r="H483" s="571"/>
      <c r="I483" s="394"/>
      <c r="J483" s="394"/>
      <c r="K483" s="394"/>
      <c r="L483" s="394"/>
      <c r="M483" s="394"/>
      <c r="N483" s="394"/>
      <c r="O483" s="394"/>
      <c r="P483" s="394"/>
      <c r="Q483" s="394"/>
      <c r="R483" s="381"/>
      <c r="S483" s="408"/>
      <c r="T483" s="385"/>
      <c r="U483" s="475"/>
      <c r="V483" s="395"/>
      <c r="W483" s="395"/>
      <c r="X483" s="531">
        <v>44</v>
      </c>
      <c r="Y483" s="523">
        <v>250</v>
      </c>
      <c r="Z483" s="393">
        <v>250</v>
      </c>
      <c r="AA483" s="571">
        <v>39.894069999999999</v>
      </c>
      <c r="AB483" s="394">
        <v>31.016380000000002</v>
      </c>
      <c r="AC483" s="394">
        <v>11.96536</v>
      </c>
      <c r="AD483" s="394">
        <v>12.87533</v>
      </c>
      <c r="AE483" s="394">
        <v>3.95099</v>
      </c>
      <c r="AF483" s="394">
        <v>0</v>
      </c>
      <c r="AG483" s="394">
        <v>0</v>
      </c>
      <c r="AH483" s="394">
        <v>2.4147699999999999</v>
      </c>
      <c r="AI483" s="394">
        <v>0.27194000000000002</v>
      </c>
      <c r="AJ483" s="394">
        <v>12.87533</v>
      </c>
      <c r="AK483" s="381" t="s">
        <v>167</v>
      </c>
      <c r="AL483" s="408" t="s">
        <v>175</v>
      </c>
      <c r="AM483" s="385"/>
      <c r="AN483" s="475">
        <v>340</v>
      </c>
      <c r="AO483" s="395">
        <f t="shared" ref="AO483" si="323">AA483/X483*1000</f>
        <v>906.68340909090909</v>
      </c>
      <c r="AP483" s="395">
        <f t="shared" ref="AP483" si="324">AA483/Y483</f>
        <v>0.15957627999999999</v>
      </c>
      <c r="AQ483" s="531"/>
      <c r="AR483" s="523"/>
      <c r="AS483" s="393"/>
      <c r="AT483" s="571"/>
      <c r="AU483" s="394"/>
      <c r="AV483" s="394"/>
      <c r="AW483" s="394"/>
      <c r="AX483" s="394"/>
      <c r="AY483" s="394"/>
      <c r="AZ483" s="394"/>
      <c r="BA483" s="394"/>
      <c r="BB483" s="394"/>
      <c r="BC483" s="394"/>
      <c r="BD483" s="381"/>
      <c r="BE483" s="408"/>
      <c r="BF483" s="385"/>
      <c r="BG483" s="475"/>
      <c r="BH483" s="395" t="e">
        <f t="shared" si="291"/>
        <v>#DIV/0!</v>
      </c>
      <c r="BI483" s="395" t="e">
        <f t="shared" si="292"/>
        <v>#DIV/0!</v>
      </c>
    </row>
    <row r="484" spans="1:61" s="358" customFormat="1" ht="19.2" x14ac:dyDescent="0.3">
      <c r="A484" s="359" t="s">
        <v>178</v>
      </c>
      <c r="B484" s="602" t="s">
        <v>1842</v>
      </c>
      <c r="C484" s="548" t="s">
        <v>4689</v>
      </c>
      <c r="D484" s="360">
        <v>0.4</v>
      </c>
      <c r="E484" s="528"/>
      <c r="F484" s="523"/>
      <c r="G484" s="393"/>
      <c r="H484" s="394"/>
      <c r="I484" s="394"/>
      <c r="J484" s="394"/>
      <c r="K484" s="394"/>
      <c r="L484" s="394"/>
      <c r="M484" s="394"/>
      <c r="N484" s="394"/>
      <c r="O484" s="394"/>
      <c r="P484" s="394"/>
      <c r="Q484" s="394"/>
      <c r="R484" s="381"/>
      <c r="S484" s="408"/>
      <c r="T484" s="385"/>
      <c r="U484" s="475"/>
      <c r="V484" s="395"/>
      <c r="W484" s="395"/>
      <c r="X484" s="528"/>
      <c r="Y484" s="523"/>
      <c r="Z484" s="393"/>
      <c r="AA484" s="394"/>
      <c r="AB484" s="394"/>
      <c r="AC484" s="394"/>
      <c r="AD484" s="394"/>
      <c r="AE484" s="394"/>
      <c r="AF484" s="394"/>
      <c r="AG484" s="394"/>
      <c r="AH484" s="394"/>
      <c r="AI484" s="394"/>
      <c r="AJ484" s="394"/>
      <c r="AK484" s="381"/>
      <c r="AL484" s="408"/>
      <c r="AM484" s="385"/>
      <c r="AN484" s="475"/>
      <c r="AO484" s="395"/>
      <c r="AP484" s="395"/>
      <c r="AQ484" s="528">
        <v>105</v>
      </c>
      <c r="AR484" s="523">
        <v>150</v>
      </c>
      <c r="AS484" s="393">
        <v>150</v>
      </c>
      <c r="AT484" s="600">
        <v>165.64385999999999</v>
      </c>
      <c r="AU484" s="394">
        <v>116.56270000000001</v>
      </c>
      <c r="AV484" s="394">
        <v>28.553699999999999</v>
      </c>
      <c r="AW484" s="394">
        <f>11.07022+66.42132</f>
        <v>77.491540000000001</v>
      </c>
      <c r="AX484" s="394">
        <v>24.701640000000001</v>
      </c>
      <c r="AY484" s="394">
        <v>0</v>
      </c>
      <c r="AZ484" s="394">
        <v>0</v>
      </c>
      <c r="BA484" s="394">
        <v>11.991070000000001</v>
      </c>
      <c r="BB484" s="394">
        <v>0.27194000000000002</v>
      </c>
      <c r="BC484" s="394">
        <v>11.070220000000001</v>
      </c>
      <c r="BD484" s="381" t="s">
        <v>167</v>
      </c>
      <c r="BE484" s="408" t="s">
        <v>175</v>
      </c>
      <c r="BF484" s="385"/>
      <c r="BG484" s="475">
        <v>314</v>
      </c>
      <c r="BH484" s="395">
        <f t="shared" si="291"/>
        <v>1577.5605714285714</v>
      </c>
      <c r="BI484" s="395">
        <f t="shared" si="292"/>
        <v>1.1042923999999998</v>
      </c>
    </row>
    <row r="485" spans="1:61" s="358" customFormat="1" ht="19.2" x14ac:dyDescent="0.3">
      <c r="A485" s="359" t="s">
        <v>182</v>
      </c>
      <c r="B485" s="602" t="s">
        <v>4718</v>
      </c>
      <c r="C485" s="548" t="s">
        <v>4719</v>
      </c>
      <c r="D485" s="360">
        <v>0.4</v>
      </c>
      <c r="E485" s="528"/>
      <c r="F485" s="523"/>
      <c r="G485" s="393"/>
      <c r="H485" s="394"/>
      <c r="I485" s="394"/>
      <c r="J485" s="394"/>
      <c r="K485" s="394"/>
      <c r="L485" s="394"/>
      <c r="M485" s="394"/>
      <c r="N485" s="394"/>
      <c r="O485" s="394"/>
      <c r="P485" s="394"/>
      <c r="Q485" s="394"/>
      <c r="R485" s="381"/>
      <c r="S485" s="408"/>
      <c r="T485" s="385"/>
      <c r="U485" s="475"/>
      <c r="V485" s="395"/>
      <c r="W485" s="395"/>
      <c r="X485" s="528"/>
      <c r="Y485" s="523"/>
      <c r="Z485" s="393"/>
      <c r="AA485" s="394"/>
      <c r="AB485" s="394"/>
      <c r="AC485" s="394"/>
      <c r="AD485" s="394"/>
      <c r="AE485" s="394"/>
      <c r="AF485" s="394"/>
      <c r="AG485" s="394"/>
      <c r="AH485" s="394"/>
      <c r="AI485" s="394"/>
      <c r="AJ485" s="394"/>
      <c r="AK485" s="381"/>
      <c r="AL485" s="408"/>
      <c r="AM485" s="385"/>
      <c r="AN485" s="475"/>
      <c r="AO485" s="395"/>
      <c r="AP485" s="395"/>
      <c r="AQ485" s="528">
        <v>142</v>
      </c>
      <c r="AR485" s="523">
        <v>90</v>
      </c>
      <c r="AS485" s="393">
        <v>90</v>
      </c>
      <c r="AT485" s="600">
        <v>77.491569999999996</v>
      </c>
      <c r="AU485" s="394">
        <v>59.276330000000002</v>
      </c>
      <c r="AV485" s="394">
        <v>38.615479999999998</v>
      </c>
      <c r="AW485" s="394">
        <v>10.86167</v>
      </c>
      <c r="AX485" s="394">
        <v>8.6244099999999992</v>
      </c>
      <c r="AY485" s="394">
        <v>0</v>
      </c>
      <c r="AZ485" s="394">
        <v>0</v>
      </c>
      <c r="BA485" s="394">
        <v>4.74437</v>
      </c>
      <c r="BB485" s="394">
        <v>0.27194000000000002</v>
      </c>
      <c r="BC485" s="394">
        <v>10.86167</v>
      </c>
      <c r="BD485" s="381" t="s">
        <v>167</v>
      </c>
      <c r="BE485" s="408" t="s">
        <v>175</v>
      </c>
      <c r="BF485" s="385"/>
      <c r="BG485" s="475">
        <v>316</v>
      </c>
      <c r="BH485" s="395">
        <f t="shared" si="291"/>
        <v>545.71528169014084</v>
      </c>
      <c r="BI485" s="395">
        <f t="shared" si="292"/>
        <v>0.86101744444444439</v>
      </c>
    </row>
    <row r="486" spans="1:61" s="358" customFormat="1" ht="19.2" x14ac:dyDescent="0.3">
      <c r="A486" s="359" t="s">
        <v>184</v>
      </c>
      <c r="B486" s="602" t="s">
        <v>4770</v>
      </c>
      <c r="C486" s="548" t="s">
        <v>4809</v>
      </c>
      <c r="D486" s="360">
        <v>0.4</v>
      </c>
      <c r="E486" s="528"/>
      <c r="F486" s="523"/>
      <c r="G486" s="393"/>
      <c r="H486" s="394"/>
      <c r="I486" s="394"/>
      <c r="J486" s="394"/>
      <c r="K486" s="394"/>
      <c r="L486" s="394"/>
      <c r="M486" s="394"/>
      <c r="N486" s="394"/>
      <c r="O486" s="394"/>
      <c r="P486" s="394"/>
      <c r="Q486" s="394"/>
      <c r="R486" s="381"/>
      <c r="S486" s="408"/>
      <c r="T486" s="385"/>
      <c r="U486" s="475"/>
      <c r="V486" s="395"/>
      <c r="W486" s="395"/>
      <c r="X486" s="528"/>
      <c r="Y486" s="523"/>
      <c r="Z486" s="393"/>
      <c r="AA486" s="394"/>
      <c r="AB486" s="394"/>
      <c r="AC486" s="394"/>
      <c r="AD486" s="394"/>
      <c r="AE486" s="394"/>
      <c r="AF486" s="394"/>
      <c r="AG486" s="394"/>
      <c r="AH486" s="394"/>
      <c r="AI486" s="394"/>
      <c r="AJ486" s="394"/>
      <c r="AK486" s="381"/>
      <c r="AL486" s="408"/>
      <c r="AM486" s="385"/>
      <c r="AN486" s="475"/>
      <c r="AO486" s="395"/>
      <c r="AP486" s="395"/>
      <c r="AQ486" s="528">
        <v>520</v>
      </c>
      <c r="AR486" s="523">
        <v>208</v>
      </c>
      <c r="AS486" s="393">
        <v>208</v>
      </c>
      <c r="AT486" s="600">
        <v>299.32226000000003</v>
      </c>
      <c r="AU486" s="394">
        <v>230.39546000000001</v>
      </c>
      <c r="AV486" s="394">
        <v>141.40880000000001</v>
      </c>
      <c r="AW486" s="394">
        <f>43.44668+9.5</f>
        <v>52.946680000000001</v>
      </c>
      <c r="AX486" s="394">
        <v>23.79806</v>
      </c>
      <c r="AY486" s="394">
        <v>0</v>
      </c>
      <c r="AZ486" s="394">
        <v>0</v>
      </c>
      <c r="BA486" s="394">
        <v>22.267969999999998</v>
      </c>
      <c r="BB486" s="394">
        <v>0.27194000000000002</v>
      </c>
      <c r="BC486" s="394">
        <v>10.86167</v>
      </c>
      <c r="BD486" s="381" t="s">
        <v>167</v>
      </c>
      <c r="BE486" s="408" t="s">
        <v>175</v>
      </c>
      <c r="BF486" s="385"/>
      <c r="BG486" s="475">
        <v>318</v>
      </c>
      <c r="BH486" s="395">
        <f t="shared" si="291"/>
        <v>575.61973076923084</v>
      </c>
      <c r="BI486" s="395">
        <f t="shared" si="292"/>
        <v>1.4390493269230771</v>
      </c>
    </row>
    <row r="487" spans="1:61" s="358" customFormat="1" ht="19.2" x14ac:dyDescent="0.3">
      <c r="A487" s="359" t="s">
        <v>186</v>
      </c>
      <c r="B487" s="602" t="s">
        <v>4770</v>
      </c>
      <c r="C487" s="548" t="s">
        <v>4810</v>
      </c>
      <c r="D487" s="360">
        <v>0.4</v>
      </c>
      <c r="E487" s="528"/>
      <c r="F487" s="523"/>
      <c r="G487" s="393"/>
      <c r="H487" s="394"/>
      <c r="I487" s="394"/>
      <c r="J487" s="394"/>
      <c r="K487" s="394"/>
      <c r="L487" s="394"/>
      <c r="M487" s="394"/>
      <c r="N487" s="394"/>
      <c r="O487" s="394"/>
      <c r="P487" s="394"/>
      <c r="Q487" s="394"/>
      <c r="R487" s="381"/>
      <c r="S487" s="408"/>
      <c r="T487" s="385"/>
      <c r="U487" s="475"/>
      <c r="V487" s="395"/>
      <c r="W487" s="395"/>
      <c r="X487" s="528"/>
      <c r="Y487" s="523"/>
      <c r="Z487" s="393"/>
      <c r="AA487" s="394"/>
      <c r="AB487" s="394"/>
      <c r="AC487" s="394"/>
      <c r="AD487" s="394"/>
      <c r="AE487" s="394"/>
      <c r="AF487" s="394"/>
      <c r="AG487" s="394"/>
      <c r="AH487" s="394"/>
      <c r="AI487" s="394"/>
      <c r="AJ487" s="394"/>
      <c r="AK487" s="381"/>
      <c r="AL487" s="408"/>
      <c r="AM487" s="385"/>
      <c r="AN487" s="475"/>
      <c r="AO487" s="395"/>
      <c r="AP487" s="395"/>
      <c r="AQ487" s="528">
        <v>520</v>
      </c>
      <c r="AR487" s="523">
        <v>208</v>
      </c>
      <c r="AS487" s="393">
        <v>208</v>
      </c>
      <c r="AT487" s="600">
        <v>298.59528999999998</v>
      </c>
      <c r="AU487" s="394">
        <v>228.46360000000001</v>
      </c>
      <c r="AV487" s="394">
        <v>141.40880000000001</v>
      </c>
      <c r="AW487" s="394">
        <f>9.5+43.44668</f>
        <v>52.946680000000001</v>
      </c>
      <c r="AX487" s="394">
        <v>25.348680000000002</v>
      </c>
      <c r="AY487" s="394">
        <v>0</v>
      </c>
      <c r="AZ487" s="394">
        <v>0</v>
      </c>
      <c r="BA487" s="394">
        <v>22.20046</v>
      </c>
      <c r="BB487" s="394">
        <v>0.27194000000000002</v>
      </c>
      <c r="BC487" s="394">
        <v>10.86167</v>
      </c>
      <c r="BD487" s="381" t="s">
        <v>167</v>
      </c>
      <c r="BE487" s="408" t="s">
        <v>175</v>
      </c>
      <c r="BF487" s="385"/>
      <c r="BG487" s="475">
        <v>320</v>
      </c>
      <c r="BH487" s="395">
        <f t="shared" si="291"/>
        <v>574.22171153846148</v>
      </c>
      <c r="BI487" s="395">
        <f t="shared" si="292"/>
        <v>1.4355542788461537</v>
      </c>
    </row>
    <row r="488" spans="1:61" s="358" customFormat="1" x14ac:dyDescent="0.3">
      <c r="A488" s="359"/>
      <c r="B488" s="378"/>
      <c r="C488" s="546"/>
      <c r="D488" s="360"/>
      <c r="E488" s="531"/>
      <c r="F488" s="523"/>
      <c r="G488" s="393"/>
      <c r="H488" s="394"/>
      <c r="I488" s="394"/>
      <c r="J488" s="394"/>
      <c r="K488" s="394"/>
      <c r="L488" s="394"/>
      <c r="M488" s="394"/>
      <c r="N488" s="394"/>
      <c r="O488" s="394"/>
      <c r="P488" s="394"/>
      <c r="Q488" s="394"/>
      <c r="R488" s="381"/>
      <c r="S488" s="408"/>
      <c r="T488" s="385"/>
      <c r="U488" s="475"/>
      <c r="V488" s="395" t="e">
        <f t="shared" si="321"/>
        <v>#DIV/0!</v>
      </c>
      <c r="W488" s="395" t="e">
        <f t="shared" si="322"/>
        <v>#DIV/0!</v>
      </c>
      <c r="X488" s="531"/>
      <c r="Y488" s="523"/>
      <c r="Z488" s="393"/>
      <c r="AA488" s="394"/>
      <c r="AB488" s="394"/>
      <c r="AC488" s="394"/>
      <c r="AD488" s="394"/>
      <c r="AE488" s="394"/>
      <c r="AF488" s="394"/>
      <c r="AG488" s="394"/>
      <c r="AH488" s="394"/>
      <c r="AI488" s="394"/>
      <c r="AJ488" s="394"/>
      <c r="AK488" s="381"/>
      <c r="AL488" s="408"/>
      <c r="AM488" s="385"/>
      <c r="AN488" s="475"/>
      <c r="AO488" s="395" t="e">
        <f t="shared" si="293"/>
        <v>#DIV/0!</v>
      </c>
      <c r="AP488" s="395" t="e">
        <f t="shared" si="294"/>
        <v>#DIV/0!</v>
      </c>
      <c r="AQ488" s="531"/>
      <c r="AR488" s="523"/>
      <c r="AS488" s="393"/>
      <c r="AT488" s="394"/>
      <c r="AU488" s="394"/>
      <c r="AV488" s="394"/>
      <c r="AW488" s="394"/>
      <c r="AX488" s="394"/>
      <c r="AY488" s="394"/>
      <c r="AZ488" s="394"/>
      <c r="BA488" s="394"/>
      <c r="BB488" s="394"/>
      <c r="BC488" s="394"/>
      <c r="BD488" s="381"/>
      <c r="BE488" s="408"/>
      <c r="BF488" s="385"/>
      <c r="BG488" s="475"/>
      <c r="BH488" s="395" t="e">
        <f t="shared" si="291"/>
        <v>#DIV/0!</v>
      </c>
      <c r="BI488" s="395" t="e">
        <f t="shared" si="292"/>
        <v>#DIV/0!</v>
      </c>
    </row>
    <row r="489" spans="1:61" s="358" customFormat="1" ht="24.75" customHeight="1" x14ac:dyDescent="0.3">
      <c r="A489" s="354" t="s">
        <v>6313</v>
      </c>
      <c r="B489" s="355" t="s">
        <v>433</v>
      </c>
      <c r="C489" s="587"/>
      <c r="D489" s="356">
        <v>6</v>
      </c>
      <c r="E489" s="389">
        <f t="shared" ref="E489:Q489" si="325">SUM(E490:E494)</f>
        <v>1258</v>
      </c>
      <c r="F489" s="389">
        <f t="shared" si="325"/>
        <v>300</v>
      </c>
      <c r="G489" s="389">
        <f t="shared" si="325"/>
        <v>300</v>
      </c>
      <c r="H489" s="390">
        <f t="shared" si="325"/>
        <v>1764.80179</v>
      </c>
      <c r="I489" s="390">
        <f t="shared" si="325"/>
        <v>1312.8902899999998</v>
      </c>
      <c r="J489" s="390">
        <f t="shared" si="325"/>
        <v>448.53989999999999</v>
      </c>
      <c r="K489" s="390">
        <f t="shared" si="325"/>
        <v>314.93380999999994</v>
      </c>
      <c r="L489" s="390">
        <f t="shared" si="325"/>
        <v>102.04381000000001</v>
      </c>
      <c r="M489" s="390">
        <f t="shared" si="325"/>
        <v>0</v>
      </c>
      <c r="N489" s="390">
        <f t="shared" si="325"/>
        <v>0</v>
      </c>
      <c r="O489" s="390">
        <f t="shared" si="325"/>
        <v>80.656099999999995</v>
      </c>
      <c r="P489" s="390">
        <f t="shared" si="325"/>
        <v>237.7</v>
      </c>
      <c r="Q489" s="390">
        <f t="shared" si="325"/>
        <v>20.283999999999999</v>
      </c>
      <c r="R489" s="391"/>
      <c r="S489" s="391"/>
      <c r="T489" s="391"/>
      <c r="U489" s="474"/>
      <c r="V489" s="392">
        <f t="shared" ref="V489:V490" si="326">H489/E489*1000</f>
        <v>1402.863108108108</v>
      </c>
      <c r="W489" s="392">
        <f t="shared" ref="W489:W490" si="327">H489/F489</f>
        <v>5.8826726333333337</v>
      </c>
      <c r="X489" s="389">
        <f t="shared" ref="X489:AJ489" si="328">SUM(X490:X494)</f>
        <v>170</v>
      </c>
      <c r="Y489" s="389">
        <f t="shared" si="328"/>
        <v>100</v>
      </c>
      <c r="Z489" s="389">
        <f t="shared" si="328"/>
        <v>100</v>
      </c>
      <c r="AA489" s="390">
        <f t="shared" si="328"/>
        <v>785.63669000000004</v>
      </c>
      <c r="AB489" s="390">
        <f t="shared" si="328"/>
        <v>602.02566999999999</v>
      </c>
      <c r="AC489" s="390">
        <f t="shared" si="328"/>
        <v>59.424999999999997</v>
      </c>
      <c r="AD489" s="390">
        <f t="shared" si="328"/>
        <v>374.98843999999997</v>
      </c>
      <c r="AE489" s="390">
        <f t="shared" si="328"/>
        <v>85.494910000000004</v>
      </c>
      <c r="AF489" s="390">
        <f t="shared" si="328"/>
        <v>0</v>
      </c>
      <c r="AG489" s="390">
        <f t="shared" si="328"/>
        <v>0</v>
      </c>
      <c r="AH489" s="390">
        <f t="shared" si="328"/>
        <v>47.486780000000003</v>
      </c>
      <c r="AI489" s="390">
        <f t="shared" si="328"/>
        <v>0.11885</v>
      </c>
      <c r="AJ489" s="390">
        <f t="shared" si="328"/>
        <v>12.064539999999999</v>
      </c>
      <c r="AK489" s="391"/>
      <c r="AL489" s="391"/>
      <c r="AM489" s="391"/>
      <c r="AN489" s="474"/>
      <c r="AO489" s="392">
        <f t="shared" si="293"/>
        <v>4621.3922941176479</v>
      </c>
      <c r="AP489" s="392">
        <f t="shared" si="294"/>
        <v>7.8563669000000003</v>
      </c>
      <c r="AQ489" s="389">
        <f t="shared" ref="AQ489:BC489" si="329">SUM(AQ490:AQ494)</f>
        <v>0</v>
      </c>
      <c r="AR489" s="389">
        <f t="shared" si="329"/>
        <v>0</v>
      </c>
      <c r="AS489" s="389">
        <f t="shared" si="329"/>
        <v>0</v>
      </c>
      <c r="AT489" s="390">
        <f t="shared" si="329"/>
        <v>0</v>
      </c>
      <c r="AU489" s="390">
        <f t="shared" si="329"/>
        <v>0</v>
      </c>
      <c r="AV489" s="390">
        <f t="shared" si="329"/>
        <v>0</v>
      </c>
      <c r="AW489" s="390">
        <f t="shared" si="329"/>
        <v>0</v>
      </c>
      <c r="AX489" s="390">
        <f t="shared" si="329"/>
        <v>0</v>
      </c>
      <c r="AY489" s="390">
        <f t="shared" si="329"/>
        <v>0</v>
      </c>
      <c r="AZ489" s="390">
        <f t="shared" si="329"/>
        <v>0</v>
      </c>
      <c r="BA489" s="390">
        <f t="shared" si="329"/>
        <v>0</v>
      </c>
      <c r="BB489" s="390">
        <f t="shared" si="329"/>
        <v>0</v>
      </c>
      <c r="BC489" s="390">
        <f t="shared" si="329"/>
        <v>0</v>
      </c>
      <c r="BD489" s="391"/>
      <c r="BE489" s="391"/>
      <c r="BF489" s="391"/>
      <c r="BG489" s="474"/>
      <c r="BH489" s="392" t="e">
        <f t="shared" si="291"/>
        <v>#DIV/0!</v>
      </c>
      <c r="BI489" s="392" t="e">
        <f t="shared" si="292"/>
        <v>#DIV/0!</v>
      </c>
    </row>
    <row r="490" spans="1:61" s="358" customFormat="1" ht="19.2" x14ac:dyDescent="0.3">
      <c r="A490" s="359" t="s">
        <v>178</v>
      </c>
      <c r="B490" s="537" t="s">
        <v>560</v>
      </c>
      <c r="C490" s="546" t="s">
        <v>434</v>
      </c>
      <c r="D490" s="360">
        <v>6</v>
      </c>
      <c r="E490" s="531">
        <v>798</v>
      </c>
      <c r="F490" s="523">
        <v>150</v>
      </c>
      <c r="G490" s="393">
        <v>150</v>
      </c>
      <c r="H490" s="542">
        <v>1130.3634199999999</v>
      </c>
      <c r="I490" s="394">
        <v>927.54022999999995</v>
      </c>
      <c r="J490" s="394">
        <v>284.76459999999997</v>
      </c>
      <c r="K490" s="394">
        <f>51.12665+39.6832+81.80264+92.02797</f>
        <v>264.64045999999996</v>
      </c>
      <c r="L490" s="394">
        <v>76.688190000000006</v>
      </c>
      <c r="M490" s="394">
        <v>0</v>
      </c>
      <c r="N490" s="394">
        <v>0</v>
      </c>
      <c r="O490" s="394">
        <v>57.666499999999999</v>
      </c>
      <c r="P490" s="394">
        <v>118.85</v>
      </c>
      <c r="Q490" s="394">
        <v>10.22533</v>
      </c>
      <c r="R490" s="381" t="s">
        <v>167</v>
      </c>
      <c r="S490" s="408" t="s">
        <v>175</v>
      </c>
      <c r="T490" s="385"/>
      <c r="U490" s="475">
        <v>269</v>
      </c>
      <c r="V490" s="395">
        <f t="shared" si="326"/>
        <v>1416.4955137844611</v>
      </c>
      <c r="W490" s="395">
        <f t="shared" si="327"/>
        <v>7.5357561333333329</v>
      </c>
      <c r="X490" s="531"/>
      <c r="Y490" s="523"/>
      <c r="Z490" s="393"/>
      <c r="AA490" s="542"/>
      <c r="AB490" s="394"/>
      <c r="AC490" s="394"/>
      <c r="AD490" s="394"/>
      <c r="AE490" s="394"/>
      <c r="AF490" s="394"/>
      <c r="AG490" s="394"/>
      <c r="AH490" s="394"/>
      <c r="AI490" s="394"/>
      <c r="AJ490" s="394"/>
      <c r="AK490" s="381"/>
      <c r="AL490" s="408"/>
      <c r="AM490" s="385"/>
      <c r="AN490" s="475"/>
      <c r="AO490" s="395" t="e">
        <f t="shared" si="293"/>
        <v>#DIV/0!</v>
      </c>
      <c r="AP490" s="395" t="e">
        <f t="shared" si="294"/>
        <v>#DIV/0!</v>
      </c>
      <c r="AQ490" s="531"/>
      <c r="AR490" s="523"/>
      <c r="AS490" s="393"/>
      <c r="AT490" s="542"/>
      <c r="AU490" s="394"/>
      <c r="AV490" s="394"/>
      <c r="AW490" s="394"/>
      <c r="AX490" s="394"/>
      <c r="AY490" s="394"/>
      <c r="AZ490" s="394"/>
      <c r="BA490" s="394"/>
      <c r="BB490" s="394"/>
      <c r="BC490" s="394"/>
      <c r="BD490" s="381"/>
      <c r="BE490" s="408"/>
      <c r="BF490" s="385"/>
      <c r="BG490" s="475"/>
      <c r="BH490" s="395" t="e">
        <f t="shared" si="291"/>
        <v>#DIV/0!</v>
      </c>
      <c r="BI490" s="395" t="e">
        <f t="shared" si="292"/>
        <v>#DIV/0!</v>
      </c>
    </row>
    <row r="491" spans="1:61" s="358" customFormat="1" ht="19.2" x14ac:dyDescent="0.3">
      <c r="A491" s="359" t="s">
        <v>182</v>
      </c>
      <c r="B491" s="537" t="s">
        <v>560</v>
      </c>
      <c r="C491" s="546" t="s">
        <v>435</v>
      </c>
      <c r="D491" s="360">
        <v>6</v>
      </c>
      <c r="E491" s="531">
        <v>460</v>
      </c>
      <c r="F491" s="523">
        <v>150</v>
      </c>
      <c r="G491" s="393">
        <v>150</v>
      </c>
      <c r="H491" s="542">
        <v>634.43836999999996</v>
      </c>
      <c r="I491" s="394">
        <v>385.35005999999998</v>
      </c>
      <c r="J491" s="394">
        <v>163.77529999999999</v>
      </c>
      <c r="K491" s="394">
        <f>10.05867+40.23468</f>
        <v>50.293349999999997</v>
      </c>
      <c r="L491" s="394">
        <v>25.355619999999998</v>
      </c>
      <c r="M491" s="394">
        <v>0</v>
      </c>
      <c r="N491" s="394">
        <v>0</v>
      </c>
      <c r="O491" s="394">
        <v>22.989599999999999</v>
      </c>
      <c r="P491" s="394">
        <v>118.85</v>
      </c>
      <c r="Q491" s="394">
        <v>10.058669999999999</v>
      </c>
      <c r="R491" s="381" t="s">
        <v>167</v>
      </c>
      <c r="S491" s="408" t="s">
        <v>175</v>
      </c>
      <c r="T491" s="385"/>
      <c r="U491" s="475">
        <v>273</v>
      </c>
      <c r="V491" s="395">
        <f t="shared" ref="V491" si="330">H491/E491*1000</f>
        <v>1379.213847826087</v>
      </c>
      <c r="W491" s="395">
        <f t="shared" ref="W491" si="331">H491/F491</f>
        <v>4.2295891333333335</v>
      </c>
      <c r="X491" s="531"/>
      <c r="Y491" s="523"/>
      <c r="Z491" s="393"/>
      <c r="AA491" s="542"/>
      <c r="AB491" s="394"/>
      <c r="AC491" s="394"/>
      <c r="AD491" s="394"/>
      <c r="AE491" s="394"/>
      <c r="AF491" s="394"/>
      <c r="AG491" s="394"/>
      <c r="AH491" s="394"/>
      <c r="AI491" s="394"/>
      <c r="AJ491" s="394"/>
      <c r="AK491" s="381"/>
      <c r="AL491" s="408"/>
      <c r="AM491" s="385"/>
      <c r="AN491" s="475"/>
      <c r="AO491" s="395" t="e">
        <f t="shared" si="293"/>
        <v>#DIV/0!</v>
      </c>
      <c r="AP491" s="395" t="e">
        <f t="shared" si="294"/>
        <v>#DIV/0!</v>
      </c>
      <c r="AQ491" s="531"/>
      <c r="AR491" s="523"/>
      <c r="AS491" s="393"/>
      <c r="AT491" s="542"/>
      <c r="AU491" s="394"/>
      <c r="AV491" s="394"/>
      <c r="AW491" s="394"/>
      <c r="AX491" s="394"/>
      <c r="AY491" s="394"/>
      <c r="AZ491" s="394"/>
      <c r="BA491" s="394"/>
      <c r="BB491" s="394"/>
      <c r="BC491" s="394"/>
      <c r="BD491" s="381"/>
      <c r="BE491" s="408"/>
      <c r="BF491" s="385"/>
      <c r="BG491" s="475"/>
      <c r="BH491" s="395" t="e">
        <f t="shared" si="291"/>
        <v>#DIV/0!</v>
      </c>
      <c r="BI491" s="395" t="e">
        <f t="shared" si="292"/>
        <v>#DIV/0!</v>
      </c>
    </row>
    <row r="492" spans="1:61" s="358" customFormat="1" ht="19.2" x14ac:dyDescent="0.3">
      <c r="A492" s="359" t="s">
        <v>178</v>
      </c>
      <c r="B492" s="572" t="s">
        <v>1851</v>
      </c>
      <c r="C492" s="546" t="s">
        <v>1156</v>
      </c>
      <c r="D492" s="360">
        <v>6</v>
      </c>
      <c r="E492" s="531"/>
      <c r="F492" s="523"/>
      <c r="G492" s="393"/>
      <c r="H492" s="571"/>
      <c r="I492" s="394"/>
      <c r="J492" s="394"/>
      <c r="K492" s="394"/>
      <c r="L492" s="394"/>
      <c r="M492" s="394"/>
      <c r="N492" s="394"/>
      <c r="O492" s="394"/>
      <c r="P492" s="394"/>
      <c r="Q492" s="394"/>
      <c r="R492" s="381"/>
      <c r="S492" s="408"/>
      <c r="T492" s="385"/>
      <c r="U492" s="475"/>
      <c r="V492" s="395"/>
      <c r="W492" s="395"/>
      <c r="X492" s="531">
        <v>170</v>
      </c>
      <c r="Y492" s="523">
        <v>100</v>
      </c>
      <c r="Z492" s="393">
        <v>100</v>
      </c>
      <c r="AA492" s="571">
        <v>785.63669000000004</v>
      </c>
      <c r="AB492" s="394">
        <v>602.02566999999999</v>
      </c>
      <c r="AC492" s="394">
        <v>59.424999999999997</v>
      </c>
      <c r="AD492" s="394">
        <f>118.37328+39.45344+217.16172</f>
        <v>374.98843999999997</v>
      </c>
      <c r="AE492" s="394">
        <v>85.494910000000004</v>
      </c>
      <c r="AF492" s="394">
        <v>0</v>
      </c>
      <c r="AG492" s="394">
        <v>0</v>
      </c>
      <c r="AH492" s="394">
        <v>47.486780000000003</v>
      </c>
      <c r="AI492" s="394">
        <v>0.11885</v>
      </c>
      <c r="AJ492" s="394">
        <v>12.064539999999999</v>
      </c>
      <c r="AK492" s="381" t="s">
        <v>167</v>
      </c>
      <c r="AL492" s="408" t="s">
        <v>175</v>
      </c>
      <c r="AM492" s="385"/>
      <c r="AN492" s="475">
        <v>294</v>
      </c>
      <c r="AO492" s="395">
        <f t="shared" ref="AO492" si="332">AA492/X492*1000</f>
        <v>4621.3922941176479</v>
      </c>
      <c r="AP492" s="395">
        <f t="shared" ref="AP492" si="333">AA492/Y492</f>
        <v>7.8563669000000003</v>
      </c>
      <c r="AQ492" s="531"/>
      <c r="AR492" s="523"/>
      <c r="AS492" s="393"/>
      <c r="AT492" s="571"/>
      <c r="AU492" s="394"/>
      <c r="AV492" s="394"/>
      <c r="AW492" s="394"/>
      <c r="AX492" s="394"/>
      <c r="AY492" s="394"/>
      <c r="AZ492" s="394"/>
      <c r="BA492" s="394"/>
      <c r="BB492" s="394"/>
      <c r="BC492" s="394"/>
      <c r="BD492" s="381"/>
      <c r="BE492" s="408"/>
      <c r="BF492" s="385"/>
      <c r="BG492" s="475"/>
      <c r="BH492" s="395" t="e">
        <f t="shared" si="291"/>
        <v>#DIV/0!</v>
      </c>
      <c r="BI492" s="395" t="e">
        <f t="shared" si="292"/>
        <v>#DIV/0!</v>
      </c>
    </row>
    <row r="493" spans="1:61" s="358" customFormat="1" x14ac:dyDescent="0.3">
      <c r="A493" s="359"/>
      <c r="B493" s="602"/>
      <c r="C493" s="548"/>
      <c r="D493" s="360"/>
      <c r="E493" s="528"/>
      <c r="F493" s="523"/>
      <c r="G493" s="393"/>
      <c r="H493" s="394"/>
      <c r="I493" s="394"/>
      <c r="J493" s="394"/>
      <c r="K493" s="394"/>
      <c r="L493" s="394"/>
      <c r="M493" s="394"/>
      <c r="N493" s="394"/>
      <c r="O493" s="394"/>
      <c r="P493" s="394"/>
      <c r="Q493" s="394"/>
      <c r="R493" s="381"/>
      <c r="S493" s="408"/>
      <c r="T493" s="385"/>
      <c r="U493" s="475"/>
      <c r="V493" s="395"/>
      <c r="W493" s="395"/>
      <c r="X493" s="528"/>
      <c r="Y493" s="523"/>
      <c r="Z493" s="393"/>
      <c r="AA493" s="394"/>
      <c r="AB493" s="394"/>
      <c r="AC493" s="394"/>
      <c r="AD493" s="394"/>
      <c r="AE493" s="394"/>
      <c r="AF493" s="394"/>
      <c r="AG493" s="394"/>
      <c r="AH493" s="394"/>
      <c r="AI493" s="394"/>
      <c r="AJ493" s="394"/>
      <c r="AK493" s="381"/>
      <c r="AL493" s="408"/>
      <c r="AM493" s="385"/>
      <c r="AN493" s="475"/>
      <c r="AO493" s="395"/>
      <c r="AP493" s="395"/>
      <c r="AQ493" s="528"/>
      <c r="AR493" s="523"/>
      <c r="AS493" s="393"/>
      <c r="AT493" s="600"/>
      <c r="AU493" s="394"/>
      <c r="AV493" s="394"/>
      <c r="AW493" s="394"/>
      <c r="AX493" s="394"/>
      <c r="AY493" s="394"/>
      <c r="AZ493" s="394"/>
      <c r="BA493" s="394"/>
      <c r="BB493" s="394"/>
      <c r="BC493" s="394"/>
      <c r="BD493" s="381"/>
      <c r="BE493" s="408"/>
      <c r="BF493" s="385"/>
      <c r="BG493" s="475"/>
      <c r="BH493" s="395" t="e">
        <f t="shared" ref="BH493" si="334">AT493/AQ493*1000</f>
        <v>#DIV/0!</v>
      </c>
      <c r="BI493" s="395" t="e">
        <f t="shared" ref="BI493" si="335">AT493/AR493</f>
        <v>#DIV/0!</v>
      </c>
    </row>
    <row r="494" spans="1:61" s="358" customFormat="1" x14ac:dyDescent="0.3">
      <c r="A494" s="359"/>
      <c r="B494" s="378"/>
      <c r="C494" s="546"/>
      <c r="D494" s="360"/>
      <c r="E494" s="531"/>
      <c r="F494" s="523"/>
      <c r="G494" s="393"/>
      <c r="H494" s="394"/>
      <c r="I494" s="394"/>
      <c r="J494" s="394"/>
      <c r="K494" s="394"/>
      <c r="L494" s="394"/>
      <c r="M494" s="394"/>
      <c r="N494" s="394"/>
      <c r="O494" s="394"/>
      <c r="P494" s="394"/>
      <c r="Q494" s="394"/>
      <c r="R494" s="385"/>
      <c r="S494" s="385"/>
      <c r="T494" s="385"/>
      <c r="U494" s="475"/>
      <c r="V494" s="395" t="e">
        <f t="shared" si="310"/>
        <v>#DIV/0!</v>
      </c>
      <c r="W494" s="395" t="e">
        <f t="shared" si="311"/>
        <v>#DIV/0!</v>
      </c>
      <c r="X494" s="531"/>
      <c r="Y494" s="523"/>
      <c r="Z494" s="393"/>
      <c r="AA494" s="394"/>
      <c r="AB494" s="394"/>
      <c r="AC494" s="394"/>
      <c r="AD494" s="394"/>
      <c r="AE494" s="394"/>
      <c r="AF494" s="394"/>
      <c r="AG494" s="394"/>
      <c r="AH494" s="394"/>
      <c r="AI494" s="394"/>
      <c r="AJ494" s="394"/>
      <c r="AK494" s="385"/>
      <c r="AL494" s="385"/>
      <c r="AM494" s="385"/>
      <c r="AN494" s="475"/>
      <c r="AO494" s="395" t="e">
        <f t="shared" si="293"/>
        <v>#DIV/0!</v>
      </c>
      <c r="AP494" s="395" t="e">
        <f t="shared" si="294"/>
        <v>#DIV/0!</v>
      </c>
      <c r="AQ494" s="531"/>
      <c r="AR494" s="523"/>
      <c r="AS494" s="393"/>
      <c r="AT494" s="394"/>
      <c r="AU494" s="394"/>
      <c r="AV494" s="394"/>
      <c r="AW494" s="394"/>
      <c r="AX494" s="394"/>
      <c r="AY494" s="394"/>
      <c r="AZ494" s="394"/>
      <c r="BA494" s="394"/>
      <c r="BB494" s="394"/>
      <c r="BC494" s="394"/>
      <c r="BD494" s="385"/>
      <c r="BE494" s="385"/>
      <c r="BF494" s="385"/>
      <c r="BG494" s="475"/>
      <c r="BH494" s="395" t="e">
        <f t="shared" si="291"/>
        <v>#DIV/0!</v>
      </c>
      <c r="BI494" s="395" t="e">
        <f t="shared" si="292"/>
        <v>#DIV/0!</v>
      </c>
    </row>
    <row r="495" spans="1:61" s="358" customFormat="1" ht="72" x14ac:dyDescent="0.3">
      <c r="A495" s="417" t="s">
        <v>4614</v>
      </c>
      <c r="B495" s="418" t="s">
        <v>6315</v>
      </c>
      <c r="C495" s="589"/>
      <c r="D495" s="419"/>
      <c r="E495" s="420">
        <f t="shared" ref="E495:Q495" si="336">E496+E499</f>
        <v>0</v>
      </c>
      <c r="F495" s="420">
        <f t="shared" si="336"/>
        <v>0</v>
      </c>
      <c r="G495" s="420">
        <f t="shared" si="336"/>
        <v>0</v>
      </c>
      <c r="H495" s="421">
        <f t="shared" si="336"/>
        <v>0</v>
      </c>
      <c r="I495" s="421">
        <f t="shared" si="336"/>
        <v>0</v>
      </c>
      <c r="J495" s="421">
        <f t="shared" si="336"/>
        <v>0</v>
      </c>
      <c r="K495" s="421">
        <f t="shared" si="336"/>
        <v>0</v>
      </c>
      <c r="L495" s="421">
        <f t="shared" si="336"/>
        <v>0</v>
      </c>
      <c r="M495" s="421">
        <f t="shared" si="336"/>
        <v>0</v>
      </c>
      <c r="N495" s="421">
        <f t="shared" si="336"/>
        <v>0</v>
      </c>
      <c r="O495" s="421">
        <f t="shared" si="336"/>
        <v>0</v>
      </c>
      <c r="P495" s="421">
        <f t="shared" si="336"/>
        <v>0</v>
      </c>
      <c r="Q495" s="421">
        <f t="shared" si="336"/>
        <v>0</v>
      </c>
      <c r="R495" s="422"/>
      <c r="S495" s="422"/>
      <c r="T495" s="422"/>
      <c r="U495" s="476"/>
      <c r="V495" s="423" t="e">
        <f t="shared" si="310"/>
        <v>#DIV/0!</v>
      </c>
      <c r="W495" s="423" t="e">
        <f t="shared" si="311"/>
        <v>#DIV/0!</v>
      </c>
      <c r="X495" s="420">
        <f t="shared" ref="X495:AJ495" si="337">X496+X499</f>
        <v>0</v>
      </c>
      <c r="Y495" s="420">
        <f t="shared" si="337"/>
        <v>0</v>
      </c>
      <c r="Z495" s="420">
        <f t="shared" si="337"/>
        <v>0</v>
      </c>
      <c r="AA495" s="421">
        <f t="shared" si="337"/>
        <v>0</v>
      </c>
      <c r="AB495" s="421">
        <f t="shared" si="337"/>
        <v>0</v>
      </c>
      <c r="AC495" s="421">
        <f t="shared" si="337"/>
        <v>0</v>
      </c>
      <c r="AD495" s="421">
        <f t="shared" si="337"/>
        <v>0</v>
      </c>
      <c r="AE495" s="421">
        <f t="shared" si="337"/>
        <v>0</v>
      </c>
      <c r="AF495" s="421">
        <f t="shared" si="337"/>
        <v>0</v>
      </c>
      <c r="AG495" s="421">
        <f t="shared" si="337"/>
        <v>0</v>
      </c>
      <c r="AH495" s="421">
        <f t="shared" si="337"/>
        <v>0</v>
      </c>
      <c r="AI495" s="421">
        <f t="shared" si="337"/>
        <v>0</v>
      </c>
      <c r="AJ495" s="421">
        <f t="shared" si="337"/>
        <v>0</v>
      </c>
      <c r="AK495" s="422"/>
      <c r="AL495" s="422"/>
      <c r="AM495" s="422"/>
      <c r="AN495" s="476"/>
      <c r="AO495" s="423" t="e">
        <f t="shared" si="293"/>
        <v>#DIV/0!</v>
      </c>
      <c r="AP495" s="423" t="e">
        <f t="shared" si="294"/>
        <v>#DIV/0!</v>
      </c>
      <c r="AQ495" s="420">
        <f t="shared" ref="AQ495:BC495" si="338">AQ496+AQ499</f>
        <v>0</v>
      </c>
      <c r="AR495" s="420">
        <f t="shared" si="338"/>
        <v>0</v>
      </c>
      <c r="AS495" s="420">
        <f t="shared" si="338"/>
        <v>0</v>
      </c>
      <c r="AT495" s="421">
        <f t="shared" si="338"/>
        <v>0</v>
      </c>
      <c r="AU495" s="421">
        <f t="shared" si="338"/>
        <v>0</v>
      </c>
      <c r="AV495" s="421">
        <f t="shared" si="338"/>
        <v>0</v>
      </c>
      <c r="AW495" s="421">
        <f t="shared" si="338"/>
        <v>0</v>
      </c>
      <c r="AX495" s="421">
        <f t="shared" si="338"/>
        <v>0</v>
      </c>
      <c r="AY495" s="421">
        <f t="shared" si="338"/>
        <v>0</v>
      </c>
      <c r="AZ495" s="421">
        <f t="shared" si="338"/>
        <v>0</v>
      </c>
      <c r="BA495" s="421">
        <f t="shared" si="338"/>
        <v>0</v>
      </c>
      <c r="BB495" s="421">
        <f t="shared" si="338"/>
        <v>0</v>
      </c>
      <c r="BC495" s="421">
        <f t="shared" si="338"/>
        <v>0</v>
      </c>
      <c r="BD495" s="422"/>
      <c r="BE495" s="422"/>
      <c r="BF495" s="422"/>
      <c r="BG495" s="476"/>
      <c r="BH495" s="423" t="e">
        <f t="shared" si="291"/>
        <v>#DIV/0!</v>
      </c>
      <c r="BI495" s="423" t="e">
        <f t="shared" si="292"/>
        <v>#DIV/0!</v>
      </c>
    </row>
    <row r="496" spans="1:61" s="358" customFormat="1" ht="24.75" customHeight="1" x14ac:dyDescent="0.3">
      <c r="A496" s="354" t="s">
        <v>4614</v>
      </c>
      <c r="B496" s="355" t="s">
        <v>4397</v>
      </c>
      <c r="C496" s="587"/>
      <c r="D496" s="356">
        <v>0.4</v>
      </c>
      <c r="E496" s="389">
        <f>SUM(E497:E498)</f>
        <v>0</v>
      </c>
      <c r="F496" s="389">
        <f t="shared" ref="F496:G496" si="339">SUM(F497:F498)</f>
        <v>0</v>
      </c>
      <c r="G496" s="389">
        <f t="shared" si="339"/>
        <v>0</v>
      </c>
      <c r="H496" s="390">
        <f>SUM(H497:H498)</f>
        <v>0</v>
      </c>
      <c r="I496" s="390">
        <f t="shared" ref="I496:Q496" si="340">SUM(I497:I498)</f>
        <v>0</v>
      </c>
      <c r="J496" s="390">
        <f t="shared" si="340"/>
        <v>0</v>
      </c>
      <c r="K496" s="390">
        <f t="shared" si="340"/>
        <v>0</v>
      </c>
      <c r="L496" s="390">
        <f t="shared" si="340"/>
        <v>0</v>
      </c>
      <c r="M496" s="390">
        <f t="shared" si="340"/>
        <v>0</v>
      </c>
      <c r="N496" s="390">
        <f t="shared" si="340"/>
        <v>0</v>
      </c>
      <c r="O496" s="390">
        <f t="shared" si="340"/>
        <v>0</v>
      </c>
      <c r="P496" s="390">
        <f t="shared" si="340"/>
        <v>0</v>
      </c>
      <c r="Q496" s="390">
        <f t="shared" si="340"/>
        <v>0</v>
      </c>
      <c r="R496" s="391"/>
      <c r="S496" s="391"/>
      <c r="T496" s="391"/>
      <c r="U496" s="474"/>
      <c r="V496" s="392" t="e">
        <f t="shared" si="310"/>
        <v>#DIV/0!</v>
      </c>
      <c r="W496" s="392" t="e">
        <f t="shared" si="311"/>
        <v>#DIV/0!</v>
      </c>
      <c r="X496" s="389">
        <f>SUM(X497:X498)</f>
        <v>0</v>
      </c>
      <c r="Y496" s="389">
        <f t="shared" ref="Y496:Z496" si="341">SUM(Y497:Y498)</f>
        <v>0</v>
      </c>
      <c r="Z496" s="389">
        <f t="shared" si="341"/>
        <v>0</v>
      </c>
      <c r="AA496" s="390">
        <f>SUM(AA497:AA498)</f>
        <v>0</v>
      </c>
      <c r="AB496" s="390">
        <f t="shared" ref="AB496:AJ496" si="342">SUM(AB497:AB498)</f>
        <v>0</v>
      </c>
      <c r="AC496" s="390">
        <f t="shared" si="342"/>
        <v>0</v>
      </c>
      <c r="AD496" s="390">
        <f t="shared" si="342"/>
        <v>0</v>
      </c>
      <c r="AE496" s="390">
        <f t="shared" si="342"/>
        <v>0</v>
      </c>
      <c r="AF496" s="390">
        <f t="shared" si="342"/>
        <v>0</v>
      </c>
      <c r="AG496" s="390">
        <f t="shared" si="342"/>
        <v>0</v>
      </c>
      <c r="AH496" s="390">
        <f t="shared" si="342"/>
        <v>0</v>
      </c>
      <c r="AI496" s="390">
        <f t="shared" si="342"/>
        <v>0</v>
      </c>
      <c r="AJ496" s="390">
        <f t="shared" si="342"/>
        <v>0</v>
      </c>
      <c r="AK496" s="391"/>
      <c r="AL496" s="391"/>
      <c r="AM496" s="391"/>
      <c r="AN496" s="474"/>
      <c r="AO496" s="392" t="e">
        <f t="shared" si="293"/>
        <v>#DIV/0!</v>
      </c>
      <c r="AP496" s="392" t="e">
        <f t="shared" si="294"/>
        <v>#DIV/0!</v>
      </c>
      <c r="AQ496" s="389">
        <f>SUM(AQ497:AQ498)</f>
        <v>0</v>
      </c>
      <c r="AR496" s="389">
        <f t="shared" ref="AR496:AS496" si="343">SUM(AR497:AR498)</f>
        <v>0</v>
      </c>
      <c r="AS496" s="389">
        <f t="shared" si="343"/>
        <v>0</v>
      </c>
      <c r="AT496" s="390">
        <f>SUM(AT497:AT498)</f>
        <v>0</v>
      </c>
      <c r="AU496" s="390">
        <f t="shared" ref="AU496:BC496" si="344">SUM(AU497:AU498)</f>
        <v>0</v>
      </c>
      <c r="AV496" s="390">
        <f t="shared" si="344"/>
        <v>0</v>
      </c>
      <c r="AW496" s="390">
        <f t="shared" si="344"/>
        <v>0</v>
      </c>
      <c r="AX496" s="390">
        <f t="shared" si="344"/>
        <v>0</v>
      </c>
      <c r="AY496" s="390">
        <f t="shared" si="344"/>
        <v>0</v>
      </c>
      <c r="AZ496" s="390">
        <f t="shared" si="344"/>
        <v>0</v>
      </c>
      <c r="BA496" s="390">
        <f t="shared" si="344"/>
        <v>0</v>
      </c>
      <c r="BB496" s="390">
        <f t="shared" si="344"/>
        <v>0</v>
      </c>
      <c r="BC496" s="390">
        <f t="shared" si="344"/>
        <v>0</v>
      </c>
      <c r="BD496" s="391"/>
      <c r="BE496" s="391"/>
      <c r="BF496" s="391"/>
      <c r="BG496" s="474"/>
      <c r="BH496" s="392" t="e">
        <f t="shared" si="291"/>
        <v>#DIV/0!</v>
      </c>
      <c r="BI496" s="392" t="e">
        <f t="shared" si="292"/>
        <v>#DIV/0!</v>
      </c>
    </row>
    <row r="497" spans="1:61" s="358" customFormat="1" x14ac:dyDescent="0.3">
      <c r="A497" s="359"/>
      <c r="B497" s="602"/>
      <c r="C497" s="548"/>
      <c r="D497" s="360"/>
      <c r="E497" s="528"/>
      <c r="F497" s="523"/>
      <c r="G497" s="393"/>
      <c r="H497" s="394"/>
      <c r="I497" s="394"/>
      <c r="J497" s="394"/>
      <c r="K497" s="394"/>
      <c r="L497" s="394"/>
      <c r="M497" s="394"/>
      <c r="N497" s="394"/>
      <c r="O497" s="394"/>
      <c r="P497" s="394"/>
      <c r="Q497" s="394"/>
      <c r="R497" s="381"/>
      <c r="S497" s="408"/>
      <c r="T497" s="385"/>
      <c r="U497" s="475"/>
      <c r="V497" s="395"/>
      <c r="W497" s="395"/>
      <c r="X497" s="528"/>
      <c r="Y497" s="523"/>
      <c r="Z497" s="393"/>
      <c r="AA497" s="394"/>
      <c r="AB497" s="394"/>
      <c r="AC497" s="394"/>
      <c r="AD497" s="394"/>
      <c r="AE497" s="394"/>
      <c r="AF497" s="394"/>
      <c r="AG497" s="394"/>
      <c r="AH497" s="394"/>
      <c r="AI497" s="394"/>
      <c r="AJ497" s="394"/>
      <c r="AK497" s="381"/>
      <c r="AL497" s="408"/>
      <c r="AM497" s="385"/>
      <c r="AN497" s="475"/>
      <c r="AO497" s="395"/>
      <c r="AP497" s="395"/>
      <c r="AQ497" s="528"/>
      <c r="AR497" s="523"/>
      <c r="AS497" s="393"/>
      <c r="AT497" s="600"/>
      <c r="AU497" s="394"/>
      <c r="AV497" s="394"/>
      <c r="AW497" s="394"/>
      <c r="AX497" s="394"/>
      <c r="AY497" s="394"/>
      <c r="AZ497" s="394"/>
      <c r="BA497" s="394"/>
      <c r="BB497" s="394"/>
      <c r="BC497" s="394"/>
      <c r="BD497" s="381"/>
      <c r="BE497" s="408"/>
      <c r="BF497" s="385"/>
      <c r="BG497" s="475"/>
      <c r="BH497" s="395" t="e">
        <f t="shared" si="291"/>
        <v>#DIV/0!</v>
      </c>
      <c r="BI497" s="395" t="e">
        <f t="shared" si="292"/>
        <v>#DIV/0!</v>
      </c>
    </row>
    <row r="498" spans="1:61" s="358" customFormat="1" x14ac:dyDescent="0.3">
      <c r="A498" s="359"/>
      <c r="B498" s="378"/>
      <c r="C498" s="546"/>
      <c r="D498" s="360"/>
      <c r="E498" s="528"/>
      <c r="F498" s="523"/>
      <c r="G498" s="523"/>
      <c r="H498" s="394"/>
      <c r="I498" s="394"/>
      <c r="J498" s="394"/>
      <c r="K498" s="394"/>
      <c r="L498" s="394"/>
      <c r="M498" s="394"/>
      <c r="N498" s="394"/>
      <c r="O498" s="394"/>
      <c r="P498" s="394"/>
      <c r="Q498" s="394"/>
      <c r="R498" s="385"/>
      <c r="S498" s="385"/>
      <c r="T498" s="385"/>
      <c r="U498" s="475"/>
      <c r="V498" s="395" t="e">
        <f t="shared" si="310"/>
        <v>#DIV/0!</v>
      </c>
      <c r="W498" s="395" t="e">
        <f t="shared" si="311"/>
        <v>#DIV/0!</v>
      </c>
      <c r="X498" s="528"/>
      <c r="Y498" s="523"/>
      <c r="Z498" s="523"/>
      <c r="AA498" s="394"/>
      <c r="AB498" s="394"/>
      <c r="AC498" s="394"/>
      <c r="AD498" s="394"/>
      <c r="AE498" s="394"/>
      <c r="AF498" s="394"/>
      <c r="AG498" s="394"/>
      <c r="AH498" s="394"/>
      <c r="AI498" s="394"/>
      <c r="AJ498" s="394"/>
      <c r="AK498" s="385"/>
      <c r="AL498" s="385"/>
      <c r="AM498" s="385"/>
      <c r="AN498" s="475"/>
      <c r="AO498" s="395" t="e">
        <f t="shared" si="293"/>
        <v>#DIV/0!</v>
      </c>
      <c r="AP498" s="395" t="e">
        <f t="shared" si="294"/>
        <v>#DIV/0!</v>
      </c>
      <c r="AQ498" s="528"/>
      <c r="AR498" s="523"/>
      <c r="AS498" s="523"/>
      <c r="AT498" s="394"/>
      <c r="AU498" s="394"/>
      <c r="AV498" s="394"/>
      <c r="AW498" s="394"/>
      <c r="AX498" s="394"/>
      <c r="AY498" s="394"/>
      <c r="AZ498" s="394"/>
      <c r="BA498" s="394"/>
      <c r="BB498" s="394"/>
      <c r="BC498" s="394"/>
      <c r="BD498" s="385"/>
      <c r="BE498" s="385"/>
      <c r="BF498" s="385"/>
      <c r="BG498" s="475"/>
      <c r="BH498" s="395" t="e">
        <f t="shared" si="291"/>
        <v>#DIV/0!</v>
      </c>
      <c r="BI498" s="395" t="e">
        <f t="shared" si="292"/>
        <v>#DIV/0!</v>
      </c>
    </row>
    <row r="499" spans="1:61" s="358" customFormat="1" ht="24.75" customHeight="1" x14ac:dyDescent="0.3">
      <c r="A499" s="354" t="s">
        <v>4614</v>
      </c>
      <c r="B499" s="355" t="s">
        <v>4398</v>
      </c>
      <c r="C499" s="587"/>
      <c r="D499" s="356">
        <v>0.4</v>
      </c>
      <c r="E499" s="389">
        <f t="shared" ref="E499:Q499" si="345">SUM(E500:E503)</f>
        <v>0</v>
      </c>
      <c r="F499" s="389">
        <f t="shared" si="345"/>
        <v>0</v>
      </c>
      <c r="G499" s="389">
        <f t="shared" si="345"/>
        <v>0</v>
      </c>
      <c r="H499" s="390">
        <f t="shared" si="345"/>
        <v>0</v>
      </c>
      <c r="I499" s="390">
        <f t="shared" si="345"/>
        <v>0</v>
      </c>
      <c r="J499" s="390">
        <f t="shared" si="345"/>
        <v>0</v>
      </c>
      <c r="K499" s="390">
        <f t="shared" si="345"/>
        <v>0</v>
      </c>
      <c r="L499" s="390">
        <f t="shared" si="345"/>
        <v>0</v>
      </c>
      <c r="M499" s="390">
        <f t="shared" si="345"/>
        <v>0</v>
      </c>
      <c r="N499" s="390">
        <f t="shared" si="345"/>
        <v>0</v>
      </c>
      <c r="O499" s="390">
        <f t="shared" si="345"/>
        <v>0</v>
      </c>
      <c r="P499" s="390">
        <f t="shared" si="345"/>
        <v>0</v>
      </c>
      <c r="Q499" s="390">
        <f t="shared" si="345"/>
        <v>0</v>
      </c>
      <c r="R499" s="391"/>
      <c r="S499" s="391"/>
      <c r="T499" s="391"/>
      <c r="U499" s="474"/>
      <c r="V499" s="392" t="e">
        <f t="shared" si="310"/>
        <v>#DIV/0!</v>
      </c>
      <c r="W499" s="392" t="e">
        <f t="shared" si="311"/>
        <v>#DIV/0!</v>
      </c>
      <c r="X499" s="389">
        <f t="shared" ref="X499:AJ499" si="346">SUM(X500:X503)</f>
        <v>0</v>
      </c>
      <c r="Y499" s="389">
        <f t="shared" si="346"/>
        <v>0</v>
      </c>
      <c r="Z499" s="389">
        <f t="shared" si="346"/>
        <v>0</v>
      </c>
      <c r="AA499" s="390">
        <f t="shared" si="346"/>
        <v>0</v>
      </c>
      <c r="AB499" s="390">
        <f t="shared" si="346"/>
        <v>0</v>
      </c>
      <c r="AC499" s="390">
        <f t="shared" si="346"/>
        <v>0</v>
      </c>
      <c r="AD499" s="390">
        <f t="shared" si="346"/>
        <v>0</v>
      </c>
      <c r="AE499" s="390">
        <f t="shared" si="346"/>
        <v>0</v>
      </c>
      <c r="AF499" s="390">
        <f t="shared" si="346"/>
        <v>0</v>
      </c>
      <c r="AG499" s="390">
        <f t="shared" si="346"/>
        <v>0</v>
      </c>
      <c r="AH499" s="390">
        <f t="shared" si="346"/>
        <v>0</v>
      </c>
      <c r="AI499" s="390">
        <f t="shared" si="346"/>
        <v>0</v>
      </c>
      <c r="AJ499" s="390">
        <f t="shared" si="346"/>
        <v>0</v>
      </c>
      <c r="AK499" s="391"/>
      <c r="AL499" s="391"/>
      <c r="AM499" s="391"/>
      <c r="AN499" s="474"/>
      <c r="AO499" s="392" t="e">
        <f t="shared" si="293"/>
        <v>#DIV/0!</v>
      </c>
      <c r="AP499" s="392" t="e">
        <f t="shared" si="294"/>
        <v>#DIV/0!</v>
      </c>
      <c r="AQ499" s="389">
        <f t="shared" ref="AQ499:BC499" si="347">SUM(AQ500:AQ503)</f>
        <v>0</v>
      </c>
      <c r="AR499" s="389">
        <f t="shared" si="347"/>
        <v>0</v>
      </c>
      <c r="AS499" s="389">
        <f t="shared" si="347"/>
        <v>0</v>
      </c>
      <c r="AT499" s="390">
        <f t="shared" si="347"/>
        <v>0</v>
      </c>
      <c r="AU499" s="390">
        <f t="shared" si="347"/>
        <v>0</v>
      </c>
      <c r="AV499" s="390">
        <f t="shared" si="347"/>
        <v>0</v>
      </c>
      <c r="AW499" s="390">
        <f t="shared" si="347"/>
        <v>0</v>
      </c>
      <c r="AX499" s="390">
        <f t="shared" si="347"/>
        <v>0</v>
      </c>
      <c r="AY499" s="390">
        <f t="shared" si="347"/>
        <v>0</v>
      </c>
      <c r="AZ499" s="390">
        <f t="shared" si="347"/>
        <v>0</v>
      </c>
      <c r="BA499" s="390">
        <f t="shared" si="347"/>
        <v>0</v>
      </c>
      <c r="BB499" s="390">
        <f t="shared" si="347"/>
        <v>0</v>
      </c>
      <c r="BC499" s="390">
        <f t="shared" si="347"/>
        <v>0</v>
      </c>
      <c r="BD499" s="391"/>
      <c r="BE499" s="391"/>
      <c r="BF499" s="391"/>
      <c r="BG499" s="474"/>
      <c r="BH499" s="392" t="e">
        <f t="shared" si="291"/>
        <v>#DIV/0!</v>
      </c>
      <c r="BI499" s="392" t="e">
        <f t="shared" si="292"/>
        <v>#DIV/0!</v>
      </c>
    </row>
    <row r="500" spans="1:61" s="358" customFormat="1" x14ac:dyDescent="0.3">
      <c r="A500" s="359"/>
      <c r="B500" s="537"/>
      <c r="C500" s="546"/>
      <c r="D500" s="360"/>
      <c r="E500" s="528"/>
      <c r="F500" s="523"/>
      <c r="G500" s="523"/>
      <c r="H500" s="542"/>
      <c r="I500" s="394"/>
      <c r="J500" s="394"/>
      <c r="K500" s="394"/>
      <c r="L500" s="394"/>
      <c r="M500" s="394"/>
      <c r="N500" s="394"/>
      <c r="O500" s="394"/>
      <c r="P500" s="394"/>
      <c r="Q500" s="394"/>
      <c r="R500" s="381"/>
      <c r="S500" s="408"/>
      <c r="T500" s="385"/>
      <c r="U500" s="475"/>
      <c r="V500" s="395" t="e">
        <f t="shared" ref="V500" si="348">H500/E500*1000</f>
        <v>#DIV/0!</v>
      </c>
      <c r="W500" s="395" t="e">
        <f t="shared" ref="W500" si="349">H500/F500</f>
        <v>#DIV/0!</v>
      </c>
      <c r="X500" s="528"/>
      <c r="Y500" s="523"/>
      <c r="Z500" s="523"/>
      <c r="AA500" s="542"/>
      <c r="AB500" s="394"/>
      <c r="AC500" s="394"/>
      <c r="AD500" s="394"/>
      <c r="AE500" s="394"/>
      <c r="AF500" s="394"/>
      <c r="AG500" s="394"/>
      <c r="AH500" s="394"/>
      <c r="AI500" s="394"/>
      <c r="AJ500" s="394"/>
      <c r="AK500" s="381"/>
      <c r="AL500" s="408"/>
      <c r="AM500" s="385"/>
      <c r="AN500" s="475"/>
      <c r="AO500" s="395" t="e">
        <f t="shared" si="293"/>
        <v>#DIV/0!</v>
      </c>
      <c r="AP500" s="395" t="e">
        <f t="shared" si="294"/>
        <v>#DIV/0!</v>
      </c>
      <c r="AQ500" s="528"/>
      <c r="AR500" s="523"/>
      <c r="AS500" s="523"/>
      <c r="AT500" s="542"/>
      <c r="AU500" s="394"/>
      <c r="AV500" s="394"/>
      <c r="AW500" s="394"/>
      <c r="AX500" s="394"/>
      <c r="AY500" s="394"/>
      <c r="AZ500" s="394"/>
      <c r="BA500" s="394"/>
      <c r="BB500" s="394"/>
      <c r="BC500" s="394"/>
      <c r="BD500" s="381"/>
      <c r="BE500" s="408"/>
      <c r="BF500" s="385"/>
      <c r="BG500" s="475"/>
      <c r="BH500" s="395" t="e">
        <f t="shared" si="291"/>
        <v>#DIV/0!</v>
      </c>
      <c r="BI500" s="395" t="e">
        <f t="shared" si="292"/>
        <v>#DIV/0!</v>
      </c>
    </row>
    <row r="501" spans="1:61" s="358" customFormat="1" x14ac:dyDescent="0.3">
      <c r="A501" s="359"/>
      <c r="B501" s="572"/>
      <c r="C501" s="546"/>
      <c r="D501" s="360"/>
      <c r="E501" s="528"/>
      <c r="F501" s="523"/>
      <c r="G501" s="523"/>
      <c r="H501" s="571"/>
      <c r="I501" s="394"/>
      <c r="J501" s="394"/>
      <c r="K501" s="394"/>
      <c r="L501" s="394"/>
      <c r="M501" s="394"/>
      <c r="N501" s="394"/>
      <c r="O501" s="394"/>
      <c r="P501" s="394"/>
      <c r="Q501" s="394"/>
      <c r="R501" s="381"/>
      <c r="S501" s="408"/>
      <c r="T501" s="385"/>
      <c r="U501" s="475"/>
      <c r="V501" s="395"/>
      <c r="W501" s="395"/>
      <c r="X501" s="528"/>
      <c r="Y501" s="523"/>
      <c r="Z501" s="523"/>
      <c r="AA501" s="571"/>
      <c r="AB501" s="394"/>
      <c r="AC501" s="394"/>
      <c r="AD501" s="394"/>
      <c r="AE501" s="394"/>
      <c r="AF501" s="394"/>
      <c r="AG501" s="394"/>
      <c r="AH501" s="394"/>
      <c r="AI501" s="394"/>
      <c r="AJ501" s="394"/>
      <c r="AK501" s="381"/>
      <c r="AL501" s="408"/>
      <c r="AM501" s="385"/>
      <c r="AN501" s="475"/>
      <c r="AO501" s="395" t="e">
        <f t="shared" ref="AO501" si="350">AA501/X501*1000</f>
        <v>#DIV/0!</v>
      </c>
      <c r="AP501" s="395" t="e">
        <f t="shared" ref="AP501" si="351">AA501/Y501</f>
        <v>#DIV/0!</v>
      </c>
      <c r="AQ501" s="528"/>
      <c r="AR501" s="523"/>
      <c r="AS501" s="523"/>
      <c r="AT501" s="571"/>
      <c r="AU501" s="394"/>
      <c r="AV501" s="394"/>
      <c r="AW501" s="394"/>
      <c r="AX501" s="394"/>
      <c r="AY501" s="394"/>
      <c r="AZ501" s="394"/>
      <c r="BA501" s="394"/>
      <c r="BB501" s="394"/>
      <c r="BC501" s="394"/>
      <c r="BD501" s="381"/>
      <c r="BE501" s="408"/>
      <c r="BF501" s="385"/>
      <c r="BG501" s="475"/>
      <c r="BH501" s="395" t="e">
        <f t="shared" si="291"/>
        <v>#DIV/0!</v>
      </c>
      <c r="BI501" s="395" t="e">
        <f t="shared" si="292"/>
        <v>#DIV/0!</v>
      </c>
    </row>
    <row r="502" spans="1:61" s="358" customFormat="1" x14ac:dyDescent="0.3">
      <c r="A502" s="359"/>
      <c r="B502" s="602"/>
      <c r="C502" s="548"/>
      <c r="D502" s="360"/>
      <c r="E502" s="528"/>
      <c r="F502" s="523"/>
      <c r="G502" s="393"/>
      <c r="H502" s="394"/>
      <c r="I502" s="394"/>
      <c r="J502" s="394"/>
      <c r="K502" s="394"/>
      <c r="L502" s="394"/>
      <c r="M502" s="394"/>
      <c r="N502" s="394"/>
      <c r="O502" s="394"/>
      <c r="P502" s="394"/>
      <c r="Q502" s="394"/>
      <c r="R502" s="381"/>
      <c r="S502" s="408"/>
      <c r="T502" s="385"/>
      <c r="U502" s="475"/>
      <c r="V502" s="395"/>
      <c r="W502" s="395"/>
      <c r="X502" s="528"/>
      <c r="Y502" s="523"/>
      <c r="Z502" s="393"/>
      <c r="AA502" s="394"/>
      <c r="AB502" s="394"/>
      <c r="AC502" s="394"/>
      <c r="AD502" s="394"/>
      <c r="AE502" s="394"/>
      <c r="AF502" s="394"/>
      <c r="AG502" s="394"/>
      <c r="AH502" s="394"/>
      <c r="AI502" s="394"/>
      <c r="AJ502" s="394"/>
      <c r="AK502" s="381"/>
      <c r="AL502" s="408"/>
      <c r="AM502" s="385"/>
      <c r="AN502" s="475"/>
      <c r="AO502" s="395"/>
      <c r="AP502" s="395"/>
      <c r="AQ502" s="528"/>
      <c r="AR502" s="523"/>
      <c r="AS502" s="393"/>
      <c r="AT502" s="600"/>
      <c r="AU502" s="394"/>
      <c r="AV502" s="394"/>
      <c r="AW502" s="394"/>
      <c r="AX502" s="394"/>
      <c r="AY502" s="394"/>
      <c r="AZ502" s="394"/>
      <c r="BA502" s="394"/>
      <c r="BB502" s="394"/>
      <c r="BC502" s="394"/>
      <c r="BD502" s="381"/>
      <c r="BE502" s="408"/>
      <c r="BF502" s="385"/>
      <c r="BG502" s="475"/>
      <c r="BH502" s="395" t="e">
        <f t="shared" ref="BH502" si="352">AT502/AQ502*1000</f>
        <v>#DIV/0!</v>
      </c>
      <c r="BI502" s="395" t="e">
        <f t="shared" ref="BI502" si="353">AT502/AR502</f>
        <v>#DIV/0!</v>
      </c>
    </row>
    <row r="503" spans="1:61" s="358" customFormat="1" x14ac:dyDescent="0.3">
      <c r="A503" s="359"/>
      <c r="B503" s="378"/>
      <c r="C503" s="546"/>
      <c r="D503" s="360"/>
      <c r="E503" s="528"/>
      <c r="F503" s="523"/>
      <c r="G503" s="523"/>
      <c r="H503" s="394"/>
      <c r="I503" s="394"/>
      <c r="J503" s="394"/>
      <c r="K503" s="394"/>
      <c r="L503" s="394"/>
      <c r="M503" s="394"/>
      <c r="N503" s="394"/>
      <c r="O503" s="394"/>
      <c r="P503" s="394"/>
      <c r="Q503" s="394"/>
      <c r="R503" s="385"/>
      <c r="S503" s="385"/>
      <c r="T503" s="385"/>
      <c r="U503" s="475"/>
      <c r="V503" s="395" t="e">
        <f t="shared" si="310"/>
        <v>#DIV/0!</v>
      </c>
      <c r="W503" s="395" t="e">
        <f t="shared" si="311"/>
        <v>#DIV/0!</v>
      </c>
      <c r="X503" s="528"/>
      <c r="Y503" s="523"/>
      <c r="Z503" s="523"/>
      <c r="AA503" s="394"/>
      <c r="AB503" s="394"/>
      <c r="AC503" s="394"/>
      <c r="AD503" s="394"/>
      <c r="AE503" s="394"/>
      <c r="AF503" s="394"/>
      <c r="AG503" s="394"/>
      <c r="AH503" s="394"/>
      <c r="AI503" s="394"/>
      <c r="AJ503" s="394"/>
      <c r="AK503" s="385"/>
      <c r="AL503" s="385"/>
      <c r="AM503" s="385"/>
      <c r="AN503" s="475"/>
      <c r="AO503" s="395" t="e">
        <f t="shared" si="293"/>
        <v>#DIV/0!</v>
      </c>
      <c r="AP503" s="395" t="e">
        <f t="shared" si="294"/>
        <v>#DIV/0!</v>
      </c>
      <c r="AQ503" s="528"/>
      <c r="AR503" s="523"/>
      <c r="AS503" s="523"/>
      <c r="AT503" s="394"/>
      <c r="AU503" s="394"/>
      <c r="AV503" s="394"/>
      <c r="AW503" s="394"/>
      <c r="AX503" s="394"/>
      <c r="AY503" s="394"/>
      <c r="AZ503" s="394"/>
      <c r="BA503" s="394"/>
      <c r="BB503" s="394"/>
      <c r="BC503" s="394"/>
      <c r="BD503" s="385"/>
      <c r="BE503" s="385"/>
      <c r="BF503" s="385"/>
      <c r="BG503" s="475"/>
      <c r="BH503" s="395" t="e">
        <f t="shared" si="291"/>
        <v>#DIV/0!</v>
      </c>
      <c r="BI503" s="395" t="e">
        <f t="shared" si="292"/>
        <v>#DIV/0!</v>
      </c>
    </row>
    <row r="504" spans="1:61" s="358" customFormat="1" ht="86.4" x14ac:dyDescent="0.3">
      <c r="A504" s="417" t="s">
        <v>4615</v>
      </c>
      <c r="B504" s="418" t="s">
        <v>6316</v>
      </c>
      <c r="C504" s="589"/>
      <c r="D504" s="419"/>
      <c r="E504" s="420">
        <f t="shared" ref="E504:Q504" si="354">E505+E523+E531+E536+E540+E543+E548+E552+E564+E568+E572+E576+E580+E586+E591+E601+E608</f>
        <v>680</v>
      </c>
      <c r="F504" s="420">
        <f t="shared" si="354"/>
        <v>840</v>
      </c>
      <c r="G504" s="420">
        <f t="shared" si="354"/>
        <v>840</v>
      </c>
      <c r="H504" s="421">
        <f t="shared" si="354"/>
        <v>846.49393999999995</v>
      </c>
      <c r="I504" s="421">
        <f t="shared" si="354"/>
        <v>628.50972999999999</v>
      </c>
      <c r="J504" s="421">
        <f t="shared" si="354"/>
        <v>561.09667999999999</v>
      </c>
      <c r="K504" s="421">
        <f t="shared" si="354"/>
        <v>26.662319999999998</v>
      </c>
      <c r="L504" s="421">
        <f t="shared" si="354"/>
        <v>38.793750000000003</v>
      </c>
      <c r="M504" s="421">
        <f t="shared" si="354"/>
        <v>0</v>
      </c>
      <c r="N504" s="421">
        <f t="shared" si="354"/>
        <v>0</v>
      </c>
      <c r="O504" s="421">
        <f t="shared" si="354"/>
        <v>69.071529999999996</v>
      </c>
      <c r="P504" s="421">
        <f t="shared" si="354"/>
        <v>2197.0299999999997</v>
      </c>
      <c r="Q504" s="421">
        <f t="shared" si="354"/>
        <v>8.3613900000000001</v>
      </c>
      <c r="R504" s="422"/>
      <c r="S504" s="422"/>
      <c r="T504" s="422"/>
      <c r="U504" s="476"/>
      <c r="V504" s="423">
        <f t="shared" si="310"/>
        <v>1244.8440294117647</v>
      </c>
      <c r="W504" s="423">
        <f t="shared" si="311"/>
        <v>1.0077308809523808</v>
      </c>
      <c r="X504" s="420">
        <f t="shared" ref="X504:AJ504" si="355">X505+X523+X531+X536+X540+X543+X548+X552+X564+X568+X572+X576+X580+X586+X591+X601+X608</f>
        <v>4507.6000000000004</v>
      </c>
      <c r="Y504" s="420">
        <f t="shared" si="355"/>
        <v>10291</v>
      </c>
      <c r="Z504" s="420">
        <f t="shared" si="355"/>
        <v>10291</v>
      </c>
      <c r="AA504" s="421">
        <f t="shared" si="355"/>
        <v>20560.263009999999</v>
      </c>
      <c r="AB504" s="421">
        <f t="shared" si="355"/>
        <v>16739.952029999997</v>
      </c>
      <c r="AC504" s="421">
        <f t="shared" si="355"/>
        <v>14153.079589999999</v>
      </c>
      <c r="AD504" s="421">
        <f t="shared" si="355"/>
        <v>375.71271999999999</v>
      </c>
      <c r="AE504" s="421">
        <f t="shared" si="355"/>
        <v>767.73563000000001</v>
      </c>
      <c r="AF504" s="421">
        <f t="shared" si="355"/>
        <v>7</v>
      </c>
      <c r="AG504" s="421">
        <f t="shared" si="355"/>
        <v>0</v>
      </c>
      <c r="AH504" s="421">
        <f t="shared" si="355"/>
        <v>1095.85384</v>
      </c>
      <c r="AI504" s="421">
        <f t="shared" si="355"/>
        <v>40.729050000000001</v>
      </c>
      <c r="AJ504" s="421">
        <f t="shared" si="355"/>
        <v>117.00311000000001</v>
      </c>
      <c r="AK504" s="422"/>
      <c r="AL504" s="422"/>
      <c r="AM504" s="422"/>
      <c r="AN504" s="476"/>
      <c r="AO504" s="423">
        <f t="shared" si="293"/>
        <v>4561.2439014109495</v>
      </c>
      <c r="AP504" s="423">
        <f t="shared" si="294"/>
        <v>1.997887766980857</v>
      </c>
      <c r="AQ504" s="420">
        <f t="shared" ref="AQ504:BC504" si="356">AQ505+AQ523+AQ531+AQ536+AQ540+AQ543+AQ548+AQ552+AQ564+AQ568+AQ572+AQ576+AQ580+AQ586+AQ591+AQ601+AQ608</f>
        <v>4717</v>
      </c>
      <c r="AR504" s="420">
        <f t="shared" si="356"/>
        <v>12171.08</v>
      </c>
      <c r="AS504" s="420">
        <f t="shared" si="356"/>
        <v>12171.08</v>
      </c>
      <c r="AT504" s="421">
        <f t="shared" si="356"/>
        <v>12452.46247</v>
      </c>
      <c r="AU504" s="421">
        <f t="shared" si="356"/>
        <v>8230.810230000001</v>
      </c>
      <c r="AV504" s="421">
        <f t="shared" si="356"/>
        <v>7300.7952800000003</v>
      </c>
      <c r="AW504" s="421">
        <f t="shared" si="356"/>
        <v>252.72794000000002</v>
      </c>
      <c r="AX504" s="421">
        <f t="shared" si="356"/>
        <v>1754.9213099999999</v>
      </c>
      <c r="AY504" s="421">
        <f t="shared" si="356"/>
        <v>0</v>
      </c>
      <c r="AZ504" s="421">
        <f t="shared" si="356"/>
        <v>0</v>
      </c>
      <c r="BA504" s="421">
        <f t="shared" si="356"/>
        <v>852.3211399999999</v>
      </c>
      <c r="BB504" s="421">
        <f t="shared" si="356"/>
        <v>36.84478</v>
      </c>
      <c r="BC504" s="421">
        <f t="shared" si="356"/>
        <v>109.34681999999999</v>
      </c>
      <c r="BD504" s="422"/>
      <c r="BE504" s="422"/>
      <c r="BF504" s="422"/>
      <c r="BG504" s="476"/>
      <c r="BH504" s="423">
        <f t="shared" si="291"/>
        <v>2639.9114839940639</v>
      </c>
      <c r="BI504" s="423">
        <f t="shared" si="292"/>
        <v>1.0231189401433562</v>
      </c>
    </row>
    <row r="505" spans="1:61" s="358" customFormat="1" ht="24.75" customHeight="1" x14ac:dyDescent="0.3">
      <c r="A505" s="354" t="s">
        <v>4615</v>
      </c>
      <c r="B505" s="603" t="s">
        <v>4791</v>
      </c>
      <c r="C505" s="587"/>
      <c r="D505" s="356">
        <v>0.4</v>
      </c>
      <c r="E505" s="389">
        <f t="shared" ref="E505:Q505" si="357">SUM(E507:E522)</f>
        <v>0</v>
      </c>
      <c r="F505" s="389">
        <f t="shared" si="357"/>
        <v>0</v>
      </c>
      <c r="G505" s="389">
        <f t="shared" si="357"/>
        <v>0</v>
      </c>
      <c r="H505" s="390">
        <f t="shared" si="357"/>
        <v>0</v>
      </c>
      <c r="I505" s="390">
        <f t="shared" si="357"/>
        <v>0</v>
      </c>
      <c r="J505" s="390">
        <f t="shared" si="357"/>
        <v>0</v>
      </c>
      <c r="K505" s="390">
        <f t="shared" si="357"/>
        <v>0</v>
      </c>
      <c r="L505" s="390">
        <f t="shared" si="357"/>
        <v>0</v>
      </c>
      <c r="M505" s="390">
        <f t="shared" si="357"/>
        <v>0</v>
      </c>
      <c r="N505" s="390">
        <f t="shared" si="357"/>
        <v>0</v>
      </c>
      <c r="O505" s="390">
        <f t="shared" si="357"/>
        <v>0</v>
      </c>
      <c r="P505" s="390">
        <f t="shared" si="357"/>
        <v>0</v>
      </c>
      <c r="Q505" s="390">
        <f t="shared" si="357"/>
        <v>0</v>
      </c>
      <c r="R505" s="391"/>
      <c r="S505" s="391"/>
      <c r="T505" s="391"/>
      <c r="U505" s="474"/>
      <c r="V505" s="392" t="e">
        <f t="shared" ref="V505" si="358">H505/E505*1000</f>
        <v>#DIV/0!</v>
      </c>
      <c r="W505" s="392" t="e">
        <f t="shared" ref="W505" si="359">H505/F505</f>
        <v>#DIV/0!</v>
      </c>
      <c r="X505" s="389">
        <f>SUM(X506:X522)</f>
        <v>520</v>
      </c>
      <c r="Y505" s="389">
        <f t="shared" ref="Y505:Z505" si="360">SUM(Y506:Y522)</f>
        <v>404</v>
      </c>
      <c r="Z505" s="389">
        <f t="shared" si="360"/>
        <v>404</v>
      </c>
      <c r="AA505" s="390">
        <f>SUM(AA506:AA522)</f>
        <v>976.30856999999992</v>
      </c>
      <c r="AB505" s="390">
        <f t="shared" ref="AB505:AJ505" si="361">SUM(AB506:AB522)</f>
        <v>813.10263000000009</v>
      </c>
      <c r="AC505" s="390">
        <f t="shared" si="361"/>
        <v>732.75745000000006</v>
      </c>
      <c r="AD505" s="390">
        <f t="shared" si="361"/>
        <v>5.8102799999999997</v>
      </c>
      <c r="AE505" s="390">
        <f t="shared" si="361"/>
        <v>50.206699999999998</v>
      </c>
      <c r="AF505" s="390">
        <f t="shared" si="361"/>
        <v>0</v>
      </c>
      <c r="AG505" s="390">
        <f t="shared" si="361"/>
        <v>0</v>
      </c>
      <c r="AH505" s="390">
        <f t="shared" si="361"/>
        <v>47.878779999999999</v>
      </c>
      <c r="AI505" s="390">
        <f t="shared" si="361"/>
        <v>2.7088999999999999</v>
      </c>
      <c r="AJ505" s="390">
        <f t="shared" si="361"/>
        <v>2.9051399999999998</v>
      </c>
      <c r="AK505" s="391"/>
      <c r="AL505" s="391"/>
      <c r="AM505" s="391"/>
      <c r="AN505" s="474"/>
      <c r="AO505" s="392">
        <f t="shared" ref="AO505:AO506" si="362">AA505/X505*1000</f>
        <v>1877.5164807692306</v>
      </c>
      <c r="AP505" s="392">
        <f t="shared" ref="AP505:AP506" si="363">AA505/Y505</f>
        <v>2.4166053712871287</v>
      </c>
      <c r="AQ505" s="389">
        <f>SUM(AQ506:AQ522)</f>
        <v>1405</v>
      </c>
      <c r="AR505" s="389">
        <f t="shared" ref="AR505:AS505" si="364">SUM(AR506:AR522)</f>
        <v>5976.4</v>
      </c>
      <c r="AS505" s="389">
        <f t="shared" si="364"/>
        <v>5976.4</v>
      </c>
      <c r="AT505" s="390">
        <f>SUM(AT506:AT522)</f>
        <v>2407.8815</v>
      </c>
      <c r="AU505" s="390">
        <f t="shared" ref="AU505:BC505" si="365">SUM(AU506:AU522)</f>
        <v>1908.0253100000002</v>
      </c>
      <c r="AV505" s="390">
        <f t="shared" si="365"/>
        <v>1512.5865000000001</v>
      </c>
      <c r="AW505" s="390">
        <f t="shared" si="365"/>
        <v>85.008520000000019</v>
      </c>
      <c r="AX505" s="390">
        <f t="shared" si="365"/>
        <v>67.111519999999999</v>
      </c>
      <c r="AY505" s="390">
        <f t="shared" si="365"/>
        <v>0</v>
      </c>
      <c r="AZ505" s="390">
        <f t="shared" si="365"/>
        <v>0</v>
      </c>
      <c r="BA505" s="390">
        <f t="shared" si="365"/>
        <v>157.76530999999997</v>
      </c>
      <c r="BB505" s="390">
        <f t="shared" si="365"/>
        <v>13.930679999999999</v>
      </c>
      <c r="BC505" s="390">
        <f t="shared" si="365"/>
        <v>32.608789999999999</v>
      </c>
      <c r="BD505" s="391"/>
      <c r="BE505" s="391"/>
      <c r="BF505" s="391"/>
      <c r="BG505" s="474"/>
      <c r="BH505" s="392">
        <f t="shared" si="291"/>
        <v>1713.7946619217082</v>
      </c>
      <c r="BI505" s="392">
        <f t="shared" si="292"/>
        <v>0.40289831671240212</v>
      </c>
    </row>
    <row r="506" spans="1:61" s="358" customFormat="1" ht="19.2" x14ac:dyDescent="0.3">
      <c r="A506" s="359" t="s">
        <v>178</v>
      </c>
      <c r="B506" s="537" t="s">
        <v>575</v>
      </c>
      <c r="C506" s="546" t="s">
        <v>444</v>
      </c>
      <c r="D506" s="360">
        <v>0.4</v>
      </c>
      <c r="E506" s="528">
        <v>11</v>
      </c>
      <c r="F506" s="523">
        <v>150</v>
      </c>
      <c r="G506" s="393">
        <v>150</v>
      </c>
      <c r="H506" s="544">
        <v>34.578949999999999</v>
      </c>
      <c r="I506" s="394">
        <v>17.974409999999999</v>
      </c>
      <c r="J506" s="394">
        <v>7.80274</v>
      </c>
      <c r="K506" s="394">
        <v>5.7818399999999999</v>
      </c>
      <c r="L506" s="394">
        <v>0.40722999999999998</v>
      </c>
      <c r="M506" s="394">
        <v>0</v>
      </c>
      <c r="N506" s="394">
        <v>0</v>
      </c>
      <c r="O506" s="394">
        <v>5.6563699999999999</v>
      </c>
      <c r="P506" s="394">
        <v>709.34</v>
      </c>
      <c r="Q506" s="394">
        <v>2.8909199999999999</v>
      </c>
      <c r="R506" s="381" t="s">
        <v>167</v>
      </c>
      <c r="S506" s="408" t="s">
        <v>175</v>
      </c>
      <c r="T506" s="385"/>
      <c r="U506" s="475">
        <v>278</v>
      </c>
      <c r="V506" s="395">
        <f t="shared" ref="V506" si="366">H506/E506*1000</f>
        <v>3143.5409090909088</v>
      </c>
      <c r="W506" s="395">
        <f t="shared" ref="W506" si="367">H506/F506</f>
        <v>0.23052633333333333</v>
      </c>
      <c r="X506" s="528"/>
      <c r="Y506" s="523"/>
      <c r="Z506" s="393"/>
      <c r="AA506" s="544"/>
      <c r="AB506" s="394"/>
      <c r="AC506" s="394"/>
      <c r="AD506" s="394"/>
      <c r="AE506" s="394"/>
      <c r="AF506" s="394"/>
      <c r="AG506" s="394"/>
      <c r="AH506" s="394"/>
      <c r="AI506" s="394"/>
      <c r="AJ506" s="394"/>
      <c r="AK506" s="381"/>
      <c r="AL506" s="408"/>
      <c r="AM506" s="385"/>
      <c r="AN506" s="475"/>
      <c r="AO506" s="395" t="e">
        <f t="shared" si="362"/>
        <v>#DIV/0!</v>
      </c>
      <c r="AP506" s="395" t="e">
        <f t="shared" si="363"/>
        <v>#DIV/0!</v>
      </c>
      <c r="AQ506" s="528"/>
      <c r="AR506" s="523"/>
      <c r="AS506" s="393"/>
      <c r="AT506" s="544"/>
      <c r="AU506" s="394"/>
      <c r="AV506" s="394"/>
      <c r="AW506" s="394"/>
      <c r="AX506" s="394"/>
      <c r="AY506" s="394"/>
      <c r="AZ506" s="394"/>
      <c r="BA506" s="394"/>
      <c r="BB506" s="394"/>
      <c r="BC506" s="394"/>
      <c r="BD506" s="381"/>
      <c r="BE506" s="408"/>
      <c r="BF506" s="385"/>
      <c r="BG506" s="475"/>
      <c r="BH506" s="395" t="e">
        <f t="shared" ref="BH506" si="368">AT506/AQ506*1000</f>
        <v>#DIV/0!</v>
      </c>
      <c r="BI506" s="395" t="e">
        <f t="shared" ref="BI506" si="369">AT506/AR506</f>
        <v>#DIV/0!</v>
      </c>
    </row>
    <row r="507" spans="1:61" s="358" customFormat="1" ht="31.2" x14ac:dyDescent="0.3">
      <c r="A507" s="359" t="s">
        <v>178</v>
      </c>
      <c r="B507" s="572" t="s">
        <v>4979</v>
      </c>
      <c r="C507" s="546" t="s">
        <v>2597</v>
      </c>
      <c r="D507" s="360">
        <v>0.4</v>
      </c>
      <c r="E507" s="528"/>
      <c r="F507" s="523"/>
      <c r="G507" s="393"/>
      <c r="H507" s="573"/>
      <c r="I507" s="394"/>
      <c r="J507" s="394"/>
      <c r="K507" s="394"/>
      <c r="L507" s="394"/>
      <c r="M507" s="394"/>
      <c r="N507" s="394"/>
      <c r="O507" s="394"/>
      <c r="P507" s="394"/>
      <c r="Q507" s="394"/>
      <c r="R507" s="381"/>
      <c r="S507" s="408"/>
      <c r="T507" s="385"/>
      <c r="U507" s="475"/>
      <c r="V507" s="395"/>
      <c r="W507" s="395"/>
      <c r="X507" s="528">
        <v>260</v>
      </c>
      <c r="Y507" s="523">
        <v>202</v>
      </c>
      <c r="Z507" s="393">
        <v>202</v>
      </c>
      <c r="AA507" s="573">
        <v>487.47705999999999</v>
      </c>
      <c r="AB507" s="394">
        <v>405.87409000000002</v>
      </c>
      <c r="AC507" s="394">
        <v>365.70150000000001</v>
      </c>
      <c r="AD507" s="394">
        <v>2.9051399999999998</v>
      </c>
      <c r="AE507" s="394">
        <v>25.103349999999999</v>
      </c>
      <c r="AF507" s="394">
        <v>0</v>
      </c>
      <c r="AG507" s="394">
        <v>0</v>
      </c>
      <c r="AH507" s="394">
        <v>23.93939</v>
      </c>
      <c r="AI507" s="394">
        <v>1.3544499999999999</v>
      </c>
      <c r="AJ507" s="394">
        <v>1.4525699999999999</v>
      </c>
      <c r="AK507" s="381" t="s">
        <v>167</v>
      </c>
      <c r="AL507" s="408" t="s">
        <v>175</v>
      </c>
      <c r="AM507" s="475" t="s">
        <v>4616</v>
      </c>
      <c r="AN507" s="475">
        <v>359</v>
      </c>
      <c r="AO507" s="395">
        <f>AA507/X507*1000</f>
        <v>1874.9117692307693</v>
      </c>
      <c r="AP507" s="395">
        <f>AA507/Y507</f>
        <v>2.4132527722772279</v>
      </c>
      <c r="AQ507" s="528"/>
      <c r="AR507" s="523"/>
      <c r="AS507" s="393"/>
      <c r="AT507" s="573"/>
      <c r="AU507" s="394"/>
      <c r="AV507" s="394"/>
      <c r="AW507" s="394"/>
      <c r="AX507" s="394"/>
      <c r="AY507" s="394"/>
      <c r="AZ507" s="394"/>
      <c r="BA507" s="394"/>
      <c r="BB507" s="394"/>
      <c r="BC507" s="394"/>
      <c r="BD507" s="381"/>
      <c r="BE507" s="408"/>
      <c r="BF507" s="475"/>
      <c r="BG507" s="475"/>
      <c r="BH507" s="395" t="e">
        <f>AT507/AQ507*1000</f>
        <v>#DIV/0!</v>
      </c>
      <c r="BI507" s="395" t="e">
        <f>AT507/AR507</f>
        <v>#DIV/0!</v>
      </c>
    </row>
    <row r="508" spans="1:61" s="358" customFormat="1" ht="31.2" x14ac:dyDescent="0.3">
      <c r="A508" s="359" t="s">
        <v>182</v>
      </c>
      <c r="B508" s="572" t="s">
        <v>4979</v>
      </c>
      <c r="C508" s="546" t="s">
        <v>2596</v>
      </c>
      <c r="D508" s="360">
        <v>0.4</v>
      </c>
      <c r="E508" s="528"/>
      <c r="F508" s="523"/>
      <c r="G508" s="393"/>
      <c r="H508" s="573"/>
      <c r="I508" s="394"/>
      <c r="J508" s="394"/>
      <c r="K508" s="394"/>
      <c r="L508" s="394"/>
      <c r="M508" s="394"/>
      <c r="N508" s="394"/>
      <c r="O508" s="394"/>
      <c r="P508" s="394"/>
      <c r="Q508" s="394"/>
      <c r="R508" s="381"/>
      <c r="S508" s="408"/>
      <c r="T508" s="385"/>
      <c r="U508" s="475"/>
      <c r="V508" s="395"/>
      <c r="W508" s="395"/>
      <c r="X508" s="528">
        <v>260</v>
      </c>
      <c r="Y508" s="523">
        <v>202</v>
      </c>
      <c r="Z508" s="393">
        <v>202</v>
      </c>
      <c r="AA508" s="573">
        <v>488.83150999999998</v>
      </c>
      <c r="AB508" s="394">
        <v>407.22854000000001</v>
      </c>
      <c r="AC508" s="394">
        <v>367.05595</v>
      </c>
      <c r="AD508" s="394">
        <v>2.9051399999999998</v>
      </c>
      <c r="AE508" s="394">
        <v>25.103349999999999</v>
      </c>
      <c r="AF508" s="394">
        <v>0</v>
      </c>
      <c r="AG508" s="394">
        <v>0</v>
      </c>
      <c r="AH508" s="394">
        <v>23.93939</v>
      </c>
      <c r="AI508" s="394">
        <v>1.3544499999999999</v>
      </c>
      <c r="AJ508" s="394">
        <v>1.4525699999999999</v>
      </c>
      <c r="AK508" s="381" t="s">
        <v>167</v>
      </c>
      <c r="AL508" s="408" t="s">
        <v>175</v>
      </c>
      <c r="AM508" s="475" t="s">
        <v>4616</v>
      </c>
      <c r="AN508" s="475">
        <v>362</v>
      </c>
      <c r="AO508" s="395">
        <f>AA508/X508*1000</f>
        <v>1880.1211923076921</v>
      </c>
      <c r="AP508" s="395">
        <f>AA508/Y508</f>
        <v>2.4199579702970295</v>
      </c>
      <c r="AQ508" s="528"/>
      <c r="AR508" s="523"/>
      <c r="AS508" s="393"/>
      <c r="AT508" s="573"/>
      <c r="AU508" s="394"/>
      <c r="AV508" s="394"/>
      <c r="AW508" s="394"/>
      <c r="AX508" s="394"/>
      <c r="AY508" s="394"/>
      <c r="AZ508" s="394"/>
      <c r="BA508" s="394"/>
      <c r="BB508" s="394"/>
      <c r="BC508" s="394"/>
      <c r="BD508" s="381"/>
      <c r="BE508" s="408"/>
      <c r="BF508" s="475"/>
      <c r="BG508" s="475"/>
      <c r="BH508" s="395" t="e">
        <f>AT508/AQ508*1000</f>
        <v>#DIV/0!</v>
      </c>
      <c r="BI508" s="395" t="e">
        <f>AT508/AR508</f>
        <v>#DIV/0!</v>
      </c>
    </row>
    <row r="509" spans="1:61" s="358" customFormat="1" ht="28.8" x14ac:dyDescent="0.3">
      <c r="A509" s="359" t="s">
        <v>178</v>
      </c>
      <c r="B509" s="602" t="s">
        <v>4789</v>
      </c>
      <c r="C509" s="548" t="s">
        <v>4795</v>
      </c>
      <c r="D509" s="360">
        <v>0.4</v>
      </c>
      <c r="E509" s="528"/>
      <c r="F509" s="523"/>
      <c r="G509" s="393"/>
      <c r="H509" s="394"/>
      <c r="I509" s="394"/>
      <c r="J509" s="394"/>
      <c r="K509" s="394"/>
      <c r="L509" s="394"/>
      <c r="M509" s="394"/>
      <c r="N509" s="394"/>
      <c r="O509" s="394"/>
      <c r="P509" s="394"/>
      <c r="Q509" s="394"/>
      <c r="R509" s="381"/>
      <c r="S509" s="408"/>
      <c r="T509" s="385"/>
      <c r="U509" s="475"/>
      <c r="V509" s="395"/>
      <c r="W509" s="395"/>
      <c r="X509" s="528"/>
      <c r="Y509" s="523"/>
      <c r="Z509" s="393"/>
      <c r="AA509" s="394"/>
      <c r="AB509" s="394"/>
      <c r="AC509" s="394"/>
      <c r="AD509" s="394"/>
      <c r="AE509" s="394"/>
      <c r="AF509" s="394"/>
      <c r="AG509" s="394"/>
      <c r="AH509" s="394"/>
      <c r="AI509" s="394"/>
      <c r="AJ509" s="394"/>
      <c r="AK509" s="381"/>
      <c r="AL509" s="408"/>
      <c r="AM509" s="385"/>
      <c r="AN509" s="475"/>
      <c r="AO509" s="395"/>
      <c r="AP509" s="395"/>
      <c r="AQ509" s="528">
        <v>800</v>
      </c>
      <c r="AR509" s="523">
        <v>237</v>
      </c>
      <c r="AS509" s="393">
        <v>237</v>
      </c>
      <c r="AT509" s="600">
        <v>1188.0845099999999</v>
      </c>
      <c r="AU509" s="394">
        <v>947.2817</v>
      </c>
      <c r="AV509" s="394">
        <v>755.58399999999995</v>
      </c>
      <c r="AW509" s="394">
        <f>11.62056+20.23644+7.17372</f>
        <v>39.030720000000002</v>
      </c>
      <c r="AX509" s="394">
        <v>35.685870000000001</v>
      </c>
      <c r="AY509" s="394">
        <v>0</v>
      </c>
      <c r="AZ509" s="394">
        <v>0</v>
      </c>
      <c r="BA509" s="394">
        <v>80.871440000000007</v>
      </c>
      <c r="BB509" s="394">
        <v>0.94447999999999999</v>
      </c>
      <c r="BC509" s="394">
        <f>1.45257+2.89092+3.58886</f>
        <v>7.9323499999999996</v>
      </c>
      <c r="BD509" s="381" t="s">
        <v>167</v>
      </c>
      <c r="BE509" s="408" t="s">
        <v>175</v>
      </c>
      <c r="BF509" s="385"/>
      <c r="BG509" s="475">
        <v>323</v>
      </c>
      <c r="BH509" s="395">
        <f t="shared" ref="BH509:BH514" si="370">AT509/AQ509*1000</f>
        <v>1485.1056374999998</v>
      </c>
      <c r="BI509" s="395">
        <f t="shared" ref="BI509:BI514" si="371">AT509/AR509</f>
        <v>5.0130148101265819</v>
      </c>
    </row>
    <row r="510" spans="1:61" s="358" customFormat="1" ht="19.2" x14ac:dyDescent="0.3">
      <c r="A510" s="359" t="s">
        <v>182</v>
      </c>
      <c r="B510" s="602" t="s">
        <v>603</v>
      </c>
      <c r="C510" s="548" t="s">
        <v>4861</v>
      </c>
      <c r="D510" s="360">
        <v>0.4</v>
      </c>
      <c r="E510" s="528"/>
      <c r="F510" s="523"/>
      <c r="G510" s="393"/>
      <c r="H510" s="394"/>
      <c r="I510" s="394"/>
      <c r="J510" s="394"/>
      <c r="K510" s="394"/>
      <c r="L510" s="394"/>
      <c r="M510" s="394"/>
      <c r="N510" s="394"/>
      <c r="O510" s="394"/>
      <c r="P510" s="394"/>
      <c r="Q510" s="394"/>
      <c r="R510" s="381"/>
      <c r="S510" s="408"/>
      <c r="T510" s="385"/>
      <c r="U510" s="475"/>
      <c r="V510" s="395"/>
      <c r="W510" s="395"/>
      <c r="X510" s="528"/>
      <c r="Y510" s="523"/>
      <c r="Z510" s="393"/>
      <c r="AA510" s="394"/>
      <c r="AB510" s="394"/>
      <c r="AC510" s="394"/>
      <c r="AD510" s="394"/>
      <c r="AE510" s="394"/>
      <c r="AF510" s="394"/>
      <c r="AG510" s="394"/>
      <c r="AH510" s="394"/>
      <c r="AI510" s="394"/>
      <c r="AJ510" s="394"/>
      <c r="AK510" s="381"/>
      <c r="AL510" s="408"/>
      <c r="AM510" s="385"/>
      <c r="AN510" s="475"/>
      <c r="AO510" s="395"/>
      <c r="AP510" s="395"/>
      <c r="AQ510" s="528">
        <f>56+6</f>
        <v>62</v>
      </c>
      <c r="AR510" s="523">
        <v>149.69999999999999</v>
      </c>
      <c r="AS510" s="393">
        <v>149.69999999999999</v>
      </c>
      <c r="AT510" s="600">
        <v>132.21527</v>
      </c>
      <c r="AU510" s="394">
        <v>105.90613999999999</v>
      </c>
      <c r="AV510" s="394">
        <f>52.9788+5.0694</f>
        <v>58.048200000000001</v>
      </c>
      <c r="AW510" s="394">
        <f>6.77564+2.89092</f>
        <v>9.6665600000000005</v>
      </c>
      <c r="AX510" s="394">
        <v>2.6997800000000001</v>
      </c>
      <c r="AY510" s="394">
        <v>0</v>
      </c>
      <c r="AZ510" s="394">
        <v>0</v>
      </c>
      <c r="BA510" s="394">
        <v>9.0137800000000006</v>
      </c>
      <c r="BB510" s="394">
        <v>0.94604999999999995</v>
      </c>
      <c r="BC510" s="394">
        <f>3.38782+2.89092</f>
        <v>6.27874</v>
      </c>
      <c r="BD510" s="381" t="s">
        <v>167</v>
      </c>
      <c r="BE510" s="408" t="s">
        <v>175</v>
      </c>
      <c r="BF510" s="385"/>
      <c r="BG510" s="475">
        <v>327</v>
      </c>
      <c r="BH510" s="395">
        <f t="shared" ref="BH510" si="372">AT510/AQ510*1000</f>
        <v>2132.5043548387098</v>
      </c>
      <c r="BI510" s="395">
        <f t="shared" ref="BI510" si="373">AT510/AR510</f>
        <v>0.88320153640614574</v>
      </c>
    </row>
    <row r="511" spans="1:61" s="358" customFormat="1" ht="19.2" x14ac:dyDescent="0.3">
      <c r="A511" s="359" t="s">
        <v>184</v>
      </c>
      <c r="B511" s="602" t="s">
        <v>603</v>
      </c>
      <c r="C511" s="548" t="s">
        <v>4862</v>
      </c>
      <c r="D511" s="360">
        <v>0.4</v>
      </c>
      <c r="E511" s="528"/>
      <c r="F511" s="523"/>
      <c r="G511" s="393"/>
      <c r="H511" s="394"/>
      <c r="I511" s="394"/>
      <c r="J511" s="394"/>
      <c r="K511" s="394"/>
      <c r="L511" s="394"/>
      <c r="M511" s="394"/>
      <c r="N511" s="394"/>
      <c r="O511" s="394"/>
      <c r="P511" s="394"/>
      <c r="Q511" s="394"/>
      <c r="R511" s="381"/>
      <c r="S511" s="408"/>
      <c r="T511" s="385"/>
      <c r="U511" s="475"/>
      <c r="V511" s="395"/>
      <c r="W511" s="395"/>
      <c r="X511" s="528"/>
      <c r="Y511" s="523"/>
      <c r="Z511" s="393"/>
      <c r="AA511" s="394"/>
      <c r="AB511" s="394"/>
      <c r="AC511" s="394"/>
      <c r="AD511" s="394"/>
      <c r="AE511" s="394"/>
      <c r="AF511" s="394"/>
      <c r="AG511" s="394"/>
      <c r="AH511" s="394"/>
      <c r="AI511" s="394"/>
      <c r="AJ511" s="394"/>
      <c r="AK511" s="381"/>
      <c r="AL511" s="408"/>
      <c r="AM511" s="385"/>
      <c r="AN511" s="475"/>
      <c r="AO511" s="395"/>
      <c r="AP511" s="395"/>
      <c r="AQ511" s="528">
        <v>56</v>
      </c>
      <c r="AR511" s="523">
        <v>149.69999999999999</v>
      </c>
      <c r="AS511" s="393">
        <v>149.69999999999999</v>
      </c>
      <c r="AT511" s="600">
        <v>117.8302</v>
      </c>
      <c r="AU511" s="394">
        <v>97.124629999999996</v>
      </c>
      <c r="AV511" s="394">
        <v>52.9788</v>
      </c>
      <c r="AW511" s="394">
        <v>6.7756400000000001</v>
      </c>
      <c r="AX511" s="394">
        <v>2.6755800000000001</v>
      </c>
      <c r="AY511" s="394">
        <v>0</v>
      </c>
      <c r="AZ511" s="394">
        <v>0</v>
      </c>
      <c r="BA511" s="394">
        <v>6.9572700000000003</v>
      </c>
      <c r="BB511" s="394">
        <v>0.94604999999999995</v>
      </c>
      <c r="BC511" s="394">
        <v>3.3878200000000001</v>
      </c>
      <c r="BD511" s="381" t="s">
        <v>167</v>
      </c>
      <c r="BE511" s="408" t="s">
        <v>175</v>
      </c>
      <c r="BF511" s="385"/>
      <c r="BG511" s="475">
        <v>330</v>
      </c>
      <c r="BH511" s="395">
        <f t="shared" si="370"/>
        <v>2104.1107142857145</v>
      </c>
      <c r="BI511" s="395">
        <f t="shared" si="371"/>
        <v>0.78710888443553784</v>
      </c>
    </row>
    <row r="512" spans="1:61" s="358" customFormat="1" ht="19.2" x14ac:dyDescent="0.3">
      <c r="A512" s="359" t="s">
        <v>186</v>
      </c>
      <c r="B512" s="602" t="s">
        <v>4958</v>
      </c>
      <c r="C512" s="548" t="s">
        <v>4961</v>
      </c>
      <c r="D512" s="360">
        <v>0.4</v>
      </c>
      <c r="E512" s="528"/>
      <c r="F512" s="523"/>
      <c r="G512" s="393"/>
      <c r="H512" s="394"/>
      <c r="I512" s="394"/>
      <c r="J512" s="394"/>
      <c r="K512" s="394"/>
      <c r="L512" s="394"/>
      <c r="M512" s="394"/>
      <c r="N512" s="394"/>
      <c r="O512" s="394"/>
      <c r="P512" s="394"/>
      <c r="Q512" s="394"/>
      <c r="R512" s="381"/>
      <c r="S512" s="408"/>
      <c r="T512" s="385"/>
      <c r="U512" s="475"/>
      <c r="V512" s="395"/>
      <c r="W512" s="395"/>
      <c r="X512" s="528"/>
      <c r="Y512" s="523"/>
      <c r="Z512" s="393"/>
      <c r="AA512" s="394"/>
      <c r="AB512" s="394"/>
      <c r="AC512" s="394"/>
      <c r="AD512" s="394"/>
      <c r="AE512" s="394"/>
      <c r="AF512" s="394"/>
      <c r="AG512" s="394"/>
      <c r="AH512" s="394"/>
      <c r="AI512" s="394"/>
      <c r="AJ512" s="394"/>
      <c r="AK512" s="381"/>
      <c r="AL512" s="408"/>
      <c r="AM512" s="385"/>
      <c r="AN512" s="475"/>
      <c r="AO512" s="395"/>
      <c r="AP512" s="395"/>
      <c r="AQ512" s="528">
        <v>75</v>
      </c>
      <c r="AR512" s="523">
        <v>340</v>
      </c>
      <c r="AS512" s="393">
        <v>340</v>
      </c>
      <c r="AT512" s="600">
        <v>150.67916</v>
      </c>
      <c r="AU512" s="394">
        <v>114.66508</v>
      </c>
      <c r="AV512" s="394">
        <v>85.144499999999994</v>
      </c>
      <c r="AW512" s="394">
        <v>5.8102799999999997</v>
      </c>
      <c r="AX512" s="394">
        <v>3.60791</v>
      </c>
      <c r="AY512" s="394">
        <v>0</v>
      </c>
      <c r="AZ512" s="394">
        <v>0</v>
      </c>
      <c r="BA512" s="394">
        <v>12.038880000000001</v>
      </c>
      <c r="BB512" s="394">
        <v>0.94604999999999995</v>
      </c>
      <c r="BC512" s="394">
        <v>1.4525699999999999</v>
      </c>
      <c r="BD512" s="381" t="s">
        <v>167</v>
      </c>
      <c r="BE512" s="408" t="s">
        <v>175</v>
      </c>
      <c r="BF512" s="385"/>
      <c r="BG512" s="475">
        <v>333</v>
      </c>
      <c r="BH512" s="395">
        <f t="shared" ref="BH512" si="374">AT512/AQ512*1000</f>
        <v>2009.0554666666667</v>
      </c>
      <c r="BI512" s="395">
        <f t="shared" ref="BI512" si="375">AT512/AR512</f>
        <v>0.44317400000000001</v>
      </c>
    </row>
    <row r="513" spans="1:61" s="358" customFormat="1" ht="19.2" x14ac:dyDescent="0.3">
      <c r="A513" s="359" t="s">
        <v>189</v>
      </c>
      <c r="B513" s="602" t="s">
        <v>4958</v>
      </c>
      <c r="C513" s="548" t="s">
        <v>4962</v>
      </c>
      <c r="D513" s="360">
        <v>0.4</v>
      </c>
      <c r="E513" s="528"/>
      <c r="F513" s="523"/>
      <c r="G513" s="393"/>
      <c r="H513" s="394"/>
      <c r="I513" s="394"/>
      <c r="J513" s="394"/>
      <c r="K513" s="394"/>
      <c r="L513" s="394"/>
      <c r="M513" s="394"/>
      <c r="N513" s="394"/>
      <c r="O513" s="394"/>
      <c r="P513" s="394"/>
      <c r="Q513" s="394"/>
      <c r="R513" s="381"/>
      <c r="S513" s="408"/>
      <c r="T513" s="385"/>
      <c r="U513" s="475"/>
      <c r="V513" s="395"/>
      <c r="W513" s="395"/>
      <c r="X513" s="528"/>
      <c r="Y513" s="523"/>
      <c r="Z513" s="393"/>
      <c r="AA513" s="394"/>
      <c r="AB513" s="394"/>
      <c r="AC513" s="394"/>
      <c r="AD513" s="394"/>
      <c r="AE513" s="394"/>
      <c r="AF513" s="394"/>
      <c r="AG513" s="394"/>
      <c r="AH513" s="394"/>
      <c r="AI513" s="394"/>
      <c r="AJ513" s="394"/>
      <c r="AK513" s="381"/>
      <c r="AL513" s="408"/>
      <c r="AM513" s="385"/>
      <c r="AN513" s="475"/>
      <c r="AO513" s="395"/>
      <c r="AP513" s="395"/>
      <c r="AQ513" s="528">
        <v>75</v>
      </c>
      <c r="AR513" s="523">
        <v>340</v>
      </c>
      <c r="AS513" s="393">
        <v>340</v>
      </c>
      <c r="AT513" s="600">
        <v>155.55986999999999</v>
      </c>
      <c r="AU513" s="394">
        <v>119.17116</v>
      </c>
      <c r="AV513" s="394">
        <v>89.874750000000006</v>
      </c>
      <c r="AW513" s="394">
        <v>5.8102799999999997</v>
      </c>
      <c r="AX513" s="394">
        <v>3.63734</v>
      </c>
      <c r="AY513" s="394">
        <v>0</v>
      </c>
      <c r="AZ513" s="394">
        <v>0</v>
      </c>
      <c r="BA513" s="394">
        <v>12.1698</v>
      </c>
      <c r="BB513" s="394">
        <v>0.94604999999999995</v>
      </c>
      <c r="BC513" s="394">
        <v>1.4525699999999999</v>
      </c>
      <c r="BD513" s="381" t="s">
        <v>167</v>
      </c>
      <c r="BE513" s="408" t="s">
        <v>175</v>
      </c>
      <c r="BF513" s="385"/>
      <c r="BG513" s="475">
        <v>336</v>
      </c>
      <c r="BH513" s="395">
        <f t="shared" si="370"/>
        <v>2074.1315999999997</v>
      </c>
      <c r="BI513" s="395">
        <f t="shared" si="371"/>
        <v>0.45752902941176465</v>
      </c>
    </row>
    <row r="514" spans="1:61" s="358" customFormat="1" ht="19.2" x14ac:dyDescent="0.3">
      <c r="A514" s="359" t="s">
        <v>267</v>
      </c>
      <c r="B514" s="602" t="s">
        <v>4958</v>
      </c>
      <c r="C514" s="548" t="s">
        <v>4963</v>
      </c>
      <c r="D514" s="360">
        <v>0.4</v>
      </c>
      <c r="E514" s="528"/>
      <c r="F514" s="523"/>
      <c r="G514" s="393"/>
      <c r="H514" s="394"/>
      <c r="I514" s="394"/>
      <c r="J514" s="394"/>
      <c r="K514" s="394"/>
      <c r="L514" s="394"/>
      <c r="M514" s="394"/>
      <c r="N514" s="394"/>
      <c r="O514" s="394"/>
      <c r="P514" s="394"/>
      <c r="Q514" s="394"/>
      <c r="R514" s="381"/>
      <c r="S514" s="408"/>
      <c r="T514" s="385"/>
      <c r="U514" s="475"/>
      <c r="V514" s="395"/>
      <c r="W514" s="395"/>
      <c r="X514" s="528"/>
      <c r="Y514" s="523"/>
      <c r="Z514" s="393"/>
      <c r="AA514" s="394"/>
      <c r="AB514" s="394"/>
      <c r="AC514" s="394"/>
      <c r="AD514" s="394"/>
      <c r="AE514" s="394"/>
      <c r="AF514" s="394"/>
      <c r="AG514" s="394"/>
      <c r="AH514" s="394"/>
      <c r="AI514" s="394"/>
      <c r="AJ514" s="394"/>
      <c r="AK514" s="381"/>
      <c r="AL514" s="408"/>
      <c r="AM514" s="385"/>
      <c r="AN514" s="475"/>
      <c r="AO514" s="395"/>
      <c r="AP514" s="395"/>
      <c r="AQ514" s="528">
        <v>40</v>
      </c>
      <c r="AR514" s="523">
        <v>340</v>
      </c>
      <c r="AS514" s="393">
        <v>340</v>
      </c>
      <c r="AT514" s="600">
        <v>80.009709999999998</v>
      </c>
      <c r="AU514" s="394">
        <v>58.48668</v>
      </c>
      <c r="AV514" s="394">
        <v>42.572249999999997</v>
      </c>
      <c r="AW514" s="394">
        <v>2.9051399999999998</v>
      </c>
      <c r="AX514" s="394">
        <v>1.84816</v>
      </c>
      <c r="AY514" s="394">
        <v>0</v>
      </c>
      <c r="AZ514" s="394">
        <v>0</v>
      </c>
      <c r="BA514" s="394">
        <v>7.0981399999999999</v>
      </c>
      <c r="BB514" s="394">
        <v>0.94604999999999995</v>
      </c>
      <c r="BC514" s="394">
        <v>1.4525699999999999</v>
      </c>
      <c r="BD514" s="381" t="s">
        <v>167</v>
      </c>
      <c r="BE514" s="408" t="s">
        <v>175</v>
      </c>
      <c r="BF514" s="385"/>
      <c r="BG514" s="475">
        <v>339</v>
      </c>
      <c r="BH514" s="395">
        <f t="shared" si="370"/>
        <v>2000.2427499999999</v>
      </c>
      <c r="BI514" s="395">
        <f t="shared" si="371"/>
        <v>0.23532267647058824</v>
      </c>
    </row>
    <row r="515" spans="1:61" s="358" customFormat="1" ht="19.2" x14ac:dyDescent="0.3">
      <c r="A515" s="359" t="s">
        <v>268</v>
      </c>
      <c r="B515" s="602" t="s">
        <v>4958</v>
      </c>
      <c r="C515" s="548" t="s">
        <v>4964</v>
      </c>
      <c r="D515" s="360">
        <v>0.4</v>
      </c>
      <c r="E515" s="528"/>
      <c r="F515" s="523"/>
      <c r="G515" s="393"/>
      <c r="H515" s="394"/>
      <c r="I515" s="394"/>
      <c r="J515" s="394"/>
      <c r="K515" s="394"/>
      <c r="L515" s="394"/>
      <c r="M515" s="394"/>
      <c r="N515" s="394"/>
      <c r="O515" s="394"/>
      <c r="P515" s="394"/>
      <c r="Q515" s="394"/>
      <c r="R515" s="381"/>
      <c r="S515" s="408"/>
      <c r="T515" s="385"/>
      <c r="U515" s="475"/>
      <c r="V515" s="395"/>
      <c r="W515" s="395"/>
      <c r="X515" s="528"/>
      <c r="Y515" s="523"/>
      <c r="Z515" s="393"/>
      <c r="AA515" s="394"/>
      <c r="AB515" s="394"/>
      <c r="AC515" s="394"/>
      <c r="AD515" s="394"/>
      <c r="AE515" s="394"/>
      <c r="AF515" s="394"/>
      <c r="AG515" s="394"/>
      <c r="AH515" s="394"/>
      <c r="AI515" s="394"/>
      <c r="AJ515" s="394"/>
      <c r="AK515" s="381"/>
      <c r="AL515" s="408"/>
      <c r="AM515" s="385"/>
      <c r="AN515" s="475"/>
      <c r="AO515" s="395"/>
      <c r="AP515" s="395"/>
      <c r="AQ515" s="528">
        <v>40</v>
      </c>
      <c r="AR515" s="523">
        <v>340</v>
      </c>
      <c r="AS515" s="393">
        <v>340</v>
      </c>
      <c r="AT515" s="600">
        <v>79.878029999999995</v>
      </c>
      <c r="AU515" s="394">
        <v>58.354999999999997</v>
      </c>
      <c r="AV515" s="394">
        <v>42.572249999999997</v>
      </c>
      <c r="AW515" s="394">
        <v>2.9051399999999998</v>
      </c>
      <c r="AX515" s="394">
        <v>1.84816</v>
      </c>
      <c r="AY515" s="394">
        <v>0</v>
      </c>
      <c r="AZ515" s="394">
        <v>0</v>
      </c>
      <c r="BA515" s="394">
        <v>7.0981399999999999</v>
      </c>
      <c r="BB515" s="394">
        <v>0.94604999999999995</v>
      </c>
      <c r="BC515" s="394">
        <v>1.4525699999999999</v>
      </c>
      <c r="BD515" s="381" t="s">
        <v>167</v>
      </c>
      <c r="BE515" s="408" t="s">
        <v>175</v>
      </c>
      <c r="BF515" s="385"/>
      <c r="BG515" s="475">
        <v>342</v>
      </c>
      <c r="BH515" s="395">
        <f t="shared" ref="BH515:BH520" si="376">AT515/AQ515*1000</f>
        <v>1996.95075</v>
      </c>
      <c r="BI515" s="395">
        <f t="shared" ref="BI515:BI520" si="377">AT515/AR515</f>
        <v>0.23493538235294117</v>
      </c>
    </row>
    <row r="516" spans="1:61" s="358" customFormat="1" ht="19.2" x14ac:dyDescent="0.3">
      <c r="A516" s="359" t="s">
        <v>269</v>
      </c>
      <c r="B516" s="602" t="s">
        <v>603</v>
      </c>
      <c r="C516" s="548" t="s">
        <v>4967</v>
      </c>
      <c r="D516" s="360">
        <v>0.4</v>
      </c>
      <c r="E516" s="528"/>
      <c r="F516" s="523"/>
      <c r="G516" s="393"/>
      <c r="H516" s="394"/>
      <c r="I516" s="394"/>
      <c r="J516" s="394"/>
      <c r="K516" s="394"/>
      <c r="L516" s="394"/>
      <c r="M516" s="394"/>
      <c r="N516" s="394"/>
      <c r="O516" s="394"/>
      <c r="P516" s="394"/>
      <c r="Q516" s="394"/>
      <c r="R516" s="381"/>
      <c r="S516" s="408"/>
      <c r="T516" s="385"/>
      <c r="U516" s="475"/>
      <c r="V516" s="395"/>
      <c r="W516" s="395"/>
      <c r="X516" s="528"/>
      <c r="Y516" s="523"/>
      <c r="Z516" s="393"/>
      <c r="AA516" s="394"/>
      <c r="AB516" s="394"/>
      <c r="AC516" s="394"/>
      <c r="AD516" s="394"/>
      <c r="AE516" s="394"/>
      <c r="AF516" s="394"/>
      <c r="AG516" s="394"/>
      <c r="AH516" s="394"/>
      <c r="AI516" s="394"/>
      <c r="AJ516" s="394"/>
      <c r="AK516" s="381"/>
      <c r="AL516" s="408"/>
      <c r="AM516" s="385"/>
      <c r="AN516" s="475"/>
      <c r="AO516" s="395"/>
      <c r="AP516" s="395"/>
      <c r="AQ516" s="528">
        <v>42</v>
      </c>
      <c r="AR516" s="523">
        <v>680</v>
      </c>
      <c r="AS516" s="393">
        <v>680</v>
      </c>
      <c r="AT516" s="600">
        <v>84.001279999999994</v>
      </c>
      <c r="AU516" s="394">
        <v>67.722669999999994</v>
      </c>
      <c r="AV516" s="394">
        <v>67.722499999999997</v>
      </c>
      <c r="AW516" s="394">
        <f>0.90399+0.66962</f>
        <v>1.57361</v>
      </c>
      <c r="AX516" s="394">
        <v>2.5200300000000002</v>
      </c>
      <c r="AY516" s="394">
        <v>0</v>
      </c>
      <c r="AZ516" s="394">
        <v>0</v>
      </c>
      <c r="BA516" s="394">
        <v>3.79501</v>
      </c>
      <c r="BB516" s="394">
        <v>1.3544499999999999</v>
      </c>
      <c r="BC516" s="394">
        <f t="shared" ref="BC516:BC517" si="378">0.90399+0.66962</f>
        <v>1.57361</v>
      </c>
      <c r="BD516" s="381" t="s">
        <v>167</v>
      </c>
      <c r="BE516" s="408" t="s">
        <v>175</v>
      </c>
      <c r="BF516" s="385"/>
      <c r="BG516" s="475">
        <v>345</v>
      </c>
      <c r="BH516" s="395">
        <f t="shared" ref="BH516:BH519" si="379">AT516/AQ516*1000</f>
        <v>2000.0304761904761</v>
      </c>
      <c r="BI516" s="395">
        <f t="shared" ref="BI516:BI519" si="380">AT516/AR516</f>
        <v>0.12353129411764704</v>
      </c>
    </row>
    <row r="517" spans="1:61" s="358" customFormat="1" ht="19.2" x14ac:dyDescent="0.3">
      <c r="A517" s="359" t="s">
        <v>270</v>
      </c>
      <c r="B517" s="602" t="s">
        <v>603</v>
      </c>
      <c r="C517" s="548" t="s">
        <v>4968</v>
      </c>
      <c r="D517" s="360">
        <v>0.4</v>
      </c>
      <c r="E517" s="528"/>
      <c r="F517" s="523"/>
      <c r="G517" s="393"/>
      <c r="H517" s="394"/>
      <c r="I517" s="394"/>
      <c r="J517" s="394"/>
      <c r="K517" s="394"/>
      <c r="L517" s="394"/>
      <c r="M517" s="394"/>
      <c r="N517" s="394"/>
      <c r="O517" s="394"/>
      <c r="P517" s="394"/>
      <c r="Q517" s="394"/>
      <c r="R517" s="381"/>
      <c r="S517" s="408"/>
      <c r="T517" s="385"/>
      <c r="U517" s="475"/>
      <c r="V517" s="395"/>
      <c r="W517" s="395"/>
      <c r="X517" s="528"/>
      <c r="Y517" s="523"/>
      <c r="Z517" s="393"/>
      <c r="AA517" s="394"/>
      <c r="AB517" s="394"/>
      <c r="AC517" s="394"/>
      <c r="AD517" s="394"/>
      <c r="AE517" s="394"/>
      <c r="AF517" s="394"/>
      <c r="AG517" s="394"/>
      <c r="AH517" s="394"/>
      <c r="AI517" s="394"/>
      <c r="AJ517" s="394"/>
      <c r="AK517" s="381"/>
      <c r="AL517" s="408"/>
      <c r="AM517" s="385"/>
      <c r="AN517" s="475"/>
      <c r="AO517" s="395"/>
      <c r="AP517" s="395"/>
      <c r="AQ517" s="528">
        <v>42</v>
      </c>
      <c r="AR517" s="523">
        <v>680</v>
      </c>
      <c r="AS517" s="393">
        <v>680</v>
      </c>
      <c r="AT517" s="600">
        <v>84.001279999999994</v>
      </c>
      <c r="AU517" s="394">
        <v>67.722669999999994</v>
      </c>
      <c r="AV517" s="394">
        <v>67.722499999999997</v>
      </c>
      <c r="AW517" s="394">
        <f>0.90399+0.66962</f>
        <v>1.57361</v>
      </c>
      <c r="AX517" s="394">
        <v>2.5200300000000002</v>
      </c>
      <c r="AY517" s="394">
        <v>0</v>
      </c>
      <c r="AZ517" s="394">
        <v>0</v>
      </c>
      <c r="BA517" s="394">
        <v>3.79501</v>
      </c>
      <c r="BB517" s="394">
        <v>1.3544499999999999</v>
      </c>
      <c r="BC517" s="394">
        <f t="shared" si="378"/>
        <v>1.57361</v>
      </c>
      <c r="BD517" s="381" t="s">
        <v>167</v>
      </c>
      <c r="BE517" s="408" t="s">
        <v>175</v>
      </c>
      <c r="BF517" s="385"/>
      <c r="BG517" s="475">
        <v>347</v>
      </c>
      <c r="BH517" s="395">
        <f t="shared" si="379"/>
        <v>2000.0304761904761</v>
      </c>
      <c r="BI517" s="395">
        <f t="shared" si="380"/>
        <v>0.12353129411764704</v>
      </c>
    </row>
    <row r="518" spans="1:61" s="358" customFormat="1" ht="19.2" x14ac:dyDescent="0.3">
      <c r="A518" s="359" t="s">
        <v>271</v>
      </c>
      <c r="B518" s="602" t="s">
        <v>603</v>
      </c>
      <c r="C518" s="548" t="s">
        <v>4969</v>
      </c>
      <c r="D518" s="360">
        <v>0.4</v>
      </c>
      <c r="E518" s="528"/>
      <c r="F518" s="523"/>
      <c r="G518" s="393"/>
      <c r="H518" s="394"/>
      <c r="I518" s="394"/>
      <c r="J518" s="394"/>
      <c r="K518" s="394"/>
      <c r="L518" s="394"/>
      <c r="M518" s="394"/>
      <c r="N518" s="394"/>
      <c r="O518" s="394"/>
      <c r="P518" s="394"/>
      <c r="Q518" s="394"/>
      <c r="R518" s="381"/>
      <c r="S518" s="408"/>
      <c r="T518" s="385"/>
      <c r="U518" s="475"/>
      <c r="V518" s="395"/>
      <c r="W518" s="395"/>
      <c r="X518" s="528"/>
      <c r="Y518" s="523"/>
      <c r="Z518" s="393"/>
      <c r="AA518" s="394"/>
      <c r="AB518" s="394"/>
      <c r="AC518" s="394"/>
      <c r="AD518" s="394"/>
      <c r="AE518" s="394"/>
      <c r="AF518" s="394"/>
      <c r="AG518" s="394"/>
      <c r="AH518" s="394"/>
      <c r="AI518" s="394"/>
      <c r="AJ518" s="394"/>
      <c r="AK518" s="381"/>
      <c r="AL518" s="408"/>
      <c r="AM518" s="385"/>
      <c r="AN518" s="475"/>
      <c r="AO518" s="395"/>
      <c r="AP518" s="395"/>
      <c r="AQ518" s="528">
        <v>46</v>
      </c>
      <c r="AR518" s="523">
        <v>680</v>
      </c>
      <c r="AS518" s="393">
        <v>680</v>
      </c>
      <c r="AT518" s="600">
        <v>88.942499999999995</v>
      </c>
      <c r="AU518" s="394">
        <v>74.49494</v>
      </c>
      <c r="AV518" s="394">
        <v>74.494749999999996</v>
      </c>
      <c r="AW518" s="394">
        <f>0.90399+0.66962</f>
        <v>1.57361</v>
      </c>
      <c r="AX518" s="394">
        <v>2.6682899999999998</v>
      </c>
      <c r="AY518" s="394">
        <v>0</v>
      </c>
      <c r="AZ518" s="394">
        <v>0</v>
      </c>
      <c r="BA518" s="394">
        <v>3.3681399999999999</v>
      </c>
      <c r="BB518" s="394">
        <v>1.3544499999999999</v>
      </c>
      <c r="BC518" s="394">
        <f>0.90399+0.66962</f>
        <v>1.57361</v>
      </c>
      <c r="BD518" s="381" t="s">
        <v>167</v>
      </c>
      <c r="BE518" s="408" t="s">
        <v>175</v>
      </c>
      <c r="BF518" s="385"/>
      <c r="BG518" s="475">
        <v>349</v>
      </c>
      <c r="BH518" s="395">
        <f t="shared" ref="BH518" si="381">AT518/AQ518*1000</f>
        <v>1933.5326086956522</v>
      </c>
      <c r="BI518" s="395">
        <f t="shared" ref="BI518" si="382">AT518/AR518</f>
        <v>0.13079779411764705</v>
      </c>
    </row>
    <row r="519" spans="1:61" s="358" customFormat="1" ht="19.2" x14ac:dyDescent="0.3">
      <c r="A519" s="359" t="s">
        <v>272</v>
      </c>
      <c r="B519" s="602" t="s">
        <v>603</v>
      </c>
      <c r="C519" s="548" t="s">
        <v>4970</v>
      </c>
      <c r="D519" s="360">
        <v>0.4</v>
      </c>
      <c r="E519" s="528"/>
      <c r="F519" s="523"/>
      <c r="G519" s="393"/>
      <c r="H519" s="394"/>
      <c r="I519" s="394"/>
      <c r="J519" s="394"/>
      <c r="K519" s="394"/>
      <c r="L519" s="394"/>
      <c r="M519" s="394"/>
      <c r="N519" s="394"/>
      <c r="O519" s="394"/>
      <c r="P519" s="394"/>
      <c r="Q519" s="394"/>
      <c r="R519" s="381"/>
      <c r="S519" s="408"/>
      <c r="T519" s="385"/>
      <c r="U519" s="475"/>
      <c r="V519" s="395"/>
      <c r="W519" s="395"/>
      <c r="X519" s="528"/>
      <c r="Y519" s="523"/>
      <c r="Z519" s="393"/>
      <c r="AA519" s="394"/>
      <c r="AB519" s="394"/>
      <c r="AC519" s="394"/>
      <c r="AD519" s="394"/>
      <c r="AE519" s="394"/>
      <c r="AF519" s="394"/>
      <c r="AG519" s="394"/>
      <c r="AH519" s="394"/>
      <c r="AI519" s="394"/>
      <c r="AJ519" s="394"/>
      <c r="AK519" s="381"/>
      <c r="AL519" s="408"/>
      <c r="AM519" s="385"/>
      <c r="AN519" s="475"/>
      <c r="AO519" s="395"/>
      <c r="AP519" s="395"/>
      <c r="AQ519" s="528">
        <v>51</v>
      </c>
      <c r="AR519" s="523">
        <v>680</v>
      </c>
      <c r="AS519" s="393">
        <v>680</v>
      </c>
      <c r="AT519" s="600">
        <v>98.591350000000006</v>
      </c>
      <c r="AU519" s="394">
        <v>81.267200000000003</v>
      </c>
      <c r="AV519" s="394">
        <v>81.266999999999996</v>
      </c>
      <c r="AW519" s="394">
        <f>0.90399+0.66962</f>
        <v>1.57361</v>
      </c>
      <c r="AX519" s="394">
        <v>2.9577300000000002</v>
      </c>
      <c r="AY519" s="394">
        <v>0</v>
      </c>
      <c r="AZ519" s="394">
        <v>0</v>
      </c>
      <c r="BA519" s="394">
        <v>4.0387599999999999</v>
      </c>
      <c r="BB519" s="394">
        <v>1.3544499999999999</v>
      </c>
      <c r="BC519" s="394">
        <f>0.90399+0.66962</f>
        <v>1.57361</v>
      </c>
      <c r="BD519" s="381" t="s">
        <v>167</v>
      </c>
      <c r="BE519" s="408" t="s">
        <v>175</v>
      </c>
      <c r="BF519" s="385"/>
      <c r="BG519" s="475">
        <v>351</v>
      </c>
      <c r="BH519" s="395">
        <f t="shared" si="379"/>
        <v>1933.1637254901962</v>
      </c>
      <c r="BI519" s="395">
        <f t="shared" si="380"/>
        <v>0.1449872794117647</v>
      </c>
    </row>
    <row r="520" spans="1:61" s="358" customFormat="1" ht="19.2" x14ac:dyDescent="0.3">
      <c r="A520" s="359" t="s">
        <v>273</v>
      </c>
      <c r="B520" s="602" t="s">
        <v>603</v>
      </c>
      <c r="C520" s="548" t="s">
        <v>4975</v>
      </c>
      <c r="D520" s="360">
        <v>0.4</v>
      </c>
      <c r="E520" s="528"/>
      <c r="F520" s="523"/>
      <c r="G520" s="393"/>
      <c r="H520" s="394"/>
      <c r="I520" s="394"/>
      <c r="J520" s="394"/>
      <c r="K520" s="394"/>
      <c r="L520" s="394"/>
      <c r="M520" s="394"/>
      <c r="N520" s="394"/>
      <c r="O520" s="394"/>
      <c r="P520" s="394"/>
      <c r="Q520" s="394"/>
      <c r="R520" s="381"/>
      <c r="S520" s="408"/>
      <c r="T520" s="385"/>
      <c r="U520" s="475"/>
      <c r="V520" s="395"/>
      <c r="W520" s="395"/>
      <c r="X520" s="528"/>
      <c r="Y520" s="523"/>
      <c r="Z520" s="393"/>
      <c r="AA520" s="394"/>
      <c r="AB520" s="394"/>
      <c r="AC520" s="394"/>
      <c r="AD520" s="394"/>
      <c r="AE520" s="394"/>
      <c r="AF520" s="394"/>
      <c r="AG520" s="394"/>
      <c r="AH520" s="394"/>
      <c r="AI520" s="394"/>
      <c r="AJ520" s="394"/>
      <c r="AK520" s="381"/>
      <c r="AL520" s="408"/>
      <c r="AM520" s="385"/>
      <c r="AN520" s="475"/>
      <c r="AO520" s="395"/>
      <c r="AP520" s="395"/>
      <c r="AQ520" s="528">
        <v>38</v>
      </c>
      <c r="AR520" s="523">
        <v>680</v>
      </c>
      <c r="AS520" s="393">
        <v>680</v>
      </c>
      <c r="AT520" s="600">
        <v>74.044160000000005</v>
      </c>
      <c r="AU520" s="394">
        <v>57.913710000000002</v>
      </c>
      <c r="AV520" s="394">
        <v>47.302500000000002</v>
      </c>
      <c r="AW520" s="394">
        <v>2.90516</v>
      </c>
      <c r="AX520" s="394">
        <v>2.22132</v>
      </c>
      <c r="AY520" s="394">
        <v>0</v>
      </c>
      <c r="AZ520" s="394">
        <v>0</v>
      </c>
      <c r="BA520" s="394">
        <v>3.7604700000000002</v>
      </c>
      <c r="BB520" s="394">
        <v>0.94604999999999995</v>
      </c>
      <c r="BC520" s="394">
        <v>1.45258</v>
      </c>
      <c r="BD520" s="381" t="s">
        <v>167</v>
      </c>
      <c r="BE520" s="408" t="s">
        <v>175</v>
      </c>
      <c r="BF520" s="385"/>
      <c r="BG520" s="475">
        <v>353</v>
      </c>
      <c r="BH520" s="395">
        <f t="shared" si="376"/>
        <v>1948.5305263157898</v>
      </c>
      <c r="BI520" s="395">
        <f t="shared" si="377"/>
        <v>0.10888847058823529</v>
      </c>
    </row>
    <row r="521" spans="1:61" s="358" customFormat="1" ht="19.2" x14ac:dyDescent="0.3">
      <c r="A521" s="359" t="s">
        <v>274</v>
      </c>
      <c r="B521" s="602" t="s">
        <v>603</v>
      </c>
      <c r="C521" s="548" t="s">
        <v>4976</v>
      </c>
      <c r="D521" s="360">
        <v>0.4</v>
      </c>
      <c r="E521" s="528"/>
      <c r="F521" s="523"/>
      <c r="G521" s="393"/>
      <c r="H521" s="394"/>
      <c r="I521" s="394"/>
      <c r="J521" s="394"/>
      <c r="K521" s="394"/>
      <c r="L521" s="394"/>
      <c r="M521" s="394"/>
      <c r="N521" s="394"/>
      <c r="O521" s="394"/>
      <c r="P521" s="394"/>
      <c r="Q521" s="394"/>
      <c r="R521" s="381"/>
      <c r="S521" s="408"/>
      <c r="T521" s="385"/>
      <c r="U521" s="475"/>
      <c r="V521" s="395"/>
      <c r="W521" s="395"/>
      <c r="X521" s="528"/>
      <c r="Y521" s="523"/>
      <c r="Z521" s="393"/>
      <c r="AA521" s="394"/>
      <c r="AB521" s="394"/>
      <c r="AC521" s="394"/>
      <c r="AD521" s="394"/>
      <c r="AE521" s="394"/>
      <c r="AF521" s="394"/>
      <c r="AG521" s="394"/>
      <c r="AH521" s="394"/>
      <c r="AI521" s="394"/>
      <c r="AJ521" s="394"/>
      <c r="AK521" s="381"/>
      <c r="AL521" s="408"/>
      <c r="AM521" s="385"/>
      <c r="AN521" s="475"/>
      <c r="AO521" s="395"/>
      <c r="AP521" s="395"/>
      <c r="AQ521" s="528">
        <v>38</v>
      </c>
      <c r="AR521" s="523">
        <v>680</v>
      </c>
      <c r="AS521" s="393">
        <v>680</v>
      </c>
      <c r="AT521" s="600">
        <v>74.044179999999997</v>
      </c>
      <c r="AU521" s="394">
        <v>57.913730000000001</v>
      </c>
      <c r="AV521" s="394">
        <v>47.302500000000002</v>
      </c>
      <c r="AW521" s="394">
        <v>2.90516</v>
      </c>
      <c r="AX521" s="394">
        <v>2.22132</v>
      </c>
      <c r="AY521" s="394">
        <v>0</v>
      </c>
      <c r="AZ521" s="394">
        <v>0</v>
      </c>
      <c r="BA521" s="394">
        <v>3.7604700000000002</v>
      </c>
      <c r="BB521" s="394">
        <v>0.94604999999999995</v>
      </c>
      <c r="BC521" s="394">
        <v>1.45258</v>
      </c>
      <c r="BD521" s="381" t="s">
        <v>167</v>
      </c>
      <c r="BE521" s="408" t="s">
        <v>175</v>
      </c>
      <c r="BF521" s="385"/>
      <c r="BG521" s="475">
        <v>355</v>
      </c>
      <c r="BH521" s="395">
        <f t="shared" ref="BH521" si="383">AT521/AQ521*1000</f>
        <v>1948.5310526315789</v>
      </c>
      <c r="BI521" s="395">
        <f t="shared" ref="BI521" si="384">AT521/AR521</f>
        <v>0.1088885</v>
      </c>
    </row>
    <row r="522" spans="1:61" s="358" customFormat="1" x14ac:dyDescent="0.3">
      <c r="A522" s="359"/>
      <c r="B522" s="378"/>
      <c r="C522" s="546"/>
      <c r="D522" s="360"/>
      <c r="E522" s="528"/>
      <c r="F522" s="523"/>
      <c r="G522" s="523"/>
      <c r="H522" s="394"/>
      <c r="I522" s="394"/>
      <c r="J522" s="394"/>
      <c r="K522" s="394"/>
      <c r="L522" s="394"/>
      <c r="M522" s="394"/>
      <c r="N522" s="394"/>
      <c r="O522" s="394"/>
      <c r="P522" s="394"/>
      <c r="Q522" s="394"/>
      <c r="R522" s="385"/>
      <c r="S522" s="385"/>
      <c r="T522" s="385"/>
      <c r="U522" s="475"/>
      <c r="V522" s="395" t="e">
        <f t="shared" ref="V522" si="385">H522/E522*1000</f>
        <v>#DIV/0!</v>
      </c>
      <c r="W522" s="395" t="e">
        <f t="shared" ref="W522" si="386">H522/F522</f>
        <v>#DIV/0!</v>
      </c>
      <c r="X522" s="528"/>
      <c r="Y522" s="523"/>
      <c r="Z522" s="523"/>
      <c r="AA522" s="394"/>
      <c r="AB522" s="394"/>
      <c r="AC522" s="394"/>
      <c r="AD522" s="394"/>
      <c r="AE522" s="394"/>
      <c r="AF522" s="394"/>
      <c r="AG522" s="394"/>
      <c r="AH522" s="394"/>
      <c r="AI522" s="394"/>
      <c r="AJ522" s="394"/>
      <c r="AK522" s="385"/>
      <c r="AL522" s="385"/>
      <c r="AM522" s="385"/>
      <c r="AN522" s="475"/>
      <c r="AO522" s="395" t="e">
        <f t="shared" ref="AO522" si="387">AA522/X522*1000</f>
        <v>#DIV/0!</v>
      </c>
      <c r="AP522" s="395" t="e">
        <f t="shared" ref="AP522" si="388">AA522/Y522</f>
        <v>#DIV/0!</v>
      </c>
      <c r="AQ522" s="528"/>
      <c r="AR522" s="523"/>
      <c r="AS522" s="523"/>
      <c r="AT522" s="394"/>
      <c r="AU522" s="394"/>
      <c r="AV522" s="394"/>
      <c r="AW522" s="394"/>
      <c r="AX522" s="394"/>
      <c r="AY522" s="394"/>
      <c r="AZ522" s="394"/>
      <c r="BA522" s="394"/>
      <c r="BB522" s="394"/>
      <c r="BC522" s="394"/>
      <c r="BD522" s="385"/>
      <c r="BE522" s="385"/>
      <c r="BF522" s="385"/>
      <c r="BG522" s="475"/>
      <c r="BH522" s="395" t="e">
        <f t="shared" ref="BH522" si="389">AT522/AQ522*1000</f>
        <v>#DIV/0!</v>
      </c>
      <c r="BI522" s="395" t="e">
        <f t="shared" ref="BI522" si="390">AT522/AR522</f>
        <v>#DIV/0!</v>
      </c>
    </row>
    <row r="523" spans="1:61" s="358" customFormat="1" ht="24.75" customHeight="1" x14ac:dyDescent="0.3">
      <c r="A523" s="354" t="s">
        <v>4621</v>
      </c>
      <c r="B523" s="603" t="s">
        <v>4792</v>
      </c>
      <c r="C523" s="587"/>
      <c r="D523" s="356">
        <v>0.4</v>
      </c>
      <c r="E523" s="389">
        <f t="shared" ref="E523:Q523" si="391">SUM(E524:E530)</f>
        <v>0</v>
      </c>
      <c r="F523" s="389">
        <f t="shared" si="391"/>
        <v>0</v>
      </c>
      <c r="G523" s="389">
        <f t="shared" si="391"/>
        <v>0</v>
      </c>
      <c r="H523" s="390">
        <f t="shared" si="391"/>
        <v>0</v>
      </c>
      <c r="I523" s="390">
        <f t="shared" si="391"/>
        <v>0</v>
      </c>
      <c r="J523" s="390">
        <f t="shared" si="391"/>
        <v>0</v>
      </c>
      <c r="K523" s="390">
        <f t="shared" si="391"/>
        <v>0</v>
      </c>
      <c r="L523" s="390">
        <f t="shared" si="391"/>
        <v>0</v>
      </c>
      <c r="M523" s="390">
        <f t="shared" si="391"/>
        <v>0</v>
      </c>
      <c r="N523" s="390">
        <f t="shared" si="391"/>
        <v>0</v>
      </c>
      <c r="O523" s="390">
        <f t="shared" si="391"/>
        <v>0</v>
      </c>
      <c r="P523" s="390">
        <f t="shared" si="391"/>
        <v>0</v>
      </c>
      <c r="Q523" s="390">
        <f t="shared" si="391"/>
        <v>0</v>
      </c>
      <c r="R523" s="391"/>
      <c r="S523" s="391"/>
      <c r="T523" s="391"/>
      <c r="U523" s="474"/>
      <c r="V523" s="392" t="e">
        <f t="shared" ref="V523" si="392">H523/E523*1000</f>
        <v>#DIV/0!</v>
      </c>
      <c r="W523" s="392" t="e">
        <f t="shared" ref="W523" si="393">H523/F523</f>
        <v>#DIV/0!</v>
      </c>
      <c r="X523" s="389">
        <f>SUM(X524:X530)</f>
        <v>277.5</v>
      </c>
      <c r="Y523" s="389">
        <f t="shared" ref="Y523:Z523" si="394">SUM(Y524:Y530)</f>
        <v>1044</v>
      </c>
      <c r="Z523" s="389">
        <f t="shared" si="394"/>
        <v>1044</v>
      </c>
      <c r="AA523" s="390">
        <f>SUM(AA524:AA530)</f>
        <v>1307.1090499999998</v>
      </c>
      <c r="AB523" s="390">
        <f t="shared" ref="AB523:AJ523" si="395">SUM(AB524:AB530)</f>
        <v>1009.1737099999999</v>
      </c>
      <c r="AC523" s="390">
        <f t="shared" si="395"/>
        <v>783.625</v>
      </c>
      <c r="AD523" s="390">
        <f t="shared" si="395"/>
        <v>23.24108</v>
      </c>
      <c r="AE523" s="390">
        <f t="shared" si="395"/>
        <v>32.554840000000006</v>
      </c>
      <c r="AF523" s="390">
        <f t="shared" si="395"/>
        <v>0</v>
      </c>
      <c r="AG523" s="390">
        <f t="shared" si="395"/>
        <v>0</v>
      </c>
      <c r="AH523" s="390">
        <f t="shared" si="395"/>
        <v>66.275360000000006</v>
      </c>
      <c r="AI523" s="390">
        <f t="shared" si="395"/>
        <v>5.0152000000000001</v>
      </c>
      <c r="AJ523" s="390">
        <f t="shared" si="395"/>
        <v>5.81027</v>
      </c>
      <c r="AK523" s="391"/>
      <c r="AL523" s="391"/>
      <c r="AM523" s="391"/>
      <c r="AN523" s="474"/>
      <c r="AO523" s="392">
        <f t="shared" ref="AO523" si="396">AA523/X523*1000</f>
        <v>4710.3028828828819</v>
      </c>
      <c r="AP523" s="392">
        <f t="shared" ref="AP523" si="397">AA523/Y523</f>
        <v>1.2520201628352488</v>
      </c>
      <c r="AQ523" s="389">
        <f t="shared" ref="AQ523:BC523" si="398">SUM(AQ524:AQ530)</f>
        <v>320</v>
      </c>
      <c r="AR523" s="389">
        <f t="shared" si="398"/>
        <v>510</v>
      </c>
      <c r="AS523" s="389">
        <f t="shared" si="398"/>
        <v>510</v>
      </c>
      <c r="AT523" s="390">
        <f t="shared" si="398"/>
        <v>3029.13204</v>
      </c>
      <c r="AU523" s="390">
        <f t="shared" si="398"/>
        <v>899.71442000000002</v>
      </c>
      <c r="AV523" s="390">
        <f t="shared" si="398"/>
        <v>614.9325</v>
      </c>
      <c r="AW523" s="390">
        <f t="shared" si="398"/>
        <v>27.10248</v>
      </c>
      <c r="AX523" s="390">
        <f t="shared" si="398"/>
        <v>1437.9712</v>
      </c>
      <c r="AY523" s="390">
        <f t="shared" si="398"/>
        <v>0</v>
      </c>
      <c r="AZ523" s="390">
        <f t="shared" si="398"/>
        <v>0</v>
      </c>
      <c r="BA523" s="390">
        <f t="shared" si="398"/>
        <v>377.66073</v>
      </c>
      <c r="BB523" s="390">
        <f t="shared" si="398"/>
        <v>1.8920999999999999</v>
      </c>
      <c r="BC523" s="390">
        <f t="shared" si="398"/>
        <v>6.77562</v>
      </c>
      <c r="BD523" s="391"/>
      <c r="BE523" s="391"/>
      <c r="BF523" s="391"/>
      <c r="BG523" s="474"/>
      <c r="BH523" s="392">
        <f t="shared" ref="BH523" si="399">AT523/AQ523*1000</f>
        <v>9466.0376250000008</v>
      </c>
      <c r="BI523" s="392">
        <f t="shared" ref="BI523" si="400">AT523/AR523</f>
        <v>5.939474588235294</v>
      </c>
    </row>
    <row r="524" spans="1:61" s="358" customFormat="1" ht="19.2" x14ac:dyDescent="0.3">
      <c r="A524" s="359" t="s">
        <v>178</v>
      </c>
      <c r="B524" s="572" t="s">
        <v>2594</v>
      </c>
      <c r="C524" s="546" t="s">
        <v>2593</v>
      </c>
      <c r="D524" s="360">
        <v>0.4</v>
      </c>
      <c r="E524" s="528"/>
      <c r="F524" s="523"/>
      <c r="G524" s="393"/>
      <c r="H524" s="573"/>
      <c r="I524" s="394"/>
      <c r="J524" s="394"/>
      <c r="K524" s="394"/>
      <c r="L524" s="394"/>
      <c r="M524" s="394"/>
      <c r="N524" s="394"/>
      <c r="O524" s="394"/>
      <c r="P524" s="394"/>
      <c r="Q524" s="394"/>
      <c r="R524" s="381"/>
      <c r="S524" s="408"/>
      <c r="T524" s="385"/>
      <c r="U524" s="475"/>
      <c r="V524" s="395"/>
      <c r="W524" s="395"/>
      <c r="X524" s="528">
        <v>120</v>
      </c>
      <c r="Y524" s="523">
        <v>302</v>
      </c>
      <c r="Z524" s="393">
        <v>302</v>
      </c>
      <c r="AA524" s="573">
        <v>543.96641999999997</v>
      </c>
      <c r="AB524" s="394">
        <v>416.57717000000002</v>
      </c>
      <c r="AC524" s="394">
        <v>338.52600000000001</v>
      </c>
      <c r="AD524" s="394">
        <v>5.8102799999999997</v>
      </c>
      <c r="AE524" s="394">
        <v>14.559060000000001</v>
      </c>
      <c r="AF524" s="394">
        <v>0</v>
      </c>
      <c r="AG524" s="394">
        <v>0</v>
      </c>
      <c r="AH524" s="394">
        <v>25.912099999999999</v>
      </c>
      <c r="AI524" s="394">
        <v>1.2538</v>
      </c>
      <c r="AJ524" s="394">
        <v>1.4525699999999999</v>
      </c>
      <c r="AK524" s="381" t="s">
        <v>167</v>
      </c>
      <c r="AL524" s="408" t="s">
        <v>175</v>
      </c>
      <c r="AM524" s="475" t="s">
        <v>4617</v>
      </c>
      <c r="AN524" s="475">
        <v>353</v>
      </c>
      <c r="AO524" s="395">
        <f>AA524/X524*1000</f>
        <v>4533.0534999999991</v>
      </c>
      <c r="AP524" s="395">
        <f>AA524/Y524</f>
        <v>1.801213311258278</v>
      </c>
      <c r="AQ524" s="528"/>
      <c r="AR524" s="523"/>
      <c r="AS524" s="393"/>
      <c r="AT524" s="573"/>
      <c r="AU524" s="394"/>
      <c r="AV524" s="394"/>
      <c r="AW524" s="394"/>
      <c r="AX524" s="394"/>
      <c r="AY524" s="394"/>
      <c r="AZ524" s="394"/>
      <c r="BA524" s="394"/>
      <c r="BB524" s="394"/>
      <c r="BC524" s="394"/>
      <c r="BD524" s="381"/>
      <c r="BE524" s="408"/>
      <c r="BF524" s="475"/>
      <c r="BG524" s="475"/>
      <c r="BH524" s="395" t="e">
        <f>AT524/AQ524*1000</f>
        <v>#DIV/0!</v>
      </c>
      <c r="BI524" s="395" t="e">
        <f>AT524/AR524</f>
        <v>#DIV/0!</v>
      </c>
    </row>
    <row r="525" spans="1:61" s="358" customFormat="1" ht="19.2" x14ac:dyDescent="0.3">
      <c r="A525" s="359" t="s">
        <v>182</v>
      </c>
      <c r="B525" s="572" t="s">
        <v>2594</v>
      </c>
      <c r="C525" s="546" t="s">
        <v>2595</v>
      </c>
      <c r="D525" s="360">
        <v>0.4</v>
      </c>
      <c r="E525" s="528"/>
      <c r="F525" s="523"/>
      <c r="G525" s="393"/>
      <c r="H525" s="573"/>
      <c r="I525" s="394"/>
      <c r="J525" s="394"/>
      <c r="K525" s="394"/>
      <c r="L525" s="394"/>
      <c r="M525" s="394"/>
      <c r="N525" s="394"/>
      <c r="O525" s="394"/>
      <c r="P525" s="394"/>
      <c r="Q525" s="394"/>
      <c r="R525" s="381"/>
      <c r="S525" s="408"/>
      <c r="T525" s="385"/>
      <c r="U525" s="475"/>
      <c r="V525" s="395"/>
      <c r="W525" s="395"/>
      <c r="X525" s="528">
        <v>125</v>
      </c>
      <c r="Y525" s="523">
        <v>302</v>
      </c>
      <c r="Z525" s="393">
        <v>302</v>
      </c>
      <c r="AA525" s="573">
        <v>552.06476999999995</v>
      </c>
      <c r="AB525" s="394">
        <v>420.30765000000002</v>
      </c>
      <c r="AC525" s="394">
        <v>344.79500000000002</v>
      </c>
      <c r="AD525" s="394">
        <v>5.8102799999999997</v>
      </c>
      <c r="AE525" s="394">
        <v>14.961970000000001</v>
      </c>
      <c r="AF525" s="394">
        <v>0</v>
      </c>
      <c r="AG525" s="394">
        <v>0</v>
      </c>
      <c r="AH525" s="394">
        <v>26.5045</v>
      </c>
      <c r="AI525" s="394">
        <v>1.2538</v>
      </c>
      <c r="AJ525" s="394">
        <v>1.4525699999999999</v>
      </c>
      <c r="AK525" s="381" t="s">
        <v>167</v>
      </c>
      <c r="AL525" s="408" t="s">
        <v>175</v>
      </c>
      <c r="AM525" s="475" t="s">
        <v>4617</v>
      </c>
      <c r="AN525" s="475">
        <v>356</v>
      </c>
      <c r="AO525" s="395">
        <f>AA525/X525*1000</f>
        <v>4416.5181599999996</v>
      </c>
      <c r="AP525" s="395">
        <f>AA525/Y525</f>
        <v>1.8280290397350991</v>
      </c>
      <c r="AQ525" s="528"/>
      <c r="AR525" s="523"/>
      <c r="AS525" s="393"/>
      <c r="AT525" s="573"/>
      <c r="AU525" s="394"/>
      <c r="AV525" s="394"/>
      <c r="AW525" s="394"/>
      <c r="AX525" s="394"/>
      <c r="AY525" s="394"/>
      <c r="AZ525" s="394"/>
      <c r="BA525" s="394"/>
      <c r="BB525" s="394"/>
      <c r="BC525" s="394"/>
      <c r="BD525" s="381"/>
      <c r="BE525" s="408"/>
      <c r="BF525" s="475"/>
      <c r="BG525" s="475"/>
      <c r="BH525" s="395" t="e">
        <f>AT525/AQ525*1000</f>
        <v>#DIV/0!</v>
      </c>
      <c r="BI525" s="395" t="e">
        <f>AT525/AR525</f>
        <v>#DIV/0!</v>
      </c>
    </row>
    <row r="526" spans="1:61" s="358" customFormat="1" ht="19.2" x14ac:dyDescent="0.3">
      <c r="A526" s="359" t="s">
        <v>184</v>
      </c>
      <c r="B526" s="572" t="s">
        <v>2603</v>
      </c>
      <c r="C526" s="546" t="s">
        <v>2604</v>
      </c>
      <c r="D526" s="360">
        <v>0.4</v>
      </c>
      <c r="E526" s="528"/>
      <c r="F526" s="523"/>
      <c r="G526" s="393"/>
      <c r="H526" s="573"/>
      <c r="I526" s="394"/>
      <c r="J526" s="394"/>
      <c r="K526" s="394"/>
      <c r="L526" s="394"/>
      <c r="M526" s="394"/>
      <c r="N526" s="394"/>
      <c r="O526" s="394"/>
      <c r="P526" s="394"/>
      <c r="Q526" s="394"/>
      <c r="R526" s="381"/>
      <c r="S526" s="408"/>
      <c r="T526" s="385"/>
      <c r="U526" s="475"/>
      <c r="V526" s="395"/>
      <c r="W526" s="395"/>
      <c r="X526" s="528">
        <v>14</v>
      </c>
      <c r="Y526" s="523">
        <v>220</v>
      </c>
      <c r="Z526" s="393">
        <v>220</v>
      </c>
      <c r="AA526" s="573">
        <v>91.873500000000007</v>
      </c>
      <c r="AB526" s="394">
        <v>73.525239999999997</v>
      </c>
      <c r="AC526" s="394">
        <v>37.613999999999997</v>
      </c>
      <c r="AD526" s="394">
        <v>5.8102799999999997</v>
      </c>
      <c r="AE526" s="394">
        <v>1.1778</v>
      </c>
      <c r="AF526" s="394">
        <v>0</v>
      </c>
      <c r="AG526" s="394">
        <v>0</v>
      </c>
      <c r="AH526" s="394">
        <v>6.6286199999999997</v>
      </c>
      <c r="AI526" s="394">
        <v>1.2538</v>
      </c>
      <c r="AJ526" s="394">
        <v>1.4525699999999999</v>
      </c>
      <c r="AK526" s="381" t="s">
        <v>167</v>
      </c>
      <c r="AL526" s="408" t="s">
        <v>175</v>
      </c>
      <c r="AM526" s="475" t="s">
        <v>4617</v>
      </c>
      <c r="AN526" s="475">
        <v>416</v>
      </c>
      <c r="AO526" s="395">
        <f t="shared" ref="AO526:AO531" si="401">AA526/X526*1000</f>
        <v>6562.3928571428578</v>
      </c>
      <c r="AP526" s="395">
        <f t="shared" ref="AP526:AP531" si="402">AA526/Y526</f>
        <v>0.41760681818181822</v>
      </c>
      <c r="AQ526" s="528"/>
      <c r="AR526" s="523"/>
      <c r="AS526" s="393"/>
      <c r="AT526" s="573"/>
      <c r="AU526" s="394"/>
      <c r="AV526" s="394"/>
      <c r="AW526" s="394"/>
      <c r="AX526" s="394"/>
      <c r="AY526" s="394"/>
      <c r="AZ526" s="394"/>
      <c r="BA526" s="394"/>
      <c r="BB526" s="394"/>
      <c r="BC526" s="394"/>
      <c r="BD526" s="381"/>
      <c r="BE526" s="408"/>
      <c r="BF526" s="475"/>
      <c r="BG526" s="475"/>
      <c r="BH526" s="395" t="e">
        <f t="shared" ref="BH526:BH568" si="403">AT526/AQ526*1000</f>
        <v>#DIV/0!</v>
      </c>
      <c r="BI526" s="395" t="e">
        <f t="shared" ref="BI526:BI568" si="404">AT526/AR526</f>
        <v>#DIV/0!</v>
      </c>
    </row>
    <row r="527" spans="1:61" s="358" customFormat="1" ht="19.2" x14ac:dyDescent="0.3">
      <c r="A527" s="359" t="s">
        <v>186</v>
      </c>
      <c r="B527" s="572" t="s">
        <v>2603</v>
      </c>
      <c r="C527" s="546" t="s">
        <v>2605</v>
      </c>
      <c r="D527" s="360">
        <v>0.4</v>
      </c>
      <c r="E527" s="528"/>
      <c r="F527" s="523"/>
      <c r="G527" s="393"/>
      <c r="H527" s="573"/>
      <c r="I527" s="394"/>
      <c r="J527" s="394"/>
      <c r="K527" s="394"/>
      <c r="L527" s="394"/>
      <c r="M527" s="394"/>
      <c r="N527" s="394"/>
      <c r="O527" s="394"/>
      <c r="P527" s="394"/>
      <c r="Q527" s="394"/>
      <c r="R527" s="381"/>
      <c r="S527" s="408"/>
      <c r="T527" s="385"/>
      <c r="U527" s="475"/>
      <c r="V527" s="395"/>
      <c r="W527" s="395"/>
      <c r="X527" s="528">
        <v>18.5</v>
      </c>
      <c r="Y527" s="523">
        <v>220</v>
      </c>
      <c r="Z527" s="393">
        <v>220</v>
      </c>
      <c r="AA527" s="573">
        <v>119.20435999999999</v>
      </c>
      <c r="AB527" s="394">
        <v>98.763649999999998</v>
      </c>
      <c r="AC527" s="394">
        <v>62.69</v>
      </c>
      <c r="AD527" s="394">
        <v>5.8102400000000003</v>
      </c>
      <c r="AE527" s="394">
        <v>1.8560099999999999</v>
      </c>
      <c r="AF527" s="394">
        <v>0</v>
      </c>
      <c r="AG527" s="394">
        <v>0</v>
      </c>
      <c r="AH527" s="394">
        <v>7.2301399999999996</v>
      </c>
      <c r="AI527" s="394">
        <v>1.2538</v>
      </c>
      <c r="AJ527" s="394">
        <v>1.4525600000000001</v>
      </c>
      <c r="AK527" s="381" t="s">
        <v>167</v>
      </c>
      <c r="AL527" s="408" t="s">
        <v>175</v>
      </c>
      <c r="AM527" s="475" t="s">
        <v>4617</v>
      </c>
      <c r="AN527" s="475">
        <v>421</v>
      </c>
      <c r="AO527" s="395">
        <f t="shared" si="401"/>
        <v>6443.4789189189187</v>
      </c>
      <c r="AP527" s="395">
        <f t="shared" si="402"/>
        <v>0.54183799999999993</v>
      </c>
      <c r="AQ527" s="528"/>
      <c r="AR527" s="523"/>
      <c r="AS527" s="393"/>
      <c r="AT527" s="573"/>
      <c r="AU527" s="394"/>
      <c r="AV527" s="394"/>
      <c r="AW527" s="394"/>
      <c r="AX527" s="394"/>
      <c r="AY527" s="394"/>
      <c r="AZ527" s="394"/>
      <c r="BA527" s="394"/>
      <c r="BB527" s="394"/>
      <c r="BC527" s="394"/>
      <c r="BD527" s="381"/>
      <c r="BE527" s="408"/>
      <c r="BF527" s="475"/>
      <c r="BG527" s="475"/>
      <c r="BH527" s="395" t="e">
        <f t="shared" si="403"/>
        <v>#DIV/0!</v>
      </c>
      <c r="BI527" s="395" t="e">
        <f t="shared" si="404"/>
        <v>#DIV/0!</v>
      </c>
    </row>
    <row r="528" spans="1:61" s="358" customFormat="1" ht="19.2" x14ac:dyDescent="0.3">
      <c r="A528" s="359" t="s">
        <v>178</v>
      </c>
      <c r="B528" s="602" t="s">
        <v>4817</v>
      </c>
      <c r="C528" s="548" t="s">
        <v>4816</v>
      </c>
      <c r="D528" s="360">
        <v>0.4</v>
      </c>
      <c r="E528" s="528"/>
      <c r="F528" s="523"/>
      <c r="G528" s="393"/>
      <c r="H528" s="394"/>
      <c r="I528" s="394"/>
      <c r="J528" s="394"/>
      <c r="K528" s="394"/>
      <c r="L528" s="394"/>
      <c r="M528" s="394"/>
      <c r="N528" s="394"/>
      <c r="O528" s="394"/>
      <c r="P528" s="394"/>
      <c r="Q528" s="394"/>
      <c r="R528" s="381"/>
      <c r="S528" s="408"/>
      <c r="T528" s="385"/>
      <c r="U528" s="475"/>
      <c r="V528" s="395"/>
      <c r="W528" s="395"/>
      <c r="X528" s="528"/>
      <c r="Y528" s="523"/>
      <c r="Z528" s="393"/>
      <c r="AA528" s="394"/>
      <c r="AB528" s="394"/>
      <c r="AC528" s="394"/>
      <c r="AD528" s="394"/>
      <c r="AE528" s="394"/>
      <c r="AF528" s="394"/>
      <c r="AG528" s="394"/>
      <c r="AH528" s="394"/>
      <c r="AI528" s="394"/>
      <c r="AJ528" s="394"/>
      <c r="AK528" s="381"/>
      <c r="AL528" s="408"/>
      <c r="AM528" s="385"/>
      <c r="AN528" s="475"/>
      <c r="AO528" s="395"/>
      <c r="AP528" s="395"/>
      <c r="AQ528" s="528">
        <v>165</v>
      </c>
      <c r="AR528" s="523">
        <v>255</v>
      </c>
      <c r="AS528" s="393">
        <v>255</v>
      </c>
      <c r="AT528" s="600">
        <v>1534.11032</v>
      </c>
      <c r="AU528" s="394">
        <v>459.11417</v>
      </c>
      <c r="AV528" s="394">
        <v>316.92675000000003</v>
      </c>
      <c r="AW528" s="394">
        <v>13.55124</v>
      </c>
      <c r="AX528" s="394">
        <v>725.82691</v>
      </c>
      <c r="AY528" s="394">
        <v>0</v>
      </c>
      <c r="AZ528" s="394">
        <v>0</v>
      </c>
      <c r="BA528" s="394">
        <v>190.66785999999999</v>
      </c>
      <c r="BB528" s="394">
        <v>0.94604999999999995</v>
      </c>
      <c r="BC528" s="394">
        <v>3.38781</v>
      </c>
      <c r="BD528" s="381" t="s">
        <v>167</v>
      </c>
      <c r="BE528" s="408" t="s">
        <v>175</v>
      </c>
      <c r="BF528" s="385"/>
      <c r="BG528" s="475">
        <v>358</v>
      </c>
      <c r="BH528" s="395">
        <f t="shared" ref="BH528:BH529" si="405">AT528/AQ528*1000</f>
        <v>9297.6383030303023</v>
      </c>
      <c r="BI528" s="395">
        <f t="shared" ref="BI528:BI529" si="406">AT528/AR528</f>
        <v>6.0161189019607839</v>
      </c>
    </row>
    <row r="529" spans="1:61" s="358" customFormat="1" ht="19.2" x14ac:dyDescent="0.3">
      <c r="A529" s="359" t="s">
        <v>182</v>
      </c>
      <c r="B529" s="602" t="s">
        <v>4817</v>
      </c>
      <c r="C529" s="548" t="s">
        <v>4818</v>
      </c>
      <c r="D529" s="360">
        <v>0.4</v>
      </c>
      <c r="E529" s="528"/>
      <c r="F529" s="523"/>
      <c r="G529" s="393"/>
      <c r="H529" s="394"/>
      <c r="I529" s="394"/>
      <c r="J529" s="394"/>
      <c r="K529" s="394"/>
      <c r="L529" s="394"/>
      <c r="M529" s="394"/>
      <c r="N529" s="394"/>
      <c r="O529" s="394"/>
      <c r="P529" s="394"/>
      <c r="Q529" s="394"/>
      <c r="R529" s="381"/>
      <c r="S529" s="408"/>
      <c r="T529" s="385"/>
      <c r="U529" s="475"/>
      <c r="V529" s="395"/>
      <c r="W529" s="395"/>
      <c r="X529" s="528"/>
      <c r="Y529" s="523"/>
      <c r="Z529" s="393"/>
      <c r="AA529" s="394"/>
      <c r="AB529" s="394"/>
      <c r="AC529" s="394"/>
      <c r="AD529" s="394"/>
      <c r="AE529" s="394"/>
      <c r="AF529" s="394"/>
      <c r="AG529" s="394"/>
      <c r="AH529" s="394"/>
      <c r="AI529" s="394"/>
      <c r="AJ529" s="394"/>
      <c r="AK529" s="381"/>
      <c r="AL529" s="408"/>
      <c r="AM529" s="385"/>
      <c r="AN529" s="475"/>
      <c r="AO529" s="395"/>
      <c r="AP529" s="395"/>
      <c r="AQ529" s="528">
        <v>155</v>
      </c>
      <c r="AR529" s="523">
        <v>255</v>
      </c>
      <c r="AS529" s="393">
        <v>255</v>
      </c>
      <c r="AT529" s="600">
        <v>1495.02172</v>
      </c>
      <c r="AU529" s="394">
        <v>440.60025000000002</v>
      </c>
      <c r="AV529" s="394">
        <v>298.00574999999998</v>
      </c>
      <c r="AW529" s="394">
        <v>13.55124</v>
      </c>
      <c r="AX529" s="394">
        <v>712.14428999999996</v>
      </c>
      <c r="AY529" s="394">
        <v>0</v>
      </c>
      <c r="AZ529" s="394">
        <v>0</v>
      </c>
      <c r="BA529" s="394">
        <v>186.99287000000001</v>
      </c>
      <c r="BB529" s="394">
        <v>0.94604999999999995</v>
      </c>
      <c r="BC529" s="394">
        <v>3.38781</v>
      </c>
      <c r="BD529" s="381" t="s">
        <v>167</v>
      </c>
      <c r="BE529" s="408" t="s">
        <v>175</v>
      </c>
      <c r="BF529" s="385"/>
      <c r="BG529" s="475">
        <v>362</v>
      </c>
      <c r="BH529" s="395">
        <f t="shared" si="405"/>
        <v>9645.3014193548388</v>
      </c>
      <c r="BI529" s="395">
        <f t="shared" si="406"/>
        <v>5.862830274509804</v>
      </c>
    </row>
    <row r="530" spans="1:61" s="358" customFormat="1" x14ac:dyDescent="0.3">
      <c r="A530" s="359"/>
      <c r="B530" s="378"/>
      <c r="C530" s="546"/>
      <c r="D530" s="360"/>
      <c r="E530" s="528"/>
      <c r="F530" s="523"/>
      <c r="G530" s="523"/>
      <c r="H530" s="394"/>
      <c r="I530" s="394"/>
      <c r="J530" s="394"/>
      <c r="K530" s="394"/>
      <c r="L530" s="394"/>
      <c r="M530" s="394"/>
      <c r="N530" s="394"/>
      <c r="O530" s="394"/>
      <c r="P530" s="394"/>
      <c r="Q530" s="394"/>
      <c r="R530" s="385"/>
      <c r="S530" s="385"/>
      <c r="T530" s="385"/>
      <c r="U530" s="475"/>
      <c r="V530" s="395" t="e">
        <f t="shared" ref="V530" si="407">H530/E530*1000</f>
        <v>#DIV/0!</v>
      </c>
      <c r="W530" s="395" t="e">
        <f t="shared" ref="W530" si="408">H530/F530</f>
        <v>#DIV/0!</v>
      </c>
      <c r="X530" s="528"/>
      <c r="Y530" s="523"/>
      <c r="Z530" s="523"/>
      <c r="AA530" s="394"/>
      <c r="AB530" s="394"/>
      <c r="AC530" s="394"/>
      <c r="AD530" s="394"/>
      <c r="AE530" s="394"/>
      <c r="AF530" s="394"/>
      <c r="AG530" s="394"/>
      <c r="AH530" s="394"/>
      <c r="AI530" s="394"/>
      <c r="AJ530" s="394"/>
      <c r="AK530" s="385"/>
      <c r="AL530" s="385"/>
      <c r="AM530" s="385"/>
      <c r="AN530" s="475"/>
      <c r="AO530" s="395" t="e">
        <f t="shared" ref="AO530" si="409">AA530/X530*1000</f>
        <v>#DIV/0!</v>
      </c>
      <c r="AP530" s="395" t="e">
        <f t="shared" ref="AP530" si="410">AA530/Y530</f>
        <v>#DIV/0!</v>
      </c>
      <c r="AQ530" s="528"/>
      <c r="AR530" s="523"/>
      <c r="AS530" s="523"/>
      <c r="AT530" s="394"/>
      <c r="AU530" s="394"/>
      <c r="AV530" s="394"/>
      <c r="AW530" s="394"/>
      <c r="AX530" s="394"/>
      <c r="AY530" s="394"/>
      <c r="AZ530" s="394"/>
      <c r="BA530" s="394"/>
      <c r="BB530" s="394"/>
      <c r="BC530" s="394"/>
      <c r="BD530" s="385"/>
      <c r="BE530" s="385"/>
      <c r="BF530" s="385"/>
      <c r="BG530" s="475"/>
      <c r="BH530" s="395" t="e">
        <f t="shared" ref="BH530" si="411">AT530/AQ530*1000</f>
        <v>#DIV/0!</v>
      </c>
      <c r="BI530" s="395" t="e">
        <f t="shared" ref="BI530" si="412">AT530/AR530</f>
        <v>#DIV/0!</v>
      </c>
    </row>
    <row r="531" spans="1:61" s="358" customFormat="1" ht="24.75" customHeight="1" x14ac:dyDescent="0.3">
      <c r="A531" s="354" t="s">
        <v>4622</v>
      </c>
      <c r="B531" s="603" t="s">
        <v>4793</v>
      </c>
      <c r="C531" s="587"/>
      <c r="D531" s="356">
        <v>0.4</v>
      </c>
      <c r="E531" s="389">
        <f t="shared" ref="E531:Q531" si="413">SUM(E532:E535)</f>
        <v>0</v>
      </c>
      <c r="F531" s="389">
        <f t="shared" si="413"/>
        <v>0</v>
      </c>
      <c r="G531" s="389">
        <f t="shared" si="413"/>
        <v>0</v>
      </c>
      <c r="H531" s="390">
        <f t="shared" si="413"/>
        <v>0</v>
      </c>
      <c r="I531" s="390">
        <f t="shared" si="413"/>
        <v>0</v>
      </c>
      <c r="J531" s="390">
        <f t="shared" si="413"/>
        <v>0</v>
      </c>
      <c r="K531" s="390">
        <f t="shared" si="413"/>
        <v>0</v>
      </c>
      <c r="L531" s="390">
        <f t="shared" si="413"/>
        <v>0</v>
      </c>
      <c r="M531" s="390">
        <f t="shared" si="413"/>
        <v>0</v>
      </c>
      <c r="N531" s="390">
        <f t="shared" si="413"/>
        <v>0</v>
      </c>
      <c r="O531" s="390">
        <f t="shared" si="413"/>
        <v>0</v>
      </c>
      <c r="P531" s="390">
        <f t="shared" si="413"/>
        <v>0</v>
      </c>
      <c r="Q531" s="390">
        <f t="shared" si="413"/>
        <v>0</v>
      </c>
      <c r="R531" s="391"/>
      <c r="S531" s="391"/>
      <c r="T531" s="391"/>
      <c r="U531" s="474"/>
      <c r="V531" s="392" t="e">
        <f t="shared" ref="V531" si="414">H531/E531*1000</f>
        <v>#DIV/0!</v>
      </c>
      <c r="W531" s="392" t="e">
        <f t="shared" ref="W531" si="415">H531/F531</f>
        <v>#DIV/0!</v>
      </c>
      <c r="X531" s="389">
        <f>SUM(X532:X535)</f>
        <v>372</v>
      </c>
      <c r="Y531" s="389">
        <f t="shared" ref="Y531:Z531" si="416">SUM(Y532:Y535)</f>
        <v>460</v>
      </c>
      <c r="Z531" s="389">
        <f t="shared" si="416"/>
        <v>460</v>
      </c>
      <c r="AA531" s="390">
        <f>SUM(AA532:AA535)</f>
        <v>2176.5967000000001</v>
      </c>
      <c r="AB531" s="390">
        <f t="shared" ref="AB531:AJ531" si="417">SUM(AB532:AB535)</f>
        <v>1874.01307</v>
      </c>
      <c r="AC531" s="390">
        <f t="shared" si="417"/>
        <v>1676.8090999999999</v>
      </c>
      <c r="AD531" s="390">
        <f t="shared" si="417"/>
        <v>34.776359999999997</v>
      </c>
      <c r="AE531" s="390">
        <f t="shared" si="417"/>
        <v>65.567769999999996</v>
      </c>
      <c r="AF531" s="390">
        <f t="shared" si="417"/>
        <v>0</v>
      </c>
      <c r="AG531" s="390">
        <f t="shared" si="417"/>
        <v>0</v>
      </c>
      <c r="AH531" s="390">
        <f t="shared" si="417"/>
        <v>93.885940000000005</v>
      </c>
      <c r="AI531" s="390">
        <f t="shared" si="417"/>
        <v>2.7088999999999999</v>
      </c>
      <c r="AJ531" s="390">
        <f t="shared" si="417"/>
        <v>8.6869800000000001</v>
      </c>
      <c r="AK531" s="391"/>
      <c r="AL531" s="391"/>
      <c r="AM531" s="391"/>
      <c r="AN531" s="474"/>
      <c r="AO531" s="392">
        <f t="shared" si="401"/>
        <v>5851.0663978494622</v>
      </c>
      <c r="AP531" s="392">
        <f t="shared" si="402"/>
        <v>4.7317319565217391</v>
      </c>
      <c r="AQ531" s="389">
        <f>SUM(AQ532:AQ535)</f>
        <v>0</v>
      </c>
      <c r="AR531" s="389">
        <f t="shared" ref="AR531:AS531" si="418">SUM(AR532:AR535)</f>
        <v>0</v>
      </c>
      <c r="AS531" s="389">
        <f t="shared" si="418"/>
        <v>0</v>
      </c>
      <c r="AT531" s="390">
        <f>SUM(AT532:AT535)</f>
        <v>0</v>
      </c>
      <c r="AU531" s="390">
        <f t="shared" ref="AU531:BC531" si="419">SUM(AU532:AU535)</f>
        <v>0</v>
      </c>
      <c r="AV531" s="390">
        <f t="shared" si="419"/>
        <v>0</v>
      </c>
      <c r="AW531" s="390">
        <f t="shared" si="419"/>
        <v>0</v>
      </c>
      <c r="AX531" s="390">
        <f t="shared" si="419"/>
        <v>0</v>
      </c>
      <c r="AY531" s="390">
        <f t="shared" si="419"/>
        <v>0</v>
      </c>
      <c r="AZ531" s="390">
        <f t="shared" si="419"/>
        <v>0</v>
      </c>
      <c r="BA531" s="390">
        <f t="shared" si="419"/>
        <v>0</v>
      </c>
      <c r="BB531" s="390">
        <f t="shared" si="419"/>
        <v>0</v>
      </c>
      <c r="BC531" s="390">
        <f t="shared" si="419"/>
        <v>0</v>
      </c>
      <c r="BD531" s="391"/>
      <c r="BE531" s="391"/>
      <c r="BF531" s="391"/>
      <c r="BG531" s="474"/>
      <c r="BH531" s="392" t="e">
        <f t="shared" si="403"/>
        <v>#DIV/0!</v>
      </c>
      <c r="BI531" s="392" t="e">
        <f t="shared" si="404"/>
        <v>#DIV/0!</v>
      </c>
    </row>
    <row r="532" spans="1:61" s="358" customFormat="1" ht="19.2" x14ac:dyDescent="0.3">
      <c r="A532" s="359" t="s">
        <v>178</v>
      </c>
      <c r="B532" s="572" t="s">
        <v>304</v>
      </c>
      <c r="C532" s="546" t="s">
        <v>2590</v>
      </c>
      <c r="D532" s="360">
        <v>0.4</v>
      </c>
      <c r="E532" s="528"/>
      <c r="F532" s="523"/>
      <c r="G532" s="393"/>
      <c r="H532" s="573"/>
      <c r="I532" s="394"/>
      <c r="J532" s="394"/>
      <c r="K532" s="394"/>
      <c r="L532" s="394"/>
      <c r="M532" s="394"/>
      <c r="N532" s="394"/>
      <c r="O532" s="394"/>
      <c r="P532" s="394"/>
      <c r="Q532" s="394"/>
      <c r="R532" s="381"/>
      <c r="S532" s="408"/>
      <c r="T532" s="385"/>
      <c r="U532" s="475"/>
      <c r="V532" s="395"/>
      <c r="W532" s="395"/>
      <c r="X532" s="528">
        <v>186</v>
      </c>
      <c r="Y532" s="523">
        <v>230</v>
      </c>
      <c r="Z532" s="393">
        <v>230</v>
      </c>
      <c r="AA532" s="573">
        <v>1086.6939299999999</v>
      </c>
      <c r="AB532" s="394">
        <v>935.48342000000002</v>
      </c>
      <c r="AC532" s="394">
        <v>837.05010000000004</v>
      </c>
      <c r="AD532" s="394">
        <f>8.71542+8.67276</f>
        <v>17.388179999999998</v>
      </c>
      <c r="AE532" s="394">
        <v>32.761209999999998</v>
      </c>
      <c r="AF532" s="394">
        <v>0</v>
      </c>
      <c r="AG532" s="394">
        <v>0</v>
      </c>
      <c r="AH532" s="394">
        <v>46.918939999999999</v>
      </c>
      <c r="AI532" s="394">
        <v>1.3544499999999999</v>
      </c>
      <c r="AJ532" s="394">
        <f>1.45257+2.89092</f>
        <v>4.3434900000000001</v>
      </c>
      <c r="AK532" s="381" t="s">
        <v>167</v>
      </c>
      <c r="AL532" s="408" t="s">
        <v>175</v>
      </c>
      <c r="AM532" s="475" t="s">
        <v>4618</v>
      </c>
      <c r="AN532" s="475">
        <v>342</v>
      </c>
      <c r="AO532" s="395">
        <f t="shared" ref="AO532" si="420">AA532/X532*1000</f>
        <v>5842.440483870967</v>
      </c>
      <c r="AP532" s="395">
        <f t="shared" ref="AP532" si="421">AA532/Y532</f>
        <v>4.7247562173913042</v>
      </c>
      <c r="AQ532" s="528"/>
      <c r="AR532" s="523"/>
      <c r="AS532" s="393"/>
      <c r="AT532" s="573"/>
      <c r="AU532" s="394"/>
      <c r="AV532" s="394"/>
      <c r="AW532" s="394"/>
      <c r="AX532" s="394"/>
      <c r="AY532" s="394"/>
      <c r="AZ532" s="394"/>
      <c r="BA532" s="394"/>
      <c r="BB532" s="394"/>
      <c r="BC532" s="394"/>
      <c r="BD532" s="381"/>
      <c r="BE532" s="408"/>
      <c r="BF532" s="475"/>
      <c r="BG532" s="475"/>
      <c r="BH532" s="395" t="e">
        <f t="shared" si="403"/>
        <v>#DIV/0!</v>
      </c>
      <c r="BI532" s="395" t="e">
        <f t="shared" si="404"/>
        <v>#DIV/0!</v>
      </c>
    </row>
    <row r="533" spans="1:61" s="358" customFormat="1" ht="19.2" x14ac:dyDescent="0.3">
      <c r="A533" s="359" t="s">
        <v>182</v>
      </c>
      <c r="B533" s="572" t="s">
        <v>304</v>
      </c>
      <c r="C533" s="546" t="s">
        <v>2591</v>
      </c>
      <c r="D533" s="360">
        <v>0.4</v>
      </c>
      <c r="E533" s="528"/>
      <c r="F533" s="523"/>
      <c r="G533" s="393"/>
      <c r="H533" s="573"/>
      <c r="I533" s="394"/>
      <c r="J533" s="394"/>
      <c r="K533" s="394"/>
      <c r="L533" s="394"/>
      <c r="M533" s="394"/>
      <c r="N533" s="394"/>
      <c r="O533" s="394"/>
      <c r="P533" s="394"/>
      <c r="Q533" s="394"/>
      <c r="R533" s="381"/>
      <c r="S533" s="408"/>
      <c r="T533" s="385"/>
      <c r="U533" s="475"/>
      <c r="V533" s="395"/>
      <c r="W533" s="395"/>
      <c r="X533" s="528">
        <v>186</v>
      </c>
      <c r="Y533" s="523">
        <v>230</v>
      </c>
      <c r="Z533" s="393">
        <v>230</v>
      </c>
      <c r="AA533" s="573">
        <v>1089.9027699999999</v>
      </c>
      <c r="AB533" s="394">
        <v>938.52964999999995</v>
      </c>
      <c r="AC533" s="394">
        <v>839.75900000000001</v>
      </c>
      <c r="AD533" s="394">
        <f>8.71542+8.67276</f>
        <v>17.388179999999998</v>
      </c>
      <c r="AE533" s="394">
        <v>32.806559999999998</v>
      </c>
      <c r="AF533" s="394">
        <v>0</v>
      </c>
      <c r="AG533" s="394">
        <v>0</v>
      </c>
      <c r="AH533" s="394">
        <v>46.966999999999999</v>
      </c>
      <c r="AI533" s="394">
        <v>1.3544499999999999</v>
      </c>
      <c r="AJ533" s="394">
        <f>1.45257+2.89092</f>
        <v>4.3434900000000001</v>
      </c>
      <c r="AK533" s="381" t="s">
        <v>167</v>
      </c>
      <c r="AL533" s="408" t="s">
        <v>175</v>
      </c>
      <c r="AM533" s="475" t="s">
        <v>4618</v>
      </c>
      <c r="AN533" s="475">
        <v>346</v>
      </c>
      <c r="AO533" s="395">
        <f t="shared" ref="AO533:AO537" si="422">AA533/X533*1000</f>
        <v>5859.6923118279565</v>
      </c>
      <c r="AP533" s="395">
        <f t="shared" ref="AP533:AP537" si="423">AA533/Y533</f>
        <v>4.7387076956521739</v>
      </c>
      <c r="AQ533" s="528"/>
      <c r="AR533" s="523"/>
      <c r="AS533" s="393"/>
      <c r="AT533" s="573"/>
      <c r="AU533" s="394"/>
      <c r="AV533" s="394"/>
      <c r="AW533" s="394"/>
      <c r="AX533" s="394"/>
      <c r="AY533" s="394"/>
      <c r="AZ533" s="394"/>
      <c r="BA533" s="394"/>
      <c r="BB533" s="394"/>
      <c r="BC533" s="394"/>
      <c r="BD533" s="381"/>
      <c r="BE533" s="408"/>
      <c r="BF533" s="475"/>
      <c r="BG533" s="475"/>
      <c r="BH533" s="395" t="e">
        <f t="shared" si="403"/>
        <v>#DIV/0!</v>
      </c>
      <c r="BI533" s="395" t="e">
        <f t="shared" si="404"/>
        <v>#DIV/0!</v>
      </c>
    </row>
    <row r="534" spans="1:61" s="358" customFormat="1" x14ac:dyDescent="0.3">
      <c r="A534" s="359"/>
      <c r="B534" s="602"/>
      <c r="C534" s="548"/>
      <c r="D534" s="360"/>
      <c r="E534" s="528"/>
      <c r="F534" s="523"/>
      <c r="G534" s="393"/>
      <c r="H534" s="394"/>
      <c r="I534" s="394"/>
      <c r="J534" s="394"/>
      <c r="K534" s="394"/>
      <c r="L534" s="394"/>
      <c r="M534" s="394"/>
      <c r="N534" s="394"/>
      <c r="O534" s="394"/>
      <c r="P534" s="394"/>
      <c r="Q534" s="394"/>
      <c r="R534" s="381"/>
      <c r="S534" s="408"/>
      <c r="T534" s="385"/>
      <c r="U534" s="475"/>
      <c r="V534" s="395"/>
      <c r="W534" s="395"/>
      <c r="X534" s="528"/>
      <c r="Y534" s="523"/>
      <c r="Z534" s="393"/>
      <c r="AA534" s="394"/>
      <c r="AB534" s="394"/>
      <c r="AC534" s="394"/>
      <c r="AD534" s="394"/>
      <c r="AE534" s="394"/>
      <c r="AF534" s="394"/>
      <c r="AG534" s="394"/>
      <c r="AH534" s="394"/>
      <c r="AI534" s="394"/>
      <c r="AJ534" s="394"/>
      <c r="AK534" s="381"/>
      <c r="AL534" s="408"/>
      <c r="AM534" s="385"/>
      <c r="AN534" s="475"/>
      <c r="AO534" s="395"/>
      <c r="AP534" s="395"/>
      <c r="AQ534" s="528"/>
      <c r="AR534" s="523"/>
      <c r="AS534" s="393"/>
      <c r="AT534" s="600"/>
      <c r="AU534" s="394"/>
      <c r="AV534" s="394"/>
      <c r="AW534" s="394"/>
      <c r="AX534" s="394"/>
      <c r="AY534" s="394"/>
      <c r="AZ534" s="394"/>
      <c r="BA534" s="394"/>
      <c r="BB534" s="394"/>
      <c r="BC534" s="394"/>
      <c r="BD534" s="381"/>
      <c r="BE534" s="408"/>
      <c r="BF534" s="385"/>
      <c r="BG534" s="475"/>
      <c r="BH534" s="395" t="e">
        <f t="shared" ref="BH534" si="424">AT534/AQ534*1000</f>
        <v>#DIV/0!</v>
      </c>
      <c r="BI534" s="395" t="e">
        <f t="shared" ref="BI534" si="425">AT534/AR534</f>
        <v>#DIV/0!</v>
      </c>
    </row>
    <row r="535" spans="1:61" s="358" customFormat="1" x14ac:dyDescent="0.3">
      <c r="A535" s="359"/>
      <c r="B535" s="378"/>
      <c r="C535" s="546"/>
      <c r="D535" s="360"/>
      <c r="E535" s="528"/>
      <c r="F535" s="523"/>
      <c r="G535" s="523"/>
      <c r="H535" s="394"/>
      <c r="I535" s="394"/>
      <c r="J535" s="394"/>
      <c r="K535" s="394"/>
      <c r="L535" s="394"/>
      <c r="M535" s="394"/>
      <c r="N535" s="394"/>
      <c r="O535" s="394"/>
      <c r="P535" s="394"/>
      <c r="Q535" s="394"/>
      <c r="R535" s="385"/>
      <c r="S535" s="385"/>
      <c r="T535" s="385"/>
      <c r="U535" s="475"/>
      <c r="V535" s="395" t="e">
        <f t="shared" ref="V535" si="426">H535/E535*1000</f>
        <v>#DIV/0!</v>
      </c>
      <c r="W535" s="395" t="e">
        <f t="shared" ref="W535" si="427">H535/F535</f>
        <v>#DIV/0!</v>
      </c>
      <c r="X535" s="528"/>
      <c r="Y535" s="523"/>
      <c r="Z535" s="523"/>
      <c r="AA535" s="394"/>
      <c r="AB535" s="394"/>
      <c r="AC535" s="394"/>
      <c r="AD535" s="394"/>
      <c r="AE535" s="394"/>
      <c r="AF535" s="394"/>
      <c r="AG535" s="394"/>
      <c r="AH535" s="394"/>
      <c r="AI535" s="394"/>
      <c r="AJ535" s="394"/>
      <c r="AK535" s="385"/>
      <c r="AL535" s="385"/>
      <c r="AM535" s="385"/>
      <c r="AN535" s="475"/>
      <c r="AO535" s="395" t="e">
        <f t="shared" ref="AO535" si="428">AA535/X535*1000</f>
        <v>#DIV/0!</v>
      </c>
      <c r="AP535" s="395" t="e">
        <f t="shared" ref="AP535" si="429">AA535/Y535</f>
        <v>#DIV/0!</v>
      </c>
      <c r="AQ535" s="528"/>
      <c r="AR535" s="523"/>
      <c r="AS535" s="523"/>
      <c r="AT535" s="394"/>
      <c r="AU535" s="394"/>
      <c r="AV535" s="394"/>
      <c r="AW535" s="394"/>
      <c r="AX535" s="394"/>
      <c r="AY535" s="394"/>
      <c r="AZ535" s="394"/>
      <c r="BA535" s="394"/>
      <c r="BB535" s="394"/>
      <c r="BC535" s="394"/>
      <c r="BD535" s="385"/>
      <c r="BE535" s="385"/>
      <c r="BF535" s="385"/>
      <c r="BG535" s="475"/>
      <c r="BH535" s="395" t="e">
        <f t="shared" ref="BH535" si="430">AT535/AQ535*1000</f>
        <v>#DIV/0!</v>
      </c>
      <c r="BI535" s="395" t="e">
        <f t="shared" ref="BI535" si="431">AT535/AR535</f>
        <v>#DIV/0!</v>
      </c>
    </row>
    <row r="536" spans="1:61" s="358" customFormat="1" ht="24.75" customHeight="1" x14ac:dyDescent="0.3">
      <c r="A536" s="354" t="s">
        <v>4624</v>
      </c>
      <c r="B536" s="603" t="s">
        <v>4794</v>
      </c>
      <c r="C536" s="587"/>
      <c r="D536" s="356">
        <v>0.4</v>
      </c>
      <c r="E536" s="389">
        <f t="shared" ref="E536:Q536" si="432">SUM(E537:E539)</f>
        <v>0</v>
      </c>
      <c r="F536" s="389">
        <f t="shared" si="432"/>
        <v>0</v>
      </c>
      <c r="G536" s="389">
        <f t="shared" si="432"/>
        <v>0</v>
      </c>
      <c r="H536" s="390">
        <f t="shared" si="432"/>
        <v>0</v>
      </c>
      <c r="I536" s="390">
        <f t="shared" si="432"/>
        <v>0</v>
      </c>
      <c r="J536" s="390">
        <f t="shared" si="432"/>
        <v>0</v>
      </c>
      <c r="K536" s="390">
        <f t="shared" si="432"/>
        <v>0</v>
      </c>
      <c r="L536" s="390">
        <f t="shared" si="432"/>
        <v>0</v>
      </c>
      <c r="M536" s="390">
        <f t="shared" si="432"/>
        <v>0</v>
      </c>
      <c r="N536" s="390">
        <f t="shared" si="432"/>
        <v>0</v>
      </c>
      <c r="O536" s="390">
        <f t="shared" si="432"/>
        <v>0</v>
      </c>
      <c r="P536" s="390">
        <f t="shared" si="432"/>
        <v>0</v>
      </c>
      <c r="Q536" s="390">
        <f t="shared" si="432"/>
        <v>0</v>
      </c>
      <c r="R536" s="391"/>
      <c r="S536" s="391"/>
      <c r="T536" s="391"/>
      <c r="U536" s="474"/>
      <c r="V536" s="392" t="e">
        <f t="shared" ref="V536" si="433">H536/E536*1000</f>
        <v>#DIV/0!</v>
      </c>
      <c r="W536" s="392" t="e">
        <f t="shared" ref="W536" si="434">H536/F536</f>
        <v>#DIV/0!</v>
      </c>
      <c r="X536" s="389">
        <f>SUM(X537:X539)</f>
        <v>92</v>
      </c>
      <c r="Y536" s="389">
        <f t="shared" ref="Y536:Z536" si="435">SUM(Y537:Y539)</f>
        <v>365</v>
      </c>
      <c r="Z536" s="389">
        <f t="shared" si="435"/>
        <v>365</v>
      </c>
      <c r="AA536" s="390">
        <f>SUM(AA537:AA539)</f>
        <v>1184.59448</v>
      </c>
      <c r="AB536" s="390">
        <f t="shared" ref="AB536:AJ536" si="436">SUM(AB537:AB539)</f>
        <v>1019.01743</v>
      </c>
      <c r="AC536" s="390">
        <f t="shared" si="436"/>
        <v>907.48149999999998</v>
      </c>
      <c r="AD536" s="390">
        <f t="shared" si="436"/>
        <v>20.321760000000001</v>
      </c>
      <c r="AE536" s="390">
        <f t="shared" si="436"/>
        <v>28.5366</v>
      </c>
      <c r="AF536" s="390">
        <f t="shared" si="436"/>
        <v>0</v>
      </c>
      <c r="AG536" s="390">
        <f t="shared" si="436"/>
        <v>0</v>
      </c>
      <c r="AH536" s="390">
        <f t="shared" si="436"/>
        <v>53.337229999999998</v>
      </c>
      <c r="AI536" s="390">
        <f t="shared" si="436"/>
        <v>1.3544499999999999</v>
      </c>
      <c r="AJ536" s="390">
        <f t="shared" si="436"/>
        <v>4.3434900000000001</v>
      </c>
      <c r="AK536" s="391"/>
      <c r="AL536" s="391"/>
      <c r="AM536" s="391"/>
      <c r="AN536" s="474"/>
      <c r="AO536" s="392">
        <f t="shared" si="422"/>
        <v>12876.02695652174</v>
      </c>
      <c r="AP536" s="392">
        <f t="shared" si="423"/>
        <v>3.2454643287671234</v>
      </c>
      <c r="AQ536" s="389">
        <f t="shared" ref="AQ536:BC536" si="437">SUM(AQ537:AQ539)</f>
        <v>0</v>
      </c>
      <c r="AR536" s="389">
        <f t="shared" si="437"/>
        <v>0</v>
      </c>
      <c r="AS536" s="389">
        <f t="shared" si="437"/>
        <v>0</v>
      </c>
      <c r="AT536" s="390">
        <f t="shared" si="437"/>
        <v>0</v>
      </c>
      <c r="AU536" s="390">
        <f t="shared" si="437"/>
        <v>0</v>
      </c>
      <c r="AV536" s="390">
        <f t="shared" si="437"/>
        <v>0</v>
      </c>
      <c r="AW536" s="390">
        <f t="shared" si="437"/>
        <v>0</v>
      </c>
      <c r="AX536" s="390">
        <f t="shared" si="437"/>
        <v>0</v>
      </c>
      <c r="AY536" s="390">
        <f t="shared" si="437"/>
        <v>0</v>
      </c>
      <c r="AZ536" s="390">
        <f t="shared" si="437"/>
        <v>0</v>
      </c>
      <c r="BA536" s="390">
        <f t="shared" si="437"/>
        <v>0</v>
      </c>
      <c r="BB536" s="390">
        <f t="shared" si="437"/>
        <v>0</v>
      </c>
      <c r="BC536" s="390">
        <f t="shared" si="437"/>
        <v>0</v>
      </c>
      <c r="BD536" s="391"/>
      <c r="BE536" s="391"/>
      <c r="BF536" s="391"/>
      <c r="BG536" s="474"/>
      <c r="BH536" s="392" t="e">
        <f t="shared" si="403"/>
        <v>#DIV/0!</v>
      </c>
      <c r="BI536" s="392" t="e">
        <f t="shared" si="404"/>
        <v>#DIV/0!</v>
      </c>
    </row>
    <row r="537" spans="1:61" s="358" customFormat="1" ht="19.2" x14ac:dyDescent="0.3">
      <c r="A537" s="359" t="s">
        <v>178</v>
      </c>
      <c r="B537" s="572" t="s">
        <v>322</v>
      </c>
      <c r="C537" s="546" t="s">
        <v>2592</v>
      </c>
      <c r="D537" s="360">
        <v>0.4</v>
      </c>
      <c r="E537" s="528"/>
      <c r="F537" s="523"/>
      <c r="G537" s="393"/>
      <c r="H537" s="573"/>
      <c r="I537" s="394"/>
      <c r="J537" s="394"/>
      <c r="K537" s="394"/>
      <c r="L537" s="394"/>
      <c r="M537" s="394"/>
      <c r="N537" s="394"/>
      <c r="O537" s="394"/>
      <c r="P537" s="394"/>
      <c r="Q537" s="394"/>
      <c r="R537" s="381"/>
      <c r="S537" s="408"/>
      <c r="T537" s="385"/>
      <c r="U537" s="475"/>
      <c r="V537" s="395"/>
      <c r="W537" s="395"/>
      <c r="X537" s="528">
        <v>92</v>
      </c>
      <c r="Y537" s="523">
        <v>365</v>
      </c>
      <c r="Z537" s="393">
        <v>365</v>
      </c>
      <c r="AA537" s="573">
        <v>1184.59448</v>
      </c>
      <c r="AB537" s="394">
        <v>1019.01743</v>
      </c>
      <c r="AC537" s="394">
        <v>907.48149999999998</v>
      </c>
      <c r="AD537" s="394">
        <f>17.43084+2.89092</f>
        <v>20.321760000000001</v>
      </c>
      <c r="AE537" s="394">
        <v>28.5366</v>
      </c>
      <c r="AF537" s="394">
        <v>0</v>
      </c>
      <c r="AG537" s="394">
        <v>0</v>
      </c>
      <c r="AH537" s="394">
        <v>53.337229999999998</v>
      </c>
      <c r="AI537" s="394">
        <v>1.3544499999999999</v>
      </c>
      <c r="AJ537" s="394">
        <f>1.45257+2.89092</f>
        <v>4.3434900000000001</v>
      </c>
      <c r="AK537" s="381" t="s">
        <v>167</v>
      </c>
      <c r="AL537" s="408" t="s">
        <v>175</v>
      </c>
      <c r="AM537" s="475" t="s">
        <v>4619</v>
      </c>
      <c r="AN537" s="475">
        <v>350</v>
      </c>
      <c r="AO537" s="395">
        <f t="shared" si="422"/>
        <v>12876.02695652174</v>
      </c>
      <c r="AP537" s="395">
        <f t="shared" si="423"/>
        <v>3.2454643287671234</v>
      </c>
      <c r="AQ537" s="528"/>
      <c r="AR537" s="523"/>
      <c r="AS537" s="393"/>
      <c r="AT537" s="573"/>
      <c r="AU537" s="394"/>
      <c r="AV537" s="394"/>
      <c r="AW537" s="394"/>
      <c r="AX537" s="394"/>
      <c r="AY537" s="394"/>
      <c r="AZ537" s="394"/>
      <c r="BA537" s="394"/>
      <c r="BB537" s="394"/>
      <c r="BC537" s="394"/>
      <c r="BD537" s="381"/>
      <c r="BE537" s="408"/>
      <c r="BF537" s="475"/>
      <c r="BG537" s="475"/>
      <c r="BH537" s="395" t="e">
        <f t="shared" si="403"/>
        <v>#DIV/0!</v>
      </c>
      <c r="BI537" s="395" t="e">
        <f t="shared" si="404"/>
        <v>#DIV/0!</v>
      </c>
    </row>
    <row r="538" spans="1:61" s="358" customFormat="1" x14ac:dyDescent="0.3">
      <c r="A538" s="359"/>
      <c r="B538" s="602"/>
      <c r="C538" s="548"/>
      <c r="D538" s="360"/>
      <c r="E538" s="528"/>
      <c r="F538" s="523"/>
      <c r="G538" s="393"/>
      <c r="H538" s="394"/>
      <c r="I538" s="394"/>
      <c r="J538" s="394"/>
      <c r="K538" s="394"/>
      <c r="L538" s="394"/>
      <c r="M538" s="394"/>
      <c r="N538" s="394"/>
      <c r="O538" s="394"/>
      <c r="P538" s="394"/>
      <c r="Q538" s="394"/>
      <c r="R538" s="381"/>
      <c r="S538" s="408"/>
      <c r="T538" s="385"/>
      <c r="U538" s="475"/>
      <c r="V538" s="395"/>
      <c r="W538" s="395"/>
      <c r="X538" s="528"/>
      <c r="Y538" s="523"/>
      <c r="Z538" s="393"/>
      <c r="AA538" s="394"/>
      <c r="AB538" s="394"/>
      <c r="AC538" s="394"/>
      <c r="AD538" s="394"/>
      <c r="AE538" s="394"/>
      <c r="AF538" s="394"/>
      <c r="AG538" s="394"/>
      <c r="AH538" s="394"/>
      <c r="AI538" s="394"/>
      <c r="AJ538" s="394"/>
      <c r="AK538" s="381"/>
      <c r="AL538" s="408"/>
      <c r="AM538" s="385"/>
      <c r="AN538" s="475"/>
      <c r="AO538" s="395"/>
      <c r="AP538" s="395"/>
      <c r="AQ538" s="528"/>
      <c r="AR538" s="523"/>
      <c r="AS538" s="393"/>
      <c r="AT538" s="600"/>
      <c r="AU538" s="394"/>
      <c r="AV538" s="394"/>
      <c r="AW538" s="394"/>
      <c r="AX538" s="394"/>
      <c r="AY538" s="394"/>
      <c r="AZ538" s="394"/>
      <c r="BA538" s="394"/>
      <c r="BB538" s="394"/>
      <c r="BC538" s="394"/>
      <c r="BD538" s="381"/>
      <c r="BE538" s="408"/>
      <c r="BF538" s="385"/>
      <c r="BG538" s="475"/>
      <c r="BH538" s="395" t="e">
        <f t="shared" ref="BH538" si="438">AT538/AQ538*1000</f>
        <v>#DIV/0!</v>
      </c>
      <c r="BI538" s="395" t="e">
        <f t="shared" ref="BI538" si="439">AT538/AR538</f>
        <v>#DIV/0!</v>
      </c>
    </row>
    <row r="539" spans="1:61" s="358" customFormat="1" x14ac:dyDescent="0.3">
      <c r="A539" s="359"/>
      <c r="B539" s="378"/>
      <c r="C539" s="546"/>
      <c r="D539" s="360"/>
      <c r="E539" s="528"/>
      <c r="F539" s="523"/>
      <c r="G539" s="393"/>
      <c r="H539" s="399"/>
      <c r="I539" s="394"/>
      <c r="J539" s="394"/>
      <c r="K539" s="394"/>
      <c r="L539" s="394"/>
      <c r="M539" s="394"/>
      <c r="N539" s="394"/>
      <c r="O539" s="394"/>
      <c r="P539" s="394"/>
      <c r="Q539" s="394"/>
      <c r="R539" s="385"/>
      <c r="S539" s="385"/>
      <c r="T539" s="385"/>
      <c r="U539" s="475"/>
      <c r="V539" s="395" t="e">
        <f t="shared" si="310"/>
        <v>#DIV/0!</v>
      </c>
      <c r="W539" s="395" t="e">
        <f t="shared" si="311"/>
        <v>#DIV/0!</v>
      </c>
      <c r="X539" s="528"/>
      <c r="Y539" s="523"/>
      <c r="Z539" s="393"/>
      <c r="AA539" s="399"/>
      <c r="AB539" s="394"/>
      <c r="AC539" s="394"/>
      <c r="AD539" s="394"/>
      <c r="AE539" s="394"/>
      <c r="AF539" s="394"/>
      <c r="AG539" s="394"/>
      <c r="AH539" s="394"/>
      <c r="AI539" s="394"/>
      <c r="AJ539" s="394"/>
      <c r="AK539" s="385"/>
      <c r="AL539" s="385"/>
      <c r="AM539" s="385"/>
      <c r="AN539" s="475"/>
      <c r="AO539" s="395" t="e">
        <f t="shared" si="293"/>
        <v>#DIV/0!</v>
      </c>
      <c r="AP539" s="395" t="e">
        <f t="shared" si="294"/>
        <v>#DIV/0!</v>
      </c>
      <c r="AQ539" s="528"/>
      <c r="AR539" s="523"/>
      <c r="AS539" s="393"/>
      <c r="AT539" s="399"/>
      <c r="AU539" s="394"/>
      <c r="AV539" s="394"/>
      <c r="AW539" s="394"/>
      <c r="AX539" s="394"/>
      <c r="AY539" s="394"/>
      <c r="AZ539" s="394"/>
      <c r="BA539" s="394"/>
      <c r="BB539" s="394"/>
      <c r="BC539" s="394"/>
      <c r="BD539" s="385"/>
      <c r="BE539" s="385"/>
      <c r="BF539" s="385"/>
      <c r="BG539" s="475"/>
      <c r="BH539" s="395" t="e">
        <f t="shared" si="403"/>
        <v>#DIV/0!</v>
      </c>
      <c r="BI539" s="395" t="e">
        <f t="shared" si="404"/>
        <v>#DIV/0!</v>
      </c>
    </row>
    <row r="540" spans="1:61" s="358" customFormat="1" ht="24.75" customHeight="1" x14ac:dyDescent="0.3">
      <c r="A540" s="354" t="s">
        <v>4615</v>
      </c>
      <c r="B540" s="603" t="s">
        <v>6292</v>
      </c>
      <c r="C540" s="587"/>
      <c r="D540" s="356">
        <v>0.4</v>
      </c>
      <c r="E540" s="389">
        <f t="shared" ref="E540:Q540" si="440">SUM(E541:E542)</f>
        <v>0</v>
      </c>
      <c r="F540" s="389">
        <f t="shared" si="440"/>
        <v>0</v>
      </c>
      <c r="G540" s="389">
        <f t="shared" si="440"/>
        <v>0</v>
      </c>
      <c r="H540" s="390">
        <f t="shared" si="440"/>
        <v>0</v>
      </c>
      <c r="I540" s="390">
        <f t="shared" si="440"/>
        <v>0</v>
      </c>
      <c r="J540" s="390">
        <f t="shared" si="440"/>
        <v>0</v>
      </c>
      <c r="K540" s="390">
        <f t="shared" si="440"/>
        <v>0</v>
      </c>
      <c r="L540" s="390">
        <f t="shared" si="440"/>
        <v>0</v>
      </c>
      <c r="M540" s="390">
        <f t="shared" si="440"/>
        <v>0</v>
      </c>
      <c r="N540" s="390">
        <f t="shared" si="440"/>
        <v>0</v>
      </c>
      <c r="O540" s="390">
        <f t="shared" si="440"/>
        <v>0</v>
      </c>
      <c r="P540" s="390">
        <f t="shared" si="440"/>
        <v>0</v>
      </c>
      <c r="Q540" s="390">
        <f t="shared" si="440"/>
        <v>0</v>
      </c>
      <c r="R540" s="391"/>
      <c r="S540" s="391"/>
      <c r="T540" s="391"/>
      <c r="U540" s="474"/>
      <c r="V540" s="392" t="e">
        <f t="shared" si="310"/>
        <v>#DIV/0!</v>
      </c>
      <c r="W540" s="392" t="e">
        <f t="shared" si="311"/>
        <v>#DIV/0!</v>
      </c>
      <c r="X540" s="389">
        <f>SUM(X541:X542)</f>
        <v>0</v>
      </c>
      <c r="Y540" s="389">
        <f t="shared" ref="Y540:Z540" si="441">SUM(Y541:Y542)</f>
        <v>0</v>
      </c>
      <c r="Z540" s="389">
        <f t="shared" si="441"/>
        <v>0</v>
      </c>
      <c r="AA540" s="390">
        <f>SUM(AA541:AA542)</f>
        <v>0</v>
      </c>
      <c r="AB540" s="390">
        <f t="shared" ref="AB540:AI540" si="442">SUM(AB541:AB542)</f>
        <v>0</v>
      </c>
      <c r="AC540" s="390">
        <f t="shared" si="442"/>
        <v>0</v>
      </c>
      <c r="AD540" s="390">
        <f t="shared" si="442"/>
        <v>0</v>
      </c>
      <c r="AE540" s="390">
        <f t="shared" si="442"/>
        <v>0</v>
      </c>
      <c r="AF540" s="390">
        <f t="shared" si="442"/>
        <v>0</v>
      </c>
      <c r="AG540" s="390">
        <f t="shared" si="442"/>
        <v>0</v>
      </c>
      <c r="AH540" s="390">
        <f t="shared" si="442"/>
        <v>0</v>
      </c>
      <c r="AI540" s="390">
        <f t="shared" si="442"/>
        <v>0</v>
      </c>
      <c r="AJ540" s="390">
        <f>SUM(AJ541:AJ542)</f>
        <v>0</v>
      </c>
      <c r="AK540" s="391"/>
      <c r="AL540" s="391"/>
      <c r="AM540" s="391"/>
      <c r="AN540" s="474"/>
      <c r="AO540" s="392" t="e">
        <f t="shared" si="293"/>
        <v>#DIV/0!</v>
      </c>
      <c r="AP540" s="392" t="e">
        <f t="shared" si="294"/>
        <v>#DIV/0!</v>
      </c>
      <c r="AQ540" s="389">
        <f>SUM(AQ541:AQ542)</f>
        <v>0</v>
      </c>
      <c r="AR540" s="389">
        <f t="shared" ref="AR540:AS540" si="443">SUM(AR541:AR542)</f>
        <v>0</v>
      </c>
      <c r="AS540" s="389">
        <f t="shared" si="443"/>
        <v>0</v>
      </c>
      <c r="AT540" s="390">
        <f>SUM(AT541:AT542)</f>
        <v>0</v>
      </c>
      <c r="AU540" s="390">
        <f t="shared" ref="AU540:BC540" si="444">SUM(AU541:AU542)</f>
        <v>0</v>
      </c>
      <c r="AV540" s="390">
        <f t="shared" si="444"/>
        <v>0</v>
      </c>
      <c r="AW540" s="390">
        <f t="shared" si="444"/>
        <v>0</v>
      </c>
      <c r="AX540" s="390">
        <f t="shared" si="444"/>
        <v>0</v>
      </c>
      <c r="AY540" s="390">
        <f t="shared" si="444"/>
        <v>0</v>
      </c>
      <c r="AZ540" s="390">
        <f t="shared" si="444"/>
        <v>0</v>
      </c>
      <c r="BA540" s="390">
        <f t="shared" si="444"/>
        <v>0</v>
      </c>
      <c r="BB540" s="390">
        <f t="shared" si="444"/>
        <v>0</v>
      </c>
      <c r="BC540" s="390">
        <f t="shared" si="444"/>
        <v>0</v>
      </c>
      <c r="BD540" s="391"/>
      <c r="BE540" s="391"/>
      <c r="BF540" s="391"/>
      <c r="BG540" s="474"/>
      <c r="BH540" s="392" t="e">
        <f t="shared" si="403"/>
        <v>#DIV/0!</v>
      </c>
      <c r="BI540" s="392" t="e">
        <f t="shared" si="404"/>
        <v>#DIV/0!</v>
      </c>
    </row>
    <row r="541" spans="1:61" s="358" customFormat="1" x14ac:dyDescent="0.3">
      <c r="A541" s="359"/>
      <c r="B541" s="602"/>
      <c r="C541" s="548"/>
      <c r="D541" s="360"/>
      <c r="E541" s="528"/>
      <c r="F541" s="523"/>
      <c r="G541" s="393"/>
      <c r="H541" s="394"/>
      <c r="I541" s="394"/>
      <c r="J541" s="394"/>
      <c r="K541" s="394"/>
      <c r="L541" s="394"/>
      <c r="M541" s="394"/>
      <c r="N541" s="394"/>
      <c r="O541" s="394"/>
      <c r="P541" s="394"/>
      <c r="Q541" s="394"/>
      <c r="R541" s="381"/>
      <c r="S541" s="408"/>
      <c r="T541" s="385"/>
      <c r="U541" s="475"/>
      <c r="V541" s="395"/>
      <c r="W541" s="395"/>
      <c r="X541" s="528"/>
      <c r="Y541" s="523"/>
      <c r="Z541" s="393"/>
      <c r="AA541" s="394"/>
      <c r="AB541" s="394"/>
      <c r="AC541" s="394"/>
      <c r="AD541" s="394"/>
      <c r="AE541" s="394"/>
      <c r="AF541" s="394"/>
      <c r="AG541" s="394"/>
      <c r="AH541" s="394"/>
      <c r="AI541" s="394"/>
      <c r="AJ541" s="394"/>
      <c r="AK541" s="381"/>
      <c r="AL541" s="408"/>
      <c r="AM541" s="385"/>
      <c r="AN541" s="475"/>
      <c r="AO541" s="395"/>
      <c r="AP541" s="395"/>
      <c r="AQ541" s="528"/>
      <c r="AR541" s="523"/>
      <c r="AS541" s="393"/>
      <c r="AT541" s="600"/>
      <c r="AU541" s="394"/>
      <c r="AV541" s="394"/>
      <c r="AW541" s="394"/>
      <c r="AX541" s="394"/>
      <c r="AY541" s="394"/>
      <c r="AZ541" s="394"/>
      <c r="BA541" s="394"/>
      <c r="BB541" s="394"/>
      <c r="BC541" s="394"/>
      <c r="BD541" s="381"/>
      <c r="BE541" s="408"/>
      <c r="BF541" s="385"/>
      <c r="BG541" s="475"/>
      <c r="BH541" s="395" t="e">
        <f t="shared" ref="BH541" si="445">AT541/AQ541*1000</f>
        <v>#DIV/0!</v>
      </c>
      <c r="BI541" s="395" t="e">
        <f t="shared" ref="BI541" si="446">AT541/AR541</f>
        <v>#DIV/0!</v>
      </c>
    </row>
    <row r="542" spans="1:61" s="358" customFormat="1" x14ac:dyDescent="0.3">
      <c r="A542" s="359"/>
      <c r="B542" s="378"/>
      <c r="C542" s="546"/>
      <c r="D542" s="360"/>
      <c r="E542" s="528"/>
      <c r="F542" s="523"/>
      <c r="G542" s="523"/>
      <c r="H542" s="394"/>
      <c r="I542" s="394"/>
      <c r="J542" s="394"/>
      <c r="K542" s="394"/>
      <c r="L542" s="394"/>
      <c r="M542" s="394"/>
      <c r="N542" s="394"/>
      <c r="O542" s="394"/>
      <c r="P542" s="394"/>
      <c r="Q542" s="394"/>
      <c r="R542" s="385"/>
      <c r="S542" s="385"/>
      <c r="T542" s="385"/>
      <c r="U542" s="475"/>
      <c r="V542" s="395" t="e">
        <f t="shared" ref="V542" si="447">H542/E542*1000</f>
        <v>#DIV/0!</v>
      </c>
      <c r="W542" s="395" t="e">
        <f t="shared" ref="W542" si="448">H542/F542</f>
        <v>#DIV/0!</v>
      </c>
      <c r="X542" s="528"/>
      <c r="Y542" s="523"/>
      <c r="Z542" s="523"/>
      <c r="AA542" s="394"/>
      <c r="AB542" s="394"/>
      <c r="AC542" s="394"/>
      <c r="AD542" s="394"/>
      <c r="AE542" s="394"/>
      <c r="AF542" s="394"/>
      <c r="AG542" s="394"/>
      <c r="AH542" s="394"/>
      <c r="AI542" s="394"/>
      <c r="AJ542" s="394"/>
      <c r="AK542" s="385"/>
      <c r="AL542" s="385"/>
      <c r="AM542" s="385"/>
      <c r="AN542" s="475"/>
      <c r="AO542" s="395" t="e">
        <f t="shared" ref="AO542" si="449">AA542/X542*1000</f>
        <v>#DIV/0!</v>
      </c>
      <c r="AP542" s="395" t="e">
        <f t="shared" ref="AP542" si="450">AA542/Y542</f>
        <v>#DIV/0!</v>
      </c>
      <c r="AQ542" s="528"/>
      <c r="AR542" s="523"/>
      <c r="AS542" s="523"/>
      <c r="AT542" s="394"/>
      <c r="AU542" s="394"/>
      <c r="AV542" s="394"/>
      <c r="AW542" s="394"/>
      <c r="AX542" s="394"/>
      <c r="AY542" s="394"/>
      <c r="AZ542" s="394"/>
      <c r="BA542" s="394"/>
      <c r="BB542" s="394"/>
      <c r="BC542" s="394"/>
      <c r="BD542" s="385"/>
      <c r="BE542" s="385"/>
      <c r="BF542" s="385"/>
      <c r="BG542" s="475"/>
      <c r="BH542" s="395" t="e">
        <f t="shared" ref="BH542" si="451">AT542/AQ542*1000</f>
        <v>#DIV/0!</v>
      </c>
      <c r="BI542" s="395" t="e">
        <f t="shared" ref="BI542" si="452">AT542/AR542</f>
        <v>#DIV/0!</v>
      </c>
    </row>
    <row r="543" spans="1:61" s="358" customFormat="1" ht="24.75" customHeight="1" x14ac:dyDescent="0.3">
      <c r="A543" s="354" t="s">
        <v>4621</v>
      </c>
      <c r="B543" s="603" t="s">
        <v>6290</v>
      </c>
      <c r="C543" s="587"/>
      <c r="D543" s="356">
        <v>0.4</v>
      </c>
      <c r="E543" s="389">
        <f t="shared" ref="E543:Q543" si="453">SUM(E544:E547)</f>
        <v>0</v>
      </c>
      <c r="F543" s="389">
        <f t="shared" si="453"/>
        <v>0</v>
      </c>
      <c r="G543" s="389">
        <f t="shared" si="453"/>
        <v>0</v>
      </c>
      <c r="H543" s="390">
        <f t="shared" si="453"/>
        <v>0</v>
      </c>
      <c r="I543" s="390">
        <f t="shared" si="453"/>
        <v>0</v>
      </c>
      <c r="J543" s="390">
        <f t="shared" si="453"/>
        <v>0</v>
      </c>
      <c r="K543" s="390">
        <f t="shared" si="453"/>
        <v>0</v>
      </c>
      <c r="L543" s="390">
        <f t="shared" si="453"/>
        <v>0</v>
      </c>
      <c r="M543" s="390">
        <f t="shared" si="453"/>
        <v>0</v>
      </c>
      <c r="N543" s="390">
        <f t="shared" si="453"/>
        <v>0</v>
      </c>
      <c r="O543" s="390">
        <f t="shared" si="453"/>
        <v>0</v>
      </c>
      <c r="P543" s="390">
        <f t="shared" si="453"/>
        <v>0</v>
      </c>
      <c r="Q543" s="390">
        <f t="shared" si="453"/>
        <v>0</v>
      </c>
      <c r="R543" s="391"/>
      <c r="S543" s="391"/>
      <c r="T543" s="391"/>
      <c r="U543" s="474"/>
      <c r="V543" s="392" t="e">
        <f t="shared" si="310"/>
        <v>#DIV/0!</v>
      </c>
      <c r="W543" s="392" t="e">
        <f t="shared" si="311"/>
        <v>#DIV/0!</v>
      </c>
      <c r="X543" s="389">
        <f>SUM(X544:X547)</f>
        <v>325</v>
      </c>
      <c r="Y543" s="389">
        <f t="shared" ref="Y543:Z543" si="454">SUM(Y544:Y547)</f>
        <v>604</v>
      </c>
      <c r="Z543" s="389">
        <f t="shared" si="454"/>
        <v>604</v>
      </c>
      <c r="AA543" s="390">
        <f>SUM(AA544:AA547)</f>
        <v>1255.8278</v>
      </c>
      <c r="AB543" s="390">
        <f t="shared" ref="AB543:AJ543" si="455">SUM(AB544:AB547)</f>
        <v>1045.3147399999998</v>
      </c>
      <c r="AC543" s="390">
        <f t="shared" si="455"/>
        <v>879.38175000000001</v>
      </c>
      <c r="AD543" s="390">
        <f t="shared" si="455"/>
        <v>23.184799999999999</v>
      </c>
      <c r="AE543" s="390">
        <f t="shared" si="455"/>
        <v>38.114270000000005</v>
      </c>
      <c r="AF543" s="390">
        <f t="shared" si="455"/>
        <v>0</v>
      </c>
      <c r="AG543" s="390">
        <f t="shared" si="455"/>
        <v>0</v>
      </c>
      <c r="AH543" s="390">
        <f t="shared" si="455"/>
        <v>68.177819999999997</v>
      </c>
      <c r="AI543" s="390">
        <f t="shared" si="455"/>
        <v>2.4946999999999999</v>
      </c>
      <c r="AJ543" s="390">
        <f t="shared" si="455"/>
        <v>8.6869800000000001</v>
      </c>
      <c r="AK543" s="391"/>
      <c r="AL543" s="391"/>
      <c r="AM543" s="391"/>
      <c r="AN543" s="474"/>
      <c r="AO543" s="392">
        <f t="shared" si="293"/>
        <v>3864.0855384615388</v>
      </c>
      <c r="AP543" s="392">
        <f t="shared" si="294"/>
        <v>2.0791850993377485</v>
      </c>
      <c r="AQ543" s="389">
        <f>SUM(AQ544:AQ547)</f>
        <v>0</v>
      </c>
      <c r="AR543" s="389">
        <f t="shared" ref="AR543:AS543" si="456">SUM(AR544:AR547)</f>
        <v>0</v>
      </c>
      <c r="AS543" s="389">
        <f t="shared" si="456"/>
        <v>0</v>
      </c>
      <c r="AT543" s="390">
        <f>SUM(AT544:AT547)</f>
        <v>0</v>
      </c>
      <c r="AU543" s="390">
        <f t="shared" ref="AU543:BC543" si="457">SUM(AU544:AU547)</f>
        <v>0</v>
      </c>
      <c r="AV543" s="390">
        <f t="shared" si="457"/>
        <v>0</v>
      </c>
      <c r="AW543" s="390">
        <f t="shared" si="457"/>
        <v>0</v>
      </c>
      <c r="AX543" s="390">
        <f t="shared" si="457"/>
        <v>0</v>
      </c>
      <c r="AY543" s="390">
        <f t="shared" si="457"/>
        <v>0</v>
      </c>
      <c r="AZ543" s="390">
        <f t="shared" si="457"/>
        <v>0</v>
      </c>
      <c r="BA543" s="390">
        <f t="shared" si="457"/>
        <v>0</v>
      </c>
      <c r="BB543" s="390">
        <f t="shared" si="457"/>
        <v>0</v>
      </c>
      <c r="BC543" s="390">
        <f t="shared" si="457"/>
        <v>0</v>
      </c>
      <c r="BD543" s="391"/>
      <c r="BE543" s="391"/>
      <c r="BF543" s="391"/>
      <c r="BG543" s="474"/>
      <c r="BH543" s="392" t="e">
        <f t="shared" si="403"/>
        <v>#DIV/0!</v>
      </c>
      <c r="BI543" s="392" t="e">
        <f t="shared" si="404"/>
        <v>#DIV/0!</v>
      </c>
    </row>
    <row r="544" spans="1:61" s="358" customFormat="1" ht="19.2" x14ac:dyDescent="0.3">
      <c r="A544" s="359" t="s">
        <v>182</v>
      </c>
      <c r="B544" s="572" t="s">
        <v>2594</v>
      </c>
      <c r="C544" s="546" t="s">
        <v>2593</v>
      </c>
      <c r="D544" s="360">
        <v>0.4</v>
      </c>
      <c r="E544" s="528"/>
      <c r="F544" s="529"/>
      <c r="G544" s="406"/>
      <c r="H544" s="571"/>
      <c r="I544" s="394"/>
      <c r="J544" s="394"/>
      <c r="K544" s="394"/>
      <c r="L544" s="394"/>
      <c r="M544" s="394"/>
      <c r="N544" s="394"/>
      <c r="O544" s="394"/>
      <c r="P544" s="394"/>
      <c r="Q544" s="394"/>
      <c r="R544" s="381"/>
      <c r="S544" s="408"/>
      <c r="T544" s="385"/>
      <c r="U544" s="475"/>
      <c r="V544" s="395"/>
      <c r="W544" s="395"/>
      <c r="X544" s="528">
        <v>160</v>
      </c>
      <c r="Y544" s="523">
        <v>302</v>
      </c>
      <c r="Z544" s="393">
        <v>302</v>
      </c>
      <c r="AA544" s="571">
        <v>623.95639000000006</v>
      </c>
      <c r="AB544" s="394">
        <v>519.36123999999995</v>
      </c>
      <c r="AC544" s="394">
        <v>436.57249999999999</v>
      </c>
      <c r="AD544" s="394">
        <f>5.81028+5.78184</f>
        <v>11.59212</v>
      </c>
      <c r="AE544" s="394">
        <v>18.85568</v>
      </c>
      <c r="AF544" s="394">
        <v>0</v>
      </c>
      <c r="AG544" s="394">
        <v>0</v>
      </c>
      <c r="AH544" s="394">
        <v>33.892980000000001</v>
      </c>
      <c r="AI544" s="394">
        <v>1.24735</v>
      </c>
      <c r="AJ544" s="394">
        <f>1.45257+2.89092</f>
        <v>4.3434900000000001</v>
      </c>
      <c r="AK544" s="381" t="s">
        <v>167</v>
      </c>
      <c r="AL544" s="408" t="s">
        <v>175</v>
      </c>
      <c r="AM544" s="475" t="s">
        <v>4617</v>
      </c>
      <c r="AN544" s="475">
        <v>369</v>
      </c>
      <c r="AO544" s="395">
        <f t="shared" ref="AO544:AO548" si="458">AA544/X544*1000</f>
        <v>3899.7274375000002</v>
      </c>
      <c r="AP544" s="395">
        <f t="shared" ref="AP544:AP548" si="459">AA544/Y544</f>
        <v>2.0660807615894043</v>
      </c>
      <c r="AQ544" s="528"/>
      <c r="AR544" s="523"/>
      <c r="AS544" s="393"/>
      <c r="AT544" s="571"/>
      <c r="AU544" s="394"/>
      <c r="AV544" s="394"/>
      <c r="AW544" s="394"/>
      <c r="AX544" s="394"/>
      <c r="AY544" s="394"/>
      <c r="AZ544" s="394"/>
      <c r="BA544" s="394"/>
      <c r="BB544" s="394"/>
      <c r="BC544" s="394"/>
      <c r="BD544" s="381"/>
      <c r="BE544" s="408"/>
      <c r="BF544" s="475"/>
      <c r="BG544" s="475"/>
      <c r="BH544" s="395" t="e">
        <f t="shared" si="403"/>
        <v>#DIV/0!</v>
      </c>
      <c r="BI544" s="395" t="e">
        <f t="shared" si="404"/>
        <v>#DIV/0!</v>
      </c>
    </row>
    <row r="545" spans="1:61" s="358" customFormat="1" ht="19.2" x14ac:dyDescent="0.3">
      <c r="A545" s="359" t="s">
        <v>184</v>
      </c>
      <c r="B545" s="572" t="s">
        <v>2594</v>
      </c>
      <c r="C545" s="546" t="s">
        <v>2595</v>
      </c>
      <c r="D545" s="360">
        <v>0.4</v>
      </c>
      <c r="E545" s="528"/>
      <c r="F545" s="529"/>
      <c r="G545" s="406"/>
      <c r="H545" s="571"/>
      <c r="I545" s="394"/>
      <c r="J545" s="394"/>
      <c r="K545" s="394"/>
      <c r="L545" s="394"/>
      <c r="M545" s="394"/>
      <c r="N545" s="394"/>
      <c r="O545" s="394"/>
      <c r="P545" s="394"/>
      <c r="Q545" s="394"/>
      <c r="R545" s="381"/>
      <c r="S545" s="408"/>
      <c r="T545" s="385"/>
      <c r="U545" s="475"/>
      <c r="V545" s="395"/>
      <c r="W545" s="395"/>
      <c r="X545" s="528">
        <v>165</v>
      </c>
      <c r="Y545" s="523">
        <v>302</v>
      </c>
      <c r="Z545" s="393">
        <v>302</v>
      </c>
      <c r="AA545" s="571">
        <v>631.87140999999997</v>
      </c>
      <c r="AB545" s="394">
        <v>525.95349999999996</v>
      </c>
      <c r="AC545" s="394">
        <v>442.80925000000002</v>
      </c>
      <c r="AD545" s="394">
        <f>5.81084+5.78184</f>
        <v>11.59268</v>
      </c>
      <c r="AE545" s="394">
        <v>19.258590000000002</v>
      </c>
      <c r="AF545" s="394">
        <v>0</v>
      </c>
      <c r="AG545" s="394">
        <v>0</v>
      </c>
      <c r="AH545" s="394">
        <v>34.284840000000003</v>
      </c>
      <c r="AI545" s="394">
        <v>1.24735</v>
      </c>
      <c r="AJ545" s="394">
        <f>1.45257+2.89092</f>
        <v>4.3434900000000001</v>
      </c>
      <c r="AK545" s="381" t="s">
        <v>167</v>
      </c>
      <c r="AL545" s="408" t="s">
        <v>175</v>
      </c>
      <c r="AM545" s="475" t="s">
        <v>4617</v>
      </c>
      <c r="AN545" s="475">
        <v>372</v>
      </c>
      <c r="AO545" s="395">
        <f t="shared" si="458"/>
        <v>3829.5236969696966</v>
      </c>
      <c r="AP545" s="395">
        <f t="shared" si="459"/>
        <v>2.0922894370860927</v>
      </c>
      <c r="AQ545" s="528"/>
      <c r="AR545" s="523"/>
      <c r="AS545" s="393"/>
      <c r="AT545" s="571"/>
      <c r="AU545" s="394"/>
      <c r="AV545" s="394"/>
      <c r="AW545" s="394"/>
      <c r="AX545" s="394"/>
      <c r="AY545" s="394"/>
      <c r="AZ545" s="394"/>
      <c r="BA545" s="394"/>
      <c r="BB545" s="394"/>
      <c r="BC545" s="394"/>
      <c r="BD545" s="381"/>
      <c r="BE545" s="408"/>
      <c r="BF545" s="475"/>
      <c r="BG545" s="475"/>
      <c r="BH545" s="395" t="e">
        <f t="shared" si="403"/>
        <v>#DIV/0!</v>
      </c>
      <c r="BI545" s="395" t="e">
        <f t="shared" si="404"/>
        <v>#DIV/0!</v>
      </c>
    </row>
    <row r="546" spans="1:61" s="358" customFormat="1" x14ac:dyDescent="0.3">
      <c r="A546" s="359"/>
      <c r="B546" s="602"/>
      <c r="C546" s="548"/>
      <c r="D546" s="360"/>
      <c r="E546" s="528"/>
      <c r="F546" s="523"/>
      <c r="G546" s="393"/>
      <c r="H546" s="394"/>
      <c r="I546" s="394"/>
      <c r="J546" s="394"/>
      <c r="K546" s="394"/>
      <c r="L546" s="394"/>
      <c r="M546" s="394"/>
      <c r="N546" s="394"/>
      <c r="O546" s="394"/>
      <c r="P546" s="394"/>
      <c r="Q546" s="394"/>
      <c r="R546" s="381"/>
      <c r="S546" s="408"/>
      <c r="T546" s="385"/>
      <c r="U546" s="475"/>
      <c r="V546" s="395"/>
      <c r="W546" s="395"/>
      <c r="X546" s="528"/>
      <c r="Y546" s="523"/>
      <c r="Z546" s="393"/>
      <c r="AA546" s="394"/>
      <c r="AB546" s="394"/>
      <c r="AC546" s="394"/>
      <c r="AD546" s="394"/>
      <c r="AE546" s="394"/>
      <c r="AF546" s="394"/>
      <c r="AG546" s="394"/>
      <c r="AH546" s="394"/>
      <c r="AI546" s="394"/>
      <c r="AJ546" s="394"/>
      <c r="AK546" s="381"/>
      <c r="AL546" s="408"/>
      <c r="AM546" s="385"/>
      <c r="AN546" s="475"/>
      <c r="AO546" s="395"/>
      <c r="AP546" s="395"/>
      <c r="AQ546" s="528"/>
      <c r="AR546" s="523"/>
      <c r="AS546" s="393"/>
      <c r="AT546" s="600"/>
      <c r="AU546" s="394"/>
      <c r="AV546" s="394"/>
      <c r="AW546" s="394"/>
      <c r="AX546" s="394"/>
      <c r="AY546" s="394"/>
      <c r="AZ546" s="394"/>
      <c r="BA546" s="394"/>
      <c r="BB546" s="394"/>
      <c r="BC546" s="394"/>
      <c r="BD546" s="381"/>
      <c r="BE546" s="408"/>
      <c r="BF546" s="385"/>
      <c r="BG546" s="475"/>
      <c r="BH546" s="395" t="e">
        <f t="shared" ref="BH546" si="460">AT546/AQ546*1000</f>
        <v>#DIV/0!</v>
      </c>
      <c r="BI546" s="395" t="e">
        <f t="shared" ref="BI546" si="461">AT546/AR546</f>
        <v>#DIV/0!</v>
      </c>
    </row>
    <row r="547" spans="1:61" s="358" customFormat="1" x14ac:dyDescent="0.3">
      <c r="A547" s="359"/>
      <c r="B547" s="378"/>
      <c r="C547" s="546"/>
      <c r="D547" s="360"/>
      <c r="E547" s="528"/>
      <c r="F547" s="523"/>
      <c r="G547" s="523"/>
      <c r="H547" s="394"/>
      <c r="I547" s="394"/>
      <c r="J547" s="394"/>
      <c r="K547" s="394"/>
      <c r="L547" s="394"/>
      <c r="M547" s="394"/>
      <c r="N547" s="394"/>
      <c r="O547" s="394"/>
      <c r="P547" s="394"/>
      <c r="Q547" s="394"/>
      <c r="R547" s="385"/>
      <c r="S547" s="385"/>
      <c r="T547" s="385"/>
      <c r="U547" s="475"/>
      <c r="V547" s="395" t="e">
        <f t="shared" ref="V547" si="462">H547/E547*1000</f>
        <v>#DIV/0!</v>
      </c>
      <c r="W547" s="395" t="e">
        <f t="shared" ref="W547" si="463">H547/F547</f>
        <v>#DIV/0!</v>
      </c>
      <c r="X547" s="528"/>
      <c r="Y547" s="523"/>
      <c r="Z547" s="523"/>
      <c r="AA547" s="394"/>
      <c r="AB547" s="394"/>
      <c r="AC547" s="394"/>
      <c r="AD547" s="394"/>
      <c r="AE547" s="394"/>
      <c r="AF547" s="394"/>
      <c r="AG547" s="394"/>
      <c r="AH547" s="394"/>
      <c r="AI547" s="394"/>
      <c r="AJ547" s="394"/>
      <c r="AK547" s="385"/>
      <c r="AL547" s="385"/>
      <c r="AM547" s="385"/>
      <c r="AN547" s="475"/>
      <c r="AO547" s="395" t="e">
        <f t="shared" ref="AO547" si="464">AA547/X547*1000</f>
        <v>#DIV/0!</v>
      </c>
      <c r="AP547" s="395" t="e">
        <f t="shared" ref="AP547" si="465">AA547/Y547</f>
        <v>#DIV/0!</v>
      </c>
      <c r="AQ547" s="528"/>
      <c r="AR547" s="523"/>
      <c r="AS547" s="523"/>
      <c r="AT547" s="394"/>
      <c r="AU547" s="394"/>
      <c r="AV547" s="394"/>
      <c r="AW547" s="394"/>
      <c r="AX547" s="394"/>
      <c r="AY547" s="394"/>
      <c r="AZ547" s="394"/>
      <c r="BA547" s="394"/>
      <c r="BB547" s="394"/>
      <c r="BC547" s="394"/>
      <c r="BD547" s="385"/>
      <c r="BE547" s="385"/>
      <c r="BF547" s="385"/>
      <c r="BG547" s="475"/>
      <c r="BH547" s="395" t="e">
        <f t="shared" ref="BH547" si="466">AT547/AQ547*1000</f>
        <v>#DIV/0!</v>
      </c>
      <c r="BI547" s="395" t="e">
        <f t="shared" ref="BI547" si="467">AT547/AR547</f>
        <v>#DIV/0!</v>
      </c>
    </row>
    <row r="548" spans="1:61" s="358" customFormat="1" ht="24.75" customHeight="1" x14ac:dyDescent="0.3">
      <c r="A548" s="354" t="s">
        <v>4624</v>
      </c>
      <c r="B548" s="603" t="s">
        <v>6291</v>
      </c>
      <c r="C548" s="587"/>
      <c r="D548" s="356">
        <v>0.4</v>
      </c>
      <c r="E548" s="389">
        <f t="shared" ref="E548:Q548" si="468">SUM(E549:E551)</f>
        <v>0</v>
      </c>
      <c r="F548" s="389">
        <f t="shared" si="468"/>
        <v>0</v>
      </c>
      <c r="G548" s="389">
        <f t="shared" si="468"/>
        <v>0</v>
      </c>
      <c r="H548" s="390">
        <f t="shared" si="468"/>
        <v>0</v>
      </c>
      <c r="I548" s="390">
        <f t="shared" si="468"/>
        <v>0</v>
      </c>
      <c r="J548" s="390">
        <f t="shared" si="468"/>
        <v>0</v>
      </c>
      <c r="K548" s="390">
        <f t="shared" si="468"/>
        <v>0</v>
      </c>
      <c r="L548" s="390">
        <f t="shared" si="468"/>
        <v>0</v>
      </c>
      <c r="M548" s="390">
        <f t="shared" si="468"/>
        <v>0</v>
      </c>
      <c r="N548" s="390">
        <f t="shared" si="468"/>
        <v>0</v>
      </c>
      <c r="O548" s="390">
        <f t="shared" si="468"/>
        <v>0</v>
      </c>
      <c r="P548" s="390">
        <f t="shared" si="468"/>
        <v>0</v>
      </c>
      <c r="Q548" s="390">
        <f t="shared" si="468"/>
        <v>0</v>
      </c>
      <c r="R548" s="391"/>
      <c r="S548" s="391"/>
      <c r="T548" s="391"/>
      <c r="U548" s="474"/>
      <c r="V548" s="392" t="e">
        <f t="shared" ref="V548" si="469">H548/E548*1000</f>
        <v>#DIV/0!</v>
      </c>
      <c r="W548" s="392" t="e">
        <f t="shared" ref="W548" si="470">H548/F548</f>
        <v>#DIV/0!</v>
      </c>
      <c r="X548" s="389">
        <f>SUM(X549:X551)</f>
        <v>70</v>
      </c>
      <c r="Y548" s="389">
        <f t="shared" ref="Y548:Z548" si="471">SUM(Y549:Y551)</f>
        <v>655</v>
      </c>
      <c r="Z548" s="389">
        <f t="shared" si="471"/>
        <v>655</v>
      </c>
      <c r="AA548" s="390">
        <f>SUM(AA549:AA551)</f>
        <v>1024.09601</v>
      </c>
      <c r="AB548" s="390">
        <f t="shared" ref="AB548:AJ548" si="472">SUM(AB549:AB551)</f>
        <v>751.40849000000003</v>
      </c>
      <c r="AC548" s="390">
        <f t="shared" si="472"/>
        <v>418.14690000000002</v>
      </c>
      <c r="AD548" s="390">
        <f t="shared" si="472"/>
        <v>27.132960000000001</v>
      </c>
      <c r="AE548" s="390">
        <f t="shared" si="472"/>
        <v>14.1226</v>
      </c>
      <c r="AF548" s="390">
        <f t="shared" si="472"/>
        <v>0</v>
      </c>
      <c r="AG548" s="390">
        <f t="shared" si="472"/>
        <v>0</v>
      </c>
      <c r="AH548" s="390">
        <f t="shared" si="472"/>
        <v>103.45762999999999</v>
      </c>
      <c r="AI548" s="390">
        <f t="shared" si="472"/>
        <v>1.81803</v>
      </c>
      <c r="AJ548" s="390">
        <f t="shared" si="472"/>
        <v>1.69581</v>
      </c>
      <c r="AK548" s="391"/>
      <c r="AL548" s="391"/>
      <c r="AM548" s="391"/>
      <c r="AN548" s="474"/>
      <c r="AO548" s="392">
        <f t="shared" si="458"/>
        <v>14629.942999999999</v>
      </c>
      <c r="AP548" s="392">
        <f t="shared" si="459"/>
        <v>1.5635053587786258</v>
      </c>
      <c r="AQ548" s="389">
        <f>SUM(AQ549:AQ551)</f>
        <v>0</v>
      </c>
      <c r="AR548" s="389">
        <f t="shared" ref="AR548:AS548" si="473">SUM(AR549:AR551)</f>
        <v>0</v>
      </c>
      <c r="AS548" s="389">
        <f t="shared" si="473"/>
        <v>0</v>
      </c>
      <c r="AT548" s="390">
        <f>SUM(AT549:AT551)</f>
        <v>0</v>
      </c>
      <c r="AU548" s="390">
        <f t="shared" ref="AU548:BC548" si="474">SUM(AU549:AU551)</f>
        <v>0</v>
      </c>
      <c r="AV548" s="390">
        <f t="shared" si="474"/>
        <v>0</v>
      </c>
      <c r="AW548" s="390">
        <f t="shared" si="474"/>
        <v>0</v>
      </c>
      <c r="AX548" s="390">
        <f t="shared" si="474"/>
        <v>0</v>
      </c>
      <c r="AY548" s="390">
        <f t="shared" si="474"/>
        <v>0</v>
      </c>
      <c r="AZ548" s="390">
        <f t="shared" si="474"/>
        <v>0</v>
      </c>
      <c r="BA548" s="390">
        <f t="shared" si="474"/>
        <v>0</v>
      </c>
      <c r="BB548" s="390">
        <f t="shared" si="474"/>
        <v>0</v>
      </c>
      <c r="BC548" s="390">
        <f t="shared" si="474"/>
        <v>0</v>
      </c>
      <c r="BD548" s="391"/>
      <c r="BE548" s="391"/>
      <c r="BF548" s="391"/>
      <c r="BG548" s="474"/>
      <c r="BH548" s="392" t="e">
        <f t="shared" si="403"/>
        <v>#DIV/0!</v>
      </c>
      <c r="BI548" s="392" t="e">
        <f t="shared" si="404"/>
        <v>#DIV/0!</v>
      </c>
    </row>
    <row r="549" spans="1:61" s="358" customFormat="1" ht="19.2" x14ac:dyDescent="0.3">
      <c r="A549" s="359" t="s">
        <v>178</v>
      </c>
      <c r="B549" s="572" t="s">
        <v>2451</v>
      </c>
      <c r="C549" s="546" t="s">
        <v>2452</v>
      </c>
      <c r="D549" s="360">
        <v>0.4</v>
      </c>
      <c r="E549" s="528"/>
      <c r="F549" s="529"/>
      <c r="G549" s="406"/>
      <c r="H549" s="571"/>
      <c r="I549" s="394"/>
      <c r="J549" s="394"/>
      <c r="K549" s="394"/>
      <c r="L549" s="394"/>
      <c r="M549" s="394"/>
      <c r="N549" s="394"/>
      <c r="O549" s="394"/>
      <c r="P549" s="394"/>
      <c r="Q549" s="394"/>
      <c r="R549" s="381"/>
      <c r="S549" s="408"/>
      <c r="T549" s="385"/>
      <c r="U549" s="475"/>
      <c r="V549" s="395"/>
      <c r="W549" s="395"/>
      <c r="X549" s="528">
        <v>70</v>
      </c>
      <c r="Y549" s="523">
        <v>655</v>
      </c>
      <c r="Z549" s="393">
        <v>655</v>
      </c>
      <c r="AA549" s="571">
        <v>1024.09601</v>
      </c>
      <c r="AB549" s="394">
        <v>751.40849000000003</v>
      </c>
      <c r="AC549" s="394">
        <v>418.14690000000002</v>
      </c>
      <c r="AD549" s="394">
        <v>27.132960000000001</v>
      </c>
      <c r="AE549" s="394">
        <v>14.1226</v>
      </c>
      <c r="AF549" s="394">
        <v>0</v>
      </c>
      <c r="AG549" s="394">
        <v>0</v>
      </c>
      <c r="AH549" s="394">
        <v>103.45762999999999</v>
      </c>
      <c r="AI549" s="394">
        <v>1.81803</v>
      </c>
      <c r="AJ549" s="394">
        <v>1.69581</v>
      </c>
      <c r="AK549" s="381" t="s">
        <v>167</v>
      </c>
      <c r="AL549" s="408" t="s">
        <v>175</v>
      </c>
      <c r="AM549" s="475" t="s">
        <v>4620</v>
      </c>
      <c r="AN549" s="475">
        <v>365</v>
      </c>
      <c r="AO549" s="395">
        <f t="shared" ref="AO549" si="475">AA549/X549*1000</f>
        <v>14629.942999999999</v>
      </c>
      <c r="AP549" s="395">
        <f t="shared" ref="AP549" si="476">AA549/Y549</f>
        <v>1.5635053587786258</v>
      </c>
      <c r="AQ549" s="528"/>
      <c r="AR549" s="523"/>
      <c r="AS549" s="393"/>
      <c r="AT549" s="571"/>
      <c r="AU549" s="394"/>
      <c r="AV549" s="394"/>
      <c r="AW549" s="394"/>
      <c r="AX549" s="394"/>
      <c r="AY549" s="394"/>
      <c r="AZ549" s="394"/>
      <c r="BA549" s="394"/>
      <c r="BB549" s="394"/>
      <c r="BC549" s="394"/>
      <c r="BD549" s="381"/>
      <c r="BE549" s="408"/>
      <c r="BF549" s="475"/>
      <c r="BG549" s="475"/>
      <c r="BH549" s="395" t="e">
        <f t="shared" si="403"/>
        <v>#DIV/0!</v>
      </c>
      <c r="BI549" s="395" t="e">
        <f t="shared" si="404"/>
        <v>#DIV/0!</v>
      </c>
    </row>
    <row r="550" spans="1:61" s="358" customFormat="1" x14ac:dyDescent="0.3">
      <c r="A550" s="359"/>
      <c r="B550" s="602"/>
      <c r="C550" s="548"/>
      <c r="D550" s="360"/>
      <c r="E550" s="528"/>
      <c r="F550" s="523"/>
      <c r="G550" s="393"/>
      <c r="H550" s="394"/>
      <c r="I550" s="394"/>
      <c r="J550" s="394"/>
      <c r="K550" s="394"/>
      <c r="L550" s="394"/>
      <c r="M550" s="394"/>
      <c r="N550" s="394"/>
      <c r="O550" s="394"/>
      <c r="P550" s="394"/>
      <c r="Q550" s="394"/>
      <c r="R550" s="381"/>
      <c r="S550" s="408"/>
      <c r="T550" s="385"/>
      <c r="U550" s="475"/>
      <c r="V550" s="395"/>
      <c r="W550" s="395"/>
      <c r="X550" s="528"/>
      <c r="Y550" s="523"/>
      <c r="Z550" s="393"/>
      <c r="AA550" s="394"/>
      <c r="AB550" s="394"/>
      <c r="AC550" s="394"/>
      <c r="AD550" s="394"/>
      <c r="AE550" s="394"/>
      <c r="AF550" s="394"/>
      <c r="AG550" s="394"/>
      <c r="AH550" s="394"/>
      <c r="AI550" s="394"/>
      <c r="AJ550" s="394"/>
      <c r="AK550" s="381"/>
      <c r="AL550" s="408"/>
      <c r="AM550" s="385"/>
      <c r="AN550" s="475"/>
      <c r="AO550" s="395"/>
      <c r="AP550" s="395"/>
      <c r="AQ550" s="528"/>
      <c r="AR550" s="523"/>
      <c r="AS550" s="393"/>
      <c r="AT550" s="600"/>
      <c r="AU550" s="394"/>
      <c r="AV550" s="394"/>
      <c r="AW550" s="394"/>
      <c r="AX550" s="394"/>
      <c r="AY550" s="394"/>
      <c r="AZ550" s="394"/>
      <c r="BA550" s="394"/>
      <c r="BB550" s="394"/>
      <c r="BC550" s="394"/>
      <c r="BD550" s="381"/>
      <c r="BE550" s="408"/>
      <c r="BF550" s="385"/>
      <c r="BG550" s="475"/>
      <c r="BH550" s="395" t="e">
        <f t="shared" ref="BH550" si="477">AT550/AQ550*1000</f>
        <v>#DIV/0!</v>
      </c>
      <c r="BI550" s="395" t="e">
        <f t="shared" ref="BI550" si="478">AT550/AR550</f>
        <v>#DIV/0!</v>
      </c>
    </row>
    <row r="551" spans="1:61" s="358" customFormat="1" x14ac:dyDescent="0.3">
      <c r="A551" s="359"/>
      <c r="B551" s="378"/>
      <c r="C551" s="551"/>
      <c r="D551" s="360"/>
      <c r="E551" s="532"/>
      <c r="F551" s="523"/>
      <c r="G551" s="393"/>
      <c r="H551" s="400"/>
      <c r="I551" s="394"/>
      <c r="J551" s="394"/>
      <c r="K551" s="394"/>
      <c r="L551" s="394"/>
      <c r="M551" s="394"/>
      <c r="N551" s="394"/>
      <c r="O551" s="394"/>
      <c r="P551" s="394"/>
      <c r="Q551" s="394"/>
      <c r="R551" s="385"/>
      <c r="S551" s="385"/>
      <c r="T551" s="385"/>
      <c r="U551" s="475"/>
      <c r="V551" s="395" t="e">
        <f t="shared" si="310"/>
        <v>#DIV/0!</v>
      </c>
      <c r="W551" s="395" t="e">
        <f t="shared" si="311"/>
        <v>#DIV/0!</v>
      </c>
      <c r="X551" s="532"/>
      <c r="Y551" s="523"/>
      <c r="Z551" s="393"/>
      <c r="AA551" s="400"/>
      <c r="AB551" s="394"/>
      <c r="AC551" s="394"/>
      <c r="AD551" s="394"/>
      <c r="AE551" s="394"/>
      <c r="AF551" s="394"/>
      <c r="AG551" s="394"/>
      <c r="AH551" s="394"/>
      <c r="AI551" s="394"/>
      <c r="AJ551" s="394"/>
      <c r="AK551" s="385"/>
      <c r="AL551" s="385"/>
      <c r="AM551" s="385"/>
      <c r="AN551" s="475"/>
      <c r="AO551" s="395" t="e">
        <f t="shared" si="293"/>
        <v>#DIV/0!</v>
      </c>
      <c r="AP551" s="395" t="e">
        <f t="shared" si="294"/>
        <v>#DIV/0!</v>
      </c>
      <c r="AQ551" s="532"/>
      <c r="AR551" s="523"/>
      <c r="AS551" s="393"/>
      <c r="AT551" s="400"/>
      <c r="AU551" s="394"/>
      <c r="AV551" s="394"/>
      <c r="AW551" s="394"/>
      <c r="AX551" s="394"/>
      <c r="AY551" s="394"/>
      <c r="AZ551" s="394"/>
      <c r="BA551" s="394"/>
      <c r="BB551" s="394"/>
      <c r="BC551" s="394"/>
      <c r="BD551" s="385"/>
      <c r="BE551" s="385"/>
      <c r="BF551" s="385"/>
      <c r="BG551" s="475"/>
      <c r="BH551" s="395" t="e">
        <f t="shared" si="403"/>
        <v>#DIV/0!</v>
      </c>
      <c r="BI551" s="395" t="e">
        <f t="shared" si="404"/>
        <v>#DIV/0!</v>
      </c>
    </row>
    <row r="552" spans="1:61" s="358" customFormat="1" ht="24.75" customHeight="1" x14ac:dyDescent="0.3">
      <c r="A552" s="354" t="s">
        <v>4615</v>
      </c>
      <c r="B552" s="603" t="s">
        <v>6293</v>
      </c>
      <c r="C552" s="587"/>
      <c r="D552" s="356">
        <v>0.4</v>
      </c>
      <c r="E552" s="389">
        <f t="shared" ref="E552:Q552" si="479">SUM(E553:E563)</f>
        <v>560</v>
      </c>
      <c r="F552" s="389">
        <f t="shared" si="479"/>
        <v>780</v>
      </c>
      <c r="G552" s="389">
        <f t="shared" si="479"/>
        <v>780</v>
      </c>
      <c r="H552" s="390">
        <f t="shared" si="479"/>
        <v>682.98555999999996</v>
      </c>
      <c r="I552" s="390">
        <f t="shared" si="479"/>
        <v>517.04791</v>
      </c>
      <c r="J552" s="390">
        <f t="shared" si="479"/>
        <v>474.15787999999998</v>
      </c>
      <c r="K552" s="390">
        <f t="shared" si="479"/>
        <v>6.7832400000000002</v>
      </c>
      <c r="L552" s="390">
        <f t="shared" si="479"/>
        <v>31.976610000000001</v>
      </c>
      <c r="M552" s="390">
        <f t="shared" si="479"/>
        <v>0</v>
      </c>
      <c r="N552" s="390">
        <f t="shared" si="479"/>
        <v>0</v>
      </c>
      <c r="O552" s="390">
        <f t="shared" si="479"/>
        <v>52.639430000000004</v>
      </c>
      <c r="P552" s="390">
        <f t="shared" si="479"/>
        <v>1472.54</v>
      </c>
      <c r="Q552" s="390">
        <f t="shared" si="479"/>
        <v>3.3916200000000001</v>
      </c>
      <c r="R552" s="391"/>
      <c r="S552" s="391"/>
      <c r="T552" s="391"/>
      <c r="U552" s="474"/>
      <c r="V552" s="392">
        <f t="shared" si="310"/>
        <v>1219.6170714285715</v>
      </c>
      <c r="W552" s="392">
        <f t="shared" si="311"/>
        <v>0.87562251282051273</v>
      </c>
      <c r="X552" s="389">
        <f t="shared" ref="X552:AJ552" si="480">SUM(X553:X563)</f>
        <v>70</v>
      </c>
      <c r="Y552" s="389">
        <f t="shared" si="480"/>
        <v>655</v>
      </c>
      <c r="Z552" s="389">
        <f t="shared" si="480"/>
        <v>655</v>
      </c>
      <c r="AA552" s="390">
        <f t="shared" si="480"/>
        <v>1024.09601</v>
      </c>
      <c r="AB552" s="390">
        <f t="shared" si="480"/>
        <v>751.40849000000003</v>
      </c>
      <c r="AC552" s="390">
        <f t="shared" si="480"/>
        <v>418.14690000000002</v>
      </c>
      <c r="AD552" s="390">
        <f t="shared" si="480"/>
        <v>27.132960000000001</v>
      </c>
      <c r="AE552" s="390">
        <f t="shared" si="480"/>
        <v>14.1226</v>
      </c>
      <c r="AF552" s="390">
        <f t="shared" si="480"/>
        <v>0</v>
      </c>
      <c r="AG552" s="390">
        <f t="shared" si="480"/>
        <v>0</v>
      </c>
      <c r="AH552" s="390">
        <f t="shared" si="480"/>
        <v>103.45762999999999</v>
      </c>
      <c r="AI552" s="390">
        <f t="shared" si="480"/>
        <v>1.81803</v>
      </c>
      <c r="AJ552" s="390">
        <f t="shared" si="480"/>
        <v>1.69581</v>
      </c>
      <c r="AK552" s="391"/>
      <c r="AL552" s="391"/>
      <c r="AM552" s="391"/>
      <c r="AN552" s="474"/>
      <c r="AO552" s="392">
        <f t="shared" si="293"/>
        <v>14629.942999999999</v>
      </c>
      <c r="AP552" s="392">
        <f t="shared" si="294"/>
        <v>1.5635053587786258</v>
      </c>
      <c r="AQ552" s="389">
        <f t="shared" ref="AQ552:BC552" si="481">SUM(AQ553:AQ563)</f>
        <v>1960</v>
      </c>
      <c r="AR552" s="389">
        <f t="shared" si="481"/>
        <v>3529.6800000000003</v>
      </c>
      <c r="AS552" s="389">
        <f t="shared" si="481"/>
        <v>3529.6800000000003</v>
      </c>
      <c r="AT552" s="390">
        <f t="shared" si="481"/>
        <v>4714.7120999999997</v>
      </c>
      <c r="AU552" s="390">
        <f t="shared" si="481"/>
        <v>4135.1500400000004</v>
      </c>
      <c r="AV552" s="390">
        <f t="shared" si="481"/>
        <v>3767.8696799999998</v>
      </c>
      <c r="AW552" s="390">
        <f t="shared" si="481"/>
        <v>30.280219999999996</v>
      </c>
      <c r="AX552" s="390">
        <f t="shared" si="481"/>
        <v>130.10304000000002</v>
      </c>
      <c r="AY552" s="390">
        <f t="shared" si="481"/>
        <v>0</v>
      </c>
      <c r="AZ552" s="390">
        <f t="shared" si="481"/>
        <v>0</v>
      </c>
      <c r="BA552" s="390">
        <f t="shared" si="481"/>
        <v>179.56983000000002</v>
      </c>
      <c r="BB552" s="390">
        <f t="shared" si="481"/>
        <v>12.653009999999998</v>
      </c>
      <c r="BC552" s="390">
        <f t="shared" si="481"/>
        <v>11.626290000000001</v>
      </c>
      <c r="BD552" s="391"/>
      <c r="BE552" s="391"/>
      <c r="BF552" s="391"/>
      <c r="BG552" s="474"/>
      <c r="BH552" s="392">
        <f t="shared" si="403"/>
        <v>2405.4653571428571</v>
      </c>
      <c r="BI552" s="392">
        <f t="shared" si="404"/>
        <v>1.335733579247977</v>
      </c>
    </row>
    <row r="553" spans="1:61" s="358" customFormat="1" ht="28.8" x14ac:dyDescent="0.3">
      <c r="A553" s="359" t="s">
        <v>182</v>
      </c>
      <c r="B553" s="537" t="s">
        <v>617</v>
      </c>
      <c r="C553" s="546" t="s">
        <v>491</v>
      </c>
      <c r="D553" s="360">
        <v>0.4</v>
      </c>
      <c r="E553" s="528">
        <v>280</v>
      </c>
      <c r="F553" s="523">
        <v>390</v>
      </c>
      <c r="G553" s="393">
        <v>390</v>
      </c>
      <c r="H553" s="542">
        <v>309.89526999999998</v>
      </c>
      <c r="I553" s="394">
        <v>232.39635000000001</v>
      </c>
      <c r="J553" s="394">
        <v>216.46338</v>
      </c>
      <c r="K553" s="394">
        <v>3.3916200000000001</v>
      </c>
      <c r="L553" s="394">
        <v>15.305009999999999</v>
      </c>
      <c r="M553" s="394">
        <v>0</v>
      </c>
      <c r="N553" s="394">
        <v>0</v>
      </c>
      <c r="O553" s="394">
        <v>24.40222</v>
      </c>
      <c r="P553" s="394">
        <v>736.27</v>
      </c>
      <c r="Q553" s="394">
        <v>1.69581</v>
      </c>
      <c r="R553" s="381" t="s">
        <v>167</v>
      </c>
      <c r="S553" s="408" t="s">
        <v>175</v>
      </c>
      <c r="T553" s="385"/>
      <c r="U553" s="475">
        <v>284</v>
      </c>
      <c r="V553" s="395">
        <f t="shared" ref="V553:V564" si="482">H553/E553*1000</f>
        <v>1106.7688214285713</v>
      </c>
      <c r="W553" s="395">
        <f t="shared" ref="W553:W564" si="483">H553/F553</f>
        <v>0.79460325641025642</v>
      </c>
      <c r="X553" s="528"/>
      <c r="Y553" s="523"/>
      <c r="Z553" s="393"/>
      <c r="AA553" s="542"/>
      <c r="AB553" s="394"/>
      <c r="AC553" s="394"/>
      <c r="AD553" s="394"/>
      <c r="AE553" s="394"/>
      <c r="AF553" s="394"/>
      <c r="AG553" s="394"/>
      <c r="AH553" s="394"/>
      <c r="AI553" s="394"/>
      <c r="AJ553" s="394"/>
      <c r="AK553" s="381"/>
      <c r="AL553" s="408"/>
      <c r="AM553" s="385"/>
      <c r="AN553" s="475"/>
      <c r="AO553" s="395" t="e">
        <f t="shared" si="293"/>
        <v>#DIV/0!</v>
      </c>
      <c r="AP553" s="395" t="e">
        <f t="shared" si="294"/>
        <v>#DIV/0!</v>
      </c>
      <c r="AQ553" s="528"/>
      <c r="AR553" s="523"/>
      <c r="AS553" s="393"/>
      <c r="AT553" s="542"/>
      <c r="AU553" s="394"/>
      <c r="AV553" s="394"/>
      <c r="AW553" s="394"/>
      <c r="AX553" s="394"/>
      <c r="AY553" s="394"/>
      <c r="AZ553" s="394"/>
      <c r="BA553" s="394"/>
      <c r="BB553" s="394"/>
      <c r="BC553" s="394"/>
      <c r="BD553" s="381"/>
      <c r="BE553" s="408"/>
      <c r="BF553" s="385"/>
      <c r="BG553" s="475"/>
      <c r="BH553" s="395" t="e">
        <f t="shared" si="403"/>
        <v>#DIV/0!</v>
      </c>
      <c r="BI553" s="395" t="e">
        <f t="shared" si="404"/>
        <v>#DIV/0!</v>
      </c>
    </row>
    <row r="554" spans="1:61" s="358" customFormat="1" ht="28.8" x14ac:dyDescent="0.3">
      <c r="A554" s="359" t="s">
        <v>184</v>
      </c>
      <c r="B554" s="537" t="s">
        <v>617</v>
      </c>
      <c r="C554" s="546" t="s">
        <v>491</v>
      </c>
      <c r="D554" s="360">
        <v>0.4</v>
      </c>
      <c r="E554" s="528">
        <v>280</v>
      </c>
      <c r="F554" s="523">
        <v>390</v>
      </c>
      <c r="G554" s="393">
        <v>390</v>
      </c>
      <c r="H554" s="542">
        <v>373.09028999999998</v>
      </c>
      <c r="I554" s="394">
        <v>284.65156000000002</v>
      </c>
      <c r="J554" s="394">
        <v>257.69450000000001</v>
      </c>
      <c r="K554" s="394">
        <v>3.3916200000000001</v>
      </c>
      <c r="L554" s="394">
        <v>16.671600000000002</v>
      </c>
      <c r="M554" s="394">
        <v>0</v>
      </c>
      <c r="N554" s="394">
        <v>0</v>
      </c>
      <c r="O554" s="394">
        <v>28.237210000000001</v>
      </c>
      <c r="P554" s="394">
        <v>736.27</v>
      </c>
      <c r="Q554" s="394">
        <v>1.69581</v>
      </c>
      <c r="R554" s="381" t="s">
        <v>167</v>
      </c>
      <c r="S554" s="408" t="s">
        <v>175</v>
      </c>
      <c r="T554" s="385"/>
      <c r="U554" s="475">
        <v>287</v>
      </c>
      <c r="V554" s="395">
        <f t="shared" si="482"/>
        <v>1332.4653214285713</v>
      </c>
      <c r="W554" s="395">
        <f t="shared" si="483"/>
        <v>0.95664176923076916</v>
      </c>
      <c r="X554" s="528"/>
      <c r="Y554" s="523"/>
      <c r="Z554" s="393"/>
      <c r="AA554" s="542"/>
      <c r="AB554" s="394"/>
      <c r="AC554" s="394"/>
      <c r="AD554" s="394"/>
      <c r="AE554" s="394"/>
      <c r="AF554" s="394"/>
      <c r="AG554" s="394"/>
      <c r="AH554" s="394"/>
      <c r="AI554" s="394"/>
      <c r="AJ554" s="394"/>
      <c r="AK554" s="381"/>
      <c r="AL554" s="408"/>
      <c r="AM554" s="385"/>
      <c r="AN554" s="475"/>
      <c r="AO554" s="395" t="e">
        <f t="shared" si="293"/>
        <v>#DIV/0!</v>
      </c>
      <c r="AP554" s="395" t="e">
        <f t="shared" si="294"/>
        <v>#DIV/0!</v>
      </c>
      <c r="AQ554" s="528"/>
      <c r="AR554" s="523"/>
      <c r="AS554" s="393"/>
      <c r="AT554" s="542"/>
      <c r="AU554" s="394"/>
      <c r="AV554" s="394"/>
      <c r="AW554" s="394"/>
      <c r="AX554" s="394"/>
      <c r="AY554" s="394"/>
      <c r="AZ554" s="394"/>
      <c r="BA554" s="394"/>
      <c r="BB554" s="394"/>
      <c r="BC554" s="394"/>
      <c r="BD554" s="381"/>
      <c r="BE554" s="408"/>
      <c r="BF554" s="385"/>
      <c r="BG554" s="475"/>
      <c r="BH554" s="395" t="e">
        <f t="shared" si="403"/>
        <v>#DIV/0!</v>
      </c>
      <c r="BI554" s="395" t="e">
        <f t="shared" si="404"/>
        <v>#DIV/0!</v>
      </c>
    </row>
    <row r="555" spans="1:61" s="358" customFormat="1" ht="19.2" x14ac:dyDescent="0.3">
      <c r="A555" s="359"/>
      <c r="B555" s="572"/>
      <c r="C555" s="546"/>
      <c r="D555" s="360">
        <v>0.4</v>
      </c>
      <c r="E555" s="528"/>
      <c r="F555" s="529"/>
      <c r="G555" s="406"/>
      <c r="H555" s="571"/>
      <c r="I555" s="394"/>
      <c r="J555" s="394"/>
      <c r="K555" s="394"/>
      <c r="L555" s="394"/>
      <c r="M555" s="394"/>
      <c r="N555" s="394"/>
      <c r="O555" s="394"/>
      <c r="P555" s="394"/>
      <c r="Q555" s="394"/>
      <c r="R555" s="381"/>
      <c r="S555" s="408"/>
      <c r="T555" s="385"/>
      <c r="U555" s="475"/>
      <c r="V555" s="395"/>
      <c r="W555" s="395"/>
      <c r="X555" s="528">
        <v>70</v>
      </c>
      <c r="Y555" s="523">
        <v>655</v>
      </c>
      <c r="Z555" s="393">
        <v>655</v>
      </c>
      <c r="AA555" s="571">
        <v>1024.09601</v>
      </c>
      <c r="AB555" s="394">
        <v>751.40849000000003</v>
      </c>
      <c r="AC555" s="394">
        <v>418.14690000000002</v>
      </c>
      <c r="AD555" s="394">
        <v>27.132960000000001</v>
      </c>
      <c r="AE555" s="394">
        <v>14.1226</v>
      </c>
      <c r="AF555" s="394">
        <v>0</v>
      </c>
      <c r="AG555" s="394">
        <v>0</v>
      </c>
      <c r="AH555" s="394">
        <v>103.45762999999999</v>
      </c>
      <c r="AI555" s="394">
        <v>1.81803</v>
      </c>
      <c r="AJ555" s="394">
        <v>1.69581</v>
      </c>
      <c r="AK555" s="381" t="s">
        <v>167</v>
      </c>
      <c r="AL555" s="408" t="s">
        <v>175</v>
      </c>
      <c r="AM555" s="475" t="s">
        <v>4620</v>
      </c>
      <c r="AN555" s="475">
        <v>365</v>
      </c>
      <c r="AO555" s="395">
        <f t="shared" si="293"/>
        <v>14629.942999999999</v>
      </c>
      <c r="AP555" s="395">
        <f t="shared" si="294"/>
        <v>1.5635053587786258</v>
      </c>
      <c r="AQ555" s="528"/>
      <c r="AR555" s="523"/>
      <c r="AS555" s="393"/>
      <c r="AT555" s="571"/>
      <c r="AU555" s="394"/>
      <c r="AV555" s="394"/>
      <c r="AW555" s="394"/>
      <c r="AX555" s="394"/>
      <c r="AY555" s="394"/>
      <c r="AZ555" s="394"/>
      <c r="BA555" s="394"/>
      <c r="BB555" s="394"/>
      <c r="BC555" s="394"/>
      <c r="BD555" s="381"/>
      <c r="BE555" s="408"/>
      <c r="BF555" s="385"/>
      <c r="BG555" s="475"/>
      <c r="BH555" s="395"/>
      <c r="BI555" s="395"/>
    </row>
    <row r="556" spans="1:61" s="358" customFormat="1" ht="19.2" x14ac:dyDescent="0.3">
      <c r="A556" s="359" t="s">
        <v>178</v>
      </c>
      <c r="B556" s="602" t="s">
        <v>583</v>
      </c>
      <c r="C556" s="548" t="s">
        <v>4776</v>
      </c>
      <c r="D556" s="360">
        <v>0.4</v>
      </c>
      <c r="E556" s="528"/>
      <c r="F556" s="523"/>
      <c r="G556" s="393"/>
      <c r="H556" s="394"/>
      <c r="I556" s="394"/>
      <c r="J556" s="394"/>
      <c r="K556" s="394"/>
      <c r="L556" s="394"/>
      <c r="M556" s="394"/>
      <c r="N556" s="394"/>
      <c r="O556" s="394"/>
      <c r="P556" s="394"/>
      <c r="Q556" s="394"/>
      <c r="R556" s="381"/>
      <c r="S556" s="408"/>
      <c r="T556" s="385"/>
      <c r="U556" s="475"/>
      <c r="V556" s="395"/>
      <c r="W556" s="395"/>
      <c r="X556" s="528"/>
      <c r="Y556" s="523"/>
      <c r="Z556" s="393"/>
      <c r="AA556" s="394"/>
      <c r="AB556" s="394"/>
      <c r="AC556" s="394"/>
      <c r="AD556" s="394"/>
      <c r="AE556" s="394"/>
      <c r="AF556" s="394"/>
      <c r="AG556" s="394"/>
      <c r="AH556" s="394"/>
      <c r="AI556" s="394"/>
      <c r="AJ556" s="394"/>
      <c r="AK556" s="381"/>
      <c r="AL556" s="408"/>
      <c r="AM556" s="385"/>
      <c r="AN556" s="475"/>
      <c r="AO556" s="395"/>
      <c r="AP556" s="395"/>
      <c r="AQ556" s="528">
        <f>168+332</f>
        <v>500</v>
      </c>
      <c r="AR556" s="523">
        <v>350</v>
      </c>
      <c r="AS556" s="393">
        <v>350</v>
      </c>
      <c r="AT556" s="600">
        <v>1123.3619200000001</v>
      </c>
      <c r="AU556" s="394">
        <v>973.02953000000002</v>
      </c>
      <c r="AV556" s="394">
        <f>322.022+517.377</f>
        <v>839.39899999999989</v>
      </c>
      <c r="AW556" s="394">
        <v>6.7832400000000002</v>
      </c>
      <c r="AX556" s="394">
        <v>26.443349999999999</v>
      </c>
      <c r="AY556" s="394">
        <v>0</v>
      </c>
      <c r="AZ556" s="394">
        <v>0</v>
      </c>
      <c r="BA556" s="394">
        <v>50.469619999999999</v>
      </c>
      <c r="BB556" s="394">
        <v>1.7245900000000001</v>
      </c>
      <c r="BC556" s="394">
        <v>1.69581</v>
      </c>
      <c r="BD556" s="381" t="s">
        <v>167</v>
      </c>
      <c r="BE556" s="408" t="s">
        <v>175</v>
      </c>
      <c r="BF556" s="385"/>
      <c r="BG556" s="475">
        <v>366</v>
      </c>
      <c r="BH556" s="395">
        <f>AT556/AQ556*1000</f>
        <v>2246.7238400000001</v>
      </c>
      <c r="BI556" s="395">
        <f>AT556/AR556</f>
        <v>3.2096054857142859</v>
      </c>
    </row>
    <row r="557" spans="1:61" s="358" customFormat="1" ht="19.2" x14ac:dyDescent="0.3">
      <c r="A557" s="359" t="s">
        <v>182</v>
      </c>
      <c r="B557" s="602" t="s">
        <v>583</v>
      </c>
      <c r="C557" s="548" t="s">
        <v>4777</v>
      </c>
      <c r="D557" s="360">
        <v>0.4</v>
      </c>
      <c r="E557" s="528"/>
      <c r="F557" s="523"/>
      <c r="G557" s="393"/>
      <c r="H557" s="394"/>
      <c r="I557" s="394"/>
      <c r="J557" s="394"/>
      <c r="K557" s="394"/>
      <c r="L557" s="394"/>
      <c r="M557" s="394"/>
      <c r="N557" s="394"/>
      <c r="O557" s="394"/>
      <c r="P557" s="394"/>
      <c r="Q557" s="394"/>
      <c r="R557" s="381"/>
      <c r="S557" s="408"/>
      <c r="T557" s="385"/>
      <c r="U557" s="475"/>
      <c r="V557" s="395"/>
      <c r="W557" s="395"/>
      <c r="X557" s="528"/>
      <c r="Y557" s="523"/>
      <c r="Z557" s="393"/>
      <c r="AA557" s="394"/>
      <c r="AB557" s="394"/>
      <c r="AC557" s="394"/>
      <c r="AD557" s="394"/>
      <c r="AE557" s="394"/>
      <c r="AF557" s="394"/>
      <c r="AG557" s="394"/>
      <c r="AH557" s="394"/>
      <c r="AI557" s="394"/>
      <c r="AJ557" s="394"/>
      <c r="AK557" s="381"/>
      <c r="AL557" s="408"/>
      <c r="AM557" s="385"/>
      <c r="AN557" s="475"/>
      <c r="AO557" s="395"/>
      <c r="AP557" s="395"/>
      <c r="AQ557" s="528">
        <v>500</v>
      </c>
      <c r="AR557" s="523">
        <v>350</v>
      </c>
      <c r="AS557" s="393">
        <v>350</v>
      </c>
      <c r="AT557" s="600">
        <v>1123.3619200000001</v>
      </c>
      <c r="AU557" s="394">
        <v>973.02953000000002</v>
      </c>
      <c r="AV557" s="394">
        <v>839.39899999999989</v>
      </c>
      <c r="AW557" s="394">
        <v>6.7832400000000002</v>
      </c>
      <c r="AX557" s="394">
        <v>26.443349999999999</v>
      </c>
      <c r="AY557" s="394">
        <v>0</v>
      </c>
      <c r="AZ557" s="394">
        <v>0</v>
      </c>
      <c r="BA557" s="394">
        <v>50.469619999999999</v>
      </c>
      <c r="BB557" s="394">
        <v>1.7245900000000001</v>
      </c>
      <c r="BC557" s="394">
        <v>1.69581</v>
      </c>
      <c r="BD557" s="381" t="s">
        <v>167</v>
      </c>
      <c r="BE557" s="408" t="s">
        <v>175</v>
      </c>
      <c r="BF557" s="385"/>
      <c r="BG557" s="475">
        <v>370</v>
      </c>
      <c r="BH557" s="395">
        <f t="shared" ref="BH557:BH559" si="484">AT557/AQ557*1000</f>
        <v>2246.7238400000001</v>
      </c>
      <c r="BI557" s="395">
        <f t="shared" ref="BI557:BI559" si="485">AT557/AR557</f>
        <v>3.2096054857142859</v>
      </c>
    </row>
    <row r="558" spans="1:61" s="358" customFormat="1" ht="19.2" x14ac:dyDescent="0.3">
      <c r="A558" s="359" t="s">
        <v>184</v>
      </c>
      <c r="B558" s="602" t="s">
        <v>603</v>
      </c>
      <c r="C558" s="548" t="s">
        <v>4778</v>
      </c>
      <c r="D558" s="360">
        <v>0.4</v>
      </c>
      <c r="E558" s="528"/>
      <c r="F558" s="523"/>
      <c r="G558" s="393"/>
      <c r="H558" s="394"/>
      <c r="I558" s="394"/>
      <c r="J558" s="394"/>
      <c r="K558" s="394"/>
      <c r="L558" s="394"/>
      <c r="M558" s="394"/>
      <c r="N558" s="394"/>
      <c r="O558" s="394"/>
      <c r="P558" s="394"/>
      <c r="Q558" s="394"/>
      <c r="R558" s="381"/>
      <c r="S558" s="408"/>
      <c r="T558" s="385"/>
      <c r="U558" s="475"/>
      <c r="V558" s="395"/>
      <c r="W558" s="395"/>
      <c r="X558" s="528"/>
      <c r="Y558" s="523"/>
      <c r="Z558" s="393"/>
      <c r="AA558" s="394"/>
      <c r="AB558" s="394"/>
      <c r="AC558" s="394"/>
      <c r="AD558" s="394"/>
      <c r="AE558" s="394"/>
      <c r="AF558" s="394"/>
      <c r="AG558" s="394"/>
      <c r="AH558" s="394"/>
      <c r="AI558" s="394"/>
      <c r="AJ558" s="394"/>
      <c r="AK558" s="381"/>
      <c r="AL558" s="408"/>
      <c r="AM558" s="385"/>
      <c r="AN558" s="475"/>
      <c r="AO558" s="395"/>
      <c r="AP558" s="395"/>
      <c r="AQ558" s="528">
        <v>473</v>
      </c>
      <c r="AR558" s="523">
        <v>109.68</v>
      </c>
      <c r="AS558" s="393">
        <v>109.68</v>
      </c>
      <c r="AT558" s="600">
        <v>973.88941999999997</v>
      </c>
      <c r="AU558" s="394">
        <v>826.94870000000003</v>
      </c>
      <c r="AV558" s="394">
        <v>815.73107000000005</v>
      </c>
      <c r="AW558" s="394">
        <v>6.7832400000000002</v>
      </c>
      <c r="AX558" s="394">
        <v>32.683140000000002</v>
      </c>
      <c r="AY558" s="394">
        <v>0</v>
      </c>
      <c r="AZ558" s="394">
        <v>0</v>
      </c>
      <c r="BA558" s="394">
        <v>47.867739999999998</v>
      </c>
      <c r="BB558" s="394">
        <v>1.7245900000000001</v>
      </c>
      <c r="BC558" s="394">
        <v>1.69581</v>
      </c>
      <c r="BD558" s="381" t="s">
        <v>167</v>
      </c>
      <c r="BE558" s="408" t="s">
        <v>175</v>
      </c>
      <c r="BF558" s="385"/>
      <c r="BG558" s="475">
        <v>374</v>
      </c>
      <c r="BH558" s="395">
        <f t="shared" ref="BH558" si="486">AT558/AQ558*1000</f>
        <v>2058.9628329809725</v>
      </c>
      <c r="BI558" s="395">
        <f t="shared" ref="BI558" si="487">AT558/AR558</f>
        <v>8.8793710795040113</v>
      </c>
    </row>
    <row r="559" spans="1:61" s="358" customFormat="1" ht="19.2" x14ac:dyDescent="0.3">
      <c r="A559" s="359" t="s">
        <v>186</v>
      </c>
      <c r="B559" s="602" t="s">
        <v>603</v>
      </c>
      <c r="C559" s="548" t="s">
        <v>4971</v>
      </c>
      <c r="D559" s="360">
        <v>0.4</v>
      </c>
      <c r="E559" s="528"/>
      <c r="F559" s="523"/>
      <c r="G559" s="393"/>
      <c r="H559" s="394"/>
      <c r="I559" s="394"/>
      <c r="J559" s="394"/>
      <c r="K559" s="394"/>
      <c r="L559" s="394"/>
      <c r="M559" s="394"/>
      <c r="N559" s="394"/>
      <c r="O559" s="394"/>
      <c r="P559" s="394"/>
      <c r="Q559" s="394"/>
      <c r="R559" s="381"/>
      <c r="S559" s="408"/>
      <c r="T559" s="385"/>
      <c r="U559" s="475"/>
      <c r="V559" s="395"/>
      <c r="W559" s="395"/>
      <c r="X559" s="528"/>
      <c r="Y559" s="523"/>
      <c r="Z559" s="393"/>
      <c r="AA559" s="394"/>
      <c r="AB559" s="394"/>
      <c r="AC559" s="394"/>
      <c r="AD559" s="394"/>
      <c r="AE559" s="394"/>
      <c r="AF559" s="394"/>
      <c r="AG559" s="394"/>
      <c r="AH559" s="394"/>
      <c r="AI559" s="394"/>
      <c r="AJ559" s="394"/>
      <c r="AK559" s="381"/>
      <c r="AL559" s="408"/>
      <c r="AM559" s="385"/>
      <c r="AN559" s="475"/>
      <c r="AO559" s="395"/>
      <c r="AP559" s="395"/>
      <c r="AQ559" s="528">
        <v>156</v>
      </c>
      <c r="AR559" s="523">
        <v>680</v>
      </c>
      <c r="AS559" s="393">
        <v>680</v>
      </c>
      <c r="AT559" s="600">
        <v>441.76280000000003</v>
      </c>
      <c r="AU559" s="394">
        <v>407.20737000000003</v>
      </c>
      <c r="AV559" s="394">
        <v>383.31105000000002</v>
      </c>
      <c r="AW559" s="394">
        <v>3.3916400000000002</v>
      </c>
      <c r="AX559" s="394">
        <v>13.252890000000001</v>
      </c>
      <c r="AY559" s="394">
        <v>0</v>
      </c>
      <c r="AZ559" s="394">
        <v>0</v>
      </c>
      <c r="BA559" s="394">
        <v>8.0558599999999991</v>
      </c>
      <c r="BB559" s="394">
        <v>1.86981</v>
      </c>
      <c r="BC559" s="394">
        <v>1.6958200000000001</v>
      </c>
      <c r="BD559" s="381" t="s">
        <v>167</v>
      </c>
      <c r="BE559" s="408" t="s">
        <v>175</v>
      </c>
      <c r="BF559" s="385"/>
      <c r="BG559" s="475">
        <v>376</v>
      </c>
      <c r="BH559" s="395">
        <f t="shared" si="484"/>
        <v>2831.8128205128205</v>
      </c>
      <c r="BI559" s="395">
        <f t="shared" si="485"/>
        <v>0.64965117647058823</v>
      </c>
    </row>
    <row r="560" spans="1:61" s="358" customFormat="1" ht="19.2" x14ac:dyDescent="0.3">
      <c r="A560" s="359" t="s">
        <v>189</v>
      </c>
      <c r="B560" s="602" t="s">
        <v>603</v>
      </c>
      <c r="C560" s="548" t="s">
        <v>4972</v>
      </c>
      <c r="D560" s="360">
        <v>0.4</v>
      </c>
      <c r="E560" s="528"/>
      <c r="F560" s="523"/>
      <c r="G560" s="393"/>
      <c r="H560" s="394"/>
      <c r="I560" s="394"/>
      <c r="J560" s="394"/>
      <c r="K560" s="394"/>
      <c r="L560" s="394"/>
      <c r="M560" s="394"/>
      <c r="N560" s="394"/>
      <c r="O560" s="394"/>
      <c r="P560" s="394"/>
      <c r="Q560" s="394"/>
      <c r="R560" s="381"/>
      <c r="S560" s="408"/>
      <c r="T560" s="385"/>
      <c r="U560" s="475"/>
      <c r="V560" s="395"/>
      <c r="W560" s="395"/>
      <c r="X560" s="528"/>
      <c r="Y560" s="523"/>
      <c r="Z560" s="393"/>
      <c r="AA560" s="394"/>
      <c r="AB560" s="394"/>
      <c r="AC560" s="394"/>
      <c r="AD560" s="394"/>
      <c r="AE560" s="394"/>
      <c r="AF560" s="394"/>
      <c r="AG560" s="394"/>
      <c r="AH560" s="394"/>
      <c r="AI560" s="394"/>
      <c r="AJ560" s="394"/>
      <c r="AK560" s="381"/>
      <c r="AL560" s="408"/>
      <c r="AM560" s="385"/>
      <c r="AN560" s="475"/>
      <c r="AO560" s="395"/>
      <c r="AP560" s="395"/>
      <c r="AQ560" s="528">
        <v>156</v>
      </c>
      <c r="AR560" s="523">
        <v>680</v>
      </c>
      <c r="AS560" s="393">
        <v>680</v>
      </c>
      <c r="AT560" s="600">
        <v>447.45159999999998</v>
      </c>
      <c r="AU560" s="394">
        <v>412.81680999999998</v>
      </c>
      <c r="AV560" s="394">
        <v>388.92048</v>
      </c>
      <c r="AW560" s="394">
        <v>3.3916400000000002</v>
      </c>
      <c r="AX560" s="394">
        <v>13.252890000000001</v>
      </c>
      <c r="AY560" s="394">
        <v>0</v>
      </c>
      <c r="AZ560" s="394">
        <v>0</v>
      </c>
      <c r="BA560" s="394">
        <v>8.0743600000000004</v>
      </c>
      <c r="BB560" s="394">
        <v>1.86981</v>
      </c>
      <c r="BC560" s="394">
        <v>1.6958200000000001</v>
      </c>
      <c r="BD560" s="381" t="s">
        <v>167</v>
      </c>
      <c r="BE560" s="408" t="s">
        <v>175</v>
      </c>
      <c r="BF560" s="385"/>
      <c r="BG560" s="475">
        <v>378</v>
      </c>
      <c r="BH560" s="395">
        <f t="shared" ref="BH560:BH561" si="488">AT560/AQ560*1000</f>
        <v>2868.2794871794872</v>
      </c>
      <c r="BI560" s="395">
        <f t="shared" ref="BI560:BI561" si="489">AT560/AR560</f>
        <v>0.65801705882352934</v>
      </c>
    </row>
    <row r="561" spans="1:61" s="358" customFormat="1" ht="19.2" x14ac:dyDescent="0.3">
      <c r="A561" s="359" t="s">
        <v>267</v>
      </c>
      <c r="B561" s="602" t="s">
        <v>603</v>
      </c>
      <c r="C561" s="548" t="s">
        <v>4973</v>
      </c>
      <c r="D561" s="360">
        <v>0.4</v>
      </c>
      <c r="E561" s="528"/>
      <c r="F561" s="523"/>
      <c r="G561" s="393"/>
      <c r="H561" s="394"/>
      <c r="I561" s="394"/>
      <c r="J561" s="394"/>
      <c r="K561" s="394"/>
      <c r="L561" s="394"/>
      <c r="M561" s="394"/>
      <c r="N561" s="394"/>
      <c r="O561" s="394"/>
      <c r="P561" s="394"/>
      <c r="Q561" s="394"/>
      <c r="R561" s="381"/>
      <c r="S561" s="408"/>
      <c r="T561" s="385"/>
      <c r="U561" s="475"/>
      <c r="V561" s="395"/>
      <c r="W561" s="395"/>
      <c r="X561" s="528"/>
      <c r="Y561" s="523"/>
      <c r="Z561" s="393"/>
      <c r="AA561" s="394"/>
      <c r="AB561" s="394"/>
      <c r="AC561" s="394"/>
      <c r="AD561" s="394"/>
      <c r="AE561" s="394"/>
      <c r="AF561" s="394"/>
      <c r="AG561" s="394"/>
      <c r="AH561" s="394"/>
      <c r="AI561" s="394"/>
      <c r="AJ561" s="394"/>
      <c r="AK561" s="381"/>
      <c r="AL561" s="408"/>
      <c r="AM561" s="385"/>
      <c r="AN561" s="475"/>
      <c r="AO561" s="395"/>
      <c r="AP561" s="395"/>
      <c r="AQ561" s="528">
        <v>87</v>
      </c>
      <c r="AR561" s="523">
        <v>680</v>
      </c>
      <c r="AS561" s="393">
        <v>680</v>
      </c>
      <c r="AT561" s="600">
        <v>300.45708000000002</v>
      </c>
      <c r="AU561" s="394">
        <v>269.18923999999998</v>
      </c>
      <c r="AV561" s="394">
        <v>248.68473</v>
      </c>
      <c r="AW561" s="394">
        <f>0.90399+0.66962</f>
        <v>1.57361</v>
      </c>
      <c r="AX561" s="394">
        <v>9.0137099999999997</v>
      </c>
      <c r="AY561" s="394">
        <v>0</v>
      </c>
      <c r="AZ561" s="394">
        <v>0</v>
      </c>
      <c r="BA561" s="394">
        <v>7.2894300000000003</v>
      </c>
      <c r="BB561" s="394">
        <v>1.86981</v>
      </c>
      <c r="BC561" s="394">
        <f>0.90399+0.66962</f>
        <v>1.57361</v>
      </c>
      <c r="BD561" s="381" t="s">
        <v>167</v>
      </c>
      <c r="BE561" s="408" t="s">
        <v>175</v>
      </c>
      <c r="BF561" s="385"/>
      <c r="BG561" s="475">
        <v>380</v>
      </c>
      <c r="BH561" s="395">
        <f t="shared" si="488"/>
        <v>3453.5296551724141</v>
      </c>
      <c r="BI561" s="395">
        <f t="shared" si="489"/>
        <v>0.44184864705882354</v>
      </c>
    </row>
    <row r="562" spans="1:61" s="358" customFormat="1" ht="19.2" x14ac:dyDescent="0.3">
      <c r="A562" s="359" t="s">
        <v>268</v>
      </c>
      <c r="B562" s="602" t="s">
        <v>603</v>
      </c>
      <c r="C562" s="548" t="s">
        <v>4974</v>
      </c>
      <c r="D562" s="360">
        <v>0.4</v>
      </c>
      <c r="E562" s="528"/>
      <c r="F562" s="523"/>
      <c r="G562" s="393"/>
      <c r="H562" s="394"/>
      <c r="I562" s="394"/>
      <c r="J562" s="394"/>
      <c r="K562" s="394"/>
      <c r="L562" s="394"/>
      <c r="M562" s="394"/>
      <c r="N562" s="394"/>
      <c r="O562" s="394"/>
      <c r="P562" s="394"/>
      <c r="Q562" s="394"/>
      <c r="R562" s="381"/>
      <c r="S562" s="408"/>
      <c r="T562" s="385"/>
      <c r="U562" s="475"/>
      <c r="V562" s="395"/>
      <c r="W562" s="395"/>
      <c r="X562" s="528"/>
      <c r="Y562" s="523"/>
      <c r="Z562" s="393"/>
      <c r="AA562" s="394"/>
      <c r="AB562" s="394"/>
      <c r="AC562" s="394"/>
      <c r="AD562" s="394"/>
      <c r="AE562" s="394"/>
      <c r="AF562" s="394"/>
      <c r="AG562" s="394"/>
      <c r="AH562" s="394"/>
      <c r="AI562" s="394"/>
      <c r="AJ562" s="394"/>
      <c r="AK562" s="381"/>
      <c r="AL562" s="408"/>
      <c r="AM562" s="385"/>
      <c r="AN562" s="475"/>
      <c r="AO562" s="395"/>
      <c r="AP562" s="395"/>
      <c r="AQ562" s="528">
        <v>88</v>
      </c>
      <c r="AR562" s="523">
        <v>680</v>
      </c>
      <c r="AS562" s="393">
        <v>680</v>
      </c>
      <c r="AT562" s="600">
        <v>304.42736000000002</v>
      </c>
      <c r="AU562" s="394">
        <v>272.92885999999999</v>
      </c>
      <c r="AV562" s="394">
        <v>252.42435</v>
      </c>
      <c r="AW562" s="394">
        <f>0.90399+0.66962</f>
        <v>1.57361</v>
      </c>
      <c r="AX562" s="394">
        <v>9.0137099999999997</v>
      </c>
      <c r="AY562" s="394">
        <v>0</v>
      </c>
      <c r="AZ562" s="394">
        <v>0</v>
      </c>
      <c r="BA562" s="394">
        <v>7.3432000000000004</v>
      </c>
      <c r="BB562" s="394">
        <v>1.86981</v>
      </c>
      <c r="BC562" s="394">
        <f>0.90399+0.66962</f>
        <v>1.57361</v>
      </c>
      <c r="BD562" s="381" t="s">
        <v>167</v>
      </c>
      <c r="BE562" s="408" t="s">
        <v>175</v>
      </c>
      <c r="BF562" s="385"/>
      <c r="BG562" s="475">
        <v>382</v>
      </c>
      <c r="BH562" s="395">
        <f t="shared" ref="BH562" si="490">AT562/AQ562*1000</f>
        <v>3459.4018181818183</v>
      </c>
      <c r="BI562" s="395">
        <f t="shared" ref="BI562" si="491">AT562/AR562</f>
        <v>0.44768729411764707</v>
      </c>
    </row>
    <row r="563" spans="1:61" s="358" customFormat="1" x14ac:dyDescent="0.3">
      <c r="A563" s="359"/>
      <c r="B563" s="378"/>
      <c r="C563" s="551"/>
      <c r="D563" s="360"/>
      <c r="E563" s="532"/>
      <c r="F563" s="523"/>
      <c r="G563" s="393"/>
      <c r="H563" s="400"/>
      <c r="I563" s="394"/>
      <c r="J563" s="394"/>
      <c r="K563" s="394"/>
      <c r="L563" s="394"/>
      <c r="M563" s="394"/>
      <c r="N563" s="394"/>
      <c r="O563" s="394"/>
      <c r="P563" s="394"/>
      <c r="Q563" s="394"/>
      <c r="R563" s="385"/>
      <c r="S563" s="385"/>
      <c r="T563" s="385"/>
      <c r="U563" s="475"/>
      <c r="V563" s="395" t="e">
        <f t="shared" ref="V563" si="492">H563/E563*1000</f>
        <v>#DIV/0!</v>
      </c>
      <c r="W563" s="395" t="e">
        <f t="shared" ref="W563" si="493">H563/F563</f>
        <v>#DIV/0!</v>
      </c>
      <c r="X563" s="532"/>
      <c r="Y563" s="523"/>
      <c r="Z563" s="393"/>
      <c r="AA563" s="400"/>
      <c r="AB563" s="394"/>
      <c r="AC563" s="394"/>
      <c r="AD563" s="394"/>
      <c r="AE563" s="394"/>
      <c r="AF563" s="394"/>
      <c r="AG563" s="394"/>
      <c r="AH563" s="394"/>
      <c r="AI563" s="394"/>
      <c r="AJ563" s="394"/>
      <c r="AK563" s="385"/>
      <c r="AL563" s="385"/>
      <c r="AM563" s="385"/>
      <c r="AN563" s="475"/>
      <c r="AO563" s="395" t="e">
        <f t="shared" ref="AO563" si="494">AA563/X563*1000</f>
        <v>#DIV/0!</v>
      </c>
      <c r="AP563" s="395" t="e">
        <f t="shared" ref="AP563" si="495">AA563/Y563</f>
        <v>#DIV/0!</v>
      </c>
      <c r="AQ563" s="532"/>
      <c r="AR563" s="523"/>
      <c r="AS563" s="393"/>
      <c r="AT563" s="400"/>
      <c r="AU563" s="394"/>
      <c r="AV563" s="394"/>
      <c r="AW563" s="394"/>
      <c r="AX563" s="394"/>
      <c r="AY563" s="394"/>
      <c r="AZ563" s="394"/>
      <c r="BA563" s="394"/>
      <c r="BB563" s="394"/>
      <c r="BC563" s="394"/>
      <c r="BD563" s="385"/>
      <c r="BE563" s="385"/>
      <c r="BF563" s="385"/>
      <c r="BG563" s="475"/>
      <c r="BH563" s="395" t="e">
        <f t="shared" ref="BH563" si="496">AT563/AQ563*1000</f>
        <v>#DIV/0!</v>
      </c>
      <c r="BI563" s="395" t="e">
        <f t="shared" ref="BI563" si="497">AT563/AR563</f>
        <v>#DIV/0!</v>
      </c>
    </row>
    <row r="564" spans="1:61" s="358" customFormat="1" ht="24.75" customHeight="1" x14ac:dyDescent="0.3">
      <c r="A564" s="354" t="s">
        <v>4621</v>
      </c>
      <c r="B564" s="603" t="s">
        <v>6294</v>
      </c>
      <c r="C564" s="587"/>
      <c r="D564" s="356">
        <v>0.4</v>
      </c>
      <c r="E564" s="389">
        <f t="shared" ref="E564:Q564" si="498">SUM(E565:E567)</f>
        <v>0</v>
      </c>
      <c r="F564" s="389">
        <f t="shared" si="498"/>
        <v>0</v>
      </c>
      <c r="G564" s="389">
        <f t="shared" si="498"/>
        <v>0</v>
      </c>
      <c r="H564" s="390">
        <f t="shared" si="498"/>
        <v>0</v>
      </c>
      <c r="I564" s="390">
        <f t="shared" si="498"/>
        <v>0</v>
      </c>
      <c r="J564" s="390">
        <f t="shared" si="498"/>
        <v>0</v>
      </c>
      <c r="K564" s="390">
        <f t="shared" si="498"/>
        <v>0</v>
      </c>
      <c r="L564" s="390">
        <f t="shared" si="498"/>
        <v>0</v>
      </c>
      <c r="M564" s="390">
        <f t="shared" si="498"/>
        <v>0</v>
      </c>
      <c r="N564" s="390">
        <f t="shared" si="498"/>
        <v>0</v>
      </c>
      <c r="O564" s="390">
        <f t="shared" si="498"/>
        <v>0</v>
      </c>
      <c r="P564" s="390">
        <f t="shared" si="498"/>
        <v>0</v>
      </c>
      <c r="Q564" s="390">
        <f t="shared" si="498"/>
        <v>0</v>
      </c>
      <c r="R564" s="391"/>
      <c r="S564" s="391"/>
      <c r="T564" s="391"/>
      <c r="U564" s="474"/>
      <c r="V564" s="392" t="e">
        <f t="shared" si="482"/>
        <v>#DIV/0!</v>
      </c>
      <c r="W564" s="392" t="e">
        <f t="shared" si="483"/>
        <v>#DIV/0!</v>
      </c>
      <c r="X564" s="389">
        <f t="shared" ref="X564:AJ564" si="499">SUM(X565:X567)</f>
        <v>78</v>
      </c>
      <c r="Y564" s="389">
        <f t="shared" si="499"/>
        <v>400</v>
      </c>
      <c r="Z564" s="389">
        <f t="shared" si="499"/>
        <v>400</v>
      </c>
      <c r="AA564" s="390">
        <f t="shared" si="499"/>
        <v>408.42219999999998</v>
      </c>
      <c r="AB564" s="390">
        <f t="shared" si="499"/>
        <v>347.04298</v>
      </c>
      <c r="AC564" s="390">
        <f t="shared" si="499"/>
        <v>310.35525999999999</v>
      </c>
      <c r="AD564" s="390">
        <f t="shared" si="499"/>
        <v>6.7832400000000002</v>
      </c>
      <c r="AE564" s="390">
        <f t="shared" si="499"/>
        <v>9.3202800000000003</v>
      </c>
      <c r="AF564" s="390">
        <f t="shared" si="499"/>
        <v>0</v>
      </c>
      <c r="AG564" s="390">
        <f t="shared" si="499"/>
        <v>0</v>
      </c>
      <c r="AH564" s="390">
        <f t="shared" si="499"/>
        <v>20.193490000000001</v>
      </c>
      <c r="AI564" s="390">
        <f t="shared" si="499"/>
        <v>1.86961</v>
      </c>
      <c r="AJ564" s="390">
        <f t="shared" si="499"/>
        <v>1.69581</v>
      </c>
      <c r="AK564" s="391"/>
      <c r="AL564" s="391"/>
      <c r="AM564" s="391"/>
      <c r="AN564" s="474"/>
      <c r="AO564" s="392">
        <f t="shared" ref="AO564" si="500">AA564/X564*1000</f>
        <v>5236.1820512820514</v>
      </c>
      <c r="AP564" s="392">
        <f t="shared" ref="AP564" si="501">AA564/Y564</f>
        <v>1.0210554999999999</v>
      </c>
      <c r="AQ564" s="389">
        <f>SUM(AQ565:AQ567)</f>
        <v>0</v>
      </c>
      <c r="AR564" s="389">
        <f t="shared" ref="AR564:AS564" si="502">SUM(AR565:AR567)</f>
        <v>0</v>
      </c>
      <c r="AS564" s="389">
        <f t="shared" si="502"/>
        <v>0</v>
      </c>
      <c r="AT564" s="390">
        <f>SUM(AT565:AT567)</f>
        <v>0</v>
      </c>
      <c r="AU564" s="390">
        <f t="shared" ref="AU564:BC564" si="503">SUM(AU565:AU567)</f>
        <v>0</v>
      </c>
      <c r="AV564" s="390">
        <f t="shared" si="503"/>
        <v>0</v>
      </c>
      <c r="AW564" s="390">
        <f t="shared" si="503"/>
        <v>0</v>
      </c>
      <c r="AX564" s="390">
        <f t="shared" si="503"/>
        <v>0</v>
      </c>
      <c r="AY564" s="390">
        <f t="shared" si="503"/>
        <v>0</v>
      </c>
      <c r="AZ564" s="390">
        <f t="shared" si="503"/>
        <v>0</v>
      </c>
      <c r="BA564" s="390">
        <f t="shared" si="503"/>
        <v>0</v>
      </c>
      <c r="BB564" s="390">
        <f t="shared" si="503"/>
        <v>0</v>
      </c>
      <c r="BC564" s="390">
        <f t="shared" si="503"/>
        <v>0</v>
      </c>
      <c r="BD564" s="391"/>
      <c r="BE564" s="391"/>
      <c r="BF564" s="391"/>
      <c r="BG564" s="474"/>
      <c r="BH564" s="392" t="e">
        <f t="shared" si="403"/>
        <v>#DIV/0!</v>
      </c>
      <c r="BI564" s="392" t="e">
        <f t="shared" si="404"/>
        <v>#DIV/0!</v>
      </c>
    </row>
    <row r="565" spans="1:61" s="358" customFormat="1" ht="19.2" x14ac:dyDescent="0.3">
      <c r="A565" s="359" t="s">
        <v>178</v>
      </c>
      <c r="B565" s="572" t="s">
        <v>2601</v>
      </c>
      <c r="C565" s="546" t="s">
        <v>2600</v>
      </c>
      <c r="D565" s="360">
        <v>0.4</v>
      </c>
      <c r="E565" s="528"/>
      <c r="F565" s="523"/>
      <c r="G565" s="393"/>
      <c r="H565" s="571"/>
      <c r="I565" s="394"/>
      <c r="J565" s="394"/>
      <c r="K565" s="394"/>
      <c r="L565" s="394"/>
      <c r="M565" s="394"/>
      <c r="N565" s="394"/>
      <c r="O565" s="394"/>
      <c r="P565" s="394"/>
      <c r="Q565" s="394"/>
      <c r="R565" s="381"/>
      <c r="S565" s="408"/>
      <c r="T565" s="385"/>
      <c r="U565" s="475"/>
      <c r="V565" s="395"/>
      <c r="W565" s="395"/>
      <c r="X565" s="528">
        <v>78</v>
      </c>
      <c r="Y565" s="523">
        <v>400</v>
      </c>
      <c r="Z565" s="393">
        <v>400</v>
      </c>
      <c r="AA565" s="571">
        <v>408.42219999999998</v>
      </c>
      <c r="AB565" s="394">
        <v>347.04298</v>
      </c>
      <c r="AC565" s="394">
        <v>310.35525999999999</v>
      </c>
      <c r="AD565" s="394">
        <v>6.7832400000000002</v>
      </c>
      <c r="AE565" s="394">
        <v>9.3202800000000003</v>
      </c>
      <c r="AF565" s="394">
        <v>0</v>
      </c>
      <c r="AG565" s="394">
        <v>0</v>
      </c>
      <c r="AH565" s="394">
        <v>20.193490000000001</v>
      </c>
      <c r="AI565" s="394">
        <v>1.86961</v>
      </c>
      <c r="AJ565" s="394">
        <v>1.69581</v>
      </c>
      <c r="AK565" s="381" t="s">
        <v>167</v>
      </c>
      <c r="AL565" s="408" t="s">
        <v>175</v>
      </c>
      <c r="AM565" s="475" t="s">
        <v>4617</v>
      </c>
      <c r="AN565" s="475">
        <v>378</v>
      </c>
      <c r="AO565" s="395">
        <f t="shared" ref="AO565:AO568" si="504">AA565/X565*1000</f>
        <v>5236.1820512820514</v>
      </c>
      <c r="AP565" s="395">
        <f t="shared" ref="AP565:AP568" si="505">AA565/Y565</f>
        <v>1.0210554999999999</v>
      </c>
      <c r="AQ565" s="528"/>
      <c r="AR565" s="523"/>
      <c r="AS565" s="393"/>
      <c r="AT565" s="571"/>
      <c r="AU565" s="394"/>
      <c r="AV565" s="394"/>
      <c r="AW565" s="394"/>
      <c r="AX565" s="394"/>
      <c r="AY565" s="394"/>
      <c r="AZ565" s="394"/>
      <c r="BA565" s="394"/>
      <c r="BB565" s="394"/>
      <c r="BC565" s="394"/>
      <c r="BD565" s="381"/>
      <c r="BE565" s="408"/>
      <c r="BF565" s="475"/>
      <c r="BG565" s="475"/>
      <c r="BH565" s="395" t="e">
        <f t="shared" si="403"/>
        <v>#DIV/0!</v>
      </c>
      <c r="BI565" s="395" t="e">
        <f t="shared" si="404"/>
        <v>#DIV/0!</v>
      </c>
    </row>
    <row r="566" spans="1:61" s="358" customFormat="1" x14ac:dyDescent="0.3">
      <c r="A566" s="359"/>
      <c r="B566" s="602"/>
      <c r="C566" s="548"/>
      <c r="D566" s="360"/>
      <c r="E566" s="528"/>
      <c r="F566" s="523"/>
      <c r="G566" s="393"/>
      <c r="H566" s="394"/>
      <c r="I566" s="394"/>
      <c r="J566" s="394"/>
      <c r="K566" s="394"/>
      <c r="L566" s="394"/>
      <c r="M566" s="394"/>
      <c r="N566" s="394"/>
      <c r="O566" s="394"/>
      <c r="P566" s="394"/>
      <c r="Q566" s="394"/>
      <c r="R566" s="381"/>
      <c r="S566" s="408"/>
      <c r="T566" s="385"/>
      <c r="U566" s="475"/>
      <c r="V566" s="395"/>
      <c r="W566" s="395"/>
      <c r="X566" s="528"/>
      <c r="Y566" s="523"/>
      <c r="Z566" s="393"/>
      <c r="AA566" s="394"/>
      <c r="AB566" s="394"/>
      <c r="AC566" s="394"/>
      <c r="AD566" s="394"/>
      <c r="AE566" s="394"/>
      <c r="AF566" s="394"/>
      <c r="AG566" s="394"/>
      <c r="AH566" s="394"/>
      <c r="AI566" s="394"/>
      <c r="AJ566" s="394"/>
      <c r="AK566" s="381"/>
      <c r="AL566" s="408"/>
      <c r="AM566" s="385"/>
      <c r="AN566" s="475"/>
      <c r="AO566" s="395"/>
      <c r="AP566" s="395"/>
      <c r="AQ566" s="528"/>
      <c r="AR566" s="523"/>
      <c r="AS566" s="393"/>
      <c r="AT566" s="600"/>
      <c r="AU566" s="394"/>
      <c r="AV566" s="394"/>
      <c r="AW566" s="394"/>
      <c r="AX566" s="394"/>
      <c r="AY566" s="394"/>
      <c r="AZ566" s="394"/>
      <c r="BA566" s="394"/>
      <c r="BB566" s="394"/>
      <c r="BC566" s="394"/>
      <c r="BD566" s="381"/>
      <c r="BE566" s="408"/>
      <c r="BF566" s="385"/>
      <c r="BG566" s="475"/>
      <c r="BH566" s="395" t="e">
        <f t="shared" ref="BH566" si="506">AT566/AQ566*1000</f>
        <v>#DIV/0!</v>
      </c>
      <c r="BI566" s="395" t="e">
        <f t="shared" ref="BI566" si="507">AT566/AR566</f>
        <v>#DIV/0!</v>
      </c>
    </row>
    <row r="567" spans="1:61" s="358" customFormat="1" x14ac:dyDescent="0.3">
      <c r="A567" s="359"/>
      <c r="B567" s="378"/>
      <c r="C567" s="551"/>
      <c r="D567" s="360"/>
      <c r="E567" s="532"/>
      <c r="F567" s="523"/>
      <c r="G567" s="393"/>
      <c r="H567" s="400"/>
      <c r="I567" s="394"/>
      <c r="J567" s="394"/>
      <c r="K567" s="394"/>
      <c r="L567" s="394"/>
      <c r="M567" s="394"/>
      <c r="N567" s="394"/>
      <c r="O567" s="394"/>
      <c r="P567" s="394"/>
      <c r="Q567" s="394"/>
      <c r="R567" s="385"/>
      <c r="S567" s="385"/>
      <c r="T567" s="385"/>
      <c r="U567" s="475"/>
      <c r="V567" s="395" t="e">
        <f t="shared" ref="V567" si="508">H567/E567*1000</f>
        <v>#DIV/0!</v>
      </c>
      <c r="W567" s="395" t="e">
        <f t="shared" ref="W567" si="509">H567/F567</f>
        <v>#DIV/0!</v>
      </c>
      <c r="X567" s="532"/>
      <c r="Y567" s="523"/>
      <c r="Z567" s="393"/>
      <c r="AA567" s="400"/>
      <c r="AB567" s="394"/>
      <c r="AC567" s="394"/>
      <c r="AD567" s="394"/>
      <c r="AE567" s="394"/>
      <c r="AF567" s="394"/>
      <c r="AG567" s="394"/>
      <c r="AH567" s="394"/>
      <c r="AI567" s="394"/>
      <c r="AJ567" s="394"/>
      <c r="AK567" s="385"/>
      <c r="AL567" s="385"/>
      <c r="AM567" s="385"/>
      <c r="AN567" s="475"/>
      <c r="AO567" s="395" t="e">
        <f t="shared" ref="AO567" si="510">AA567/X567*1000</f>
        <v>#DIV/0!</v>
      </c>
      <c r="AP567" s="395" t="e">
        <f t="shared" ref="AP567" si="511">AA567/Y567</f>
        <v>#DIV/0!</v>
      </c>
      <c r="AQ567" s="532"/>
      <c r="AR567" s="523"/>
      <c r="AS567" s="393"/>
      <c r="AT567" s="400"/>
      <c r="AU567" s="394"/>
      <c r="AV567" s="394"/>
      <c r="AW567" s="394"/>
      <c r="AX567" s="394"/>
      <c r="AY567" s="394"/>
      <c r="AZ567" s="394"/>
      <c r="BA567" s="394"/>
      <c r="BB567" s="394"/>
      <c r="BC567" s="394"/>
      <c r="BD567" s="385"/>
      <c r="BE567" s="385"/>
      <c r="BF567" s="385"/>
      <c r="BG567" s="475"/>
      <c r="BH567" s="395" t="e">
        <f t="shared" ref="BH567" si="512">AT567/AQ567*1000</f>
        <v>#DIV/0!</v>
      </c>
      <c r="BI567" s="395" t="e">
        <f t="shared" ref="BI567" si="513">AT567/AR567</f>
        <v>#DIV/0!</v>
      </c>
    </row>
    <row r="568" spans="1:61" s="358" customFormat="1" ht="24.75" customHeight="1" x14ac:dyDescent="0.3">
      <c r="A568" s="354" t="s">
        <v>4622</v>
      </c>
      <c r="B568" s="603" t="s">
        <v>6295</v>
      </c>
      <c r="C568" s="587"/>
      <c r="D568" s="356">
        <v>0.4</v>
      </c>
      <c r="E568" s="389">
        <f t="shared" ref="E568:Q568" si="514">SUM(E569:E571)</f>
        <v>0</v>
      </c>
      <c r="F568" s="389">
        <f t="shared" si="514"/>
        <v>0</v>
      </c>
      <c r="G568" s="389">
        <f t="shared" si="514"/>
        <v>0</v>
      </c>
      <c r="H568" s="390">
        <f t="shared" si="514"/>
        <v>0</v>
      </c>
      <c r="I568" s="390">
        <f t="shared" si="514"/>
        <v>0</v>
      </c>
      <c r="J568" s="390">
        <f t="shared" si="514"/>
        <v>0</v>
      </c>
      <c r="K568" s="390">
        <f t="shared" si="514"/>
        <v>0</v>
      </c>
      <c r="L568" s="390">
        <f t="shared" si="514"/>
        <v>0</v>
      </c>
      <c r="M568" s="390">
        <f t="shared" si="514"/>
        <v>0</v>
      </c>
      <c r="N568" s="390">
        <f t="shared" si="514"/>
        <v>0</v>
      </c>
      <c r="O568" s="390">
        <f t="shared" si="514"/>
        <v>0</v>
      </c>
      <c r="P568" s="390">
        <f t="shared" si="514"/>
        <v>0</v>
      </c>
      <c r="Q568" s="390">
        <f t="shared" si="514"/>
        <v>0</v>
      </c>
      <c r="R568" s="391"/>
      <c r="S568" s="391"/>
      <c r="T568" s="391"/>
      <c r="U568" s="474"/>
      <c r="V568" s="392" t="e">
        <f t="shared" ref="V568" si="515">H568/E568*1000</f>
        <v>#DIV/0!</v>
      </c>
      <c r="W568" s="392" t="e">
        <f t="shared" ref="W568" si="516">H568/F568</f>
        <v>#DIV/0!</v>
      </c>
      <c r="X568" s="389">
        <f t="shared" ref="X568:AJ568" si="517">SUM(X569:X571)</f>
        <v>208</v>
      </c>
      <c r="Y568" s="389">
        <f t="shared" si="517"/>
        <v>450</v>
      </c>
      <c r="Z568" s="389">
        <f t="shared" si="517"/>
        <v>450</v>
      </c>
      <c r="AA568" s="390">
        <f t="shared" si="517"/>
        <v>1217.3833999999999</v>
      </c>
      <c r="AB568" s="390">
        <f t="shared" si="517"/>
        <v>1067.5174099999999</v>
      </c>
      <c r="AC568" s="390">
        <f t="shared" si="517"/>
        <v>973.52279999999996</v>
      </c>
      <c r="AD568" s="390">
        <f t="shared" si="517"/>
        <v>10.174860000000001</v>
      </c>
      <c r="AE568" s="390">
        <f t="shared" si="517"/>
        <v>34.35613</v>
      </c>
      <c r="AF568" s="390">
        <f t="shared" si="517"/>
        <v>0</v>
      </c>
      <c r="AG568" s="390">
        <f t="shared" si="517"/>
        <v>0</v>
      </c>
      <c r="AH568" s="390">
        <f t="shared" si="517"/>
        <v>46.761150000000001</v>
      </c>
      <c r="AI568" s="390">
        <f t="shared" si="517"/>
        <v>1.5023500000000001</v>
      </c>
      <c r="AJ568" s="390">
        <f t="shared" si="517"/>
        <v>1.69581</v>
      </c>
      <c r="AK568" s="391"/>
      <c r="AL568" s="391"/>
      <c r="AM568" s="391"/>
      <c r="AN568" s="474"/>
      <c r="AO568" s="392">
        <f t="shared" si="504"/>
        <v>5852.8048076923078</v>
      </c>
      <c r="AP568" s="392">
        <f t="shared" si="505"/>
        <v>2.7052964444444445</v>
      </c>
      <c r="AQ568" s="389">
        <f>SUM(AQ569:AQ571)</f>
        <v>0</v>
      </c>
      <c r="AR568" s="389">
        <f t="shared" ref="AR568:AS568" si="518">SUM(AR569:AR571)</f>
        <v>0</v>
      </c>
      <c r="AS568" s="389">
        <f t="shared" si="518"/>
        <v>0</v>
      </c>
      <c r="AT568" s="390">
        <f>SUM(AT569:AT571)</f>
        <v>0</v>
      </c>
      <c r="AU568" s="390">
        <f t="shared" ref="AU568:BC568" si="519">SUM(AU569:AU571)</f>
        <v>0</v>
      </c>
      <c r="AV568" s="390">
        <f t="shared" si="519"/>
        <v>0</v>
      </c>
      <c r="AW568" s="390">
        <f t="shared" si="519"/>
        <v>0</v>
      </c>
      <c r="AX568" s="390">
        <f t="shared" si="519"/>
        <v>0</v>
      </c>
      <c r="AY568" s="390">
        <f t="shared" si="519"/>
        <v>0</v>
      </c>
      <c r="AZ568" s="390">
        <f t="shared" si="519"/>
        <v>0</v>
      </c>
      <c r="BA568" s="390">
        <f t="shared" si="519"/>
        <v>0</v>
      </c>
      <c r="BB568" s="390">
        <f t="shared" si="519"/>
        <v>0</v>
      </c>
      <c r="BC568" s="390">
        <f t="shared" si="519"/>
        <v>0</v>
      </c>
      <c r="BD568" s="391"/>
      <c r="BE568" s="391"/>
      <c r="BF568" s="391"/>
      <c r="BG568" s="474"/>
      <c r="BH568" s="392" t="e">
        <f t="shared" si="403"/>
        <v>#DIV/0!</v>
      </c>
      <c r="BI568" s="392" t="e">
        <f t="shared" si="404"/>
        <v>#DIV/0!</v>
      </c>
    </row>
    <row r="569" spans="1:61" s="358" customFormat="1" ht="19.2" x14ac:dyDescent="0.3">
      <c r="A569" s="359" t="s">
        <v>178</v>
      </c>
      <c r="B569" s="572" t="s">
        <v>2599</v>
      </c>
      <c r="C569" s="546" t="s">
        <v>2598</v>
      </c>
      <c r="D569" s="360">
        <v>0.4</v>
      </c>
      <c r="E569" s="528"/>
      <c r="F569" s="523"/>
      <c r="G569" s="393"/>
      <c r="H569" s="571"/>
      <c r="I569" s="394"/>
      <c r="J569" s="394"/>
      <c r="K569" s="394"/>
      <c r="L569" s="394"/>
      <c r="M569" s="394"/>
      <c r="N569" s="394"/>
      <c r="O569" s="394"/>
      <c r="P569" s="394"/>
      <c r="Q569" s="394"/>
      <c r="R569" s="381"/>
      <c r="S569" s="408"/>
      <c r="T569" s="385"/>
      <c r="U569" s="475"/>
      <c r="V569" s="395"/>
      <c r="W569" s="395"/>
      <c r="X569" s="528">
        <v>208</v>
      </c>
      <c r="Y569" s="523">
        <v>450</v>
      </c>
      <c r="Z569" s="393">
        <v>450</v>
      </c>
      <c r="AA569" s="571">
        <v>1217.3833999999999</v>
      </c>
      <c r="AB569" s="394">
        <v>1067.5174099999999</v>
      </c>
      <c r="AC569" s="394">
        <v>973.52279999999996</v>
      </c>
      <c r="AD569" s="394">
        <v>10.174860000000001</v>
      </c>
      <c r="AE569" s="394">
        <v>34.35613</v>
      </c>
      <c r="AF569" s="394">
        <v>0</v>
      </c>
      <c r="AG569" s="394">
        <v>0</v>
      </c>
      <c r="AH569" s="394">
        <v>46.761150000000001</v>
      </c>
      <c r="AI569" s="394">
        <v>1.5023500000000001</v>
      </c>
      <c r="AJ569" s="394">
        <v>1.69581</v>
      </c>
      <c r="AK569" s="381" t="s">
        <v>167</v>
      </c>
      <c r="AL569" s="408" t="s">
        <v>175</v>
      </c>
      <c r="AM569" s="475" t="s">
        <v>4618</v>
      </c>
      <c r="AN569" s="475">
        <v>375</v>
      </c>
      <c r="AO569" s="395">
        <f>AA569/X569*1000</f>
        <v>5852.8048076923078</v>
      </c>
      <c r="AP569" s="395">
        <f>AA569/Y569</f>
        <v>2.7052964444444445</v>
      </c>
      <c r="AQ569" s="528"/>
      <c r="AR569" s="523"/>
      <c r="AS569" s="393"/>
      <c r="AT569" s="571"/>
      <c r="AU569" s="394"/>
      <c r="AV569" s="394"/>
      <c r="AW569" s="394"/>
      <c r="AX569" s="394"/>
      <c r="AY569" s="394"/>
      <c r="AZ569" s="394"/>
      <c r="BA569" s="394"/>
      <c r="BB569" s="394"/>
      <c r="BC569" s="394"/>
      <c r="BD569" s="381"/>
      <c r="BE569" s="408"/>
      <c r="BF569" s="475"/>
      <c r="BG569" s="475"/>
      <c r="BH569" s="395" t="e">
        <f>AT569/AQ569*1000</f>
        <v>#DIV/0!</v>
      </c>
      <c r="BI569" s="395" t="e">
        <f>AT569/AR569</f>
        <v>#DIV/0!</v>
      </c>
    </row>
    <row r="570" spans="1:61" s="358" customFormat="1" x14ac:dyDescent="0.3">
      <c r="A570" s="359"/>
      <c r="B570" s="602"/>
      <c r="C570" s="548"/>
      <c r="D570" s="360"/>
      <c r="E570" s="528"/>
      <c r="F570" s="523"/>
      <c r="G570" s="393"/>
      <c r="H570" s="394"/>
      <c r="I570" s="394"/>
      <c r="J570" s="394"/>
      <c r="K570" s="394"/>
      <c r="L570" s="394"/>
      <c r="M570" s="394"/>
      <c r="N570" s="394"/>
      <c r="O570" s="394"/>
      <c r="P570" s="394"/>
      <c r="Q570" s="394"/>
      <c r="R570" s="381"/>
      <c r="S570" s="408"/>
      <c r="T570" s="385"/>
      <c r="U570" s="475"/>
      <c r="V570" s="395"/>
      <c r="W570" s="395"/>
      <c r="X570" s="528"/>
      <c r="Y570" s="523"/>
      <c r="Z570" s="393"/>
      <c r="AA570" s="394"/>
      <c r="AB570" s="394"/>
      <c r="AC570" s="394"/>
      <c r="AD570" s="394"/>
      <c r="AE570" s="394"/>
      <c r="AF570" s="394"/>
      <c r="AG570" s="394"/>
      <c r="AH570" s="394"/>
      <c r="AI570" s="394"/>
      <c r="AJ570" s="394"/>
      <c r="AK570" s="381"/>
      <c r="AL570" s="408"/>
      <c r="AM570" s="385"/>
      <c r="AN570" s="475"/>
      <c r="AO570" s="395"/>
      <c r="AP570" s="395"/>
      <c r="AQ570" s="528"/>
      <c r="AR570" s="523"/>
      <c r="AS570" s="393"/>
      <c r="AT570" s="600"/>
      <c r="AU570" s="394"/>
      <c r="AV570" s="394"/>
      <c r="AW570" s="394"/>
      <c r="AX570" s="394"/>
      <c r="AY570" s="394"/>
      <c r="AZ570" s="394"/>
      <c r="BA570" s="394"/>
      <c r="BB570" s="394"/>
      <c r="BC570" s="394"/>
      <c r="BD570" s="381"/>
      <c r="BE570" s="408"/>
      <c r="BF570" s="385"/>
      <c r="BG570" s="475"/>
      <c r="BH570" s="395" t="e">
        <f t="shared" ref="BH570" si="520">AT570/AQ570*1000</f>
        <v>#DIV/0!</v>
      </c>
      <c r="BI570" s="395" t="e">
        <f t="shared" ref="BI570" si="521">AT570/AR570</f>
        <v>#DIV/0!</v>
      </c>
    </row>
    <row r="571" spans="1:61" s="358" customFormat="1" x14ac:dyDescent="0.3">
      <c r="A571" s="359"/>
      <c r="B571" s="378"/>
      <c r="C571" s="551"/>
      <c r="D571" s="360"/>
      <c r="E571" s="532"/>
      <c r="F571" s="523"/>
      <c r="G571" s="393"/>
      <c r="H571" s="400"/>
      <c r="I571" s="394"/>
      <c r="J571" s="394"/>
      <c r="K571" s="394"/>
      <c r="L571" s="394"/>
      <c r="M571" s="394"/>
      <c r="N571" s="394"/>
      <c r="O571" s="394"/>
      <c r="P571" s="394"/>
      <c r="Q571" s="394"/>
      <c r="R571" s="385"/>
      <c r="S571" s="385"/>
      <c r="T571" s="385"/>
      <c r="U571" s="475"/>
      <c r="V571" s="395" t="e">
        <f t="shared" ref="V571" si="522">H571/E571*1000</f>
        <v>#DIV/0!</v>
      </c>
      <c r="W571" s="395" t="e">
        <f t="shared" ref="W571" si="523">H571/F571</f>
        <v>#DIV/0!</v>
      </c>
      <c r="X571" s="532"/>
      <c r="Y571" s="523"/>
      <c r="Z571" s="393"/>
      <c r="AA571" s="400"/>
      <c r="AB571" s="394"/>
      <c r="AC571" s="394"/>
      <c r="AD571" s="394"/>
      <c r="AE571" s="394"/>
      <c r="AF571" s="394"/>
      <c r="AG571" s="394"/>
      <c r="AH571" s="394"/>
      <c r="AI571" s="394"/>
      <c r="AJ571" s="394"/>
      <c r="AK571" s="385"/>
      <c r="AL571" s="385"/>
      <c r="AM571" s="385"/>
      <c r="AN571" s="475"/>
      <c r="AO571" s="395" t="e">
        <f t="shared" ref="AO571" si="524">AA571/X571*1000</f>
        <v>#DIV/0!</v>
      </c>
      <c r="AP571" s="395" t="e">
        <f t="shared" ref="AP571" si="525">AA571/Y571</f>
        <v>#DIV/0!</v>
      </c>
      <c r="AQ571" s="532"/>
      <c r="AR571" s="523"/>
      <c r="AS571" s="393"/>
      <c r="AT571" s="400"/>
      <c r="AU571" s="394"/>
      <c r="AV571" s="394"/>
      <c r="AW571" s="394"/>
      <c r="AX571" s="394"/>
      <c r="AY571" s="394"/>
      <c r="AZ571" s="394"/>
      <c r="BA571" s="394"/>
      <c r="BB571" s="394"/>
      <c r="BC571" s="394"/>
      <c r="BD571" s="385"/>
      <c r="BE571" s="385"/>
      <c r="BF571" s="385"/>
      <c r="BG571" s="475"/>
      <c r="BH571" s="395" t="e">
        <f t="shared" ref="BH571" si="526">AT571/AQ571*1000</f>
        <v>#DIV/0!</v>
      </c>
      <c r="BI571" s="395" t="e">
        <f t="shared" ref="BI571" si="527">AT571/AR571</f>
        <v>#DIV/0!</v>
      </c>
    </row>
    <row r="572" spans="1:61" s="358" customFormat="1" ht="24.75" customHeight="1" x14ac:dyDescent="0.3">
      <c r="A572" s="354" t="s">
        <v>4624</v>
      </c>
      <c r="B572" s="603" t="s">
        <v>6296</v>
      </c>
      <c r="C572" s="587"/>
      <c r="D572" s="356">
        <v>0.4</v>
      </c>
      <c r="E572" s="389">
        <f t="shared" ref="E572:Q572" si="528">SUM(E573:E575)</f>
        <v>0</v>
      </c>
      <c r="F572" s="389">
        <f t="shared" si="528"/>
        <v>0</v>
      </c>
      <c r="G572" s="389">
        <f t="shared" si="528"/>
        <v>0</v>
      </c>
      <c r="H572" s="390">
        <f t="shared" si="528"/>
        <v>0</v>
      </c>
      <c r="I572" s="390">
        <f t="shared" si="528"/>
        <v>0</v>
      </c>
      <c r="J572" s="390">
        <f t="shared" si="528"/>
        <v>0</v>
      </c>
      <c r="K572" s="390">
        <f t="shared" si="528"/>
        <v>0</v>
      </c>
      <c r="L572" s="390">
        <f t="shared" si="528"/>
        <v>0</v>
      </c>
      <c r="M572" s="390">
        <f t="shared" si="528"/>
        <v>0</v>
      </c>
      <c r="N572" s="390">
        <f t="shared" si="528"/>
        <v>0</v>
      </c>
      <c r="O572" s="390">
        <f t="shared" si="528"/>
        <v>0</v>
      </c>
      <c r="P572" s="390">
        <f t="shared" si="528"/>
        <v>0</v>
      </c>
      <c r="Q572" s="390">
        <f t="shared" si="528"/>
        <v>0</v>
      </c>
      <c r="R572" s="391"/>
      <c r="S572" s="391"/>
      <c r="T572" s="391"/>
      <c r="U572" s="474"/>
      <c r="V572" s="392" t="e">
        <f t="shared" ref="V572" si="529">H572/E572*1000</f>
        <v>#DIV/0!</v>
      </c>
      <c r="W572" s="392" t="e">
        <f t="shared" ref="W572" si="530">H572/F572</f>
        <v>#DIV/0!</v>
      </c>
      <c r="X572" s="389">
        <f t="shared" ref="X572:AJ572" si="531">SUM(X573:X575)</f>
        <v>327</v>
      </c>
      <c r="Y572" s="389">
        <f t="shared" si="531"/>
        <v>350</v>
      </c>
      <c r="Z572" s="389">
        <f t="shared" si="531"/>
        <v>350</v>
      </c>
      <c r="AA572" s="390">
        <f t="shared" si="531"/>
        <v>1895.63069</v>
      </c>
      <c r="AB572" s="390">
        <f t="shared" si="531"/>
        <v>1658.97792</v>
      </c>
      <c r="AC572" s="390">
        <f t="shared" si="531"/>
        <v>1464.1859899999999</v>
      </c>
      <c r="AD572" s="390">
        <f t="shared" si="531"/>
        <v>19.360710000000001</v>
      </c>
      <c r="AE572" s="390">
        <f t="shared" si="531"/>
        <v>49.193219999999997</v>
      </c>
      <c r="AF572" s="390">
        <f t="shared" si="531"/>
        <v>0</v>
      </c>
      <c r="AG572" s="390">
        <f t="shared" si="531"/>
        <v>0</v>
      </c>
      <c r="AH572" s="390">
        <f t="shared" si="531"/>
        <v>75.659729999999996</v>
      </c>
      <c r="AI572" s="390">
        <f t="shared" si="531"/>
        <v>2.0059499999999999</v>
      </c>
      <c r="AJ572" s="390">
        <f t="shared" si="531"/>
        <v>3.0901800000000001</v>
      </c>
      <c r="AK572" s="391"/>
      <c r="AL572" s="391"/>
      <c r="AM572" s="391"/>
      <c r="AN572" s="474"/>
      <c r="AO572" s="392">
        <f t="shared" ref="AO572" si="532">AA572/X572*1000</f>
        <v>5797.0357492354742</v>
      </c>
      <c r="AP572" s="392">
        <f t="shared" ref="AP572" si="533">AA572/Y572</f>
        <v>5.4160876857142854</v>
      </c>
      <c r="AQ572" s="389">
        <f>SUM(AQ573:AQ575)</f>
        <v>0</v>
      </c>
      <c r="AR572" s="389">
        <f t="shared" ref="AR572:AS572" si="534">SUM(AR573:AR575)</f>
        <v>0</v>
      </c>
      <c r="AS572" s="389">
        <f t="shared" si="534"/>
        <v>0</v>
      </c>
      <c r="AT572" s="390">
        <f>SUM(AT573:AT575)</f>
        <v>0</v>
      </c>
      <c r="AU572" s="390">
        <f t="shared" ref="AU572:BC572" si="535">SUM(AU573:AU575)</f>
        <v>0</v>
      </c>
      <c r="AV572" s="390">
        <f t="shared" si="535"/>
        <v>0</v>
      </c>
      <c r="AW572" s="390">
        <f t="shared" si="535"/>
        <v>0</v>
      </c>
      <c r="AX572" s="390">
        <f t="shared" si="535"/>
        <v>0</v>
      </c>
      <c r="AY572" s="390">
        <f t="shared" si="535"/>
        <v>0</v>
      </c>
      <c r="AZ572" s="390">
        <f t="shared" si="535"/>
        <v>0</v>
      </c>
      <c r="BA572" s="390">
        <f t="shared" si="535"/>
        <v>0</v>
      </c>
      <c r="BB572" s="390">
        <f t="shared" si="535"/>
        <v>0</v>
      </c>
      <c r="BC572" s="390">
        <f t="shared" si="535"/>
        <v>0</v>
      </c>
      <c r="BD572" s="391"/>
      <c r="BE572" s="391"/>
      <c r="BF572" s="391"/>
      <c r="BG572" s="474"/>
      <c r="BH572" s="392" t="e">
        <f t="shared" ref="BH572:BH573" si="536">AT572/AQ572*1000</f>
        <v>#DIV/0!</v>
      </c>
      <c r="BI572" s="392" t="e">
        <f t="shared" ref="BI572:BI573" si="537">AT572/AR572</f>
        <v>#DIV/0!</v>
      </c>
    </row>
    <row r="573" spans="1:61" s="358" customFormat="1" ht="19.2" x14ac:dyDescent="0.3">
      <c r="A573" s="359" t="s">
        <v>178</v>
      </c>
      <c r="B573" s="572" t="s">
        <v>601</v>
      </c>
      <c r="C573" s="546" t="s">
        <v>2611</v>
      </c>
      <c r="D573" s="360">
        <v>0.4</v>
      </c>
      <c r="E573" s="528"/>
      <c r="F573" s="523"/>
      <c r="G573" s="393"/>
      <c r="H573" s="571"/>
      <c r="I573" s="394"/>
      <c r="J573" s="394"/>
      <c r="K573" s="394"/>
      <c r="L573" s="394"/>
      <c r="M573" s="394"/>
      <c r="N573" s="394"/>
      <c r="O573" s="394"/>
      <c r="P573" s="394"/>
      <c r="Q573" s="394"/>
      <c r="R573" s="381"/>
      <c r="S573" s="408"/>
      <c r="T573" s="385"/>
      <c r="U573" s="475"/>
      <c r="V573" s="395"/>
      <c r="W573" s="395"/>
      <c r="X573" s="528">
        <v>327</v>
      </c>
      <c r="Y573" s="523">
        <v>350</v>
      </c>
      <c r="Z573" s="393">
        <v>350</v>
      </c>
      <c r="AA573" s="571">
        <v>1895.63069</v>
      </c>
      <c r="AB573" s="394">
        <v>1658.97792</v>
      </c>
      <c r="AC573" s="394">
        <f>585.57989+878.6061</f>
        <v>1464.1859899999999</v>
      </c>
      <c r="AD573" s="394">
        <f>6.99999+12.36072</f>
        <v>19.360710000000001</v>
      </c>
      <c r="AE573" s="394">
        <v>49.193219999999997</v>
      </c>
      <c r="AF573" s="394">
        <v>0</v>
      </c>
      <c r="AG573" s="394">
        <v>0</v>
      </c>
      <c r="AH573" s="394">
        <v>75.659729999999996</v>
      </c>
      <c r="AI573" s="394">
        <v>2.0059499999999999</v>
      </c>
      <c r="AJ573" s="394">
        <v>3.0901800000000001</v>
      </c>
      <c r="AK573" s="381" t="s">
        <v>167</v>
      </c>
      <c r="AL573" s="408" t="s">
        <v>175</v>
      </c>
      <c r="AM573" s="475" t="s">
        <v>4620</v>
      </c>
      <c r="AN573" s="475">
        <v>426</v>
      </c>
      <c r="AO573" s="395">
        <f t="shared" ref="AO573" si="538">AA573/X573*1000</f>
        <v>5797.0357492354742</v>
      </c>
      <c r="AP573" s="395">
        <f t="shared" ref="AP573" si="539">AA573/Y573</f>
        <v>5.4160876857142854</v>
      </c>
      <c r="AQ573" s="528"/>
      <c r="AR573" s="523"/>
      <c r="AS573" s="393"/>
      <c r="AT573" s="571"/>
      <c r="AU573" s="394"/>
      <c r="AV573" s="394"/>
      <c r="AW573" s="394"/>
      <c r="AX573" s="394"/>
      <c r="AY573" s="394"/>
      <c r="AZ573" s="394"/>
      <c r="BA573" s="394"/>
      <c r="BB573" s="394"/>
      <c r="BC573" s="394"/>
      <c r="BD573" s="381"/>
      <c r="BE573" s="408"/>
      <c r="BF573" s="475"/>
      <c r="BG573" s="475"/>
      <c r="BH573" s="395" t="e">
        <f t="shared" si="536"/>
        <v>#DIV/0!</v>
      </c>
      <c r="BI573" s="395" t="e">
        <f t="shared" si="537"/>
        <v>#DIV/0!</v>
      </c>
    </row>
    <row r="574" spans="1:61" s="358" customFormat="1" x14ac:dyDescent="0.3">
      <c r="A574" s="359"/>
      <c r="B574" s="602"/>
      <c r="C574" s="548"/>
      <c r="D574" s="360"/>
      <c r="E574" s="528"/>
      <c r="F574" s="523"/>
      <c r="G574" s="393"/>
      <c r="H574" s="394"/>
      <c r="I574" s="394"/>
      <c r="J574" s="394"/>
      <c r="K574" s="394"/>
      <c r="L574" s="394"/>
      <c r="M574" s="394"/>
      <c r="N574" s="394"/>
      <c r="O574" s="394"/>
      <c r="P574" s="394"/>
      <c r="Q574" s="394"/>
      <c r="R574" s="381"/>
      <c r="S574" s="408"/>
      <c r="T574" s="385"/>
      <c r="U574" s="475"/>
      <c r="V574" s="395"/>
      <c r="W574" s="395"/>
      <c r="X574" s="528"/>
      <c r="Y574" s="523"/>
      <c r="Z574" s="393"/>
      <c r="AA574" s="394"/>
      <c r="AB574" s="394"/>
      <c r="AC574" s="394"/>
      <c r="AD574" s="394"/>
      <c r="AE574" s="394"/>
      <c r="AF574" s="394"/>
      <c r="AG574" s="394"/>
      <c r="AH574" s="394"/>
      <c r="AI574" s="394"/>
      <c r="AJ574" s="394"/>
      <c r="AK574" s="381"/>
      <c r="AL574" s="408"/>
      <c r="AM574" s="385"/>
      <c r="AN574" s="475"/>
      <c r="AO574" s="395"/>
      <c r="AP574" s="395"/>
      <c r="AQ574" s="528"/>
      <c r="AR574" s="523"/>
      <c r="AS574" s="393"/>
      <c r="AT574" s="600"/>
      <c r="AU574" s="394"/>
      <c r="AV574" s="394"/>
      <c r="AW574" s="394"/>
      <c r="AX574" s="394"/>
      <c r="AY574" s="394"/>
      <c r="AZ574" s="394"/>
      <c r="BA574" s="394"/>
      <c r="BB574" s="394"/>
      <c r="BC574" s="394"/>
      <c r="BD574" s="381"/>
      <c r="BE574" s="408"/>
      <c r="BF574" s="385"/>
      <c r="BG574" s="475"/>
      <c r="BH574" s="395" t="e">
        <f t="shared" ref="BH574:BH575" si="540">AT574/AQ574*1000</f>
        <v>#DIV/0!</v>
      </c>
      <c r="BI574" s="395" t="e">
        <f t="shared" ref="BI574:BI575" si="541">AT574/AR574</f>
        <v>#DIV/0!</v>
      </c>
    </row>
    <row r="575" spans="1:61" s="358" customFormat="1" x14ac:dyDescent="0.3">
      <c r="A575" s="359"/>
      <c r="B575" s="378"/>
      <c r="C575" s="546"/>
      <c r="D575" s="360"/>
      <c r="E575" s="528"/>
      <c r="F575" s="523"/>
      <c r="G575" s="393"/>
      <c r="H575" s="394"/>
      <c r="I575" s="394"/>
      <c r="J575" s="394"/>
      <c r="K575" s="394"/>
      <c r="L575" s="394"/>
      <c r="M575" s="394"/>
      <c r="N575" s="394"/>
      <c r="O575" s="394"/>
      <c r="P575" s="394"/>
      <c r="Q575" s="394"/>
      <c r="R575" s="381"/>
      <c r="S575" s="408"/>
      <c r="T575" s="385"/>
      <c r="U575" s="475"/>
      <c r="V575" s="395"/>
      <c r="W575" s="395"/>
      <c r="X575" s="528"/>
      <c r="Y575" s="523"/>
      <c r="Z575" s="393"/>
      <c r="AA575" s="394"/>
      <c r="AB575" s="394"/>
      <c r="AC575" s="394"/>
      <c r="AD575" s="394"/>
      <c r="AE575" s="394"/>
      <c r="AF575" s="394"/>
      <c r="AG575" s="394"/>
      <c r="AH575" s="394"/>
      <c r="AI575" s="394"/>
      <c r="AJ575" s="394"/>
      <c r="AK575" s="381"/>
      <c r="AL575" s="408"/>
      <c r="AM575" s="385"/>
      <c r="AN575" s="475"/>
      <c r="AO575" s="395"/>
      <c r="AP575" s="395"/>
      <c r="AQ575" s="528"/>
      <c r="AR575" s="523"/>
      <c r="AS575" s="393"/>
      <c r="AT575" s="394"/>
      <c r="AU575" s="394"/>
      <c r="AV575" s="394"/>
      <c r="AW575" s="394"/>
      <c r="AX575" s="394"/>
      <c r="AY575" s="394"/>
      <c r="AZ575" s="394"/>
      <c r="BA575" s="394"/>
      <c r="BB575" s="394"/>
      <c r="BC575" s="394"/>
      <c r="BD575" s="381"/>
      <c r="BE575" s="408"/>
      <c r="BF575" s="385"/>
      <c r="BG575" s="475"/>
      <c r="BH575" s="395" t="e">
        <f t="shared" si="540"/>
        <v>#DIV/0!</v>
      </c>
      <c r="BI575" s="395" t="e">
        <f t="shared" si="541"/>
        <v>#DIV/0!</v>
      </c>
    </row>
    <row r="576" spans="1:61" s="358" customFormat="1" ht="24.75" customHeight="1" x14ac:dyDescent="0.3">
      <c r="A576" s="354" t="s">
        <v>4615</v>
      </c>
      <c r="B576" s="355" t="s">
        <v>2448</v>
      </c>
      <c r="C576" s="587"/>
      <c r="D576" s="356">
        <v>6</v>
      </c>
      <c r="E576" s="389">
        <f t="shared" ref="E576:Q576" si="542">SUM(E577:E579)</f>
        <v>0</v>
      </c>
      <c r="F576" s="389">
        <f t="shared" si="542"/>
        <v>0</v>
      </c>
      <c r="G576" s="389">
        <f t="shared" si="542"/>
        <v>0</v>
      </c>
      <c r="H576" s="390">
        <f t="shared" si="542"/>
        <v>0</v>
      </c>
      <c r="I576" s="390">
        <f t="shared" si="542"/>
        <v>0</v>
      </c>
      <c r="J576" s="390">
        <f t="shared" si="542"/>
        <v>0</v>
      </c>
      <c r="K576" s="390">
        <f t="shared" si="542"/>
        <v>0</v>
      </c>
      <c r="L576" s="390">
        <f t="shared" si="542"/>
        <v>0</v>
      </c>
      <c r="M576" s="390">
        <f t="shared" si="542"/>
        <v>0</v>
      </c>
      <c r="N576" s="390">
        <f t="shared" si="542"/>
        <v>0</v>
      </c>
      <c r="O576" s="390">
        <f t="shared" si="542"/>
        <v>0</v>
      </c>
      <c r="P576" s="390">
        <f t="shared" si="542"/>
        <v>0</v>
      </c>
      <c r="Q576" s="390">
        <f t="shared" si="542"/>
        <v>0</v>
      </c>
      <c r="R576" s="391"/>
      <c r="S576" s="391"/>
      <c r="T576" s="391"/>
      <c r="U576" s="474"/>
      <c r="V576" s="392" t="e">
        <f t="shared" ref="V576" si="543">H576/E576*1000</f>
        <v>#DIV/0!</v>
      </c>
      <c r="W576" s="392" t="e">
        <f t="shared" ref="W576" si="544">H576/F576</f>
        <v>#DIV/0!</v>
      </c>
      <c r="X576" s="389">
        <f t="shared" ref="X576:AJ576" si="545">SUM(X577:X579)</f>
        <v>0</v>
      </c>
      <c r="Y576" s="389">
        <f t="shared" si="545"/>
        <v>0</v>
      </c>
      <c r="Z576" s="389">
        <f t="shared" si="545"/>
        <v>0</v>
      </c>
      <c r="AA576" s="390">
        <f t="shared" si="545"/>
        <v>0</v>
      </c>
      <c r="AB576" s="390">
        <f t="shared" si="545"/>
        <v>0</v>
      </c>
      <c r="AC576" s="390">
        <f t="shared" si="545"/>
        <v>0</v>
      </c>
      <c r="AD576" s="390">
        <f t="shared" si="545"/>
        <v>0</v>
      </c>
      <c r="AE576" s="390">
        <f t="shared" si="545"/>
        <v>0</v>
      </c>
      <c r="AF576" s="390">
        <f t="shared" si="545"/>
        <v>0</v>
      </c>
      <c r="AG576" s="390">
        <f t="shared" si="545"/>
        <v>0</v>
      </c>
      <c r="AH576" s="390">
        <f t="shared" si="545"/>
        <v>0</v>
      </c>
      <c r="AI576" s="390">
        <f t="shared" si="545"/>
        <v>0</v>
      </c>
      <c r="AJ576" s="390">
        <f t="shared" si="545"/>
        <v>0</v>
      </c>
      <c r="AK576" s="391"/>
      <c r="AL576" s="391"/>
      <c r="AM576" s="391"/>
      <c r="AN576" s="474"/>
      <c r="AO576" s="392" t="e">
        <f t="shared" ref="AO576:AO577" si="546">AA576/X576*1000</f>
        <v>#DIV/0!</v>
      </c>
      <c r="AP576" s="392" t="e">
        <f t="shared" ref="AP576:AP577" si="547">AA576/Y576</f>
        <v>#DIV/0!</v>
      </c>
      <c r="AQ576" s="389">
        <f t="shared" ref="AQ576:BC576" si="548">SUM(AQ577:AQ579)</f>
        <v>0</v>
      </c>
      <c r="AR576" s="389">
        <f t="shared" si="548"/>
        <v>0</v>
      </c>
      <c r="AS576" s="389">
        <f t="shared" si="548"/>
        <v>0</v>
      </c>
      <c r="AT576" s="390">
        <f t="shared" si="548"/>
        <v>0</v>
      </c>
      <c r="AU576" s="390">
        <f t="shared" si="548"/>
        <v>0</v>
      </c>
      <c r="AV576" s="390">
        <f t="shared" si="548"/>
        <v>0</v>
      </c>
      <c r="AW576" s="390">
        <f t="shared" si="548"/>
        <v>0</v>
      </c>
      <c r="AX576" s="390">
        <f t="shared" si="548"/>
        <v>0</v>
      </c>
      <c r="AY576" s="390">
        <f t="shared" si="548"/>
        <v>0</v>
      </c>
      <c r="AZ576" s="390">
        <f t="shared" si="548"/>
        <v>0</v>
      </c>
      <c r="BA576" s="390">
        <f t="shared" si="548"/>
        <v>0</v>
      </c>
      <c r="BB576" s="390">
        <f t="shared" si="548"/>
        <v>0</v>
      </c>
      <c r="BC576" s="390">
        <f t="shared" si="548"/>
        <v>0</v>
      </c>
      <c r="BD576" s="391"/>
      <c r="BE576" s="391"/>
      <c r="BF576" s="391"/>
      <c r="BG576" s="474"/>
      <c r="BH576" s="392" t="e">
        <f t="shared" ref="BH576:BH580" si="549">AT576/AQ576*1000</f>
        <v>#DIV/0!</v>
      </c>
      <c r="BI576" s="392" t="e">
        <f t="shared" ref="BI576:BI580" si="550">AT576/AR576</f>
        <v>#DIV/0!</v>
      </c>
    </row>
    <row r="577" spans="1:61" s="358" customFormat="1" x14ac:dyDescent="0.3">
      <c r="A577" s="359"/>
      <c r="B577" s="572"/>
      <c r="C577" s="546"/>
      <c r="D577" s="360">
        <v>6</v>
      </c>
      <c r="E577" s="528"/>
      <c r="F577" s="523"/>
      <c r="G577" s="393"/>
      <c r="H577" s="571"/>
      <c r="I577" s="394"/>
      <c r="J577" s="394"/>
      <c r="K577" s="394"/>
      <c r="L577" s="394"/>
      <c r="M577" s="394"/>
      <c r="N577" s="394"/>
      <c r="O577" s="394"/>
      <c r="P577" s="394"/>
      <c r="Q577" s="394"/>
      <c r="R577" s="381"/>
      <c r="S577" s="408"/>
      <c r="T577" s="385"/>
      <c r="U577" s="475"/>
      <c r="V577" s="395"/>
      <c r="W577" s="395"/>
      <c r="X577" s="528"/>
      <c r="Y577" s="523"/>
      <c r="Z577" s="393"/>
      <c r="AA577" s="571"/>
      <c r="AB577" s="394"/>
      <c r="AC577" s="394"/>
      <c r="AD577" s="394"/>
      <c r="AE577" s="394"/>
      <c r="AF577" s="394"/>
      <c r="AG577" s="394"/>
      <c r="AH577" s="394"/>
      <c r="AI577" s="394"/>
      <c r="AJ577" s="394"/>
      <c r="AK577" s="381"/>
      <c r="AL577" s="408"/>
      <c r="AM577" s="385"/>
      <c r="AN577" s="475"/>
      <c r="AO577" s="395" t="e">
        <f t="shared" si="546"/>
        <v>#DIV/0!</v>
      </c>
      <c r="AP577" s="395" t="e">
        <f t="shared" si="547"/>
        <v>#DIV/0!</v>
      </c>
      <c r="AQ577" s="528"/>
      <c r="AR577" s="523"/>
      <c r="AS577" s="393"/>
      <c r="AT577" s="571"/>
      <c r="AU577" s="394"/>
      <c r="AV577" s="394"/>
      <c r="AW577" s="394"/>
      <c r="AX577" s="394"/>
      <c r="AY577" s="394"/>
      <c r="AZ577" s="394"/>
      <c r="BA577" s="394"/>
      <c r="BB577" s="394"/>
      <c r="BC577" s="394"/>
      <c r="BD577" s="381"/>
      <c r="BE577" s="408"/>
      <c r="BF577" s="385"/>
      <c r="BG577" s="475"/>
      <c r="BH577" s="395" t="e">
        <f t="shared" si="549"/>
        <v>#DIV/0!</v>
      </c>
      <c r="BI577" s="395" t="e">
        <f t="shared" si="550"/>
        <v>#DIV/0!</v>
      </c>
    </row>
    <row r="578" spans="1:61" s="358" customFormat="1" x14ac:dyDescent="0.3">
      <c r="A578" s="359"/>
      <c r="B578" s="602"/>
      <c r="C578" s="548"/>
      <c r="D578" s="360"/>
      <c r="E578" s="528"/>
      <c r="F578" s="523"/>
      <c r="G578" s="393"/>
      <c r="H578" s="394"/>
      <c r="I578" s="394"/>
      <c r="J578" s="394"/>
      <c r="K578" s="394"/>
      <c r="L578" s="394"/>
      <c r="M578" s="394"/>
      <c r="N578" s="394"/>
      <c r="O578" s="394"/>
      <c r="P578" s="394"/>
      <c r="Q578" s="394"/>
      <c r="R578" s="381"/>
      <c r="S578" s="408"/>
      <c r="T578" s="385"/>
      <c r="U578" s="475"/>
      <c r="V578" s="395"/>
      <c r="W578" s="395"/>
      <c r="X578" s="528"/>
      <c r="Y578" s="523"/>
      <c r="Z578" s="393"/>
      <c r="AA578" s="394"/>
      <c r="AB578" s="394"/>
      <c r="AC578" s="394"/>
      <c r="AD578" s="394"/>
      <c r="AE578" s="394"/>
      <c r="AF578" s="394"/>
      <c r="AG578" s="394"/>
      <c r="AH578" s="394"/>
      <c r="AI578" s="394"/>
      <c r="AJ578" s="394"/>
      <c r="AK578" s="381"/>
      <c r="AL578" s="408"/>
      <c r="AM578" s="385"/>
      <c r="AN578" s="475"/>
      <c r="AO578" s="395"/>
      <c r="AP578" s="395"/>
      <c r="AQ578" s="528"/>
      <c r="AR578" s="523"/>
      <c r="AS578" s="393"/>
      <c r="AT578" s="600"/>
      <c r="AU578" s="394"/>
      <c r="AV578" s="394"/>
      <c r="AW578" s="394"/>
      <c r="AX578" s="394"/>
      <c r="AY578" s="394"/>
      <c r="AZ578" s="394"/>
      <c r="BA578" s="394"/>
      <c r="BB578" s="394"/>
      <c r="BC578" s="394"/>
      <c r="BD578" s="381"/>
      <c r="BE578" s="408"/>
      <c r="BF578" s="385"/>
      <c r="BG578" s="475"/>
      <c r="BH578" s="395" t="e">
        <f t="shared" ref="BH578" si="551">AT578/AQ578*1000</f>
        <v>#DIV/0!</v>
      </c>
      <c r="BI578" s="395" t="e">
        <f t="shared" ref="BI578" si="552">AT578/AR578</f>
        <v>#DIV/0!</v>
      </c>
    </row>
    <row r="579" spans="1:61" s="358" customFormat="1" x14ac:dyDescent="0.3">
      <c r="A579" s="359"/>
      <c r="B579" s="378"/>
      <c r="C579" s="546"/>
      <c r="D579" s="360"/>
      <c r="E579" s="528"/>
      <c r="F579" s="523"/>
      <c r="G579" s="393"/>
      <c r="H579" s="394"/>
      <c r="I579" s="394"/>
      <c r="J579" s="394"/>
      <c r="K579" s="394"/>
      <c r="L579" s="394"/>
      <c r="M579" s="394"/>
      <c r="N579" s="394"/>
      <c r="O579" s="394"/>
      <c r="P579" s="394"/>
      <c r="Q579" s="394"/>
      <c r="R579" s="385"/>
      <c r="S579" s="385"/>
      <c r="T579" s="385"/>
      <c r="U579" s="475"/>
      <c r="V579" s="395" t="e">
        <f t="shared" si="310"/>
        <v>#DIV/0!</v>
      </c>
      <c r="W579" s="395" t="e">
        <f t="shared" si="311"/>
        <v>#DIV/0!</v>
      </c>
      <c r="X579" s="528"/>
      <c r="Y579" s="523"/>
      <c r="Z579" s="393"/>
      <c r="AA579" s="394"/>
      <c r="AB579" s="394"/>
      <c r="AC579" s="394"/>
      <c r="AD579" s="394"/>
      <c r="AE579" s="394"/>
      <c r="AF579" s="394"/>
      <c r="AG579" s="394"/>
      <c r="AH579" s="394"/>
      <c r="AI579" s="394"/>
      <c r="AJ579" s="394"/>
      <c r="AK579" s="385"/>
      <c r="AL579" s="385"/>
      <c r="AM579" s="385"/>
      <c r="AN579" s="475"/>
      <c r="AO579" s="395" t="e">
        <f t="shared" si="293"/>
        <v>#DIV/0!</v>
      </c>
      <c r="AP579" s="395" t="e">
        <f t="shared" si="294"/>
        <v>#DIV/0!</v>
      </c>
      <c r="AQ579" s="528"/>
      <c r="AR579" s="523"/>
      <c r="AS579" s="393"/>
      <c r="AT579" s="394"/>
      <c r="AU579" s="394"/>
      <c r="AV579" s="394"/>
      <c r="AW579" s="394"/>
      <c r="AX579" s="394"/>
      <c r="AY579" s="394"/>
      <c r="AZ579" s="394"/>
      <c r="BA579" s="394"/>
      <c r="BB579" s="394"/>
      <c r="BC579" s="394"/>
      <c r="BD579" s="385"/>
      <c r="BE579" s="385"/>
      <c r="BF579" s="385"/>
      <c r="BG579" s="475"/>
      <c r="BH579" s="395" t="e">
        <f t="shared" si="549"/>
        <v>#DIV/0!</v>
      </c>
      <c r="BI579" s="395" t="e">
        <f t="shared" si="550"/>
        <v>#DIV/0!</v>
      </c>
    </row>
    <row r="580" spans="1:61" s="358" customFormat="1" ht="24.75" customHeight="1" x14ac:dyDescent="0.3">
      <c r="A580" s="354" t="s">
        <v>4615</v>
      </c>
      <c r="B580" s="603" t="s">
        <v>6297</v>
      </c>
      <c r="C580" s="587"/>
      <c r="D580" s="356">
        <v>0.4</v>
      </c>
      <c r="E580" s="389">
        <f t="shared" ref="E580:Q580" si="553">SUM(E581:E585)</f>
        <v>120</v>
      </c>
      <c r="F580" s="389">
        <f t="shared" si="553"/>
        <v>60</v>
      </c>
      <c r="G580" s="389">
        <f t="shared" si="553"/>
        <v>60</v>
      </c>
      <c r="H580" s="390">
        <f t="shared" si="553"/>
        <v>163.50837999999999</v>
      </c>
      <c r="I580" s="390">
        <f t="shared" si="553"/>
        <v>111.46182</v>
      </c>
      <c r="J580" s="390">
        <f t="shared" si="553"/>
        <v>86.938800000000001</v>
      </c>
      <c r="K580" s="390">
        <f t="shared" si="553"/>
        <v>19.879079999999998</v>
      </c>
      <c r="L580" s="390">
        <f t="shared" si="553"/>
        <v>6.8171400000000002</v>
      </c>
      <c r="M580" s="390">
        <f t="shared" si="553"/>
        <v>0</v>
      </c>
      <c r="N580" s="390">
        <f t="shared" si="553"/>
        <v>0</v>
      </c>
      <c r="O580" s="390">
        <f t="shared" si="553"/>
        <v>16.432099999999998</v>
      </c>
      <c r="P580" s="390">
        <f t="shared" si="553"/>
        <v>724.49</v>
      </c>
      <c r="Q580" s="390">
        <f t="shared" si="553"/>
        <v>4.9697699999999996</v>
      </c>
      <c r="R580" s="391"/>
      <c r="S580" s="391"/>
      <c r="T580" s="391"/>
      <c r="U580" s="474"/>
      <c r="V580" s="392">
        <f t="shared" ref="V580" si="554">H580/E580*1000</f>
        <v>1362.5698333333332</v>
      </c>
      <c r="W580" s="392">
        <f t="shared" ref="W580" si="555">H580/F580</f>
        <v>2.7251396666666663</v>
      </c>
      <c r="X580" s="389">
        <f t="shared" ref="X580:AJ580" si="556">SUM(X581:X585)</f>
        <v>230</v>
      </c>
      <c r="Y580" s="389">
        <f t="shared" si="556"/>
        <v>220</v>
      </c>
      <c r="Z580" s="389">
        <f t="shared" si="556"/>
        <v>220</v>
      </c>
      <c r="AA580" s="390">
        <f t="shared" si="556"/>
        <v>488.24160999999998</v>
      </c>
      <c r="AB580" s="390">
        <f t="shared" si="556"/>
        <v>373.29845999999998</v>
      </c>
      <c r="AC580" s="390">
        <f t="shared" si="556"/>
        <v>292.17</v>
      </c>
      <c r="AD580" s="390">
        <f t="shared" si="556"/>
        <v>9.8883899999999993</v>
      </c>
      <c r="AE580" s="390">
        <f t="shared" si="556"/>
        <v>35.304780000000001</v>
      </c>
      <c r="AF580" s="390">
        <f t="shared" si="556"/>
        <v>0</v>
      </c>
      <c r="AG580" s="390">
        <f t="shared" si="556"/>
        <v>0</v>
      </c>
      <c r="AH580" s="390">
        <f t="shared" si="556"/>
        <v>33.475790000000003</v>
      </c>
      <c r="AI580" s="390">
        <f t="shared" si="556"/>
        <v>1.1686799999999999</v>
      </c>
      <c r="AJ580" s="390">
        <f t="shared" si="556"/>
        <v>7.429079999999999</v>
      </c>
      <c r="AK580" s="391"/>
      <c r="AL580" s="391"/>
      <c r="AM580" s="391"/>
      <c r="AN580" s="474"/>
      <c r="AO580" s="392">
        <f t="shared" si="293"/>
        <v>2122.7896086956521</v>
      </c>
      <c r="AP580" s="392">
        <f t="shared" si="294"/>
        <v>2.2192800454545454</v>
      </c>
      <c r="AQ580" s="389">
        <f t="shared" ref="AQ580:BC580" si="557">SUM(AQ581:AQ585)</f>
        <v>478</v>
      </c>
      <c r="AR580" s="389">
        <f t="shared" si="557"/>
        <v>115</v>
      </c>
      <c r="AS580" s="389">
        <f t="shared" si="557"/>
        <v>115</v>
      </c>
      <c r="AT580" s="390">
        <f t="shared" si="557"/>
        <v>390.52463</v>
      </c>
      <c r="AU580" s="390">
        <f t="shared" si="557"/>
        <v>267.38610999999997</v>
      </c>
      <c r="AV580" s="390">
        <f t="shared" si="557"/>
        <v>599.37779999999998</v>
      </c>
      <c r="AW580" s="390">
        <f t="shared" si="557"/>
        <v>31.47184</v>
      </c>
      <c r="AX580" s="390">
        <f t="shared" si="557"/>
        <v>57.985390000000002</v>
      </c>
      <c r="AY580" s="390">
        <f t="shared" si="557"/>
        <v>0</v>
      </c>
      <c r="AZ580" s="390">
        <f t="shared" si="557"/>
        <v>0</v>
      </c>
      <c r="BA580" s="390">
        <f t="shared" si="557"/>
        <v>30.304360000000003</v>
      </c>
      <c r="BB580" s="390">
        <f t="shared" si="557"/>
        <v>2.4298500000000001</v>
      </c>
      <c r="BC580" s="390">
        <f t="shared" si="557"/>
        <v>7.8679600000000001</v>
      </c>
      <c r="BD580" s="391"/>
      <c r="BE580" s="391"/>
      <c r="BF580" s="391"/>
      <c r="BG580" s="474"/>
      <c r="BH580" s="392">
        <f t="shared" si="549"/>
        <v>816.99713389121348</v>
      </c>
      <c r="BI580" s="392">
        <f t="shared" si="550"/>
        <v>3.3958663478260869</v>
      </c>
    </row>
    <row r="581" spans="1:61" s="358" customFormat="1" ht="19.2" x14ac:dyDescent="0.3">
      <c r="A581" s="359" t="s">
        <v>178</v>
      </c>
      <c r="B581" s="538" t="s">
        <v>325</v>
      </c>
      <c r="C581" s="547" t="s">
        <v>414</v>
      </c>
      <c r="D581" s="360">
        <v>6</v>
      </c>
      <c r="E581" s="532">
        <v>120</v>
      </c>
      <c r="F581" s="523">
        <v>60</v>
      </c>
      <c r="G581" s="523">
        <v>60</v>
      </c>
      <c r="H581" s="543">
        <v>163.50837999999999</v>
      </c>
      <c r="I581" s="394">
        <v>111.46182</v>
      </c>
      <c r="J581" s="394">
        <v>86.938800000000001</v>
      </c>
      <c r="K581" s="394">
        <v>19.879079999999998</v>
      </c>
      <c r="L581" s="394">
        <v>6.8171400000000002</v>
      </c>
      <c r="M581" s="394">
        <v>0</v>
      </c>
      <c r="N581" s="394">
        <v>0</v>
      </c>
      <c r="O581" s="394">
        <v>16.432099999999998</v>
      </c>
      <c r="P581" s="394">
        <v>724.49</v>
      </c>
      <c r="Q581" s="394">
        <v>4.9697699999999996</v>
      </c>
      <c r="R581" s="381" t="s">
        <v>167</v>
      </c>
      <c r="S581" s="408" t="s">
        <v>175</v>
      </c>
      <c r="T581" s="472"/>
      <c r="U581" s="475">
        <v>290</v>
      </c>
      <c r="V581" s="395">
        <f>H581/E581*1000</f>
        <v>1362.5698333333332</v>
      </c>
      <c r="W581" s="395">
        <f>H581/F581</f>
        <v>2.7251396666666663</v>
      </c>
      <c r="X581" s="532"/>
      <c r="Y581" s="523"/>
      <c r="Z581" s="523"/>
      <c r="AA581" s="543"/>
      <c r="AB581" s="394"/>
      <c r="AC581" s="394"/>
      <c r="AD581" s="394"/>
      <c r="AE581" s="394"/>
      <c r="AF581" s="394"/>
      <c r="AG581" s="394"/>
      <c r="AH581" s="394"/>
      <c r="AI581" s="394"/>
      <c r="AJ581" s="394"/>
      <c r="AK581" s="381"/>
      <c r="AL581" s="408"/>
      <c r="AM581" s="472"/>
      <c r="AN581" s="475"/>
      <c r="AO581" s="395" t="e">
        <f>AA581/X581*1000</f>
        <v>#DIV/0!</v>
      </c>
      <c r="AP581" s="395" t="e">
        <f>AA581/Y581</f>
        <v>#DIV/0!</v>
      </c>
      <c r="AQ581" s="532"/>
      <c r="AR581" s="523"/>
      <c r="AS581" s="523"/>
      <c r="AT581" s="543"/>
      <c r="AU581" s="394"/>
      <c r="AV581" s="394"/>
      <c r="AW581" s="394"/>
      <c r="AX581" s="394"/>
      <c r="AY581" s="394"/>
      <c r="AZ581" s="394"/>
      <c r="BA581" s="394"/>
      <c r="BB581" s="394"/>
      <c r="BC581" s="394"/>
      <c r="BD581" s="381"/>
      <c r="BE581" s="408"/>
      <c r="BF581" s="472"/>
      <c r="BG581" s="475"/>
      <c r="BH581" s="395" t="e">
        <f>AT581/AQ581*1000</f>
        <v>#DIV/0!</v>
      </c>
      <c r="BI581" s="395" t="e">
        <f>AT581/AR581</f>
        <v>#DIV/0!</v>
      </c>
    </row>
    <row r="582" spans="1:61" s="358" customFormat="1" ht="19.2" x14ac:dyDescent="0.3">
      <c r="A582" s="359" t="s">
        <v>178</v>
      </c>
      <c r="B582" s="574" t="s">
        <v>2603</v>
      </c>
      <c r="C582" s="547" t="s">
        <v>2602</v>
      </c>
      <c r="D582" s="360">
        <v>6</v>
      </c>
      <c r="E582" s="532"/>
      <c r="F582" s="523"/>
      <c r="G582" s="523"/>
      <c r="H582" s="575"/>
      <c r="I582" s="394"/>
      <c r="J582" s="394"/>
      <c r="K582" s="394"/>
      <c r="L582" s="394"/>
      <c r="M582" s="394"/>
      <c r="N582" s="394"/>
      <c r="O582" s="394"/>
      <c r="P582" s="394"/>
      <c r="Q582" s="394"/>
      <c r="R582" s="381"/>
      <c r="S582" s="408"/>
      <c r="T582" s="472"/>
      <c r="U582" s="475"/>
      <c r="V582" s="395"/>
      <c r="W582" s="395"/>
      <c r="X582" s="532">
        <v>230</v>
      </c>
      <c r="Y582" s="523">
        <v>220</v>
      </c>
      <c r="Z582" s="523">
        <v>220</v>
      </c>
      <c r="AA582" s="575">
        <v>488.24160999999998</v>
      </c>
      <c r="AB582" s="394">
        <v>373.29845999999998</v>
      </c>
      <c r="AC582" s="394">
        <v>292.17</v>
      </c>
      <c r="AD582" s="394">
        <f>4.91862+4.96977</f>
        <v>9.8883899999999993</v>
      </c>
      <c r="AE582" s="394">
        <v>35.304780000000001</v>
      </c>
      <c r="AF582" s="394">
        <v>0</v>
      </c>
      <c r="AG582" s="394">
        <v>0</v>
      </c>
      <c r="AH582" s="394">
        <v>33.475790000000003</v>
      </c>
      <c r="AI582" s="394">
        <v>1.1686799999999999</v>
      </c>
      <c r="AJ582" s="394">
        <f>2.45931+4.96977</f>
        <v>7.429079999999999</v>
      </c>
      <c r="AK582" s="381" t="s">
        <v>167</v>
      </c>
      <c r="AL582" s="408" t="s">
        <v>175</v>
      </c>
      <c r="AM582" s="524" t="s">
        <v>4616</v>
      </c>
      <c r="AN582" s="475">
        <v>388</v>
      </c>
      <c r="AO582" s="395">
        <f>AA582/X582*1000</f>
        <v>2122.7896086956521</v>
      </c>
      <c r="AP582" s="395">
        <f>AA582/Y582</f>
        <v>2.2192800454545454</v>
      </c>
      <c r="AQ582" s="532"/>
      <c r="AR582" s="523"/>
      <c r="AS582" s="523"/>
      <c r="AT582" s="575"/>
      <c r="AU582" s="394"/>
      <c r="AV582" s="394"/>
      <c r="AW582" s="394"/>
      <c r="AX582" s="394"/>
      <c r="AY582" s="394"/>
      <c r="AZ582" s="394"/>
      <c r="BA582" s="394"/>
      <c r="BB582" s="394"/>
      <c r="BC582" s="394"/>
      <c r="BD582" s="381"/>
      <c r="BE582" s="408"/>
      <c r="BF582" s="524"/>
      <c r="BG582" s="475"/>
      <c r="BH582" s="395" t="e">
        <f>AT582/AQ582*1000</f>
        <v>#DIV/0!</v>
      </c>
      <c r="BI582" s="395" t="e">
        <f>AT582/AR582</f>
        <v>#DIV/0!</v>
      </c>
    </row>
    <row r="583" spans="1:61" s="358" customFormat="1" ht="19.2" x14ac:dyDescent="0.3">
      <c r="A583" s="359" t="s">
        <v>178</v>
      </c>
      <c r="B583" s="602" t="s">
        <v>4755</v>
      </c>
      <c r="C583" s="548" t="s">
        <v>4756</v>
      </c>
      <c r="D583" s="360">
        <v>6</v>
      </c>
      <c r="E583" s="528"/>
      <c r="F583" s="523"/>
      <c r="G583" s="393"/>
      <c r="H583" s="394"/>
      <c r="I583" s="394"/>
      <c r="J583" s="394"/>
      <c r="K583" s="394"/>
      <c r="L583" s="394"/>
      <c r="M583" s="394"/>
      <c r="N583" s="394"/>
      <c r="O583" s="394"/>
      <c r="P583" s="394"/>
      <c r="Q583" s="394"/>
      <c r="R583" s="381"/>
      <c r="S583" s="408"/>
      <c r="T583" s="385"/>
      <c r="U583" s="475"/>
      <c r="V583" s="395"/>
      <c r="W583" s="395"/>
      <c r="X583" s="528"/>
      <c r="Y583" s="523"/>
      <c r="Z583" s="393"/>
      <c r="AA583" s="394"/>
      <c r="AB583" s="394"/>
      <c r="AC583" s="394"/>
      <c r="AD583" s="394"/>
      <c r="AE583" s="394"/>
      <c r="AF583" s="394"/>
      <c r="AG583" s="394"/>
      <c r="AH583" s="394"/>
      <c r="AI583" s="394"/>
      <c r="AJ583" s="394"/>
      <c r="AK583" s="381"/>
      <c r="AL583" s="408"/>
      <c r="AM583" s="385"/>
      <c r="AN583" s="475"/>
      <c r="AO583" s="395"/>
      <c r="AP583" s="395"/>
      <c r="AQ583" s="528">
        <f>244+20+24</f>
        <v>288</v>
      </c>
      <c r="AR583" s="523">
        <v>15</v>
      </c>
      <c r="AS583" s="393">
        <v>15</v>
      </c>
      <c r="AT583" s="600">
        <v>107.49258</v>
      </c>
      <c r="AU583" s="394">
        <v>49.975119999999997</v>
      </c>
      <c r="AV583" s="394">
        <f>345.1014+28.287+33.9444</f>
        <v>407.33280000000002</v>
      </c>
      <c r="AW583" s="394">
        <f>7.86796+7.86796</f>
        <v>15.73592</v>
      </c>
      <c r="AX583" s="394">
        <v>38.646230000000003</v>
      </c>
      <c r="AY583" s="394">
        <v>0</v>
      </c>
      <c r="AZ583" s="394">
        <v>0</v>
      </c>
      <c r="BA583" s="394">
        <v>9.7088599999999996</v>
      </c>
      <c r="BB583" s="394">
        <v>1.41435</v>
      </c>
      <c r="BC583" s="394">
        <v>3.93398</v>
      </c>
      <c r="BD583" s="381" t="s">
        <v>167</v>
      </c>
      <c r="BE583" s="408" t="s">
        <v>175</v>
      </c>
      <c r="BF583" s="385"/>
      <c r="BG583" s="475">
        <v>388</v>
      </c>
      <c r="BH583" s="395">
        <f t="shared" ref="BH583" si="558">AT583/AQ583*1000</f>
        <v>373.23812500000003</v>
      </c>
      <c r="BI583" s="395">
        <f t="shared" ref="BI583" si="559">AT583/AR583</f>
        <v>7.1661720000000004</v>
      </c>
    </row>
    <row r="584" spans="1:61" s="358" customFormat="1" ht="19.2" x14ac:dyDescent="0.3">
      <c r="A584" s="359" t="s">
        <v>182</v>
      </c>
      <c r="B584" s="602" t="s">
        <v>4842</v>
      </c>
      <c r="C584" s="548" t="s">
        <v>4844</v>
      </c>
      <c r="D584" s="360">
        <v>6</v>
      </c>
      <c r="E584" s="528"/>
      <c r="F584" s="523"/>
      <c r="G584" s="393"/>
      <c r="H584" s="394"/>
      <c r="I584" s="394"/>
      <c r="J584" s="394"/>
      <c r="K584" s="394"/>
      <c r="L584" s="394"/>
      <c r="M584" s="394"/>
      <c r="N584" s="394"/>
      <c r="O584" s="394"/>
      <c r="P584" s="394"/>
      <c r="Q584" s="394"/>
      <c r="R584" s="381"/>
      <c r="S584" s="408"/>
      <c r="T584" s="385"/>
      <c r="U584" s="475"/>
      <c r="V584" s="395"/>
      <c r="W584" s="395"/>
      <c r="X584" s="528"/>
      <c r="Y584" s="523"/>
      <c r="Z584" s="393"/>
      <c r="AA584" s="394"/>
      <c r="AB584" s="394"/>
      <c r="AC584" s="394"/>
      <c r="AD584" s="394"/>
      <c r="AE584" s="394"/>
      <c r="AF584" s="394"/>
      <c r="AG584" s="394"/>
      <c r="AH584" s="394"/>
      <c r="AI584" s="394"/>
      <c r="AJ584" s="394"/>
      <c r="AK584" s="381"/>
      <c r="AL584" s="408"/>
      <c r="AM584" s="385"/>
      <c r="AN584" s="475"/>
      <c r="AO584" s="395"/>
      <c r="AP584" s="395"/>
      <c r="AQ584" s="528">
        <v>190</v>
      </c>
      <c r="AR584" s="523">
        <v>100</v>
      </c>
      <c r="AS584" s="393">
        <v>100</v>
      </c>
      <c r="AT584" s="600">
        <v>283.03205000000003</v>
      </c>
      <c r="AU584" s="394">
        <v>217.41099</v>
      </c>
      <c r="AV584" s="394">
        <v>192.04499999999999</v>
      </c>
      <c r="AW584" s="394">
        <v>15.73592</v>
      </c>
      <c r="AX584" s="394">
        <v>19.33916</v>
      </c>
      <c r="AY584" s="394">
        <v>0</v>
      </c>
      <c r="AZ584" s="394">
        <v>0</v>
      </c>
      <c r="BA584" s="394">
        <v>20.595500000000001</v>
      </c>
      <c r="BB584" s="394">
        <v>1.0155000000000001</v>
      </c>
      <c r="BC584" s="394">
        <v>3.93398</v>
      </c>
      <c r="BD584" s="381" t="s">
        <v>167</v>
      </c>
      <c r="BE584" s="408" t="s">
        <v>175</v>
      </c>
      <c r="BF584" s="385"/>
      <c r="BG584" s="475">
        <v>391</v>
      </c>
      <c r="BH584" s="395">
        <f t="shared" ref="BH584" si="560">AT584/AQ584*1000</f>
        <v>1489.6423684210527</v>
      </c>
      <c r="BI584" s="395">
        <f t="shared" ref="BI584" si="561">AT584/AR584</f>
        <v>2.8303205000000005</v>
      </c>
    </row>
    <row r="585" spans="1:61" s="358" customFormat="1" x14ac:dyDescent="0.3">
      <c r="A585" s="359"/>
      <c r="B585" s="378"/>
      <c r="C585" s="546"/>
      <c r="D585" s="360"/>
      <c r="E585" s="528"/>
      <c r="F585" s="523"/>
      <c r="G585" s="393"/>
      <c r="H585" s="394"/>
      <c r="I585" s="394"/>
      <c r="J585" s="394"/>
      <c r="K585" s="394"/>
      <c r="L585" s="394"/>
      <c r="M585" s="394"/>
      <c r="N585" s="394"/>
      <c r="O585" s="394"/>
      <c r="P585" s="394"/>
      <c r="Q585" s="394"/>
      <c r="R585" s="385"/>
      <c r="S585" s="385"/>
      <c r="T585" s="385"/>
      <c r="U585" s="475"/>
      <c r="V585" s="395" t="e">
        <f t="shared" ref="V585" si="562">H585/E585*1000</f>
        <v>#DIV/0!</v>
      </c>
      <c r="W585" s="395" t="e">
        <f t="shared" ref="W585" si="563">H585/F585</f>
        <v>#DIV/0!</v>
      </c>
      <c r="X585" s="528"/>
      <c r="Y585" s="523"/>
      <c r="Z585" s="393"/>
      <c r="AA585" s="394"/>
      <c r="AB585" s="394"/>
      <c r="AC585" s="394"/>
      <c r="AD585" s="394"/>
      <c r="AE585" s="394"/>
      <c r="AF585" s="394"/>
      <c r="AG585" s="394"/>
      <c r="AH585" s="394"/>
      <c r="AI585" s="394"/>
      <c r="AJ585" s="394"/>
      <c r="AK585" s="385"/>
      <c r="AL585" s="385"/>
      <c r="AM585" s="385"/>
      <c r="AN585" s="475"/>
      <c r="AO585" s="395" t="e">
        <f t="shared" ref="AO585" si="564">AA585/X585*1000</f>
        <v>#DIV/0!</v>
      </c>
      <c r="AP585" s="395" t="e">
        <f t="shared" ref="AP585" si="565">AA585/Y585</f>
        <v>#DIV/0!</v>
      </c>
      <c r="AQ585" s="528"/>
      <c r="AR585" s="523"/>
      <c r="AS585" s="393"/>
      <c r="AT585" s="394"/>
      <c r="AU585" s="394"/>
      <c r="AV585" s="394"/>
      <c r="AW585" s="394"/>
      <c r="AX585" s="394"/>
      <c r="AY585" s="394"/>
      <c r="AZ585" s="394"/>
      <c r="BA585" s="394"/>
      <c r="BB585" s="394"/>
      <c r="BC585" s="394"/>
      <c r="BD585" s="385"/>
      <c r="BE585" s="385"/>
      <c r="BF585" s="385"/>
      <c r="BG585" s="475"/>
      <c r="BH585" s="395" t="e">
        <f t="shared" ref="BH585" si="566">AT585/AQ585*1000</f>
        <v>#DIV/0!</v>
      </c>
      <c r="BI585" s="395" t="e">
        <f t="shared" ref="BI585" si="567">AT585/AR585</f>
        <v>#DIV/0!</v>
      </c>
    </row>
    <row r="586" spans="1:61" s="358" customFormat="1" ht="24.75" customHeight="1" x14ac:dyDescent="0.3">
      <c r="A586" s="354" t="s">
        <v>4621</v>
      </c>
      <c r="B586" s="603" t="s">
        <v>6298</v>
      </c>
      <c r="C586" s="587"/>
      <c r="D586" s="356">
        <v>0.4</v>
      </c>
      <c r="E586" s="389">
        <f t="shared" ref="E586:Q586" si="568">SUM(E587:E590)</f>
        <v>0</v>
      </c>
      <c r="F586" s="389">
        <f t="shared" si="568"/>
        <v>0</v>
      </c>
      <c r="G586" s="389">
        <f t="shared" si="568"/>
        <v>0</v>
      </c>
      <c r="H586" s="390">
        <f t="shared" si="568"/>
        <v>0</v>
      </c>
      <c r="I586" s="390">
        <f t="shared" si="568"/>
        <v>0</v>
      </c>
      <c r="J586" s="390">
        <f t="shared" si="568"/>
        <v>0</v>
      </c>
      <c r="K586" s="390">
        <f t="shared" si="568"/>
        <v>0</v>
      </c>
      <c r="L586" s="390">
        <f t="shared" si="568"/>
        <v>0</v>
      </c>
      <c r="M586" s="390">
        <f t="shared" si="568"/>
        <v>0</v>
      </c>
      <c r="N586" s="390">
        <f t="shared" si="568"/>
        <v>0</v>
      </c>
      <c r="O586" s="390">
        <f t="shared" si="568"/>
        <v>0</v>
      </c>
      <c r="P586" s="390">
        <f t="shared" si="568"/>
        <v>0</v>
      </c>
      <c r="Q586" s="390">
        <f t="shared" si="568"/>
        <v>0</v>
      </c>
      <c r="R586" s="391"/>
      <c r="S586" s="391"/>
      <c r="T586" s="391"/>
      <c r="U586" s="474"/>
      <c r="V586" s="392" t="e">
        <f t="shared" ref="V586" si="569">H586/E586*1000</f>
        <v>#DIV/0!</v>
      </c>
      <c r="W586" s="392" t="e">
        <f t="shared" ref="W586" si="570">H586/F586</f>
        <v>#DIV/0!</v>
      </c>
      <c r="X586" s="389">
        <f>SUM(X587:X590)</f>
        <v>480</v>
      </c>
      <c r="Y586" s="389">
        <f t="shared" ref="Y586:Z586" si="571">SUM(Y587:Y590)</f>
        <v>440</v>
      </c>
      <c r="Z586" s="389">
        <f t="shared" si="571"/>
        <v>440</v>
      </c>
      <c r="AA586" s="390">
        <f>SUM(AA587:AA590)</f>
        <v>1542.1432399999999</v>
      </c>
      <c r="AB586" s="390">
        <f t="shared" ref="AB586:AJ586" si="572">SUM(AB587:AB590)</f>
        <v>1020.82772</v>
      </c>
      <c r="AC586" s="390">
        <f t="shared" si="572"/>
        <v>876.51</v>
      </c>
      <c r="AD586" s="390">
        <f t="shared" si="572"/>
        <v>44.47052</v>
      </c>
      <c r="AE586" s="390">
        <f t="shared" si="572"/>
        <v>72.250309999999999</v>
      </c>
      <c r="AF586" s="390">
        <f t="shared" si="572"/>
        <v>0</v>
      </c>
      <c r="AG586" s="390">
        <f t="shared" si="572"/>
        <v>0</v>
      </c>
      <c r="AH586" s="390">
        <f t="shared" si="572"/>
        <v>80.523510000000002</v>
      </c>
      <c r="AI586" s="390">
        <f t="shared" si="572"/>
        <v>2.3373599999999999</v>
      </c>
      <c r="AJ586" s="390">
        <f t="shared" si="572"/>
        <v>14.85735</v>
      </c>
      <c r="AK586" s="391"/>
      <c r="AL586" s="391"/>
      <c r="AM586" s="391"/>
      <c r="AN586" s="474"/>
      <c r="AO586" s="392">
        <f t="shared" ref="AO586" si="573">AA586/X586*1000</f>
        <v>3212.7984166666665</v>
      </c>
      <c r="AP586" s="392">
        <f t="shared" ref="AP586" si="574">AA586/Y586</f>
        <v>3.5048709999999996</v>
      </c>
      <c r="AQ586" s="389">
        <f>SUM(AQ587:AQ590)</f>
        <v>0</v>
      </c>
      <c r="AR586" s="389">
        <f t="shared" ref="AR586:AS586" si="575">SUM(AR587:AR590)</f>
        <v>0</v>
      </c>
      <c r="AS586" s="389">
        <f t="shared" si="575"/>
        <v>0</v>
      </c>
      <c r="AT586" s="390">
        <f>SUM(AT587:AT590)</f>
        <v>0</v>
      </c>
      <c r="AU586" s="390">
        <f t="shared" ref="AU586:BC586" si="576">SUM(AU587:AU590)</f>
        <v>0</v>
      </c>
      <c r="AV586" s="390">
        <f t="shared" si="576"/>
        <v>0</v>
      </c>
      <c r="AW586" s="390">
        <f t="shared" si="576"/>
        <v>0</v>
      </c>
      <c r="AX586" s="390">
        <f t="shared" si="576"/>
        <v>0</v>
      </c>
      <c r="AY586" s="390">
        <f t="shared" si="576"/>
        <v>0</v>
      </c>
      <c r="AZ586" s="390">
        <f t="shared" si="576"/>
        <v>0</v>
      </c>
      <c r="BA586" s="390">
        <f t="shared" si="576"/>
        <v>0</v>
      </c>
      <c r="BB586" s="390">
        <f t="shared" si="576"/>
        <v>0</v>
      </c>
      <c r="BC586" s="390">
        <f t="shared" si="576"/>
        <v>0</v>
      </c>
      <c r="BD586" s="391"/>
      <c r="BE586" s="391"/>
      <c r="BF586" s="391"/>
      <c r="BG586" s="474"/>
      <c r="BH586" s="392" t="e">
        <f t="shared" ref="BH586:BH624" si="577">AT586/AQ586*1000</f>
        <v>#DIV/0!</v>
      </c>
      <c r="BI586" s="392" t="e">
        <f t="shared" ref="BI586:BI624" si="578">AT586/AR586</f>
        <v>#DIV/0!</v>
      </c>
    </row>
    <row r="587" spans="1:61" s="358" customFormat="1" ht="19.2" x14ac:dyDescent="0.3">
      <c r="A587" s="359" t="s">
        <v>178</v>
      </c>
      <c r="B587" s="574" t="s">
        <v>2603</v>
      </c>
      <c r="C587" s="547" t="s">
        <v>2604</v>
      </c>
      <c r="D587" s="360">
        <v>6</v>
      </c>
      <c r="E587" s="532"/>
      <c r="F587" s="523"/>
      <c r="G587" s="523"/>
      <c r="H587" s="575"/>
      <c r="I587" s="394"/>
      <c r="J587" s="394"/>
      <c r="K587" s="394"/>
      <c r="L587" s="394"/>
      <c r="M587" s="394"/>
      <c r="N587" s="394"/>
      <c r="O587" s="394"/>
      <c r="P587" s="394"/>
      <c r="Q587" s="394"/>
      <c r="R587" s="381"/>
      <c r="S587" s="408"/>
      <c r="T587" s="472"/>
      <c r="U587" s="475"/>
      <c r="V587" s="395"/>
      <c r="W587" s="395"/>
      <c r="X587" s="532">
        <v>240</v>
      </c>
      <c r="Y587" s="523">
        <v>220</v>
      </c>
      <c r="Z587" s="523">
        <v>220</v>
      </c>
      <c r="AA587" s="575">
        <v>859.86937999999998</v>
      </c>
      <c r="AB587" s="394">
        <v>690.80490999999995</v>
      </c>
      <c r="AC587" s="394">
        <v>596.02679999999998</v>
      </c>
      <c r="AD587" s="394">
        <f>9.83724+9.93828</f>
        <v>19.77552</v>
      </c>
      <c r="AE587" s="394">
        <v>50.218940000000003</v>
      </c>
      <c r="AF587" s="394">
        <v>0</v>
      </c>
      <c r="AG587" s="394">
        <v>0</v>
      </c>
      <c r="AH587" s="394">
        <v>49.624510000000001</v>
      </c>
      <c r="AI587" s="394">
        <v>1.1686799999999999</v>
      </c>
      <c r="AJ587" s="394">
        <f>2.45931+4.96914</f>
        <v>7.4284499999999998</v>
      </c>
      <c r="AK587" s="381" t="s">
        <v>167</v>
      </c>
      <c r="AL587" s="408" t="s">
        <v>175</v>
      </c>
      <c r="AM587" s="524" t="s">
        <v>4617</v>
      </c>
      <c r="AN587" s="475">
        <v>381</v>
      </c>
      <c r="AO587" s="395">
        <f t="shared" ref="AO587" si="579">AA587/X587*1000</f>
        <v>3582.7890833333331</v>
      </c>
      <c r="AP587" s="395">
        <f t="shared" ref="AP587" si="580">AA587/Y587</f>
        <v>3.9084971818181815</v>
      </c>
      <c r="AQ587" s="532"/>
      <c r="AR587" s="523"/>
      <c r="AS587" s="523"/>
      <c r="AT587" s="575"/>
      <c r="AU587" s="394"/>
      <c r="AV587" s="394"/>
      <c r="AW587" s="394"/>
      <c r="AX587" s="394"/>
      <c r="AY587" s="394"/>
      <c r="AZ587" s="394"/>
      <c r="BA587" s="394"/>
      <c r="BB587" s="394"/>
      <c r="BC587" s="394"/>
      <c r="BD587" s="381"/>
      <c r="BE587" s="408"/>
      <c r="BF587" s="524"/>
      <c r="BG587" s="475"/>
      <c r="BH587" s="395" t="e">
        <f t="shared" si="577"/>
        <v>#DIV/0!</v>
      </c>
      <c r="BI587" s="395" t="e">
        <f t="shared" si="578"/>
        <v>#DIV/0!</v>
      </c>
    </row>
    <row r="588" spans="1:61" s="358" customFormat="1" ht="19.2" x14ac:dyDescent="0.3">
      <c r="A588" s="359" t="s">
        <v>182</v>
      </c>
      <c r="B588" s="574" t="s">
        <v>2603</v>
      </c>
      <c r="C588" s="547" t="s">
        <v>2605</v>
      </c>
      <c r="D588" s="360">
        <v>6</v>
      </c>
      <c r="E588" s="532"/>
      <c r="F588" s="523"/>
      <c r="G588" s="523"/>
      <c r="H588" s="575"/>
      <c r="I588" s="394"/>
      <c r="J588" s="394"/>
      <c r="K588" s="394"/>
      <c r="L588" s="394"/>
      <c r="M588" s="394"/>
      <c r="N588" s="394"/>
      <c r="O588" s="394"/>
      <c r="P588" s="394"/>
      <c r="Q588" s="394"/>
      <c r="R588" s="381"/>
      <c r="S588" s="408"/>
      <c r="T588" s="472"/>
      <c r="U588" s="475"/>
      <c r="V588" s="395"/>
      <c r="W588" s="395"/>
      <c r="X588" s="532">
        <v>240</v>
      </c>
      <c r="Y588" s="523">
        <v>220</v>
      </c>
      <c r="Z588" s="523">
        <v>220</v>
      </c>
      <c r="AA588" s="575">
        <v>682.27386000000001</v>
      </c>
      <c r="AB588" s="394">
        <v>330.02280999999999</v>
      </c>
      <c r="AC588" s="394">
        <v>280.48320000000001</v>
      </c>
      <c r="AD588" s="394">
        <f>14.7558+9.9392</f>
        <v>24.695</v>
      </c>
      <c r="AE588" s="394">
        <v>22.031369999999999</v>
      </c>
      <c r="AF588" s="394">
        <v>0</v>
      </c>
      <c r="AG588" s="394">
        <v>0</v>
      </c>
      <c r="AH588" s="394">
        <v>30.899000000000001</v>
      </c>
      <c r="AI588" s="394">
        <v>1.1686799999999999</v>
      </c>
      <c r="AJ588" s="394">
        <f>2.4593+4.9696</f>
        <v>7.4288999999999996</v>
      </c>
      <c r="AK588" s="381" t="s">
        <v>167</v>
      </c>
      <c r="AL588" s="408" t="s">
        <v>175</v>
      </c>
      <c r="AM588" s="524" t="s">
        <v>4617</v>
      </c>
      <c r="AN588" s="475">
        <v>385</v>
      </c>
      <c r="AO588" s="395">
        <f t="shared" ref="AO588" si="581">AA588/X588*1000</f>
        <v>2842.8077499999999</v>
      </c>
      <c r="AP588" s="395">
        <f t="shared" ref="AP588" si="582">AA588/Y588</f>
        <v>3.1012448181818182</v>
      </c>
      <c r="AQ588" s="532"/>
      <c r="AR588" s="523"/>
      <c r="AS588" s="523"/>
      <c r="AT588" s="575"/>
      <c r="AU588" s="394"/>
      <c r="AV588" s="394"/>
      <c r="AW588" s="394"/>
      <c r="AX588" s="394"/>
      <c r="AY588" s="394"/>
      <c r="AZ588" s="394"/>
      <c r="BA588" s="394"/>
      <c r="BB588" s="394"/>
      <c r="BC588" s="394"/>
      <c r="BD588" s="381"/>
      <c r="BE588" s="408"/>
      <c r="BF588" s="524"/>
      <c r="BG588" s="475"/>
      <c r="BH588" s="395" t="e">
        <f t="shared" si="577"/>
        <v>#DIV/0!</v>
      </c>
      <c r="BI588" s="395" t="e">
        <f t="shared" si="578"/>
        <v>#DIV/0!</v>
      </c>
    </row>
    <row r="589" spans="1:61" s="358" customFormat="1" x14ac:dyDescent="0.3">
      <c r="A589" s="359"/>
      <c r="B589" s="602"/>
      <c r="C589" s="548"/>
      <c r="D589" s="360"/>
      <c r="E589" s="528"/>
      <c r="F589" s="523"/>
      <c r="G589" s="393"/>
      <c r="H589" s="394"/>
      <c r="I589" s="394"/>
      <c r="J589" s="394"/>
      <c r="K589" s="394"/>
      <c r="L589" s="394"/>
      <c r="M589" s="394"/>
      <c r="N589" s="394"/>
      <c r="O589" s="394"/>
      <c r="P589" s="394"/>
      <c r="Q589" s="394"/>
      <c r="R589" s="381"/>
      <c r="S589" s="408"/>
      <c r="T589" s="385"/>
      <c r="U589" s="475"/>
      <c r="V589" s="395"/>
      <c r="W589" s="395"/>
      <c r="X589" s="528"/>
      <c r="Y589" s="523"/>
      <c r="Z589" s="393"/>
      <c r="AA589" s="394"/>
      <c r="AB589" s="394"/>
      <c r="AC589" s="394"/>
      <c r="AD589" s="394"/>
      <c r="AE589" s="394"/>
      <c r="AF589" s="394"/>
      <c r="AG589" s="394"/>
      <c r="AH589" s="394"/>
      <c r="AI589" s="394"/>
      <c r="AJ589" s="394"/>
      <c r="AK589" s="381"/>
      <c r="AL589" s="408"/>
      <c r="AM589" s="385"/>
      <c r="AN589" s="475"/>
      <c r="AO589" s="395"/>
      <c r="AP589" s="395"/>
      <c r="AQ589" s="528"/>
      <c r="AR589" s="523"/>
      <c r="AS589" s="393"/>
      <c r="AT589" s="600"/>
      <c r="AU589" s="394"/>
      <c r="AV589" s="394"/>
      <c r="AW589" s="394"/>
      <c r="AX589" s="394"/>
      <c r="AY589" s="394"/>
      <c r="AZ589" s="394"/>
      <c r="BA589" s="394"/>
      <c r="BB589" s="394"/>
      <c r="BC589" s="394"/>
      <c r="BD589" s="381"/>
      <c r="BE589" s="408"/>
      <c r="BF589" s="385"/>
      <c r="BG589" s="475"/>
      <c r="BH589" s="395" t="e">
        <f t="shared" ref="BH589" si="583">AT589/AQ589*1000</f>
        <v>#DIV/0!</v>
      </c>
      <c r="BI589" s="395" t="e">
        <f t="shared" ref="BI589" si="584">AT589/AR589</f>
        <v>#DIV/0!</v>
      </c>
    </row>
    <row r="590" spans="1:61" s="358" customFormat="1" x14ac:dyDescent="0.3">
      <c r="A590" s="359"/>
      <c r="B590" s="378"/>
      <c r="C590" s="551"/>
      <c r="D590" s="360"/>
      <c r="E590" s="532"/>
      <c r="F590" s="523"/>
      <c r="G590" s="393"/>
      <c r="H590" s="400"/>
      <c r="I590" s="394"/>
      <c r="J590" s="394"/>
      <c r="K590" s="394"/>
      <c r="L590" s="394"/>
      <c r="M590" s="394"/>
      <c r="N590" s="394"/>
      <c r="O590" s="394"/>
      <c r="P590" s="394"/>
      <c r="Q590" s="394"/>
      <c r="R590" s="385"/>
      <c r="S590" s="385"/>
      <c r="T590" s="385"/>
      <c r="U590" s="475"/>
      <c r="V590" s="395" t="e">
        <f t="shared" si="310"/>
        <v>#DIV/0!</v>
      </c>
      <c r="W590" s="395" t="e">
        <f t="shared" si="311"/>
        <v>#DIV/0!</v>
      </c>
      <c r="X590" s="532"/>
      <c r="Y590" s="523"/>
      <c r="Z590" s="393"/>
      <c r="AA590" s="400"/>
      <c r="AB590" s="394"/>
      <c r="AC590" s="394"/>
      <c r="AD590" s="394"/>
      <c r="AE590" s="394"/>
      <c r="AF590" s="394"/>
      <c r="AG590" s="394"/>
      <c r="AH590" s="394"/>
      <c r="AI590" s="394"/>
      <c r="AJ590" s="394"/>
      <c r="AK590" s="385"/>
      <c r="AL590" s="385"/>
      <c r="AM590" s="385"/>
      <c r="AN590" s="475"/>
      <c r="AO590" s="395" t="e">
        <f t="shared" si="293"/>
        <v>#DIV/0!</v>
      </c>
      <c r="AP590" s="395" t="e">
        <f t="shared" si="294"/>
        <v>#DIV/0!</v>
      </c>
      <c r="AQ590" s="532"/>
      <c r="AR590" s="523"/>
      <c r="AS590" s="393"/>
      <c r="AT590" s="400"/>
      <c r="AU590" s="394"/>
      <c r="AV590" s="394"/>
      <c r="AW590" s="394"/>
      <c r="AX590" s="394"/>
      <c r="AY590" s="394"/>
      <c r="AZ590" s="394"/>
      <c r="BA590" s="394"/>
      <c r="BB590" s="394"/>
      <c r="BC590" s="394"/>
      <c r="BD590" s="385"/>
      <c r="BE590" s="385"/>
      <c r="BF590" s="385"/>
      <c r="BG590" s="475"/>
      <c r="BH590" s="395" t="e">
        <f t="shared" si="577"/>
        <v>#DIV/0!</v>
      </c>
      <c r="BI590" s="395" t="e">
        <f t="shared" si="578"/>
        <v>#DIV/0!</v>
      </c>
    </row>
    <row r="591" spans="1:61" s="358" customFormat="1" ht="24.75" customHeight="1" x14ac:dyDescent="0.3">
      <c r="A591" s="354" t="s">
        <v>4615</v>
      </c>
      <c r="B591" s="603" t="s">
        <v>6299</v>
      </c>
      <c r="C591" s="587"/>
      <c r="D591" s="356">
        <v>6</v>
      </c>
      <c r="E591" s="389">
        <f t="shared" ref="E591:Q591" si="585">SUM(E592:E600)</f>
        <v>0</v>
      </c>
      <c r="F591" s="389">
        <f t="shared" si="585"/>
        <v>0</v>
      </c>
      <c r="G591" s="389">
        <f t="shared" si="585"/>
        <v>0</v>
      </c>
      <c r="H591" s="390">
        <f t="shared" si="585"/>
        <v>0</v>
      </c>
      <c r="I591" s="390">
        <f t="shared" si="585"/>
        <v>0</v>
      </c>
      <c r="J591" s="390">
        <f t="shared" si="585"/>
        <v>0</v>
      </c>
      <c r="K591" s="390">
        <f t="shared" si="585"/>
        <v>0</v>
      </c>
      <c r="L591" s="390">
        <f t="shared" si="585"/>
        <v>0</v>
      </c>
      <c r="M591" s="390">
        <f t="shared" si="585"/>
        <v>0</v>
      </c>
      <c r="N591" s="390">
        <f t="shared" si="585"/>
        <v>0</v>
      </c>
      <c r="O591" s="390">
        <f t="shared" si="585"/>
        <v>0</v>
      </c>
      <c r="P591" s="390">
        <f t="shared" si="585"/>
        <v>0</v>
      </c>
      <c r="Q591" s="390">
        <f t="shared" si="585"/>
        <v>0</v>
      </c>
      <c r="R591" s="391"/>
      <c r="S591" s="391"/>
      <c r="T591" s="391"/>
      <c r="U591" s="474"/>
      <c r="V591" s="392" t="e">
        <f t="shared" si="310"/>
        <v>#DIV/0!</v>
      </c>
      <c r="W591" s="392" t="e">
        <f t="shared" si="311"/>
        <v>#DIV/0!</v>
      </c>
      <c r="X591" s="389">
        <f t="shared" ref="X591:AJ591" si="586">SUM(X592:X600)</f>
        <v>239.10000000000002</v>
      </c>
      <c r="Y591" s="389">
        <f t="shared" si="586"/>
        <v>2040</v>
      </c>
      <c r="Z591" s="389">
        <f t="shared" si="586"/>
        <v>2040</v>
      </c>
      <c r="AA591" s="390">
        <f t="shared" si="586"/>
        <v>904.68463999999994</v>
      </c>
      <c r="AB591" s="390">
        <f t="shared" si="586"/>
        <v>714.70699000000002</v>
      </c>
      <c r="AC591" s="390">
        <f t="shared" si="586"/>
        <v>538.24838</v>
      </c>
      <c r="AD591" s="390">
        <f t="shared" si="586"/>
        <v>56.855899999999991</v>
      </c>
      <c r="AE591" s="390">
        <f t="shared" si="586"/>
        <v>32.977000000000004</v>
      </c>
      <c r="AF591" s="390">
        <f t="shared" si="586"/>
        <v>7</v>
      </c>
      <c r="AG591" s="390">
        <f t="shared" si="586"/>
        <v>0</v>
      </c>
      <c r="AH591" s="390">
        <f t="shared" si="586"/>
        <v>58.415010000000002</v>
      </c>
      <c r="AI591" s="390">
        <f t="shared" si="586"/>
        <v>6.8251000000000008</v>
      </c>
      <c r="AJ591" s="390">
        <f t="shared" si="586"/>
        <v>29.721600000000002</v>
      </c>
      <c r="AK591" s="391"/>
      <c r="AL591" s="391"/>
      <c r="AM591" s="391"/>
      <c r="AN591" s="474"/>
      <c r="AO591" s="392">
        <f t="shared" si="293"/>
        <v>3783.7082392304469</v>
      </c>
      <c r="AP591" s="392">
        <f t="shared" si="294"/>
        <v>0.44347286274509801</v>
      </c>
      <c r="AQ591" s="389">
        <f t="shared" ref="AQ591:BC591" si="587">SUM(AQ592:AQ600)</f>
        <v>554</v>
      </c>
      <c r="AR591" s="389">
        <f t="shared" si="587"/>
        <v>2040</v>
      </c>
      <c r="AS591" s="389">
        <f t="shared" si="587"/>
        <v>2040</v>
      </c>
      <c r="AT591" s="390">
        <f t="shared" si="587"/>
        <v>1910.2121999999997</v>
      </c>
      <c r="AU591" s="390">
        <f t="shared" si="587"/>
        <v>1020.5343499999999</v>
      </c>
      <c r="AV591" s="390">
        <f t="shared" si="587"/>
        <v>806.02879999999993</v>
      </c>
      <c r="AW591" s="390">
        <f t="shared" si="587"/>
        <v>78.864879999999999</v>
      </c>
      <c r="AX591" s="390">
        <f t="shared" si="587"/>
        <v>61.750160000000001</v>
      </c>
      <c r="AY591" s="390">
        <f t="shared" si="587"/>
        <v>0</v>
      </c>
      <c r="AZ591" s="390">
        <f t="shared" si="587"/>
        <v>0</v>
      </c>
      <c r="BA591" s="390">
        <f t="shared" si="587"/>
        <v>107.02091</v>
      </c>
      <c r="BB591" s="390">
        <f t="shared" si="587"/>
        <v>5.9391400000000001</v>
      </c>
      <c r="BC591" s="390">
        <f t="shared" si="587"/>
        <v>50.468159999999997</v>
      </c>
      <c r="BD591" s="391"/>
      <c r="BE591" s="391"/>
      <c r="BF591" s="391"/>
      <c r="BG591" s="474"/>
      <c r="BH591" s="392">
        <f t="shared" si="577"/>
        <v>3448.0364620938626</v>
      </c>
      <c r="BI591" s="392">
        <f t="shared" si="578"/>
        <v>0.93637852941176458</v>
      </c>
    </row>
    <row r="592" spans="1:61" s="358" customFormat="1" ht="19.2" x14ac:dyDescent="0.3">
      <c r="A592" s="359" t="s">
        <v>178</v>
      </c>
      <c r="B592" s="572" t="s">
        <v>2451</v>
      </c>
      <c r="C592" s="547" t="s">
        <v>2452</v>
      </c>
      <c r="D592" s="360">
        <v>6</v>
      </c>
      <c r="E592" s="528"/>
      <c r="F592" s="523"/>
      <c r="G592" s="393"/>
      <c r="H592" s="576"/>
      <c r="I592" s="394"/>
      <c r="J592" s="394"/>
      <c r="K592" s="394"/>
      <c r="L592" s="394"/>
      <c r="M592" s="394"/>
      <c r="N592" s="394"/>
      <c r="O592" s="394"/>
      <c r="P592" s="394"/>
      <c r="Q592" s="394"/>
      <c r="R592" s="381"/>
      <c r="S592" s="408"/>
      <c r="T592" s="472"/>
      <c r="U592" s="475"/>
      <c r="V592" s="395"/>
      <c r="W592" s="395"/>
      <c r="X592" s="528">
        <v>47</v>
      </c>
      <c r="Y592" s="523">
        <v>655</v>
      </c>
      <c r="Z592" s="393">
        <v>655</v>
      </c>
      <c r="AA592" s="576">
        <v>197.66222999999999</v>
      </c>
      <c r="AB592" s="394">
        <v>151.51524000000001</v>
      </c>
      <c r="AC592" s="394">
        <v>104.8056</v>
      </c>
      <c r="AD592" s="394">
        <f>4.9094+12.4061</f>
        <v>17.3155</v>
      </c>
      <c r="AE592" s="394">
        <v>7.4183500000000002</v>
      </c>
      <c r="AF592" s="394">
        <v>3</v>
      </c>
      <c r="AG592" s="394">
        <v>0</v>
      </c>
      <c r="AH592" s="394">
        <v>13.826309999999999</v>
      </c>
      <c r="AI592" s="394">
        <v>1.7467600000000001</v>
      </c>
      <c r="AJ592" s="394">
        <f>2.4547+6.20305</f>
        <v>8.6577500000000001</v>
      </c>
      <c r="AK592" s="381" t="s">
        <v>167</v>
      </c>
      <c r="AL592" s="408" t="s">
        <v>175</v>
      </c>
      <c r="AM592" s="475" t="s">
        <v>4616</v>
      </c>
      <c r="AN592" s="475">
        <v>391</v>
      </c>
      <c r="AO592" s="395">
        <f t="shared" ref="AO592" si="588">AA592/X592*1000</f>
        <v>4205.5793617021272</v>
      </c>
      <c r="AP592" s="395">
        <f t="shared" ref="AP592" si="589">AA592/Y592</f>
        <v>0.30177439694656488</v>
      </c>
      <c r="AQ592" s="528"/>
      <c r="AR592" s="523"/>
      <c r="AS592" s="393"/>
      <c r="AT592" s="576"/>
      <c r="AU592" s="394"/>
      <c r="AV592" s="394"/>
      <c r="AW592" s="394"/>
      <c r="AX592" s="394"/>
      <c r="AY592" s="394"/>
      <c r="AZ592" s="394"/>
      <c r="BA592" s="394"/>
      <c r="BB592" s="394"/>
      <c r="BC592" s="394"/>
      <c r="BD592" s="381"/>
      <c r="BE592" s="408"/>
      <c r="BF592" s="475"/>
      <c r="BG592" s="475"/>
      <c r="BH592" s="395" t="e">
        <f t="shared" si="577"/>
        <v>#DIV/0!</v>
      </c>
      <c r="BI592" s="395" t="e">
        <f t="shared" si="578"/>
        <v>#DIV/0!</v>
      </c>
    </row>
    <row r="593" spans="1:61" s="358" customFormat="1" ht="19.2" x14ac:dyDescent="0.3">
      <c r="A593" s="359" t="s">
        <v>182</v>
      </c>
      <c r="B593" s="572" t="s">
        <v>2451</v>
      </c>
      <c r="C593" s="547" t="s">
        <v>2454</v>
      </c>
      <c r="D593" s="360">
        <v>6</v>
      </c>
      <c r="E593" s="528"/>
      <c r="F593" s="523"/>
      <c r="G593" s="393"/>
      <c r="H593" s="576"/>
      <c r="I593" s="394"/>
      <c r="J593" s="394"/>
      <c r="K593" s="394"/>
      <c r="L593" s="394"/>
      <c r="M593" s="394"/>
      <c r="N593" s="394"/>
      <c r="O593" s="394"/>
      <c r="P593" s="394"/>
      <c r="Q593" s="394"/>
      <c r="R593" s="381"/>
      <c r="S593" s="408"/>
      <c r="T593" s="472"/>
      <c r="U593" s="475"/>
      <c r="V593" s="395"/>
      <c r="W593" s="395"/>
      <c r="X593" s="528">
        <v>56.5</v>
      </c>
      <c r="Y593" s="523">
        <v>655</v>
      </c>
      <c r="Z593" s="393">
        <v>655</v>
      </c>
      <c r="AA593" s="576">
        <v>222.53172000000001</v>
      </c>
      <c r="AB593" s="394">
        <v>168.24445</v>
      </c>
      <c r="AC593" s="394">
        <v>122.2732</v>
      </c>
      <c r="AD593" s="394">
        <f>4.9094+12.4061</f>
        <v>17.3155</v>
      </c>
      <c r="AE593" s="394">
        <v>8.2194599999999998</v>
      </c>
      <c r="AF593" s="394">
        <v>4</v>
      </c>
      <c r="AG593" s="394">
        <v>0</v>
      </c>
      <c r="AH593" s="394">
        <v>16.162289999999999</v>
      </c>
      <c r="AI593" s="394">
        <v>1.7467600000000001</v>
      </c>
      <c r="AJ593" s="394">
        <f>2.4547+6.20305</f>
        <v>8.6577500000000001</v>
      </c>
      <c r="AK593" s="381" t="s">
        <v>167</v>
      </c>
      <c r="AL593" s="408" t="s">
        <v>175</v>
      </c>
      <c r="AM593" s="475" t="s">
        <v>4616</v>
      </c>
      <c r="AN593" s="475">
        <v>394</v>
      </c>
      <c r="AO593" s="395">
        <f t="shared" ref="AO593:AO605" si="590">AA593/X593*1000</f>
        <v>3938.6145132743363</v>
      </c>
      <c r="AP593" s="395">
        <f t="shared" ref="AP593:AP605" si="591">AA593/Y593</f>
        <v>0.33974308396946568</v>
      </c>
      <c r="AQ593" s="528"/>
      <c r="AR593" s="523"/>
      <c r="AS593" s="393"/>
      <c r="AT593" s="576"/>
      <c r="AU593" s="394"/>
      <c r="AV593" s="394"/>
      <c r="AW593" s="394"/>
      <c r="AX593" s="394"/>
      <c r="AY593" s="394"/>
      <c r="AZ593" s="394"/>
      <c r="BA593" s="394"/>
      <c r="BB593" s="394"/>
      <c r="BC593" s="394"/>
      <c r="BD593" s="381"/>
      <c r="BE593" s="408"/>
      <c r="BF593" s="475"/>
      <c r="BG593" s="475"/>
      <c r="BH593" s="395" t="e">
        <f t="shared" si="577"/>
        <v>#DIV/0!</v>
      </c>
      <c r="BI593" s="395" t="e">
        <f t="shared" si="578"/>
        <v>#DIV/0!</v>
      </c>
    </row>
    <row r="594" spans="1:61" s="358" customFormat="1" ht="19.2" x14ac:dyDescent="0.3">
      <c r="A594" s="359" t="s">
        <v>184</v>
      </c>
      <c r="B594" s="572" t="s">
        <v>322</v>
      </c>
      <c r="C594" s="547" t="s">
        <v>4399</v>
      </c>
      <c r="D594" s="360">
        <v>6</v>
      </c>
      <c r="E594" s="528"/>
      <c r="F594" s="523"/>
      <c r="G594" s="393"/>
      <c r="H594" s="576"/>
      <c r="I594" s="394"/>
      <c r="J594" s="394"/>
      <c r="K594" s="394"/>
      <c r="L594" s="394"/>
      <c r="M594" s="394"/>
      <c r="N594" s="394"/>
      <c r="O594" s="394"/>
      <c r="P594" s="394"/>
      <c r="Q594" s="394"/>
      <c r="R594" s="381"/>
      <c r="S594" s="408"/>
      <c r="T594" s="472"/>
      <c r="U594" s="475"/>
      <c r="V594" s="395"/>
      <c r="W594" s="395"/>
      <c r="X594" s="528">
        <v>67.8</v>
      </c>
      <c r="Y594" s="523">
        <v>365</v>
      </c>
      <c r="Z594" s="393">
        <v>365</v>
      </c>
      <c r="AA594" s="576">
        <v>235.47603000000001</v>
      </c>
      <c r="AB594" s="394">
        <v>189.76741999999999</v>
      </c>
      <c r="AC594" s="394">
        <v>147.25584000000001</v>
      </c>
      <c r="AD594" s="394">
        <f>4.9094+6.20305</f>
        <v>11.112449999999999</v>
      </c>
      <c r="AE594" s="394">
        <v>9.6384299999999996</v>
      </c>
      <c r="AF594" s="394">
        <v>0</v>
      </c>
      <c r="AG594" s="394">
        <v>0</v>
      </c>
      <c r="AH594" s="394">
        <v>14.35332</v>
      </c>
      <c r="AI594" s="394">
        <v>1.6657900000000001</v>
      </c>
      <c r="AJ594" s="394">
        <v>6.2030500000000002</v>
      </c>
      <c r="AK594" s="381" t="s">
        <v>167</v>
      </c>
      <c r="AL594" s="408" t="s">
        <v>175</v>
      </c>
      <c r="AM594" s="475" t="s">
        <v>4616</v>
      </c>
      <c r="AN594" s="475">
        <v>437</v>
      </c>
      <c r="AO594" s="395">
        <f t="shared" ref="AO594" si="592">AA594/X594*1000</f>
        <v>3473.0977876106199</v>
      </c>
      <c r="AP594" s="395">
        <f t="shared" ref="AP594" si="593">AA594/Y594</f>
        <v>0.64513980821917816</v>
      </c>
      <c r="AQ594" s="528"/>
      <c r="AR594" s="523"/>
      <c r="AS594" s="393"/>
      <c r="AT594" s="576"/>
      <c r="AU594" s="394"/>
      <c r="AV594" s="394"/>
      <c r="AW594" s="394"/>
      <c r="AX594" s="394"/>
      <c r="AY594" s="394"/>
      <c r="AZ594" s="394"/>
      <c r="BA594" s="394"/>
      <c r="BB594" s="394"/>
      <c r="BC594" s="394"/>
      <c r="BD594" s="381"/>
      <c r="BE594" s="408"/>
      <c r="BF594" s="475"/>
      <c r="BG594" s="475"/>
      <c r="BH594" s="395" t="e">
        <f t="shared" si="577"/>
        <v>#DIV/0!</v>
      </c>
      <c r="BI594" s="395" t="e">
        <f t="shared" si="578"/>
        <v>#DIV/0!</v>
      </c>
    </row>
    <row r="595" spans="1:61" s="358" customFormat="1" ht="19.2" x14ac:dyDescent="0.3">
      <c r="A595" s="359" t="s">
        <v>186</v>
      </c>
      <c r="B595" s="572" t="s">
        <v>322</v>
      </c>
      <c r="C595" s="547" t="s">
        <v>4400</v>
      </c>
      <c r="D595" s="360">
        <v>6</v>
      </c>
      <c r="E595" s="528"/>
      <c r="F595" s="523"/>
      <c r="G595" s="393"/>
      <c r="H595" s="576"/>
      <c r="I595" s="394"/>
      <c r="J595" s="394"/>
      <c r="K595" s="394"/>
      <c r="L595" s="394"/>
      <c r="M595" s="394"/>
      <c r="N595" s="394"/>
      <c r="O595" s="394"/>
      <c r="P595" s="394"/>
      <c r="Q595" s="394"/>
      <c r="R595" s="381"/>
      <c r="S595" s="408"/>
      <c r="T595" s="472"/>
      <c r="U595" s="475"/>
      <c r="V595" s="395"/>
      <c r="W595" s="395"/>
      <c r="X595" s="528">
        <v>67.8</v>
      </c>
      <c r="Y595" s="523">
        <v>365</v>
      </c>
      <c r="Z595" s="393">
        <v>365</v>
      </c>
      <c r="AA595" s="576">
        <v>249.01465999999999</v>
      </c>
      <c r="AB595" s="394">
        <v>205.17988</v>
      </c>
      <c r="AC595" s="394">
        <v>163.91373999999999</v>
      </c>
      <c r="AD595" s="394">
        <f>4.9094+6.20305</f>
        <v>11.112449999999999</v>
      </c>
      <c r="AE595" s="394">
        <v>7.7007599999999998</v>
      </c>
      <c r="AF595" s="394">
        <v>0</v>
      </c>
      <c r="AG595" s="394">
        <v>0</v>
      </c>
      <c r="AH595" s="394">
        <v>14.073090000000001</v>
      </c>
      <c r="AI595" s="394">
        <v>1.6657900000000001</v>
      </c>
      <c r="AJ595" s="394">
        <v>6.2030500000000002</v>
      </c>
      <c r="AK595" s="381" t="s">
        <v>167</v>
      </c>
      <c r="AL595" s="408" t="s">
        <v>175</v>
      </c>
      <c r="AM595" s="475" t="s">
        <v>4616</v>
      </c>
      <c r="AN595" s="475">
        <v>442</v>
      </c>
      <c r="AO595" s="395">
        <f t="shared" ref="AO595:AO601" si="594">AA595/X595*1000</f>
        <v>3672.7825958702069</v>
      </c>
      <c r="AP595" s="395">
        <f t="shared" ref="AP595:AP601" si="595">AA595/Y595</f>
        <v>0.68223194520547947</v>
      </c>
      <c r="AQ595" s="528"/>
      <c r="AR595" s="523"/>
      <c r="AS595" s="393"/>
      <c r="AT595" s="576"/>
      <c r="AU595" s="394"/>
      <c r="AV595" s="394"/>
      <c r="AW595" s="394"/>
      <c r="AX595" s="394"/>
      <c r="AY595" s="394"/>
      <c r="AZ595" s="394"/>
      <c r="BA595" s="394"/>
      <c r="BB595" s="394"/>
      <c r="BC595" s="394"/>
      <c r="BD595" s="381"/>
      <c r="BE595" s="408"/>
      <c r="BF595" s="475"/>
      <c r="BG595" s="475"/>
      <c r="BH595" s="395" t="e">
        <f t="shared" si="577"/>
        <v>#DIV/0!</v>
      </c>
      <c r="BI595" s="395" t="e">
        <f t="shared" si="578"/>
        <v>#DIV/0!</v>
      </c>
    </row>
    <row r="596" spans="1:61" s="358" customFormat="1" ht="19.2" x14ac:dyDescent="0.3">
      <c r="A596" s="359" t="s">
        <v>178</v>
      </c>
      <c r="B596" s="602" t="s">
        <v>603</v>
      </c>
      <c r="C596" s="548" t="s">
        <v>4977</v>
      </c>
      <c r="D596" s="360">
        <v>6</v>
      </c>
      <c r="E596" s="528"/>
      <c r="F596" s="523"/>
      <c r="G596" s="393"/>
      <c r="H596" s="394"/>
      <c r="I596" s="394"/>
      <c r="J596" s="394"/>
      <c r="K596" s="394"/>
      <c r="L596" s="394"/>
      <c r="M596" s="394"/>
      <c r="N596" s="394"/>
      <c r="O596" s="394"/>
      <c r="P596" s="394"/>
      <c r="Q596" s="394"/>
      <c r="R596" s="381"/>
      <c r="S596" s="408"/>
      <c r="T596" s="385"/>
      <c r="U596" s="475"/>
      <c r="V596" s="395"/>
      <c r="W596" s="395"/>
      <c r="X596" s="528"/>
      <c r="Y596" s="523"/>
      <c r="Z596" s="393"/>
      <c r="AA596" s="394"/>
      <c r="AB596" s="394"/>
      <c r="AC596" s="394"/>
      <c r="AD596" s="394"/>
      <c r="AE596" s="394"/>
      <c r="AF596" s="394"/>
      <c r="AG596" s="394"/>
      <c r="AH596" s="394"/>
      <c r="AI596" s="394"/>
      <c r="AJ596" s="394"/>
      <c r="AK596" s="381"/>
      <c r="AL596" s="408"/>
      <c r="AM596" s="385"/>
      <c r="AN596" s="475"/>
      <c r="AO596" s="395"/>
      <c r="AP596" s="395"/>
      <c r="AQ596" s="528">
        <v>30</v>
      </c>
      <c r="AR596" s="523">
        <v>680</v>
      </c>
      <c r="AS596" s="393">
        <v>680</v>
      </c>
      <c r="AT596" s="600">
        <v>132.56525999999999</v>
      </c>
      <c r="AU596" s="394">
        <v>105.90558</v>
      </c>
      <c r="AV596" s="394">
        <v>66.631600000000006</v>
      </c>
      <c r="AW596" s="394">
        <f>4.90946+15.19192</f>
        <v>20.101379999999999</v>
      </c>
      <c r="AX596" s="394"/>
      <c r="AY596" s="394">
        <v>0</v>
      </c>
      <c r="AZ596" s="394">
        <v>0</v>
      </c>
      <c r="BA596" s="394">
        <v>6.2151500000000004</v>
      </c>
      <c r="BB596" s="394">
        <v>1.6657900000000001</v>
      </c>
      <c r="BC596" s="394">
        <f>2.45473+7.59596</f>
        <v>10.050689999999999</v>
      </c>
      <c r="BD596" s="381" t="s">
        <v>167</v>
      </c>
      <c r="BE596" s="408" t="s">
        <v>175</v>
      </c>
      <c r="BF596" s="385"/>
      <c r="BG596" s="475">
        <v>397</v>
      </c>
      <c r="BH596" s="395">
        <f>AT596/AQ596*1000</f>
        <v>4418.8419999999996</v>
      </c>
      <c r="BI596" s="395">
        <f>AT596/AR596</f>
        <v>0.19494891176470588</v>
      </c>
    </row>
    <row r="597" spans="1:61" s="358" customFormat="1" ht="19.2" x14ac:dyDescent="0.3">
      <c r="A597" s="359" t="s">
        <v>182</v>
      </c>
      <c r="B597" s="602" t="s">
        <v>4958</v>
      </c>
      <c r="C597" s="548" t="s">
        <v>4959</v>
      </c>
      <c r="D597" s="360">
        <v>6</v>
      </c>
      <c r="E597" s="528"/>
      <c r="F597" s="523"/>
      <c r="G597" s="393"/>
      <c r="H597" s="394"/>
      <c r="I597" s="394"/>
      <c r="J597" s="394"/>
      <c r="K597" s="394"/>
      <c r="L597" s="394"/>
      <c r="M597" s="394"/>
      <c r="N597" s="394"/>
      <c r="O597" s="394"/>
      <c r="P597" s="394"/>
      <c r="Q597" s="394"/>
      <c r="R597" s="381"/>
      <c r="S597" s="408"/>
      <c r="T597" s="385"/>
      <c r="U597" s="475"/>
      <c r="V597" s="395"/>
      <c r="W597" s="395"/>
      <c r="X597" s="528"/>
      <c r="Y597" s="523"/>
      <c r="Z597" s="393"/>
      <c r="AA597" s="394"/>
      <c r="AB597" s="394"/>
      <c r="AC597" s="394"/>
      <c r="AD597" s="394"/>
      <c r="AE597" s="394"/>
      <c r="AF597" s="394"/>
      <c r="AG597" s="394"/>
      <c r="AH597" s="394"/>
      <c r="AI597" s="394"/>
      <c r="AJ597" s="394"/>
      <c r="AK597" s="381"/>
      <c r="AL597" s="408"/>
      <c r="AM597" s="385"/>
      <c r="AN597" s="475"/>
      <c r="AO597" s="395"/>
      <c r="AP597" s="395"/>
      <c r="AQ597" s="528">
        <v>247</v>
      </c>
      <c r="AR597" s="523">
        <v>340</v>
      </c>
      <c r="AS597" s="393">
        <v>340</v>
      </c>
      <c r="AT597" s="600">
        <v>732.80179999999996</v>
      </c>
      <c r="AU597" s="394">
        <v>404.27751999999998</v>
      </c>
      <c r="AV597" s="394">
        <v>336.38279999999997</v>
      </c>
      <c r="AW597" s="394">
        <f>8.24249+2.79329+8.29528</f>
        <v>19.331060000000001</v>
      </c>
      <c r="AX597" s="394">
        <v>28.84498</v>
      </c>
      <c r="AY597" s="394">
        <v>0</v>
      </c>
      <c r="AZ597" s="394">
        <v>0</v>
      </c>
      <c r="BA597" s="394">
        <v>46.8887</v>
      </c>
      <c r="BB597" s="394">
        <v>1.2937799999999999</v>
      </c>
      <c r="BC597" s="394">
        <f>8.24249+2.79329+4.14764</f>
        <v>15.183419999999998</v>
      </c>
      <c r="BD597" s="381" t="s">
        <v>167</v>
      </c>
      <c r="BE597" s="408" t="s">
        <v>175</v>
      </c>
      <c r="BF597" s="385"/>
      <c r="BG597" s="475">
        <v>400</v>
      </c>
      <c r="BH597" s="395">
        <f t="shared" ref="BH597:BH598" si="596">AT597/AQ597*1000</f>
        <v>2966.8089068825911</v>
      </c>
      <c r="BI597" s="395">
        <f t="shared" ref="BI597:BI598" si="597">AT597/AR597</f>
        <v>2.1552994117647057</v>
      </c>
    </row>
    <row r="598" spans="1:61" s="358" customFormat="1" ht="19.2" x14ac:dyDescent="0.3">
      <c r="A598" s="359" t="s">
        <v>184</v>
      </c>
      <c r="B598" s="602" t="s">
        <v>4958</v>
      </c>
      <c r="C598" s="548" t="s">
        <v>4960</v>
      </c>
      <c r="D598" s="360">
        <v>6</v>
      </c>
      <c r="E598" s="528"/>
      <c r="F598" s="523"/>
      <c r="G598" s="393"/>
      <c r="H598" s="394"/>
      <c r="I598" s="394"/>
      <c r="J598" s="394"/>
      <c r="K598" s="394"/>
      <c r="L598" s="394"/>
      <c r="M598" s="394"/>
      <c r="N598" s="394"/>
      <c r="O598" s="394"/>
      <c r="P598" s="394"/>
      <c r="Q598" s="394"/>
      <c r="R598" s="381"/>
      <c r="S598" s="408"/>
      <c r="T598" s="385"/>
      <c r="U598" s="475"/>
      <c r="V598" s="395"/>
      <c r="W598" s="395"/>
      <c r="X598" s="528"/>
      <c r="Y598" s="523"/>
      <c r="Z598" s="393"/>
      <c r="AA598" s="394"/>
      <c r="AB598" s="394"/>
      <c r="AC598" s="394"/>
      <c r="AD598" s="394"/>
      <c r="AE598" s="394"/>
      <c r="AF598" s="394"/>
      <c r="AG598" s="394"/>
      <c r="AH598" s="394"/>
      <c r="AI598" s="394"/>
      <c r="AJ598" s="394"/>
      <c r="AK598" s="381"/>
      <c r="AL598" s="408"/>
      <c r="AM598" s="385"/>
      <c r="AN598" s="475"/>
      <c r="AO598" s="395"/>
      <c r="AP598" s="395"/>
      <c r="AQ598" s="528">
        <v>247</v>
      </c>
      <c r="AR598" s="523">
        <v>340</v>
      </c>
      <c r="AS598" s="393">
        <v>340</v>
      </c>
      <c r="AT598" s="600">
        <v>909.50369999999998</v>
      </c>
      <c r="AU598" s="394">
        <v>404.44565999999998</v>
      </c>
      <c r="AV598" s="394">
        <v>336.38279999999997</v>
      </c>
      <c r="AW598" s="394">
        <f>8.24249+2.79329+8.29528</f>
        <v>19.331060000000001</v>
      </c>
      <c r="AX598" s="394">
        <v>28.84498</v>
      </c>
      <c r="AY598" s="394">
        <v>0</v>
      </c>
      <c r="AZ598" s="394">
        <v>0</v>
      </c>
      <c r="BA598" s="394">
        <v>47.05471</v>
      </c>
      <c r="BB598" s="394">
        <v>1.2937799999999999</v>
      </c>
      <c r="BC598" s="394">
        <f>8.24249+2.79329+4.14764</f>
        <v>15.183419999999998</v>
      </c>
      <c r="BD598" s="381" t="s">
        <v>167</v>
      </c>
      <c r="BE598" s="408" t="s">
        <v>175</v>
      </c>
      <c r="BF598" s="385"/>
      <c r="BG598" s="475">
        <v>404</v>
      </c>
      <c r="BH598" s="395">
        <f t="shared" si="596"/>
        <v>3682.2012145748986</v>
      </c>
      <c r="BI598" s="395">
        <f t="shared" si="597"/>
        <v>2.6750108823529413</v>
      </c>
    </row>
    <row r="599" spans="1:61" s="358" customFormat="1" ht="19.2" x14ac:dyDescent="0.3">
      <c r="A599" s="359" t="s">
        <v>186</v>
      </c>
      <c r="B599" s="602" t="s">
        <v>603</v>
      </c>
      <c r="C599" s="548" t="s">
        <v>4966</v>
      </c>
      <c r="D599" s="360">
        <v>6</v>
      </c>
      <c r="E599" s="528"/>
      <c r="F599" s="523"/>
      <c r="G599" s="393"/>
      <c r="H599" s="394"/>
      <c r="I599" s="394"/>
      <c r="J599" s="394"/>
      <c r="K599" s="394"/>
      <c r="L599" s="394"/>
      <c r="M599" s="394"/>
      <c r="N599" s="394"/>
      <c r="O599" s="394"/>
      <c r="P599" s="394"/>
      <c r="Q599" s="394"/>
      <c r="R599" s="381"/>
      <c r="S599" s="408"/>
      <c r="T599" s="385"/>
      <c r="U599" s="475"/>
      <c r="V599" s="395"/>
      <c r="W599" s="395"/>
      <c r="X599" s="528"/>
      <c r="Y599" s="523"/>
      <c r="Z599" s="393"/>
      <c r="AA599" s="394"/>
      <c r="AB599" s="394"/>
      <c r="AC599" s="394"/>
      <c r="AD599" s="394"/>
      <c r="AE599" s="394"/>
      <c r="AF599" s="394"/>
      <c r="AG599" s="394"/>
      <c r="AH599" s="394"/>
      <c r="AI599" s="394"/>
      <c r="AJ599" s="394"/>
      <c r="AK599" s="381"/>
      <c r="AL599" s="408"/>
      <c r="AM599" s="385"/>
      <c r="AN599" s="475"/>
      <c r="AO599" s="395"/>
      <c r="AP599" s="395"/>
      <c r="AQ599" s="528">
        <v>30</v>
      </c>
      <c r="AR599" s="523">
        <v>680</v>
      </c>
      <c r="AS599" s="393">
        <v>680</v>
      </c>
      <c r="AT599" s="600">
        <v>135.34144000000001</v>
      </c>
      <c r="AU599" s="394">
        <v>105.90559</v>
      </c>
      <c r="AV599" s="394">
        <v>66.631600000000006</v>
      </c>
      <c r="AW599" s="394">
        <f>4.90944+15.19194</f>
        <v>20.101379999999999</v>
      </c>
      <c r="AX599" s="394">
        <v>4.0602</v>
      </c>
      <c r="AY599" s="394">
        <v>0</v>
      </c>
      <c r="AZ599" s="394">
        <v>0</v>
      </c>
      <c r="BA599" s="394">
        <v>6.8623500000000002</v>
      </c>
      <c r="BB599" s="394">
        <v>1.6857899999999999</v>
      </c>
      <c r="BC599" s="394">
        <f>2.45472+7.59591</f>
        <v>10.05063</v>
      </c>
      <c r="BD599" s="381" t="s">
        <v>167</v>
      </c>
      <c r="BE599" s="408" t="s">
        <v>175</v>
      </c>
      <c r="BF599" s="385"/>
      <c r="BG599" s="475">
        <v>408</v>
      </c>
      <c r="BH599" s="395">
        <f t="shared" ref="BH599" si="598">AT599/AQ599*1000</f>
        <v>4511.3813333333337</v>
      </c>
      <c r="BI599" s="395">
        <f t="shared" ref="BI599" si="599">AT599/AR599</f>
        <v>0.19903152941176472</v>
      </c>
    </row>
    <row r="600" spans="1:61" s="358" customFormat="1" x14ac:dyDescent="0.3">
      <c r="A600" s="359"/>
      <c r="B600" s="378"/>
      <c r="C600" s="551"/>
      <c r="D600" s="360"/>
      <c r="E600" s="532"/>
      <c r="F600" s="523"/>
      <c r="G600" s="393"/>
      <c r="H600" s="400"/>
      <c r="I600" s="394"/>
      <c r="J600" s="394"/>
      <c r="K600" s="394"/>
      <c r="L600" s="394"/>
      <c r="M600" s="394"/>
      <c r="N600" s="394"/>
      <c r="O600" s="394"/>
      <c r="P600" s="394"/>
      <c r="Q600" s="394"/>
      <c r="R600" s="385"/>
      <c r="S600" s="385"/>
      <c r="T600" s="385"/>
      <c r="U600" s="475"/>
      <c r="V600" s="395" t="e">
        <f t="shared" ref="V600" si="600">H600/E600*1000</f>
        <v>#DIV/0!</v>
      </c>
      <c r="W600" s="395" t="e">
        <f t="shared" ref="W600" si="601">H600/F600</f>
        <v>#DIV/0!</v>
      </c>
      <c r="X600" s="532"/>
      <c r="Y600" s="523"/>
      <c r="Z600" s="393"/>
      <c r="AA600" s="400"/>
      <c r="AB600" s="394"/>
      <c r="AC600" s="394"/>
      <c r="AD600" s="394"/>
      <c r="AE600" s="394"/>
      <c r="AF600" s="394"/>
      <c r="AG600" s="394"/>
      <c r="AH600" s="394"/>
      <c r="AI600" s="394"/>
      <c r="AJ600" s="394"/>
      <c r="AK600" s="385"/>
      <c r="AL600" s="385"/>
      <c r="AM600" s="385"/>
      <c r="AN600" s="475"/>
      <c r="AO600" s="395" t="e">
        <f t="shared" ref="AO600" si="602">AA600/X600*1000</f>
        <v>#DIV/0!</v>
      </c>
      <c r="AP600" s="395" t="e">
        <f t="shared" ref="AP600" si="603">AA600/Y600</f>
        <v>#DIV/0!</v>
      </c>
      <c r="AQ600" s="532"/>
      <c r="AR600" s="523"/>
      <c r="AS600" s="393"/>
      <c r="AT600" s="400"/>
      <c r="AU600" s="394"/>
      <c r="AV600" s="394"/>
      <c r="AW600" s="394"/>
      <c r="AX600" s="394"/>
      <c r="AY600" s="394"/>
      <c r="AZ600" s="394"/>
      <c r="BA600" s="394"/>
      <c r="BB600" s="394"/>
      <c r="BC600" s="394"/>
      <c r="BD600" s="385"/>
      <c r="BE600" s="385"/>
      <c r="BF600" s="385"/>
      <c r="BG600" s="475"/>
      <c r="BH600" s="395" t="e">
        <f t="shared" ref="BH600" si="604">AT600/AQ600*1000</f>
        <v>#DIV/0!</v>
      </c>
      <c r="BI600" s="395" t="e">
        <f t="shared" ref="BI600" si="605">AT600/AR600</f>
        <v>#DIV/0!</v>
      </c>
    </row>
    <row r="601" spans="1:61" s="358" customFormat="1" ht="24.75" customHeight="1" x14ac:dyDescent="0.3">
      <c r="A601" s="354" t="s">
        <v>4621</v>
      </c>
      <c r="B601" s="603" t="s">
        <v>6300</v>
      </c>
      <c r="C601" s="587"/>
      <c r="D601" s="356">
        <v>0.4</v>
      </c>
      <c r="E601" s="389">
        <f t="shared" ref="E601:Q601" si="606">SUM(E602:E607)</f>
        <v>0</v>
      </c>
      <c r="F601" s="389">
        <f t="shared" si="606"/>
        <v>0</v>
      </c>
      <c r="G601" s="389">
        <f t="shared" si="606"/>
        <v>0</v>
      </c>
      <c r="H601" s="390">
        <f t="shared" si="606"/>
        <v>0</v>
      </c>
      <c r="I601" s="390">
        <f t="shared" si="606"/>
        <v>0</v>
      </c>
      <c r="J601" s="390">
        <f t="shared" si="606"/>
        <v>0</v>
      </c>
      <c r="K601" s="390">
        <f t="shared" si="606"/>
        <v>0</v>
      </c>
      <c r="L601" s="390">
        <f t="shared" si="606"/>
        <v>0</v>
      </c>
      <c r="M601" s="390">
        <f t="shared" si="606"/>
        <v>0</v>
      </c>
      <c r="N601" s="390">
        <f t="shared" si="606"/>
        <v>0</v>
      </c>
      <c r="O601" s="390">
        <f t="shared" si="606"/>
        <v>0</v>
      </c>
      <c r="P601" s="390">
        <f t="shared" si="606"/>
        <v>0</v>
      </c>
      <c r="Q601" s="390">
        <f t="shared" si="606"/>
        <v>0</v>
      </c>
      <c r="R601" s="391"/>
      <c r="S601" s="391"/>
      <c r="T601" s="391"/>
      <c r="U601" s="474"/>
      <c r="V601" s="392" t="e">
        <f t="shared" ref="V601" si="607">H601/E601*1000</f>
        <v>#DIV/0!</v>
      </c>
      <c r="W601" s="392" t="e">
        <f t="shared" ref="W601" si="608">H601/F601</f>
        <v>#DIV/0!</v>
      </c>
      <c r="X601" s="389">
        <f>SUM(X602:X607)</f>
        <v>950</v>
      </c>
      <c r="Y601" s="389">
        <f t="shared" ref="Y601:Z601" si="609">SUM(Y602:Y607)</f>
        <v>1902</v>
      </c>
      <c r="Z601" s="389">
        <f t="shared" si="609"/>
        <v>1902</v>
      </c>
      <c r="AA601" s="390">
        <f>SUM(AA602:AA607)</f>
        <v>4106.7793899999997</v>
      </c>
      <c r="AB601" s="390">
        <f t="shared" ref="AB601:AJ601" si="610">SUM(AB602:AB607)</f>
        <v>3405.1298999999999</v>
      </c>
      <c r="AC601" s="390">
        <f t="shared" si="610"/>
        <v>3087.2094000000002</v>
      </c>
      <c r="AD601" s="390">
        <f t="shared" si="610"/>
        <v>66.57889999999999</v>
      </c>
      <c r="AE601" s="390">
        <f t="shared" si="610"/>
        <v>241.78593999999998</v>
      </c>
      <c r="AF601" s="390">
        <f t="shared" si="610"/>
        <v>0</v>
      </c>
      <c r="AG601" s="390">
        <f t="shared" si="610"/>
        <v>0</v>
      </c>
      <c r="AH601" s="390">
        <f t="shared" si="610"/>
        <v>197.87791999999999</v>
      </c>
      <c r="AI601" s="390">
        <f t="shared" si="610"/>
        <v>5.6249700000000002</v>
      </c>
      <c r="AJ601" s="390">
        <f t="shared" si="610"/>
        <v>24.688799999999997</v>
      </c>
      <c r="AK601" s="391"/>
      <c r="AL601" s="391"/>
      <c r="AM601" s="391"/>
      <c r="AN601" s="474"/>
      <c r="AO601" s="392">
        <f t="shared" si="594"/>
        <v>4322.9256736842108</v>
      </c>
      <c r="AP601" s="392">
        <f t="shared" si="595"/>
        <v>2.1591900052576234</v>
      </c>
      <c r="AQ601" s="389">
        <f>SUM(AQ602:AQ607)</f>
        <v>0</v>
      </c>
      <c r="AR601" s="389">
        <f t="shared" ref="AR601:AS601" si="611">SUM(AR602:AR607)</f>
        <v>0</v>
      </c>
      <c r="AS601" s="389">
        <f t="shared" si="611"/>
        <v>0</v>
      </c>
      <c r="AT601" s="390">
        <f>SUM(AT602:AT607)</f>
        <v>0</v>
      </c>
      <c r="AU601" s="390">
        <f t="shared" ref="AU601:BC601" si="612">SUM(AU602:AU607)</f>
        <v>0</v>
      </c>
      <c r="AV601" s="390">
        <f t="shared" si="612"/>
        <v>0</v>
      </c>
      <c r="AW601" s="390">
        <f t="shared" si="612"/>
        <v>0</v>
      </c>
      <c r="AX601" s="390">
        <f t="shared" si="612"/>
        <v>0</v>
      </c>
      <c r="AY601" s="390">
        <f t="shared" si="612"/>
        <v>0</v>
      </c>
      <c r="AZ601" s="390">
        <f t="shared" si="612"/>
        <v>0</v>
      </c>
      <c r="BA601" s="390">
        <f t="shared" si="612"/>
        <v>0</v>
      </c>
      <c r="BB601" s="390">
        <f t="shared" si="612"/>
        <v>0</v>
      </c>
      <c r="BC601" s="390">
        <f t="shared" si="612"/>
        <v>0</v>
      </c>
      <c r="BD601" s="391"/>
      <c r="BE601" s="391"/>
      <c r="BF601" s="391"/>
      <c r="BG601" s="474"/>
      <c r="BH601" s="392" t="e">
        <f t="shared" si="577"/>
        <v>#DIV/0!</v>
      </c>
      <c r="BI601" s="392" t="e">
        <f t="shared" si="578"/>
        <v>#DIV/0!</v>
      </c>
    </row>
    <row r="602" spans="1:61" s="358" customFormat="1" ht="19.2" x14ac:dyDescent="0.3">
      <c r="A602" s="359" t="s">
        <v>178</v>
      </c>
      <c r="B602" s="572" t="s">
        <v>2607</v>
      </c>
      <c r="C602" s="547" t="s">
        <v>2606</v>
      </c>
      <c r="D602" s="360">
        <v>6</v>
      </c>
      <c r="E602" s="528"/>
      <c r="F602" s="523"/>
      <c r="G602" s="393"/>
      <c r="H602" s="576"/>
      <c r="I602" s="394"/>
      <c r="J602" s="394"/>
      <c r="K602" s="394"/>
      <c r="L602" s="394"/>
      <c r="M602" s="394"/>
      <c r="N602" s="394"/>
      <c r="O602" s="394"/>
      <c r="P602" s="394"/>
      <c r="Q602" s="394"/>
      <c r="R602" s="381"/>
      <c r="S602" s="408"/>
      <c r="T602" s="472"/>
      <c r="U602" s="475"/>
      <c r="V602" s="395"/>
      <c r="W602" s="395"/>
      <c r="X602" s="528">
        <v>30</v>
      </c>
      <c r="Y602" s="523">
        <v>800</v>
      </c>
      <c r="Z602" s="393">
        <v>800</v>
      </c>
      <c r="AA602" s="597">
        <v>250.78527</v>
      </c>
      <c r="AB602" s="394">
        <v>136.49405999999999</v>
      </c>
      <c r="AC602" s="394">
        <f>65.83962+33.91738</f>
        <v>99.757000000000005</v>
      </c>
      <c r="AD602" s="394">
        <f>4.9094+18.60915+7.3641</f>
        <v>30.882649999999998</v>
      </c>
      <c r="AE602" s="394">
        <v>45.841279999999998</v>
      </c>
      <c r="AF602" s="394">
        <v>0</v>
      </c>
      <c r="AG602" s="394">
        <v>0</v>
      </c>
      <c r="AH602" s="394">
        <v>30.992750000000001</v>
      </c>
      <c r="AI602" s="394">
        <v>0.99756999999999996</v>
      </c>
      <c r="AJ602" s="394">
        <f>2.4547+6.20305+2.4547</f>
        <v>11.112449999999999</v>
      </c>
      <c r="AK602" s="381" t="s">
        <v>167</v>
      </c>
      <c r="AL602" s="408" t="s">
        <v>175</v>
      </c>
      <c r="AM602" s="475" t="s">
        <v>4617</v>
      </c>
      <c r="AN602" s="475">
        <v>397</v>
      </c>
      <c r="AO602" s="395">
        <f t="shared" ref="AO602:AO603" si="613">AA602/X602*1000</f>
        <v>8359.509</v>
      </c>
      <c r="AP602" s="395">
        <f t="shared" ref="AP602:AP603" si="614">AA602/Y602</f>
        <v>0.31348158749999999</v>
      </c>
      <c r="AQ602" s="528"/>
      <c r="AR602" s="523"/>
      <c r="AS602" s="393"/>
      <c r="AT602" s="597"/>
      <c r="AU602" s="394"/>
      <c r="AV602" s="394"/>
      <c r="AW602" s="394"/>
      <c r="AX602" s="394"/>
      <c r="AY602" s="394"/>
      <c r="AZ602" s="394"/>
      <c r="BA602" s="394"/>
      <c r="BB602" s="394"/>
      <c r="BC602" s="394"/>
      <c r="BD602" s="381"/>
      <c r="BE602" s="408"/>
      <c r="BF602" s="475"/>
      <c r="BG602" s="475"/>
      <c r="BH602" s="395" t="e">
        <f t="shared" si="577"/>
        <v>#DIV/0!</v>
      </c>
      <c r="BI602" s="395" t="e">
        <f t="shared" si="578"/>
        <v>#DIV/0!</v>
      </c>
    </row>
    <row r="603" spans="1:61" s="358" customFormat="1" ht="19.2" x14ac:dyDescent="0.3">
      <c r="A603" s="359" t="s">
        <v>182</v>
      </c>
      <c r="B603" s="577" t="s">
        <v>2594</v>
      </c>
      <c r="C603" s="547" t="s">
        <v>2608</v>
      </c>
      <c r="D603" s="360">
        <v>6</v>
      </c>
      <c r="E603" s="552"/>
      <c r="F603" s="523"/>
      <c r="G603" s="553"/>
      <c r="H603" s="578"/>
      <c r="I603" s="555"/>
      <c r="J603" s="555"/>
      <c r="K603" s="555"/>
      <c r="L603" s="555"/>
      <c r="M603" s="555"/>
      <c r="N603" s="555"/>
      <c r="O603" s="555"/>
      <c r="P603" s="555"/>
      <c r="Q603" s="555"/>
      <c r="R603" s="381"/>
      <c r="S603" s="408"/>
      <c r="T603" s="472"/>
      <c r="U603" s="475"/>
      <c r="V603" s="395" t="e">
        <v>#DIV/0!</v>
      </c>
      <c r="W603" s="395" t="e">
        <v>#DIV/0!</v>
      </c>
      <c r="X603" s="552">
        <v>300</v>
      </c>
      <c r="Y603" s="523">
        <v>302</v>
      </c>
      <c r="Z603" s="553">
        <v>302</v>
      </c>
      <c r="AA603" s="578">
        <v>1163.0010299999999</v>
      </c>
      <c r="AB603" s="555">
        <v>985.14399000000003</v>
      </c>
      <c r="AC603" s="555">
        <v>855.24120000000005</v>
      </c>
      <c r="AD603" s="555">
        <v>9.8187999999999995</v>
      </c>
      <c r="AE603" s="555">
        <v>63.809469999999997</v>
      </c>
      <c r="AF603" s="555">
        <v>0</v>
      </c>
      <c r="AG603" s="555">
        <v>0</v>
      </c>
      <c r="AH603" s="555">
        <v>50.09695</v>
      </c>
      <c r="AI603" s="394">
        <v>1.29582</v>
      </c>
      <c r="AJ603" s="394">
        <v>2.4546999999999999</v>
      </c>
      <c r="AK603" s="381" t="s">
        <v>167</v>
      </c>
      <c r="AL603" s="408" t="s">
        <v>175</v>
      </c>
      <c r="AM603" s="475" t="s">
        <v>4617</v>
      </c>
      <c r="AN603" s="475">
        <v>401</v>
      </c>
      <c r="AO603" s="395">
        <f t="shared" si="613"/>
        <v>3876.6700999999998</v>
      </c>
      <c r="AP603" s="395">
        <f t="shared" si="614"/>
        <v>3.85099678807947</v>
      </c>
      <c r="AQ603" s="552"/>
      <c r="AR603" s="523"/>
      <c r="AS603" s="553"/>
      <c r="AT603" s="578"/>
      <c r="AU603" s="555"/>
      <c r="AV603" s="555"/>
      <c r="AW603" s="555"/>
      <c r="AX603" s="555"/>
      <c r="AY603" s="555"/>
      <c r="AZ603" s="555"/>
      <c r="BA603" s="555"/>
      <c r="BB603" s="394"/>
      <c r="BC603" s="394"/>
      <c r="BD603" s="381"/>
      <c r="BE603" s="408"/>
      <c r="BF603" s="475"/>
      <c r="BG603" s="475"/>
      <c r="BH603" s="395" t="e">
        <f t="shared" si="577"/>
        <v>#DIV/0!</v>
      </c>
      <c r="BI603" s="395" t="e">
        <f t="shared" si="578"/>
        <v>#DIV/0!</v>
      </c>
    </row>
    <row r="604" spans="1:61" s="358" customFormat="1" ht="19.2" x14ac:dyDescent="0.3">
      <c r="A604" s="359" t="s">
        <v>184</v>
      </c>
      <c r="B604" s="572" t="s">
        <v>2601</v>
      </c>
      <c r="C604" s="547" t="s">
        <v>2609</v>
      </c>
      <c r="D604" s="360">
        <v>6</v>
      </c>
      <c r="E604" s="528"/>
      <c r="F604" s="523"/>
      <c r="G604" s="393"/>
      <c r="H604" s="576"/>
      <c r="I604" s="394"/>
      <c r="J604" s="394"/>
      <c r="K604" s="394"/>
      <c r="L604" s="394"/>
      <c r="M604" s="394"/>
      <c r="N604" s="394"/>
      <c r="O604" s="394"/>
      <c r="P604" s="394"/>
      <c r="Q604" s="394"/>
      <c r="R604" s="381"/>
      <c r="S604" s="408"/>
      <c r="T604" s="472"/>
      <c r="U604" s="475"/>
      <c r="V604" s="395"/>
      <c r="W604" s="395"/>
      <c r="X604" s="528">
        <v>310</v>
      </c>
      <c r="Y604" s="523">
        <v>400</v>
      </c>
      <c r="Z604" s="393">
        <v>400</v>
      </c>
      <c r="AA604" s="597">
        <v>1340.50333</v>
      </c>
      <c r="AB604" s="394">
        <v>1138.4873500000001</v>
      </c>
      <c r="AC604" s="394">
        <v>1066.1056000000001</v>
      </c>
      <c r="AD604" s="394">
        <v>9.8371999999999993</v>
      </c>
      <c r="AE604" s="394">
        <v>66.051969999999997</v>
      </c>
      <c r="AF604" s="394">
        <v>0</v>
      </c>
      <c r="AG604" s="394">
        <v>0</v>
      </c>
      <c r="AH604" s="394">
        <v>57.392119999999998</v>
      </c>
      <c r="AI604" s="394">
        <v>1.6657900000000001</v>
      </c>
      <c r="AJ604" s="394">
        <v>2.4592999999999998</v>
      </c>
      <c r="AK604" s="381" t="s">
        <v>167</v>
      </c>
      <c r="AL604" s="408" t="s">
        <v>175</v>
      </c>
      <c r="AM604" s="475" t="s">
        <v>4617</v>
      </c>
      <c r="AN604" s="475">
        <v>406</v>
      </c>
      <c r="AO604" s="395">
        <f t="shared" ref="AO604" si="615">AA604/X604*1000</f>
        <v>4324.2042903225811</v>
      </c>
      <c r="AP604" s="395">
        <f t="shared" ref="AP604" si="616">AA604/Y604</f>
        <v>3.3512583249999999</v>
      </c>
      <c r="AQ604" s="528"/>
      <c r="AR604" s="523"/>
      <c r="AS604" s="393"/>
      <c r="AT604" s="597"/>
      <c r="AU604" s="394"/>
      <c r="AV604" s="394"/>
      <c r="AW604" s="394"/>
      <c r="AX604" s="394"/>
      <c r="AY604" s="394"/>
      <c r="AZ604" s="394"/>
      <c r="BA604" s="394"/>
      <c r="BB604" s="394"/>
      <c r="BC604" s="394"/>
      <c r="BD604" s="381"/>
      <c r="BE604" s="408"/>
      <c r="BF604" s="475"/>
      <c r="BG604" s="475"/>
      <c r="BH604" s="395" t="e">
        <f t="shared" si="577"/>
        <v>#DIV/0!</v>
      </c>
      <c r="BI604" s="395" t="e">
        <f t="shared" si="578"/>
        <v>#DIV/0!</v>
      </c>
    </row>
    <row r="605" spans="1:61" s="358" customFormat="1" ht="19.2" x14ac:dyDescent="0.3">
      <c r="A605" s="359" t="s">
        <v>186</v>
      </c>
      <c r="B605" s="572" t="s">
        <v>2601</v>
      </c>
      <c r="C605" s="547" t="s">
        <v>2610</v>
      </c>
      <c r="D605" s="360">
        <v>6</v>
      </c>
      <c r="E605" s="528"/>
      <c r="F605" s="523"/>
      <c r="G605" s="393"/>
      <c r="H605" s="576"/>
      <c r="I605" s="394"/>
      <c r="J605" s="394"/>
      <c r="K605" s="394"/>
      <c r="L605" s="394"/>
      <c r="M605" s="394"/>
      <c r="N605" s="394"/>
      <c r="O605" s="394"/>
      <c r="P605" s="394"/>
      <c r="Q605" s="394"/>
      <c r="R605" s="381"/>
      <c r="S605" s="408"/>
      <c r="T605" s="472"/>
      <c r="U605" s="475"/>
      <c r="V605" s="395"/>
      <c r="W605" s="395"/>
      <c r="X605" s="528">
        <v>310</v>
      </c>
      <c r="Y605" s="523">
        <v>400</v>
      </c>
      <c r="Z605" s="393">
        <v>400</v>
      </c>
      <c r="AA605" s="597">
        <v>1352.4897599999999</v>
      </c>
      <c r="AB605" s="394">
        <v>1145.0045</v>
      </c>
      <c r="AC605" s="394">
        <v>1066.1056000000001</v>
      </c>
      <c r="AD605" s="394">
        <f>9.8372+6.20305</f>
        <v>16.04025</v>
      </c>
      <c r="AE605" s="394">
        <v>66.083219999999997</v>
      </c>
      <c r="AF605" s="394">
        <v>0</v>
      </c>
      <c r="AG605" s="394">
        <v>0</v>
      </c>
      <c r="AH605" s="394">
        <v>59.396099999999997</v>
      </c>
      <c r="AI605" s="394">
        <v>1.6657900000000001</v>
      </c>
      <c r="AJ605" s="394">
        <f>2.4593+6.20305</f>
        <v>8.66235</v>
      </c>
      <c r="AK605" s="381" t="s">
        <v>167</v>
      </c>
      <c r="AL605" s="408" t="s">
        <v>175</v>
      </c>
      <c r="AM605" s="475" t="s">
        <v>4617</v>
      </c>
      <c r="AN605" s="475">
        <v>409</v>
      </c>
      <c r="AO605" s="395">
        <f t="shared" si="590"/>
        <v>4362.8701935483869</v>
      </c>
      <c r="AP605" s="395">
        <f t="shared" si="591"/>
        <v>3.3812243999999998</v>
      </c>
      <c r="AQ605" s="528"/>
      <c r="AR605" s="523"/>
      <c r="AS605" s="393"/>
      <c r="AT605" s="597"/>
      <c r="AU605" s="394"/>
      <c r="AV605" s="394"/>
      <c r="AW605" s="394"/>
      <c r="AX605" s="394"/>
      <c r="AY605" s="394"/>
      <c r="AZ605" s="394"/>
      <c r="BA605" s="394"/>
      <c r="BB605" s="394"/>
      <c r="BC605" s="394"/>
      <c r="BD605" s="381"/>
      <c r="BE605" s="408"/>
      <c r="BF605" s="475"/>
      <c r="BG605" s="475"/>
      <c r="BH605" s="395" t="e">
        <f t="shared" si="577"/>
        <v>#DIV/0!</v>
      </c>
      <c r="BI605" s="395" t="e">
        <f t="shared" si="578"/>
        <v>#DIV/0!</v>
      </c>
    </row>
    <row r="606" spans="1:61" s="358" customFormat="1" x14ac:dyDescent="0.3">
      <c r="A606" s="359"/>
      <c r="B606" s="602"/>
      <c r="C606" s="548"/>
      <c r="D606" s="360"/>
      <c r="E606" s="528"/>
      <c r="F606" s="523"/>
      <c r="G606" s="393"/>
      <c r="H606" s="394"/>
      <c r="I606" s="394"/>
      <c r="J606" s="394"/>
      <c r="K606" s="394"/>
      <c r="L606" s="394"/>
      <c r="M606" s="394"/>
      <c r="N606" s="394"/>
      <c r="O606" s="394"/>
      <c r="P606" s="394"/>
      <c r="Q606" s="394"/>
      <c r="R606" s="381"/>
      <c r="S606" s="408"/>
      <c r="T606" s="385"/>
      <c r="U606" s="475"/>
      <c r="V606" s="395"/>
      <c r="W606" s="395"/>
      <c r="X606" s="528"/>
      <c r="Y606" s="523"/>
      <c r="Z606" s="393"/>
      <c r="AA606" s="394"/>
      <c r="AB606" s="394"/>
      <c r="AC606" s="394"/>
      <c r="AD606" s="394"/>
      <c r="AE606" s="394"/>
      <c r="AF606" s="394"/>
      <c r="AG606" s="394"/>
      <c r="AH606" s="394"/>
      <c r="AI606" s="394"/>
      <c r="AJ606" s="394"/>
      <c r="AK606" s="381"/>
      <c r="AL606" s="408"/>
      <c r="AM606" s="385"/>
      <c r="AN606" s="475"/>
      <c r="AO606" s="395"/>
      <c r="AP606" s="395"/>
      <c r="AQ606" s="528"/>
      <c r="AR606" s="523"/>
      <c r="AS606" s="393"/>
      <c r="AT606" s="600"/>
      <c r="AU606" s="394"/>
      <c r="AV606" s="394"/>
      <c r="AW606" s="394"/>
      <c r="AX606" s="394"/>
      <c r="AY606" s="394"/>
      <c r="AZ606" s="394"/>
      <c r="BA606" s="394"/>
      <c r="BB606" s="394"/>
      <c r="BC606" s="394"/>
      <c r="BD606" s="381"/>
      <c r="BE606" s="408"/>
      <c r="BF606" s="385"/>
      <c r="BG606" s="475"/>
      <c r="BH606" s="395" t="e">
        <f t="shared" ref="BH606" si="617">AT606/AQ606*1000</f>
        <v>#DIV/0!</v>
      </c>
      <c r="BI606" s="395" t="e">
        <f t="shared" ref="BI606" si="618">AT606/AR606</f>
        <v>#DIV/0!</v>
      </c>
    </row>
    <row r="607" spans="1:61" s="358" customFormat="1" x14ac:dyDescent="0.3">
      <c r="A607" s="359"/>
      <c r="B607" s="378"/>
      <c r="C607" s="551"/>
      <c r="D607" s="360"/>
      <c r="E607" s="532"/>
      <c r="F607" s="523"/>
      <c r="G607" s="393"/>
      <c r="H607" s="400"/>
      <c r="I607" s="394"/>
      <c r="J607" s="394"/>
      <c r="K607" s="394"/>
      <c r="L607" s="394"/>
      <c r="M607" s="394"/>
      <c r="N607" s="394"/>
      <c r="O607" s="394"/>
      <c r="P607" s="394"/>
      <c r="Q607" s="394"/>
      <c r="R607" s="385"/>
      <c r="S607" s="385"/>
      <c r="T607" s="385"/>
      <c r="U607" s="475"/>
      <c r="V607" s="395" t="e">
        <f t="shared" si="310"/>
        <v>#DIV/0!</v>
      </c>
      <c r="W607" s="395" t="e">
        <f t="shared" si="311"/>
        <v>#DIV/0!</v>
      </c>
      <c r="X607" s="532"/>
      <c r="Y607" s="523"/>
      <c r="Z607" s="393"/>
      <c r="AA607" s="400"/>
      <c r="AB607" s="394"/>
      <c r="AC607" s="394"/>
      <c r="AD607" s="394"/>
      <c r="AE607" s="394"/>
      <c r="AF607" s="394"/>
      <c r="AG607" s="394"/>
      <c r="AH607" s="394"/>
      <c r="AI607" s="394"/>
      <c r="AJ607" s="394"/>
      <c r="AK607" s="385"/>
      <c r="AL607" s="385"/>
      <c r="AM607" s="385"/>
      <c r="AN607" s="475"/>
      <c r="AO607" s="395" t="e">
        <f t="shared" ref="AO607:AO626" si="619">AA607/X607*1000</f>
        <v>#DIV/0!</v>
      </c>
      <c r="AP607" s="395" t="e">
        <f t="shared" ref="AP607:AP626" si="620">AA607/Y607</f>
        <v>#DIV/0!</v>
      </c>
      <c r="AQ607" s="532"/>
      <c r="AR607" s="523"/>
      <c r="AS607" s="393"/>
      <c r="AT607" s="400"/>
      <c r="AU607" s="394"/>
      <c r="AV607" s="394"/>
      <c r="AW607" s="394"/>
      <c r="AX607" s="394"/>
      <c r="AY607" s="394"/>
      <c r="AZ607" s="394"/>
      <c r="BA607" s="394"/>
      <c r="BB607" s="394"/>
      <c r="BC607" s="394"/>
      <c r="BD607" s="385"/>
      <c r="BE607" s="385"/>
      <c r="BF607" s="385"/>
      <c r="BG607" s="475"/>
      <c r="BH607" s="395" t="e">
        <f t="shared" si="577"/>
        <v>#DIV/0!</v>
      </c>
      <c r="BI607" s="395" t="e">
        <f t="shared" si="578"/>
        <v>#DIV/0!</v>
      </c>
    </row>
    <row r="608" spans="1:61" s="358" customFormat="1" ht="24.75" customHeight="1" x14ac:dyDescent="0.3">
      <c r="A608" s="354" t="s">
        <v>4615</v>
      </c>
      <c r="B608" s="603" t="s">
        <v>6317</v>
      </c>
      <c r="C608" s="587"/>
      <c r="D608" s="356">
        <v>6</v>
      </c>
      <c r="E608" s="389">
        <f t="shared" ref="E608:Q608" si="621">SUM(E609:E611)</f>
        <v>0</v>
      </c>
      <c r="F608" s="389">
        <f t="shared" si="621"/>
        <v>0</v>
      </c>
      <c r="G608" s="389">
        <f t="shared" si="621"/>
        <v>0</v>
      </c>
      <c r="H608" s="390">
        <f t="shared" si="621"/>
        <v>0</v>
      </c>
      <c r="I608" s="390">
        <f t="shared" si="621"/>
        <v>0</v>
      </c>
      <c r="J608" s="390">
        <f t="shared" si="621"/>
        <v>0</v>
      </c>
      <c r="K608" s="390">
        <f t="shared" si="621"/>
        <v>0</v>
      </c>
      <c r="L608" s="390">
        <f t="shared" si="621"/>
        <v>0</v>
      </c>
      <c r="M608" s="390">
        <f t="shared" si="621"/>
        <v>0</v>
      </c>
      <c r="N608" s="390">
        <f t="shared" si="621"/>
        <v>0</v>
      </c>
      <c r="O608" s="390">
        <f t="shared" si="621"/>
        <v>0</v>
      </c>
      <c r="P608" s="390">
        <f t="shared" si="621"/>
        <v>0</v>
      </c>
      <c r="Q608" s="390">
        <f t="shared" si="621"/>
        <v>0</v>
      </c>
      <c r="R608" s="391"/>
      <c r="S608" s="391"/>
      <c r="T608" s="391"/>
      <c r="U608" s="474"/>
      <c r="V608" s="392" t="e">
        <f t="shared" si="310"/>
        <v>#DIV/0!</v>
      </c>
      <c r="W608" s="392" t="e">
        <f t="shared" si="311"/>
        <v>#DIV/0!</v>
      </c>
      <c r="X608" s="389">
        <f>SUM(X609:X611)</f>
        <v>269</v>
      </c>
      <c r="Y608" s="389">
        <f t="shared" ref="Y608:Z608" si="622">SUM(Y609:Y611)</f>
        <v>302</v>
      </c>
      <c r="Z608" s="389">
        <f t="shared" si="622"/>
        <v>302</v>
      </c>
      <c r="AA608" s="390">
        <f>SUM(AA609:AA611)</f>
        <v>1048.3492200000001</v>
      </c>
      <c r="AB608" s="390">
        <f t="shared" ref="AB608:AJ608" si="623">SUM(AB609:AB611)</f>
        <v>889.01208999999994</v>
      </c>
      <c r="AC608" s="390">
        <f t="shared" si="623"/>
        <v>794.52916000000005</v>
      </c>
      <c r="AD608" s="390">
        <f t="shared" si="623"/>
        <v>0</v>
      </c>
      <c r="AE608" s="390">
        <f t="shared" si="623"/>
        <v>49.322589999999998</v>
      </c>
      <c r="AF608" s="390">
        <f t="shared" si="623"/>
        <v>0</v>
      </c>
      <c r="AG608" s="390">
        <f t="shared" si="623"/>
        <v>0</v>
      </c>
      <c r="AH608" s="390">
        <f t="shared" si="623"/>
        <v>46.476849999999999</v>
      </c>
      <c r="AI608" s="390">
        <f t="shared" si="623"/>
        <v>1.47682</v>
      </c>
      <c r="AJ608" s="390">
        <f t="shared" si="623"/>
        <v>0</v>
      </c>
      <c r="AK608" s="391"/>
      <c r="AL608" s="391"/>
      <c r="AM608" s="391"/>
      <c r="AN608" s="474"/>
      <c r="AO608" s="392">
        <f t="shared" si="619"/>
        <v>3897.208996282528</v>
      </c>
      <c r="AP608" s="392">
        <f t="shared" si="620"/>
        <v>3.4713550331125829</v>
      </c>
      <c r="AQ608" s="389">
        <f>SUM(AQ609:AQ611)</f>
        <v>0</v>
      </c>
      <c r="AR608" s="389">
        <f t="shared" ref="AR608:AS608" si="624">SUM(AR609:AR611)</f>
        <v>0</v>
      </c>
      <c r="AS608" s="389">
        <f t="shared" si="624"/>
        <v>0</v>
      </c>
      <c r="AT608" s="390">
        <f>SUM(AT609:AT611)</f>
        <v>0</v>
      </c>
      <c r="AU608" s="390">
        <f t="shared" ref="AU608:BC608" si="625">SUM(AU609:AU611)</f>
        <v>0</v>
      </c>
      <c r="AV608" s="390">
        <f t="shared" si="625"/>
        <v>0</v>
      </c>
      <c r="AW608" s="390">
        <f t="shared" si="625"/>
        <v>0</v>
      </c>
      <c r="AX608" s="390">
        <f t="shared" si="625"/>
        <v>0</v>
      </c>
      <c r="AY608" s="390">
        <f t="shared" si="625"/>
        <v>0</v>
      </c>
      <c r="AZ608" s="390">
        <f t="shared" si="625"/>
        <v>0</v>
      </c>
      <c r="BA608" s="390">
        <f t="shared" si="625"/>
        <v>0</v>
      </c>
      <c r="BB608" s="390">
        <f t="shared" si="625"/>
        <v>0</v>
      </c>
      <c r="BC608" s="390">
        <f t="shared" si="625"/>
        <v>0</v>
      </c>
      <c r="BD608" s="391"/>
      <c r="BE608" s="391"/>
      <c r="BF608" s="391"/>
      <c r="BG608" s="474"/>
      <c r="BH608" s="392" t="e">
        <f t="shared" si="577"/>
        <v>#DIV/0!</v>
      </c>
      <c r="BI608" s="392" t="e">
        <f t="shared" si="578"/>
        <v>#DIV/0!</v>
      </c>
    </row>
    <row r="609" spans="1:61" s="358" customFormat="1" ht="19.2" x14ac:dyDescent="0.3">
      <c r="A609" s="359" t="s">
        <v>178</v>
      </c>
      <c r="B609" s="572" t="s">
        <v>2594</v>
      </c>
      <c r="C609" s="551" t="s">
        <v>2608</v>
      </c>
      <c r="D609" s="360">
        <v>6</v>
      </c>
      <c r="E609" s="532"/>
      <c r="F609" s="523"/>
      <c r="G609" s="393"/>
      <c r="H609" s="400"/>
      <c r="I609" s="394"/>
      <c r="J609" s="394"/>
      <c r="K609" s="394"/>
      <c r="L609" s="394"/>
      <c r="M609" s="394"/>
      <c r="N609" s="394"/>
      <c r="O609" s="394"/>
      <c r="P609" s="394"/>
      <c r="Q609" s="394"/>
      <c r="R609" s="385"/>
      <c r="S609" s="385"/>
      <c r="T609" s="385"/>
      <c r="U609" s="475"/>
      <c r="V609" s="395" t="e">
        <f t="shared" si="310"/>
        <v>#DIV/0!</v>
      </c>
      <c r="W609" s="395" t="e">
        <f t="shared" si="311"/>
        <v>#DIV/0!</v>
      </c>
      <c r="X609" s="532">
        <v>269</v>
      </c>
      <c r="Y609" s="523">
        <v>302</v>
      </c>
      <c r="Z609" s="393">
        <v>302</v>
      </c>
      <c r="AA609" s="575">
        <v>1048.3492200000001</v>
      </c>
      <c r="AB609" s="394">
        <v>889.01208999999994</v>
      </c>
      <c r="AC609" s="394">
        <v>794.52916000000005</v>
      </c>
      <c r="AD609" s="394"/>
      <c r="AE609" s="394">
        <v>49.322589999999998</v>
      </c>
      <c r="AF609" s="394">
        <v>0</v>
      </c>
      <c r="AG609" s="394">
        <v>0</v>
      </c>
      <c r="AH609" s="394">
        <v>46.476849999999999</v>
      </c>
      <c r="AI609" s="394">
        <v>1.47682</v>
      </c>
      <c r="AJ609" s="394"/>
      <c r="AK609" s="381" t="s">
        <v>167</v>
      </c>
      <c r="AL609" s="408" t="s">
        <v>175</v>
      </c>
      <c r="AM609" s="475" t="s">
        <v>4617</v>
      </c>
      <c r="AN609" s="475">
        <v>413</v>
      </c>
      <c r="AO609" s="395">
        <f t="shared" si="619"/>
        <v>3897.208996282528</v>
      </c>
      <c r="AP609" s="395">
        <f t="shared" si="620"/>
        <v>3.4713550331125829</v>
      </c>
      <c r="AQ609" s="532"/>
      <c r="AR609" s="523"/>
      <c r="AS609" s="393"/>
      <c r="AT609" s="575"/>
      <c r="AU609" s="394"/>
      <c r="AV609" s="394"/>
      <c r="AW609" s="394"/>
      <c r="AX609" s="394"/>
      <c r="AY609" s="394"/>
      <c r="AZ609" s="394"/>
      <c r="BA609" s="394"/>
      <c r="BB609" s="394"/>
      <c r="BC609" s="394"/>
      <c r="BD609" s="381"/>
      <c r="BE609" s="408"/>
      <c r="BF609" s="475"/>
      <c r="BG609" s="475"/>
      <c r="BH609" s="395" t="e">
        <f t="shared" si="577"/>
        <v>#DIV/0!</v>
      </c>
      <c r="BI609" s="395" t="e">
        <f t="shared" si="578"/>
        <v>#DIV/0!</v>
      </c>
    </row>
    <row r="610" spans="1:61" s="358" customFormat="1" x14ac:dyDescent="0.3">
      <c r="A610" s="359"/>
      <c r="B610" s="602"/>
      <c r="C610" s="548"/>
      <c r="D610" s="360"/>
      <c r="E610" s="528"/>
      <c r="F610" s="523"/>
      <c r="G610" s="393"/>
      <c r="H610" s="394"/>
      <c r="I610" s="394"/>
      <c r="J610" s="394"/>
      <c r="K610" s="394"/>
      <c r="L610" s="394"/>
      <c r="M610" s="394"/>
      <c r="N610" s="394"/>
      <c r="O610" s="394"/>
      <c r="P610" s="394"/>
      <c r="Q610" s="394"/>
      <c r="R610" s="381"/>
      <c r="S610" s="408"/>
      <c r="T610" s="385"/>
      <c r="U610" s="475"/>
      <c r="V610" s="395"/>
      <c r="W610" s="395"/>
      <c r="X610" s="528"/>
      <c r="Y610" s="523"/>
      <c r="Z610" s="393"/>
      <c r="AA610" s="394"/>
      <c r="AB610" s="394"/>
      <c r="AC610" s="394"/>
      <c r="AD610" s="394"/>
      <c r="AE610" s="394"/>
      <c r="AF610" s="394"/>
      <c r="AG610" s="394"/>
      <c r="AH610" s="394"/>
      <c r="AI610" s="394"/>
      <c r="AJ610" s="394"/>
      <c r="AK610" s="381"/>
      <c r="AL610" s="408"/>
      <c r="AM610" s="385"/>
      <c r="AN610" s="475"/>
      <c r="AO610" s="395"/>
      <c r="AP610" s="395"/>
      <c r="AQ610" s="528"/>
      <c r="AR610" s="523"/>
      <c r="AS610" s="393"/>
      <c r="AT610" s="600"/>
      <c r="AU610" s="394"/>
      <c r="AV610" s="394"/>
      <c r="AW610" s="394"/>
      <c r="AX610" s="394"/>
      <c r="AY610" s="394"/>
      <c r="AZ610" s="394"/>
      <c r="BA610" s="394"/>
      <c r="BB610" s="394"/>
      <c r="BC610" s="394"/>
      <c r="BD610" s="381"/>
      <c r="BE610" s="408"/>
      <c r="BF610" s="385"/>
      <c r="BG610" s="475"/>
      <c r="BH610" s="395" t="e">
        <f t="shared" ref="BH610" si="626">AT610/AQ610*1000</f>
        <v>#DIV/0!</v>
      </c>
      <c r="BI610" s="395" t="e">
        <f t="shared" ref="BI610" si="627">AT610/AR610</f>
        <v>#DIV/0!</v>
      </c>
    </row>
    <row r="611" spans="1:61" s="358" customFormat="1" x14ac:dyDescent="0.3">
      <c r="A611" s="359"/>
      <c r="B611" s="378"/>
      <c r="C611" s="551"/>
      <c r="D611" s="360"/>
      <c r="E611" s="532"/>
      <c r="F611" s="523"/>
      <c r="G611" s="393"/>
      <c r="H611" s="400"/>
      <c r="I611" s="394"/>
      <c r="J611" s="394"/>
      <c r="K611" s="394"/>
      <c r="L611" s="394"/>
      <c r="M611" s="394"/>
      <c r="N611" s="394"/>
      <c r="O611" s="394"/>
      <c r="P611" s="394"/>
      <c r="Q611" s="394"/>
      <c r="R611" s="385"/>
      <c r="S611" s="385"/>
      <c r="T611" s="385"/>
      <c r="U611" s="475"/>
      <c r="V611" s="395" t="e">
        <f t="shared" si="310"/>
        <v>#DIV/0!</v>
      </c>
      <c r="W611" s="395" t="e">
        <f t="shared" si="311"/>
        <v>#DIV/0!</v>
      </c>
      <c r="X611" s="532"/>
      <c r="Y611" s="523"/>
      <c r="Z611" s="393"/>
      <c r="AA611" s="400"/>
      <c r="AB611" s="394"/>
      <c r="AC611" s="394"/>
      <c r="AD611" s="394"/>
      <c r="AE611" s="394"/>
      <c r="AF611" s="394"/>
      <c r="AG611" s="394"/>
      <c r="AH611" s="394"/>
      <c r="AI611" s="394"/>
      <c r="AJ611" s="394"/>
      <c r="AK611" s="385"/>
      <c r="AL611" s="385"/>
      <c r="AM611" s="385"/>
      <c r="AN611" s="475"/>
      <c r="AO611" s="395" t="e">
        <f t="shared" si="619"/>
        <v>#DIV/0!</v>
      </c>
      <c r="AP611" s="395" t="e">
        <f t="shared" si="620"/>
        <v>#DIV/0!</v>
      </c>
      <c r="AQ611" s="532"/>
      <c r="AR611" s="523"/>
      <c r="AS611" s="393"/>
      <c r="AT611" s="400"/>
      <c r="AU611" s="394"/>
      <c r="AV611" s="394"/>
      <c r="AW611" s="394"/>
      <c r="AX611" s="394"/>
      <c r="AY611" s="394"/>
      <c r="AZ611" s="394"/>
      <c r="BA611" s="394"/>
      <c r="BB611" s="394"/>
      <c r="BC611" s="394"/>
      <c r="BD611" s="385"/>
      <c r="BE611" s="385"/>
      <c r="BF611" s="385"/>
      <c r="BG611" s="475"/>
      <c r="BH611" s="395" t="e">
        <f t="shared" si="577"/>
        <v>#DIV/0!</v>
      </c>
      <c r="BI611" s="395" t="e">
        <f t="shared" si="578"/>
        <v>#DIV/0!</v>
      </c>
    </row>
    <row r="612" spans="1:61" s="358" customFormat="1" ht="86.4" x14ac:dyDescent="0.3">
      <c r="A612" s="417" t="s">
        <v>6318</v>
      </c>
      <c r="B612" s="418" t="s">
        <v>6319</v>
      </c>
      <c r="C612" s="589"/>
      <c r="D612" s="419"/>
      <c r="E612" s="420">
        <f t="shared" ref="E612:Q612" si="628">E613+E616</f>
        <v>0</v>
      </c>
      <c r="F612" s="420">
        <f t="shared" si="628"/>
        <v>0</v>
      </c>
      <c r="G612" s="420">
        <f t="shared" si="628"/>
        <v>0</v>
      </c>
      <c r="H612" s="421">
        <f t="shared" si="628"/>
        <v>0</v>
      </c>
      <c r="I612" s="421">
        <f t="shared" si="628"/>
        <v>0</v>
      </c>
      <c r="J612" s="421">
        <f t="shared" si="628"/>
        <v>0</v>
      </c>
      <c r="K612" s="421">
        <f t="shared" si="628"/>
        <v>0</v>
      </c>
      <c r="L612" s="421">
        <f t="shared" si="628"/>
        <v>0</v>
      </c>
      <c r="M612" s="421">
        <f t="shared" si="628"/>
        <v>0</v>
      </c>
      <c r="N612" s="421">
        <f t="shared" si="628"/>
        <v>0</v>
      </c>
      <c r="O612" s="421">
        <f t="shared" si="628"/>
        <v>0</v>
      </c>
      <c r="P612" s="421">
        <f t="shared" si="628"/>
        <v>0</v>
      </c>
      <c r="Q612" s="421">
        <f t="shared" si="628"/>
        <v>0</v>
      </c>
      <c r="R612" s="422"/>
      <c r="S612" s="422"/>
      <c r="T612" s="422"/>
      <c r="U612" s="476"/>
      <c r="V612" s="423" t="e">
        <f t="shared" si="310"/>
        <v>#DIV/0!</v>
      </c>
      <c r="W612" s="423" t="e">
        <f t="shared" si="311"/>
        <v>#DIV/0!</v>
      </c>
      <c r="X612" s="420">
        <f t="shared" ref="X612:AJ612" si="629">X613+X616</f>
        <v>0</v>
      </c>
      <c r="Y612" s="420">
        <f t="shared" si="629"/>
        <v>0</v>
      </c>
      <c r="Z612" s="420">
        <f t="shared" si="629"/>
        <v>0</v>
      </c>
      <c r="AA612" s="421">
        <f t="shared" si="629"/>
        <v>0</v>
      </c>
      <c r="AB612" s="421">
        <f t="shared" si="629"/>
        <v>0</v>
      </c>
      <c r="AC612" s="421">
        <f t="shared" si="629"/>
        <v>0</v>
      </c>
      <c r="AD612" s="421">
        <f t="shared" si="629"/>
        <v>0</v>
      </c>
      <c r="AE612" s="421">
        <f t="shared" si="629"/>
        <v>0</v>
      </c>
      <c r="AF612" s="421">
        <f t="shared" si="629"/>
        <v>0</v>
      </c>
      <c r="AG612" s="421">
        <f t="shared" si="629"/>
        <v>0</v>
      </c>
      <c r="AH612" s="421">
        <f t="shared" si="629"/>
        <v>0</v>
      </c>
      <c r="AI612" s="421">
        <f t="shared" si="629"/>
        <v>0</v>
      </c>
      <c r="AJ612" s="421">
        <f t="shared" si="629"/>
        <v>0</v>
      </c>
      <c r="AK612" s="422"/>
      <c r="AL612" s="422"/>
      <c r="AM612" s="422"/>
      <c r="AN612" s="476"/>
      <c r="AO612" s="423" t="e">
        <f t="shared" si="619"/>
        <v>#DIV/0!</v>
      </c>
      <c r="AP612" s="423" t="e">
        <f t="shared" si="620"/>
        <v>#DIV/0!</v>
      </c>
      <c r="AQ612" s="420">
        <f t="shared" ref="AQ612:BC612" si="630">AQ613+AQ616</f>
        <v>0</v>
      </c>
      <c r="AR612" s="420">
        <f t="shared" si="630"/>
        <v>0</v>
      </c>
      <c r="AS612" s="420">
        <f t="shared" si="630"/>
        <v>0</v>
      </c>
      <c r="AT612" s="421">
        <f t="shared" si="630"/>
        <v>0</v>
      </c>
      <c r="AU612" s="421">
        <f t="shared" si="630"/>
        <v>0</v>
      </c>
      <c r="AV612" s="421">
        <f t="shared" si="630"/>
        <v>0</v>
      </c>
      <c r="AW612" s="421">
        <f t="shared" si="630"/>
        <v>0</v>
      </c>
      <c r="AX612" s="421">
        <f t="shared" si="630"/>
        <v>0</v>
      </c>
      <c r="AY612" s="421">
        <f t="shared" si="630"/>
        <v>0</v>
      </c>
      <c r="AZ612" s="421">
        <f t="shared" si="630"/>
        <v>0</v>
      </c>
      <c r="BA612" s="421">
        <f t="shared" si="630"/>
        <v>0</v>
      </c>
      <c r="BB612" s="421">
        <f t="shared" si="630"/>
        <v>0</v>
      </c>
      <c r="BC612" s="421">
        <f t="shared" si="630"/>
        <v>0</v>
      </c>
      <c r="BD612" s="422"/>
      <c r="BE612" s="422"/>
      <c r="BF612" s="422"/>
      <c r="BG612" s="476"/>
      <c r="BH612" s="423" t="e">
        <f t="shared" si="577"/>
        <v>#DIV/0!</v>
      </c>
      <c r="BI612" s="423" t="e">
        <f t="shared" si="578"/>
        <v>#DIV/0!</v>
      </c>
    </row>
    <row r="613" spans="1:61" s="358" customFormat="1" ht="24.75" customHeight="1" x14ac:dyDescent="0.3">
      <c r="A613" s="354" t="s">
        <v>178</v>
      </c>
      <c r="B613" s="355" t="s">
        <v>4396</v>
      </c>
      <c r="C613" s="587"/>
      <c r="D613" s="356">
        <v>0.4</v>
      </c>
      <c r="E613" s="389">
        <f t="shared" ref="E613:Q613" si="631">SUM(E614:E615)</f>
        <v>0</v>
      </c>
      <c r="F613" s="389">
        <f t="shared" si="631"/>
        <v>0</v>
      </c>
      <c r="G613" s="389">
        <f t="shared" si="631"/>
        <v>0</v>
      </c>
      <c r="H613" s="390">
        <f t="shared" si="631"/>
        <v>0</v>
      </c>
      <c r="I613" s="390">
        <f t="shared" si="631"/>
        <v>0</v>
      </c>
      <c r="J613" s="390">
        <f t="shared" si="631"/>
        <v>0</v>
      </c>
      <c r="K613" s="390">
        <f t="shared" si="631"/>
        <v>0</v>
      </c>
      <c r="L613" s="390">
        <f t="shared" si="631"/>
        <v>0</v>
      </c>
      <c r="M613" s="390">
        <f t="shared" si="631"/>
        <v>0</v>
      </c>
      <c r="N613" s="390">
        <f t="shared" si="631"/>
        <v>0</v>
      </c>
      <c r="O613" s="390">
        <f t="shared" si="631"/>
        <v>0</v>
      </c>
      <c r="P613" s="390">
        <f t="shared" si="631"/>
        <v>0</v>
      </c>
      <c r="Q613" s="390">
        <f t="shared" si="631"/>
        <v>0</v>
      </c>
      <c r="R613" s="391"/>
      <c r="S613" s="391"/>
      <c r="T613" s="391"/>
      <c r="U613" s="474"/>
      <c r="V613" s="392" t="e">
        <f t="shared" ref="V613:V622" si="632">H613/E613*1000</f>
        <v>#DIV/0!</v>
      </c>
      <c r="W613" s="392" t="e">
        <f t="shared" ref="W613:W622" si="633">H613/F613</f>
        <v>#DIV/0!</v>
      </c>
      <c r="X613" s="389">
        <f t="shared" ref="X613:AJ613" si="634">SUM(X614:X615)</f>
        <v>0</v>
      </c>
      <c r="Y613" s="389">
        <f t="shared" si="634"/>
        <v>0</v>
      </c>
      <c r="Z613" s="389">
        <f t="shared" si="634"/>
        <v>0</v>
      </c>
      <c r="AA613" s="390">
        <f t="shared" si="634"/>
        <v>0</v>
      </c>
      <c r="AB613" s="390">
        <f t="shared" si="634"/>
        <v>0</v>
      </c>
      <c r="AC613" s="390">
        <f t="shared" si="634"/>
        <v>0</v>
      </c>
      <c r="AD613" s="390">
        <f t="shared" si="634"/>
        <v>0</v>
      </c>
      <c r="AE613" s="390">
        <f t="shared" si="634"/>
        <v>0</v>
      </c>
      <c r="AF613" s="390">
        <f t="shared" si="634"/>
        <v>0</v>
      </c>
      <c r="AG613" s="390">
        <f t="shared" si="634"/>
        <v>0</v>
      </c>
      <c r="AH613" s="390">
        <f t="shared" si="634"/>
        <v>0</v>
      </c>
      <c r="AI613" s="390">
        <f t="shared" si="634"/>
        <v>0</v>
      </c>
      <c r="AJ613" s="390">
        <f t="shared" si="634"/>
        <v>0</v>
      </c>
      <c r="AK613" s="391"/>
      <c r="AL613" s="391"/>
      <c r="AM613" s="391"/>
      <c r="AN613" s="474"/>
      <c r="AO613" s="392" t="e">
        <f t="shared" si="619"/>
        <v>#DIV/0!</v>
      </c>
      <c r="AP613" s="392" t="e">
        <f t="shared" si="620"/>
        <v>#DIV/0!</v>
      </c>
      <c r="AQ613" s="389">
        <f t="shared" ref="AQ613:BC613" si="635">SUM(AQ614:AQ615)</f>
        <v>0</v>
      </c>
      <c r="AR613" s="389">
        <f t="shared" si="635"/>
        <v>0</v>
      </c>
      <c r="AS613" s="389">
        <f t="shared" si="635"/>
        <v>0</v>
      </c>
      <c r="AT613" s="390">
        <f t="shared" si="635"/>
        <v>0</v>
      </c>
      <c r="AU613" s="390">
        <f t="shared" si="635"/>
        <v>0</v>
      </c>
      <c r="AV613" s="390">
        <f t="shared" si="635"/>
        <v>0</v>
      </c>
      <c r="AW613" s="390">
        <f t="shared" si="635"/>
        <v>0</v>
      </c>
      <c r="AX613" s="390">
        <f t="shared" si="635"/>
        <v>0</v>
      </c>
      <c r="AY613" s="390">
        <f t="shared" si="635"/>
        <v>0</v>
      </c>
      <c r="AZ613" s="390">
        <f t="shared" si="635"/>
        <v>0</v>
      </c>
      <c r="BA613" s="390">
        <f t="shared" si="635"/>
        <v>0</v>
      </c>
      <c r="BB613" s="390">
        <f t="shared" si="635"/>
        <v>0</v>
      </c>
      <c r="BC613" s="390">
        <f t="shared" si="635"/>
        <v>0</v>
      </c>
      <c r="BD613" s="391"/>
      <c r="BE613" s="391"/>
      <c r="BF613" s="391"/>
      <c r="BG613" s="474"/>
      <c r="BH613" s="392" t="e">
        <f t="shared" si="577"/>
        <v>#DIV/0!</v>
      </c>
      <c r="BI613" s="392" t="e">
        <f t="shared" si="578"/>
        <v>#DIV/0!</v>
      </c>
    </row>
    <row r="614" spans="1:61" s="358" customFormat="1" x14ac:dyDescent="0.3">
      <c r="A614" s="359"/>
      <c r="B614" s="378"/>
      <c r="C614" s="547"/>
      <c r="D614" s="360">
        <v>0.4</v>
      </c>
      <c r="E614" s="524"/>
      <c r="F614" s="524"/>
      <c r="G614" s="524"/>
      <c r="H614" s="401"/>
      <c r="I614" s="394"/>
      <c r="J614" s="394"/>
      <c r="K614" s="394"/>
      <c r="L614" s="394"/>
      <c r="M614" s="394"/>
      <c r="N614" s="394"/>
      <c r="O614" s="394"/>
      <c r="P614" s="394"/>
      <c r="Q614" s="394"/>
      <c r="R614" s="385"/>
      <c r="S614" s="385"/>
      <c r="T614" s="385"/>
      <c r="U614" s="475"/>
      <c r="V614" s="395" t="e">
        <f t="shared" si="632"/>
        <v>#DIV/0!</v>
      </c>
      <c r="W614" s="395" t="e">
        <f t="shared" si="633"/>
        <v>#DIV/0!</v>
      </c>
      <c r="X614" s="524"/>
      <c r="Y614" s="524"/>
      <c r="Z614" s="524"/>
      <c r="AA614" s="401"/>
      <c r="AB614" s="394"/>
      <c r="AC614" s="394"/>
      <c r="AD614" s="394"/>
      <c r="AE614" s="394"/>
      <c r="AF614" s="394"/>
      <c r="AG614" s="394"/>
      <c r="AH614" s="394"/>
      <c r="AI614" s="394"/>
      <c r="AJ614" s="394"/>
      <c r="AK614" s="385"/>
      <c r="AL614" s="385"/>
      <c r="AM614" s="385"/>
      <c r="AN614" s="475"/>
      <c r="AO614" s="395" t="e">
        <f t="shared" si="619"/>
        <v>#DIV/0!</v>
      </c>
      <c r="AP614" s="395" t="e">
        <f t="shared" si="620"/>
        <v>#DIV/0!</v>
      </c>
      <c r="AQ614" s="524"/>
      <c r="AR614" s="524"/>
      <c r="AS614" s="524"/>
      <c r="AT614" s="401"/>
      <c r="AU614" s="394"/>
      <c r="AV614" s="394"/>
      <c r="AW614" s="394"/>
      <c r="AX614" s="394"/>
      <c r="AY614" s="394"/>
      <c r="AZ614" s="394"/>
      <c r="BA614" s="394"/>
      <c r="BB614" s="394"/>
      <c r="BC614" s="394"/>
      <c r="BD614" s="385"/>
      <c r="BE614" s="385"/>
      <c r="BF614" s="385"/>
      <c r="BG614" s="475"/>
      <c r="BH614" s="395" t="e">
        <f t="shared" si="577"/>
        <v>#DIV/0!</v>
      </c>
      <c r="BI614" s="395" t="e">
        <f t="shared" si="578"/>
        <v>#DIV/0!</v>
      </c>
    </row>
    <row r="615" spans="1:61" s="358" customFormat="1" x14ac:dyDescent="0.3">
      <c r="A615" s="359"/>
      <c r="B615" s="378"/>
      <c r="C615" s="547"/>
      <c r="D615" s="360"/>
      <c r="E615" s="533"/>
      <c r="F615" s="534"/>
      <c r="G615" s="393"/>
      <c r="H615" s="401"/>
      <c r="I615" s="394"/>
      <c r="J615" s="394"/>
      <c r="K615" s="394"/>
      <c r="L615" s="394"/>
      <c r="M615" s="394"/>
      <c r="N615" s="394"/>
      <c r="O615" s="394"/>
      <c r="P615" s="394"/>
      <c r="Q615" s="394"/>
      <c r="R615" s="385"/>
      <c r="S615" s="385"/>
      <c r="T615" s="385"/>
      <c r="U615" s="475"/>
      <c r="V615" s="395" t="e">
        <f t="shared" si="632"/>
        <v>#DIV/0!</v>
      </c>
      <c r="W615" s="395" t="e">
        <f t="shared" si="633"/>
        <v>#DIV/0!</v>
      </c>
      <c r="X615" s="533"/>
      <c r="Y615" s="534"/>
      <c r="Z615" s="393"/>
      <c r="AA615" s="401"/>
      <c r="AB615" s="394"/>
      <c r="AC615" s="394"/>
      <c r="AD615" s="394"/>
      <c r="AE615" s="394"/>
      <c r="AF615" s="394"/>
      <c r="AG615" s="394"/>
      <c r="AH615" s="394"/>
      <c r="AI615" s="394"/>
      <c r="AJ615" s="394"/>
      <c r="AK615" s="385"/>
      <c r="AL615" s="385"/>
      <c r="AM615" s="385"/>
      <c r="AN615" s="475"/>
      <c r="AO615" s="395" t="e">
        <f t="shared" si="619"/>
        <v>#DIV/0!</v>
      </c>
      <c r="AP615" s="395" t="e">
        <f t="shared" si="620"/>
        <v>#DIV/0!</v>
      </c>
      <c r="AQ615" s="533"/>
      <c r="AR615" s="534"/>
      <c r="AS615" s="393"/>
      <c r="AT615" s="401"/>
      <c r="AU615" s="394"/>
      <c r="AV615" s="394"/>
      <c r="AW615" s="394"/>
      <c r="AX615" s="394"/>
      <c r="AY615" s="394"/>
      <c r="AZ615" s="394"/>
      <c r="BA615" s="394"/>
      <c r="BB615" s="394"/>
      <c r="BC615" s="394"/>
      <c r="BD615" s="385"/>
      <c r="BE615" s="385"/>
      <c r="BF615" s="385"/>
      <c r="BG615" s="475"/>
      <c r="BH615" s="395" t="e">
        <f t="shared" si="577"/>
        <v>#DIV/0!</v>
      </c>
      <c r="BI615" s="395" t="e">
        <f t="shared" si="578"/>
        <v>#DIV/0!</v>
      </c>
    </row>
    <row r="616" spans="1:61" s="358" customFormat="1" ht="24.75" customHeight="1" x14ac:dyDescent="0.3">
      <c r="A616" s="354" t="s">
        <v>4</v>
      </c>
      <c r="B616" s="355" t="s">
        <v>232</v>
      </c>
      <c r="C616" s="587"/>
      <c r="D616" s="356">
        <v>6</v>
      </c>
      <c r="E616" s="389">
        <f t="shared" ref="E616:Q616" si="636">SUM(E617:E618)</f>
        <v>0</v>
      </c>
      <c r="F616" s="389">
        <f t="shared" si="636"/>
        <v>0</v>
      </c>
      <c r="G616" s="389">
        <f t="shared" si="636"/>
        <v>0</v>
      </c>
      <c r="H616" s="390">
        <f t="shared" si="636"/>
        <v>0</v>
      </c>
      <c r="I616" s="390">
        <f t="shared" si="636"/>
        <v>0</v>
      </c>
      <c r="J616" s="390">
        <f t="shared" si="636"/>
        <v>0</v>
      </c>
      <c r="K616" s="390">
        <f t="shared" si="636"/>
        <v>0</v>
      </c>
      <c r="L616" s="390">
        <f t="shared" si="636"/>
        <v>0</v>
      </c>
      <c r="M616" s="390">
        <f t="shared" si="636"/>
        <v>0</v>
      </c>
      <c r="N616" s="390">
        <f t="shared" si="636"/>
        <v>0</v>
      </c>
      <c r="O616" s="390">
        <f t="shared" si="636"/>
        <v>0</v>
      </c>
      <c r="P616" s="390">
        <f t="shared" si="636"/>
        <v>0</v>
      </c>
      <c r="Q616" s="390">
        <f t="shared" si="636"/>
        <v>0</v>
      </c>
      <c r="R616" s="391"/>
      <c r="S616" s="391"/>
      <c r="T616" s="391"/>
      <c r="U616" s="474"/>
      <c r="V616" s="392" t="e">
        <f t="shared" si="632"/>
        <v>#DIV/0!</v>
      </c>
      <c r="W616" s="392" t="e">
        <f t="shared" si="633"/>
        <v>#DIV/0!</v>
      </c>
      <c r="X616" s="389">
        <f t="shared" ref="X616:AJ616" si="637">SUM(X617:X618)</f>
        <v>0</v>
      </c>
      <c r="Y616" s="389">
        <f t="shared" si="637"/>
        <v>0</v>
      </c>
      <c r="Z616" s="389">
        <f t="shared" si="637"/>
        <v>0</v>
      </c>
      <c r="AA616" s="390">
        <f t="shared" si="637"/>
        <v>0</v>
      </c>
      <c r="AB616" s="390">
        <f t="shared" si="637"/>
        <v>0</v>
      </c>
      <c r="AC616" s="390">
        <f t="shared" si="637"/>
        <v>0</v>
      </c>
      <c r="AD616" s="390">
        <f t="shared" si="637"/>
        <v>0</v>
      </c>
      <c r="AE616" s="390">
        <f t="shared" si="637"/>
        <v>0</v>
      </c>
      <c r="AF616" s="390">
        <f t="shared" si="637"/>
        <v>0</v>
      </c>
      <c r="AG616" s="390">
        <f t="shared" si="637"/>
        <v>0</v>
      </c>
      <c r="AH616" s="390">
        <f t="shared" si="637"/>
        <v>0</v>
      </c>
      <c r="AI616" s="390">
        <f t="shared" si="637"/>
        <v>0</v>
      </c>
      <c r="AJ616" s="390">
        <f t="shared" si="637"/>
        <v>0</v>
      </c>
      <c r="AK616" s="391"/>
      <c r="AL616" s="391"/>
      <c r="AM616" s="391"/>
      <c r="AN616" s="474"/>
      <c r="AO616" s="392" t="e">
        <f t="shared" si="619"/>
        <v>#DIV/0!</v>
      </c>
      <c r="AP616" s="392" t="e">
        <f t="shared" si="620"/>
        <v>#DIV/0!</v>
      </c>
      <c r="AQ616" s="389">
        <f t="shared" ref="AQ616:BC616" si="638">SUM(AQ617:AQ618)</f>
        <v>0</v>
      </c>
      <c r="AR616" s="389">
        <f t="shared" si="638"/>
        <v>0</v>
      </c>
      <c r="AS616" s="389">
        <f t="shared" si="638"/>
        <v>0</v>
      </c>
      <c r="AT616" s="390">
        <f t="shared" si="638"/>
        <v>0</v>
      </c>
      <c r="AU616" s="390">
        <f t="shared" si="638"/>
        <v>0</v>
      </c>
      <c r="AV616" s="390">
        <f t="shared" si="638"/>
        <v>0</v>
      </c>
      <c r="AW616" s="390">
        <f t="shared" si="638"/>
        <v>0</v>
      </c>
      <c r="AX616" s="390">
        <f t="shared" si="638"/>
        <v>0</v>
      </c>
      <c r="AY616" s="390">
        <f t="shared" si="638"/>
        <v>0</v>
      </c>
      <c r="AZ616" s="390">
        <f t="shared" si="638"/>
        <v>0</v>
      </c>
      <c r="BA616" s="390">
        <f t="shared" si="638"/>
        <v>0</v>
      </c>
      <c r="BB616" s="390">
        <f t="shared" si="638"/>
        <v>0</v>
      </c>
      <c r="BC616" s="390">
        <f t="shared" si="638"/>
        <v>0</v>
      </c>
      <c r="BD616" s="391"/>
      <c r="BE616" s="391"/>
      <c r="BF616" s="391"/>
      <c r="BG616" s="474"/>
      <c r="BH616" s="392" t="e">
        <f t="shared" si="577"/>
        <v>#DIV/0!</v>
      </c>
      <c r="BI616" s="392" t="e">
        <f t="shared" si="578"/>
        <v>#DIV/0!</v>
      </c>
    </row>
    <row r="617" spans="1:61" s="358" customFormat="1" x14ac:dyDescent="0.3">
      <c r="A617" s="359"/>
      <c r="B617" s="572"/>
      <c r="C617" s="547"/>
      <c r="D617" s="360">
        <v>6</v>
      </c>
      <c r="E617" s="528"/>
      <c r="F617" s="393"/>
      <c r="G617" s="393"/>
      <c r="H617" s="575"/>
      <c r="I617" s="394"/>
      <c r="J617" s="394"/>
      <c r="K617" s="394"/>
      <c r="L617" s="394"/>
      <c r="M617" s="394"/>
      <c r="N617" s="394"/>
      <c r="O617" s="394"/>
      <c r="P617" s="394"/>
      <c r="Q617" s="394"/>
      <c r="R617" s="381"/>
      <c r="S617" s="408"/>
      <c r="T617" s="385"/>
      <c r="U617" s="475"/>
      <c r="V617" s="395"/>
      <c r="W617" s="395"/>
      <c r="X617" s="528"/>
      <c r="Y617" s="393"/>
      <c r="Z617" s="393"/>
      <c r="AA617" s="575"/>
      <c r="AB617" s="394"/>
      <c r="AC617" s="394"/>
      <c r="AD617" s="394"/>
      <c r="AE617" s="394"/>
      <c r="AF617" s="394"/>
      <c r="AG617" s="394"/>
      <c r="AH617" s="394"/>
      <c r="AI617" s="394"/>
      <c r="AJ617" s="394"/>
      <c r="AK617" s="381"/>
      <c r="AL617" s="408"/>
      <c r="AM617" s="385"/>
      <c r="AN617" s="475"/>
      <c r="AO617" s="392" t="e">
        <f t="shared" si="619"/>
        <v>#DIV/0!</v>
      </c>
      <c r="AP617" s="392" t="e">
        <f t="shared" si="620"/>
        <v>#DIV/0!</v>
      </c>
      <c r="AQ617" s="528"/>
      <c r="AR617" s="393"/>
      <c r="AS617" s="393"/>
      <c r="AT617" s="575"/>
      <c r="AU617" s="394"/>
      <c r="AV617" s="394"/>
      <c r="AW617" s="394"/>
      <c r="AX617" s="394"/>
      <c r="AY617" s="394"/>
      <c r="AZ617" s="394"/>
      <c r="BA617" s="394"/>
      <c r="BB617" s="394"/>
      <c r="BC617" s="394"/>
      <c r="BD617" s="381"/>
      <c r="BE617" s="408"/>
      <c r="BF617" s="385"/>
      <c r="BG617" s="475"/>
      <c r="BH617" s="395" t="e">
        <f t="shared" ref="BH617" si="639">AT617/AQ617*1000</f>
        <v>#DIV/0!</v>
      </c>
      <c r="BI617" s="395" t="e">
        <f t="shared" ref="BI617" si="640">AT617/AR617</f>
        <v>#DIV/0!</v>
      </c>
    </row>
    <row r="618" spans="1:61" s="358" customFormat="1" x14ac:dyDescent="0.3">
      <c r="A618" s="359"/>
      <c r="B618" s="378"/>
      <c r="C618" s="546"/>
      <c r="D618" s="360"/>
      <c r="E618" s="523"/>
      <c r="F618" s="523"/>
      <c r="G618" s="393"/>
      <c r="H618" s="399"/>
      <c r="I618" s="394"/>
      <c r="J618" s="394"/>
      <c r="K618" s="394"/>
      <c r="L618" s="394"/>
      <c r="M618" s="394"/>
      <c r="N618" s="394"/>
      <c r="O618" s="394"/>
      <c r="P618" s="394"/>
      <c r="Q618" s="394"/>
      <c r="R618" s="385"/>
      <c r="S618" s="385"/>
      <c r="T618" s="385"/>
      <c r="U618" s="475"/>
      <c r="V618" s="395" t="e">
        <f t="shared" si="632"/>
        <v>#DIV/0!</v>
      </c>
      <c r="W618" s="395" t="e">
        <f t="shared" si="633"/>
        <v>#DIV/0!</v>
      </c>
      <c r="X618" s="523"/>
      <c r="Y618" s="523"/>
      <c r="Z618" s="393"/>
      <c r="AA618" s="399"/>
      <c r="AB618" s="394"/>
      <c r="AC618" s="394"/>
      <c r="AD618" s="394"/>
      <c r="AE618" s="394"/>
      <c r="AF618" s="394"/>
      <c r="AG618" s="394"/>
      <c r="AH618" s="394"/>
      <c r="AI618" s="394"/>
      <c r="AJ618" s="394"/>
      <c r="AK618" s="385"/>
      <c r="AL618" s="385"/>
      <c r="AM618" s="385"/>
      <c r="AN618" s="475"/>
      <c r="AO618" s="395" t="e">
        <f t="shared" si="619"/>
        <v>#DIV/0!</v>
      </c>
      <c r="AP618" s="395" t="e">
        <f t="shared" si="620"/>
        <v>#DIV/0!</v>
      </c>
      <c r="AQ618" s="523"/>
      <c r="AR618" s="523"/>
      <c r="AS618" s="393"/>
      <c r="AT618" s="399"/>
      <c r="AU618" s="394"/>
      <c r="AV618" s="394"/>
      <c r="AW618" s="394"/>
      <c r="AX618" s="394"/>
      <c r="AY618" s="394"/>
      <c r="AZ618" s="394"/>
      <c r="BA618" s="394"/>
      <c r="BB618" s="394"/>
      <c r="BC618" s="394"/>
      <c r="BD618" s="385"/>
      <c r="BE618" s="385"/>
      <c r="BF618" s="385"/>
      <c r="BG618" s="475"/>
      <c r="BH618" s="395" t="e">
        <f t="shared" si="577"/>
        <v>#DIV/0!</v>
      </c>
      <c r="BI618" s="395" t="e">
        <f t="shared" si="578"/>
        <v>#DIV/0!</v>
      </c>
    </row>
    <row r="619" spans="1:61" s="358" customFormat="1" ht="100.8" x14ac:dyDescent="0.3">
      <c r="A619" s="417" t="s">
        <v>4623</v>
      </c>
      <c r="B619" s="418" t="s">
        <v>6320</v>
      </c>
      <c r="C619" s="595" t="s">
        <v>233</v>
      </c>
      <c r="D619" s="419"/>
      <c r="E619" s="420">
        <f t="shared" ref="E619:Q619" si="641">E620+E624+E629+E634+E638+E644+E648+E654+E660</f>
        <v>1140.7</v>
      </c>
      <c r="F619" s="420">
        <f t="shared" si="641"/>
        <v>1160</v>
      </c>
      <c r="G619" s="420">
        <f t="shared" si="641"/>
        <v>1160</v>
      </c>
      <c r="H619" s="421">
        <f t="shared" si="641"/>
        <v>13295.482379999999</v>
      </c>
      <c r="I619" s="421">
        <f t="shared" si="641"/>
        <v>3975.6074400000007</v>
      </c>
      <c r="J619" s="421">
        <f t="shared" si="641"/>
        <v>2895.1083200000003</v>
      </c>
      <c r="K619" s="421">
        <f t="shared" si="641"/>
        <v>150.48033999999998</v>
      </c>
      <c r="L619" s="421">
        <f t="shared" si="641"/>
        <v>6348.5284200000006</v>
      </c>
      <c r="M619" s="421">
        <f t="shared" si="641"/>
        <v>0</v>
      </c>
      <c r="N619" s="421">
        <f t="shared" si="641"/>
        <v>0</v>
      </c>
      <c r="O619" s="421">
        <f t="shared" si="641"/>
        <v>1686.3952100000001</v>
      </c>
      <c r="P619" s="421">
        <f t="shared" si="641"/>
        <v>4574.57</v>
      </c>
      <c r="Q619" s="421">
        <f t="shared" si="641"/>
        <v>39.321809999999999</v>
      </c>
      <c r="R619" s="422"/>
      <c r="S619" s="422"/>
      <c r="T619" s="422"/>
      <c r="U619" s="476"/>
      <c r="V619" s="423">
        <f t="shared" si="632"/>
        <v>11655.546927325326</v>
      </c>
      <c r="W619" s="423">
        <f t="shared" si="633"/>
        <v>11.46162274137931</v>
      </c>
      <c r="X619" s="420">
        <f t="shared" ref="X619:AJ619" si="642">X620+X624+X629+X634+X638+X644+X648+X654+X660</f>
        <v>1359.2</v>
      </c>
      <c r="Y619" s="420">
        <f t="shared" si="642"/>
        <v>2200</v>
      </c>
      <c r="Z619" s="420">
        <f t="shared" si="642"/>
        <v>2200</v>
      </c>
      <c r="AA619" s="421">
        <f t="shared" si="642"/>
        <v>11759.421829999999</v>
      </c>
      <c r="AB619" s="421">
        <f t="shared" si="642"/>
        <v>3226.4393600000003</v>
      </c>
      <c r="AC619" s="421">
        <f t="shared" si="642"/>
        <v>2300.6391100000001</v>
      </c>
      <c r="AD619" s="421">
        <f t="shared" si="642"/>
        <v>14.909459999999999</v>
      </c>
      <c r="AE619" s="421">
        <f t="shared" si="642"/>
        <v>6216.3809999999994</v>
      </c>
      <c r="AF619" s="421">
        <f t="shared" si="642"/>
        <v>0</v>
      </c>
      <c r="AG619" s="421">
        <f t="shared" si="642"/>
        <v>0</v>
      </c>
      <c r="AH619" s="421">
        <f t="shared" si="642"/>
        <v>1323.87556</v>
      </c>
      <c r="AI619" s="421">
        <f t="shared" si="642"/>
        <v>9.21035</v>
      </c>
      <c r="AJ619" s="421">
        <f t="shared" si="642"/>
        <v>4.9698200000000003</v>
      </c>
      <c r="AK619" s="422"/>
      <c r="AL619" s="422"/>
      <c r="AM619" s="422"/>
      <c r="AN619" s="476"/>
      <c r="AO619" s="423">
        <f t="shared" si="619"/>
        <v>8651.7229473219541</v>
      </c>
      <c r="AP619" s="423">
        <f t="shared" si="620"/>
        <v>5.3451917409090903</v>
      </c>
      <c r="AQ619" s="420">
        <f>AQ620+AQ624+AQ629+AQ634+AQ638+AQ644+AQ648+AQ654+AQ660</f>
        <v>592</v>
      </c>
      <c r="AR619" s="420">
        <f t="shared" ref="AR619:AS619" si="643">AR620+AR624+AR629+AR634+AR638+AR644+AR648+AR654+AR660</f>
        <v>1085</v>
      </c>
      <c r="AS619" s="420">
        <f t="shared" si="643"/>
        <v>1085</v>
      </c>
      <c r="AT619" s="421">
        <f>AT620+AT624+AT629+AT634+AT638+AT644+AT648+AT654+AT660</f>
        <v>4328.7697800000005</v>
      </c>
      <c r="AU619" s="421">
        <f t="shared" ref="AU619:BC619" si="644">AU620+AU624+AU629+AU634+AU638+AU644+AU648+AU654+AU660</f>
        <v>1831.8000399999999</v>
      </c>
      <c r="AV619" s="421">
        <f t="shared" si="644"/>
        <v>973.90070000000014</v>
      </c>
      <c r="AW619" s="421">
        <f t="shared" si="644"/>
        <v>35.595219999999998</v>
      </c>
      <c r="AX619" s="421">
        <f t="shared" si="644"/>
        <v>1619.3845200000001</v>
      </c>
      <c r="AY619" s="421">
        <f t="shared" si="644"/>
        <v>14.2</v>
      </c>
      <c r="AZ619" s="421">
        <f t="shared" si="644"/>
        <v>0</v>
      </c>
      <c r="BA619" s="421">
        <f t="shared" si="644"/>
        <v>455.37822000000006</v>
      </c>
      <c r="BB619" s="421">
        <f t="shared" si="644"/>
        <v>6.1902600000000003</v>
      </c>
      <c r="BC619" s="421">
        <f t="shared" si="644"/>
        <v>11.69425</v>
      </c>
      <c r="BD619" s="422"/>
      <c r="BE619" s="422"/>
      <c r="BF619" s="422"/>
      <c r="BG619" s="476"/>
      <c r="BH619" s="423">
        <f t="shared" si="577"/>
        <v>7312.1111148648661</v>
      </c>
      <c r="BI619" s="423">
        <f t="shared" si="578"/>
        <v>3.9896495668202769</v>
      </c>
    </row>
    <row r="620" spans="1:61" s="358" customFormat="1" ht="28.8" x14ac:dyDescent="0.3">
      <c r="A620" s="354" t="s">
        <v>4623</v>
      </c>
      <c r="B620" s="603" t="s">
        <v>6301</v>
      </c>
      <c r="C620" s="587"/>
      <c r="D620" s="356">
        <v>0.4</v>
      </c>
      <c r="E620" s="389">
        <f>SUM(E621:E623)</f>
        <v>254</v>
      </c>
      <c r="F620" s="389">
        <f t="shared" ref="F620:G620" si="645">SUM(F621:F623)</f>
        <v>300</v>
      </c>
      <c r="G620" s="389">
        <f t="shared" si="645"/>
        <v>300</v>
      </c>
      <c r="H620" s="390">
        <f>SUM(H621:H623)</f>
        <v>3078.4079400000001</v>
      </c>
      <c r="I620" s="390">
        <f t="shared" ref="I620:Q620" si="646">SUM(I621:I623)</f>
        <v>960.56421999999998</v>
      </c>
      <c r="J620" s="390">
        <f t="shared" si="646"/>
        <v>783.50360000000001</v>
      </c>
      <c r="K620" s="390">
        <f t="shared" si="646"/>
        <v>26.132039999999996</v>
      </c>
      <c r="L620" s="390">
        <f t="shared" si="646"/>
        <v>1414.18965</v>
      </c>
      <c r="M620" s="390">
        <f t="shared" si="646"/>
        <v>0</v>
      </c>
      <c r="N620" s="390">
        <f t="shared" si="646"/>
        <v>0</v>
      </c>
      <c r="O620" s="390">
        <f t="shared" si="646"/>
        <v>391.72027000000003</v>
      </c>
      <c r="P620" s="390">
        <f t="shared" si="646"/>
        <v>1263.5500000000002</v>
      </c>
      <c r="Q620" s="390">
        <f t="shared" si="646"/>
        <v>5.7960599999999998</v>
      </c>
      <c r="R620" s="391"/>
      <c r="S620" s="391"/>
      <c r="T620" s="391"/>
      <c r="U620" s="474"/>
      <c r="V620" s="392">
        <f t="shared" si="632"/>
        <v>12119.716299212598</v>
      </c>
      <c r="W620" s="392">
        <f t="shared" si="633"/>
        <v>10.261359800000001</v>
      </c>
      <c r="X620" s="389">
        <f>SUM(X621:X623)</f>
        <v>0</v>
      </c>
      <c r="Y620" s="389">
        <f t="shared" ref="Y620:Z620" si="647">SUM(Y621:Y623)</f>
        <v>0</v>
      </c>
      <c r="Z620" s="389">
        <f t="shared" si="647"/>
        <v>0</v>
      </c>
      <c r="AA620" s="390">
        <f>SUM(AA621:AA623)</f>
        <v>0</v>
      </c>
      <c r="AB620" s="390">
        <f t="shared" ref="AB620:AJ620" si="648">SUM(AB621:AB623)</f>
        <v>0</v>
      </c>
      <c r="AC620" s="390">
        <f t="shared" si="648"/>
        <v>0</v>
      </c>
      <c r="AD620" s="390">
        <f t="shared" si="648"/>
        <v>0</v>
      </c>
      <c r="AE620" s="390">
        <f t="shared" si="648"/>
        <v>0</v>
      </c>
      <c r="AF620" s="390">
        <f t="shared" si="648"/>
        <v>0</v>
      </c>
      <c r="AG620" s="390">
        <f t="shared" si="648"/>
        <v>0</v>
      </c>
      <c r="AH620" s="390">
        <f t="shared" si="648"/>
        <v>0</v>
      </c>
      <c r="AI620" s="390">
        <f t="shared" si="648"/>
        <v>0</v>
      </c>
      <c r="AJ620" s="390">
        <f t="shared" si="648"/>
        <v>0</v>
      </c>
      <c r="AK620" s="391"/>
      <c r="AL620" s="391"/>
      <c r="AM620" s="391"/>
      <c r="AN620" s="474"/>
      <c r="AO620" s="392" t="e">
        <f t="shared" si="619"/>
        <v>#DIV/0!</v>
      </c>
      <c r="AP620" s="392" t="e">
        <f t="shared" si="620"/>
        <v>#DIV/0!</v>
      </c>
      <c r="AQ620" s="389">
        <f>SUM(AQ621:AQ623)</f>
        <v>0</v>
      </c>
      <c r="AR620" s="389">
        <f t="shared" ref="AR620:AS620" si="649">SUM(AR621:AR623)</f>
        <v>0</v>
      </c>
      <c r="AS620" s="389">
        <f t="shared" si="649"/>
        <v>0</v>
      </c>
      <c r="AT620" s="390">
        <f>SUM(AT621:AT623)</f>
        <v>0</v>
      </c>
      <c r="AU620" s="390">
        <f t="shared" ref="AU620:BC620" si="650">SUM(AU621:AU623)</f>
        <v>0</v>
      </c>
      <c r="AV620" s="390">
        <f t="shared" si="650"/>
        <v>0</v>
      </c>
      <c r="AW620" s="390">
        <f t="shared" si="650"/>
        <v>0</v>
      </c>
      <c r="AX620" s="390">
        <f t="shared" si="650"/>
        <v>0</v>
      </c>
      <c r="AY620" s="390">
        <f t="shared" si="650"/>
        <v>0</v>
      </c>
      <c r="AZ620" s="390">
        <f t="shared" si="650"/>
        <v>0</v>
      </c>
      <c r="BA620" s="390">
        <f t="shared" si="650"/>
        <v>0</v>
      </c>
      <c r="BB620" s="390">
        <f t="shared" si="650"/>
        <v>0</v>
      </c>
      <c r="BC620" s="390">
        <f t="shared" si="650"/>
        <v>0</v>
      </c>
      <c r="BD620" s="391"/>
      <c r="BE620" s="391"/>
      <c r="BF620" s="391"/>
      <c r="BG620" s="474"/>
      <c r="BH620" s="392" t="e">
        <f t="shared" si="577"/>
        <v>#DIV/0!</v>
      </c>
      <c r="BI620" s="392" t="e">
        <f t="shared" si="578"/>
        <v>#DIV/0!</v>
      </c>
    </row>
    <row r="621" spans="1:61" s="358" customFormat="1" ht="19.2" x14ac:dyDescent="0.3">
      <c r="A621" s="359" t="s">
        <v>178</v>
      </c>
      <c r="B621" s="538" t="s">
        <v>583</v>
      </c>
      <c r="C621" s="546" t="s">
        <v>453</v>
      </c>
      <c r="D621" s="608">
        <v>0.4</v>
      </c>
      <c r="E621" s="528">
        <v>170</v>
      </c>
      <c r="F621" s="528">
        <v>150</v>
      </c>
      <c r="G621" s="528">
        <v>150</v>
      </c>
      <c r="H621" s="544">
        <v>1872.1171300000001</v>
      </c>
      <c r="I621" s="394">
        <v>512.95273999999995</v>
      </c>
      <c r="J621" s="394">
        <v>405.9776</v>
      </c>
      <c r="K621" s="394">
        <f>11.62056+2.89092</f>
        <v>14.511479999999999</v>
      </c>
      <c r="L621" s="394">
        <v>920.0521</v>
      </c>
      <c r="M621" s="394">
        <v>0</v>
      </c>
      <c r="N621" s="394">
        <v>0</v>
      </c>
      <c r="O621" s="394">
        <v>249.79467</v>
      </c>
      <c r="P621" s="394">
        <v>634.34</v>
      </c>
      <c r="Q621" s="394">
        <f>1.45257+2.89092</f>
        <v>4.3434900000000001</v>
      </c>
      <c r="R621" s="381" t="s">
        <v>167</v>
      </c>
      <c r="S621" s="408" t="s">
        <v>175</v>
      </c>
      <c r="T621" s="385"/>
      <c r="U621" s="475">
        <v>293</v>
      </c>
      <c r="V621" s="395">
        <f t="shared" si="632"/>
        <v>11012.453705882353</v>
      </c>
      <c r="W621" s="395"/>
      <c r="X621" s="528"/>
      <c r="Y621" s="528"/>
      <c r="Z621" s="528"/>
      <c r="AA621" s="544"/>
      <c r="AB621" s="394"/>
      <c r="AC621" s="394"/>
      <c r="AD621" s="394"/>
      <c r="AE621" s="394"/>
      <c r="AF621" s="394"/>
      <c r="AG621" s="394"/>
      <c r="AH621" s="394"/>
      <c r="AI621" s="394"/>
      <c r="AJ621" s="394"/>
      <c r="AK621" s="381"/>
      <c r="AL621" s="408"/>
      <c r="AM621" s="385"/>
      <c r="AN621" s="475"/>
      <c r="AO621" s="395" t="e">
        <f t="shared" si="619"/>
        <v>#DIV/0!</v>
      </c>
      <c r="AP621" s="395" t="e">
        <f t="shared" si="620"/>
        <v>#DIV/0!</v>
      </c>
      <c r="AQ621" s="528"/>
      <c r="AR621" s="528"/>
      <c r="AS621" s="528"/>
      <c r="AT621" s="544"/>
      <c r="AU621" s="394"/>
      <c r="AV621" s="394"/>
      <c r="AW621" s="394"/>
      <c r="AX621" s="394"/>
      <c r="AY621" s="394"/>
      <c r="AZ621" s="394"/>
      <c r="BA621" s="394"/>
      <c r="BB621" s="394"/>
      <c r="BC621" s="394"/>
      <c r="BD621" s="381"/>
      <c r="BE621" s="408"/>
      <c r="BF621" s="385"/>
      <c r="BG621" s="475"/>
      <c r="BH621" s="395" t="e">
        <f t="shared" si="577"/>
        <v>#DIV/0!</v>
      </c>
      <c r="BI621" s="395" t="e">
        <f t="shared" si="578"/>
        <v>#DIV/0!</v>
      </c>
    </row>
    <row r="622" spans="1:61" s="358" customFormat="1" ht="19.2" x14ac:dyDescent="0.3">
      <c r="A622" s="359" t="s">
        <v>182</v>
      </c>
      <c r="B622" s="538" t="s">
        <v>601</v>
      </c>
      <c r="C622" s="546" t="s">
        <v>474</v>
      </c>
      <c r="D622" s="608">
        <v>0.4</v>
      </c>
      <c r="E622" s="528">
        <v>84</v>
      </c>
      <c r="F622" s="528">
        <v>150</v>
      </c>
      <c r="G622" s="528">
        <v>150</v>
      </c>
      <c r="H622" s="544">
        <v>1206.29081</v>
      </c>
      <c r="I622" s="394">
        <v>447.61147999999997</v>
      </c>
      <c r="J622" s="394">
        <v>377.52600000000001</v>
      </c>
      <c r="K622" s="394">
        <v>11.620559999999999</v>
      </c>
      <c r="L622" s="394">
        <v>494.13754999999998</v>
      </c>
      <c r="M622" s="394">
        <v>0</v>
      </c>
      <c r="N622" s="394">
        <v>0</v>
      </c>
      <c r="O622" s="394">
        <v>141.9256</v>
      </c>
      <c r="P622" s="394">
        <v>629.21</v>
      </c>
      <c r="Q622" s="394">
        <v>1.4525699999999999</v>
      </c>
      <c r="R622" s="381" t="s">
        <v>167</v>
      </c>
      <c r="S622" s="408" t="s">
        <v>175</v>
      </c>
      <c r="T622" s="385"/>
      <c r="U622" s="475">
        <v>298</v>
      </c>
      <c r="V622" s="395">
        <f t="shared" si="632"/>
        <v>14360.60488095238</v>
      </c>
      <c r="W622" s="395">
        <f t="shared" si="633"/>
        <v>8.0419387333333336</v>
      </c>
      <c r="X622" s="528"/>
      <c r="Y622" s="528"/>
      <c r="Z622" s="528"/>
      <c r="AA622" s="544"/>
      <c r="AB622" s="394"/>
      <c r="AC622" s="394"/>
      <c r="AD622" s="394"/>
      <c r="AE622" s="394"/>
      <c r="AF622" s="394"/>
      <c r="AG622" s="394"/>
      <c r="AH622" s="394"/>
      <c r="AI622" s="394"/>
      <c r="AJ622" s="394"/>
      <c r="AK622" s="381"/>
      <c r="AL622" s="408"/>
      <c r="AM622" s="385"/>
      <c r="AN622" s="475"/>
      <c r="AO622" s="395" t="e">
        <f t="shared" si="619"/>
        <v>#DIV/0!</v>
      </c>
      <c r="AP622" s="395" t="e">
        <f t="shared" si="620"/>
        <v>#DIV/0!</v>
      </c>
      <c r="AQ622" s="528"/>
      <c r="AR622" s="528"/>
      <c r="AS622" s="528"/>
      <c r="AT622" s="544"/>
      <c r="AU622" s="394"/>
      <c r="AV622" s="394"/>
      <c r="AW622" s="394"/>
      <c r="AX622" s="394"/>
      <c r="AY622" s="394"/>
      <c r="AZ622" s="394"/>
      <c r="BA622" s="394"/>
      <c r="BB622" s="394"/>
      <c r="BC622" s="394"/>
      <c r="BD622" s="381"/>
      <c r="BE622" s="408"/>
      <c r="BF622" s="385"/>
      <c r="BG622" s="475"/>
      <c r="BH622" s="395" t="e">
        <f t="shared" si="577"/>
        <v>#DIV/0!</v>
      </c>
      <c r="BI622" s="395" t="e">
        <f t="shared" si="578"/>
        <v>#DIV/0!</v>
      </c>
    </row>
    <row r="623" spans="1:61" s="358" customFormat="1" x14ac:dyDescent="0.3">
      <c r="A623" s="359"/>
      <c r="B623" s="384"/>
      <c r="C623" s="546"/>
      <c r="D623" s="360"/>
      <c r="E623" s="528"/>
      <c r="F623" s="528"/>
      <c r="G623" s="528"/>
      <c r="H623" s="399"/>
      <c r="I623" s="394"/>
      <c r="J623" s="394"/>
      <c r="K623" s="394"/>
      <c r="L623" s="394"/>
      <c r="M623" s="394"/>
      <c r="N623" s="394"/>
      <c r="O623" s="394"/>
      <c r="P623" s="394"/>
      <c r="Q623" s="394"/>
      <c r="R623" s="385"/>
      <c r="S623" s="385"/>
      <c r="T623" s="385"/>
      <c r="U623" s="475"/>
      <c r="V623" s="395"/>
      <c r="W623" s="395"/>
      <c r="X623" s="528"/>
      <c r="Y623" s="528"/>
      <c r="Z623" s="528"/>
      <c r="AA623" s="399"/>
      <c r="AB623" s="394"/>
      <c r="AC623" s="394"/>
      <c r="AD623" s="394"/>
      <c r="AE623" s="394"/>
      <c r="AF623" s="394"/>
      <c r="AG623" s="394"/>
      <c r="AH623" s="394"/>
      <c r="AI623" s="394"/>
      <c r="AJ623" s="394"/>
      <c r="AK623" s="385"/>
      <c r="AL623" s="385"/>
      <c r="AM623" s="385"/>
      <c r="AN623" s="475"/>
      <c r="AO623" s="395"/>
      <c r="AP623" s="395"/>
      <c r="AQ623" s="528"/>
      <c r="AR623" s="528"/>
      <c r="AS623" s="528"/>
      <c r="AT623" s="399"/>
      <c r="AU623" s="394"/>
      <c r="AV623" s="394"/>
      <c r="AW623" s="394"/>
      <c r="AX623" s="394"/>
      <c r="AY623" s="394"/>
      <c r="AZ623" s="394"/>
      <c r="BA623" s="394"/>
      <c r="BB623" s="394"/>
      <c r="BC623" s="394"/>
      <c r="BD623" s="385"/>
      <c r="BE623" s="385"/>
      <c r="BF623" s="385"/>
      <c r="BG623" s="475"/>
      <c r="BH623" s="395" t="e">
        <f t="shared" si="577"/>
        <v>#DIV/0!</v>
      </c>
      <c r="BI623" s="395" t="e">
        <f t="shared" si="578"/>
        <v>#DIV/0!</v>
      </c>
    </row>
    <row r="624" spans="1:61" s="358" customFormat="1" ht="28.8" x14ac:dyDescent="0.3">
      <c r="A624" s="354" t="s">
        <v>4626</v>
      </c>
      <c r="B624" s="603" t="s">
        <v>6302</v>
      </c>
      <c r="C624" s="611"/>
      <c r="D624" s="356">
        <v>0.4</v>
      </c>
      <c r="E624" s="612">
        <f>SUM(E625:E628)</f>
        <v>0</v>
      </c>
      <c r="F624" s="612">
        <f t="shared" ref="F624:G624" si="651">SUM(F625:F628)</f>
        <v>0</v>
      </c>
      <c r="G624" s="612">
        <f t="shared" si="651"/>
        <v>0</v>
      </c>
      <c r="H624" s="613">
        <f>SUM(H625:H628)</f>
        <v>0</v>
      </c>
      <c r="I624" s="613">
        <f t="shared" ref="I624:Q624" si="652">SUM(I625:I628)</f>
        <v>0</v>
      </c>
      <c r="J624" s="613">
        <f t="shared" si="652"/>
        <v>0</v>
      </c>
      <c r="K624" s="613">
        <f t="shared" si="652"/>
        <v>0</v>
      </c>
      <c r="L624" s="613">
        <f t="shared" si="652"/>
        <v>0</v>
      </c>
      <c r="M624" s="613">
        <f t="shared" si="652"/>
        <v>0</v>
      </c>
      <c r="N624" s="613">
        <f t="shared" si="652"/>
        <v>0</v>
      </c>
      <c r="O624" s="613">
        <f t="shared" si="652"/>
        <v>0</v>
      </c>
      <c r="P624" s="613">
        <f t="shared" si="652"/>
        <v>0</v>
      </c>
      <c r="Q624" s="613">
        <f t="shared" si="652"/>
        <v>0</v>
      </c>
      <c r="R624" s="614"/>
      <c r="S624" s="615"/>
      <c r="T624" s="391"/>
      <c r="U624" s="474"/>
      <c r="V624" s="392" t="e">
        <f>H624/E624*1000</f>
        <v>#DIV/0!</v>
      </c>
      <c r="W624" s="392" t="e">
        <f>H624/F624</f>
        <v>#DIV/0!</v>
      </c>
      <c r="X624" s="612">
        <f>SUM(X625:X628)</f>
        <v>231</v>
      </c>
      <c r="Y624" s="612">
        <f t="shared" ref="Y624:Z624" si="653">SUM(Y625:Y628)</f>
        <v>440</v>
      </c>
      <c r="Z624" s="612">
        <f t="shared" si="653"/>
        <v>440</v>
      </c>
      <c r="AA624" s="613">
        <f>SUM(AA625:AA628)</f>
        <v>2539.8371900000002</v>
      </c>
      <c r="AB624" s="613">
        <f t="shared" ref="AB624:AJ624" si="654">SUM(AB625:AB628)</f>
        <v>427.31507999999997</v>
      </c>
      <c r="AC624" s="613">
        <f t="shared" si="654"/>
        <v>300.91199999999998</v>
      </c>
      <c r="AD624" s="613">
        <f t="shared" si="654"/>
        <v>0</v>
      </c>
      <c r="AE624" s="613">
        <f t="shared" si="654"/>
        <v>1553.21417</v>
      </c>
      <c r="AF624" s="613">
        <f t="shared" si="654"/>
        <v>0</v>
      </c>
      <c r="AG624" s="613">
        <f t="shared" si="654"/>
        <v>0</v>
      </c>
      <c r="AH624" s="613">
        <f t="shared" si="654"/>
        <v>329.58312000000001</v>
      </c>
      <c r="AI624" s="613">
        <f t="shared" si="654"/>
        <v>2.5076000000000001</v>
      </c>
      <c r="AJ624" s="613">
        <f t="shared" si="654"/>
        <v>0</v>
      </c>
      <c r="AK624" s="614"/>
      <c r="AL624" s="615"/>
      <c r="AM624" s="391"/>
      <c r="AN624" s="474"/>
      <c r="AO624" s="392">
        <f t="shared" ref="AO624" si="655">AA624/X624*1000</f>
        <v>10994.966190476191</v>
      </c>
      <c r="AP624" s="392">
        <f t="shared" ref="AP624" si="656">AA624/Y624</f>
        <v>5.7723572500000007</v>
      </c>
      <c r="AQ624" s="612">
        <f>SUM(AQ625:AQ628)</f>
        <v>0</v>
      </c>
      <c r="AR624" s="612">
        <f t="shared" ref="AR624:AS624" si="657">SUM(AR625:AR628)</f>
        <v>0</v>
      </c>
      <c r="AS624" s="612">
        <f t="shared" si="657"/>
        <v>0</v>
      </c>
      <c r="AT624" s="613">
        <f>SUM(AT625:AT628)</f>
        <v>0</v>
      </c>
      <c r="AU624" s="613">
        <f t="shared" ref="AU624:BC624" si="658">SUM(AU625:AU628)</f>
        <v>0</v>
      </c>
      <c r="AV624" s="613">
        <f t="shared" si="658"/>
        <v>0</v>
      </c>
      <c r="AW624" s="613">
        <f t="shared" si="658"/>
        <v>0</v>
      </c>
      <c r="AX624" s="613">
        <f t="shared" si="658"/>
        <v>0</v>
      </c>
      <c r="AY624" s="613">
        <f t="shared" si="658"/>
        <v>0</v>
      </c>
      <c r="AZ624" s="613">
        <f t="shared" si="658"/>
        <v>0</v>
      </c>
      <c r="BA624" s="613">
        <f t="shared" si="658"/>
        <v>0</v>
      </c>
      <c r="BB624" s="613">
        <f t="shared" si="658"/>
        <v>0</v>
      </c>
      <c r="BC624" s="613">
        <f t="shared" si="658"/>
        <v>0</v>
      </c>
      <c r="BD624" s="614"/>
      <c r="BE624" s="615"/>
      <c r="BF624" s="391"/>
      <c r="BG624" s="474"/>
      <c r="BH624" s="392" t="e">
        <f t="shared" si="577"/>
        <v>#DIV/0!</v>
      </c>
      <c r="BI624" s="392" t="e">
        <f t="shared" si="578"/>
        <v>#DIV/0!</v>
      </c>
    </row>
    <row r="625" spans="1:61" s="358" customFormat="1" ht="19.2" x14ac:dyDescent="0.3">
      <c r="A625" s="359" t="s">
        <v>178</v>
      </c>
      <c r="B625" s="574" t="s">
        <v>2603</v>
      </c>
      <c r="C625" s="546" t="s">
        <v>2604</v>
      </c>
      <c r="D625" s="605" t="s">
        <v>210</v>
      </c>
      <c r="E625" s="528"/>
      <c r="F625" s="528"/>
      <c r="G625" s="528"/>
      <c r="H625" s="573"/>
      <c r="I625" s="394"/>
      <c r="J625" s="394"/>
      <c r="K625" s="394"/>
      <c r="L625" s="394"/>
      <c r="M625" s="394"/>
      <c r="N625" s="394"/>
      <c r="O625" s="394"/>
      <c r="P625" s="394"/>
      <c r="Q625" s="394"/>
      <c r="R625" s="381"/>
      <c r="S625" s="408"/>
      <c r="T625" s="385"/>
      <c r="U625" s="475"/>
      <c r="V625" s="395"/>
      <c r="W625" s="395"/>
      <c r="X625" s="528">
        <v>111</v>
      </c>
      <c r="Y625" s="528">
        <v>220</v>
      </c>
      <c r="Z625" s="528">
        <v>220</v>
      </c>
      <c r="AA625" s="573">
        <v>1229.39939</v>
      </c>
      <c r="AB625" s="394">
        <v>213.08559</v>
      </c>
      <c r="AC625" s="394">
        <v>150.45599999999999</v>
      </c>
      <c r="AD625" s="394"/>
      <c r="AE625" s="394">
        <v>746.50959999999998</v>
      </c>
      <c r="AF625" s="394">
        <v>0</v>
      </c>
      <c r="AG625" s="394">
        <v>0</v>
      </c>
      <c r="AH625" s="394">
        <v>158.78308000000001</v>
      </c>
      <c r="AI625" s="394">
        <v>1.2538</v>
      </c>
      <c r="AJ625" s="394"/>
      <c r="AK625" s="381" t="s">
        <v>167</v>
      </c>
      <c r="AL625" s="408" t="s">
        <v>175</v>
      </c>
      <c r="AM625" s="475" t="s">
        <v>4625</v>
      </c>
      <c r="AN625" s="475">
        <v>416</v>
      </c>
      <c r="AO625" s="395">
        <f t="shared" si="619"/>
        <v>11075.670180180181</v>
      </c>
      <c r="AP625" s="395">
        <f t="shared" si="620"/>
        <v>5.5881790454545452</v>
      </c>
      <c r="AQ625" s="528"/>
      <c r="AR625" s="528"/>
      <c r="AS625" s="528"/>
      <c r="AT625" s="573"/>
      <c r="AU625" s="394"/>
      <c r="AV625" s="394"/>
      <c r="AW625" s="394"/>
      <c r="AX625" s="394"/>
      <c r="AY625" s="394"/>
      <c r="AZ625" s="394"/>
      <c r="BA625" s="394"/>
      <c r="BB625" s="394"/>
      <c r="BC625" s="394"/>
      <c r="BD625" s="381"/>
      <c r="BE625" s="408"/>
      <c r="BF625" s="475"/>
      <c r="BG625" s="475"/>
      <c r="BH625" s="395" t="e">
        <f t="shared" ref="BH625:BH626" si="659">AT625/AQ625*1000</f>
        <v>#DIV/0!</v>
      </c>
      <c r="BI625" s="395" t="e">
        <f t="shared" ref="BI625:BI626" si="660">AT625/AR625</f>
        <v>#DIV/0!</v>
      </c>
    </row>
    <row r="626" spans="1:61" s="358" customFormat="1" ht="19.2" x14ac:dyDescent="0.3">
      <c r="A626" s="359" t="s">
        <v>182</v>
      </c>
      <c r="B626" s="574" t="s">
        <v>2603</v>
      </c>
      <c r="C626" s="546" t="s">
        <v>2605</v>
      </c>
      <c r="D626" s="605" t="s">
        <v>210</v>
      </c>
      <c r="E626" s="528"/>
      <c r="F626" s="528"/>
      <c r="G626" s="528"/>
      <c r="H626" s="573"/>
      <c r="I626" s="394"/>
      <c r="J626" s="394"/>
      <c r="K626" s="394"/>
      <c r="L626" s="394"/>
      <c r="M626" s="394"/>
      <c r="N626" s="394"/>
      <c r="O626" s="394"/>
      <c r="P626" s="394"/>
      <c r="Q626" s="394"/>
      <c r="R626" s="381"/>
      <c r="S626" s="408"/>
      <c r="T626" s="385"/>
      <c r="U626" s="475"/>
      <c r="V626" s="395"/>
      <c r="W626" s="395"/>
      <c r="X626" s="528">
        <v>120</v>
      </c>
      <c r="Y626" s="528">
        <v>220</v>
      </c>
      <c r="Z626" s="528">
        <v>220</v>
      </c>
      <c r="AA626" s="573">
        <v>1310.4377999999999</v>
      </c>
      <c r="AB626" s="394">
        <v>214.22949</v>
      </c>
      <c r="AC626" s="394">
        <v>150.45599999999999</v>
      </c>
      <c r="AD626" s="394"/>
      <c r="AE626" s="394">
        <v>806.70456999999999</v>
      </c>
      <c r="AF626" s="394">
        <v>0</v>
      </c>
      <c r="AG626" s="394">
        <v>0</v>
      </c>
      <c r="AH626" s="394">
        <v>170.80004</v>
      </c>
      <c r="AI626" s="394">
        <v>1.2538</v>
      </c>
      <c r="AJ626" s="394"/>
      <c r="AK626" s="381" t="s">
        <v>167</v>
      </c>
      <c r="AL626" s="408" t="s">
        <v>175</v>
      </c>
      <c r="AM626" s="475" t="s">
        <v>4625</v>
      </c>
      <c r="AN626" s="475">
        <v>421</v>
      </c>
      <c r="AO626" s="395">
        <f t="shared" si="619"/>
        <v>10920.314999999999</v>
      </c>
      <c r="AP626" s="395">
        <f t="shared" si="620"/>
        <v>5.9565354545454543</v>
      </c>
      <c r="AQ626" s="528"/>
      <c r="AR626" s="528"/>
      <c r="AS626" s="528"/>
      <c r="AT626" s="573"/>
      <c r="AU626" s="394"/>
      <c r="AV626" s="394"/>
      <c r="AW626" s="394"/>
      <c r="AX626" s="394"/>
      <c r="AY626" s="394"/>
      <c r="AZ626" s="394"/>
      <c r="BA626" s="394"/>
      <c r="BB626" s="394"/>
      <c r="BC626" s="394"/>
      <c r="BD626" s="381"/>
      <c r="BE626" s="408"/>
      <c r="BF626" s="475"/>
      <c r="BG626" s="475"/>
      <c r="BH626" s="395" t="e">
        <f t="shared" si="659"/>
        <v>#DIV/0!</v>
      </c>
      <c r="BI626" s="395" t="e">
        <f t="shared" si="660"/>
        <v>#DIV/0!</v>
      </c>
    </row>
    <row r="627" spans="1:61" s="358" customFormat="1" x14ac:dyDescent="0.3">
      <c r="A627" s="359"/>
      <c r="B627" s="602"/>
      <c r="C627" s="548"/>
      <c r="D627" s="360"/>
      <c r="E627" s="528"/>
      <c r="F627" s="523"/>
      <c r="G627" s="393"/>
      <c r="H627" s="394"/>
      <c r="I627" s="394"/>
      <c r="J627" s="394"/>
      <c r="K627" s="394"/>
      <c r="L627" s="394"/>
      <c r="M627" s="394"/>
      <c r="N627" s="394"/>
      <c r="O627" s="394"/>
      <c r="P627" s="394"/>
      <c r="Q627" s="394"/>
      <c r="R627" s="381"/>
      <c r="S627" s="408"/>
      <c r="T627" s="385"/>
      <c r="U627" s="475"/>
      <c r="V627" s="395"/>
      <c r="W627" s="395"/>
      <c r="X627" s="528"/>
      <c r="Y627" s="523"/>
      <c r="Z627" s="393"/>
      <c r="AA627" s="394"/>
      <c r="AB627" s="394"/>
      <c r="AC627" s="394"/>
      <c r="AD627" s="394"/>
      <c r="AE627" s="394"/>
      <c r="AF627" s="394"/>
      <c r="AG627" s="394"/>
      <c r="AH627" s="394"/>
      <c r="AI627" s="394"/>
      <c r="AJ627" s="394"/>
      <c r="AK627" s="381"/>
      <c r="AL627" s="408"/>
      <c r="AM627" s="385"/>
      <c r="AN627" s="475"/>
      <c r="AO627" s="395"/>
      <c r="AP627" s="395"/>
      <c r="AQ627" s="528"/>
      <c r="AR627" s="523"/>
      <c r="AS627" s="393"/>
      <c r="AT627" s="600"/>
      <c r="AU627" s="394"/>
      <c r="AV627" s="394"/>
      <c r="AW627" s="394"/>
      <c r="AX627" s="394"/>
      <c r="AY627" s="394"/>
      <c r="AZ627" s="394"/>
      <c r="BA627" s="394"/>
      <c r="BB627" s="394"/>
      <c r="BC627" s="394"/>
      <c r="BD627" s="381"/>
      <c r="BE627" s="408"/>
      <c r="BF627" s="385"/>
      <c r="BG627" s="475"/>
      <c r="BH627" s="395" t="e">
        <f t="shared" ref="BH627:BH628" si="661">AT627/AQ627*1000</f>
        <v>#DIV/0!</v>
      </c>
      <c r="BI627" s="395" t="e">
        <f t="shared" ref="BI627:BI628" si="662">AT627/AR627</f>
        <v>#DIV/0!</v>
      </c>
    </row>
    <row r="628" spans="1:61" s="358" customFormat="1" x14ac:dyDescent="0.3">
      <c r="A628" s="359"/>
      <c r="B628" s="384"/>
      <c r="C628" s="546"/>
      <c r="D628" s="360"/>
      <c r="E628" s="528"/>
      <c r="F628" s="528"/>
      <c r="G628" s="528"/>
      <c r="H628" s="399"/>
      <c r="I628" s="394"/>
      <c r="J628" s="394"/>
      <c r="K628" s="394"/>
      <c r="L628" s="394"/>
      <c r="M628" s="394"/>
      <c r="N628" s="394"/>
      <c r="O628" s="394"/>
      <c r="P628" s="394"/>
      <c r="Q628" s="394"/>
      <c r="R628" s="385"/>
      <c r="S628" s="385"/>
      <c r="T628" s="385"/>
      <c r="U628" s="475"/>
      <c r="V628" s="395"/>
      <c r="W628" s="395"/>
      <c r="X628" s="528"/>
      <c r="Y628" s="528"/>
      <c r="Z628" s="528"/>
      <c r="AA628" s="399"/>
      <c r="AB628" s="394"/>
      <c r="AC628" s="394"/>
      <c r="AD628" s="394"/>
      <c r="AE628" s="394"/>
      <c r="AF628" s="394"/>
      <c r="AG628" s="394"/>
      <c r="AH628" s="394"/>
      <c r="AI628" s="394"/>
      <c r="AJ628" s="394"/>
      <c r="AK628" s="385"/>
      <c r="AL628" s="385"/>
      <c r="AM628" s="385"/>
      <c r="AN628" s="475"/>
      <c r="AO628" s="395"/>
      <c r="AP628" s="395"/>
      <c r="AQ628" s="528"/>
      <c r="AR628" s="528"/>
      <c r="AS628" s="528"/>
      <c r="AT628" s="399"/>
      <c r="AU628" s="394"/>
      <c r="AV628" s="394"/>
      <c r="AW628" s="394"/>
      <c r="AX628" s="394"/>
      <c r="AY628" s="394"/>
      <c r="AZ628" s="394"/>
      <c r="BA628" s="394"/>
      <c r="BB628" s="394"/>
      <c r="BC628" s="394"/>
      <c r="BD628" s="385"/>
      <c r="BE628" s="385"/>
      <c r="BF628" s="385"/>
      <c r="BG628" s="475"/>
      <c r="BH628" s="395" t="e">
        <f t="shared" si="661"/>
        <v>#DIV/0!</v>
      </c>
      <c r="BI628" s="395" t="e">
        <f t="shared" si="662"/>
        <v>#DIV/0!</v>
      </c>
    </row>
    <row r="629" spans="1:61" s="358" customFormat="1" ht="28.8" x14ac:dyDescent="0.3">
      <c r="A629" s="354" t="s">
        <v>4623</v>
      </c>
      <c r="B629" s="603" t="s">
        <v>6303</v>
      </c>
      <c r="C629" s="587"/>
      <c r="D629" s="356">
        <v>0.4</v>
      </c>
      <c r="E629" s="389">
        <f>SUM(E630:E633)</f>
        <v>0</v>
      </c>
      <c r="F629" s="389">
        <f t="shared" ref="F629:G629" si="663">SUM(F630:F633)</f>
        <v>0</v>
      </c>
      <c r="G629" s="389">
        <f t="shared" si="663"/>
        <v>0</v>
      </c>
      <c r="H629" s="390">
        <f>SUM(H630:H633)</f>
        <v>0</v>
      </c>
      <c r="I629" s="390">
        <f t="shared" ref="I629:Q629" si="664">SUM(I630:I633)</f>
        <v>0</v>
      </c>
      <c r="J629" s="390">
        <f t="shared" si="664"/>
        <v>0</v>
      </c>
      <c r="K629" s="390">
        <f t="shared" si="664"/>
        <v>0</v>
      </c>
      <c r="L629" s="390">
        <f t="shared" si="664"/>
        <v>0</v>
      </c>
      <c r="M629" s="390">
        <f t="shared" si="664"/>
        <v>0</v>
      </c>
      <c r="N629" s="390">
        <f t="shared" si="664"/>
        <v>0</v>
      </c>
      <c r="O629" s="390">
        <f t="shared" si="664"/>
        <v>0</v>
      </c>
      <c r="P629" s="390">
        <f t="shared" si="664"/>
        <v>0</v>
      </c>
      <c r="Q629" s="390">
        <f t="shared" si="664"/>
        <v>0</v>
      </c>
      <c r="R629" s="391"/>
      <c r="S629" s="391"/>
      <c r="T629" s="391"/>
      <c r="U629" s="474"/>
      <c r="V629" s="392" t="e">
        <f>H629/E629*1000</f>
        <v>#DIV/0!</v>
      </c>
      <c r="W629" s="392" t="e">
        <f>H629/F629</f>
        <v>#DIV/0!</v>
      </c>
      <c r="X629" s="389">
        <f>SUM(X630:X633)</f>
        <v>0</v>
      </c>
      <c r="Y629" s="389">
        <f t="shared" ref="Y629:Z629" si="665">SUM(Y630:Y633)</f>
        <v>0</v>
      </c>
      <c r="Z629" s="389">
        <f t="shared" si="665"/>
        <v>0</v>
      </c>
      <c r="AA629" s="390">
        <f>SUM(AA630:AA633)</f>
        <v>0</v>
      </c>
      <c r="AB629" s="390">
        <f t="shared" ref="AB629:AJ629" si="666">SUM(AB630:AB633)</f>
        <v>0</v>
      </c>
      <c r="AC629" s="390">
        <f t="shared" si="666"/>
        <v>0</v>
      </c>
      <c r="AD629" s="390">
        <f t="shared" si="666"/>
        <v>0</v>
      </c>
      <c r="AE629" s="390">
        <f t="shared" si="666"/>
        <v>0</v>
      </c>
      <c r="AF629" s="390">
        <f t="shared" si="666"/>
        <v>0</v>
      </c>
      <c r="AG629" s="390">
        <f t="shared" si="666"/>
        <v>0</v>
      </c>
      <c r="AH629" s="390">
        <f t="shared" si="666"/>
        <v>0</v>
      </c>
      <c r="AI629" s="390">
        <f t="shared" si="666"/>
        <v>0</v>
      </c>
      <c r="AJ629" s="390">
        <f t="shared" si="666"/>
        <v>0</v>
      </c>
      <c r="AK629" s="391"/>
      <c r="AL629" s="391"/>
      <c r="AM629" s="391"/>
      <c r="AN629" s="474"/>
      <c r="AO629" s="392" t="e">
        <f t="shared" ref="AO629:AO638" si="667">AA629/X629*1000</f>
        <v>#DIV/0!</v>
      </c>
      <c r="AP629" s="392" t="e">
        <f t="shared" ref="AP629:AP638" si="668">AA629/Y629</f>
        <v>#DIV/0!</v>
      </c>
      <c r="AQ629" s="389">
        <f>SUM(AQ630:AQ633)</f>
        <v>240</v>
      </c>
      <c r="AR629" s="389">
        <f t="shared" ref="AR629:AS629" si="669">SUM(AR630:AR633)</f>
        <v>600</v>
      </c>
      <c r="AS629" s="389">
        <f t="shared" si="669"/>
        <v>600</v>
      </c>
      <c r="AT629" s="390">
        <f>SUM(AT630:AT633)</f>
        <v>1771.7781500000001</v>
      </c>
      <c r="AU629" s="390">
        <f t="shared" ref="AU629:BC629" si="670">SUM(AU630:AU633)</f>
        <v>609.81954999999994</v>
      </c>
      <c r="AV629" s="390">
        <f t="shared" si="670"/>
        <v>457.59480000000002</v>
      </c>
      <c r="AW629" s="390">
        <f t="shared" si="670"/>
        <v>13.55148</v>
      </c>
      <c r="AX629" s="390">
        <f t="shared" si="670"/>
        <v>775.15679</v>
      </c>
      <c r="AY629" s="390">
        <f t="shared" si="670"/>
        <v>0</v>
      </c>
      <c r="AZ629" s="390">
        <f t="shared" si="670"/>
        <v>0</v>
      </c>
      <c r="BA629" s="390">
        <f t="shared" si="670"/>
        <v>212.53259000000003</v>
      </c>
      <c r="BB629" s="390">
        <f t="shared" si="670"/>
        <v>2.3466399999999998</v>
      </c>
      <c r="BC629" s="390">
        <f t="shared" si="670"/>
        <v>6.7756400000000001</v>
      </c>
      <c r="BD629" s="391"/>
      <c r="BE629" s="391"/>
      <c r="BF629" s="391"/>
      <c r="BG629" s="474"/>
      <c r="BH629" s="392">
        <f t="shared" ref="BH629:BH631" si="671">AT629/AQ629*1000</f>
        <v>7382.4089583333334</v>
      </c>
      <c r="BI629" s="392">
        <f t="shared" ref="BI629:BI631" si="672">AT629/AR629</f>
        <v>2.9529635833333336</v>
      </c>
    </row>
    <row r="630" spans="1:61" s="358" customFormat="1" x14ac:dyDescent="0.3">
      <c r="A630" s="359"/>
      <c r="B630" s="538"/>
      <c r="C630" s="551"/>
      <c r="D630" s="608">
        <v>0.4</v>
      </c>
      <c r="E630" s="532"/>
      <c r="F630" s="518"/>
      <c r="G630" s="518"/>
      <c r="H630" s="543"/>
      <c r="I630" s="394"/>
      <c r="J630" s="394"/>
      <c r="K630" s="394"/>
      <c r="L630" s="394"/>
      <c r="M630" s="394"/>
      <c r="N630" s="394"/>
      <c r="O630" s="394"/>
      <c r="P630" s="394"/>
      <c r="Q630" s="394"/>
      <c r="R630" s="381"/>
      <c r="S630" s="408"/>
      <c r="T630" s="472"/>
      <c r="U630" s="475"/>
      <c r="V630" s="395"/>
      <c r="W630" s="395"/>
      <c r="X630" s="532"/>
      <c r="Y630" s="518"/>
      <c r="Z630" s="518"/>
      <c r="AA630" s="543"/>
      <c r="AB630" s="394"/>
      <c r="AC630" s="394"/>
      <c r="AD630" s="394"/>
      <c r="AE630" s="394"/>
      <c r="AF630" s="394"/>
      <c r="AG630" s="394"/>
      <c r="AH630" s="394"/>
      <c r="AI630" s="394"/>
      <c r="AJ630" s="394"/>
      <c r="AK630" s="381"/>
      <c r="AL630" s="408"/>
      <c r="AM630" s="472"/>
      <c r="AN630" s="475"/>
      <c r="AO630" s="392" t="e">
        <f t="shared" si="667"/>
        <v>#DIV/0!</v>
      </c>
      <c r="AP630" s="392" t="e">
        <f t="shared" si="668"/>
        <v>#DIV/0!</v>
      </c>
      <c r="AQ630" s="532"/>
      <c r="AR630" s="518"/>
      <c r="AS630" s="518"/>
      <c r="AT630" s="543"/>
      <c r="AU630" s="394"/>
      <c r="AV630" s="394"/>
      <c r="AW630" s="394"/>
      <c r="AX630" s="394"/>
      <c r="AY630" s="394"/>
      <c r="AZ630" s="394"/>
      <c r="BA630" s="394"/>
      <c r="BB630" s="394"/>
      <c r="BC630" s="394"/>
      <c r="BD630" s="381"/>
      <c r="BE630" s="408"/>
      <c r="BF630" s="472"/>
      <c r="BG630" s="475"/>
      <c r="BH630" s="395" t="e">
        <f t="shared" si="671"/>
        <v>#DIV/0!</v>
      </c>
      <c r="BI630" s="395" t="e">
        <f t="shared" si="672"/>
        <v>#DIV/0!</v>
      </c>
    </row>
    <row r="631" spans="1:61" s="358" customFormat="1" ht="19.2" x14ac:dyDescent="0.3">
      <c r="A631" s="359" t="s">
        <v>178</v>
      </c>
      <c r="B631" s="602" t="s">
        <v>4900</v>
      </c>
      <c r="C631" s="548" t="s">
        <v>4899</v>
      </c>
      <c r="D631" s="608">
        <v>0.4</v>
      </c>
      <c r="E631" s="528"/>
      <c r="F631" s="523"/>
      <c r="G631" s="393"/>
      <c r="H631" s="394"/>
      <c r="I631" s="394"/>
      <c r="J631" s="394"/>
      <c r="K631" s="394"/>
      <c r="L631" s="394"/>
      <c r="M631" s="394"/>
      <c r="N631" s="394"/>
      <c r="O631" s="394"/>
      <c r="P631" s="394"/>
      <c r="Q631" s="394"/>
      <c r="R631" s="381"/>
      <c r="S631" s="408"/>
      <c r="T631" s="385"/>
      <c r="U631" s="475"/>
      <c r="V631" s="395"/>
      <c r="W631" s="395"/>
      <c r="X631" s="528"/>
      <c r="Y631" s="523"/>
      <c r="Z631" s="393"/>
      <c r="AA631" s="394"/>
      <c r="AB631" s="394"/>
      <c r="AC631" s="394"/>
      <c r="AD631" s="394"/>
      <c r="AE631" s="394"/>
      <c r="AF631" s="394"/>
      <c r="AG631" s="394"/>
      <c r="AH631" s="394"/>
      <c r="AI631" s="394"/>
      <c r="AJ631" s="394"/>
      <c r="AK631" s="381"/>
      <c r="AL631" s="408"/>
      <c r="AM631" s="385"/>
      <c r="AN631" s="475"/>
      <c r="AO631" s="395"/>
      <c r="AP631" s="395"/>
      <c r="AQ631" s="528">
        <v>120</v>
      </c>
      <c r="AR631" s="523">
        <v>300</v>
      </c>
      <c r="AS631" s="393">
        <v>300</v>
      </c>
      <c r="AT631" s="600">
        <v>910.71164999999996</v>
      </c>
      <c r="AU631" s="394">
        <v>309.38772999999998</v>
      </c>
      <c r="AV631" s="394">
        <v>228.79740000000001</v>
      </c>
      <c r="AW631" s="394">
        <v>6.7756400000000001</v>
      </c>
      <c r="AX631" s="394">
        <v>407.21857</v>
      </c>
      <c r="AY631" s="394">
        <v>0</v>
      </c>
      <c r="AZ631" s="394">
        <v>0</v>
      </c>
      <c r="BA631" s="394">
        <v>106.52545000000001</v>
      </c>
      <c r="BB631" s="394">
        <v>1.1733199999999999</v>
      </c>
      <c r="BC631" s="394">
        <v>3.3878200000000001</v>
      </c>
      <c r="BD631" s="381" t="s">
        <v>167</v>
      </c>
      <c r="BE631" s="408" t="s">
        <v>175</v>
      </c>
      <c r="BF631" s="385"/>
      <c r="BG631" s="475">
        <v>412</v>
      </c>
      <c r="BH631" s="395">
        <f t="shared" si="671"/>
        <v>7589.2637500000001</v>
      </c>
      <c r="BI631" s="395">
        <f t="shared" si="672"/>
        <v>3.0357054999999997</v>
      </c>
    </row>
    <row r="632" spans="1:61" s="358" customFormat="1" ht="19.2" x14ac:dyDescent="0.3">
      <c r="A632" s="359" t="s">
        <v>178</v>
      </c>
      <c r="B632" s="602" t="s">
        <v>4900</v>
      </c>
      <c r="C632" s="548" t="s">
        <v>4901</v>
      </c>
      <c r="D632" s="608">
        <v>0.4</v>
      </c>
      <c r="E632" s="528"/>
      <c r="F632" s="523"/>
      <c r="G632" s="393"/>
      <c r="H632" s="394"/>
      <c r="I632" s="394"/>
      <c r="J632" s="394"/>
      <c r="K632" s="394"/>
      <c r="L632" s="394"/>
      <c r="M632" s="394"/>
      <c r="N632" s="394"/>
      <c r="O632" s="394"/>
      <c r="P632" s="394"/>
      <c r="Q632" s="394"/>
      <c r="R632" s="381"/>
      <c r="S632" s="408"/>
      <c r="T632" s="385"/>
      <c r="U632" s="475"/>
      <c r="V632" s="395"/>
      <c r="W632" s="395"/>
      <c r="X632" s="528"/>
      <c r="Y632" s="523"/>
      <c r="Z632" s="393"/>
      <c r="AA632" s="394"/>
      <c r="AB632" s="394"/>
      <c r="AC632" s="394"/>
      <c r="AD632" s="394"/>
      <c r="AE632" s="394"/>
      <c r="AF632" s="394"/>
      <c r="AG632" s="394"/>
      <c r="AH632" s="394"/>
      <c r="AI632" s="394"/>
      <c r="AJ632" s="394"/>
      <c r="AK632" s="381"/>
      <c r="AL632" s="408"/>
      <c r="AM632" s="385"/>
      <c r="AN632" s="475"/>
      <c r="AO632" s="395"/>
      <c r="AP632" s="395"/>
      <c r="AQ632" s="528">
        <v>120</v>
      </c>
      <c r="AR632" s="523">
        <v>300</v>
      </c>
      <c r="AS632" s="393">
        <v>300</v>
      </c>
      <c r="AT632" s="600">
        <v>861.06650000000002</v>
      </c>
      <c r="AU632" s="394">
        <v>300.43182000000002</v>
      </c>
      <c r="AV632" s="394">
        <v>228.79740000000001</v>
      </c>
      <c r="AW632" s="394">
        <v>6.7758399999999996</v>
      </c>
      <c r="AX632" s="394">
        <v>367.93822</v>
      </c>
      <c r="AY632" s="394">
        <v>0</v>
      </c>
      <c r="AZ632" s="394">
        <v>0</v>
      </c>
      <c r="BA632" s="394">
        <v>106.00714000000001</v>
      </c>
      <c r="BB632" s="394">
        <v>1.1733199999999999</v>
      </c>
      <c r="BC632" s="394">
        <v>3.3878200000000001</v>
      </c>
      <c r="BD632" s="381" t="s">
        <v>167</v>
      </c>
      <c r="BE632" s="408" t="s">
        <v>175</v>
      </c>
      <c r="BF632" s="385"/>
      <c r="BG632" s="475">
        <v>416</v>
      </c>
      <c r="BH632" s="395">
        <f t="shared" ref="BH632:BH634" si="673">AT632/AQ632*1000</f>
        <v>7175.5541666666668</v>
      </c>
      <c r="BI632" s="395">
        <f t="shared" ref="BI632:BI634" si="674">AT632/AR632</f>
        <v>2.8702216666666667</v>
      </c>
    </row>
    <row r="633" spans="1:61" s="358" customFormat="1" x14ac:dyDescent="0.3">
      <c r="A633" s="359"/>
      <c r="B633" s="384"/>
      <c r="C633" s="546"/>
      <c r="D633" s="360"/>
      <c r="E633" s="528"/>
      <c r="F633" s="528"/>
      <c r="G633" s="528"/>
      <c r="H633" s="399"/>
      <c r="I633" s="394"/>
      <c r="J633" s="394"/>
      <c r="K633" s="394"/>
      <c r="L633" s="394"/>
      <c r="M633" s="394"/>
      <c r="N633" s="394"/>
      <c r="O633" s="394"/>
      <c r="P633" s="394"/>
      <c r="Q633" s="394"/>
      <c r="R633" s="385"/>
      <c r="S633" s="385"/>
      <c r="T633" s="385"/>
      <c r="U633" s="475"/>
      <c r="V633" s="395"/>
      <c r="W633" s="395"/>
      <c r="X633" s="528"/>
      <c r="Y633" s="528"/>
      <c r="Z633" s="528"/>
      <c r="AA633" s="399"/>
      <c r="AB633" s="394"/>
      <c r="AC633" s="394"/>
      <c r="AD633" s="394"/>
      <c r="AE633" s="394"/>
      <c r="AF633" s="394"/>
      <c r="AG633" s="394"/>
      <c r="AH633" s="394"/>
      <c r="AI633" s="394"/>
      <c r="AJ633" s="394"/>
      <c r="AK633" s="385"/>
      <c r="AL633" s="385"/>
      <c r="AM633" s="385"/>
      <c r="AN633" s="475"/>
      <c r="AO633" s="395"/>
      <c r="AP633" s="395"/>
      <c r="AQ633" s="528"/>
      <c r="AR633" s="528"/>
      <c r="AS633" s="528"/>
      <c r="AT633" s="399"/>
      <c r="AU633" s="394"/>
      <c r="AV633" s="394"/>
      <c r="AW633" s="394"/>
      <c r="AX633" s="394"/>
      <c r="AY633" s="394"/>
      <c r="AZ633" s="394"/>
      <c r="BA633" s="394"/>
      <c r="BB633" s="394"/>
      <c r="BC633" s="394"/>
      <c r="BD633" s="385"/>
      <c r="BE633" s="385"/>
      <c r="BF633" s="385"/>
      <c r="BG633" s="475"/>
      <c r="BH633" s="395" t="e">
        <f t="shared" si="673"/>
        <v>#DIV/0!</v>
      </c>
      <c r="BI633" s="395" t="e">
        <f t="shared" si="674"/>
        <v>#DIV/0!</v>
      </c>
    </row>
    <row r="634" spans="1:61" s="358" customFormat="1" ht="28.8" x14ac:dyDescent="0.3">
      <c r="A634" s="354" t="s">
        <v>4627</v>
      </c>
      <c r="B634" s="603" t="s">
        <v>6304</v>
      </c>
      <c r="C634" s="587"/>
      <c r="D634" s="356">
        <v>0.4</v>
      </c>
      <c r="E634" s="389">
        <f>SUM(E635:E637)</f>
        <v>0</v>
      </c>
      <c r="F634" s="389">
        <f t="shared" ref="F634:G634" si="675">SUM(F635:F637)</f>
        <v>0</v>
      </c>
      <c r="G634" s="389">
        <f t="shared" si="675"/>
        <v>0</v>
      </c>
      <c r="H634" s="390">
        <f>SUM(H635:H637)</f>
        <v>0</v>
      </c>
      <c r="I634" s="390">
        <f t="shared" ref="I634:Q634" si="676">SUM(I635:I637)</f>
        <v>0</v>
      </c>
      <c r="J634" s="390">
        <f t="shared" si="676"/>
        <v>0</v>
      </c>
      <c r="K634" s="390">
        <f t="shared" si="676"/>
        <v>0</v>
      </c>
      <c r="L634" s="390">
        <f t="shared" si="676"/>
        <v>0</v>
      </c>
      <c r="M634" s="390">
        <f t="shared" si="676"/>
        <v>0</v>
      </c>
      <c r="N634" s="390">
        <f t="shared" si="676"/>
        <v>0</v>
      </c>
      <c r="O634" s="390">
        <f t="shared" si="676"/>
        <v>0</v>
      </c>
      <c r="P634" s="390">
        <f t="shared" si="676"/>
        <v>0</v>
      </c>
      <c r="Q634" s="390">
        <f t="shared" si="676"/>
        <v>0</v>
      </c>
      <c r="R634" s="391"/>
      <c r="S634" s="391"/>
      <c r="T634" s="391"/>
      <c r="U634" s="474"/>
      <c r="V634" s="392" t="e">
        <f>H634/E634*1000</f>
        <v>#DIV/0!</v>
      </c>
      <c r="W634" s="392" t="e">
        <f>H634/F634</f>
        <v>#DIV/0!</v>
      </c>
      <c r="X634" s="389">
        <f>SUM(X635:X637)</f>
        <v>633</v>
      </c>
      <c r="Y634" s="389">
        <f t="shared" ref="Y634:Z634" si="677">SUM(Y635:Y637)</f>
        <v>350</v>
      </c>
      <c r="Z634" s="389">
        <f t="shared" si="677"/>
        <v>350</v>
      </c>
      <c r="AA634" s="390">
        <f>SUM(AA635:AA637)</f>
        <v>4419.1958599999998</v>
      </c>
      <c r="AB634" s="390">
        <f t="shared" ref="AB634:AJ634" si="678">SUM(AB635:AB637)</f>
        <v>1507.2970499999999</v>
      </c>
      <c r="AC634" s="390">
        <f t="shared" si="678"/>
        <v>1175.0721100000001</v>
      </c>
      <c r="AD634" s="390">
        <f t="shared" si="678"/>
        <v>0</v>
      </c>
      <c r="AE634" s="390">
        <f t="shared" si="678"/>
        <v>2124.49476</v>
      </c>
      <c r="AF634" s="390">
        <f t="shared" si="678"/>
        <v>0</v>
      </c>
      <c r="AG634" s="390">
        <f t="shared" si="678"/>
        <v>0</v>
      </c>
      <c r="AH634" s="390">
        <f t="shared" si="678"/>
        <v>458.40568999999999</v>
      </c>
      <c r="AI634" s="390">
        <f t="shared" si="678"/>
        <v>1.70723</v>
      </c>
      <c r="AJ634" s="390">
        <f t="shared" si="678"/>
        <v>0</v>
      </c>
      <c r="AK634" s="391"/>
      <c r="AL634" s="391"/>
      <c r="AM634" s="391"/>
      <c r="AN634" s="474"/>
      <c r="AO634" s="392">
        <f t="shared" ref="AO634" si="679">AA634/X634*1000</f>
        <v>6981.3520695102679</v>
      </c>
      <c r="AP634" s="392">
        <f t="shared" ref="AP634" si="680">AA634/Y634</f>
        <v>12.626273885714285</v>
      </c>
      <c r="AQ634" s="389">
        <f>SUM(AQ635:AQ637)</f>
        <v>0</v>
      </c>
      <c r="AR634" s="389">
        <f t="shared" ref="AR634:AS634" si="681">SUM(AR635:AR637)</f>
        <v>0</v>
      </c>
      <c r="AS634" s="389">
        <f t="shared" si="681"/>
        <v>0</v>
      </c>
      <c r="AT634" s="390">
        <f>SUM(AT635:AT637)</f>
        <v>0</v>
      </c>
      <c r="AU634" s="390">
        <f t="shared" ref="AU634:BC634" si="682">SUM(AU635:AU637)</f>
        <v>0</v>
      </c>
      <c r="AV634" s="390">
        <f t="shared" si="682"/>
        <v>0</v>
      </c>
      <c r="AW634" s="390">
        <f t="shared" si="682"/>
        <v>0</v>
      </c>
      <c r="AX634" s="390">
        <f t="shared" si="682"/>
        <v>0</v>
      </c>
      <c r="AY634" s="390">
        <f t="shared" si="682"/>
        <v>0</v>
      </c>
      <c r="AZ634" s="390">
        <f t="shared" si="682"/>
        <v>0</v>
      </c>
      <c r="BA634" s="390">
        <f t="shared" si="682"/>
        <v>0</v>
      </c>
      <c r="BB634" s="390">
        <f t="shared" si="682"/>
        <v>0</v>
      </c>
      <c r="BC634" s="390">
        <f t="shared" si="682"/>
        <v>0</v>
      </c>
      <c r="BD634" s="391"/>
      <c r="BE634" s="391"/>
      <c r="BF634" s="391"/>
      <c r="BG634" s="474"/>
      <c r="BH634" s="392" t="e">
        <f t="shared" si="673"/>
        <v>#DIV/0!</v>
      </c>
      <c r="BI634" s="392" t="e">
        <f t="shared" si="674"/>
        <v>#DIV/0!</v>
      </c>
    </row>
    <row r="635" spans="1:61" s="358" customFormat="1" ht="19.2" x14ac:dyDescent="0.3">
      <c r="A635" s="359" t="s">
        <v>178</v>
      </c>
      <c r="B635" s="577" t="s">
        <v>601</v>
      </c>
      <c r="C635" s="547" t="s">
        <v>2611</v>
      </c>
      <c r="D635" s="605" t="s">
        <v>210</v>
      </c>
      <c r="E635" s="552"/>
      <c r="F635" s="523"/>
      <c r="G635" s="553"/>
      <c r="H635" s="578"/>
      <c r="I635" s="555"/>
      <c r="J635" s="555"/>
      <c r="K635" s="555"/>
      <c r="L635" s="555"/>
      <c r="M635" s="555"/>
      <c r="N635" s="555"/>
      <c r="O635" s="555"/>
      <c r="P635" s="555"/>
      <c r="Q635" s="555"/>
      <c r="R635" s="381"/>
      <c r="S635" s="408"/>
      <c r="T635" s="472"/>
      <c r="U635" s="475"/>
      <c r="V635" s="395"/>
      <c r="W635" s="395"/>
      <c r="X635" s="552">
        <f>317+316</f>
        <v>633</v>
      </c>
      <c r="Y635" s="523">
        <v>350</v>
      </c>
      <c r="Z635" s="553">
        <v>350</v>
      </c>
      <c r="AA635" s="578">
        <v>4419.1958599999998</v>
      </c>
      <c r="AB635" s="394">
        <v>1507.2970499999999</v>
      </c>
      <c r="AC635" s="394">
        <f>541.19191+633.8802</f>
        <v>1175.0721100000001</v>
      </c>
      <c r="AD635" s="394"/>
      <c r="AE635" s="394">
        <v>2124.49476</v>
      </c>
      <c r="AF635" s="394">
        <v>0</v>
      </c>
      <c r="AG635" s="394">
        <v>0</v>
      </c>
      <c r="AH635" s="394">
        <v>458.40568999999999</v>
      </c>
      <c r="AI635" s="394">
        <v>1.70723</v>
      </c>
      <c r="AJ635" s="394"/>
      <c r="AK635" s="381" t="s">
        <v>167</v>
      </c>
      <c r="AL635" s="408" t="s">
        <v>175</v>
      </c>
      <c r="AM635" s="475" t="s">
        <v>4628</v>
      </c>
      <c r="AN635" s="475">
        <v>426</v>
      </c>
      <c r="AO635" s="392">
        <f t="shared" si="667"/>
        <v>6981.3520695102679</v>
      </c>
      <c r="AP635" s="392">
        <f t="shared" si="668"/>
        <v>12.626273885714285</v>
      </c>
      <c r="AQ635" s="552"/>
      <c r="AR635" s="523"/>
      <c r="AS635" s="553"/>
      <c r="AT635" s="578"/>
      <c r="AU635" s="394"/>
      <c r="AV635" s="394"/>
      <c r="AW635" s="394"/>
      <c r="AX635" s="394"/>
      <c r="AY635" s="394"/>
      <c r="AZ635" s="394"/>
      <c r="BA635" s="394"/>
      <c r="BB635" s="394"/>
      <c r="BC635" s="394"/>
      <c r="BD635" s="381"/>
      <c r="BE635" s="408"/>
      <c r="BF635" s="475"/>
      <c r="BG635" s="475"/>
      <c r="BH635" s="395" t="e">
        <f t="shared" ref="BH635:BH638" si="683">AT635/AQ635*1000</f>
        <v>#DIV/0!</v>
      </c>
      <c r="BI635" s="395" t="e">
        <f t="shared" ref="BI635:BI638" si="684">AT635/AR635</f>
        <v>#DIV/0!</v>
      </c>
    </row>
    <row r="636" spans="1:61" s="358" customFormat="1" x14ac:dyDescent="0.3">
      <c r="A636" s="359" t="s">
        <v>178</v>
      </c>
      <c r="B636" s="602"/>
      <c r="C636" s="548"/>
      <c r="D636" s="360"/>
      <c r="E636" s="528"/>
      <c r="F636" s="523"/>
      <c r="G636" s="393"/>
      <c r="H636" s="394"/>
      <c r="I636" s="394"/>
      <c r="J636" s="394"/>
      <c r="K636" s="394"/>
      <c r="L636" s="394"/>
      <c r="M636" s="394"/>
      <c r="N636" s="394"/>
      <c r="O636" s="394"/>
      <c r="P636" s="394"/>
      <c r="Q636" s="394"/>
      <c r="R636" s="381"/>
      <c r="S636" s="408"/>
      <c r="T636" s="385"/>
      <c r="U636" s="475"/>
      <c r="V636" s="395"/>
      <c r="W636" s="395"/>
      <c r="X636" s="528"/>
      <c r="Y636" s="523"/>
      <c r="Z636" s="393"/>
      <c r="AA636" s="394"/>
      <c r="AB636" s="394"/>
      <c r="AC636" s="394"/>
      <c r="AD636" s="394"/>
      <c r="AE636" s="394"/>
      <c r="AF636" s="394"/>
      <c r="AG636" s="394"/>
      <c r="AH636" s="394"/>
      <c r="AI636" s="394"/>
      <c r="AJ636" s="394"/>
      <c r="AK636" s="381"/>
      <c r="AL636" s="408"/>
      <c r="AM636" s="385"/>
      <c r="AN636" s="475"/>
      <c r="AO636" s="395"/>
      <c r="AP636" s="395"/>
      <c r="AQ636" s="528"/>
      <c r="AR636" s="523"/>
      <c r="AS636" s="393"/>
      <c r="AT636" s="600"/>
      <c r="AU636" s="394"/>
      <c r="AV636" s="394"/>
      <c r="AW636" s="394"/>
      <c r="AX636" s="394"/>
      <c r="AY636" s="394"/>
      <c r="AZ636" s="394"/>
      <c r="BA636" s="394"/>
      <c r="BB636" s="394"/>
      <c r="BC636" s="394"/>
      <c r="BD636" s="381"/>
      <c r="BE636" s="408"/>
      <c r="BF636" s="385"/>
      <c r="BG636" s="475"/>
      <c r="BH636" s="395" t="e">
        <f t="shared" ref="BH636:BH637" si="685">AT636/AQ636*1000</f>
        <v>#DIV/0!</v>
      </c>
      <c r="BI636" s="395" t="e">
        <f t="shared" ref="BI636:BI637" si="686">AT636/AR636</f>
        <v>#DIV/0!</v>
      </c>
    </row>
    <row r="637" spans="1:61" s="358" customFormat="1" x14ac:dyDescent="0.3">
      <c r="A637" s="359"/>
      <c r="B637" s="384"/>
      <c r="C637" s="551"/>
      <c r="D637" s="596"/>
      <c r="E637" s="532"/>
      <c r="F637" s="518"/>
      <c r="G637" s="518"/>
      <c r="H637" s="575"/>
      <c r="I637" s="394"/>
      <c r="J637" s="394"/>
      <c r="K637" s="394"/>
      <c r="L637" s="394"/>
      <c r="M637" s="394"/>
      <c r="N637" s="394"/>
      <c r="O637" s="394"/>
      <c r="P637" s="394"/>
      <c r="Q637" s="394"/>
      <c r="R637" s="381"/>
      <c r="S637" s="408"/>
      <c r="T637" s="472"/>
      <c r="U637" s="475"/>
      <c r="V637" s="395"/>
      <c r="W637" s="395"/>
      <c r="X637" s="532"/>
      <c r="Y637" s="518"/>
      <c r="Z637" s="518"/>
      <c r="AA637" s="400"/>
      <c r="AB637" s="394"/>
      <c r="AC637" s="394"/>
      <c r="AD637" s="394"/>
      <c r="AE637" s="394"/>
      <c r="AF637" s="394"/>
      <c r="AG637" s="394"/>
      <c r="AH637" s="394"/>
      <c r="AI637" s="394"/>
      <c r="AJ637" s="394"/>
      <c r="AK637" s="381"/>
      <c r="AL637" s="408"/>
      <c r="AM637" s="472"/>
      <c r="AN637" s="475"/>
      <c r="AO637" s="392" t="e">
        <f t="shared" si="667"/>
        <v>#DIV/0!</v>
      </c>
      <c r="AP637" s="392" t="e">
        <f t="shared" si="668"/>
        <v>#DIV/0!</v>
      </c>
      <c r="AQ637" s="532"/>
      <c r="AR637" s="518"/>
      <c r="AS637" s="518"/>
      <c r="AT637" s="400"/>
      <c r="AU637" s="394"/>
      <c r="AV637" s="394"/>
      <c r="AW637" s="394"/>
      <c r="AX637" s="394"/>
      <c r="AY637" s="394"/>
      <c r="AZ637" s="394"/>
      <c r="BA637" s="394"/>
      <c r="BB637" s="394"/>
      <c r="BC637" s="394"/>
      <c r="BD637" s="381"/>
      <c r="BE637" s="408"/>
      <c r="BF637" s="472"/>
      <c r="BG637" s="475"/>
      <c r="BH637" s="395" t="e">
        <f t="shared" si="685"/>
        <v>#DIV/0!</v>
      </c>
      <c r="BI637" s="395" t="e">
        <f t="shared" si="686"/>
        <v>#DIV/0!</v>
      </c>
    </row>
    <row r="638" spans="1:61" s="358" customFormat="1" ht="24.75" customHeight="1" x14ac:dyDescent="0.3">
      <c r="A638" s="354" t="s">
        <v>4623</v>
      </c>
      <c r="B638" s="603" t="s">
        <v>6305</v>
      </c>
      <c r="C638" s="587"/>
      <c r="D638" s="356">
        <v>6</v>
      </c>
      <c r="E638" s="389">
        <f t="shared" ref="E638:Q638" si="687">SUM(E639:E643)</f>
        <v>0</v>
      </c>
      <c r="F638" s="389">
        <f t="shared" si="687"/>
        <v>0</v>
      </c>
      <c r="G638" s="389">
        <f t="shared" si="687"/>
        <v>0</v>
      </c>
      <c r="H638" s="390">
        <f t="shared" si="687"/>
        <v>0</v>
      </c>
      <c r="I638" s="390">
        <f t="shared" si="687"/>
        <v>0</v>
      </c>
      <c r="J638" s="390">
        <f t="shared" si="687"/>
        <v>0</v>
      </c>
      <c r="K638" s="390">
        <f t="shared" si="687"/>
        <v>0</v>
      </c>
      <c r="L638" s="390">
        <f t="shared" si="687"/>
        <v>0</v>
      </c>
      <c r="M638" s="390">
        <f t="shared" si="687"/>
        <v>0</v>
      </c>
      <c r="N638" s="390">
        <f t="shared" si="687"/>
        <v>0</v>
      </c>
      <c r="O638" s="390">
        <f t="shared" si="687"/>
        <v>0</v>
      </c>
      <c r="P638" s="390">
        <f t="shared" si="687"/>
        <v>0</v>
      </c>
      <c r="Q638" s="390">
        <f t="shared" si="687"/>
        <v>0</v>
      </c>
      <c r="R638" s="391"/>
      <c r="S638" s="391"/>
      <c r="T638" s="391"/>
      <c r="U638" s="474"/>
      <c r="V638" s="392" t="e">
        <f>H638/E638*1000</f>
        <v>#DIV/0!</v>
      </c>
      <c r="W638" s="392" t="e">
        <f>H638/F638</f>
        <v>#DIV/0!</v>
      </c>
      <c r="X638" s="389">
        <f t="shared" ref="X638:AJ638" si="688">SUM(X639:X643)</f>
        <v>0</v>
      </c>
      <c r="Y638" s="389">
        <f t="shared" si="688"/>
        <v>0</v>
      </c>
      <c r="Z638" s="389">
        <f t="shared" si="688"/>
        <v>0</v>
      </c>
      <c r="AA638" s="390">
        <f t="shared" si="688"/>
        <v>0</v>
      </c>
      <c r="AB638" s="390">
        <f t="shared" si="688"/>
        <v>0</v>
      </c>
      <c r="AC638" s="390">
        <f t="shared" si="688"/>
        <v>0</v>
      </c>
      <c r="AD638" s="390">
        <f t="shared" si="688"/>
        <v>0</v>
      </c>
      <c r="AE638" s="390">
        <f t="shared" si="688"/>
        <v>0</v>
      </c>
      <c r="AF638" s="390">
        <f t="shared" si="688"/>
        <v>0</v>
      </c>
      <c r="AG638" s="390">
        <f t="shared" si="688"/>
        <v>0</v>
      </c>
      <c r="AH638" s="390">
        <f t="shared" si="688"/>
        <v>0</v>
      </c>
      <c r="AI638" s="390">
        <f t="shared" si="688"/>
        <v>0</v>
      </c>
      <c r="AJ638" s="390">
        <f t="shared" si="688"/>
        <v>0</v>
      </c>
      <c r="AK638" s="391"/>
      <c r="AL638" s="391"/>
      <c r="AM638" s="391"/>
      <c r="AN638" s="474"/>
      <c r="AO638" s="392" t="e">
        <f t="shared" si="667"/>
        <v>#DIV/0!</v>
      </c>
      <c r="AP638" s="392" t="e">
        <f t="shared" si="668"/>
        <v>#DIV/0!</v>
      </c>
      <c r="AQ638" s="389">
        <f>SUM(AQ639:AQ643)</f>
        <v>352</v>
      </c>
      <c r="AR638" s="389">
        <f>SUM(AR639:AR643)</f>
        <v>485</v>
      </c>
      <c r="AS638" s="389">
        <f>SUM(AS639:AS643)</f>
        <v>485</v>
      </c>
      <c r="AT638" s="390">
        <f>SUM(AT639:AT643)</f>
        <v>2556.9916300000004</v>
      </c>
      <c r="AU638" s="390">
        <f t="shared" ref="AU638:BC638" si="689">SUM(AU639:AU643)</f>
        <v>1221.9804899999999</v>
      </c>
      <c r="AV638" s="390">
        <f t="shared" si="689"/>
        <v>516.30590000000007</v>
      </c>
      <c r="AW638" s="390">
        <f t="shared" si="689"/>
        <v>22.04374</v>
      </c>
      <c r="AX638" s="390">
        <f t="shared" si="689"/>
        <v>844.22773000000007</v>
      </c>
      <c r="AY638" s="390">
        <f t="shared" si="689"/>
        <v>14.2</v>
      </c>
      <c r="AZ638" s="390">
        <f t="shared" si="689"/>
        <v>0</v>
      </c>
      <c r="BA638" s="390">
        <f t="shared" si="689"/>
        <v>242.84563</v>
      </c>
      <c r="BB638" s="390">
        <f t="shared" si="689"/>
        <v>3.84362</v>
      </c>
      <c r="BC638" s="390">
        <f t="shared" si="689"/>
        <v>4.9186099999999993</v>
      </c>
      <c r="BD638" s="391"/>
      <c r="BE638" s="391"/>
      <c r="BF638" s="391"/>
      <c r="BG638" s="474"/>
      <c r="BH638" s="392">
        <f t="shared" si="683"/>
        <v>7264.1807670454564</v>
      </c>
      <c r="BI638" s="392">
        <f t="shared" si="684"/>
        <v>5.27214769072165</v>
      </c>
    </row>
    <row r="639" spans="1:61" s="358" customFormat="1" x14ac:dyDescent="0.3">
      <c r="A639" s="359"/>
      <c r="B639" s="538"/>
      <c r="C639" s="551"/>
      <c r="D639" s="360">
        <v>6</v>
      </c>
      <c r="E639" s="532"/>
      <c r="F639" s="518"/>
      <c r="G639" s="518"/>
      <c r="H639" s="543"/>
      <c r="I639" s="394"/>
      <c r="J639" s="394"/>
      <c r="K639" s="394"/>
      <c r="L639" s="394"/>
      <c r="M639" s="394"/>
      <c r="N639" s="394"/>
      <c r="O639" s="394"/>
      <c r="P639" s="394"/>
      <c r="Q639" s="394"/>
      <c r="R639" s="381"/>
      <c r="S639" s="408"/>
      <c r="T639" s="472"/>
      <c r="U639" s="475"/>
      <c r="V639" s="395"/>
      <c r="W639" s="395"/>
      <c r="X639" s="532"/>
      <c r="Y639" s="518"/>
      <c r="Z639" s="518"/>
      <c r="AA639" s="543"/>
      <c r="AB639" s="394"/>
      <c r="AC639" s="394"/>
      <c r="AD639" s="394"/>
      <c r="AE639" s="394"/>
      <c r="AF639" s="394"/>
      <c r="AG639" s="394"/>
      <c r="AH639" s="394"/>
      <c r="AI639" s="394"/>
      <c r="AJ639" s="394"/>
      <c r="AK639" s="381"/>
      <c r="AL639" s="408"/>
      <c r="AM639" s="472"/>
      <c r="AN639" s="475"/>
      <c r="AO639" s="392" t="e">
        <f t="shared" ref="AO639" si="690">AA639/X639*1000</f>
        <v>#DIV/0!</v>
      </c>
      <c r="AP639" s="392" t="e">
        <f t="shared" ref="AP639" si="691">AA639/Y639</f>
        <v>#DIV/0!</v>
      </c>
      <c r="AQ639" s="532"/>
      <c r="AR639" s="518"/>
      <c r="AS639" s="518"/>
      <c r="AT639" s="543"/>
      <c r="AU639" s="394"/>
      <c r="AV639" s="394"/>
      <c r="AW639" s="394"/>
      <c r="AX639" s="394"/>
      <c r="AY639" s="394"/>
      <c r="AZ639" s="394"/>
      <c r="BA639" s="394"/>
      <c r="BB639" s="394"/>
      <c r="BC639" s="394"/>
      <c r="BD639" s="381"/>
      <c r="BE639" s="408"/>
      <c r="BF639" s="472"/>
      <c r="BG639" s="475"/>
      <c r="BH639" s="395" t="e">
        <f t="shared" ref="BH639" si="692">AT639/AQ639*1000</f>
        <v>#DIV/0!</v>
      </c>
      <c r="BI639" s="395" t="e">
        <f t="shared" ref="BI639" si="693">AT639/AR639</f>
        <v>#DIV/0!</v>
      </c>
    </row>
    <row r="640" spans="1:61" s="358" customFormat="1" ht="19.2" x14ac:dyDescent="0.3">
      <c r="A640" s="359" t="s">
        <v>178</v>
      </c>
      <c r="B640" s="602" t="s">
        <v>4755</v>
      </c>
      <c r="C640" s="548" t="s">
        <v>4757</v>
      </c>
      <c r="D640" s="608">
        <v>6</v>
      </c>
      <c r="E640" s="528"/>
      <c r="F640" s="523"/>
      <c r="G640" s="393"/>
      <c r="H640" s="394"/>
      <c r="I640" s="394"/>
      <c r="J640" s="394"/>
      <c r="K640" s="394"/>
      <c r="L640" s="394"/>
      <c r="M640" s="394"/>
      <c r="N640" s="394"/>
      <c r="O640" s="394"/>
      <c r="P640" s="394"/>
      <c r="Q640" s="394"/>
      <c r="R640" s="381"/>
      <c r="S640" s="408"/>
      <c r="T640" s="385"/>
      <c r="U640" s="475"/>
      <c r="V640" s="395"/>
      <c r="W640" s="395"/>
      <c r="X640" s="528"/>
      <c r="Y640" s="523"/>
      <c r="Z640" s="393"/>
      <c r="AA640" s="394"/>
      <c r="AB640" s="394"/>
      <c r="AC640" s="394"/>
      <c r="AD640" s="394"/>
      <c r="AE640" s="394"/>
      <c r="AF640" s="394"/>
      <c r="AG640" s="394"/>
      <c r="AH640" s="394"/>
      <c r="AI640" s="394"/>
      <c r="AJ640" s="394"/>
      <c r="AK640" s="381"/>
      <c r="AL640" s="408"/>
      <c r="AM640" s="385"/>
      <c r="AN640" s="475"/>
      <c r="AO640" s="395"/>
      <c r="AP640" s="395"/>
      <c r="AQ640" s="528">
        <v>172</v>
      </c>
      <c r="AR640" s="523">
        <v>15</v>
      </c>
      <c r="AS640" s="393">
        <v>15</v>
      </c>
      <c r="AT640" s="600">
        <v>1478.02296</v>
      </c>
      <c r="AU640" s="394">
        <v>687.15792999999996</v>
      </c>
      <c r="AV640" s="394">
        <v>243.25819999999999</v>
      </c>
      <c r="AW640" s="394"/>
      <c r="AX640" s="394">
        <v>531.38575000000003</v>
      </c>
      <c r="AY640" s="394">
        <v>0</v>
      </c>
      <c r="AZ640" s="394">
        <v>0</v>
      </c>
      <c r="BA640" s="394">
        <v>133.49683999999999</v>
      </c>
      <c r="BB640" s="394">
        <v>1.41435</v>
      </c>
      <c r="BC640" s="394"/>
      <c r="BD640" s="381" t="s">
        <v>167</v>
      </c>
      <c r="BE640" s="408" t="s">
        <v>175</v>
      </c>
      <c r="BF640" s="385"/>
      <c r="BG640" s="475">
        <v>419</v>
      </c>
      <c r="BH640" s="395">
        <f t="shared" ref="BH640" si="694">AT640/AQ640*1000</f>
        <v>8593.1567441860461</v>
      </c>
      <c r="BI640" s="395">
        <f t="shared" ref="BI640" si="695">AT640/AR640</f>
        <v>98.534863999999999</v>
      </c>
    </row>
    <row r="641" spans="1:61" s="358" customFormat="1" ht="19.2" x14ac:dyDescent="0.3">
      <c r="A641" s="359" t="s">
        <v>182</v>
      </c>
      <c r="B641" s="602" t="s">
        <v>2582</v>
      </c>
      <c r="C641" s="548" t="s">
        <v>4784</v>
      </c>
      <c r="D641" s="608">
        <v>6</v>
      </c>
      <c r="E641" s="528"/>
      <c r="F641" s="523"/>
      <c r="G641" s="393"/>
      <c r="H641" s="394"/>
      <c r="I641" s="394"/>
      <c r="J641" s="394"/>
      <c r="K641" s="394"/>
      <c r="L641" s="394"/>
      <c r="M641" s="394"/>
      <c r="N641" s="394"/>
      <c r="O641" s="394"/>
      <c r="P641" s="394"/>
      <c r="Q641" s="394"/>
      <c r="R641" s="381"/>
      <c r="S641" s="408"/>
      <c r="T641" s="385"/>
      <c r="U641" s="475"/>
      <c r="V641" s="395"/>
      <c r="W641" s="395"/>
      <c r="X641" s="528"/>
      <c r="Y641" s="523"/>
      <c r="Z641" s="393"/>
      <c r="AA641" s="394"/>
      <c r="AB641" s="394"/>
      <c r="AC641" s="394"/>
      <c r="AD641" s="394"/>
      <c r="AE641" s="394"/>
      <c r="AF641" s="394"/>
      <c r="AG641" s="394"/>
      <c r="AH641" s="394"/>
      <c r="AI641" s="394"/>
      <c r="AJ641" s="394"/>
      <c r="AK641" s="381"/>
      <c r="AL641" s="408"/>
      <c r="AM641" s="385"/>
      <c r="AN641" s="475"/>
      <c r="AO641" s="395"/>
      <c r="AP641" s="395"/>
      <c r="AQ641" s="528">
        <v>120</v>
      </c>
      <c r="AR641" s="523">
        <v>150</v>
      </c>
      <c r="AS641" s="393">
        <v>150</v>
      </c>
      <c r="AT641" s="600">
        <v>947.39670999999998</v>
      </c>
      <c r="AU641" s="394">
        <v>451.94492000000002</v>
      </c>
      <c r="AV641" s="394">
        <v>212.1525</v>
      </c>
      <c r="AW641" s="394">
        <v>9.8372399999999995</v>
      </c>
      <c r="AX641" s="394">
        <v>305.85604000000001</v>
      </c>
      <c r="AY641" s="394">
        <v>14.2</v>
      </c>
      <c r="AZ641" s="394">
        <v>0</v>
      </c>
      <c r="BA641" s="394">
        <v>93.180070000000001</v>
      </c>
      <c r="BB641" s="394">
        <v>1.41435</v>
      </c>
      <c r="BC641" s="394">
        <v>2.4593099999999999</v>
      </c>
      <c r="BD641" s="381" t="s">
        <v>167</v>
      </c>
      <c r="BE641" s="408" t="s">
        <v>175</v>
      </c>
      <c r="BF641" s="385"/>
      <c r="BG641" s="475">
        <v>426</v>
      </c>
      <c r="BH641" s="395">
        <f t="shared" ref="BH641" si="696">AT641/AQ641*1000</f>
        <v>7894.9725833333332</v>
      </c>
      <c r="BI641" s="395">
        <f t="shared" ref="BI641" si="697">AT641/AR641</f>
        <v>6.3159780666666663</v>
      </c>
    </row>
    <row r="642" spans="1:61" s="358" customFormat="1" ht="19.2" x14ac:dyDescent="0.3">
      <c r="A642" s="359" t="s">
        <v>184</v>
      </c>
      <c r="B642" s="602" t="s">
        <v>2259</v>
      </c>
      <c r="C642" s="548" t="s">
        <v>4846</v>
      </c>
      <c r="D642" s="608">
        <v>6</v>
      </c>
      <c r="E642" s="528"/>
      <c r="F642" s="523"/>
      <c r="G642" s="393"/>
      <c r="H642" s="394"/>
      <c r="I642" s="394"/>
      <c r="J642" s="394"/>
      <c r="K642" s="394"/>
      <c r="L642" s="394"/>
      <c r="M642" s="394"/>
      <c r="N642" s="394"/>
      <c r="O642" s="394"/>
      <c r="P642" s="394"/>
      <c r="Q642" s="394"/>
      <c r="R642" s="381"/>
      <c r="S642" s="408"/>
      <c r="T642" s="385"/>
      <c r="U642" s="475"/>
      <c r="V642" s="395"/>
      <c r="W642" s="395"/>
      <c r="X642" s="528"/>
      <c r="Y642" s="523"/>
      <c r="Z642" s="393"/>
      <c r="AA642" s="394"/>
      <c r="AB642" s="394"/>
      <c r="AC642" s="394"/>
      <c r="AD642" s="394"/>
      <c r="AE642" s="394"/>
      <c r="AF642" s="394"/>
      <c r="AG642" s="394"/>
      <c r="AH642" s="394"/>
      <c r="AI642" s="394"/>
      <c r="AJ642" s="394"/>
      <c r="AK642" s="381"/>
      <c r="AL642" s="408"/>
      <c r="AM642" s="385"/>
      <c r="AN642" s="475"/>
      <c r="AO642" s="395"/>
      <c r="AP642" s="395"/>
      <c r="AQ642" s="528">
        <v>60</v>
      </c>
      <c r="AR642" s="523">
        <v>320</v>
      </c>
      <c r="AS642" s="393">
        <v>320</v>
      </c>
      <c r="AT642" s="600">
        <v>131.57195999999999</v>
      </c>
      <c r="AU642" s="394">
        <v>82.87764</v>
      </c>
      <c r="AV642" s="394">
        <v>60.895200000000003</v>
      </c>
      <c r="AW642" s="394">
        <v>12.2065</v>
      </c>
      <c r="AX642" s="394">
        <v>6.9859400000000003</v>
      </c>
      <c r="AY642" s="394">
        <v>0</v>
      </c>
      <c r="AZ642" s="394">
        <v>0</v>
      </c>
      <c r="BA642" s="394">
        <v>16.16872</v>
      </c>
      <c r="BB642" s="394">
        <v>1.01492</v>
      </c>
      <c r="BC642" s="394">
        <v>2.4592999999999998</v>
      </c>
      <c r="BD642" s="381" t="s">
        <v>167</v>
      </c>
      <c r="BE642" s="408" t="s">
        <v>175</v>
      </c>
      <c r="BF642" s="385"/>
      <c r="BG642" s="475">
        <v>433</v>
      </c>
      <c r="BH642" s="395">
        <f t="shared" ref="BH642" si="698">AT642/AQ642*1000</f>
        <v>2192.866</v>
      </c>
      <c r="BI642" s="395">
        <f t="shared" ref="BI642" si="699">AT642/AR642</f>
        <v>0.41116237499999997</v>
      </c>
    </row>
    <row r="643" spans="1:61" s="358" customFormat="1" x14ac:dyDescent="0.3">
      <c r="A643" s="359"/>
      <c r="B643" s="384"/>
      <c r="C643" s="551"/>
      <c r="D643" s="596"/>
      <c r="E643" s="532"/>
      <c r="F643" s="518"/>
      <c r="G643" s="518"/>
      <c r="H643" s="575"/>
      <c r="I643" s="394"/>
      <c r="J643" s="394"/>
      <c r="K643" s="394"/>
      <c r="L643" s="394"/>
      <c r="M643" s="394"/>
      <c r="N643" s="394"/>
      <c r="O643" s="394"/>
      <c r="P643" s="394"/>
      <c r="Q643" s="394"/>
      <c r="R643" s="381"/>
      <c r="S643" s="408"/>
      <c r="T643" s="472"/>
      <c r="U643" s="475"/>
      <c r="V643" s="395"/>
      <c r="W643" s="395"/>
      <c r="X643" s="532"/>
      <c r="Y643" s="518"/>
      <c r="Z643" s="518"/>
      <c r="AA643" s="400"/>
      <c r="AB643" s="394"/>
      <c r="AC643" s="394"/>
      <c r="AD643" s="394"/>
      <c r="AE643" s="394"/>
      <c r="AF643" s="394"/>
      <c r="AG643" s="394"/>
      <c r="AH643" s="394"/>
      <c r="AI643" s="394"/>
      <c r="AJ643" s="394"/>
      <c r="AK643" s="381"/>
      <c r="AL643" s="408"/>
      <c r="AM643" s="472"/>
      <c r="AN643" s="475"/>
      <c r="AO643" s="392" t="e">
        <f t="shared" ref="AO643:AO644" si="700">AA643/X643*1000</f>
        <v>#DIV/0!</v>
      </c>
      <c r="AP643" s="392" t="e">
        <f t="shared" ref="AP643:AP644" si="701">AA643/Y643</f>
        <v>#DIV/0!</v>
      </c>
      <c r="AQ643" s="532"/>
      <c r="AR643" s="518"/>
      <c r="AS643" s="518"/>
      <c r="AT643" s="400"/>
      <c r="AU643" s="394"/>
      <c r="AV643" s="394"/>
      <c r="AW643" s="394"/>
      <c r="AX643" s="394"/>
      <c r="AY643" s="394"/>
      <c r="AZ643" s="394"/>
      <c r="BA643" s="394"/>
      <c r="BB643" s="394"/>
      <c r="BC643" s="394"/>
      <c r="BD643" s="381"/>
      <c r="BE643" s="408"/>
      <c r="BF643" s="472"/>
      <c r="BG643" s="475"/>
      <c r="BH643" s="395" t="e">
        <f t="shared" ref="BH643:BH644" si="702">AT643/AQ643*1000</f>
        <v>#DIV/0!</v>
      </c>
      <c r="BI643" s="395" t="e">
        <f t="shared" ref="BI643:BI644" si="703">AT643/AR643</f>
        <v>#DIV/0!</v>
      </c>
    </row>
    <row r="644" spans="1:61" s="358" customFormat="1" ht="28.8" x14ac:dyDescent="0.3">
      <c r="A644" s="354" t="s">
        <v>4626</v>
      </c>
      <c r="B644" s="603" t="s">
        <v>6306</v>
      </c>
      <c r="C644" s="587"/>
      <c r="D644" s="356">
        <v>6</v>
      </c>
      <c r="E644" s="389">
        <f>SUM(E645:E647)</f>
        <v>0</v>
      </c>
      <c r="F644" s="389">
        <f t="shared" ref="F644:G644" si="704">SUM(F645:F647)</f>
        <v>0</v>
      </c>
      <c r="G644" s="389">
        <f t="shared" si="704"/>
        <v>0</v>
      </c>
      <c r="H644" s="390">
        <f>SUM(H645:H647)</f>
        <v>0</v>
      </c>
      <c r="I644" s="390">
        <f t="shared" ref="I644:Q644" si="705">SUM(I645:I647)</f>
        <v>0</v>
      </c>
      <c r="J644" s="390">
        <f t="shared" si="705"/>
        <v>0</v>
      </c>
      <c r="K644" s="390">
        <f t="shared" si="705"/>
        <v>0</v>
      </c>
      <c r="L644" s="390">
        <f t="shared" si="705"/>
        <v>0</v>
      </c>
      <c r="M644" s="390">
        <f t="shared" si="705"/>
        <v>0</v>
      </c>
      <c r="N644" s="390">
        <f t="shared" si="705"/>
        <v>0</v>
      </c>
      <c r="O644" s="390">
        <f t="shared" si="705"/>
        <v>0</v>
      </c>
      <c r="P644" s="390">
        <f t="shared" si="705"/>
        <v>0</v>
      </c>
      <c r="Q644" s="390">
        <f t="shared" si="705"/>
        <v>0</v>
      </c>
      <c r="R644" s="391"/>
      <c r="S644" s="391"/>
      <c r="T644" s="391"/>
      <c r="U644" s="474"/>
      <c r="V644" s="392" t="e">
        <f>H644/E644*1000</f>
        <v>#DIV/0!</v>
      </c>
      <c r="W644" s="392" t="e">
        <f>H644/F644</f>
        <v>#DIV/0!</v>
      </c>
      <c r="X644" s="389">
        <f>SUM(X645:X647)</f>
        <v>132</v>
      </c>
      <c r="Y644" s="389">
        <f t="shared" ref="Y644:Z644" si="706">SUM(Y645:Y647)</f>
        <v>680</v>
      </c>
      <c r="Z644" s="389">
        <f t="shared" si="706"/>
        <v>680</v>
      </c>
      <c r="AA644" s="390">
        <f>SUM(AA645:AA647)</f>
        <v>1141.82879</v>
      </c>
      <c r="AB644" s="390">
        <f t="shared" ref="AB644:AJ644" si="707">SUM(AB645:AB647)</f>
        <v>294.43328000000002</v>
      </c>
      <c r="AC644" s="390">
        <f t="shared" si="707"/>
        <v>219.64008000000001</v>
      </c>
      <c r="AD644" s="390">
        <f t="shared" si="707"/>
        <v>14.909459999999999</v>
      </c>
      <c r="AE644" s="390">
        <f t="shared" si="707"/>
        <v>658.40832999999998</v>
      </c>
      <c r="AF644" s="390">
        <f t="shared" si="707"/>
        <v>0</v>
      </c>
      <c r="AG644" s="390">
        <f t="shared" si="707"/>
        <v>0</v>
      </c>
      <c r="AH644" s="390">
        <f t="shared" si="707"/>
        <v>110.58345</v>
      </c>
      <c r="AI644" s="390">
        <f t="shared" si="707"/>
        <v>1.66394</v>
      </c>
      <c r="AJ644" s="390">
        <f t="shared" si="707"/>
        <v>4.9698200000000003</v>
      </c>
      <c r="AK644" s="391"/>
      <c r="AL644" s="391"/>
      <c r="AM644" s="391"/>
      <c r="AN644" s="474"/>
      <c r="AO644" s="392">
        <f t="shared" si="700"/>
        <v>8650.2181060606054</v>
      </c>
      <c r="AP644" s="392">
        <f t="shared" si="701"/>
        <v>1.6791599852941177</v>
      </c>
      <c r="AQ644" s="389">
        <f>SUM(AQ645:AQ647)</f>
        <v>0</v>
      </c>
      <c r="AR644" s="389">
        <f t="shared" ref="AR644:AS644" si="708">SUM(AR645:AR647)</f>
        <v>0</v>
      </c>
      <c r="AS644" s="389">
        <f t="shared" si="708"/>
        <v>0</v>
      </c>
      <c r="AT644" s="390">
        <f>SUM(AT645:AT647)</f>
        <v>0</v>
      </c>
      <c r="AU644" s="390">
        <f t="shared" ref="AU644:BC644" si="709">SUM(AU645:AU647)</f>
        <v>0</v>
      </c>
      <c r="AV644" s="390">
        <f t="shared" si="709"/>
        <v>0</v>
      </c>
      <c r="AW644" s="390">
        <f t="shared" si="709"/>
        <v>0</v>
      </c>
      <c r="AX644" s="390">
        <f t="shared" si="709"/>
        <v>0</v>
      </c>
      <c r="AY644" s="390">
        <f t="shared" si="709"/>
        <v>0</v>
      </c>
      <c r="AZ644" s="390">
        <f t="shared" si="709"/>
        <v>0</v>
      </c>
      <c r="BA644" s="390">
        <f t="shared" si="709"/>
        <v>0</v>
      </c>
      <c r="BB644" s="390">
        <f t="shared" si="709"/>
        <v>0</v>
      </c>
      <c r="BC644" s="390">
        <f t="shared" si="709"/>
        <v>0</v>
      </c>
      <c r="BD644" s="391"/>
      <c r="BE644" s="391"/>
      <c r="BF644" s="391"/>
      <c r="BG644" s="474"/>
      <c r="BH644" s="392" t="e">
        <f t="shared" si="702"/>
        <v>#DIV/0!</v>
      </c>
      <c r="BI644" s="392" t="e">
        <f t="shared" si="703"/>
        <v>#DIV/0!</v>
      </c>
    </row>
    <row r="645" spans="1:61" s="358" customFormat="1" ht="19.2" x14ac:dyDescent="0.3">
      <c r="A645" s="359" t="s">
        <v>178</v>
      </c>
      <c r="B645" s="574" t="s">
        <v>314</v>
      </c>
      <c r="C645" s="551" t="s">
        <v>2616</v>
      </c>
      <c r="D645" s="605">
        <v>6</v>
      </c>
      <c r="E645" s="532"/>
      <c r="F645" s="518"/>
      <c r="G645" s="518"/>
      <c r="H645" s="575"/>
      <c r="I645" s="394"/>
      <c r="J645" s="394"/>
      <c r="K645" s="394"/>
      <c r="L645" s="394"/>
      <c r="M645" s="394"/>
      <c r="N645" s="394"/>
      <c r="O645" s="394"/>
      <c r="P645" s="394"/>
      <c r="Q645" s="394"/>
      <c r="R645" s="381"/>
      <c r="S645" s="408"/>
      <c r="T645" s="472"/>
      <c r="U645" s="475"/>
      <c r="V645" s="395"/>
      <c r="W645" s="395"/>
      <c r="X645" s="532">
        <v>132</v>
      </c>
      <c r="Y645" s="523">
        <v>680</v>
      </c>
      <c r="Z645" s="523">
        <v>680</v>
      </c>
      <c r="AA645" s="575">
        <v>1141.82879</v>
      </c>
      <c r="AB645" s="394">
        <v>294.43328000000002</v>
      </c>
      <c r="AC645" s="394">
        <v>219.64008000000001</v>
      </c>
      <c r="AD645" s="394">
        <v>14.909459999999999</v>
      </c>
      <c r="AE645" s="394">
        <v>658.40832999999998</v>
      </c>
      <c r="AF645" s="394">
        <v>0</v>
      </c>
      <c r="AG645" s="394">
        <v>0</v>
      </c>
      <c r="AH645" s="394">
        <v>110.58345</v>
      </c>
      <c r="AI645" s="394">
        <v>1.66394</v>
      </c>
      <c r="AJ645" s="394">
        <v>4.9698200000000003</v>
      </c>
      <c r="AK645" s="381" t="s">
        <v>167</v>
      </c>
      <c r="AL645" s="408" t="s">
        <v>175</v>
      </c>
      <c r="AM645" s="475" t="s">
        <v>4625</v>
      </c>
      <c r="AN645" s="475">
        <v>432</v>
      </c>
      <c r="AO645" s="392">
        <f t="shared" ref="AO645" si="710">AA645/X645*1000</f>
        <v>8650.2181060606054</v>
      </c>
      <c r="AP645" s="392">
        <f t="shared" ref="AP645" si="711">AA645/Y645</f>
        <v>1.6791599852941177</v>
      </c>
      <c r="AQ645" s="532"/>
      <c r="AR645" s="523"/>
      <c r="AS645" s="523"/>
      <c r="AT645" s="575"/>
      <c r="AU645" s="394"/>
      <c r="AV645" s="394"/>
      <c r="AW645" s="394"/>
      <c r="AX645" s="394"/>
      <c r="AY645" s="394"/>
      <c r="AZ645" s="394"/>
      <c r="BA645" s="394"/>
      <c r="BB645" s="394"/>
      <c r="BC645" s="394"/>
      <c r="BD645" s="381"/>
      <c r="BE645" s="408"/>
      <c r="BF645" s="475"/>
      <c r="BG645" s="475"/>
      <c r="BH645" s="395" t="e">
        <f t="shared" ref="BH645" si="712">AT645/AQ645*1000</f>
        <v>#DIV/0!</v>
      </c>
      <c r="BI645" s="395" t="e">
        <f t="shared" ref="BI645" si="713">AT645/AR645</f>
        <v>#DIV/0!</v>
      </c>
    </row>
    <row r="646" spans="1:61" s="358" customFormat="1" x14ac:dyDescent="0.3">
      <c r="A646" s="359"/>
      <c r="B646" s="602"/>
      <c r="C646" s="548"/>
      <c r="D646" s="360"/>
      <c r="E646" s="528"/>
      <c r="F646" s="523"/>
      <c r="G646" s="393"/>
      <c r="H646" s="394"/>
      <c r="I646" s="394"/>
      <c r="J646" s="394"/>
      <c r="K646" s="394"/>
      <c r="L646" s="394"/>
      <c r="M646" s="394"/>
      <c r="N646" s="394"/>
      <c r="O646" s="394"/>
      <c r="P646" s="394"/>
      <c r="Q646" s="394"/>
      <c r="R646" s="381"/>
      <c r="S646" s="408"/>
      <c r="T646" s="385"/>
      <c r="U646" s="475"/>
      <c r="V646" s="395"/>
      <c r="W646" s="395"/>
      <c r="X646" s="528"/>
      <c r="Y646" s="523"/>
      <c r="Z646" s="393"/>
      <c r="AA646" s="394"/>
      <c r="AB646" s="394"/>
      <c r="AC646" s="394"/>
      <c r="AD646" s="394"/>
      <c r="AE646" s="394"/>
      <c r="AF646" s="394"/>
      <c r="AG646" s="394"/>
      <c r="AH646" s="394"/>
      <c r="AI646" s="394"/>
      <c r="AJ646" s="394"/>
      <c r="AK646" s="381"/>
      <c r="AL646" s="408"/>
      <c r="AM646" s="385"/>
      <c r="AN646" s="475"/>
      <c r="AO646" s="395"/>
      <c r="AP646" s="395"/>
      <c r="AQ646" s="528"/>
      <c r="AR646" s="523"/>
      <c r="AS646" s="393"/>
      <c r="AT646" s="600"/>
      <c r="AU646" s="394"/>
      <c r="AV646" s="394"/>
      <c r="AW646" s="394"/>
      <c r="AX646" s="394"/>
      <c r="AY646" s="394"/>
      <c r="AZ646" s="394"/>
      <c r="BA646" s="394"/>
      <c r="BB646" s="394"/>
      <c r="BC646" s="394"/>
      <c r="BD646" s="381"/>
      <c r="BE646" s="408"/>
      <c r="BF646" s="385"/>
      <c r="BG646" s="475"/>
      <c r="BH646" s="395" t="e">
        <f t="shared" ref="BH646:BH647" si="714">AT646/AQ646*1000</f>
        <v>#DIV/0!</v>
      </c>
      <c r="BI646" s="395" t="e">
        <f t="shared" ref="BI646:BI647" si="715">AT646/AR646</f>
        <v>#DIV/0!</v>
      </c>
    </row>
    <row r="647" spans="1:61" s="358" customFormat="1" x14ac:dyDescent="0.3">
      <c r="A647" s="359"/>
      <c r="B647" s="384"/>
      <c r="C647" s="590"/>
      <c r="D647" s="360"/>
      <c r="E647" s="528"/>
      <c r="F647" s="523"/>
      <c r="G647" s="523"/>
      <c r="H647" s="394"/>
      <c r="I647" s="375"/>
      <c r="J647" s="375"/>
      <c r="K647" s="375"/>
      <c r="L647" s="375"/>
      <c r="M647" s="375"/>
      <c r="N647" s="375"/>
      <c r="O647" s="375"/>
      <c r="P647" s="394"/>
      <c r="Q647" s="394"/>
      <c r="R647" s="385"/>
      <c r="S647" s="385"/>
      <c r="T647" s="385"/>
      <c r="U647" s="475"/>
      <c r="V647" s="395"/>
      <c r="W647" s="395"/>
      <c r="X647" s="528"/>
      <c r="Y647" s="523"/>
      <c r="Z647" s="523"/>
      <c r="AA647" s="394"/>
      <c r="AB647" s="375"/>
      <c r="AC647" s="375"/>
      <c r="AD647" s="375"/>
      <c r="AE647" s="375"/>
      <c r="AF647" s="375"/>
      <c r="AG647" s="375"/>
      <c r="AH647" s="375"/>
      <c r="AI647" s="394"/>
      <c r="AJ647" s="394"/>
      <c r="AK647" s="385"/>
      <c r="AL647" s="385"/>
      <c r="AM647" s="385"/>
      <c r="AN647" s="475"/>
      <c r="AO647" s="395"/>
      <c r="AP647" s="395"/>
      <c r="AQ647" s="528"/>
      <c r="AR647" s="523"/>
      <c r="AS647" s="523"/>
      <c r="AT647" s="394"/>
      <c r="AU647" s="375"/>
      <c r="AV647" s="375"/>
      <c r="AW647" s="375"/>
      <c r="AX647" s="375"/>
      <c r="AY647" s="375"/>
      <c r="AZ647" s="375"/>
      <c r="BA647" s="375"/>
      <c r="BB647" s="394"/>
      <c r="BC647" s="394"/>
      <c r="BD647" s="385"/>
      <c r="BE647" s="385"/>
      <c r="BF647" s="385"/>
      <c r="BG647" s="475"/>
      <c r="BH647" s="395" t="e">
        <f t="shared" si="714"/>
        <v>#DIV/0!</v>
      </c>
      <c r="BI647" s="395" t="e">
        <f t="shared" si="715"/>
        <v>#DIV/0!</v>
      </c>
    </row>
    <row r="648" spans="1:61" s="358" customFormat="1" ht="24.75" customHeight="1" x14ac:dyDescent="0.3">
      <c r="A648" s="354" t="s">
        <v>4626</v>
      </c>
      <c r="B648" s="603" t="s">
        <v>6307</v>
      </c>
      <c r="C648" s="587"/>
      <c r="D648" s="356">
        <v>6</v>
      </c>
      <c r="E648" s="389">
        <f>SUM(E649:E651)</f>
        <v>489.5</v>
      </c>
      <c r="F648" s="389">
        <f t="shared" ref="F648:G648" si="716">SUM(F649:F651)</f>
        <v>160</v>
      </c>
      <c r="G648" s="389">
        <f t="shared" si="716"/>
        <v>160</v>
      </c>
      <c r="H648" s="390">
        <f>SUM(H649:H651)</f>
        <v>6101.2614999999996</v>
      </c>
      <c r="I648" s="390">
        <f t="shared" ref="I648:Q648" si="717">SUM(I649:I651)</f>
        <v>2128.3670000000002</v>
      </c>
      <c r="J648" s="390">
        <f t="shared" si="717"/>
        <v>1493.1379200000001</v>
      </c>
      <c r="K648" s="390">
        <f t="shared" si="717"/>
        <v>87.085579999999993</v>
      </c>
      <c r="L648" s="390">
        <f t="shared" si="717"/>
        <v>2652.7486600000002</v>
      </c>
      <c r="M648" s="390">
        <f t="shared" si="717"/>
        <v>0</v>
      </c>
      <c r="N648" s="390">
        <f t="shared" si="717"/>
        <v>0</v>
      </c>
      <c r="O648" s="390">
        <f t="shared" si="717"/>
        <v>742.15607</v>
      </c>
      <c r="P648" s="390">
        <f t="shared" si="717"/>
        <v>1838.48</v>
      </c>
      <c r="Q648" s="390">
        <f t="shared" si="717"/>
        <v>18.286010000000001</v>
      </c>
      <c r="R648" s="391"/>
      <c r="S648" s="391"/>
      <c r="T648" s="391"/>
      <c r="U648" s="474"/>
      <c r="V648" s="392">
        <f>H648/E648*1000</f>
        <v>12464.272727272726</v>
      </c>
      <c r="W648" s="392">
        <f>H648/F648</f>
        <v>38.132884374999996</v>
      </c>
      <c r="X648" s="389">
        <f t="shared" ref="X648:AJ648" si="718">SUM(X649:X653)</f>
        <v>363.2</v>
      </c>
      <c r="Y648" s="389">
        <f t="shared" si="718"/>
        <v>730</v>
      </c>
      <c r="Z648" s="389">
        <f t="shared" si="718"/>
        <v>730</v>
      </c>
      <c r="AA648" s="390">
        <f t="shared" si="718"/>
        <v>3658.5599899999997</v>
      </c>
      <c r="AB648" s="390">
        <f t="shared" si="718"/>
        <v>997.3939499999999</v>
      </c>
      <c r="AC648" s="390">
        <f t="shared" si="718"/>
        <v>605.01491999999996</v>
      </c>
      <c r="AD648" s="390">
        <f t="shared" si="718"/>
        <v>0</v>
      </c>
      <c r="AE648" s="390">
        <f t="shared" si="718"/>
        <v>1880.2637399999999</v>
      </c>
      <c r="AF648" s="390">
        <f t="shared" si="718"/>
        <v>0</v>
      </c>
      <c r="AG648" s="390">
        <f t="shared" si="718"/>
        <v>0</v>
      </c>
      <c r="AH648" s="390">
        <f t="shared" si="718"/>
        <v>425.30329999999998</v>
      </c>
      <c r="AI648" s="390">
        <f t="shared" si="718"/>
        <v>3.3315800000000002</v>
      </c>
      <c r="AJ648" s="390">
        <f t="shared" si="718"/>
        <v>0</v>
      </c>
      <c r="AK648" s="391"/>
      <c r="AL648" s="391"/>
      <c r="AM648" s="391"/>
      <c r="AN648" s="474"/>
      <c r="AO648" s="392">
        <f>AA648/X648*1000</f>
        <v>10073.127725770926</v>
      </c>
      <c r="AP648" s="392">
        <f>AA648/Y648</f>
        <v>5.0117260136986301</v>
      </c>
      <c r="AQ648" s="389">
        <f t="shared" ref="AQ648:BC648" si="719">SUM(AQ649:AQ653)</f>
        <v>0</v>
      </c>
      <c r="AR648" s="389">
        <f t="shared" si="719"/>
        <v>0</v>
      </c>
      <c r="AS648" s="389">
        <f t="shared" si="719"/>
        <v>0</v>
      </c>
      <c r="AT648" s="390">
        <f t="shared" si="719"/>
        <v>0</v>
      </c>
      <c r="AU648" s="390">
        <f t="shared" si="719"/>
        <v>0</v>
      </c>
      <c r="AV648" s="390">
        <f t="shared" si="719"/>
        <v>0</v>
      </c>
      <c r="AW648" s="390">
        <f t="shared" si="719"/>
        <v>0</v>
      </c>
      <c r="AX648" s="390">
        <f t="shared" si="719"/>
        <v>0</v>
      </c>
      <c r="AY648" s="390">
        <f t="shared" si="719"/>
        <v>0</v>
      </c>
      <c r="AZ648" s="390">
        <f t="shared" si="719"/>
        <v>0</v>
      </c>
      <c r="BA648" s="390">
        <f t="shared" si="719"/>
        <v>0</v>
      </c>
      <c r="BB648" s="390">
        <f t="shared" si="719"/>
        <v>0</v>
      </c>
      <c r="BC648" s="390">
        <f t="shared" si="719"/>
        <v>0</v>
      </c>
      <c r="BD648" s="391"/>
      <c r="BE648" s="391"/>
      <c r="BF648" s="391"/>
      <c r="BG648" s="474"/>
      <c r="BH648" s="392" t="e">
        <f>AT648/AQ648*1000</f>
        <v>#DIV/0!</v>
      </c>
      <c r="BI648" s="392" t="e">
        <f>AT648/AR648</f>
        <v>#DIV/0!</v>
      </c>
    </row>
    <row r="649" spans="1:61" s="358" customFormat="1" ht="19.2" x14ac:dyDescent="0.3">
      <c r="A649" s="359" t="s">
        <v>178</v>
      </c>
      <c r="B649" s="539" t="s">
        <v>602</v>
      </c>
      <c r="C649" s="547" t="s">
        <v>475</v>
      </c>
      <c r="D649" s="608">
        <v>6</v>
      </c>
      <c r="E649" s="552">
        <v>489.5</v>
      </c>
      <c r="F649" s="523">
        <v>160</v>
      </c>
      <c r="G649" s="553">
        <v>160</v>
      </c>
      <c r="H649" s="554">
        <v>6101.2614999999996</v>
      </c>
      <c r="I649" s="555">
        <v>2128.3670000000002</v>
      </c>
      <c r="J649" s="555">
        <f>1232.1468+260.99112</f>
        <v>1493.1379200000001</v>
      </c>
      <c r="K649" s="555">
        <f>28.36448+9.8188+36.4962+12.4061</f>
        <v>87.085579999999993</v>
      </c>
      <c r="L649" s="555">
        <v>2652.7486600000002</v>
      </c>
      <c r="M649" s="555">
        <v>0</v>
      </c>
      <c r="N649" s="555">
        <v>0</v>
      </c>
      <c r="O649" s="555">
        <v>742.15607</v>
      </c>
      <c r="P649" s="555">
        <f>892.86+945.62</f>
        <v>1838.48</v>
      </c>
      <c r="Q649" s="555">
        <f>3.54556+2.4547+6.0827+6.20305</f>
        <v>18.286010000000001</v>
      </c>
      <c r="R649" s="381" t="s">
        <v>167</v>
      </c>
      <c r="S649" s="408" t="s">
        <v>175</v>
      </c>
      <c r="T649" s="472"/>
      <c r="U649" s="475">
        <v>302</v>
      </c>
      <c r="V649" s="395">
        <f>H649/E649*1000</f>
        <v>12464.272727272726</v>
      </c>
      <c r="W649" s="395">
        <f>H649/F649</f>
        <v>38.132884374999996</v>
      </c>
      <c r="X649" s="552"/>
      <c r="Y649" s="523"/>
      <c r="Z649" s="553"/>
      <c r="AA649" s="554"/>
      <c r="AB649" s="555"/>
      <c r="AC649" s="555"/>
      <c r="AD649" s="555"/>
      <c r="AE649" s="555"/>
      <c r="AF649" s="555"/>
      <c r="AG649" s="555"/>
      <c r="AH649" s="555"/>
      <c r="AI649" s="555"/>
      <c r="AJ649" s="555"/>
      <c r="AK649" s="381"/>
      <c r="AL649" s="408"/>
      <c r="AM649" s="472"/>
      <c r="AN649" s="475"/>
      <c r="AO649" s="395" t="e">
        <f>AA649/X649*1000</f>
        <v>#DIV/0!</v>
      </c>
      <c r="AP649" s="395" t="e">
        <f>AA649/Y649</f>
        <v>#DIV/0!</v>
      </c>
      <c r="AQ649" s="552"/>
      <c r="AR649" s="523"/>
      <c r="AS649" s="553"/>
      <c r="AT649" s="554"/>
      <c r="AU649" s="555"/>
      <c r="AV649" s="555"/>
      <c r="AW649" s="555"/>
      <c r="AX649" s="555"/>
      <c r="AY649" s="555"/>
      <c r="AZ649" s="555"/>
      <c r="BA649" s="555"/>
      <c r="BB649" s="555"/>
      <c r="BC649" s="555"/>
      <c r="BD649" s="381"/>
      <c r="BE649" s="408"/>
      <c r="BF649" s="472"/>
      <c r="BG649" s="475"/>
      <c r="BH649" s="395" t="e">
        <f>AT649/AQ649*1000</f>
        <v>#DIV/0!</v>
      </c>
      <c r="BI649" s="395" t="e">
        <f>AT649/AR649</f>
        <v>#DIV/0!</v>
      </c>
    </row>
    <row r="650" spans="1:61" s="358" customFormat="1" ht="19.2" x14ac:dyDescent="0.3">
      <c r="A650" s="359" t="s">
        <v>178</v>
      </c>
      <c r="B650" s="577" t="s">
        <v>322</v>
      </c>
      <c r="C650" s="547" t="s">
        <v>4399</v>
      </c>
      <c r="D650" s="605">
        <v>6</v>
      </c>
      <c r="E650" s="552"/>
      <c r="F650" s="523"/>
      <c r="G650" s="553"/>
      <c r="H650" s="578"/>
      <c r="I650" s="555"/>
      <c r="J650" s="555"/>
      <c r="K650" s="555"/>
      <c r="L650" s="555"/>
      <c r="M650" s="555"/>
      <c r="N650" s="555"/>
      <c r="O650" s="555"/>
      <c r="P650" s="555"/>
      <c r="Q650" s="555"/>
      <c r="R650" s="381"/>
      <c r="S650" s="408"/>
      <c r="T650" s="472"/>
      <c r="U650" s="475"/>
      <c r="V650" s="395"/>
      <c r="W650" s="395"/>
      <c r="X650" s="552">
        <v>181.6</v>
      </c>
      <c r="Y650" s="523">
        <v>365</v>
      </c>
      <c r="Z650" s="553">
        <v>365</v>
      </c>
      <c r="AA650" s="578">
        <v>2133.9064199999998</v>
      </c>
      <c r="AB650" s="555">
        <v>479.82355000000001</v>
      </c>
      <c r="AC650" s="555">
        <v>302.50745999999998</v>
      </c>
      <c r="AD650" s="555"/>
      <c r="AE650" s="555">
        <v>1219.21019</v>
      </c>
      <c r="AF650" s="555">
        <v>0</v>
      </c>
      <c r="AG650" s="555">
        <v>0</v>
      </c>
      <c r="AH650" s="555">
        <v>257.07317999999998</v>
      </c>
      <c r="AI650" s="555">
        <v>1.6657900000000001</v>
      </c>
      <c r="AJ650" s="555"/>
      <c r="AK650" s="381" t="s">
        <v>167</v>
      </c>
      <c r="AL650" s="408" t="s">
        <v>175</v>
      </c>
      <c r="AM650" s="475" t="s">
        <v>4625</v>
      </c>
      <c r="AN650" s="475">
        <v>437</v>
      </c>
      <c r="AO650" s="395">
        <f t="shared" ref="AO650:AO651" si="720">AA650/X650*1000</f>
        <v>11750.58601321586</v>
      </c>
      <c r="AP650" s="395">
        <f t="shared" ref="AP650:AP651" si="721">AA650/Y650</f>
        <v>5.8463189589041091</v>
      </c>
      <c r="AQ650" s="552"/>
      <c r="AR650" s="523"/>
      <c r="AS650" s="553"/>
      <c r="AT650" s="578"/>
      <c r="AU650" s="555"/>
      <c r="AV650" s="555"/>
      <c r="AW650" s="555"/>
      <c r="AX650" s="555"/>
      <c r="AY650" s="555"/>
      <c r="AZ650" s="555"/>
      <c r="BA650" s="555"/>
      <c r="BB650" s="555"/>
      <c r="BC650" s="555"/>
      <c r="BD650" s="381"/>
      <c r="BE650" s="408"/>
      <c r="BF650" s="475"/>
      <c r="BG650" s="475"/>
      <c r="BH650" s="395" t="e">
        <f t="shared" ref="BH650:BH651" si="722">AT650/AQ650*1000</f>
        <v>#DIV/0!</v>
      </c>
      <c r="BI650" s="395" t="e">
        <f t="shared" ref="BI650:BI651" si="723">AT650/AR650</f>
        <v>#DIV/0!</v>
      </c>
    </row>
    <row r="651" spans="1:61" s="358" customFormat="1" ht="19.2" x14ac:dyDescent="0.3">
      <c r="A651" s="359" t="s">
        <v>182</v>
      </c>
      <c r="B651" s="577" t="s">
        <v>322</v>
      </c>
      <c r="C651" s="547" t="s">
        <v>4400</v>
      </c>
      <c r="D651" s="605">
        <v>6</v>
      </c>
      <c r="E651" s="552"/>
      <c r="F651" s="523"/>
      <c r="G651" s="553"/>
      <c r="H651" s="578"/>
      <c r="I651" s="555"/>
      <c r="J651" s="555"/>
      <c r="K651" s="555"/>
      <c r="L651" s="555"/>
      <c r="M651" s="555"/>
      <c r="N651" s="555"/>
      <c r="O651" s="555"/>
      <c r="P651" s="555"/>
      <c r="Q651" s="555"/>
      <c r="R651" s="381"/>
      <c r="S651" s="408"/>
      <c r="T651" s="472"/>
      <c r="U651" s="475"/>
      <c r="V651" s="395"/>
      <c r="W651" s="395"/>
      <c r="X651" s="552">
        <v>181.6</v>
      </c>
      <c r="Y651" s="523">
        <v>365</v>
      </c>
      <c r="Z651" s="553">
        <v>365</v>
      </c>
      <c r="AA651" s="578">
        <v>1524.6535699999999</v>
      </c>
      <c r="AB651" s="555">
        <v>517.57039999999995</v>
      </c>
      <c r="AC651" s="555">
        <v>302.50745999999998</v>
      </c>
      <c r="AD651" s="555"/>
      <c r="AE651" s="555">
        <v>661.05354999999997</v>
      </c>
      <c r="AF651" s="555">
        <v>0</v>
      </c>
      <c r="AG651" s="555">
        <v>0</v>
      </c>
      <c r="AH651" s="555">
        <v>168.23012</v>
      </c>
      <c r="AI651" s="555">
        <v>1.6657900000000001</v>
      </c>
      <c r="AJ651" s="555"/>
      <c r="AK651" s="381" t="s">
        <v>167</v>
      </c>
      <c r="AL651" s="408" t="s">
        <v>175</v>
      </c>
      <c r="AM651" s="475" t="s">
        <v>4625</v>
      </c>
      <c r="AN651" s="475">
        <v>442</v>
      </c>
      <c r="AO651" s="395">
        <f t="shared" si="720"/>
        <v>8395.669438325991</v>
      </c>
      <c r="AP651" s="395">
        <f t="shared" si="721"/>
        <v>4.1771330684931502</v>
      </c>
      <c r="AQ651" s="552"/>
      <c r="AR651" s="523"/>
      <c r="AS651" s="553"/>
      <c r="AT651" s="578"/>
      <c r="AU651" s="555"/>
      <c r="AV651" s="555"/>
      <c r="AW651" s="555"/>
      <c r="AX651" s="555"/>
      <c r="AY651" s="555"/>
      <c r="AZ651" s="555"/>
      <c r="BA651" s="555"/>
      <c r="BB651" s="555"/>
      <c r="BC651" s="555"/>
      <c r="BD651" s="381"/>
      <c r="BE651" s="408"/>
      <c r="BF651" s="475"/>
      <c r="BG651" s="475"/>
      <c r="BH651" s="395" t="e">
        <f t="shared" si="722"/>
        <v>#DIV/0!</v>
      </c>
      <c r="BI651" s="395" t="e">
        <f t="shared" si="723"/>
        <v>#DIV/0!</v>
      </c>
    </row>
    <row r="652" spans="1:61" s="358" customFormat="1" x14ac:dyDescent="0.3">
      <c r="A652" s="359" t="s">
        <v>178</v>
      </c>
      <c r="B652" s="602"/>
      <c r="C652" s="548"/>
      <c r="D652" s="605">
        <v>6</v>
      </c>
      <c r="E652" s="528"/>
      <c r="F652" s="523"/>
      <c r="G652" s="393"/>
      <c r="H652" s="394"/>
      <c r="I652" s="394"/>
      <c r="J652" s="394"/>
      <c r="K652" s="394"/>
      <c r="L652" s="394"/>
      <c r="M652" s="394"/>
      <c r="N652" s="394"/>
      <c r="O652" s="394"/>
      <c r="P652" s="394"/>
      <c r="Q652" s="394"/>
      <c r="R652" s="381"/>
      <c r="S652" s="408"/>
      <c r="T652" s="385"/>
      <c r="U652" s="475"/>
      <c r="V652" s="395"/>
      <c r="W652" s="395"/>
      <c r="X652" s="528"/>
      <c r="Y652" s="523"/>
      <c r="Z652" s="393"/>
      <c r="AA652" s="394"/>
      <c r="AB652" s="394"/>
      <c r="AC652" s="394"/>
      <c r="AD652" s="394"/>
      <c r="AE652" s="394"/>
      <c r="AF652" s="394"/>
      <c r="AG652" s="394"/>
      <c r="AH652" s="394"/>
      <c r="AI652" s="394"/>
      <c r="AJ652" s="394"/>
      <c r="AK652" s="381"/>
      <c r="AL652" s="408"/>
      <c r="AM652" s="385"/>
      <c r="AN652" s="475"/>
      <c r="AO652" s="395"/>
      <c r="AP652" s="395"/>
      <c r="AQ652" s="528"/>
      <c r="AR652" s="523"/>
      <c r="AS652" s="393"/>
      <c r="AT652" s="600"/>
      <c r="AU652" s="394"/>
      <c r="AV652" s="394"/>
      <c r="AW652" s="394"/>
      <c r="AX652" s="394"/>
      <c r="AY652" s="394"/>
      <c r="AZ652" s="394"/>
      <c r="BA652" s="394"/>
      <c r="BB652" s="394"/>
      <c r="BC652" s="394"/>
      <c r="BD652" s="381"/>
      <c r="BE652" s="408"/>
      <c r="BF652" s="385"/>
      <c r="BG652" s="475"/>
      <c r="BH652" s="395" t="e">
        <f t="shared" ref="BH652:BH653" si="724">AT652/AQ652*1000</f>
        <v>#DIV/0!</v>
      </c>
      <c r="BI652" s="395" t="e">
        <f t="shared" ref="BI652:BI653" si="725">AT652/AR652</f>
        <v>#DIV/0!</v>
      </c>
    </row>
    <row r="653" spans="1:61" s="358" customFormat="1" x14ac:dyDescent="0.3">
      <c r="A653" s="359"/>
      <c r="B653" s="526"/>
      <c r="C653" s="547"/>
      <c r="D653" s="360"/>
      <c r="E653" s="552"/>
      <c r="F653" s="523"/>
      <c r="G653" s="553"/>
      <c r="H653" s="556"/>
      <c r="I653" s="555"/>
      <c r="J653" s="555"/>
      <c r="K653" s="555"/>
      <c r="L653" s="555"/>
      <c r="M653" s="555"/>
      <c r="N653" s="555"/>
      <c r="O653" s="555"/>
      <c r="P653" s="555"/>
      <c r="Q653" s="555"/>
      <c r="R653" s="381"/>
      <c r="S653" s="408"/>
      <c r="T653" s="472"/>
      <c r="U653" s="475"/>
      <c r="V653" s="395"/>
      <c r="W653" s="395"/>
      <c r="X653" s="552"/>
      <c r="Y653" s="523"/>
      <c r="Z653" s="553"/>
      <c r="AA653" s="556"/>
      <c r="AB653" s="555"/>
      <c r="AC653" s="555"/>
      <c r="AD653" s="555"/>
      <c r="AE653" s="555"/>
      <c r="AF653" s="555"/>
      <c r="AG653" s="555"/>
      <c r="AH653" s="555"/>
      <c r="AI653" s="555"/>
      <c r="AJ653" s="555"/>
      <c r="AK653" s="381"/>
      <c r="AL653" s="408"/>
      <c r="AM653" s="472"/>
      <c r="AN653" s="475"/>
      <c r="AO653" s="395"/>
      <c r="AP653" s="395"/>
      <c r="AQ653" s="552"/>
      <c r="AR653" s="523"/>
      <c r="AS653" s="553"/>
      <c r="AT653" s="556"/>
      <c r="AU653" s="555"/>
      <c r="AV653" s="555"/>
      <c r="AW653" s="555"/>
      <c r="AX653" s="555"/>
      <c r="AY653" s="555"/>
      <c r="AZ653" s="555"/>
      <c r="BA653" s="555"/>
      <c r="BB653" s="555"/>
      <c r="BC653" s="555"/>
      <c r="BD653" s="381"/>
      <c r="BE653" s="408"/>
      <c r="BF653" s="472"/>
      <c r="BG653" s="475"/>
      <c r="BH653" s="395" t="e">
        <f t="shared" si="724"/>
        <v>#DIV/0!</v>
      </c>
      <c r="BI653" s="395" t="e">
        <f t="shared" si="725"/>
        <v>#DIV/0!</v>
      </c>
    </row>
    <row r="654" spans="1:61" s="358" customFormat="1" ht="24.75" customHeight="1" x14ac:dyDescent="0.3">
      <c r="A654" s="354" t="s">
        <v>4623</v>
      </c>
      <c r="B654" s="603" t="s">
        <v>6308</v>
      </c>
      <c r="C654" s="587"/>
      <c r="D654" s="356">
        <v>6</v>
      </c>
      <c r="E654" s="389">
        <f t="shared" ref="E654:Q654" si="726">SUM(E655:E659)</f>
        <v>397.2</v>
      </c>
      <c r="F654" s="389">
        <f t="shared" si="726"/>
        <v>700</v>
      </c>
      <c r="G654" s="389">
        <f t="shared" si="726"/>
        <v>700</v>
      </c>
      <c r="H654" s="390">
        <f t="shared" si="726"/>
        <v>4115.8129399999998</v>
      </c>
      <c r="I654" s="390">
        <f t="shared" si="726"/>
        <v>886.67622000000006</v>
      </c>
      <c r="J654" s="390">
        <f t="shared" si="726"/>
        <v>618.46680000000003</v>
      </c>
      <c r="K654" s="390">
        <f t="shared" si="726"/>
        <v>37.262720000000002</v>
      </c>
      <c r="L654" s="390">
        <f t="shared" si="726"/>
        <v>2281.5901100000001</v>
      </c>
      <c r="M654" s="390">
        <f t="shared" si="726"/>
        <v>0</v>
      </c>
      <c r="N654" s="390">
        <f t="shared" si="726"/>
        <v>0</v>
      </c>
      <c r="O654" s="390">
        <f t="shared" si="726"/>
        <v>552.51886999999999</v>
      </c>
      <c r="P654" s="390">
        <f t="shared" si="726"/>
        <v>1472.54</v>
      </c>
      <c r="Q654" s="390">
        <f t="shared" si="726"/>
        <v>15.239740000000001</v>
      </c>
      <c r="R654" s="391"/>
      <c r="S654" s="391"/>
      <c r="T654" s="391"/>
      <c r="U654" s="474"/>
      <c r="V654" s="392">
        <f>H654/E654*1000</f>
        <v>10362.066817724068</v>
      </c>
      <c r="W654" s="392">
        <f t="shared" ref="W654:W656" si="727">H654/F654</f>
        <v>5.8797327714285714</v>
      </c>
      <c r="X654" s="389">
        <f t="shared" ref="X654:AJ654" si="728">SUM(X655:X659)</f>
        <v>0</v>
      </c>
      <c r="Y654" s="389">
        <f t="shared" si="728"/>
        <v>0</v>
      </c>
      <c r="Z654" s="389">
        <f t="shared" si="728"/>
        <v>0</v>
      </c>
      <c r="AA654" s="390">
        <f t="shared" si="728"/>
        <v>0</v>
      </c>
      <c r="AB654" s="390">
        <f t="shared" si="728"/>
        <v>0</v>
      </c>
      <c r="AC654" s="390">
        <f t="shared" si="728"/>
        <v>0</v>
      </c>
      <c r="AD654" s="390">
        <f t="shared" si="728"/>
        <v>0</v>
      </c>
      <c r="AE654" s="390">
        <f t="shared" si="728"/>
        <v>0</v>
      </c>
      <c r="AF654" s="390">
        <f t="shared" si="728"/>
        <v>0</v>
      </c>
      <c r="AG654" s="390">
        <f t="shared" si="728"/>
        <v>0</v>
      </c>
      <c r="AH654" s="390">
        <f t="shared" si="728"/>
        <v>0</v>
      </c>
      <c r="AI654" s="390">
        <f t="shared" si="728"/>
        <v>0</v>
      </c>
      <c r="AJ654" s="390">
        <f t="shared" si="728"/>
        <v>0</v>
      </c>
      <c r="AK654" s="391"/>
      <c r="AL654" s="391"/>
      <c r="AM654" s="391"/>
      <c r="AN654" s="474"/>
      <c r="AO654" s="392" t="e">
        <f t="shared" ref="AO654:AO657" si="729">AA654/X654*1000</f>
        <v>#DIV/0!</v>
      </c>
      <c r="AP654" s="392" t="e">
        <f t="shared" ref="AP654:AP657" si="730">AA654/Y654</f>
        <v>#DIV/0!</v>
      </c>
      <c r="AQ654" s="389">
        <f t="shared" ref="AQ654:BC654" si="731">SUM(AQ655:AQ659)</f>
        <v>0</v>
      </c>
      <c r="AR654" s="389">
        <f t="shared" si="731"/>
        <v>0</v>
      </c>
      <c r="AS654" s="389">
        <f t="shared" si="731"/>
        <v>0</v>
      </c>
      <c r="AT654" s="390">
        <f t="shared" si="731"/>
        <v>0</v>
      </c>
      <c r="AU654" s="390">
        <f t="shared" si="731"/>
        <v>0</v>
      </c>
      <c r="AV654" s="390">
        <f t="shared" si="731"/>
        <v>0</v>
      </c>
      <c r="AW654" s="390">
        <f t="shared" si="731"/>
        <v>0</v>
      </c>
      <c r="AX654" s="390">
        <f t="shared" si="731"/>
        <v>0</v>
      </c>
      <c r="AY654" s="390">
        <f t="shared" si="731"/>
        <v>0</v>
      </c>
      <c r="AZ654" s="390">
        <f t="shared" si="731"/>
        <v>0</v>
      </c>
      <c r="BA654" s="390">
        <f t="shared" si="731"/>
        <v>0</v>
      </c>
      <c r="BB654" s="390">
        <f t="shared" si="731"/>
        <v>0</v>
      </c>
      <c r="BC654" s="390">
        <f t="shared" si="731"/>
        <v>0</v>
      </c>
      <c r="BD654" s="391"/>
      <c r="BE654" s="391"/>
      <c r="BF654" s="391"/>
      <c r="BG654" s="474"/>
      <c r="BH654" s="392" t="e">
        <f t="shared" ref="BH654:BH657" si="732">AT654/AQ654*1000</f>
        <v>#DIV/0!</v>
      </c>
      <c r="BI654" s="392" t="e">
        <f t="shared" ref="BI654:BI657" si="733">AT654/AR654</f>
        <v>#DIV/0!</v>
      </c>
    </row>
    <row r="655" spans="1:61" s="358" customFormat="1" ht="19.2" x14ac:dyDescent="0.3">
      <c r="A655" s="359" t="s">
        <v>178</v>
      </c>
      <c r="B655" s="539" t="s">
        <v>603</v>
      </c>
      <c r="C655" s="547" t="s">
        <v>2262</v>
      </c>
      <c r="D655" s="607">
        <v>6</v>
      </c>
      <c r="E655" s="552">
        <v>198.6</v>
      </c>
      <c r="F655" s="523">
        <v>350</v>
      </c>
      <c r="G655" s="553">
        <v>350</v>
      </c>
      <c r="H655" s="554">
        <v>2053.1633099999999</v>
      </c>
      <c r="I655" s="555">
        <v>439.02116000000001</v>
      </c>
      <c r="J655" s="555">
        <v>305.55205000000001</v>
      </c>
      <c r="K655" s="555">
        <f>5.66776+6.78324+6.18036</f>
        <v>18.631360000000001</v>
      </c>
      <c r="L655" s="555">
        <v>1140.73009</v>
      </c>
      <c r="M655" s="555">
        <v>0</v>
      </c>
      <c r="N655" s="555">
        <v>0</v>
      </c>
      <c r="O655" s="555">
        <v>276.12164999999999</v>
      </c>
      <c r="P655" s="555">
        <v>736.27</v>
      </c>
      <c r="Q655" s="555">
        <f>2.83388+1.69581+3.09018</f>
        <v>7.6198700000000006</v>
      </c>
      <c r="R655" s="381" t="s">
        <v>167</v>
      </c>
      <c r="S655" s="408" t="s">
        <v>175</v>
      </c>
      <c r="T655" s="472"/>
      <c r="U655" s="475">
        <v>307</v>
      </c>
      <c r="V655" s="395">
        <f t="shared" ref="V655:V656" si="734">H655/E655*1000</f>
        <v>10338.183836858007</v>
      </c>
      <c r="W655" s="395">
        <f t="shared" si="727"/>
        <v>5.8661808857142859</v>
      </c>
      <c r="X655" s="552"/>
      <c r="Y655" s="523"/>
      <c r="Z655" s="553"/>
      <c r="AA655" s="554"/>
      <c r="AB655" s="555"/>
      <c r="AC655" s="555"/>
      <c r="AD655" s="555"/>
      <c r="AE655" s="555"/>
      <c r="AF655" s="555"/>
      <c r="AG655" s="555"/>
      <c r="AH655" s="555"/>
      <c r="AI655" s="555"/>
      <c r="AJ655" s="555"/>
      <c r="AK655" s="381"/>
      <c r="AL655" s="408"/>
      <c r="AM655" s="472"/>
      <c r="AN655" s="475"/>
      <c r="AO655" s="395" t="e">
        <f t="shared" si="729"/>
        <v>#DIV/0!</v>
      </c>
      <c r="AP655" s="395" t="e">
        <f t="shared" si="730"/>
        <v>#DIV/0!</v>
      </c>
      <c r="AQ655" s="552"/>
      <c r="AR655" s="523"/>
      <c r="AS655" s="553"/>
      <c r="AT655" s="554"/>
      <c r="AU655" s="555"/>
      <c r="AV655" s="555"/>
      <c r="AW655" s="555"/>
      <c r="AX655" s="555"/>
      <c r="AY655" s="555"/>
      <c r="AZ655" s="555"/>
      <c r="BA655" s="555"/>
      <c r="BB655" s="555"/>
      <c r="BC655" s="555"/>
      <c r="BD655" s="381"/>
      <c r="BE655" s="408"/>
      <c r="BF655" s="472"/>
      <c r="BG655" s="475"/>
      <c r="BH655" s="395" t="e">
        <f t="shared" si="732"/>
        <v>#DIV/0!</v>
      </c>
      <c r="BI655" s="395" t="e">
        <f t="shared" si="733"/>
        <v>#DIV/0!</v>
      </c>
    </row>
    <row r="656" spans="1:61" s="358" customFormat="1" ht="19.2" x14ac:dyDescent="0.3">
      <c r="A656" s="359" t="s">
        <v>182</v>
      </c>
      <c r="B656" s="539" t="s">
        <v>603</v>
      </c>
      <c r="C656" s="547" t="s">
        <v>2263</v>
      </c>
      <c r="D656" s="607">
        <v>6</v>
      </c>
      <c r="E656" s="552">
        <v>198.6</v>
      </c>
      <c r="F656" s="523">
        <v>350</v>
      </c>
      <c r="G656" s="553">
        <v>350</v>
      </c>
      <c r="H656" s="554">
        <v>2062.6496299999999</v>
      </c>
      <c r="I656" s="555">
        <v>447.65505999999999</v>
      </c>
      <c r="J656" s="555">
        <v>312.91475000000003</v>
      </c>
      <c r="K656" s="555">
        <f>5.66776+6.78324+6.18036</f>
        <v>18.631360000000001</v>
      </c>
      <c r="L656" s="555">
        <v>1140.8600200000001</v>
      </c>
      <c r="M656" s="555">
        <v>0</v>
      </c>
      <c r="N656" s="555">
        <v>0</v>
      </c>
      <c r="O656" s="555">
        <v>276.39722</v>
      </c>
      <c r="P656" s="555">
        <v>736.27</v>
      </c>
      <c r="Q656" s="555">
        <f>2.83388+1.69581+3.09018</f>
        <v>7.6198700000000006</v>
      </c>
      <c r="R656" s="381" t="s">
        <v>167</v>
      </c>
      <c r="S656" s="408" t="s">
        <v>175</v>
      </c>
      <c r="T656" s="472"/>
      <c r="U656" s="475">
        <v>312</v>
      </c>
      <c r="V656" s="395">
        <f t="shared" si="734"/>
        <v>10385.949798590131</v>
      </c>
      <c r="W656" s="395">
        <f t="shared" si="727"/>
        <v>5.893284657142857</v>
      </c>
      <c r="X656" s="552"/>
      <c r="Y656" s="523"/>
      <c r="Z656" s="553"/>
      <c r="AA656" s="554"/>
      <c r="AB656" s="555"/>
      <c r="AC656" s="555"/>
      <c r="AD656" s="555"/>
      <c r="AE656" s="555"/>
      <c r="AF656" s="555"/>
      <c r="AG656" s="555"/>
      <c r="AH656" s="555"/>
      <c r="AI656" s="555"/>
      <c r="AJ656" s="555"/>
      <c r="AK656" s="381"/>
      <c r="AL656" s="408"/>
      <c r="AM656" s="472"/>
      <c r="AN656" s="475"/>
      <c r="AO656" s="395" t="e">
        <f t="shared" si="729"/>
        <v>#DIV/0!</v>
      </c>
      <c r="AP656" s="395" t="e">
        <f t="shared" si="730"/>
        <v>#DIV/0!</v>
      </c>
      <c r="AQ656" s="552"/>
      <c r="AR656" s="523"/>
      <c r="AS656" s="553"/>
      <c r="AT656" s="554"/>
      <c r="AU656" s="555"/>
      <c r="AV656" s="555"/>
      <c r="AW656" s="555"/>
      <c r="AX656" s="555"/>
      <c r="AY656" s="555"/>
      <c r="AZ656" s="555"/>
      <c r="BA656" s="555"/>
      <c r="BB656" s="555"/>
      <c r="BC656" s="555"/>
      <c r="BD656" s="381"/>
      <c r="BE656" s="408"/>
      <c r="BF656" s="472"/>
      <c r="BG656" s="475"/>
      <c r="BH656" s="395" t="e">
        <f t="shared" si="732"/>
        <v>#DIV/0!</v>
      </c>
      <c r="BI656" s="395" t="e">
        <f t="shared" si="733"/>
        <v>#DIV/0!</v>
      </c>
    </row>
    <row r="657" spans="1:61" s="358" customFormat="1" x14ac:dyDescent="0.3">
      <c r="A657" s="359"/>
      <c r="B657" s="577"/>
      <c r="C657" s="547"/>
      <c r="D657" s="606" t="s">
        <v>267</v>
      </c>
      <c r="E657" s="552"/>
      <c r="F657" s="523"/>
      <c r="G657" s="553"/>
      <c r="H657" s="578"/>
      <c r="I657" s="555"/>
      <c r="J657" s="555"/>
      <c r="K657" s="555"/>
      <c r="L657" s="555"/>
      <c r="M657" s="555"/>
      <c r="N657" s="555"/>
      <c r="O657" s="555"/>
      <c r="P657" s="555"/>
      <c r="Q657" s="555"/>
      <c r="R657" s="381"/>
      <c r="S657" s="408"/>
      <c r="T657" s="472"/>
      <c r="U657" s="475"/>
      <c r="V657" s="395"/>
      <c r="W657" s="395"/>
      <c r="X657" s="552"/>
      <c r="Y657" s="523"/>
      <c r="Z657" s="553"/>
      <c r="AA657" s="578"/>
      <c r="AB657" s="555"/>
      <c r="AC657" s="555"/>
      <c r="AD657" s="555"/>
      <c r="AE657" s="555"/>
      <c r="AF657" s="555"/>
      <c r="AG657" s="555"/>
      <c r="AH657" s="555"/>
      <c r="AI657" s="555"/>
      <c r="AJ657" s="555"/>
      <c r="AK657" s="381"/>
      <c r="AL657" s="408"/>
      <c r="AM657" s="472"/>
      <c r="AN657" s="475"/>
      <c r="AO657" s="395" t="e">
        <f t="shared" si="729"/>
        <v>#DIV/0!</v>
      </c>
      <c r="AP657" s="395" t="e">
        <f t="shared" si="730"/>
        <v>#DIV/0!</v>
      </c>
      <c r="AQ657" s="552"/>
      <c r="AR657" s="523"/>
      <c r="AS657" s="553"/>
      <c r="AT657" s="578"/>
      <c r="AU657" s="555"/>
      <c r="AV657" s="555"/>
      <c r="AW657" s="555"/>
      <c r="AX657" s="555"/>
      <c r="AY657" s="555"/>
      <c r="AZ657" s="555"/>
      <c r="BA657" s="555"/>
      <c r="BB657" s="555"/>
      <c r="BC657" s="555"/>
      <c r="BD657" s="381"/>
      <c r="BE657" s="408"/>
      <c r="BF657" s="472"/>
      <c r="BG657" s="475"/>
      <c r="BH657" s="395" t="e">
        <f t="shared" si="732"/>
        <v>#DIV/0!</v>
      </c>
      <c r="BI657" s="395" t="e">
        <f t="shared" si="733"/>
        <v>#DIV/0!</v>
      </c>
    </row>
    <row r="658" spans="1:61" s="358" customFormat="1" x14ac:dyDescent="0.3">
      <c r="A658" s="359"/>
      <c r="B658" s="602"/>
      <c r="C658" s="548"/>
      <c r="D658" s="607">
        <v>6</v>
      </c>
      <c r="E658" s="528"/>
      <c r="F658" s="523"/>
      <c r="G658" s="393"/>
      <c r="H658" s="394"/>
      <c r="I658" s="394"/>
      <c r="J658" s="394"/>
      <c r="K658" s="394"/>
      <c r="L658" s="394"/>
      <c r="M658" s="394"/>
      <c r="N658" s="394"/>
      <c r="O658" s="394"/>
      <c r="P658" s="394"/>
      <c r="Q658" s="394"/>
      <c r="R658" s="381"/>
      <c r="S658" s="408"/>
      <c r="T658" s="385"/>
      <c r="U658" s="475"/>
      <c r="V658" s="395"/>
      <c r="W658" s="395"/>
      <c r="X658" s="528"/>
      <c r="Y658" s="523"/>
      <c r="Z658" s="393"/>
      <c r="AA658" s="394"/>
      <c r="AB658" s="394"/>
      <c r="AC658" s="394"/>
      <c r="AD658" s="394"/>
      <c r="AE658" s="394"/>
      <c r="AF658" s="394"/>
      <c r="AG658" s="394"/>
      <c r="AH658" s="394"/>
      <c r="AI658" s="394"/>
      <c r="AJ658" s="394"/>
      <c r="AK658" s="381"/>
      <c r="AL658" s="408"/>
      <c r="AM658" s="385"/>
      <c r="AN658" s="475"/>
      <c r="AO658" s="395"/>
      <c r="AP658" s="395"/>
      <c r="AQ658" s="528"/>
      <c r="AR658" s="523"/>
      <c r="AS658" s="393"/>
      <c r="AT658" s="600"/>
      <c r="AU658" s="394"/>
      <c r="AV658" s="394"/>
      <c r="AW658" s="394"/>
      <c r="AX658" s="394"/>
      <c r="AY658" s="394"/>
      <c r="AZ658" s="394"/>
      <c r="BA658" s="394"/>
      <c r="BB658" s="394"/>
      <c r="BC658" s="394"/>
      <c r="BD658" s="381"/>
      <c r="BE658" s="408"/>
      <c r="BF658" s="385"/>
      <c r="BG658" s="475"/>
      <c r="BH658" s="395" t="e">
        <f t="shared" ref="BH658:BH659" si="735">AT658/AQ658*1000</f>
        <v>#DIV/0!</v>
      </c>
      <c r="BI658" s="395" t="e">
        <f t="shared" ref="BI658:BI659" si="736">AT658/AR658</f>
        <v>#DIV/0!</v>
      </c>
    </row>
    <row r="659" spans="1:61" s="358" customFormat="1" x14ac:dyDescent="0.3">
      <c r="A659" s="359"/>
      <c r="B659" s="517"/>
      <c r="C659" s="547"/>
      <c r="D659" s="360"/>
      <c r="E659" s="524"/>
      <c r="F659" s="524"/>
      <c r="G659" s="524"/>
      <c r="H659" s="401"/>
      <c r="I659" s="394"/>
      <c r="J659" s="394"/>
      <c r="K659" s="394"/>
      <c r="L659" s="394"/>
      <c r="M659" s="394"/>
      <c r="N659" s="394"/>
      <c r="O659" s="394"/>
      <c r="P659" s="394"/>
      <c r="Q659" s="394"/>
      <c r="R659" s="385"/>
      <c r="S659" s="385"/>
      <c r="T659" s="385"/>
      <c r="U659" s="475"/>
      <c r="V659" s="395"/>
      <c r="W659" s="395"/>
      <c r="X659" s="524"/>
      <c r="Y659" s="524"/>
      <c r="Z659" s="524"/>
      <c r="AA659" s="401"/>
      <c r="AB659" s="394"/>
      <c r="AC659" s="394"/>
      <c r="AD659" s="394"/>
      <c r="AE659" s="394"/>
      <c r="AF659" s="394"/>
      <c r="AG659" s="394"/>
      <c r="AH659" s="394"/>
      <c r="AI659" s="394"/>
      <c r="AJ659" s="394"/>
      <c r="AK659" s="385"/>
      <c r="AL659" s="385"/>
      <c r="AM659" s="385"/>
      <c r="AN659" s="475"/>
      <c r="AO659" s="395"/>
      <c r="AP659" s="395"/>
      <c r="AQ659" s="524"/>
      <c r="AR659" s="524"/>
      <c r="AS659" s="524"/>
      <c r="AT659" s="401"/>
      <c r="AU659" s="394"/>
      <c r="AV659" s="394"/>
      <c r="AW659" s="394"/>
      <c r="AX659" s="394"/>
      <c r="AY659" s="394"/>
      <c r="AZ659" s="394"/>
      <c r="BA659" s="394"/>
      <c r="BB659" s="394"/>
      <c r="BC659" s="394"/>
      <c r="BD659" s="385"/>
      <c r="BE659" s="385"/>
      <c r="BF659" s="385"/>
      <c r="BG659" s="475"/>
      <c r="BH659" s="395" t="e">
        <f t="shared" si="735"/>
        <v>#DIV/0!</v>
      </c>
      <c r="BI659" s="395" t="e">
        <f t="shared" si="736"/>
        <v>#DIV/0!</v>
      </c>
    </row>
    <row r="660" spans="1:61" s="358" customFormat="1" ht="24.75" customHeight="1" x14ac:dyDescent="0.3">
      <c r="A660" s="354" t="s">
        <v>4623</v>
      </c>
      <c r="B660" s="603" t="s">
        <v>6321</v>
      </c>
      <c r="C660" s="587"/>
      <c r="D660" s="356">
        <v>6</v>
      </c>
      <c r="E660" s="389">
        <f t="shared" ref="E660:Q660" si="737">SUM(E661:E662)</f>
        <v>0</v>
      </c>
      <c r="F660" s="389">
        <f t="shared" si="737"/>
        <v>0</v>
      </c>
      <c r="G660" s="389">
        <f t="shared" si="737"/>
        <v>0</v>
      </c>
      <c r="H660" s="390">
        <f t="shared" si="737"/>
        <v>0</v>
      </c>
      <c r="I660" s="390">
        <f t="shared" si="737"/>
        <v>0</v>
      </c>
      <c r="J660" s="390">
        <f t="shared" si="737"/>
        <v>0</v>
      </c>
      <c r="K660" s="390">
        <f t="shared" si="737"/>
        <v>0</v>
      </c>
      <c r="L660" s="390">
        <f t="shared" si="737"/>
        <v>0</v>
      </c>
      <c r="M660" s="390">
        <f t="shared" si="737"/>
        <v>0</v>
      </c>
      <c r="N660" s="390">
        <f t="shared" si="737"/>
        <v>0</v>
      </c>
      <c r="O660" s="390">
        <f t="shared" si="737"/>
        <v>0</v>
      </c>
      <c r="P660" s="390">
        <f t="shared" si="737"/>
        <v>0</v>
      </c>
      <c r="Q660" s="390">
        <f t="shared" si="737"/>
        <v>0</v>
      </c>
      <c r="R660" s="391"/>
      <c r="S660" s="391"/>
      <c r="T660" s="391"/>
      <c r="U660" s="474"/>
      <c r="V660" s="392" t="e">
        <f>H660/E660*1000</f>
        <v>#DIV/0!</v>
      </c>
      <c r="W660" s="392" t="e">
        <f t="shared" ref="W660:W731" si="738">H660/F660</f>
        <v>#DIV/0!</v>
      </c>
      <c r="X660" s="389">
        <f t="shared" ref="X660:AJ660" si="739">SUM(X661:X662)</f>
        <v>0</v>
      </c>
      <c r="Y660" s="389">
        <f t="shared" si="739"/>
        <v>0</v>
      </c>
      <c r="Z660" s="389">
        <f t="shared" si="739"/>
        <v>0</v>
      </c>
      <c r="AA660" s="390">
        <f t="shared" si="739"/>
        <v>0</v>
      </c>
      <c r="AB660" s="390">
        <f t="shared" si="739"/>
        <v>0</v>
      </c>
      <c r="AC660" s="390">
        <f t="shared" si="739"/>
        <v>0</v>
      </c>
      <c r="AD660" s="390">
        <f t="shared" si="739"/>
        <v>0</v>
      </c>
      <c r="AE660" s="390">
        <f t="shared" si="739"/>
        <v>0</v>
      </c>
      <c r="AF660" s="390">
        <f t="shared" si="739"/>
        <v>0</v>
      </c>
      <c r="AG660" s="390">
        <f t="shared" si="739"/>
        <v>0</v>
      </c>
      <c r="AH660" s="390">
        <f t="shared" si="739"/>
        <v>0</v>
      </c>
      <c r="AI660" s="390">
        <f t="shared" si="739"/>
        <v>0</v>
      </c>
      <c r="AJ660" s="390">
        <f t="shared" si="739"/>
        <v>0</v>
      </c>
      <c r="AK660" s="391"/>
      <c r="AL660" s="391"/>
      <c r="AM660" s="391"/>
      <c r="AN660" s="474"/>
      <c r="AO660" s="392" t="e">
        <f>AA660/X660*1000</f>
        <v>#DIV/0!</v>
      </c>
      <c r="AP660" s="392" t="e">
        <f t="shared" ref="AP660:AP717" si="740">AA660/Y660</f>
        <v>#DIV/0!</v>
      </c>
      <c r="AQ660" s="389">
        <f t="shared" ref="AQ660:BC660" si="741">SUM(AQ661:AQ662)</f>
        <v>0</v>
      </c>
      <c r="AR660" s="389">
        <f t="shared" si="741"/>
        <v>0</v>
      </c>
      <c r="AS660" s="389">
        <f t="shared" si="741"/>
        <v>0</v>
      </c>
      <c r="AT660" s="390">
        <f t="shared" si="741"/>
        <v>0</v>
      </c>
      <c r="AU660" s="390">
        <f t="shared" si="741"/>
        <v>0</v>
      </c>
      <c r="AV660" s="390">
        <f t="shared" si="741"/>
        <v>0</v>
      </c>
      <c r="AW660" s="390">
        <f t="shared" si="741"/>
        <v>0</v>
      </c>
      <c r="AX660" s="390">
        <f t="shared" si="741"/>
        <v>0</v>
      </c>
      <c r="AY660" s="390">
        <f t="shared" si="741"/>
        <v>0</v>
      </c>
      <c r="AZ660" s="390">
        <f t="shared" si="741"/>
        <v>0</v>
      </c>
      <c r="BA660" s="390">
        <f t="shared" si="741"/>
        <v>0</v>
      </c>
      <c r="BB660" s="390">
        <f t="shared" si="741"/>
        <v>0</v>
      </c>
      <c r="BC660" s="390">
        <f t="shared" si="741"/>
        <v>0</v>
      </c>
      <c r="BD660" s="391"/>
      <c r="BE660" s="391"/>
      <c r="BF660" s="391"/>
      <c r="BG660" s="474"/>
      <c r="BH660" s="392" t="e">
        <f>AT660/AQ660*1000</f>
        <v>#DIV/0!</v>
      </c>
      <c r="BI660" s="392" t="e">
        <f t="shared" ref="BI660:BI724" si="742">AT660/AR660</f>
        <v>#DIV/0!</v>
      </c>
    </row>
    <row r="661" spans="1:61" s="358" customFormat="1" x14ac:dyDescent="0.3">
      <c r="A661" s="359"/>
      <c r="B661" s="572"/>
      <c r="C661" s="551"/>
      <c r="D661" s="607">
        <v>6</v>
      </c>
      <c r="E661" s="532"/>
      <c r="F661" s="523"/>
      <c r="G661" s="393"/>
      <c r="H661" s="575"/>
      <c r="I661" s="394"/>
      <c r="J661" s="394"/>
      <c r="K661" s="394"/>
      <c r="L661" s="394"/>
      <c r="M661" s="394"/>
      <c r="N661" s="394"/>
      <c r="O661" s="394"/>
      <c r="P661" s="394"/>
      <c r="Q661" s="394"/>
      <c r="R661" s="381"/>
      <c r="S661" s="408"/>
      <c r="T661" s="385"/>
      <c r="U661" s="475"/>
      <c r="V661" s="395"/>
      <c r="W661" s="395"/>
      <c r="X661" s="532"/>
      <c r="Y661" s="523"/>
      <c r="Z661" s="393"/>
      <c r="AA661" s="575"/>
      <c r="AB661" s="394"/>
      <c r="AC661" s="394"/>
      <c r="AD661" s="394"/>
      <c r="AE661" s="394"/>
      <c r="AF661" s="394"/>
      <c r="AG661" s="394"/>
      <c r="AH661" s="394"/>
      <c r="AI661" s="394"/>
      <c r="AJ661" s="394"/>
      <c r="AK661" s="381"/>
      <c r="AL661" s="408"/>
      <c r="AM661" s="385"/>
      <c r="AN661" s="475"/>
      <c r="AO661" s="392" t="e">
        <f>AA661/X661*1000</f>
        <v>#DIV/0!</v>
      </c>
      <c r="AP661" s="392" t="e">
        <f t="shared" si="740"/>
        <v>#DIV/0!</v>
      </c>
      <c r="AQ661" s="532"/>
      <c r="AR661" s="523"/>
      <c r="AS661" s="393"/>
      <c r="AT661" s="575"/>
      <c r="AU661" s="394"/>
      <c r="AV661" s="394"/>
      <c r="AW661" s="394"/>
      <c r="AX661" s="394"/>
      <c r="AY661" s="394"/>
      <c r="AZ661" s="394"/>
      <c r="BA661" s="394"/>
      <c r="BB661" s="394"/>
      <c r="BC661" s="394"/>
      <c r="BD661" s="381"/>
      <c r="BE661" s="408"/>
      <c r="BF661" s="385"/>
      <c r="BG661" s="475"/>
      <c r="BH661" s="392" t="e">
        <f>AT661/AQ661*1000</f>
        <v>#DIV/0!</v>
      </c>
      <c r="BI661" s="392" t="e">
        <f t="shared" si="742"/>
        <v>#DIV/0!</v>
      </c>
    </row>
    <row r="662" spans="1:61" s="358" customFormat="1" x14ac:dyDescent="0.3">
      <c r="A662" s="359"/>
      <c r="B662" s="378"/>
      <c r="C662" s="546"/>
      <c r="D662" s="360"/>
      <c r="E662" s="523"/>
      <c r="F662" s="523"/>
      <c r="G662" s="393"/>
      <c r="H662" s="399"/>
      <c r="I662" s="394"/>
      <c r="J662" s="394"/>
      <c r="K662" s="394"/>
      <c r="L662" s="394"/>
      <c r="M662" s="394"/>
      <c r="N662" s="394"/>
      <c r="O662" s="394"/>
      <c r="P662" s="394"/>
      <c r="Q662" s="394"/>
      <c r="R662" s="385"/>
      <c r="S662" s="385"/>
      <c r="T662" s="385"/>
      <c r="U662" s="475"/>
      <c r="V662" s="395" t="e">
        <f>H662/E662*1000</f>
        <v>#DIV/0!</v>
      </c>
      <c r="W662" s="395" t="e">
        <f t="shared" si="738"/>
        <v>#DIV/0!</v>
      </c>
      <c r="X662" s="523"/>
      <c r="Y662" s="523"/>
      <c r="Z662" s="393"/>
      <c r="AA662" s="399"/>
      <c r="AB662" s="394"/>
      <c r="AC662" s="394"/>
      <c r="AD662" s="394"/>
      <c r="AE662" s="394"/>
      <c r="AF662" s="394"/>
      <c r="AG662" s="394"/>
      <c r="AH662" s="394"/>
      <c r="AI662" s="394"/>
      <c r="AJ662" s="394"/>
      <c r="AK662" s="385"/>
      <c r="AL662" s="385"/>
      <c r="AM662" s="385"/>
      <c r="AN662" s="475"/>
      <c r="AO662" s="395" t="e">
        <f>AA662/X662*1000</f>
        <v>#DIV/0!</v>
      </c>
      <c r="AP662" s="395" t="e">
        <f t="shared" si="740"/>
        <v>#DIV/0!</v>
      </c>
      <c r="AQ662" s="523"/>
      <c r="AR662" s="523"/>
      <c r="AS662" s="393"/>
      <c r="AT662" s="399"/>
      <c r="AU662" s="394"/>
      <c r="AV662" s="394"/>
      <c r="AW662" s="394"/>
      <c r="AX662" s="394"/>
      <c r="AY662" s="394"/>
      <c r="AZ662" s="394"/>
      <c r="BA662" s="394"/>
      <c r="BB662" s="394"/>
      <c r="BC662" s="394"/>
      <c r="BD662" s="385"/>
      <c r="BE662" s="385"/>
      <c r="BF662" s="385"/>
      <c r="BG662" s="475"/>
      <c r="BH662" s="395" t="e">
        <f>AT662/AQ662*1000</f>
        <v>#DIV/0!</v>
      </c>
      <c r="BI662" s="395" t="e">
        <f t="shared" si="742"/>
        <v>#DIV/0!</v>
      </c>
    </row>
    <row r="663" spans="1:61" s="358" customFormat="1" ht="57.6" x14ac:dyDescent="0.3">
      <c r="A663" s="446" t="s">
        <v>4630</v>
      </c>
      <c r="B663" s="447" t="s">
        <v>6323</v>
      </c>
      <c r="C663" s="591"/>
      <c r="D663" s="448"/>
      <c r="E663" s="449">
        <f t="shared" ref="E663:Q663" si="743">E664+E669+E674</f>
        <v>0</v>
      </c>
      <c r="F663" s="449">
        <f t="shared" si="743"/>
        <v>60</v>
      </c>
      <c r="G663" s="449">
        <f t="shared" si="743"/>
        <v>60</v>
      </c>
      <c r="H663" s="450">
        <f t="shared" si="743"/>
        <v>192.89601999999999</v>
      </c>
      <c r="I663" s="450">
        <f t="shared" si="743"/>
        <v>109.35999</v>
      </c>
      <c r="J663" s="450">
        <f t="shared" si="743"/>
        <v>82.3</v>
      </c>
      <c r="K663" s="450">
        <f t="shared" si="743"/>
        <v>8.0903399999999994</v>
      </c>
      <c r="L663" s="450">
        <f t="shared" si="743"/>
        <v>7.6613100000000003</v>
      </c>
      <c r="M663" s="450">
        <f t="shared" si="743"/>
        <v>0</v>
      </c>
      <c r="N663" s="450">
        <f t="shared" si="743"/>
        <v>0</v>
      </c>
      <c r="O663" s="450">
        <f t="shared" si="743"/>
        <v>27.66864</v>
      </c>
      <c r="P663" s="450">
        <f t="shared" si="743"/>
        <v>82.3</v>
      </c>
      <c r="Q663" s="450">
        <f t="shared" si="743"/>
        <v>4.5877800000000004</v>
      </c>
      <c r="R663" s="451"/>
      <c r="S663" s="451"/>
      <c r="T663" s="451"/>
      <c r="U663" s="477"/>
      <c r="V663" s="452"/>
      <c r="W663" s="452">
        <f t="shared" si="738"/>
        <v>3.2149336666666666</v>
      </c>
      <c r="X663" s="449">
        <f t="shared" ref="X663:AJ663" si="744">X664+X669+X674</f>
        <v>0</v>
      </c>
      <c r="Y663" s="449">
        <f t="shared" si="744"/>
        <v>50</v>
      </c>
      <c r="Z663" s="449">
        <f t="shared" si="744"/>
        <v>50</v>
      </c>
      <c r="AA663" s="450">
        <f t="shared" si="744"/>
        <v>307.94051000000002</v>
      </c>
      <c r="AB663" s="450">
        <f t="shared" si="744"/>
        <v>241.09811999999999</v>
      </c>
      <c r="AC663" s="450">
        <f t="shared" si="744"/>
        <v>214</v>
      </c>
      <c r="AD663" s="450">
        <f t="shared" si="744"/>
        <v>9.5574099999999991</v>
      </c>
      <c r="AE663" s="450">
        <f t="shared" si="744"/>
        <v>14.40075</v>
      </c>
      <c r="AF663" s="450">
        <f t="shared" si="744"/>
        <v>0</v>
      </c>
      <c r="AG663" s="450">
        <f t="shared" si="744"/>
        <v>0</v>
      </c>
      <c r="AH663" s="450">
        <f t="shared" si="744"/>
        <v>19.696739999999998</v>
      </c>
      <c r="AI663" s="450">
        <f t="shared" si="744"/>
        <v>214</v>
      </c>
      <c r="AJ663" s="450">
        <f t="shared" si="744"/>
        <v>9.5574099999999991</v>
      </c>
      <c r="AK663" s="451"/>
      <c r="AL663" s="451"/>
      <c r="AM663" s="451"/>
      <c r="AN663" s="477"/>
      <c r="AO663" s="452"/>
      <c r="AP663" s="452">
        <f t="shared" si="740"/>
        <v>6.1588102000000005</v>
      </c>
      <c r="AQ663" s="449">
        <f t="shared" ref="AQ663:BC663" si="745">AQ664+AQ669+AQ674</f>
        <v>0</v>
      </c>
      <c r="AR663" s="449">
        <f t="shared" si="745"/>
        <v>0</v>
      </c>
      <c r="AS663" s="449">
        <f t="shared" si="745"/>
        <v>0</v>
      </c>
      <c r="AT663" s="450">
        <f t="shared" si="745"/>
        <v>0</v>
      </c>
      <c r="AU663" s="450">
        <f t="shared" si="745"/>
        <v>0</v>
      </c>
      <c r="AV663" s="450">
        <f t="shared" si="745"/>
        <v>0</v>
      </c>
      <c r="AW663" s="450">
        <f t="shared" si="745"/>
        <v>0</v>
      </c>
      <c r="AX663" s="450">
        <f t="shared" si="745"/>
        <v>0</v>
      </c>
      <c r="AY663" s="450">
        <f t="shared" si="745"/>
        <v>0</v>
      </c>
      <c r="AZ663" s="450">
        <f t="shared" si="745"/>
        <v>0</v>
      </c>
      <c r="BA663" s="450">
        <f t="shared" si="745"/>
        <v>0</v>
      </c>
      <c r="BB663" s="450">
        <f t="shared" si="745"/>
        <v>0</v>
      </c>
      <c r="BC663" s="450">
        <f t="shared" si="745"/>
        <v>0</v>
      </c>
      <c r="BD663" s="451"/>
      <c r="BE663" s="451"/>
      <c r="BF663" s="451"/>
      <c r="BG663" s="477"/>
      <c r="BH663" s="452"/>
      <c r="BI663" s="452" t="e">
        <f t="shared" si="742"/>
        <v>#DIV/0!</v>
      </c>
    </row>
    <row r="664" spans="1:61" s="358" customFormat="1" ht="24.75" customHeight="1" x14ac:dyDescent="0.3">
      <c r="A664" s="354" t="s">
        <v>4630</v>
      </c>
      <c r="B664" s="355" t="s">
        <v>283</v>
      </c>
      <c r="C664" s="587"/>
      <c r="D664" s="356">
        <v>6</v>
      </c>
      <c r="E664" s="389">
        <f t="shared" ref="E664:Q664" si="746">SUM(E665:E668)</f>
        <v>0</v>
      </c>
      <c r="F664" s="389">
        <f t="shared" si="746"/>
        <v>0</v>
      </c>
      <c r="G664" s="389">
        <f t="shared" si="746"/>
        <v>0</v>
      </c>
      <c r="H664" s="390">
        <f t="shared" si="746"/>
        <v>0</v>
      </c>
      <c r="I664" s="390">
        <f t="shared" si="746"/>
        <v>0</v>
      </c>
      <c r="J664" s="390">
        <f t="shared" si="746"/>
        <v>0</v>
      </c>
      <c r="K664" s="390">
        <f t="shared" si="746"/>
        <v>0</v>
      </c>
      <c r="L664" s="390">
        <f t="shared" si="746"/>
        <v>0</v>
      </c>
      <c r="M664" s="390">
        <f t="shared" si="746"/>
        <v>0</v>
      </c>
      <c r="N664" s="390">
        <f t="shared" si="746"/>
        <v>0</v>
      </c>
      <c r="O664" s="390">
        <f t="shared" si="746"/>
        <v>0</v>
      </c>
      <c r="P664" s="390">
        <f t="shared" si="746"/>
        <v>0</v>
      </c>
      <c r="Q664" s="390">
        <f t="shared" si="746"/>
        <v>0</v>
      </c>
      <c r="R664" s="391"/>
      <c r="S664" s="391"/>
      <c r="T664" s="391"/>
      <c r="U664" s="474"/>
      <c r="V664" s="392"/>
      <c r="W664" s="392" t="e">
        <f t="shared" si="738"/>
        <v>#DIV/0!</v>
      </c>
      <c r="X664" s="389">
        <f t="shared" ref="X664:AJ664" si="747">SUM(X665:X668)</f>
        <v>0</v>
      </c>
      <c r="Y664" s="389">
        <f t="shared" si="747"/>
        <v>0</v>
      </c>
      <c r="Z664" s="389">
        <f t="shared" si="747"/>
        <v>0</v>
      </c>
      <c r="AA664" s="390">
        <f t="shared" si="747"/>
        <v>0</v>
      </c>
      <c r="AB664" s="390">
        <f t="shared" si="747"/>
        <v>0</v>
      </c>
      <c r="AC664" s="390">
        <f t="shared" si="747"/>
        <v>0</v>
      </c>
      <c r="AD664" s="390">
        <f t="shared" si="747"/>
        <v>0</v>
      </c>
      <c r="AE664" s="390">
        <f t="shared" si="747"/>
        <v>0</v>
      </c>
      <c r="AF664" s="390">
        <f t="shared" si="747"/>
        <v>0</v>
      </c>
      <c r="AG664" s="390">
        <f t="shared" si="747"/>
        <v>0</v>
      </c>
      <c r="AH664" s="390">
        <f t="shared" si="747"/>
        <v>0</v>
      </c>
      <c r="AI664" s="390">
        <f t="shared" si="747"/>
        <v>0</v>
      </c>
      <c r="AJ664" s="390">
        <f t="shared" si="747"/>
        <v>0</v>
      </c>
      <c r="AK664" s="391"/>
      <c r="AL664" s="391"/>
      <c r="AM664" s="391"/>
      <c r="AN664" s="474"/>
      <c r="AO664" s="392"/>
      <c r="AP664" s="392" t="e">
        <f t="shared" si="740"/>
        <v>#DIV/0!</v>
      </c>
      <c r="AQ664" s="389">
        <f t="shared" ref="AQ664:BC664" si="748">SUM(AQ665:AQ668)</f>
        <v>0</v>
      </c>
      <c r="AR664" s="389">
        <f t="shared" si="748"/>
        <v>0</v>
      </c>
      <c r="AS664" s="389">
        <f t="shared" si="748"/>
        <v>0</v>
      </c>
      <c r="AT664" s="390">
        <f t="shared" si="748"/>
        <v>0</v>
      </c>
      <c r="AU664" s="390">
        <f t="shared" si="748"/>
        <v>0</v>
      </c>
      <c r="AV664" s="390">
        <f t="shared" si="748"/>
        <v>0</v>
      </c>
      <c r="AW664" s="390">
        <f t="shared" si="748"/>
        <v>0</v>
      </c>
      <c r="AX664" s="390">
        <f t="shared" si="748"/>
        <v>0</v>
      </c>
      <c r="AY664" s="390">
        <f t="shared" si="748"/>
        <v>0</v>
      </c>
      <c r="AZ664" s="390">
        <f t="shared" si="748"/>
        <v>0</v>
      </c>
      <c r="BA664" s="390">
        <f t="shared" si="748"/>
        <v>0</v>
      </c>
      <c r="BB664" s="390">
        <f t="shared" si="748"/>
        <v>0</v>
      </c>
      <c r="BC664" s="390">
        <f t="shared" si="748"/>
        <v>0</v>
      </c>
      <c r="BD664" s="391"/>
      <c r="BE664" s="391"/>
      <c r="BF664" s="391"/>
      <c r="BG664" s="474"/>
      <c r="BH664" s="392"/>
      <c r="BI664" s="392" t="e">
        <f t="shared" si="742"/>
        <v>#DIV/0!</v>
      </c>
    </row>
    <row r="665" spans="1:61" s="358" customFormat="1" x14ac:dyDescent="0.3">
      <c r="A665" s="359"/>
      <c r="B665" s="540"/>
      <c r="C665" s="548"/>
      <c r="D665" s="360">
        <v>6</v>
      </c>
      <c r="E665" s="398"/>
      <c r="F665" s="524"/>
      <c r="G665" s="524"/>
      <c r="H665" s="542"/>
      <c r="I665" s="394"/>
      <c r="J665" s="394"/>
      <c r="K665" s="394"/>
      <c r="L665" s="394"/>
      <c r="M665" s="394"/>
      <c r="N665" s="394"/>
      <c r="O665" s="394"/>
      <c r="P665" s="394"/>
      <c r="Q665" s="394"/>
      <c r="R665" s="381"/>
      <c r="S665" s="408"/>
      <c r="T665" s="385"/>
      <c r="U665" s="475"/>
      <c r="V665" s="395"/>
      <c r="W665" s="395" t="e">
        <f t="shared" si="738"/>
        <v>#DIV/0!</v>
      </c>
      <c r="X665" s="398"/>
      <c r="Y665" s="524"/>
      <c r="Z665" s="524"/>
      <c r="AA665" s="542"/>
      <c r="AB665" s="394"/>
      <c r="AC665" s="394"/>
      <c r="AD665" s="394"/>
      <c r="AE665" s="394"/>
      <c r="AF665" s="394"/>
      <c r="AG665" s="394"/>
      <c r="AH665" s="394"/>
      <c r="AI665" s="394"/>
      <c r="AJ665" s="394"/>
      <c r="AK665" s="381"/>
      <c r="AL665" s="408"/>
      <c r="AM665" s="385"/>
      <c r="AN665" s="475"/>
      <c r="AO665" s="395"/>
      <c r="AP665" s="395" t="e">
        <f t="shared" si="740"/>
        <v>#DIV/0!</v>
      </c>
      <c r="AQ665" s="398"/>
      <c r="AR665" s="524"/>
      <c r="AS665" s="524"/>
      <c r="AT665" s="542"/>
      <c r="AU665" s="394"/>
      <c r="AV665" s="394"/>
      <c r="AW665" s="394"/>
      <c r="AX665" s="394"/>
      <c r="AY665" s="394"/>
      <c r="AZ665" s="394"/>
      <c r="BA665" s="394"/>
      <c r="BB665" s="394"/>
      <c r="BC665" s="394"/>
      <c r="BD665" s="381"/>
      <c r="BE665" s="408"/>
      <c r="BF665" s="385"/>
      <c r="BG665" s="475"/>
      <c r="BH665" s="395"/>
      <c r="BI665" s="395" t="e">
        <f t="shared" si="742"/>
        <v>#DIV/0!</v>
      </c>
    </row>
    <row r="666" spans="1:61" s="358" customFormat="1" x14ac:dyDescent="0.3">
      <c r="A666" s="359"/>
      <c r="B666" s="579"/>
      <c r="C666" s="548"/>
      <c r="D666" s="360">
        <v>6</v>
      </c>
      <c r="E666" s="398"/>
      <c r="F666" s="524"/>
      <c r="G666" s="524"/>
      <c r="H666" s="571"/>
      <c r="I666" s="394"/>
      <c r="J666" s="394"/>
      <c r="K666" s="394"/>
      <c r="L666" s="394"/>
      <c r="M666" s="394"/>
      <c r="N666" s="394"/>
      <c r="O666" s="394"/>
      <c r="P666" s="394"/>
      <c r="Q666" s="394"/>
      <c r="R666" s="381"/>
      <c r="S666" s="408"/>
      <c r="T666" s="385"/>
      <c r="U666" s="475"/>
      <c r="V666" s="395"/>
      <c r="W666" s="395"/>
      <c r="X666" s="398"/>
      <c r="Y666" s="524"/>
      <c r="Z666" s="524"/>
      <c r="AA666" s="571"/>
      <c r="AB666" s="394"/>
      <c r="AC666" s="394"/>
      <c r="AD666" s="394"/>
      <c r="AE666" s="394"/>
      <c r="AF666" s="394"/>
      <c r="AG666" s="394"/>
      <c r="AH666" s="394"/>
      <c r="AI666" s="394"/>
      <c r="AJ666" s="394"/>
      <c r="AK666" s="381"/>
      <c r="AL666" s="408"/>
      <c r="AM666" s="385"/>
      <c r="AN666" s="475"/>
      <c r="AO666" s="395"/>
      <c r="AP666" s="395" t="e">
        <f t="shared" si="740"/>
        <v>#DIV/0!</v>
      </c>
      <c r="AQ666" s="398"/>
      <c r="AR666" s="524"/>
      <c r="AS666" s="524"/>
      <c r="AT666" s="571"/>
      <c r="AU666" s="394"/>
      <c r="AV666" s="394"/>
      <c r="AW666" s="394"/>
      <c r="AX666" s="394"/>
      <c r="AY666" s="394"/>
      <c r="AZ666" s="394"/>
      <c r="BA666" s="394"/>
      <c r="BB666" s="394"/>
      <c r="BC666" s="394"/>
      <c r="BD666" s="381"/>
      <c r="BE666" s="408"/>
      <c r="BF666" s="385"/>
      <c r="BG666" s="475"/>
      <c r="BH666" s="395"/>
      <c r="BI666" s="395" t="e">
        <f t="shared" si="742"/>
        <v>#DIV/0!</v>
      </c>
    </row>
    <row r="667" spans="1:61" s="358" customFormat="1" x14ac:dyDescent="0.3">
      <c r="A667" s="359"/>
      <c r="B667" s="602"/>
      <c r="C667" s="548"/>
      <c r="D667" s="360">
        <v>6</v>
      </c>
      <c r="E667" s="528"/>
      <c r="F667" s="523"/>
      <c r="G667" s="393"/>
      <c r="H667" s="394"/>
      <c r="I667" s="394"/>
      <c r="J667" s="394"/>
      <c r="K667" s="394"/>
      <c r="L667" s="394"/>
      <c r="M667" s="394"/>
      <c r="N667" s="394"/>
      <c r="O667" s="394"/>
      <c r="P667" s="394"/>
      <c r="Q667" s="394"/>
      <c r="R667" s="381"/>
      <c r="S667" s="408"/>
      <c r="T667" s="385"/>
      <c r="U667" s="475"/>
      <c r="V667" s="395"/>
      <c r="W667" s="395"/>
      <c r="X667" s="528"/>
      <c r="Y667" s="523"/>
      <c r="Z667" s="393"/>
      <c r="AA667" s="394"/>
      <c r="AB667" s="394"/>
      <c r="AC667" s="394"/>
      <c r="AD667" s="394"/>
      <c r="AE667" s="394"/>
      <c r="AF667" s="394"/>
      <c r="AG667" s="394"/>
      <c r="AH667" s="394"/>
      <c r="AI667" s="394"/>
      <c r="AJ667" s="394"/>
      <c r="AK667" s="381"/>
      <c r="AL667" s="408"/>
      <c r="AM667" s="385"/>
      <c r="AN667" s="475"/>
      <c r="AO667" s="395"/>
      <c r="AP667" s="395"/>
      <c r="AQ667" s="528"/>
      <c r="AR667" s="523"/>
      <c r="AS667" s="393"/>
      <c r="AT667" s="600"/>
      <c r="AU667" s="394"/>
      <c r="AV667" s="394"/>
      <c r="AW667" s="394"/>
      <c r="AX667" s="394"/>
      <c r="AY667" s="394"/>
      <c r="AZ667" s="394"/>
      <c r="BA667" s="394"/>
      <c r="BB667" s="394"/>
      <c r="BC667" s="394"/>
      <c r="BD667" s="381"/>
      <c r="BE667" s="408"/>
      <c r="BF667" s="385"/>
      <c r="BG667" s="475"/>
      <c r="BH667" s="395"/>
      <c r="BI667" s="395" t="e">
        <f t="shared" si="742"/>
        <v>#DIV/0!</v>
      </c>
    </row>
    <row r="668" spans="1:61" s="358" customFormat="1" x14ac:dyDescent="0.3">
      <c r="A668" s="359"/>
      <c r="B668" s="378"/>
      <c r="C668" s="546"/>
      <c r="D668" s="360"/>
      <c r="E668" s="398"/>
      <c r="F668" s="523"/>
      <c r="G668" s="393"/>
      <c r="H668" s="394"/>
      <c r="I668" s="394"/>
      <c r="J668" s="394"/>
      <c r="K668" s="394"/>
      <c r="L668" s="394"/>
      <c r="M668" s="394"/>
      <c r="N668" s="394"/>
      <c r="O668" s="394"/>
      <c r="P668" s="394"/>
      <c r="Q668" s="394"/>
      <c r="R668" s="385"/>
      <c r="S668" s="385"/>
      <c r="T668" s="385"/>
      <c r="U668" s="475"/>
      <c r="V668" s="395"/>
      <c r="W668" s="395" t="e">
        <f t="shared" si="738"/>
        <v>#DIV/0!</v>
      </c>
      <c r="X668" s="398"/>
      <c r="Y668" s="523"/>
      <c r="Z668" s="393"/>
      <c r="AA668" s="394"/>
      <c r="AB668" s="394"/>
      <c r="AC668" s="394"/>
      <c r="AD668" s="394"/>
      <c r="AE668" s="394"/>
      <c r="AF668" s="394"/>
      <c r="AG668" s="394"/>
      <c r="AH668" s="394"/>
      <c r="AI668" s="394"/>
      <c r="AJ668" s="394"/>
      <c r="AK668" s="385"/>
      <c r="AL668" s="385"/>
      <c r="AM668" s="385"/>
      <c r="AN668" s="475"/>
      <c r="AO668" s="395"/>
      <c r="AP668" s="395" t="e">
        <f t="shared" si="740"/>
        <v>#DIV/0!</v>
      </c>
      <c r="AQ668" s="398"/>
      <c r="AR668" s="523"/>
      <c r="AS668" s="393"/>
      <c r="AT668" s="394"/>
      <c r="AU668" s="394"/>
      <c r="AV668" s="394"/>
      <c r="AW668" s="394"/>
      <c r="AX668" s="394"/>
      <c r="AY668" s="394"/>
      <c r="AZ668" s="394"/>
      <c r="BA668" s="394"/>
      <c r="BB668" s="394"/>
      <c r="BC668" s="394"/>
      <c r="BD668" s="385"/>
      <c r="BE668" s="385"/>
      <c r="BF668" s="385"/>
      <c r="BG668" s="475"/>
      <c r="BH668" s="395"/>
      <c r="BI668" s="395" t="e">
        <f t="shared" si="742"/>
        <v>#DIV/0!</v>
      </c>
    </row>
    <row r="669" spans="1:61" s="358" customFormat="1" ht="24.75" customHeight="1" x14ac:dyDescent="0.3">
      <c r="A669" s="354" t="s">
        <v>4630</v>
      </c>
      <c r="B669" s="355" t="s">
        <v>227</v>
      </c>
      <c r="C669" s="587"/>
      <c r="D669" s="356">
        <v>6</v>
      </c>
      <c r="E669" s="389">
        <f t="shared" ref="E669:Q669" si="749">SUM(E670:E673)</f>
        <v>0</v>
      </c>
      <c r="F669" s="389">
        <f t="shared" si="749"/>
        <v>0</v>
      </c>
      <c r="G669" s="389">
        <f t="shared" si="749"/>
        <v>0</v>
      </c>
      <c r="H669" s="390">
        <f t="shared" si="749"/>
        <v>0</v>
      </c>
      <c r="I669" s="390">
        <f t="shared" si="749"/>
        <v>0</v>
      </c>
      <c r="J669" s="390">
        <f t="shared" si="749"/>
        <v>0</v>
      </c>
      <c r="K669" s="390">
        <f t="shared" si="749"/>
        <v>0</v>
      </c>
      <c r="L669" s="390">
        <f t="shared" si="749"/>
        <v>0</v>
      </c>
      <c r="M669" s="390">
        <f t="shared" si="749"/>
        <v>0</v>
      </c>
      <c r="N669" s="390">
        <f t="shared" si="749"/>
        <v>0</v>
      </c>
      <c r="O669" s="390">
        <f t="shared" si="749"/>
        <v>0</v>
      </c>
      <c r="P669" s="390">
        <f t="shared" si="749"/>
        <v>0</v>
      </c>
      <c r="Q669" s="390">
        <f t="shared" si="749"/>
        <v>0</v>
      </c>
      <c r="R669" s="391"/>
      <c r="S669" s="391"/>
      <c r="T669" s="391"/>
      <c r="U669" s="474"/>
      <c r="V669" s="392"/>
      <c r="W669" s="392" t="e">
        <f t="shared" si="738"/>
        <v>#DIV/0!</v>
      </c>
      <c r="X669" s="389">
        <f t="shared" ref="X669:AJ669" si="750">SUM(X670:X673)</f>
        <v>0</v>
      </c>
      <c r="Y669" s="389">
        <f t="shared" si="750"/>
        <v>0</v>
      </c>
      <c r="Z669" s="389">
        <f t="shared" si="750"/>
        <v>0</v>
      </c>
      <c r="AA669" s="390">
        <f t="shared" si="750"/>
        <v>0</v>
      </c>
      <c r="AB669" s="390">
        <f t="shared" si="750"/>
        <v>0</v>
      </c>
      <c r="AC669" s="390">
        <f t="shared" si="750"/>
        <v>0</v>
      </c>
      <c r="AD669" s="390">
        <f t="shared" si="750"/>
        <v>0</v>
      </c>
      <c r="AE669" s="390">
        <f t="shared" si="750"/>
        <v>0</v>
      </c>
      <c r="AF669" s="390">
        <f t="shared" si="750"/>
        <v>0</v>
      </c>
      <c r="AG669" s="390">
        <f t="shared" si="750"/>
        <v>0</v>
      </c>
      <c r="AH669" s="390">
        <f t="shared" si="750"/>
        <v>0</v>
      </c>
      <c r="AI669" s="390">
        <f t="shared" si="750"/>
        <v>0</v>
      </c>
      <c r="AJ669" s="390">
        <f t="shared" si="750"/>
        <v>0</v>
      </c>
      <c r="AK669" s="391"/>
      <c r="AL669" s="391"/>
      <c r="AM669" s="391"/>
      <c r="AN669" s="474"/>
      <c r="AO669" s="392"/>
      <c r="AP669" s="392" t="e">
        <f t="shared" si="740"/>
        <v>#DIV/0!</v>
      </c>
      <c r="AQ669" s="389">
        <f t="shared" ref="AQ669:BC669" si="751">SUM(AQ670:AQ673)</f>
        <v>0</v>
      </c>
      <c r="AR669" s="389">
        <f t="shared" si="751"/>
        <v>0</v>
      </c>
      <c r="AS669" s="389">
        <f t="shared" si="751"/>
        <v>0</v>
      </c>
      <c r="AT669" s="390">
        <f t="shared" si="751"/>
        <v>0</v>
      </c>
      <c r="AU669" s="390">
        <f t="shared" si="751"/>
        <v>0</v>
      </c>
      <c r="AV669" s="390">
        <f t="shared" si="751"/>
        <v>0</v>
      </c>
      <c r="AW669" s="390">
        <f t="shared" si="751"/>
        <v>0</v>
      </c>
      <c r="AX669" s="390">
        <f t="shared" si="751"/>
        <v>0</v>
      </c>
      <c r="AY669" s="390">
        <f t="shared" si="751"/>
        <v>0</v>
      </c>
      <c r="AZ669" s="390">
        <f t="shared" si="751"/>
        <v>0</v>
      </c>
      <c r="BA669" s="390">
        <f t="shared" si="751"/>
        <v>0</v>
      </c>
      <c r="BB669" s="390">
        <f t="shared" si="751"/>
        <v>0</v>
      </c>
      <c r="BC669" s="390">
        <f t="shared" si="751"/>
        <v>0</v>
      </c>
      <c r="BD669" s="391"/>
      <c r="BE669" s="391"/>
      <c r="BF669" s="391"/>
      <c r="BG669" s="474"/>
      <c r="BH669" s="392"/>
      <c r="BI669" s="392" t="e">
        <f t="shared" si="742"/>
        <v>#DIV/0!</v>
      </c>
    </row>
    <row r="670" spans="1:61" s="358" customFormat="1" x14ac:dyDescent="0.3">
      <c r="A670" s="359"/>
      <c r="B670" s="540"/>
      <c r="C670" s="548"/>
      <c r="D670" s="360">
        <v>6</v>
      </c>
      <c r="E670" s="398"/>
      <c r="F670" s="524"/>
      <c r="G670" s="524"/>
      <c r="H670" s="542"/>
      <c r="I670" s="394"/>
      <c r="J670" s="394"/>
      <c r="K670" s="394"/>
      <c r="L670" s="394"/>
      <c r="M670" s="394"/>
      <c r="N670" s="394"/>
      <c r="O670" s="394"/>
      <c r="P670" s="394"/>
      <c r="Q670" s="394"/>
      <c r="R670" s="381"/>
      <c r="S670" s="408"/>
      <c r="T670" s="385"/>
      <c r="U670" s="475"/>
      <c r="V670" s="395"/>
      <c r="W670" s="395" t="e">
        <f t="shared" si="738"/>
        <v>#DIV/0!</v>
      </c>
      <c r="X670" s="398"/>
      <c r="Y670" s="524"/>
      <c r="Z670" s="524"/>
      <c r="AA670" s="542"/>
      <c r="AB670" s="394"/>
      <c r="AC670" s="394"/>
      <c r="AD670" s="394"/>
      <c r="AE670" s="394"/>
      <c r="AF670" s="394"/>
      <c r="AG670" s="394"/>
      <c r="AH670" s="394"/>
      <c r="AI670" s="394"/>
      <c r="AJ670" s="394"/>
      <c r="AK670" s="381"/>
      <c r="AL670" s="408"/>
      <c r="AM670" s="385"/>
      <c r="AN670" s="475"/>
      <c r="AO670" s="395"/>
      <c r="AP670" s="395" t="e">
        <f t="shared" si="740"/>
        <v>#DIV/0!</v>
      </c>
      <c r="AQ670" s="398"/>
      <c r="AR670" s="524"/>
      <c r="AS670" s="524"/>
      <c r="AT670" s="542"/>
      <c r="AU670" s="394"/>
      <c r="AV670" s="394"/>
      <c r="AW670" s="394"/>
      <c r="AX670" s="394"/>
      <c r="AY670" s="394"/>
      <c r="AZ670" s="394"/>
      <c r="BA670" s="394"/>
      <c r="BB670" s="394"/>
      <c r="BC670" s="394"/>
      <c r="BD670" s="381"/>
      <c r="BE670" s="408"/>
      <c r="BF670" s="385"/>
      <c r="BG670" s="475"/>
      <c r="BH670" s="395"/>
      <c r="BI670" s="395" t="e">
        <f t="shared" si="742"/>
        <v>#DIV/0!</v>
      </c>
    </row>
    <row r="671" spans="1:61" s="358" customFormat="1" x14ac:dyDescent="0.3">
      <c r="A671" s="359"/>
      <c r="B671" s="579"/>
      <c r="C671" s="548"/>
      <c r="D671" s="360">
        <v>6</v>
      </c>
      <c r="E671" s="398"/>
      <c r="F671" s="524"/>
      <c r="G671" s="524"/>
      <c r="H671" s="571"/>
      <c r="I671" s="394"/>
      <c r="J671" s="394"/>
      <c r="K671" s="394"/>
      <c r="L671" s="394"/>
      <c r="M671" s="394"/>
      <c r="N671" s="394"/>
      <c r="O671" s="394"/>
      <c r="P671" s="394"/>
      <c r="Q671" s="394"/>
      <c r="R671" s="381"/>
      <c r="S671" s="408"/>
      <c r="T671" s="385"/>
      <c r="U671" s="475"/>
      <c r="V671" s="395"/>
      <c r="W671" s="395"/>
      <c r="X671" s="398"/>
      <c r="Y671" s="524"/>
      <c r="Z671" s="524"/>
      <c r="AA671" s="571"/>
      <c r="AB671" s="394"/>
      <c r="AC671" s="394"/>
      <c r="AD671" s="394"/>
      <c r="AE671" s="394"/>
      <c r="AF671" s="394"/>
      <c r="AG671" s="394"/>
      <c r="AH671" s="394"/>
      <c r="AI671" s="394"/>
      <c r="AJ671" s="394"/>
      <c r="AK671" s="381"/>
      <c r="AL671" s="408"/>
      <c r="AM671" s="385"/>
      <c r="AN671" s="475"/>
      <c r="AO671" s="395"/>
      <c r="AP671" s="395" t="e">
        <f t="shared" si="740"/>
        <v>#DIV/0!</v>
      </c>
      <c r="AQ671" s="398"/>
      <c r="AR671" s="524"/>
      <c r="AS671" s="524"/>
      <c r="AT671" s="571"/>
      <c r="AU671" s="394"/>
      <c r="AV671" s="394"/>
      <c r="AW671" s="394"/>
      <c r="AX671" s="394"/>
      <c r="AY671" s="394"/>
      <c r="AZ671" s="394"/>
      <c r="BA671" s="394"/>
      <c r="BB671" s="394"/>
      <c r="BC671" s="394"/>
      <c r="BD671" s="381"/>
      <c r="BE671" s="408"/>
      <c r="BF671" s="385"/>
      <c r="BG671" s="475"/>
      <c r="BH671" s="395"/>
      <c r="BI671" s="395" t="e">
        <f t="shared" si="742"/>
        <v>#DIV/0!</v>
      </c>
    </row>
    <row r="672" spans="1:61" s="358" customFormat="1" x14ac:dyDescent="0.3">
      <c r="A672" s="359"/>
      <c r="B672" s="602"/>
      <c r="C672" s="548"/>
      <c r="D672" s="360">
        <v>6</v>
      </c>
      <c r="E672" s="528"/>
      <c r="F672" s="523"/>
      <c r="G672" s="393"/>
      <c r="H672" s="394"/>
      <c r="I672" s="394"/>
      <c r="J672" s="394"/>
      <c r="K672" s="394"/>
      <c r="L672" s="394"/>
      <c r="M672" s="394"/>
      <c r="N672" s="394"/>
      <c r="O672" s="394"/>
      <c r="P672" s="394"/>
      <c r="Q672" s="394"/>
      <c r="R672" s="381"/>
      <c r="S672" s="408"/>
      <c r="T672" s="385"/>
      <c r="U672" s="475"/>
      <c r="V672" s="395"/>
      <c r="W672" s="395"/>
      <c r="X672" s="528"/>
      <c r="Y672" s="523"/>
      <c r="Z672" s="393"/>
      <c r="AA672" s="394"/>
      <c r="AB672" s="394"/>
      <c r="AC672" s="394"/>
      <c r="AD672" s="394"/>
      <c r="AE672" s="394"/>
      <c r="AF672" s="394"/>
      <c r="AG672" s="394"/>
      <c r="AH672" s="394"/>
      <c r="AI672" s="394"/>
      <c r="AJ672" s="394"/>
      <c r="AK672" s="381"/>
      <c r="AL672" s="408"/>
      <c r="AM672" s="385"/>
      <c r="AN672" s="475"/>
      <c r="AO672" s="395"/>
      <c r="AP672" s="395"/>
      <c r="AQ672" s="528"/>
      <c r="AR672" s="523"/>
      <c r="AS672" s="393"/>
      <c r="AT672" s="600"/>
      <c r="AU672" s="394"/>
      <c r="AV672" s="394"/>
      <c r="AW672" s="394"/>
      <c r="AX672" s="394"/>
      <c r="AY672" s="394"/>
      <c r="AZ672" s="394"/>
      <c r="BA672" s="394"/>
      <c r="BB672" s="394"/>
      <c r="BC672" s="394"/>
      <c r="BD672" s="381"/>
      <c r="BE672" s="408"/>
      <c r="BF672" s="385"/>
      <c r="BG672" s="475"/>
      <c r="BH672" s="395"/>
      <c r="BI672" s="395" t="e">
        <f t="shared" si="742"/>
        <v>#DIV/0!</v>
      </c>
    </row>
    <row r="673" spans="1:61" s="358" customFormat="1" x14ac:dyDescent="0.3">
      <c r="A673" s="359"/>
      <c r="B673" s="378"/>
      <c r="C673" s="546"/>
      <c r="D673" s="360"/>
      <c r="E673" s="398"/>
      <c r="F673" s="523"/>
      <c r="G673" s="393"/>
      <c r="H673" s="394"/>
      <c r="I673" s="394"/>
      <c r="J673" s="394"/>
      <c r="K673" s="394"/>
      <c r="L673" s="394"/>
      <c r="M673" s="394"/>
      <c r="N673" s="394"/>
      <c r="O673" s="394"/>
      <c r="P673" s="394"/>
      <c r="Q673" s="394"/>
      <c r="R673" s="385"/>
      <c r="S673" s="385"/>
      <c r="T673" s="385"/>
      <c r="U673" s="475"/>
      <c r="V673" s="395"/>
      <c r="W673" s="395" t="e">
        <f t="shared" si="738"/>
        <v>#DIV/0!</v>
      </c>
      <c r="X673" s="398"/>
      <c r="Y673" s="523"/>
      <c r="Z673" s="393"/>
      <c r="AA673" s="394"/>
      <c r="AB673" s="394"/>
      <c r="AC673" s="394"/>
      <c r="AD673" s="394"/>
      <c r="AE673" s="394"/>
      <c r="AF673" s="394"/>
      <c r="AG673" s="394"/>
      <c r="AH673" s="394"/>
      <c r="AI673" s="394"/>
      <c r="AJ673" s="394"/>
      <c r="AK673" s="385"/>
      <c r="AL673" s="385"/>
      <c r="AM673" s="385"/>
      <c r="AN673" s="475"/>
      <c r="AO673" s="395"/>
      <c r="AP673" s="395" t="e">
        <f t="shared" si="740"/>
        <v>#DIV/0!</v>
      </c>
      <c r="AQ673" s="398"/>
      <c r="AR673" s="523"/>
      <c r="AS673" s="393"/>
      <c r="AT673" s="394"/>
      <c r="AU673" s="394"/>
      <c r="AV673" s="394"/>
      <c r="AW673" s="394"/>
      <c r="AX673" s="394"/>
      <c r="AY673" s="394"/>
      <c r="AZ673" s="394"/>
      <c r="BA673" s="394"/>
      <c r="BB673" s="394"/>
      <c r="BC673" s="394"/>
      <c r="BD673" s="385"/>
      <c r="BE673" s="385"/>
      <c r="BF673" s="385"/>
      <c r="BG673" s="475"/>
      <c r="BH673" s="395"/>
      <c r="BI673" s="395" t="e">
        <f t="shared" si="742"/>
        <v>#DIV/0!</v>
      </c>
    </row>
    <row r="674" spans="1:61" s="358" customFormat="1" ht="24.75" customHeight="1" x14ac:dyDescent="0.3">
      <c r="A674" s="354" t="s">
        <v>4630</v>
      </c>
      <c r="B674" s="355" t="s">
        <v>236</v>
      </c>
      <c r="C674" s="587"/>
      <c r="D674" s="356">
        <v>6</v>
      </c>
      <c r="E674" s="389">
        <f t="shared" ref="E674:Q674" si="752">SUM(E675:E678)</f>
        <v>0</v>
      </c>
      <c r="F674" s="389">
        <f t="shared" si="752"/>
        <v>60</v>
      </c>
      <c r="G674" s="389">
        <f t="shared" si="752"/>
        <v>60</v>
      </c>
      <c r="H674" s="390">
        <f t="shared" si="752"/>
        <v>192.89601999999999</v>
      </c>
      <c r="I674" s="390">
        <f t="shared" si="752"/>
        <v>109.35999</v>
      </c>
      <c r="J674" s="390">
        <f t="shared" si="752"/>
        <v>82.3</v>
      </c>
      <c r="K674" s="390">
        <f t="shared" si="752"/>
        <v>8.0903399999999994</v>
      </c>
      <c r="L674" s="390">
        <f t="shared" si="752"/>
        <v>7.6613100000000003</v>
      </c>
      <c r="M674" s="390">
        <f t="shared" si="752"/>
        <v>0</v>
      </c>
      <c r="N674" s="390">
        <f t="shared" si="752"/>
        <v>0</v>
      </c>
      <c r="O674" s="390">
        <f t="shared" si="752"/>
        <v>27.66864</v>
      </c>
      <c r="P674" s="390">
        <f t="shared" si="752"/>
        <v>82.3</v>
      </c>
      <c r="Q674" s="390">
        <f t="shared" si="752"/>
        <v>4.5877800000000004</v>
      </c>
      <c r="R674" s="391"/>
      <c r="S674" s="391"/>
      <c r="T674" s="391"/>
      <c r="U674" s="474"/>
      <c r="V674" s="392"/>
      <c r="W674" s="392">
        <f t="shared" si="738"/>
        <v>3.2149336666666666</v>
      </c>
      <c r="X674" s="389">
        <f t="shared" ref="X674:AJ674" si="753">SUM(X675:X678)</f>
        <v>0</v>
      </c>
      <c r="Y674" s="389">
        <f t="shared" si="753"/>
        <v>50</v>
      </c>
      <c r="Z674" s="389">
        <f t="shared" si="753"/>
        <v>50</v>
      </c>
      <c r="AA674" s="390">
        <f t="shared" si="753"/>
        <v>307.94051000000002</v>
      </c>
      <c r="AB674" s="390">
        <f t="shared" si="753"/>
        <v>241.09811999999999</v>
      </c>
      <c r="AC674" s="390">
        <f t="shared" si="753"/>
        <v>214</v>
      </c>
      <c r="AD674" s="390">
        <f t="shared" si="753"/>
        <v>9.5574099999999991</v>
      </c>
      <c r="AE674" s="390">
        <f t="shared" si="753"/>
        <v>14.40075</v>
      </c>
      <c r="AF674" s="390">
        <f t="shared" si="753"/>
        <v>0</v>
      </c>
      <c r="AG674" s="390">
        <f t="shared" si="753"/>
        <v>0</v>
      </c>
      <c r="AH674" s="390">
        <f t="shared" si="753"/>
        <v>19.696739999999998</v>
      </c>
      <c r="AI674" s="390">
        <f t="shared" si="753"/>
        <v>214</v>
      </c>
      <c r="AJ674" s="390">
        <f t="shared" si="753"/>
        <v>9.5574099999999991</v>
      </c>
      <c r="AK674" s="391"/>
      <c r="AL674" s="391"/>
      <c r="AM674" s="391"/>
      <c r="AN674" s="474"/>
      <c r="AO674" s="392"/>
      <c r="AP674" s="392">
        <f t="shared" si="740"/>
        <v>6.1588102000000005</v>
      </c>
      <c r="AQ674" s="389">
        <f t="shared" ref="AQ674:BC674" si="754">SUM(AQ675:AQ678)</f>
        <v>0</v>
      </c>
      <c r="AR674" s="389">
        <f t="shared" si="754"/>
        <v>0</v>
      </c>
      <c r="AS674" s="389">
        <f t="shared" si="754"/>
        <v>0</v>
      </c>
      <c r="AT674" s="390">
        <f t="shared" si="754"/>
        <v>0</v>
      </c>
      <c r="AU674" s="390">
        <f t="shared" si="754"/>
        <v>0</v>
      </c>
      <c r="AV674" s="390">
        <f t="shared" si="754"/>
        <v>0</v>
      </c>
      <c r="AW674" s="390">
        <f t="shared" si="754"/>
        <v>0</v>
      </c>
      <c r="AX674" s="390">
        <f t="shared" si="754"/>
        <v>0</v>
      </c>
      <c r="AY674" s="390">
        <f t="shared" si="754"/>
        <v>0</v>
      </c>
      <c r="AZ674" s="390">
        <f t="shared" si="754"/>
        <v>0</v>
      </c>
      <c r="BA674" s="390">
        <f t="shared" si="754"/>
        <v>0</v>
      </c>
      <c r="BB674" s="390">
        <f t="shared" si="754"/>
        <v>0</v>
      </c>
      <c r="BC674" s="390">
        <f t="shared" si="754"/>
        <v>0</v>
      </c>
      <c r="BD674" s="391"/>
      <c r="BE674" s="391"/>
      <c r="BF674" s="391"/>
      <c r="BG674" s="474"/>
      <c r="BH674" s="392"/>
      <c r="BI674" s="392" t="e">
        <f t="shared" si="742"/>
        <v>#DIV/0!</v>
      </c>
    </row>
    <row r="675" spans="1:61" s="358" customFormat="1" ht="19.2" x14ac:dyDescent="0.3">
      <c r="A675" s="359"/>
      <c r="B675" s="537" t="s">
        <v>325</v>
      </c>
      <c r="C675" s="547" t="s">
        <v>414</v>
      </c>
      <c r="D675" s="360">
        <v>6</v>
      </c>
      <c r="E675" s="528"/>
      <c r="F675" s="523">
        <v>60</v>
      </c>
      <c r="G675" s="393">
        <v>60</v>
      </c>
      <c r="H675" s="542">
        <v>192.89601999999999</v>
      </c>
      <c r="I675" s="394">
        <v>109.35999</v>
      </c>
      <c r="J675" s="394">
        <v>82.3</v>
      </c>
      <c r="K675" s="394">
        <f>1.42788+2.8365+3.82596</f>
        <v>8.0903399999999994</v>
      </c>
      <c r="L675" s="394">
        <v>7.6613100000000003</v>
      </c>
      <c r="M675" s="394">
        <v>0</v>
      </c>
      <c r="N675" s="394">
        <v>0</v>
      </c>
      <c r="O675" s="394">
        <v>27.66864</v>
      </c>
      <c r="P675" s="394">
        <v>82.3</v>
      </c>
      <c r="Q675" s="394">
        <f>0.47596+2.8365+1.27532</f>
        <v>4.5877800000000004</v>
      </c>
      <c r="R675" s="381" t="s">
        <v>167</v>
      </c>
      <c r="S675" s="408" t="s">
        <v>175</v>
      </c>
      <c r="T675" s="385"/>
      <c r="U675" s="475">
        <v>315</v>
      </c>
      <c r="V675" s="395"/>
      <c r="W675" s="395">
        <f t="shared" si="738"/>
        <v>3.2149336666666666</v>
      </c>
      <c r="X675" s="528"/>
      <c r="Y675" s="523"/>
      <c r="Z675" s="393"/>
      <c r="AA675" s="542"/>
      <c r="AB675" s="394"/>
      <c r="AC675" s="394"/>
      <c r="AD675" s="394"/>
      <c r="AE675" s="394"/>
      <c r="AF675" s="394"/>
      <c r="AG675" s="394"/>
      <c r="AH675" s="394"/>
      <c r="AI675" s="394"/>
      <c r="AJ675" s="394"/>
      <c r="AK675" s="381"/>
      <c r="AL675" s="408"/>
      <c r="AM675" s="385"/>
      <c r="AN675" s="475"/>
      <c r="AO675" s="395"/>
      <c r="AP675" s="395" t="e">
        <f t="shared" si="740"/>
        <v>#DIV/0!</v>
      </c>
      <c r="AQ675" s="528"/>
      <c r="AR675" s="523"/>
      <c r="AS675" s="393"/>
      <c r="AT675" s="542"/>
      <c r="AU675" s="394"/>
      <c r="AV675" s="394"/>
      <c r="AW675" s="394"/>
      <c r="AX675" s="394"/>
      <c r="AY675" s="394"/>
      <c r="AZ675" s="394"/>
      <c r="BA675" s="394"/>
      <c r="BB675" s="394"/>
      <c r="BC675" s="394"/>
      <c r="BD675" s="381"/>
      <c r="BE675" s="408"/>
      <c r="BF675" s="385"/>
      <c r="BG675" s="475"/>
      <c r="BH675" s="395"/>
      <c r="BI675" s="395" t="e">
        <f t="shared" si="742"/>
        <v>#DIV/0!</v>
      </c>
    </row>
    <row r="676" spans="1:61" s="358" customFormat="1" ht="19.2" x14ac:dyDescent="0.3">
      <c r="A676" s="359"/>
      <c r="B676" s="572" t="s">
        <v>2607</v>
      </c>
      <c r="C676" s="547" t="s">
        <v>2612</v>
      </c>
      <c r="D676" s="360">
        <v>6</v>
      </c>
      <c r="E676" s="528"/>
      <c r="F676" s="523"/>
      <c r="G676" s="393"/>
      <c r="H676" s="571"/>
      <c r="I676" s="394"/>
      <c r="J676" s="394"/>
      <c r="K676" s="394"/>
      <c r="L676" s="394"/>
      <c r="M676" s="394"/>
      <c r="N676" s="394"/>
      <c r="O676" s="394"/>
      <c r="P676" s="394"/>
      <c r="Q676" s="394"/>
      <c r="R676" s="381"/>
      <c r="S676" s="408"/>
      <c r="T676" s="385"/>
      <c r="U676" s="475"/>
      <c r="V676" s="395"/>
      <c r="W676" s="395"/>
      <c r="X676" s="528"/>
      <c r="Y676" s="523">
        <v>50</v>
      </c>
      <c r="Z676" s="393">
        <v>50</v>
      </c>
      <c r="AA676" s="571">
        <v>307.94051000000002</v>
      </c>
      <c r="AB676" s="394">
        <v>241.09811999999999</v>
      </c>
      <c r="AC676" s="394">
        <v>214</v>
      </c>
      <c r="AD676" s="394">
        <f>3.45623+4.46411+1.63707</f>
        <v>9.5574099999999991</v>
      </c>
      <c r="AE676" s="394">
        <v>14.40075</v>
      </c>
      <c r="AF676" s="394">
        <v>0</v>
      </c>
      <c r="AG676" s="394">
        <v>0</v>
      </c>
      <c r="AH676" s="394">
        <v>19.696739999999998</v>
      </c>
      <c r="AI676" s="394">
        <v>214</v>
      </c>
      <c r="AJ676" s="394">
        <f>3.45623+4.46411+1.63707</f>
        <v>9.5574099999999991</v>
      </c>
      <c r="AK676" s="381" t="s">
        <v>167</v>
      </c>
      <c r="AL676" s="408" t="s">
        <v>175</v>
      </c>
      <c r="AM676" s="385"/>
      <c r="AN676" s="475">
        <v>447</v>
      </c>
      <c r="AO676" s="395"/>
      <c r="AP676" s="395">
        <f t="shared" si="740"/>
        <v>6.1588102000000005</v>
      </c>
      <c r="AQ676" s="528"/>
      <c r="AR676" s="523"/>
      <c r="AS676" s="393"/>
      <c r="AT676" s="571"/>
      <c r="AU676" s="394"/>
      <c r="AV676" s="394"/>
      <c r="AW676" s="394"/>
      <c r="AX676" s="394"/>
      <c r="AY676" s="394"/>
      <c r="AZ676" s="394"/>
      <c r="BA676" s="394"/>
      <c r="BB676" s="394"/>
      <c r="BC676" s="394"/>
      <c r="BD676" s="381"/>
      <c r="BE676" s="408"/>
      <c r="BF676" s="385"/>
      <c r="BG676" s="475"/>
      <c r="BH676" s="395"/>
      <c r="BI676" s="395" t="e">
        <f t="shared" si="742"/>
        <v>#DIV/0!</v>
      </c>
    </row>
    <row r="677" spans="1:61" s="358" customFormat="1" x14ac:dyDescent="0.3">
      <c r="A677" s="359"/>
      <c r="B677" s="602"/>
      <c r="C677" s="548"/>
      <c r="D677" s="360">
        <v>6</v>
      </c>
      <c r="E677" s="528"/>
      <c r="F677" s="523"/>
      <c r="G677" s="393"/>
      <c r="H677" s="394"/>
      <c r="I677" s="394"/>
      <c r="J677" s="394"/>
      <c r="K677" s="394"/>
      <c r="L677" s="394"/>
      <c r="M677" s="394"/>
      <c r="N677" s="394"/>
      <c r="O677" s="394"/>
      <c r="P677" s="394"/>
      <c r="Q677" s="394"/>
      <c r="R677" s="381"/>
      <c r="S677" s="408"/>
      <c r="T677" s="385"/>
      <c r="U677" s="475"/>
      <c r="V677" s="395"/>
      <c r="W677" s="395"/>
      <c r="X677" s="528"/>
      <c r="Y677" s="523"/>
      <c r="Z677" s="393"/>
      <c r="AA677" s="394"/>
      <c r="AB677" s="394"/>
      <c r="AC677" s="394"/>
      <c r="AD677" s="394"/>
      <c r="AE677" s="394"/>
      <c r="AF677" s="394"/>
      <c r="AG677" s="394"/>
      <c r="AH677" s="394"/>
      <c r="AI677" s="394"/>
      <c r="AJ677" s="394"/>
      <c r="AK677" s="381"/>
      <c r="AL677" s="408"/>
      <c r="AM677" s="385"/>
      <c r="AN677" s="475"/>
      <c r="AO677" s="395"/>
      <c r="AP677" s="395"/>
      <c r="AQ677" s="528"/>
      <c r="AR677" s="523"/>
      <c r="AS677" s="393"/>
      <c r="AT677" s="600"/>
      <c r="AU677" s="394"/>
      <c r="AV677" s="394"/>
      <c r="AW677" s="394"/>
      <c r="AX677" s="394"/>
      <c r="AY677" s="394"/>
      <c r="AZ677" s="394"/>
      <c r="BA677" s="394"/>
      <c r="BB677" s="394"/>
      <c r="BC677" s="394"/>
      <c r="BD677" s="381"/>
      <c r="BE677" s="408"/>
      <c r="BF677" s="385"/>
      <c r="BG677" s="475"/>
      <c r="BH677" s="395"/>
      <c r="BI677" s="395" t="e">
        <f t="shared" si="742"/>
        <v>#DIV/0!</v>
      </c>
    </row>
    <row r="678" spans="1:61" s="358" customFormat="1" x14ac:dyDescent="0.3">
      <c r="A678" s="359"/>
      <c r="B678" s="378"/>
      <c r="C678" s="546"/>
      <c r="D678" s="360"/>
      <c r="E678" s="523"/>
      <c r="F678" s="523"/>
      <c r="G678" s="393"/>
      <c r="H678" s="399"/>
      <c r="I678" s="394"/>
      <c r="J678" s="394"/>
      <c r="K678" s="394"/>
      <c r="L678" s="394"/>
      <c r="M678" s="394"/>
      <c r="N678" s="394"/>
      <c r="O678" s="394"/>
      <c r="P678" s="394"/>
      <c r="Q678" s="394"/>
      <c r="R678" s="385"/>
      <c r="S678" s="385"/>
      <c r="T678" s="385"/>
      <c r="U678" s="475"/>
      <c r="V678" s="395"/>
      <c r="W678" s="395" t="e">
        <f t="shared" si="738"/>
        <v>#DIV/0!</v>
      </c>
      <c r="X678" s="523"/>
      <c r="Y678" s="523"/>
      <c r="Z678" s="393"/>
      <c r="AA678" s="399"/>
      <c r="AB678" s="394"/>
      <c r="AC678" s="394"/>
      <c r="AD678" s="394"/>
      <c r="AE678" s="394"/>
      <c r="AF678" s="394"/>
      <c r="AG678" s="394"/>
      <c r="AH678" s="394"/>
      <c r="AI678" s="394"/>
      <c r="AJ678" s="394"/>
      <c r="AK678" s="385"/>
      <c r="AL678" s="385"/>
      <c r="AM678" s="385"/>
      <c r="AN678" s="475"/>
      <c r="AO678" s="395"/>
      <c r="AP678" s="395" t="e">
        <f t="shared" si="740"/>
        <v>#DIV/0!</v>
      </c>
      <c r="AQ678" s="523"/>
      <c r="AR678" s="523"/>
      <c r="AS678" s="393"/>
      <c r="AT678" s="399"/>
      <c r="AU678" s="394"/>
      <c r="AV678" s="394"/>
      <c r="AW678" s="394"/>
      <c r="AX678" s="394"/>
      <c r="AY678" s="394"/>
      <c r="AZ678" s="394"/>
      <c r="BA678" s="394"/>
      <c r="BB678" s="394"/>
      <c r="BC678" s="394"/>
      <c r="BD678" s="385"/>
      <c r="BE678" s="385"/>
      <c r="BF678" s="385"/>
      <c r="BG678" s="475"/>
      <c r="BH678" s="395"/>
      <c r="BI678" s="395" t="e">
        <f t="shared" si="742"/>
        <v>#DIV/0!</v>
      </c>
    </row>
    <row r="679" spans="1:61" s="358" customFormat="1" ht="57.6" x14ac:dyDescent="0.3">
      <c r="A679" s="446" t="s">
        <v>4631</v>
      </c>
      <c r="B679" s="447" t="s">
        <v>6322</v>
      </c>
      <c r="C679" s="591"/>
      <c r="D679" s="436"/>
      <c r="E679" s="437">
        <f t="shared" ref="E679:Q679" si="755">E680+E685+E688+E693+E699</f>
        <v>0</v>
      </c>
      <c r="F679" s="437">
        <f t="shared" si="755"/>
        <v>150</v>
      </c>
      <c r="G679" s="437">
        <f t="shared" si="755"/>
        <v>150</v>
      </c>
      <c r="H679" s="438">
        <f t="shared" si="755"/>
        <v>319.61263000000002</v>
      </c>
      <c r="I679" s="438">
        <f t="shared" si="755"/>
        <v>235.25379000000001</v>
      </c>
      <c r="J679" s="438">
        <f t="shared" si="755"/>
        <v>206.11099999999999</v>
      </c>
      <c r="K679" s="438">
        <f t="shared" si="755"/>
        <v>12.367599999999999</v>
      </c>
      <c r="L679" s="438">
        <f t="shared" si="755"/>
        <v>8.3818699999999993</v>
      </c>
      <c r="M679" s="438">
        <f t="shared" si="755"/>
        <v>0</v>
      </c>
      <c r="N679" s="438">
        <f t="shared" si="755"/>
        <v>0</v>
      </c>
      <c r="O679" s="438">
        <f t="shared" si="755"/>
        <v>27.77807</v>
      </c>
      <c r="P679" s="438">
        <f t="shared" si="755"/>
        <v>206.11099999999999</v>
      </c>
      <c r="Q679" s="438">
        <f t="shared" si="755"/>
        <v>9.8169599999999999</v>
      </c>
      <c r="R679" s="439"/>
      <c r="S679" s="439"/>
      <c r="T679" s="439"/>
      <c r="U679" s="478"/>
      <c r="V679" s="440"/>
      <c r="W679" s="440">
        <f t="shared" si="738"/>
        <v>2.1307508666666668</v>
      </c>
      <c r="X679" s="437">
        <f t="shared" ref="X679:AJ679" si="756">X680+X685+X688+X693+X699</f>
        <v>0</v>
      </c>
      <c r="Y679" s="437">
        <f t="shared" si="756"/>
        <v>325</v>
      </c>
      <c r="Z679" s="437">
        <f t="shared" si="756"/>
        <v>325</v>
      </c>
      <c r="AA679" s="438">
        <f t="shared" si="756"/>
        <v>953.77457000000004</v>
      </c>
      <c r="AB679" s="438">
        <f t="shared" si="756"/>
        <v>532.39022999999997</v>
      </c>
      <c r="AC679" s="438">
        <f t="shared" si="756"/>
        <v>342.91870999999998</v>
      </c>
      <c r="AD679" s="438">
        <f t="shared" si="756"/>
        <v>50.334650000000003</v>
      </c>
      <c r="AE679" s="438">
        <f t="shared" si="756"/>
        <v>68.234399999999994</v>
      </c>
      <c r="AF679" s="438">
        <f t="shared" si="756"/>
        <v>0</v>
      </c>
      <c r="AG679" s="438">
        <f t="shared" si="756"/>
        <v>0</v>
      </c>
      <c r="AH679" s="438">
        <f t="shared" si="756"/>
        <v>134.09698</v>
      </c>
      <c r="AI679" s="438">
        <f t="shared" si="756"/>
        <v>342.91870999999998</v>
      </c>
      <c r="AJ679" s="438">
        <f t="shared" si="756"/>
        <v>43.455210000000001</v>
      </c>
      <c r="AK679" s="439"/>
      <c r="AL679" s="439"/>
      <c r="AM679" s="439"/>
      <c r="AN679" s="478"/>
      <c r="AO679" s="440"/>
      <c r="AP679" s="440">
        <f t="shared" si="740"/>
        <v>2.9346909846153846</v>
      </c>
      <c r="AQ679" s="437">
        <f t="shared" ref="AQ679:BC679" si="757">AQ680+AQ685+AQ688+AQ693+AQ699</f>
        <v>0</v>
      </c>
      <c r="AR679" s="437">
        <f t="shared" si="757"/>
        <v>560</v>
      </c>
      <c r="AS679" s="437">
        <f t="shared" si="757"/>
        <v>560</v>
      </c>
      <c r="AT679" s="438">
        <f t="shared" si="757"/>
        <v>2968.9269100000001</v>
      </c>
      <c r="AU679" s="438">
        <f t="shared" si="757"/>
        <v>2362.4033900000004</v>
      </c>
      <c r="AV679" s="438">
        <f t="shared" si="757"/>
        <v>1135.5206599999999</v>
      </c>
      <c r="AW679" s="438">
        <f t="shared" si="757"/>
        <v>957.51720799999998</v>
      </c>
      <c r="AX679" s="438">
        <f t="shared" si="757"/>
        <v>60.114449999999998</v>
      </c>
      <c r="AY679" s="438">
        <f t="shared" si="757"/>
        <v>0</v>
      </c>
      <c r="AZ679" s="438">
        <f t="shared" si="757"/>
        <v>0</v>
      </c>
      <c r="BA679" s="438">
        <f t="shared" si="757"/>
        <v>179.11618000000001</v>
      </c>
      <c r="BB679" s="438">
        <f t="shared" si="757"/>
        <v>1135.5206599999999</v>
      </c>
      <c r="BC679" s="438">
        <f t="shared" si="757"/>
        <v>945.73856999999998</v>
      </c>
      <c r="BD679" s="439"/>
      <c r="BE679" s="439"/>
      <c r="BF679" s="439"/>
      <c r="BG679" s="478"/>
      <c r="BH679" s="440"/>
      <c r="BI679" s="440">
        <f t="shared" si="742"/>
        <v>5.3016551964285714</v>
      </c>
    </row>
    <row r="680" spans="1:61" s="358" customFormat="1" ht="24.75" customHeight="1" x14ac:dyDescent="0.3">
      <c r="A680" s="354" t="s">
        <v>4631</v>
      </c>
      <c r="B680" s="355" t="s">
        <v>249</v>
      </c>
      <c r="C680" s="587"/>
      <c r="D680" s="356">
        <v>6</v>
      </c>
      <c r="E680" s="535">
        <f t="shared" ref="E680:Q680" si="758">SUM(E681:E684)</f>
        <v>0</v>
      </c>
      <c r="F680" s="535">
        <f t="shared" si="758"/>
        <v>0</v>
      </c>
      <c r="G680" s="535">
        <f t="shared" si="758"/>
        <v>0</v>
      </c>
      <c r="H680" s="390">
        <f t="shared" si="758"/>
        <v>0</v>
      </c>
      <c r="I680" s="390">
        <f t="shared" si="758"/>
        <v>0</v>
      </c>
      <c r="J680" s="390">
        <f t="shared" si="758"/>
        <v>0</v>
      </c>
      <c r="K680" s="390">
        <f t="shared" si="758"/>
        <v>0</v>
      </c>
      <c r="L680" s="390">
        <f t="shared" si="758"/>
        <v>0</v>
      </c>
      <c r="M680" s="390">
        <f t="shared" si="758"/>
        <v>0</v>
      </c>
      <c r="N680" s="390">
        <f t="shared" si="758"/>
        <v>0</v>
      </c>
      <c r="O680" s="390">
        <f t="shared" si="758"/>
        <v>0</v>
      </c>
      <c r="P680" s="390">
        <f t="shared" si="758"/>
        <v>0</v>
      </c>
      <c r="Q680" s="390">
        <f t="shared" si="758"/>
        <v>0</v>
      </c>
      <c r="R680" s="391"/>
      <c r="S680" s="391"/>
      <c r="T680" s="391"/>
      <c r="U680" s="474"/>
      <c r="V680" s="392"/>
      <c r="W680" s="392" t="e">
        <f t="shared" si="738"/>
        <v>#DIV/0!</v>
      </c>
      <c r="X680" s="535">
        <f t="shared" ref="X680:AJ680" si="759">SUM(X681:X684)</f>
        <v>0</v>
      </c>
      <c r="Y680" s="535">
        <f t="shared" si="759"/>
        <v>60</v>
      </c>
      <c r="Z680" s="535">
        <f t="shared" si="759"/>
        <v>60</v>
      </c>
      <c r="AA680" s="390">
        <f t="shared" si="759"/>
        <v>322.72910999999999</v>
      </c>
      <c r="AB680" s="390">
        <f t="shared" si="759"/>
        <v>202.09737000000001</v>
      </c>
      <c r="AC680" s="390">
        <f t="shared" si="759"/>
        <v>122.08538</v>
      </c>
      <c r="AD680" s="390">
        <f t="shared" si="759"/>
        <v>24.20767</v>
      </c>
      <c r="AE680" s="390">
        <f t="shared" si="759"/>
        <v>14.47002</v>
      </c>
      <c r="AF680" s="390">
        <f t="shared" si="759"/>
        <v>0</v>
      </c>
      <c r="AG680" s="390">
        <f t="shared" si="759"/>
        <v>0</v>
      </c>
      <c r="AH680" s="390">
        <f t="shared" si="759"/>
        <v>39.872489999999999</v>
      </c>
      <c r="AI680" s="390">
        <f t="shared" si="759"/>
        <v>122.08538</v>
      </c>
      <c r="AJ680" s="390">
        <f t="shared" si="759"/>
        <v>19.484909999999999</v>
      </c>
      <c r="AK680" s="391"/>
      <c r="AL680" s="391"/>
      <c r="AM680" s="391"/>
      <c r="AN680" s="474"/>
      <c r="AO680" s="392"/>
      <c r="AP680" s="392">
        <f t="shared" si="740"/>
        <v>5.3788184999999995</v>
      </c>
      <c r="AQ680" s="535">
        <f t="shared" ref="AQ680:BC680" si="760">SUM(AQ681:AQ684)</f>
        <v>0</v>
      </c>
      <c r="AR680" s="535">
        <f t="shared" si="760"/>
        <v>0</v>
      </c>
      <c r="AS680" s="535">
        <f t="shared" si="760"/>
        <v>0</v>
      </c>
      <c r="AT680" s="390">
        <f t="shared" si="760"/>
        <v>0</v>
      </c>
      <c r="AU680" s="390">
        <f t="shared" si="760"/>
        <v>0</v>
      </c>
      <c r="AV680" s="390">
        <f t="shared" si="760"/>
        <v>0</v>
      </c>
      <c r="AW680" s="390">
        <f t="shared" si="760"/>
        <v>0</v>
      </c>
      <c r="AX680" s="390">
        <f t="shared" si="760"/>
        <v>0</v>
      </c>
      <c r="AY680" s="390">
        <f t="shared" si="760"/>
        <v>0</v>
      </c>
      <c r="AZ680" s="390">
        <f t="shared" si="760"/>
        <v>0</v>
      </c>
      <c r="BA680" s="390">
        <f t="shared" si="760"/>
        <v>0</v>
      </c>
      <c r="BB680" s="390">
        <f t="shared" si="760"/>
        <v>0</v>
      </c>
      <c r="BC680" s="390">
        <f t="shared" si="760"/>
        <v>0</v>
      </c>
      <c r="BD680" s="391"/>
      <c r="BE680" s="391"/>
      <c r="BF680" s="391"/>
      <c r="BG680" s="474"/>
      <c r="BH680" s="392"/>
      <c r="BI680" s="392" t="e">
        <f t="shared" si="742"/>
        <v>#DIV/0!</v>
      </c>
    </row>
    <row r="681" spans="1:61" s="358" customFormat="1" x14ac:dyDescent="0.3">
      <c r="A681" s="359"/>
      <c r="B681" s="537"/>
      <c r="C681" s="546"/>
      <c r="D681" s="360">
        <v>6</v>
      </c>
      <c r="E681" s="398"/>
      <c r="F681" s="523"/>
      <c r="G681" s="393"/>
      <c r="H681" s="542"/>
      <c r="I681" s="394"/>
      <c r="J681" s="394"/>
      <c r="K681" s="394"/>
      <c r="L681" s="394"/>
      <c r="M681" s="394"/>
      <c r="N681" s="394"/>
      <c r="O681" s="394"/>
      <c r="P681" s="394"/>
      <c r="Q681" s="394"/>
      <c r="R681" s="381"/>
      <c r="S681" s="408"/>
      <c r="T681" s="385"/>
      <c r="U681" s="475"/>
      <c r="V681" s="395"/>
      <c r="W681" s="395" t="e">
        <f t="shared" si="738"/>
        <v>#DIV/0!</v>
      </c>
      <c r="X681" s="398"/>
      <c r="Y681" s="523"/>
      <c r="Z681" s="393"/>
      <c r="AA681" s="542"/>
      <c r="AB681" s="394"/>
      <c r="AC681" s="394"/>
      <c r="AD681" s="394"/>
      <c r="AE681" s="394"/>
      <c r="AF681" s="394"/>
      <c r="AG681" s="394"/>
      <c r="AH681" s="394"/>
      <c r="AI681" s="394"/>
      <c r="AJ681" s="394"/>
      <c r="AK681" s="381"/>
      <c r="AL681" s="408"/>
      <c r="AM681" s="385"/>
      <c r="AN681" s="475"/>
      <c r="AO681" s="395"/>
      <c r="AP681" s="395" t="e">
        <f t="shared" si="740"/>
        <v>#DIV/0!</v>
      </c>
      <c r="AQ681" s="398"/>
      <c r="AR681" s="523"/>
      <c r="AS681" s="393"/>
      <c r="AT681" s="542"/>
      <c r="AU681" s="394"/>
      <c r="AV681" s="394"/>
      <c r="AW681" s="394"/>
      <c r="AX681" s="394"/>
      <c r="AY681" s="394"/>
      <c r="AZ681" s="394"/>
      <c r="BA681" s="394"/>
      <c r="BB681" s="394"/>
      <c r="BC681" s="394"/>
      <c r="BD681" s="381"/>
      <c r="BE681" s="408"/>
      <c r="BF681" s="385"/>
      <c r="BG681" s="475"/>
      <c r="BH681" s="395"/>
      <c r="BI681" s="395" t="e">
        <f t="shared" si="742"/>
        <v>#DIV/0!</v>
      </c>
    </row>
    <row r="682" spans="1:61" s="358" customFormat="1" ht="19.2" x14ac:dyDescent="0.3">
      <c r="A682" s="359" t="s">
        <v>4631</v>
      </c>
      <c r="B682" s="572" t="s">
        <v>2456</v>
      </c>
      <c r="C682" s="546" t="s">
        <v>2455</v>
      </c>
      <c r="D682" s="360">
        <v>6</v>
      </c>
      <c r="E682" s="398"/>
      <c r="F682" s="523"/>
      <c r="G682" s="393"/>
      <c r="H682" s="571"/>
      <c r="I682" s="394"/>
      <c r="J682" s="394"/>
      <c r="K682" s="394"/>
      <c r="L682" s="394"/>
      <c r="M682" s="394"/>
      <c r="N682" s="394"/>
      <c r="O682" s="394"/>
      <c r="P682" s="394"/>
      <c r="Q682" s="394"/>
      <c r="R682" s="381"/>
      <c r="S682" s="408"/>
      <c r="T682" s="385"/>
      <c r="U682" s="475"/>
      <c r="V682" s="395"/>
      <c r="W682" s="395"/>
      <c r="X682" s="398"/>
      <c r="Y682" s="523">
        <v>60</v>
      </c>
      <c r="Z682" s="393">
        <v>60</v>
      </c>
      <c r="AA682" s="571">
        <v>322.72910999999999</v>
      </c>
      <c r="AB682" s="394">
        <v>202.09737000000001</v>
      </c>
      <c r="AC682" s="394">
        <v>122.08538</v>
      </c>
      <c r="AD682" s="394">
        <f>3.45623+3.25818+4.25472+3.82596+9.41258</f>
        <v>24.20767</v>
      </c>
      <c r="AE682" s="394">
        <v>14.47002</v>
      </c>
      <c r="AF682" s="394">
        <v>0</v>
      </c>
      <c r="AG682" s="394">
        <v>0</v>
      </c>
      <c r="AH682" s="394">
        <v>39.872489999999999</v>
      </c>
      <c r="AI682" s="394">
        <v>122.08538</v>
      </c>
      <c r="AJ682" s="394">
        <f>3.45623+1.08606+4.25472+1.27532+9.41258</f>
        <v>19.484909999999999</v>
      </c>
      <c r="AK682" s="381" t="s">
        <v>167</v>
      </c>
      <c r="AL682" s="408" t="s">
        <v>175</v>
      </c>
      <c r="AM682" s="385"/>
      <c r="AN682" s="475">
        <v>450</v>
      </c>
      <c r="AO682" s="395"/>
      <c r="AP682" s="395">
        <f t="shared" si="740"/>
        <v>5.3788184999999995</v>
      </c>
      <c r="AQ682" s="398"/>
      <c r="AR682" s="523"/>
      <c r="AS682" s="393"/>
      <c r="AT682" s="571"/>
      <c r="AU682" s="394"/>
      <c r="AV682" s="394"/>
      <c r="AW682" s="394"/>
      <c r="AX682" s="394"/>
      <c r="AY682" s="394"/>
      <c r="AZ682" s="394"/>
      <c r="BA682" s="394"/>
      <c r="BB682" s="394"/>
      <c r="BC682" s="394"/>
      <c r="BD682" s="381"/>
      <c r="BE682" s="408"/>
      <c r="BF682" s="385"/>
      <c r="BG682" s="475"/>
      <c r="BH682" s="395"/>
      <c r="BI682" s="395" t="e">
        <f t="shared" si="742"/>
        <v>#DIV/0!</v>
      </c>
    </row>
    <row r="683" spans="1:61" s="358" customFormat="1" x14ac:dyDescent="0.3">
      <c r="A683" s="359"/>
      <c r="B683" s="602"/>
      <c r="C683" s="548"/>
      <c r="D683" s="360">
        <v>6</v>
      </c>
      <c r="E683" s="528"/>
      <c r="F683" s="523"/>
      <c r="G683" s="393"/>
      <c r="H683" s="394"/>
      <c r="I683" s="394"/>
      <c r="J683" s="394"/>
      <c r="K683" s="394"/>
      <c r="L683" s="394"/>
      <c r="M683" s="394"/>
      <c r="N683" s="394"/>
      <c r="O683" s="394"/>
      <c r="P683" s="394"/>
      <c r="Q683" s="394"/>
      <c r="R683" s="381"/>
      <c r="S683" s="408"/>
      <c r="T683" s="385"/>
      <c r="U683" s="475"/>
      <c r="V683" s="395"/>
      <c r="W683" s="395"/>
      <c r="X683" s="528"/>
      <c r="Y683" s="523"/>
      <c r="Z683" s="393"/>
      <c r="AA683" s="394"/>
      <c r="AB683" s="394"/>
      <c r="AC683" s="394"/>
      <c r="AD683" s="394"/>
      <c r="AE683" s="394"/>
      <c r="AF683" s="394"/>
      <c r="AG683" s="394"/>
      <c r="AH683" s="394"/>
      <c r="AI683" s="394"/>
      <c r="AJ683" s="394"/>
      <c r="AK683" s="381"/>
      <c r="AL683" s="408"/>
      <c r="AM683" s="385"/>
      <c r="AN683" s="475"/>
      <c r="AO683" s="395"/>
      <c r="AP683" s="395"/>
      <c r="AQ683" s="528"/>
      <c r="AR683" s="523"/>
      <c r="AS683" s="393"/>
      <c r="AT683" s="600"/>
      <c r="AU683" s="394"/>
      <c r="AV683" s="394"/>
      <c r="AW683" s="394"/>
      <c r="AX683" s="394"/>
      <c r="AY683" s="394"/>
      <c r="AZ683" s="394"/>
      <c r="BA683" s="394"/>
      <c r="BB683" s="394"/>
      <c r="BC683" s="394"/>
      <c r="BD683" s="381"/>
      <c r="BE683" s="408"/>
      <c r="BF683" s="385"/>
      <c r="BG683" s="475"/>
      <c r="BH683" s="395"/>
      <c r="BI683" s="395" t="e">
        <f t="shared" si="742"/>
        <v>#DIV/0!</v>
      </c>
    </row>
    <row r="684" spans="1:61" s="358" customFormat="1" x14ac:dyDescent="0.3">
      <c r="A684" s="359"/>
      <c r="B684" s="378"/>
      <c r="C684" s="546"/>
      <c r="D684" s="360"/>
      <c r="E684" s="398"/>
      <c r="F684" s="523"/>
      <c r="G684" s="393"/>
      <c r="H684" s="394"/>
      <c r="I684" s="394"/>
      <c r="J684" s="394"/>
      <c r="K684" s="394"/>
      <c r="L684" s="394"/>
      <c r="M684" s="394"/>
      <c r="N684" s="394"/>
      <c r="O684" s="394"/>
      <c r="P684" s="394"/>
      <c r="Q684" s="394"/>
      <c r="R684" s="385"/>
      <c r="S684" s="385"/>
      <c r="T684" s="385"/>
      <c r="U684" s="475"/>
      <c r="V684" s="395"/>
      <c r="W684" s="395" t="e">
        <f t="shared" si="738"/>
        <v>#DIV/0!</v>
      </c>
      <c r="X684" s="398"/>
      <c r="Y684" s="523"/>
      <c r="Z684" s="393"/>
      <c r="AA684" s="394"/>
      <c r="AB684" s="394"/>
      <c r="AC684" s="394"/>
      <c r="AD684" s="394"/>
      <c r="AE684" s="394"/>
      <c r="AF684" s="394"/>
      <c r="AG684" s="394"/>
      <c r="AH684" s="394"/>
      <c r="AI684" s="394"/>
      <c r="AJ684" s="394"/>
      <c r="AK684" s="385"/>
      <c r="AL684" s="385"/>
      <c r="AM684" s="385"/>
      <c r="AN684" s="475"/>
      <c r="AO684" s="395"/>
      <c r="AP684" s="395" t="e">
        <f t="shared" si="740"/>
        <v>#DIV/0!</v>
      </c>
      <c r="AQ684" s="398"/>
      <c r="AR684" s="523"/>
      <c r="AS684" s="393"/>
      <c r="AT684" s="394"/>
      <c r="AU684" s="394"/>
      <c r="AV684" s="394"/>
      <c r="AW684" s="394"/>
      <c r="AX684" s="394"/>
      <c r="AY684" s="394"/>
      <c r="AZ684" s="394"/>
      <c r="BA684" s="394"/>
      <c r="BB684" s="394"/>
      <c r="BC684" s="394"/>
      <c r="BD684" s="385"/>
      <c r="BE684" s="385"/>
      <c r="BF684" s="385"/>
      <c r="BG684" s="475"/>
      <c r="BH684" s="395"/>
      <c r="BI684" s="395" t="e">
        <f t="shared" si="742"/>
        <v>#DIV/0!</v>
      </c>
    </row>
    <row r="685" spans="1:61" s="358" customFormat="1" ht="24.75" customHeight="1" x14ac:dyDescent="0.3">
      <c r="A685" s="354" t="s">
        <v>4631</v>
      </c>
      <c r="B685" s="355" t="s">
        <v>229</v>
      </c>
      <c r="C685" s="587"/>
      <c r="D685" s="356">
        <v>6</v>
      </c>
      <c r="E685" s="389">
        <f t="shared" ref="E685:Q685" si="761">SUM(E686:E687)</f>
        <v>0</v>
      </c>
      <c r="F685" s="389">
        <f t="shared" si="761"/>
        <v>0</v>
      </c>
      <c r="G685" s="389">
        <f t="shared" si="761"/>
        <v>0</v>
      </c>
      <c r="H685" s="390">
        <f t="shared" si="761"/>
        <v>0</v>
      </c>
      <c r="I685" s="390">
        <f t="shared" si="761"/>
        <v>0</v>
      </c>
      <c r="J685" s="390">
        <f t="shared" si="761"/>
        <v>0</v>
      </c>
      <c r="K685" s="390">
        <f t="shared" si="761"/>
        <v>0</v>
      </c>
      <c r="L685" s="390">
        <f t="shared" si="761"/>
        <v>0</v>
      </c>
      <c r="M685" s="390">
        <f t="shared" si="761"/>
        <v>0</v>
      </c>
      <c r="N685" s="390">
        <f t="shared" si="761"/>
        <v>0</v>
      </c>
      <c r="O685" s="390">
        <f t="shared" si="761"/>
        <v>0</v>
      </c>
      <c r="P685" s="390">
        <f t="shared" si="761"/>
        <v>0</v>
      </c>
      <c r="Q685" s="390">
        <f t="shared" si="761"/>
        <v>0</v>
      </c>
      <c r="R685" s="391"/>
      <c r="S685" s="391"/>
      <c r="T685" s="391"/>
      <c r="U685" s="474"/>
      <c r="V685" s="392"/>
      <c r="W685" s="392" t="e">
        <f t="shared" si="738"/>
        <v>#DIV/0!</v>
      </c>
      <c r="X685" s="389">
        <f t="shared" ref="X685:AJ685" si="762">SUM(X686:X687)</f>
        <v>0</v>
      </c>
      <c r="Y685" s="389">
        <f t="shared" si="762"/>
        <v>0</v>
      </c>
      <c r="Z685" s="389">
        <f t="shared" si="762"/>
        <v>0</v>
      </c>
      <c r="AA685" s="390">
        <f t="shared" si="762"/>
        <v>0</v>
      </c>
      <c r="AB685" s="390">
        <f t="shared" si="762"/>
        <v>0</v>
      </c>
      <c r="AC685" s="390">
        <f t="shared" si="762"/>
        <v>0</v>
      </c>
      <c r="AD685" s="390">
        <f t="shared" si="762"/>
        <v>0</v>
      </c>
      <c r="AE685" s="390">
        <f t="shared" si="762"/>
        <v>0</v>
      </c>
      <c r="AF685" s="390">
        <f t="shared" si="762"/>
        <v>0</v>
      </c>
      <c r="AG685" s="390">
        <f t="shared" si="762"/>
        <v>0</v>
      </c>
      <c r="AH685" s="390">
        <f t="shared" si="762"/>
        <v>0</v>
      </c>
      <c r="AI685" s="390">
        <f t="shared" si="762"/>
        <v>0</v>
      </c>
      <c r="AJ685" s="390">
        <f t="shared" si="762"/>
        <v>0</v>
      </c>
      <c r="AK685" s="391"/>
      <c r="AL685" s="391"/>
      <c r="AM685" s="391"/>
      <c r="AN685" s="474"/>
      <c r="AO685" s="392"/>
      <c r="AP685" s="392" t="e">
        <f t="shared" si="740"/>
        <v>#DIV/0!</v>
      </c>
      <c r="AQ685" s="389">
        <f t="shared" ref="AQ685:BC685" si="763">SUM(AQ686:AQ687)</f>
        <v>0</v>
      </c>
      <c r="AR685" s="389">
        <f t="shared" si="763"/>
        <v>0</v>
      </c>
      <c r="AS685" s="389">
        <f t="shared" si="763"/>
        <v>0</v>
      </c>
      <c r="AT685" s="390">
        <f t="shared" si="763"/>
        <v>0</v>
      </c>
      <c r="AU685" s="390">
        <f t="shared" si="763"/>
        <v>0</v>
      </c>
      <c r="AV685" s="390">
        <f t="shared" si="763"/>
        <v>0</v>
      </c>
      <c r="AW685" s="390">
        <f t="shared" si="763"/>
        <v>0</v>
      </c>
      <c r="AX685" s="390">
        <f t="shared" si="763"/>
        <v>0</v>
      </c>
      <c r="AY685" s="390">
        <f t="shared" si="763"/>
        <v>0</v>
      </c>
      <c r="AZ685" s="390">
        <f t="shared" si="763"/>
        <v>0</v>
      </c>
      <c r="BA685" s="390">
        <f t="shared" si="763"/>
        <v>0</v>
      </c>
      <c r="BB685" s="390">
        <f t="shared" si="763"/>
        <v>0</v>
      </c>
      <c r="BC685" s="390">
        <f t="shared" si="763"/>
        <v>0</v>
      </c>
      <c r="BD685" s="391"/>
      <c r="BE685" s="391"/>
      <c r="BF685" s="391"/>
      <c r="BG685" s="474"/>
      <c r="BH685" s="392"/>
      <c r="BI685" s="392" t="e">
        <f t="shared" si="742"/>
        <v>#DIV/0!</v>
      </c>
    </row>
    <row r="686" spans="1:61" s="358" customFormat="1" x14ac:dyDescent="0.3">
      <c r="A686" s="359"/>
      <c r="B686" s="378"/>
      <c r="C686" s="592"/>
      <c r="D686" s="360">
        <v>6</v>
      </c>
      <c r="E686" s="398"/>
      <c r="F686" s="523"/>
      <c r="G686" s="393"/>
      <c r="H686" s="394"/>
      <c r="I686" s="394"/>
      <c r="J686" s="394"/>
      <c r="K686" s="394"/>
      <c r="L686" s="394"/>
      <c r="M686" s="394"/>
      <c r="N686" s="394"/>
      <c r="O686" s="394"/>
      <c r="P686" s="394"/>
      <c r="Q686" s="394"/>
      <c r="R686" s="385"/>
      <c r="S686" s="385"/>
      <c r="T686" s="385"/>
      <c r="U686" s="475"/>
      <c r="V686" s="395"/>
      <c r="W686" s="395" t="e">
        <f t="shared" si="738"/>
        <v>#DIV/0!</v>
      </c>
      <c r="X686" s="398"/>
      <c r="Y686" s="523"/>
      <c r="Z686" s="393"/>
      <c r="AA686" s="394"/>
      <c r="AB686" s="394"/>
      <c r="AC686" s="394"/>
      <c r="AD686" s="394"/>
      <c r="AE686" s="394"/>
      <c r="AF686" s="394"/>
      <c r="AG686" s="394"/>
      <c r="AH686" s="394"/>
      <c r="AI686" s="394"/>
      <c r="AJ686" s="394"/>
      <c r="AK686" s="385"/>
      <c r="AL686" s="385"/>
      <c r="AM686" s="385"/>
      <c r="AN686" s="475"/>
      <c r="AO686" s="395"/>
      <c r="AP686" s="395" t="e">
        <f t="shared" si="740"/>
        <v>#DIV/0!</v>
      </c>
      <c r="AQ686" s="398"/>
      <c r="AR686" s="523"/>
      <c r="AS686" s="393"/>
      <c r="AT686" s="394"/>
      <c r="AU686" s="394"/>
      <c r="AV686" s="394"/>
      <c r="AW686" s="394"/>
      <c r="AX686" s="394"/>
      <c r="AY686" s="394"/>
      <c r="AZ686" s="394"/>
      <c r="BA686" s="394"/>
      <c r="BB686" s="394"/>
      <c r="BC686" s="394"/>
      <c r="BD686" s="385"/>
      <c r="BE686" s="385"/>
      <c r="BF686" s="385"/>
      <c r="BG686" s="475"/>
      <c r="BH686" s="395"/>
      <c r="BI686" s="395" t="e">
        <f t="shared" si="742"/>
        <v>#DIV/0!</v>
      </c>
    </row>
    <row r="687" spans="1:61" s="358" customFormat="1" x14ac:dyDescent="0.3">
      <c r="A687" s="359"/>
      <c r="B687" s="378"/>
      <c r="C687" s="546"/>
      <c r="D687" s="360"/>
      <c r="E687" s="398"/>
      <c r="F687" s="523"/>
      <c r="G687" s="393"/>
      <c r="H687" s="394"/>
      <c r="I687" s="394"/>
      <c r="J687" s="394"/>
      <c r="K687" s="394"/>
      <c r="L687" s="394"/>
      <c r="M687" s="394"/>
      <c r="N687" s="394"/>
      <c r="O687" s="394"/>
      <c r="P687" s="394"/>
      <c r="Q687" s="394"/>
      <c r="R687" s="385"/>
      <c r="S687" s="385"/>
      <c r="T687" s="385"/>
      <c r="U687" s="475"/>
      <c r="V687" s="395"/>
      <c r="W687" s="395" t="e">
        <f t="shared" si="738"/>
        <v>#DIV/0!</v>
      </c>
      <c r="X687" s="398"/>
      <c r="Y687" s="523"/>
      <c r="Z687" s="393"/>
      <c r="AA687" s="394"/>
      <c r="AB687" s="394"/>
      <c r="AC687" s="394"/>
      <c r="AD687" s="394"/>
      <c r="AE687" s="394"/>
      <c r="AF687" s="394"/>
      <c r="AG687" s="394"/>
      <c r="AH687" s="394"/>
      <c r="AI687" s="394"/>
      <c r="AJ687" s="394"/>
      <c r="AK687" s="385"/>
      <c r="AL687" s="385"/>
      <c r="AM687" s="385"/>
      <c r="AN687" s="475"/>
      <c r="AO687" s="395"/>
      <c r="AP687" s="395" t="e">
        <f t="shared" si="740"/>
        <v>#DIV/0!</v>
      </c>
      <c r="AQ687" s="398"/>
      <c r="AR687" s="523"/>
      <c r="AS687" s="393"/>
      <c r="AT687" s="394"/>
      <c r="AU687" s="394"/>
      <c r="AV687" s="394"/>
      <c r="AW687" s="394"/>
      <c r="AX687" s="394"/>
      <c r="AY687" s="394"/>
      <c r="AZ687" s="394"/>
      <c r="BA687" s="394"/>
      <c r="BB687" s="394"/>
      <c r="BC687" s="394"/>
      <c r="BD687" s="385"/>
      <c r="BE687" s="385"/>
      <c r="BF687" s="385"/>
      <c r="BG687" s="475"/>
      <c r="BH687" s="395"/>
      <c r="BI687" s="395" t="e">
        <f t="shared" si="742"/>
        <v>#DIV/0!</v>
      </c>
    </row>
    <row r="688" spans="1:61" s="358" customFormat="1" ht="24.75" customHeight="1" x14ac:dyDescent="0.3">
      <c r="A688" s="354" t="s">
        <v>4631</v>
      </c>
      <c r="B688" s="355" t="s">
        <v>228</v>
      </c>
      <c r="C688" s="587"/>
      <c r="D688" s="356">
        <v>6</v>
      </c>
      <c r="E688" s="535">
        <f t="shared" ref="E688:Q688" si="764">SUM(E689:E692)</f>
        <v>0</v>
      </c>
      <c r="F688" s="535">
        <f t="shared" si="764"/>
        <v>0</v>
      </c>
      <c r="G688" s="535">
        <f t="shared" si="764"/>
        <v>0</v>
      </c>
      <c r="H688" s="390">
        <f t="shared" si="764"/>
        <v>0</v>
      </c>
      <c r="I688" s="390">
        <f t="shared" si="764"/>
        <v>0</v>
      </c>
      <c r="J688" s="390">
        <f t="shared" si="764"/>
        <v>0</v>
      </c>
      <c r="K688" s="390">
        <f t="shared" si="764"/>
        <v>0</v>
      </c>
      <c r="L688" s="390">
        <f t="shared" si="764"/>
        <v>0</v>
      </c>
      <c r="M688" s="390">
        <f t="shared" si="764"/>
        <v>0</v>
      </c>
      <c r="N688" s="390">
        <f t="shared" si="764"/>
        <v>0</v>
      </c>
      <c r="O688" s="390">
        <f t="shared" si="764"/>
        <v>0</v>
      </c>
      <c r="P688" s="390">
        <f t="shared" si="764"/>
        <v>0</v>
      </c>
      <c r="Q688" s="390">
        <f t="shared" si="764"/>
        <v>0</v>
      </c>
      <c r="R688" s="391"/>
      <c r="S688" s="391"/>
      <c r="T688" s="391"/>
      <c r="U688" s="474"/>
      <c r="V688" s="392"/>
      <c r="W688" s="392" t="e">
        <f t="shared" si="738"/>
        <v>#DIV/0!</v>
      </c>
      <c r="X688" s="535">
        <f t="shared" ref="X688:AJ688" si="765">SUM(X689:X692)</f>
        <v>0</v>
      </c>
      <c r="Y688" s="535">
        <f t="shared" si="765"/>
        <v>100</v>
      </c>
      <c r="Z688" s="535">
        <f t="shared" si="765"/>
        <v>100</v>
      </c>
      <c r="AA688" s="390">
        <f t="shared" si="765"/>
        <v>301.96920999999998</v>
      </c>
      <c r="AB688" s="390">
        <f t="shared" si="765"/>
        <v>247.33267000000001</v>
      </c>
      <c r="AC688" s="390">
        <f t="shared" si="765"/>
        <v>220.83332999999999</v>
      </c>
      <c r="AD688" s="390">
        <f t="shared" si="765"/>
        <v>9.1881800000000009</v>
      </c>
      <c r="AE688" s="390">
        <f t="shared" si="765"/>
        <v>10.436769999999999</v>
      </c>
      <c r="AF688" s="390">
        <f t="shared" si="765"/>
        <v>0</v>
      </c>
      <c r="AG688" s="390">
        <f t="shared" si="765"/>
        <v>0</v>
      </c>
      <c r="AH688" s="390">
        <f t="shared" si="765"/>
        <v>16.337980000000002</v>
      </c>
      <c r="AI688" s="390">
        <f t="shared" si="765"/>
        <v>220.83332999999999</v>
      </c>
      <c r="AJ688" s="390">
        <f t="shared" si="765"/>
        <v>9.1881800000000009</v>
      </c>
      <c r="AK688" s="391"/>
      <c r="AL688" s="391"/>
      <c r="AM688" s="391"/>
      <c r="AN688" s="474"/>
      <c r="AO688" s="392"/>
      <c r="AP688" s="392">
        <f t="shared" si="740"/>
        <v>3.0196920999999999</v>
      </c>
      <c r="AQ688" s="535">
        <f t="shared" ref="AQ688:BC688" si="766">SUM(AQ689:AQ692)</f>
        <v>0</v>
      </c>
      <c r="AR688" s="535">
        <f t="shared" si="766"/>
        <v>150</v>
      </c>
      <c r="AS688" s="535">
        <f t="shared" si="766"/>
        <v>150</v>
      </c>
      <c r="AT688" s="390">
        <f t="shared" si="766"/>
        <v>1398.6865700000001</v>
      </c>
      <c r="AU688" s="390">
        <f t="shared" si="766"/>
        <v>1259.26856</v>
      </c>
      <c r="AV688" s="390">
        <f t="shared" si="766"/>
        <v>328.32592</v>
      </c>
      <c r="AW688" s="390">
        <f t="shared" si="766"/>
        <v>897.37535000000003</v>
      </c>
      <c r="AX688" s="390">
        <f t="shared" si="766"/>
        <v>25.097059999999999</v>
      </c>
      <c r="AY688" s="390">
        <f t="shared" si="766"/>
        <v>0</v>
      </c>
      <c r="AZ688" s="390">
        <f t="shared" si="766"/>
        <v>0</v>
      </c>
      <c r="BA688" s="390">
        <f t="shared" si="766"/>
        <v>43.01399</v>
      </c>
      <c r="BB688" s="390">
        <f t="shared" si="766"/>
        <v>328.32592</v>
      </c>
      <c r="BC688" s="390">
        <f t="shared" si="766"/>
        <v>897.37535000000003</v>
      </c>
      <c r="BD688" s="391"/>
      <c r="BE688" s="391"/>
      <c r="BF688" s="391"/>
      <c r="BG688" s="474"/>
      <c r="BH688" s="392"/>
      <c r="BI688" s="392">
        <f t="shared" si="742"/>
        <v>9.3245771333333334</v>
      </c>
    </row>
    <row r="689" spans="1:61" s="358" customFormat="1" x14ac:dyDescent="0.3">
      <c r="A689" s="359"/>
      <c r="B689" s="541"/>
      <c r="C689" s="546"/>
      <c r="D689" s="360">
        <v>6</v>
      </c>
      <c r="E689" s="398"/>
      <c r="F689" s="402"/>
      <c r="G689" s="402"/>
      <c r="H689" s="542"/>
      <c r="I689" s="394"/>
      <c r="J689" s="394"/>
      <c r="K689" s="394"/>
      <c r="L689" s="394"/>
      <c r="M689" s="394"/>
      <c r="N689" s="394"/>
      <c r="O689" s="394"/>
      <c r="P689" s="394"/>
      <c r="Q689" s="394"/>
      <c r="R689" s="381"/>
      <c r="S689" s="408"/>
      <c r="T689" s="385"/>
      <c r="U689" s="475"/>
      <c r="V689" s="395"/>
      <c r="W689" s="395" t="e">
        <f t="shared" si="738"/>
        <v>#DIV/0!</v>
      </c>
      <c r="X689" s="398"/>
      <c r="Y689" s="402"/>
      <c r="Z689" s="402"/>
      <c r="AA689" s="542"/>
      <c r="AB689" s="394"/>
      <c r="AC689" s="394"/>
      <c r="AD689" s="394"/>
      <c r="AE689" s="394"/>
      <c r="AF689" s="394"/>
      <c r="AG689" s="394"/>
      <c r="AH689" s="394"/>
      <c r="AI689" s="394"/>
      <c r="AJ689" s="394"/>
      <c r="AK689" s="381"/>
      <c r="AL689" s="408"/>
      <c r="AM689" s="385"/>
      <c r="AN689" s="475"/>
      <c r="AO689" s="395"/>
      <c r="AP689" s="395" t="e">
        <f t="shared" si="740"/>
        <v>#DIV/0!</v>
      </c>
      <c r="AQ689" s="398"/>
      <c r="AR689" s="402"/>
      <c r="AS689" s="402"/>
      <c r="AT689" s="542"/>
      <c r="AU689" s="394"/>
      <c r="AV689" s="394"/>
      <c r="AW689" s="394"/>
      <c r="AX689" s="394"/>
      <c r="AY689" s="394"/>
      <c r="AZ689" s="394"/>
      <c r="BA689" s="394"/>
      <c r="BB689" s="394"/>
      <c r="BC689" s="394"/>
      <c r="BD689" s="381"/>
      <c r="BE689" s="408"/>
      <c r="BF689" s="385"/>
      <c r="BG689" s="475"/>
      <c r="BH689" s="395"/>
      <c r="BI689" s="395" t="e">
        <f t="shared" si="742"/>
        <v>#DIV/0!</v>
      </c>
    </row>
    <row r="690" spans="1:61" s="358" customFormat="1" ht="19.2" x14ac:dyDescent="0.3">
      <c r="A690" s="359" t="s">
        <v>4633</v>
      </c>
      <c r="B690" s="580" t="s">
        <v>1851</v>
      </c>
      <c r="C690" s="546" t="s">
        <v>1156</v>
      </c>
      <c r="D690" s="360">
        <v>6</v>
      </c>
      <c r="E690" s="398"/>
      <c r="F690" s="402"/>
      <c r="G690" s="402"/>
      <c r="H690" s="571"/>
      <c r="I690" s="394"/>
      <c r="J690" s="394"/>
      <c r="K690" s="394"/>
      <c r="L690" s="394"/>
      <c r="M690" s="394"/>
      <c r="N690" s="394"/>
      <c r="O690" s="394"/>
      <c r="P690" s="394"/>
      <c r="Q690" s="394"/>
      <c r="R690" s="381"/>
      <c r="S690" s="408"/>
      <c r="T690" s="385"/>
      <c r="U690" s="475"/>
      <c r="V690" s="395"/>
      <c r="W690" s="395"/>
      <c r="X690" s="398"/>
      <c r="Y690" s="402">
        <v>100</v>
      </c>
      <c r="Z690" s="402">
        <v>100</v>
      </c>
      <c r="AA690" s="571">
        <v>301.96920999999998</v>
      </c>
      <c r="AB690" s="394">
        <v>247.33267000000001</v>
      </c>
      <c r="AC690" s="394">
        <v>220.83332999999999</v>
      </c>
      <c r="AD690" s="394">
        <f>5.60132+3.58686</f>
        <v>9.1881800000000009</v>
      </c>
      <c r="AE690" s="394">
        <v>10.436769999999999</v>
      </c>
      <c r="AF690" s="394">
        <v>0</v>
      </c>
      <c r="AG690" s="394">
        <v>0</v>
      </c>
      <c r="AH690" s="394">
        <v>16.337980000000002</v>
      </c>
      <c r="AI690" s="394">
        <v>220.83332999999999</v>
      </c>
      <c r="AJ690" s="394">
        <f>5.60132+3.58686</f>
        <v>9.1881800000000009</v>
      </c>
      <c r="AK690" s="381" t="s">
        <v>167</v>
      </c>
      <c r="AL690" s="408" t="s">
        <v>175</v>
      </c>
      <c r="AM690" s="385"/>
      <c r="AN690" s="475">
        <v>455</v>
      </c>
      <c r="AO690" s="395"/>
      <c r="AP690" s="395">
        <f t="shared" si="740"/>
        <v>3.0196920999999999</v>
      </c>
      <c r="AQ690" s="398"/>
      <c r="AR690" s="402"/>
      <c r="AS690" s="402"/>
      <c r="AT690" s="571"/>
      <c r="AU690" s="394"/>
      <c r="AV690" s="394"/>
      <c r="AW690" s="394"/>
      <c r="AX690" s="394"/>
      <c r="AY690" s="394"/>
      <c r="AZ690" s="394"/>
      <c r="BA690" s="394"/>
      <c r="BB690" s="394"/>
      <c r="BC690" s="394"/>
      <c r="BD690" s="381"/>
      <c r="BE690" s="408"/>
      <c r="BF690" s="385"/>
      <c r="BG690" s="475"/>
      <c r="BH690" s="395"/>
      <c r="BI690" s="395" t="e">
        <f t="shared" si="742"/>
        <v>#DIV/0!</v>
      </c>
    </row>
    <row r="691" spans="1:61" s="358" customFormat="1" ht="19.2" x14ac:dyDescent="0.3">
      <c r="A691" s="359" t="s">
        <v>4631</v>
      </c>
      <c r="B691" s="602" t="s">
        <v>2582</v>
      </c>
      <c r="C691" s="548" t="s">
        <v>4782</v>
      </c>
      <c r="D691" s="360">
        <v>6</v>
      </c>
      <c r="E691" s="528"/>
      <c r="F691" s="523"/>
      <c r="G691" s="393"/>
      <c r="H691" s="394"/>
      <c r="I691" s="394"/>
      <c r="J691" s="394"/>
      <c r="K691" s="394"/>
      <c r="L691" s="394"/>
      <c r="M691" s="394"/>
      <c r="N691" s="394"/>
      <c r="O691" s="394"/>
      <c r="P691" s="394"/>
      <c r="Q691" s="394"/>
      <c r="R691" s="381"/>
      <c r="S691" s="408"/>
      <c r="T691" s="385"/>
      <c r="U691" s="475"/>
      <c r="V691" s="395"/>
      <c r="W691" s="395"/>
      <c r="X691" s="528"/>
      <c r="Y691" s="523"/>
      <c r="Z691" s="393"/>
      <c r="AA691" s="394"/>
      <c r="AB691" s="394"/>
      <c r="AC691" s="394"/>
      <c r="AD691" s="394"/>
      <c r="AE691" s="394"/>
      <c r="AF691" s="394"/>
      <c r="AG691" s="394"/>
      <c r="AH691" s="394"/>
      <c r="AI691" s="394"/>
      <c r="AJ691" s="394"/>
      <c r="AK691" s="381"/>
      <c r="AL691" s="408"/>
      <c r="AM691" s="385"/>
      <c r="AN691" s="475"/>
      <c r="AO691" s="395"/>
      <c r="AP691" s="395"/>
      <c r="AQ691" s="528"/>
      <c r="AR691" s="523">
        <v>150</v>
      </c>
      <c r="AS691" s="393">
        <v>150</v>
      </c>
      <c r="AT691" s="600">
        <v>1398.6865700000001</v>
      </c>
      <c r="AU691" s="394">
        <v>1259.26856</v>
      </c>
      <c r="AV691" s="394">
        <v>328.32592</v>
      </c>
      <c r="AW691" s="394">
        <v>897.37535000000003</v>
      </c>
      <c r="AX691" s="394">
        <v>25.097059999999999</v>
      </c>
      <c r="AY691" s="394">
        <v>0</v>
      </c>
      <c r="AZ691" s="394">
        <v>0</v>
      </c>
      <c r="BA691" s="394">
        <v>43.01399</v>
      </c>
      <c r="BB691" s="394">
        <v>328.32592</v>
      </c>
      <c r="BC691" s="394">
        <v>897.37535000000003</v>
      </c>
      <c r="BD691" s="381" t="s">
        <v>167</v>
      </c>
      <c r="BE691" s="408" t="s">
        <v>175</v>
      </c>
      <c r="BF691" s="385"/>
      <c r="BG691" s="475">
        <v>438</v>
      </c>
      <c r="BH691" s="395"/>
      <c r="BI691" s="395">
        <f t="shared" si="742"/>
        <v>9.3245771333333334</v>
      </c>
    </row>
    <row r="692" spans="1:61" s="358" customFormat="1" x14ac:dyDescent="0.3">
      <c r="A692" s="359"/>
      <c r="B692" s="378"/>
      <c r="C692" s="546"/>
      <c r="D692" s="360"/>
      <c r="E692" s="398"/>
      <c r="F692" s="523"/>
      <c r="G692" s="393"/>
      <c r="H692" s="394"/>
      <c r="I692" s="394"/>
      <c r="J692" s="394"/>
      <c r="K692" s="394"/>
      <c r="L692" s="394"/>
      <c r="M692" s="394"/>
      <c r="N692" s="394"/>
      <c r="O692" s="394"/>
      <c r="P692" s="394"/>
      <c r="Q692" s="394"/>
      <c r="R692" s="385"/>
      <c r="S692" s="385"/>
      <c r="T692" s="385"/>
      <c r="U692" s="475"/>
      <c r="V692" s="395"/>
      <c r="W692" s="395" t="e">
        <f t="shared" si="738"/>
        <v>#DIV/0!</v>
      </c>
      <c r="X692" s="398"/>
      <c r="Y692" s="523"/>
      <c r="Z692" s="393"/>
      <c r="AA692" s="394"/>
      <c r="AB692" s="394"/>
      <c r="AC692" s="394"/>
      <c r="AD692" s="394"/>
      <c r="AE692" s="394"/>
      <c r="AF692" s="394"/>
      <c r="AG692" s="394"/>
      <c r="AH692" s="394"/>
      <c r="AI692" s="394"/>
      <c r="AJ692" s="394"/>
      <c r="AK692" s="385"/>
      <c r="AL692" s="385"/>
      <c r="AM692" s="385"/>
      <c r="AN692" s="475"/>
      <c r="AO692" s="395"/>
      <c r="AP692" s="395" t="e">
        <f t="shared" si="740"/>
        <v>#DIV/0!</v>
      </c>
      <c r="AQ692" s="398"/>
      <c r="AR692" s="523"/>
      <c r="AS692" s="393"/>
      <c r="AT692" s="394"/>
      <c r="AU692" s="394"/>
      <c r="AV692" s="394"/>
      <c r="AW692" s="394"/>
      <c r="AX692" s="394"/>
      <c r="AY692" s="394"/>
      <c r="AZ692" s="394"/>
      <c r="BA692" s="394"/>
      <c r="BB692" s="394"/>
      <c r="BC692" s="394"/>
      <c r="BD692" s="385"/>
      <c r="BE692" s="385"/>
      <c r="BF692" s="385"/>
      <c r="BG692" s="475"/>
      <c r="BH692" s="395"/>
      <c r="BI692" s="395" t="e">
        <f t="shared" si="742"/>
        <v>#DIV/0!</v>
      </c>
    </row>
    <row r="693" spans="1:61" s="358" customFormat="1" ht="24.75" customHeight="1" x14ac:dyDescent="0.3">
      <c r="A693" s="354" t="s">
        <v>4631</v>
      </c>
      <c r="B693" s="355" t="s">
        <v>4640</v>
      </c>
      <c r="C693" s="587"/>
      <c r="D693" s="356">
        <v>6</v>
      </c>
      <c r="E693" s="389">
        <f t="shared" ref="E693:Q693" si="767">SUM(E694:E698)</f>
        <v>0</v>
      </c>
      <c r="F693" s="389">
        <f t="shared" si="767"/>
        <v>0</v>
      </c>
      <c r="G693" s="389">
        <f t="shared" si="767"/>
        <v>0</v>
      </c>
      <c r="H693" s="390">
        <f t="shared" si="767"/>
        <v>0</v>
      </c>
      <c r="I693" s="390">
        <f t="shared" si="767"/>
        <v>0</v>
      </c>
      <c r="J693" s="390">
        <f t="shared" si="767"/>
        <v>0</v>
      </c>
      <c r="K693" s="390">
        <f t="shared" si="767"/>
        <v>0</v>
      </c>
      <c r="L693" s="390">
        <f t="shared" si="767"/>
        <v>0</v>
      </c>
      <c r="M693" s="390">
        <f t="shared" si="767"/>
        <v>0</v>
      </c>
      <c r="N693" s="390">
        <f t="shared" si="767"/>
        <v>0</v>
      </c>
      <c r="O693" s="390">
        <f t="shared" si="767"/>
        <v>0</v>
      </c>
      <c r="P693" s="390">
        <f t="shared" si="767"/>
        <v>0</v>
      </c>
      <c r="Q693" s="390">
        <f t="shared" si="767"/>
        <v>0</v>
      </c>
      <c r="R693" s="391"/>
      <c r="S693" s="391"/>
      <c r="T693" s="391"/>
      <c r="U693" s="474"/>
      <c r="V693" s="392"/>
      <c r="W693" s="392" t="e">
        <f t="shared" si="738"/>
        <v>#DIV/0!</v>
      </c>
      <c r="X693" s="389">
        <f t="shared" ref="X693:AJ693" si="768">SUM(X694:X698)</f>
        <v>0</v>
      </c>
      <c r="Y693" s="389">
        <f t="shared" si="768"/>
        <v>0</v>
      </c>
      <c r="Z693" s="389">
        <f t="shared" si="768"/>
        <v>0</v>
      </c>
      <c r="AA693" s="390">
        <f t="shared" si="768"/>
        <v>0</v>
      </c>
      <c r="AB693" s="390">
        <f t="shared" si="768"/>
        <v>0</v>
      </c>
      <c r="AC693" s="390">
        <f t="shared" si="768"/>
        <v>0</v>
      </c>
      <c r="AD693" s="390">
        <f t="shared" si="768"/>
        <v>0</v>
      </c>
      <c r="AE693" s="390">
        <f t="shared" si="768"/>
        <v>0</v>
      </c>
      <c r="AF693" s="390">
        <f t="shared" si="768"/>
        <v>0</v>
      </c>
      <c r="AG693" s="390">
        <f t="shared" si="768"/>
        <v>0</v>
      </c>
      <c r="AH693" s="390">
        <f t="shared" si="768"/>
        <v>0</v>
      </c>
      <c r="AI693" s="390">
        <f t="shared" si="768"/>
        <v>0</v>
      </c>
      <c r="AJ693" s="390">
        <f t="shared" si="768"/>
        <v>0</v>
      </c>
      <c r="AK693" s="391"/>
      <c r="AL693" s="391"/>
      <c r="AM693" s="391"/>
      <c r="AN693" s="474"/>
      <c r="AO693" s="392"/>
      <c r="AP693" s="392" t="e">
        <f t="shared" si="740"/>
        <v>#DIV/0!</v>
      </c>
      <c r="AQ693" s="389">
        <f t="shared" ref="AQ693:BC693" si="769">SUM(AQ694:AQ698)</f>
        <v>0</v>
      </c>
      <c r="AR693" s="389">
        <f t="shared" si="769"/>
        <v>410</v>
      </c>
      <c r="AS693" s="389">
        <f t="shared" si="769"/>
        <v>410</v>
      </c>
      <c r="AT693" s="390">
        <f t="shared" si="769"/>
        <v>1570.2403400000001</v>
      </c>
      <c r="AU693" s="390">
        <f t="shared" si="769"/>
        <v>1103.1348300000002</v>
      </c>
      <c r="AV693" s="390">
        <f t="shared" si="769"/>
        <v>807.19473999999991</v>
      </c>
      <c r="AW693" s="390">
        <f t="shared" si="769"/>
        <v>60.141857999999999</v>
      </c>
      <c r="AX693" s="390">
        <f t="shared" si="769"/>
        <v>35.017389999999999</v>
      </c>
      <c r="AY693" s="390">
        <f t="shared" si="769"/>
        <v>0</v>
      </c>
      <c r="AZ693" s="390">
        <f t="shared" si="769"/>
        <v>0</v>
      </c>
      <c r="BA693" s="390">
        <f t="shared" si="769"/>
        <v>136.10219000000001</v>
      </c>
      <c r="BB693" s="390">
        <f t="shared" si="769"/>
        <v>807.19473999999991</v>
      </c>
      <c r="BC693" s="390">
        <f t="shared" si="769"/>
        <v>48.363219999999998</v>
      </c>
      <c r="BD693" s="391"/>
      <c r="BE693" s="391"/>
      <c r="BF693" s="391"/>
      <c r="BG693" s="474"/>
      <c r="BH693" s="392"/>
      <c r="BI693" s="392">
        <f t="shared" si="742"/>
        <v>3.8298544878048784</v>
      </c>
    </row>
    <row r="694" spans="1:61" s="358" customFormat="1" ht="31.2" x14ac:dyDescent="0.3">
      <c r="A694" s="359" t="s">
        <v>178</v>
      </c>
      <c r="B694" s="602" t="s">
        <v>4643</v>
      </c>
      <c r="C694" s="547" t="s">
        <v>4644</v>
      </c>
      <c r="D694" s="360">
        <v>6</v>
      </c>
      <c r="E694" s="528"/>
      <c r="F694" s="523"/>
      <c r="G694" s="393"/>
      <c r="H694" s="394"/>
      <c r="I694" s="394"/>
      <c r="J694" s="394"/>
      <c r="K694" s="394"/>
      <c r="L694" s="394"/>
      <c r="M694" s="394"/>
      <c r="N694" s="394"/>
      <c r="O694" s="394"/>
      <c r="P694" s="394"/>
      <c r="Q694" s="394"/>
      <c r="R694" s="381"/>
      <c r="S694" s="408"/>
      <c r="T694" s="385"/>
      <c r="U694" s="475"/>
      <c r="V694" s="395"/>
      <c r="W694" s="395"/>
      <c r="X694" s="528"/>
      <c r="Y694" s="523"/>
      <c r="Z694" s="393"/>
      <c r="AA694" s="394"/>
      <c r="AB694" s="394"/>
      <c r="AC694" s="394"/>
      <c r="AD694" s="394"/>
      <c r="AE694" s="394"/>
      <c r="AF694" s="394"/>
      <c r="AG694" s="394"/>
      <c r="AH694" s="394"/>
      <c r="AI694" s="394"/>
      <c r="AJ694" s="394"/>
      <c r="AK694" s="381"/>
      <c r="AL694" s="408"/>
      <c r="AM694" s="385"/>
      <c r="AN694" s="475"/>
      <c r="AO694" s="395"/>
      <c r="AP694" s="395"/>
      <c r="AQ694" s="528"/>
      <c r="AR694" s="523">
        <v>150</v>
      </c>
      <c r="AS694" s="393">
        <v>150</v>
      </c>
      <c r="AT694" s="600">
        <v>401.17034000000001</v>
      </c>
      <c r="AU694" s="394">
        <v>301.97021000000001</v>
      </c>
      <c r="AV694" s="394">
        <v>218.74486999999999</v>
      </c>
      <c r="AW694" s="394">
        <f>11.94+0.8259+1.28067+3.45624</f>
        <v>17.50281</v>
      </c>
      <c r="AX694" s="394"/>
      <c r="AY694" s="394">
        <v>0</v>
      </c>
      <c r="AZ694" s="394">
        <v>0</v>
      </c>
      <c r="BA694" s="394">
        <v>23.12642</v>
      </c>
      <c r="BB694" s="394">
        <v>218.74486999999999</v>
      </c>
      <c r="BC694" s="394">
        <f>11.94+0.2753+0.2689+3.45624</f>
        <v>15.940439999999999</v>
      </c>
      <c r="BD694" s="381" t="s">
        <v>167</v>
      </c>
      <c r="BE694" s="408" t="s">
        <v>175</v>
      </c>
      <c r="BF694" s="385"/>
      <c r="BG694" s="475">
        <v>441</v>
      </c>
      <c r="BH694" s="395"/>
      <c r="BI694" s="395">
        <f t="shared" ref="BI694:BI696" si="770">AT694/AR694</f>
        <v>2.6744689333333334</v>
      </c>
    </row>
    <row r="695" spans="1:61" s="358" customFormat="1" ht="31.2" x14ac:dyDescent="0.3">
      <c r="A695" s="359" t="s">
        <v>182</v>
      </c>
      <c r="B695" s="602" t="s">
        <v>4643</v>
      </c>
      <c r="C695" s="547" t="s">
        <v>4645</v>
      </c>
      <c r="D695" s="360">
        <v>6</v>
      </c>
      <c r="E695" s="528"/>
      <c r="F695" s="523"/>
      <c r="G695" s="393"/>
      <c r="H695" s="394"/>
      <c r="I695" s="394"/>
      <c r="J695" s="394"/>
      <c r="K695" s="394"/>
      <c r="L695" s="394"/>
      <c r="M695" s="394"/>
      <c r="N695" s="394"/>
      <c r="O695" s="394"/>
      <c r="P695" s="394"/>
      <c r="Q695" s="394"/>
      <c r="R695" s="381"/>
      <c r="S695" s="408"/>
      <c r="T695" s="385"/>
      <c r="U695" s="475"/>
      <c r="V695" s="395"/>
      <c r="W695" s="395"/>
      <c r="X695" s="528"/>
      <c r="Y695" s="523"/>
      <c r="Z695" s="393"/>
      <c r="AA695" s="394"/>
      <c r="AB695" s="394"/>
      <c r="AC695" s="394"/>
      <c r="AD695" s="394"/>
      <c r="AE695" s="394"/>
      <c r="AF695" s="394"/>
      <c r="AG695" s="394"/>
      <c r="AH695" s="394"/>
      <c r="AI695" s="394"/>
      <c r="AJ695" s="394"/>
      <c r="AK695" s="381"/>
      <c r="AL695" s="408"/>
      <c r="AM695" s="385"/>
      <c r="AN695" s="475"/>
      <c r="AO695" s="395"/>
      <c r="AP695" s="395"/>
      <c r="AQ695" s="528"/>
      <c r="AR695" s="523">
        <v>150</v>
      </c>
      <c r="AS695" s="393">
        <v>150</v>
      </c>
      <c r="AT695" s="600">
        <v>396.98442999999997</v>
      </c>
      <c r="AU695" s="394">
        <v>298.57017000000002</v>
      </c>
      <c r="AV695" s="394">
        <v>218.74486999999999</v>
      </c>
      <c r="AW695" s="394">
        <f>11.93909+0.8259+1.28067+3.45624</f>
        <v>17.501900000000003</v>
      </c>
      <c r="AX695" s="394"/>
      <c r="AY695" s="394">
        <v>0</v>
      </c>
      <c r="AZ695" s="394">
        <v>0</v>
      </c>
      <c r="BA695" s="394">
        <v>22.943210000000001</v>
      </c>
      <c r="BB695" s="394">
        <v>218.74486999999999</v>
      </c>
      <c r="BC695" s="394">
        <f>11.93909+0.2753+0.42689+3.45624</f>
        <v>16.097519999999999</v>
      </c>
      <c r="BD695" s="381" t="s">
        <v>167</v>
      </c>
      <c r="BE695" s="408" t="s">
        <v>175</v>
      </c>
      <c r="BF695" s="385"/>
      <c r="BG695" s="475">
        <v>444</v>
      </c>
      <c r="BH695" s="395"/>
      <c r="BI695" s="395">
        <f t="shared" si="770"/>
        <v>2.6465628666666663</v>
      </c>
    </row>
    <row r="696" spans="1:61" s="358" customFormat="1" ht="19.2" x14ac:dyDescent="0.3">
      <c r="A696" s="359" t="s">
        <v>184</v>
      </c>
      <c r="B696" s="602" t="s">
        <v>4779</v>
      </c>
      <c r="C696" s="548" t="s">
        <v>4781</v>
      </c>
      <c r="D696" s="360">
        <v>6</v>
      </c>
      <c r="E696" s="528"/>
      <c r="F696" s="523"/>
      <c r="G696" s="393"/>
      <c r="H696" s="394"/>
      <c r="I696" s="394"/>
      <c r="J696" s="394"/>
      <c r="K696" s="394"/>
      <c r="L696" s="394"/>
      <c r="M696" s="394"/>
      <c r="N696" s="394"/>
      <c r="O696" s="394"/>
      <c r="P696" s="394"/>
      <c r="Q696" s="394"/>
      <c r="R696" s="381"/>
      <c r="S696" s="408"/>
      <c r="T696" s="385"/>
      <c r="U696" s="475"/>
      <c r="V696" s="395"/>
      <c r="W696" s="395"/>
      <c r="X696" s="528"/>
      <c r="Y696" s="523"/>
      <c r="Z696" s="393"/>
      <c r="AA696" s="394"/>
      <c r="AB696" s="394"/>
      <c r="AC696" s="394"/>
      <c r="AD696" s="394"/>
      <c r="AE696" s="394"/>
      <c r="AF696" s="394"/>
      <c r="AG696" s="394"/>
      <c r="AH696" s="394"/>
      <c r="AI696" s="394"/>
      <c r="AJ696" s="394"/>
      <c r="AK696" s="381"/>
      <c r="AL696" s="408"/>
      <c r="AM696" s="385"/>
      <c r="AN696" s="475"/>
      <c r="AO696" s="395"/>
      <c r="AP696" s="395"/>
      <c r="AQ696" s="528"/>
      <c r="AR696" s="523">
        <v>10</v>
      </c>
      <c r="AS696" s="393">
        <v>10</v>
      </c>
      <c r="AT696" s="600">
        <v>574.50995999999998</v>
      </c>
      <c r="AU696" s="394">
        <v>437.59980000000002</v>
      </c>
      <c r="AV696" s="394">
        <v>369.70499999999998</v>
      </c>
      <c r="AW696" s="394">
        <f>0.3051+1.28064+3.58686+3.82596+8.700668</f>
        <v>17.699227999999998</v>
      </c>
      <c r="AX696" s="394">
        <v>17.62922</v>
      </c>
      <c r="AY696" s="394">
        <v>0</v>
      </c>
      <c r="AZ696" s="394">
        <v>0</v>
      </c>
      <c r="BA696" s="394">
        <v>45.840850000000003</v>
      </c>
      <c r="BB696" s="394">
        <v>369.70499999999998</v>
      </c>
      <c r="BC696" s="394">
        <f>0.1017+0.42688+3.58686+1.27532+4.35034</f>
        <v>9.7410999999999994</v>
      </c>
      <c r="BD696" s="381" t="s">
        <v>167</v>
      </c>
      <c r="BE696" s="408" t="s">
        <v>175</v>
      </c>
      <c r="BF696" s="385"/>
      <c r="BG696" s="475">
        <v>448</v>
      </c>
      <c r="BH696" s="395"/>
      <c r="BI696" s="395">
        <f t="shared" si="770"/>
        <v>57.450995999999996</v>
      </c>
    </row>
    <row r="697" spans="1:61" s="358" customFormat="1" ht="19.2" x14ac:dyDescent="0.3">
      <c r="A697" s="359" t="s">
        <v>186</v>
      </c>
      <c r="B697" s="602" t="s">
        <v>4842</v>
      </c>
      <c r="C697" s="548" t="s">
        <v>4843</v>
      </c>
      <c r="D697" s="360">
        <v>6</v>
      </c>
      <c r="E697" s="528"/>
      <c r="F697" s="523"/>
      <c r="G697" s="393"/>
      <c r="H697" s="394"/>
      <c r="I697" s="394"/>
      <c r="J697" s="394"/>
      <c r="K697" s="394"/>
      <c r="L697" s="394"/>
      <c r="M697" s="394"/>
      <c r="N697" s="394"/>
      <c r="O697" s="394"/>
      <c r="P697" s="394"/>
      <c r="Q697" s="394"/>
      <c r="R697" s="381"/>
      <c r="S697" s="408"/>
      <c r="T697" s="385"/>
      <c r="U697" s="475"/>
      <c r="V697" s="395"/>
      <c r="W697" s="395"/>
      <c r="X697" s="528"/>
      <c r="Y697" s="523"/>
      <c r="Z697" s="393"/>
      <c r="AA697" s="394"/>
      <c r="AB697" s="394"/>
      <c r="AC697" s="394"/>
      <c r="AD697" s="394"/>
      <c r="AE697" s="394"/>
      <c r="AF697" s="394"/>
      <c r="AG697" s="394"/>
      <c r="AH697" s="394"/>
      <c r="AI697" s="394"/>
      <c r="AJ697" s="394"/>
      <c r="AK697" s="381"/>
      <c r="AL697" s="408"/>
      <c r="AM697" s="385"/>
      <c r="AN697" s="475"/>
      <c r="AO697" s="395"/>
      <c r="AP697" s="395"/>
      <c r="AQ697" s="528"/>
      <c r="AR697" s="523">
        <v>100</v>
      </c>
      <c r="AS697" s="393">
        <v>100</v>
      </c>
      <c r="AT697" s="600">
        <v>197.57561000000001</v>
      </c>
      <c r="AU697" s="394">
        <v>64.994649999999993</v>
      </c>
      <c r="AV697" s="394"/>
      <c r="AW697" s="394">
        <f>1.28064+3.45623+2.70105</f>
        <v>7.4379200000000001</v>
      </c>
      <c r="AX697" s="394">
        <v>17.388169999999999</v>
      </c>
      <c r="AY697" s="394">
        <v>0</v>
      </c>
      <c r="AZ697" s="394">
        <v>0</v>
      </c>
      <c r="BA697" s="394">
        <v>44.19171</v>
      </c>
      <c r="BB697" s="394"/>
      <c r="BC697" s="394">
        <f>0.42688+3.45623+2.70105</f>
        <v>6.5841600000000007</v>
      </c>
      <c r="BD697" s="381" t="s">
        <v>167</v>
      </c>
      <c r="BE697" s="408" t="s">
        <v>175</v>
      </c>
      <c r="BF697" s="385"/>
      <c r="BG697" s="475">
        <v>452</v>
      </c>
      <c r="BH697" s="395"/>
      <c r="BI697" s="395">
        <f t="shared" ref="BI697" si="771">AT697/AR697</f>
        <v>1.9757561000000001</v>
      </c>
    </row>
    <row r="698" spans="1:61" s="358" customFormat="1" x14ac:dyDescent="0.3">
      <c r="A698" s="359"/>
      <c r="B698" s="378"/>
      <c r="C698" s="546"/>
      <c r="D698" s="360"/>
      <c r="E698" s="398"/>
      <c r="F698" s="523"/>
      <c r="G698" s="393"/>
      <c r="H698" s="394"/>
      <c r="I698" s="394"/>
      <c r="J698" s="394"/>
      <c r="K698" s="394"/>
      <c r="L698" s="394"/>
      <c r="M698" s="394"/>
      <c r="N698" s="394"/>
      <c r="O698" s="394"/>
      <c r="P698" s="394"/>
      <c r="Q698" s="394"/>
      <c r="R698" s="385"/>
      <c r="S698" s="385"/>
      <c r="T698" s="385"/>
      <c r="U698" s="475"/>
      <c r="V698" s="395"/>
      <c r="W698" s="395" t="e">
        <f t="shared" si="738"/>
        <v>#DIV/0!</v>
      </c>
      <c r="X698" s="398"/>
      <c r="Y698" s="523"/>
      <c r="Z698" s="393"/>
      <c r="AA698" s="394"/>
      <c r="AB698" s="394"/>
      <c r="AC698" s="394"/>
      <c r="AD698" s="394"/>
      <c r="AE698" s="394"/>
      <c r="AF698" s="394"/>
      <c r="AG698" s="394"/>
      <c r="AH698" s="394"/>
      <c r="AI698" s="394"/>
      <c r="AJ698" s="394"/>
      <c r="AK698" s="385"/>
      <c r="AL698" s="385"/>
      <c r="AM698" s="385"/>
      <c r="AN698" s="475"/>
      <c r="AO698" s="395"/>
      <c r="AP698" s="395" t="e">
        <f t="shared" si="740"/>
        <v>#DIV/0!</v>
      </c>
      <c r="AQ698" s="398"/>
      <c r="AR698" s="523"/>
      <c r="AS698" s="393"/>
      <c r="AT698" s="394"/>
      <c r="AU698" s="394"/>
      <c r="AV698" s="394"/>
      <c r="AW698" s="394"/>
      <c r="AX698" s="394"/>
      <c r="AY698" s="394"/>
      <c r="AZ698" s="394"/>
      <c r="BA698" s="394"/>
      <c r="BB698" s="394"/>
      <c r="BC698" s="394"/>
      <c r="BD698" s="385"/>
      <c r="BE698" s="385"/>
      <c r="BF698" s="385"/>
      <c r="BG698" s="475"/>
      <c r="BH698" s="395"/>
      <c r="BI698" s="395" t="e">
        <f t="shared" si="742"/>
        <v>#DIV/0!</v>
      </c>
    </row>
    <row r="699" spans="1:61" s="358" customFormat="1" ht="24.75" customHeight="1" x14ac:dyDescent="0.3">
      <c r="A699" s="354" t="s">
        <v>4631</v>
      </c>
      <c r="B699" s="355" t="s">
        <v>234</v>
      </c>
      <c r="C699" s="587"/>
      <c r="D699" s="356">
        <v>6</v>
      </c>
      <c r="E699" s="389">
        <f t="shared" ref="E699:Q699" si="772">SUM(E700:E704)</f>
        <v>0</v>
      </c>
      <c r="F699" s="389">
        <f t="shared" si="772"/>
        <v>150</v>
      </c>
      <c r="G699" s="389">
        <f t="shared" si="772"/>
        <v>150</v>
      </c>
      <c r="H699" s="390">
        <f t="shared" si="772"/>
        <v>319.61263000000002</v>
      </c>
      <c r="I699" s="390">
        <f t="shared" si="772"/>
        <v>235.25379000000001</v>
      </c>
      <c r="J699" s="390">
        <f t="shared" si="772"/>
        <v>206.11099999999999</v>
      </c>
      <c r="K699" s="390">
        <f t="shared" si="772"/>
        <v>12.367599999999999</v>
      </c>
      <c r="L699" s="390">
        <f t="shared" si="772"/>
        <v>8.3818699999999993</v>
      </c>
      <c r="M699" s="390">
        <f t="shared" si="772"/>
        <v>0</v>
      </c>
      <c r="N699" s="390">
        <f t="shared" si="772"/>
        <v>0</v>
      </c>
      <c r="O699" s="390">
        <f t="shared" si="772"/>
        <v>27.77807</v>
      </c>
      <c r="P699" s="390">
        <f t="shared" si="772"/>
        <v>206.11099999999999</v>
      </c>
      <c r="Q699" s="390">
        <f t="shared" si="772"/>
        <v>9.8169599999999999</v>
      </c>
      <c r="R699" s="391"/>
      <c r="S699" s="391"/>
      <c r="T699" s="391"/>
      <c r="U699" s="474"/>
      <c r="V699" s="392"/>
      <c r="W699" s="392">
        <f t="shared" si="738"/>
        <v>2.1307508666666668</v>
      </c>
      <c r="X699" s="389">
        <f t="shared" ref="X699:AJ699" si="773">SUM(X700:X704)</f>
        <v>0</v>
      </c>
      <c r="Y699" s="389">
        <f t="shared" si="773"/>
        <v>165</v>
      </c>
      <c r="Z699" s="389">
        <f t="shared" si="773"/>
        <v>165</v>
      </c>
      <c r="AA699" s="390">
        <f t="shared" si="773"/>
        <v>329.07625000000002</v>
      </c>
      <c r="AB699" s="390">
        <f t="shared" si="773"/>
        <v>82.960189999999997</v>
      </c>
      <c r="AC699" s="390">
        <f t="shared" si="773"/>
        <v>0</v>
      </c>
      <c r="AD699" s="390">
        <f t="shared" si="773"/>
        <v>16.938800000000001</v>
      </c>
      <c r="AE699" s="390">
        <f t="shared" si="773"/>
        <v>43.32761</v>
      </c>
      <c r="AF699" s="390">
        <f t="shared" si="773"/>
        <v>0</v>
      </c>
      <c r="AG699" s="390">
        <f t="shared" si="773"/>
        <v>0</v>
      </c>
      <c r="AH699" s="390">
        <f t="shared" si="773"/>
        <v>77.886510000000001</v>
      </c>
      <c r="AI699" s="390">
        <f t="shared" si="773"/>
        <v>0</v>
      </c>
      <c r="AJ699" s="390">
        <f t="shared" si="773"/>
        <v>14.782120000000001</v>
      </c>
      <c r="AK699" s="391"/>
      <c r="AL699" s="391"/>
      <c r="AM699" s="391"/>
      <c r="AN699" s="474"/>
      <c r="AO699" s="392"/>
      <c r="AP699" s="392">
        <f t="shared" si="740"/>
        <v>1.9944015151515153</v>
      </c>
      <c r="AQ699" s="389">
        <f t="shared" ref="AQ699:BC699" si="774">SUM(AQ700:AQ704)</f>
        <v>0</v>
      </c>
      <c r="AR699" s="389">
        <f t="shared" si="774"/>
        <v>0</v>
      </c>
      <c r="AS699" s="389">
        <f t="shared" si="774"/>
        <v>0</v>
      </c>
      <c r="AT699" s="390">
        <f t="shared" si="774"/>
        <v>0</v>
      </c>
      <c r="AU699" s="390">
        <f t="shared" si="774"/>
        <v>0</v>
      </c>
      <c r="AV699" s="390">
        <f t="shared" si="774"/>
        <v>0</v>
      </c>
      <c r="AW699" s="390">
        <f t="shared" si="774"/>
        <v>0</v>
      </c>
      <c r="AX699" s="390">
        <f t="shared" si="774"/>
        <v>0</v>
      </c>
      <c r="AY699" s="390">
        <f t="shared" si="774"/>
        <v>0</v>
      </c>
      <c r="AZ699" s="390">
        <f t="shared" si="774"/>
        <v>0</v>
      </c>
      <c r="BA699" s="390">
        <f t="shared" si="774"/>
        <v>0</v>
      </c>
      <c r="BB699" s="390">
        <f t="shared" si="774"/>
        <v>0</v>
      </c>
      <c r="BC699" s="390">
        <f t="shared" si="774"/>
        <v>0</v>
      </c>
      <c r="BD699" s="391"/>
      <c r="BE699" s="391"/>
      <c r="BF699" s="391"/>
      <c r="BG699" s="474"/>
      <c r="BH699" s="392"/>
      <c r="BI699" s="392" t="e">
        <f t="shared" si="742"/>
        <v>#DIV/0!</v>
      </c>
    </row>
    <row r="700" spans="1:61" s="358" customFormat="1" ht="19.2" x14ac:dyDescent="0.3">
      <c r="A700" s="359" t="s">
        <v>178</v>
      </c>
      <c r="B700" s="537" t="s">
        <v>576</v>
      </c>
      <c r="C700" s="546" t="s">
        <v>445</v>
      </c>
      <c r="D700" s="360">
        <v>6</v>
      </c>
      <c r="E700" s="398"/>
      <c r="F700" s="523">
        <v>150</v>
      </c>
      <c r="G700" s="393">
        <v>150</v>
      </c>
      <c r="H700" s="542">
        <v>319.61263000000002</v>
      </c>
      <c r="I700" s="394">
        <v>235.25379000000001</v>
      </c>
      <c r="J700" s="394">
        <v>206.11099999999999</v>
      </c>
      <c r="K700" s="394">
        <f>8.54164+3.82596</f>
        <v>12.367599999999999</v>
      </c>
      <c r="L700" s="394">
        <v>8.3818699999999993</v>
      </c>
      <c r="M700" s="394">
        <v>0</v>
      </c>
      <c r="N700" s="394">
        <v>0</v>
      </c>
      <c r="O700" s="394">
        <v>27.77807</v>
      </c>
      <c r="P700" s="394">
        <v>206.11099999999999</v>
      </c>
      <c r="Q700" s="394">
        <f>8.54164+1.27532</f>
        <v>9.8169599999999999</v>
      </c>
      <c r="R700" s="381" t="s">
        <v>167</v>
      </c>
      <c r="S700" s="408" t="s">
        <v>175</v>
      </c>
      <c r="T700" s="385"/>
      <c r="U700" s="475">
        <v>319</v>
      </c>
      <c r="V700" s="395"/>
      <c r="W700" s="395">
        <f t="shared" si="738"/>
        <v>2.1307508666666668</v>
      </c>
      <c r="X700" s="398"/>
      <c r="Y700" s="523"/>
      <c r="Z700" s="393"/>
      <c r="AA700" s="542"/>
      <c r="AB700" s="394"/>
      <c r="AC700" s="394"/>
      <c r="AD700" s="394"/>
      <c r="AE700" s="394"/>
      <c r="AF700" s="394"/>
      <c r="AG700" s="394"/>
      <c r="AH700" s="394"/>
      <c r="AI700" s="394"/>
      <c r="AJ700" s="394"/>
      <c r="AK700" s="381"/>
      <c r="AL700" s="408"/>
      <c r="AM700" s="385"/>
      <c r="AN700" s="475"/>
      <c r="AO700" s="395"/>
      <c r="AP700" s="395" t="e">
        <f t="shared" si="740"/>
        <v>#DIV/0!</v>
      </c>
      <c r="AQ700" s="398"/>
      <c r="AR700" s="523"/>
      <c r="AS700" s="393"/>
      <c r="AT700" s="542"/>
      <c r="AU700" s="394"/>
      <c r="AV700" s="394"/>
      <c r="AW700" s="394"/>
      <c r="AX700" s="394"/>
      <c r="AY700" s="394"/>
      <c r="AZ700" s="394"/>
      <c r="BA700" s="394"/>
      <c r="BB700" s="394"/>
      <c r="BC700" s="394"/>
      <c r="BD700" s="381"/>
      <c r="BE700" s="408"/>
      <c r="BF700" s="385"/>
      <c r="BG700" s="475"/>
      <c r="BH700" s="395"/>
      <c r="BI700" s="395" t="e">
        <f t="shared" si="742"/>
        <v>#DIV/0!</v>
      </c>
    </row>
    <row r="701" spans="1:61" s="358" customFormat="1" ht="19.2" x14ac:dyDescent="0.3">
      <c r="A701" s="359" t="s">
        <v>4631</v>
      </c>
      <c r="B701" s="572" t="s">
        <v>2582</v>
      </c>
      <c r="C701" s="546" t="s">
        <v>2581</v>
      </c>
      <c r="D701" s="360">
        <v>6</v>
      </c>
      <c r="E701" s="398"/>
      <c r="F701" s="523"/>
      <c r="G701" s="393"/>
      <c r="H701" s="571"/>
      <c r="I701" s="394"/>
      <c r="J701" s="394"/>
      <c r="K701" s="394"/>
      <c r="L701" s="394"/>
      <c r="M701" s="394"/>
      <c r="N701" s="394"/>
      <c r="O701" s="394"/>
      <c r="P701" s="394"/>
      <c r="Q701" s="394"/>
      <c r="R701" s="381"/>
      <c r="S701" s="408"/>
      <c r="T701" s="385"/>
      <c r="U701" s="475"/>
      <c r="V701" s="395"/>
      <c r="W701" s="395"/>
      <c r="X701" s="398"/>
      <c r="Y701" s="523">
        <v>150</v>
      </c>
      <c r="Z701" s="393">
        <v>150</v>
      </c>
      <c r="AA701" s="571">
        <v>168.21476000000001</v>
      </c>
      <c r="AB701" s="394">
        <v>44.27646</v>
      </c>
      <c r="AC701" s="394"/>
      <c r="AD701" s="394">
        <f>5.67787+4.39074+1.64928+1.28064+0.04831</f>
        <v>13.046840000000001</v>
      </c>
      <c r="AE701" s="394">
        <v>21.751169999999998</v>
      </c>
      <c r="AF701" s="394">
        <v>0</v>
      </c>
      <c r="AG701" s="394">
        <v>0</v>
      </c>
      <c r="AH701" s="394">
        <v>39.259500000000003</v>
      </c>
      <c r="AI701" s="394"/>
      <c r="AJ701" s="394">
        <f>5.67787+4.39074+0.54976+0.42688+0.04831</f>
        <v>11.09356</v>
      </c>
      <c r="AK701" s="381" t="s">
        <v>167</v>
      </c>
      <c r="AL701" s="408" t="s">
        <v>175</v>
      </c>
      <c r="AM701" s="385"/>
      <c r="AN701" s="475">
        <v>458</v>
      </c>
      <c r="AO701" s="395"/>
      <c r="AP701" s="395">
        <f t="shared" si="740"/>
        <v>1.1214317333333335</v>
      </c>
      <c r="AQ701" s="398"/>
      <c r="AR701" s="523"/>
      <c r="AS701" s="393"/>
      <c r="AT701" s="571"/>
      <c r="AU701" s="394"/>
      <c r="AV701" s="394"/>
      <c r="AW701" s="394"/>
      <c r="AX701" s="394"/>
      <c r="AY701" s="394"/>
      <c r="AZ701" s="394"/>
      <c r="BA701" s="394"/>
      <c r="BB701" s="394"/>
      <c r="BC701" s="394"/>
      <c r="BD701" s="381"/>
      <c r="BE701" s="408"/>
      <c r="BF701" s="385"/>
      <c r="BG701" s="475"/>
      <c r="BH701" s="395"/>
      <c r="BI701" s="395" t="e">
        <f t="shared" si="742"/>
        <v>#DIV/0!</v>
      </c>
    </row>
    <row r="702" spans="1:61" s="358" customFormat="1" ht="19.2" x14ac:dyDescent="0.3">
      <c r="A702" s="359" t="s">
        <v>4631</v>
      </c>
      <c r="B702" s="572" t="s">
        <v>2588</v>
      </c>
      <c r="C702" s="546" t="s">
        <v>2587</v>
      </c>
      <c r="D702" s="360">
        <v>6</v>
      </c>
      <c r="E702" s="398"/>
      <c r="F702" s="523"/>
      <c r="G702" s="393"/>
      <c r="H702" s="571"/>
      <c r="I702" s="394"/>
      <c r="J702" s="394"/>
      <c r="K702" s="394"/>
      <c r="L702" s="394"/>
      <c r="M702" s="394"/>
      <c r="N702" s="394"/>
      <c r="O702" s="394"/>
      <c r="P702" s="394"/>
      <c r="Q702" s="394"/>
      <c r="R702" s="381"/>
      <c r="S702" s="408"/>
      <c r="T702" s="385"/>
      <c r="U702" s="475"/>
      <c r="V702" s="395"/>
      <c r="W702" s="395"/>
      <c r="X702" s="398"/>
      <c r="Y702" s="523">
        <v>15</v>
      </c>
      <c r="Z702" s="393">
        <v>15</v>
      </c>
      <c r="AA702" s="571">
        <v>160.86149</v>
      </c>
      <c r="AB702" s="394">
        <v>38.683729999999997</v>
      </c>
      <c r="AC702" s="394"/>
      <c r="AD702" s="394">
        <f>0.3051+3.58686</f>
        <v>3.8919600000000001</v>
      </c>
      <c r="AE702" s="394">
        <v>21.576440000000002</v>
      </c>
      <c r="AF702" s="394">
        <v>0</v>
      </c>
      <c r="AG702" s="394">
        <v>0</v>
      </c>
      <c r="AH702" s="394">
        <v>38.627009999999999</v>
      </c>
      <c r="AI702" s="394"/>
      <c r="AJ702" s="394">
        <f>0.1017+3.58686</f>
        <v>3.6885600000000003</v>
      </c>
      <c r="AK702" s="381" t="s">
        <v>167</v>
      </c>
      <c r="AL702" s="408" t="s">
        <v>175</v>
      </c>
      <c r="AM702" s="385"/>
      <c r="AN702" s="475">
        <v>462</v>
      </c>
      <c r="AO702" s="395"/>
      <c r="AP702" s="395">
        <f t="shared" si="740"/>
        <v>10.724099333333333</v>
      </c>
      <c r="AQ702" s="398"/>
      <c r="AR702" s="523"/>
      <c r="AS702" s="393"/>
      <c r="AT702" s="571"/>
      <c r="AU702" s="394"/>
      <c r="AV702" s="394"/>
      <c r="AW702" s="394"/>
      <c r="AX702" s="394"/>
      <c r="AY702" s="394"/>
      <c r="AZ702" s="394"/>
      <c r="BA702" s="394"/>
      <c r="BB702" s="394"/>
      <c r="BC702" s="394"/>
      <c r="BD702" s="381"/>
      <c r="BE702" s="408"/>
      <c r="BF702" s="385"/>
      <c r="BG702" s="475"/>
      <c r="BH702" s="395"/>
      <c r="BI702" s="395" t="e">
        <f t="shared" si="742"/>
        <v>#DIV/0!</v>
      </c>
    </row>
    <row r="703" spans="1:61" s="358" customFormat="1" x14ac:dyDescent="0.3">
      <c r="A703" s="359"/>
      <c r="B703" s="602"/>
      <c r="C703" s="548"/>
      <c r="D703" s="360">
        <v>6</v>
      </c>
      <c r="E703" s="528"/>
      <c r="F703" s="523"/>
      <c r="G703" s="393"/>
      <c r="H703" s="394"/>
      <c r="I703" s="394"/>
      <c r="J703" s="394"/>
      <c r="K703" s="394"/>
      <c r="L703" s="394"/>
      <c r="M703" s="394"/>
      <c r="N703" s="394"/>
      <c r="O703" s="394"/>
      <c r="P703" s="394"/>
      <c r="Q703" s="394"/>
      <c r="R703" s="381"/>
      <c r="S703" s="408"/>
      <c r="T703" s="385"/>
      <c r="U703" s="475"/>
      <c r="V703" s="395"/>
      <c r="W703" s="395"/>
      <c r="X703" s="528"/>
      <c r="Y703" s="523"/>
      <c r="Z703" s="393"/>
      <c r="AA703" s="394"/>
      <c r="AB703" s="394"/>
      <c r="AC703" s="394"/>
      <c r="AD703" s="394"/>
      <c r="AE703" s="394"/>
      <c r="AF703" s="394"/>
      <c r="AG703" s="394"/>
      <c r="AH703" s="394"/>
      <c r="AI703" s="394"/>
      <c r="AJ703" s="394"/>
      <c r="AK703" s="381"/>
      <c r="AL703" s="408"/>
      <c r="AM703" s="385"/>
      <c r="AN703" s="475"/>
      <c r="AO703" s="395"/>
      <c r="AP703" s="395"/>
      <c r="AQ703" s="528"/>
      <c r="AR703" s="523"/>
      <c r="AS703" s="393"/>
      <c r="AT703" s="600"/>
      <c r="AU703" s="394"/>
      <c r="AV703" s="394"/>
      <c r="AW703" s="394"/>
      <c r="AX703" s="394"/>
      <c r="AY703" s="394"/>
      <c r="AZ703" s="394"/>
      <c r="BA703" s="394"/>
      <c r="BB703" s="394"/>
      <c r="BC703" s="394"/>
      <c r="BD703" s="381"/>
      <c r="BE703" s="408"/>
      <c r="BF703" s="385"/>
      <c r="BG703" s="475"/>
      <c r="BH703" s="395"/>
      <c r="BI703" s="395" t="e">
        <f t="shared" si="742"/>
        <v>#DIV/0!</v>
      </c>
    </row>
    <row r="704" spans="1:61" s="358" customFormat="1" x14ac:dyDescent="0.3">
      <c r="A704" s="359"/>
      <c r="B704" s="378"/>
      <c r="C704" s="546"/>
      <c r="D704" s="360"/>
      <c r="E704" s="398"/>
      <c r="F704" s="523"/>
      <c r="G704" s="393"/>
      <c r="H704" s="394"/>
      <c r="I704" s="394"/>
      <c r="J704" s="394"/>
      <c r="K704" s="394"/>
      <c r="L704" s="394"/>
      <c r="M704" s="394"/>
      <c r="N704" s="394"/>
      <c r="O704" s="394"/>
      <c r="P704" s="394"/>
      <c r="Q704" s="394"/>
      <c r="R704" s="385"/>
      <c r="S704" s="385"/>
      <c r="T704" s="385"/>
      <c r="U704" s="475"/>
      <c r="V704" s="395"/>
      <c r="W704" s="395" t="e">
        <f t="shared" si="738"/>
        <v>#DIV/0!</v>
      </c>
      <c r="X704" s="398"/>
      <c r="Y704" s="523"/>
      <c r="Z704" s="393"/>
      <c r="AA704" s="394"/>
      <c r="AB704" s="394"/>
      <c r="AC704" s="394"/>
      <c r="AD704" s="394"/>
      <c r="AE704" s="394"/>
      <c r="AF704" s="394"/>
      <c r="AG704" s="394"/>
      <c r="AH704" s="394"/>
      <c r="AI704" s="394"/>
      <c r="AJ704" s="394"/>
      <c r="AK704" s="385"/>
      <c r="AL704" s="385"/>
      <c r="AM704" s="385"/>
      <c r="AN704" s="475"/>
      <c r="AO704" s="395"/>
      <c r="AP704" s="395" t="e">
        <f t="shared" si="740"/>
        <v>#DIV/0!</v>
      </c>
      <c r="AQ704" s="398"/>
      <c r="AR704" s="523"/>
      <c r="AS704" s="393"/>
      <c r="AT704" s="394"/>
      <c r="AU704" s="394"/>
      <c r="AV704" s="394"/>
      <c r="AW704" s="394"/>
      <c r="AX704" s="394"/>
      <c r="AY704" s="394"/>
      <c r="AZ704" s="394"/>
      <c r="BA704" s="394"/>
      <c r="BB704" s="394"/>
      <c r="BC704" s="394"/>
      <c r="BD704" s="385"/>
      <c r="BE704" s="385"/>
      <c r="BF704" s="385"/>
      <c r="BG704" s="475"/>
      <c r="BH704" s="395"/>
      <c r="BI704" s="395" t="e">
        <f t="shared" si="742"/>
        <v>#DIV/0!</v>
      </c>
    </row>
    <row r="705" spans="1:61" s="358" customFormat="1" ht="72" x14ac:dyDescent="0.3">
      <c r="A705" s="435" t="s">
        <v>6325</v>
      </c>
      <c r="B705" s="447" t="s">
        <v>6324</v>
      </c>
      <c r="C705" s="591"/>
      <c r="D705" s="436"/>
      <c r="E705" s="437">
        <f t="shared" ref="E705:Q705" si="775">E706+E712+E717+E725</f>
        <v>0</v>
      </c>
      <c r="F705" s="437">
        <f t="shared" si="775"/>
        <v>650</v>
      </c>
      <c r="G705" s="437">
        <f t="shared" si="775"/>
        <v>650</v>
      </c>
      <c r="H705" s="438">
        <f t="shared" si="775"/>
        <v>1260.8297</v>
      </c>
      <c r="I705" s="438">
        <f t="shared" si="775"/>
        <v>887.28936999999996</v>
      </c>
      <c r="J705" s="438">
        <f t="shared" si="775"/>
        <v>405.00377000000003</v>
      </c>
      <c r="K705" s="438">
        <f t="shared" si="775"/>
        <v>175.03636</v>
      </c>
      <c r="L705" s="438">
        <f t="shared" si="775"/>
        <v>67.61733000000001</v>
      </c>
      <c r="M705" s="438">
        <f t="shared" si="775"/>
        <v>0</v>
      </c>
      <c r="N705" s="438">
        <f t="shared" si="775"/>
        <v>0</v>
      </c>
      <c r="O705" s="438">
        <f t="shared" si="775"/>
        <v>116.49299999999999</v>
      </c>
      <c r="P705" s="438">
        <f t="shared" si="775"/>
        <v>405.00377000000003</v>
      </c>
      <c r="Q705" s="438">
        <f t="shared" si="775"/>
        <v>143.58804000000001</v>
      </c>
      <c r="R705" s="439"/>
      <c r="S705" s="439"/>
      <c r="T705" s="439"/>
      <c r="U705" s="478"/>
      <c r="V705" s="440"/>
      <c r="W705" s="440">
        <f t="shared" si="738"/>
        <v>1.939738</v>
      </c>
      <c r="X705" s="437">
        <f t="shared" ref="X705:AJ705" si="776">X706+X712+X717+X725</f>
        <v>0</v>
      </c>
      <c r="Y705" s="437">
        <f t="shared" si="776"/>
        <v>1845</v>
      </c>
      <c r="Z705" s="437">
        <f t="shared" si="776"/>
        <v>1845</v>
      </c>
      <c r="AA705" s="438">
        <f t="shared" si="776"/>
        <v>9507.6174300000002</v>
      </c>
      <c r="AB705" s="438">
        <f t="shared" si="776"/>
        <v>8549.4704700000002</v>
      </c>
      <c r="AC705" s="438">
        <f t="shared" si="776"/>
        <v>4181.7143500000002</v>
      </c>
      <c r="AD705" s="438">
        <f t="shared" si="776"/>
        <v>3012.51109</v>
      </c>
      <c r="AE705" s="438">
        <f t="shared" si="776"/>
        <v>222.72756999999999</v>
      </c>
      <c r="AF705" s="438">
        <f t="shared" si="776"/>
        <v>0</v>
      </c>
      <c r="AG705" s="438">
        <f t="shared" si="776"/>
        <v>0</v>
      </c>
      <c r="AH705" s="438">
        <f t="shared" si="776"/>
        <v>289.56155000000001</v>
      </c>
      <c r="AI705" s="438">
        <f t="shared" si="776"/>
        <v>4181.7143500000002</v>
      </c>
      <c r="AJ705" s="438">
        <f t="shared" si="776"/>
        <v>2933.2274200000002</v>
      </c>
      <c r="AK705" s="439"/>
      <c r="AL705" s="439"/>
      <c r="AM705" s="439"/>
      <c r="AN705" s="478"/>
      <c r="AO705" s="440"/>
      <c r="AP705" s="440">
        <f t="shared" si="740"/>
        <v>5.1531801788617884</v>
      </c>
      <c r="AQ705" s="437">
        <f t="shared" ref="AQ705:BC705" si="777">AQ706+AQ712+AQ717+AQ725</f>
        <v>0</v>
      </c>
      <c r="AR705" s="437">
        <f t="shared" si="777"/>
        <v>658</v>
      </c>
      <c r="AS705" s="437">
        <f t="shared" si="777"/>
        <v>658</v>
      </c>
      <c r="AT705" s="438">
        <f t="shared" si="777"/>
        <v>3948.9604199999994</v>
      </c>
      <c r="AU705" s="438">
        <f t="shared" si="777"/>
        <v>3616.9283399999999</v>
      </c>
      <c r="AV705" s="438">
        <f t="shared" si="777"/>
        <v>1483.0746300000001</v>
      </c>
      <c r="AW705" s="438">
        <f t="shared" si="777"/>
        <v>2012.53</v>
      </c>
      <c r="AX705" s="438">
        <f t="shared" si="777"/>
        <v>59.699339999999992</v>
      </c>
      <c r="AY705" s="438">
        <f t="shared" si="777"/>
        <v>0</v>
      </c>
      <c r="AZ705" s="438">
        <f t="shared" si="777"/>
        <v>0</v>
      </c>
      <c r="BA705" s="438">
        <f t="shared" si="777"/>
        <v>100.74038</v>
      </c>
      <c r="BB705" s="438">
        <f t="shared" si="777"/>
        <v>1483.0746300000001</v>
      </c>
      <c r="BC705" s="438">
        <f t="shared" si="777"/>
        <v>2012.5301999999999</v>
      </c>
      <c r="BD705" s="439"/>
      <c r="BE705" s="439"/>
      <c r="BF705" s="439"/>
      <c r="BG705" s="478"/>
      <c r="BH705" s="440"/>
      <c r="BI705" s="440">
        <f t="shared" si="742"/>
        <v>6.0014596048632214</v>
      </c>
    </row>
    <row r="706" spans="1:61" s="358" customFormat="1" ht="24.75" customHeight="1" x14ac:dyDescent="0.3">
      <c r="A706" s="354" t="s">
        <v>4632</v>
      </c>
      <c r="B706" s="355" t="s">
        <v>247</v>
      </c>
      <c r="C706" s="587"/>
      <c r="D706" s="356">
        <v>6</v>
      </c>
      <c r="E706" s="389">
        <f t="shared" ref="E706:Q706" si="778">SUM(E707:E711)</f>
        <v>0</v>
      </c>
      <c r="F706" s="389">
        <f t="shared" si="778"/>
        <v>0</v>
      </c>
      <c r="G706" s="389">
        <f t="shared" si="778"/>
        <v>0</v>
      </c>
      <c r="H706" s="390">
        <f t="shared" si="778"/>
        <v>179.49432999999999</v>
      </c>
      <c r="I706" s="390">
        <f t="shared" si="778"/>
        <v>109.52061</v>
      </c>
      <c r="J706" s="390">
        <f t="shared" si="778"/>
        <v>0</v>
      </c>
      <c r="K706" s="390">
        <f t="shared" si="778"/>
        <v>96.541429999999991</v>
      </c>
      <c r="L706" s="390">
        <f t="shared" si="778"/>
        <v>14.438610000000001</v>
      </c>
      <c r="M706" s="390">
        <f t="shared" si="778"/>
        <v>0</v>
      </c>
      <c r="N706" s="390">
        <f t="shared" si="778"/>
        <v>0</v>
      </c>
      <c r="O706" s="390">
        <f t="shared" si="778"/>
        <v>21.131989999999998</v>
      </c>
      <c r="P706" s="390">
        <f t="shared" si="778"/>
        <v>0</v>
      </c>
      <c r="Q706" s="390">
        <f t="shared" si="778"/>
        <v>96.541429999999991</v>
      </c>
      <c r="R706" s="391"/>
      <c r="S706" s="391"/>
      <c r="T706" s="391"/>
      <c r="U706" s="474"/>
      <c r="V706" s="392"/>
      <c r="W706" s="392" t="e">
        <f t="shared" si="738"/>
        <v>#DIV/0!</v>
      </c>
      <c r="X706" s="389">
        <f t="shared" ref="X706:AJ706" si="779">SUM(X707:X711)</f>
        <v>0</v>
      </c>
      <c r="Y706" s="389">
        <f t="shared" si="779"/>
        <v>300</v>
      </c>
      <c r="Z706" s="389">
        <f t="shared" si="779"/>
        <v>300</v>
      </c>
      <c r="AA706" s="390">
        <f t="shared" si="779"/>
        <v>1326.61113</v>
      </c>
      <c r="AB706" s="390">
        <f t="shared" si="779"/>
        <v>1111.7842000000001</v>
      </c>
      <c r="AC706" s="390">
        <f t="shared" si="779"/>
        <v>931.94875000000002</v>
      </c>
      <c r="AD706" s="390">
        <f t="shared" si="779"/>
        <v>41.222059999999999</v>
      </c>
      <c r="AE706" s="390">
        <f t="shared" si="779"/>
        <v>47.886780000000002</v>
      </c>
      <c r="AF706" s="390">
        <f t="shared" si="779"/>
        <v>0</v>
      </c>
      <c r="AG706" s="390">
        <f t="shared" si="779"/>
        <v>0</v>
      </c>
      <c r="AH706" s="390">
        <f t="shared" si="779"/>
        <v>64.928920000000005</v>
      </c>
      <c r="AI706" s="390">
        <f t="shared" si="779"/>
        <v>931.94875000000002</v>
      </c>
      <c r="AJ706" s="390">
        <f t="shared" si="779"/>
        <v>38.671420000000005</v>
      </c>
      <c r="AK706" s="391"/>
      <c r="AL706" s="391"/>
      <c r="AM706" s="391"/>
      <c r="AN706" s="474"/>
      <c r="AO706" s="392"/>
      <c r="AP706" s="392">
        <f t="shared" si="740"/>
        <v>4.4220370999999998</v>
      </c>
      <c r="AQ706" s="389">
        <f t="shared" ref="AQ706:BC706" si="780">SUM(AQ707:AQ711)</f>
        <v>0</v>
      </c>
      <c r="AR706" s="389">
        <f t="shared" si="780"/>
        <v>150</v>
      </c>
      <c r="AS706" s="389">
        <f t="shared" si="780"/>
        <v>150</v>
      </c>
      <c r="AT706" s="390">
        <f t="shared" si="780"/>
        <v>1464.93208</v>
      </c>
      <c r="AU706" s="390">
        <f t="shared" si="780"/>
        <v>1350.3318899999999</v>
      </c>
      <c r="AV706" s="390">
        <f t="shared" si="780"/>
        <v>365.09759000000003</v>
      </c>
      <c r="AW706" s="390">
        <f t="shared" si="780"/>
        <v>924.89832999999999</v>
      </c>
      <c r="AX706" s="390">
        <f t="shared" si="780"/>
        <v>22.952010000000001</v>
      </c>
      <c r="AY706" s="390">
        <f t="shared" si="780"/>
        <v>0</v>
      </c>
      <c r="AZ706" s="390">
        <f t="shared" si="780"/>
        <v>0</v>
      </c>
      <c r="BA706" s="390">
        <f t="shared" si="780"/>
        <v>36.024410000000003</v>
      </c>
      <c r="BB706" s="390">
        <f t="shared" si="780"/>
        <v>365.09759000000003</v>
      </c>
      <c r="BC706" s="390">
        <f t="shared" si="780"/>
        <v>924.89832999999999</v>
      </c>
      <c r="BD706" s="391"/>
      <c r="BE706" s="391"/>
      <c r="BF706" s="391"/>
      <c r="BG706" s="474"/>
      <c r="BH706" s="392"/>
      <c r="BI706" s="392">
        <f t="shared" si="742"/>
        <v>9.7662138666666678</v>
      </c>
    </row>
    <row r="707" spans="1:61" s="358" customFormat="1" ht="19.2" x14ac:dyDescent="0.3">
      <c r="A707" s="359" t="s">
        <v>178</v>
      </c>
      <c r="B707" s="540" t="s">
        <v>627</v>
      </c>
      <c r="C707" s="548" t="s">
        <v>503</v>
      </c>
      <c r="D707" s="360">
        <v>6</v>
      </c>
      <c r="E707" s="398"/>
      <c r="F707" s="523"/>
      <c r="G707" s="523"/>
      <c r="H707" s="542">
        <v>179.49432999999999</v>
      </c>
      <c r="I707" s="394">
        <v>109.52061</v>
      </c>
      <c r="J707" s="394"/>
      <c r="K707" s="394">
        <f>85.40866+11.13277</f>
        <v>96.541429999999991</v>
      </c>
      <c r="L707" s="394">
        <v>14.438610000000001</v>
      </c>
      <c r="M707" s="394">
        <v>0</v>
      </c>
      <c r="N707" s="394">
        <v>0</v>
      </c>
      <c r="O707" s="394">
        <v>21.131989999999998</v>
      </c>
      <c r="P707" s="394"/>
      <c r="Q707" s="394">
        <f>85.40866+11.13277</f>
        <v>96.541429999999991</v>
      </c>
      <c r="R707" s="381" t="s">
        <v>167</v>
      </c>
      <c r="S707" s="408" t="s">
        <v>175</v>
      </c>
      <c r="T707" s="385"/>
      <c r="U707" s="475">
        <v>322</v>
      </c>
      <c r="V707" s="395"/>
      <c r="W707" s="395" t="e">
        <f t="shared" si="738"/>
        <v>#DIV/0!</v>
      </c>
      <c r="X707" s="398"/>
      <c r="Y707" s="523"/>
      <c r="Z707" s="523"/>
      <c r="AA707" s="542"/>
      <c r="AB707" s="394"/>
      <c r="AC707" s="394"/>
      <c r="AD707" s="394"/>
      <c r="AE707" s="394"/>
      <c r="AF707" s="394"/>
      <c r="AG707" s="394"/>
      <c r="AH707" s="394"/>
      <c r="AI707" s="394"/>
      <c r="AJ707" s="394"/>
      <c r="AK707" s="381"/>
      <c r="AL707" s="408"/>
      <c r="AM707" s="385"/>
      <c r="AN707" s="475"/>
      <c r="AO707" s="395"/>
      <c r="AP707" s="395" t="e">
        <f t="shared" si="740"/>
        <v>#DIV/0!</v>
      </c>
      <c r="AQ707" s="398"/>
      <c r="AR707" s="523"/>
      <c r="AS707" s="523"/>
      <c r="AT707" s="542"/>
      <c r="AU707" s="394"/>
      <c r="AV707" s="394"/>
      <c r="AW707" s="394"/>
      <c r="AX707" s="394"/>
      <c r="AY707" s="394"/>
      <c r="AZ707" s="394"/>
      <c r="BA707" s="394"/>
      <c r="BB707" s="394"/>
      <c r="BC707" s="394"/>
      <c r="BD707" s="381"/>
      <c r="BE707" s="408"/>
      <c r="BF707" s="385"/>
      <c r="BG707" s="475"/>
      <c r="BH707" s="395"/>
      <c r="BI707" s="395" t="e">
        <f t="shared" si="742"/>
        <v>#DIV/0!</v>
      </c>
    </row>
    <row r="708" spans="1:61" s="358" customFormat="1" ht="19.2" x14ac:dyDescent="0.3">
      <c r="A708" s="359" t="s">
        <v>4632</v>
      </c>
      <c r="B708" s="579" t="s">
        <v>302</v>
      </c>
      <c r="C708" s="548" t="s">
        <v>2577</v>
      </c>
      <c r="D708" s="360">
        <v>6</v>
      </c>
      <c r="E708" s="398"/>
      <c r="F708" s="523"/>
      <c r="G708" s="523"/>
      <c r="H708" s="571"/>
      <c r="I708" s="394"/>
      <c r="J708" s="394"/>
      <c r="K708" s="394"/>
      <c r="L708" s="394"/>
      <c r="M708" s="394"/>
      <c r="N708" s="394"/>
      <c r="O708" s="394"/>
      <c r="P708" s="394"/>
      <c r="Q708" s="394"/>
      <c r="R708" s="381"/>
      <c r="S708" s="408"/>
      <c r="T708" s="385"/>
      <c r="U708" s="475"/>
      <c r="V708" s="395"/>
      <c r="W708" s="395"/>
      <c r="X708" s="398"/>
      <c r="Y708" s="523">
        <v>150</v>
      </c>
      <c r="Z708" s="523">
        <v>150</v>
      </c>
      <c r="AA708" s="571">
        <v>781.07725000000005</v>
      </c>
      <c r="AB708" s="394">
        <v>628.28638999999998</v>
      </c>
      <c r="AC708" s="394">
        <v>465.97438</v>
      </c>
      <c r="AD708" s="394">
        <f>3.82596+20.32166+11.13277</f>
        <v>35.280389999999997</v>
      </c>
      <c r="AE708" s="394">
        <v>33.895609999999998</v>
      </c>
      <c r="AF708" s="394">
        <v>0</v>
      </c>
      <c r="AG708" s="394">
        <v>0</v>
      </c>
      <c r="AH708" s="394">
        <v>46.663359999999997</v>
      </c>
      <c r="AI708" s="394">
        <v>465.97438</v>
      </c>
      <c r="AJ708" s="394">
        <f>1.27532+20.32166+11.13277</f>
        <v>32.729750000000003</v>
      </c>
      <c r="AK708" s="381" t="s">
        <v>167</v>
      </c>
      <c r="AL708" s="408" t="s">
        <v>175</v>
      </c>
      <c r="AM708" s="385"/>
      <c r="AN708" s="475">
        <v>466</v>
      </c>
      <c r="AO708" s="395"/>
      <c r="AP708" s="395">
        <f t="shared" si="740"/>
        <v>5.207181666666667</v>
      </c>
      <c r="AQ708" s="398"/>
      <c r="AR708" s="523"/>
      <c r="AS708" s="523"/>
      <c r="AT708" s="571"/>
      <c r="AU708" s="394"/>
      <c r="AV708" s="394"/>
      <c r="AW708" s="394"/>
      <c r="AX708" s="394"/>
      <c r="AY708" s="394"/>
      <c r="AZ708" s="394"/>
      <c r="BA708" s="394"/>
      <c r="BB708" s="394"/>
      <c r="BC708" s="394"/>
      <c r="BD708" s="381"/>
      <c r="BE708" s="408"/>
      <c r="BF708" s="385"/>
      <c r="BG708" s="475"/>
      <c r="BH708" s="395"/>
      <c r="BI708" s="395" t="e">
        <f t="shared" si="742"/>
        <v>#DIV/0!</v>
      </c>
    </row>
    <row r="709" spans="1:61" s="358" customFormat="1" ht="19.2" x14ac:dyDescent="0.3">
      <c r="A709" s="359" t="s">
        <v>4632</v>
      </c>
      <c r="B709" s="579" t="s">
        <v>2446</v>
      </c>
      <c r="C709" s="548" t="s">
        <v>2445</v>
      </c>
      <c r="D709" s="360">
        <v>6</v>
      </c>
      <c r="E709" s="398"/>
      <c r="F709" s="523"/>
      <c r="G709" s="523"/>
      <c r="H709" s="571"/>
      <c r="I709" s="394"/>
      <c r="J709" s="394"/>
      <c r="K709" s="394"/>
      <c r="L709" s="394"/>
      <c r="M709" s="394"/>
      <c r="N709" s="394"/>
      <c r="O709" s="394"/>
      <c r="P709" s="394"/>
      <c r="Q709" s="394"/>
      <c r="R709" s="381"/>
      <c r="S709" s="408"/>
      <c r="T709" s="385"/>
      <c r="U709" s="475"/>
      <c r="V709" s="395"/>
      <c r="W709" s="395"/>
      <c r="X709" s="398"/>
      <c r="Y709" s="523">
        <v>150</v>
      </c>
      <c r="Z709" s="523">
        <v>150</v>
      </c>
      <c r="AA709" s="571">
        <v>545.53387999999995</v>
      </c>
      <c r="AB709" s="394">
        <v>483.49781000000002</v>
      </c>
      <c r="AC709" s="394">
        <v>465.97437000000002</v>
      </c>
      <c r="AD709" s="394">
        <v>5.9416700000000002</v>
      </c>
      <c r="AE709" s="394">
        <v>13.99117</v>
      </c>
      <c r="AF709" s="394">
        <v>0</v>
      </c>
      <c r="AG709" s="394">
        <v>0</v>
      </c>
      <c r="AH709" s="394">
        <v>18.265560000000001</v>
      </c>
      <c r="AI709" s="394">
        <v>465.97437000000002</v>
      </c>
      <c r="AJ709" s="394">
        <v>5.9416700000000002</v>
      </c>
      <c r="AK709" s="381" t="s">
        <v>167</v>
      </c>
      <c r="AL709" s="408" t="s">
        <v>175</v>
      </c>
      <c r="AM709" s="385"/>
      <c r="AN709" s="475">
        <v>470</v>
      </c>
      <c r="AO709" s="395"/>
      <c r="AP709" s="395">
        <f t="shared" si="740"/>
        <v>3.6368925333333331</v>
      </c>
      <c r="AQ709" s="398"/>
      <c r="AR709" s="523"/>
      <c r="AS709" s="523"/>
      <c r="AT709" s="571"/>
      <c r="AU709" s="394"/>
      <c r="AV709" s="394"/>
      <c r="AW709" s="394"/>
      <c r="AX709" s="394"/>
      <c r="AY709" s="394"/>
      <c r="AZ709" s="394"/>
      <c r="BA709" s="394"/>
      <c r="BB709" s="394"/>
      <c r="BC709" s="394"/>
      <c r="BD709" s="381"/>
      <c r="BE709" s="408"/>
      <c r="BF709" s="385"/>
      <c r="BG709" s="475"/>
      <c r="BH709" s="395"/>
      <c r="BI709" s="395" t="e">
        <f t="shared" si="742"/>
        <v>#DIV/0!</v>
      </c>
    </row>
    <row r="710" spans="1:61" s="358" customFormat="1" ht="19.2" x14ac:dyDescent="0.3">
      <c r="A710" s="359" t="s">
        <v>178</v>
      </c>
      <c r="B710" s="602" t="s">
        <v>4758</v>
      </c>
      <c r="C710" s="618" t="s">
        <v>4760</v>
      </c>
      <c r="D710" s="360">
        <v>6</v>
      </c>
      <c r="E710" s="528"/>
      <c r="F710" s="523"/>
      <c r="G710" s="393"/>
      <c r="H710" s="394"/>
      <c r="I710" s="394"/>
      <c r="J710" s="394"/>
      <c r="K710" s="394"/>
      <c r="L710" s="394"/>
      <c r="M710" s="394"/>
      <c r="N710" s="394"/>
      <c r="O710" s="394"/>
      <c r="P710" s="394"/>
      <c r="Q710" s="394"/>
      <c r="R710" s="381"/>
      <c r="S710" s="408"/>
      <c r="T710" s="385"/>
      <c r="U710" s="475"/>
      <c r="V710" s="395"/>
      <c r="W710" s="395"/>
      <c r="X710" s="528"/>
      <c r="Y710" s="523"/>
      <c r="Z710" s="393"/>
      <c r="AA710" s="394"/>
      <c r="AB710" s="394"/>
      <c r="AC710" s="394"/>
      <c r="AD710" s="394"/>
      <c r="AE710" s="394"/>
      <c r="AF710" s="394"/>
      <c r="AG710" s="394"/>
      <c r="AH710" s="394"/>
      <c r="AI710" s="394"/>
      <c r="AJ710" s="394"/>
      <c r="AK710" s="381"/>
      <c r="AL710" s="408"/>
      <c r="AM710" s="385"/>
      <c r="AN710" s="475"/>
      <c r="AO710" s="395"/>
      <c r="AP710" s="395"/>
      <c r="AQ710" s="528"/>
      <c r="AR710" s="523">
        <v>150</v>
      </c>
      <c r="AS710" s="393">
        <v>150</v>
      </c>
      <c r="AT710" s="600">
        <v>1464.93208</v>
      </c>
      <c r="AU710" s="394">
        <v>1350.3318899999999</v>
      </c>
      <c r="AV710" s="394">
        <v>365.09759000000003</v>
      </c>
      <c r="AW710" s="394">
        <v>924.89832999999999</v>
      </c>
      <c r="AX710" s="394">
        <v>22.952010000000001</v>
      </c>
      <c r="AY710" s="394">
        <v>0</v>
      </c>
      <c r="AZ710" s="394">
        <v>0</v>
      </c>
      <c r="BA710" s="394">
        <v>36.024410000000003</v>
      </c>
      <c r="BB710" s="394">
        <v>365.09759000000003</v>
      </c>
      <c r="BC710" s="394">
        <v>924.89832999999999</v>
      </c>
      <c r="BD710" s="381" t="s">
        <v>167</v>
      </c>
      <c r="BE710" s="408" t="s">
        <v>175</v>
      </c>
      <c r="BF710" s="385"/>
      <c r="BG710" s="475">
        <v>454</v>
      </c>
      <c r="BH710" s="395"/>
      <c r="BI710" s="395">
        <f t="shared" si="742"/>
        <v>9.7662138666666678</v>
      </c>
    </row>
    <row r="711" spans="1:61" s="358" customFormat="1" x14ac:dyDescent="0.3">
      <c r="A711" s="359"/>
      <c r="B711" s="378"/>
      <c r="C711" s="546"/>
      <c r="D711" s="360"/>
      <c r="E711" s="398"/>
      <c r="F711" s="523"/>
      <c r="G711" s="393"/>
      <c r="H711" s="394"/>
      <c r="I711" s="394"/>
      <c r="J711" s="394"/>
      <c r="K711" s="394"/>
      <c r="L711" s="394"/>
      <c r="M711" s="394"/>
      <c r="N711" s="394"/>
      <c r="O711" s="394"/>
      <c r="P711" s="394"/>
      <c r="Q711" s="394"/>
      <c r="R711" s="385"/>
      <c r="S711" s="385"/>
      <c r="T711" s="385"/>
      <c r="U711" s="475"/>
      <c r="V711" s="395"/>
      <c r="W711" s="395" t="e">
        <f t="shared" si="738"/>
        <v>#DIV/0!</v>
      </c>
      <c r="X711" s="398"/>
      <c r="Y711" s="523"/>
      <c r="Z711" s="393"/>
      <c r="AA711" s="394"/>
      <c r="AB711" s="394"/>
      <c r="AC711" s="394"/>
      <c r="AD711" s="394"/>
      <c r="AE711" s="394"/>
      <c r="AF711" s="394"/>
      <c r="AG711" s="394"/>
      <c r="AH711" s="394"/>
      <c r="AI711" s="394"/>
      <c r="AJ711" s="394"/>
      <c r="AK711" s="385"/>
      <c r="AL711" s="385"/>
      <c r="AM711" s="385"/>
      <c r="AN711" s="475"/>
      <c r="AO711" s="395"/>
      <c r="AP711" s="395" t="e">
        <f t="shared" si="740"/>
        <v>#DIV/0!</v>
      </c>
      <c r="AQ711" s="398"/>
      <c r="AR711" s="523"/>
      <c r="AS711" s="393"/>
      <c r="AT711" s="394"/>
      <c r="AU711" s="394"/>
      <c r="AV711" s="394"/>
      <c r="AW711" s="394"/>
      <c r="AX711" s="394"/>
      <c r="AY711" s="394"/>
      <c r="AZ711" s="394"/>
      <c r="BA711" s="394"/>
      <c r="BB711" s="394"/>
      <c r="BC711" s="394"/>
      <c r="BD711" s="385"/>
      <c r="BE711" s="385"/>
      <c r="BF711" s="385"/>
      <c r="BG711" s="475"/>
      <c r="BH711" s="395"/>
      <c r="BI711" s="395" t="e">
        <f t="shared" si="742"/>
        <v>#DIV/0!</v>
      </c>
    </row>
    <row r="712" spans="1:61" s="358" customFormat="1" ht="24.75" customHeight="1" x14ac:dyDescent="0.3">
      <c r="A712" s="354" t="s">
        <v>6326</v>
      </c>
      <c r="B712" s="355" t="s">
        <v>248</v>
      </c>
      <c r="C712" s="587"/>
      <c r="D712" s="356">
        <v>6</v>
      </c>
      <c r="E712" s="389">
        <f t="shared" ref="E712:Q712" si="781">SUM(E713:E716)</f>
        <v>0</v>
      </c>
      <c r="F712" s="389">
        <f t="shared" si="781"/>
        <v>150</v>
      </c>
      <c r="G712" s="389">
        <f t="shared" si="781"/>
        <v>150</v>
      </c>
      <c r="H712" s="390">
        <f t="shared" si="781"/>
        <v>588.12138000000004</v>
      </c>
      <c r="I712" s="390">
        <f t="shared" si="781"/>
        <v>422.39499999999998</v>
      </c>
      <c r="J712" s="390">
        <f t="shared" si="781"/>
        <v>175.78577000000001</v>
      </c>
      <c r="K712" s="390">
        <f t="shared" si="781"/>
        <v>35.18459</v>
      </c>
      <c r="L712" s="390">
        <f t="shared" si="781"/>
        <v>27.467960000000001</v>
      </c>
      <c r="M712" s="390">
        <f t="shared" si="781"/>
        <v>0</v>
      </c>
      <c r="N712" s="390">
        <f t="shared" si="781"/>
        <v>0</v>
      </c>
      <c r="O712" s="390">
        <f t="shared" si="781"/>
        <v>52.597639999999998</v>
      </c>
      <c r="P712" s="390">
        <f t="shared" si="781"/>
        <v>175.78577000000001</v>
      </c>
      <c r="Q712" s="390">
        <f t="shared" si="781"/>
        <v>14.242229999999999</v>
      </c>
      <c r="R712" s="391"/>
      <c r="S712" s="391"/>
      <c r="T712" s="391"/>
      <c r="U712" s="474"/>
      <c r="V712" s="392"/>
      <c r="W712" s="392">
        <f t="shared" si="738"/>
        <v>3.9208092000000003</v>
      </c>
      <c r="X712" s="389">
        <f t="shared" ref="X712:AJ712" si="782">SUM(X713:X716)</f>
        <v>0</v>
      </c>
      <c r="Y712" s="389">
        <f t="shared" si="782"/>
        <v>0</v>
      </c>
      <c r="Z712" s="389">
        <f t="shared" si="782"/>
        <v>0</v>
      </c>
      <c r="AA712" s="390">
        <f t="shared" si="782"/>
        <v>0</v>
      </c>
      <c r="AB712" s="390">
        <f t="shared" si="782"/>
        <v>0</v>
      </c>
      <c r="AC712" s="390">
        <f t="shared" si="782"/>
        <v>0</v>
      </c>
      <c r="AD712" s="390">
        <f t="shared" si="782"/>
        <v>0</v>
      </c>
      <c r="AE712" s="390">
        <f t="shared" si="782"/>
        <v>0</v>
      </c>
      <c r="AF712" s="390">
        <f t="shared" si="782"/>
        <v>0</v>
      </c>
      <c r="AG712" s="390">
        <f t="shared" si="782"/>
        <v>0</v>
      </c>
      <c r="AH712" s="390">
        <f t="shared" si="782"/>
        <v>0</v>
      </c>
      <c r="AI712" s="390">
        <f t="shared" si="782"/>
        <v>0</v>
      </c>
      <c r="AJ712" s="390">
        <f t="shared" si="782"/>
        <v>0</v>
      </c>
      <c r="AK712" s="391"/>
      <c r="AL712" s="391"/>
      <c r="AM712" s="391"/>
      <c r="AN712" s="474"/>
      <c r="AO712" s="392"/>
      <c r="AP712" s="392" t="e">
        <f t="shared" si="740"/>
        <v>#DIV/0!</v>
      </c>
      <c r="AQ712" s="389">
        <f t="shared" ref="AQ712:BC712" si="783">SUM(AQ713:AQ716)</f>
        <v>0</v>
      </c>
      <c r="AR712" s="389">
        <f t="shared" si="783"/>
        <v>0</v>
      </c>
      <c r="AS712" s="389">
        <f t="shared" si="783"/>
        <v>0</v>
      </c>
      <c r="AT712" s="390">
        <f t="shared" si="783"/>
        <v>0</v>
      </c>
      <c r="AU712" s="390">
        <f t="shared" si="783"/>
        <v>0</v>
      </c>
      <c r="AV712" s="390">
        <f t="shared" si="783"/>
        <v>0</v>
      </c>
      <c r="AW712" s="390">
        <f t="shared" si="783"/>
        <v>0</v>
      </c>
      <c r="AX712" s="390">
        <f t="shared" si="783"/>
        <v>0</v>
      </c>
      <c r="AY712" s="390">
        <f t="shared" si="783"/>
        <v>0</v>
      </c>
      <c r="AZ712" s="390">
        <f t="shared" si="783"/>
        <v>0</v>
      </c>
      <c r="BA712" s="390">
        <f t="shared" si="783"/>
        <v>0</v>
      </c>
      <c r="BB712" s="390">
        <f t="shared" si="783"/>
        <v>0</v>
      </c>
      <c r="BC712" s="390">
        <f t="shared" si="783"/>
        <v>0</v>
      </c>
      <c r="BD712" s="391"/>
      <c r="BE712" s="391"/>
      <c r="BF712" s="391"/>
      <c r="BG712" s="474"/>
      <c r="BH712" s="392"/>
      <c r="BI712" s="392" t="e">
        <f t="shared" si="742"/>
        <v>#DIV/0!</v>
      </c>
    </row>
    <row r="713" spans="1:61" s="358" customFormat="1" ht="19.2" x14ac:dyDescent="0.3">
      <c r="A713" s="359" t="s">
        <v>178</v>
      </c>
      <c r="B713" s="537" t="s">
        <v>560</v>
      </c>
      <c r="C713" s="546" t="s">
        <v>425</v>
      </c>
      <c r="D713" s="360">
        <v>6</v>
      </c>
      <c r="E713" s="398"/>
      <c r="F713" s="523">
        <v>150</v>
      </c>
      <c r="G713" s="393">
        <v>150</v>
      </c>
      <c r="H713" s="542">
        <v>588.12138000000004</v>
      </c>
      <c r="I713" s="394">
        <v>422.39499999999998</v>
      </c>
      <c r="J713" s="394">
        <v>175.78577000000001</v>
      </c>
      <c r="K713" s="394">
        <f>11.11073+3.52368+20.55018</f>
        <v>35.18459</v>
      </c>
      <c r="L713" s="394">
        <v>27.467960000000001</v>
      </c>
      <c r="M713" s="394">
        <v>0</v>
      </c>
      <c r="N713" s="394">
        <v>0</v>
      </c>
      <c r="O713" s="394">
        <v>52.597639999999998</v>
      </c>
      <c r="P713" s="394">
        <v>175.78577000000001</v>
      </c>
      <c r="Q713" s="394">
        <f>11.11073+0.19576+2.93574</f>
        <v>14.242229999999999</v>
      </c>
      <c r="R713" s="381" t="s">
        <v>167</v>
      </c>
      <c r="S713" s="408" t="s">
        <v>175</v>
      </c>
      <c r="T713" s="385"/>
      <c r="U713" s="475">
        <v>325</v>
      </c>
      <c r="V713" s="395"/>
      <c r="W713" s="395">
        <f t="shared" si="738"/>
        <v>3.9208092000000003</v>
      </c>
      <c r="X713" s="398"/>
      <c r="Y713" s="523"/>
      <c r="Z713" s="393"/>
      <c r="AA713" s="542"/>
      <c r="AB713" s="394"/>
      <c r="AC713" s="394"/>
      <c r="AD713" s="394"/>
      <c r="AE713" s="394"/>
      <c r="AF713" s="394"/>
      <c r="AG713" s="394"/>
      <c r="AH713" s="394"/>
      <c r="AI713" s="394"/>
      <c r="AJ713" s="394"/>
      <c r="AK713" s="381"/>
      <c r="AL713" s="408"/>
      <c r="AM713" s="385"/>
      <c r="AN713" s="475"/>
      <c r="AO713" s="395"/>
      <c r="AP713" s="395" t="e">
        <f t="shared" si="740"/>
        <v>#DIV/0!</v>
      </c>
      <c r="AQ713" s="398"/>
      <c r="AR713" s="523"/>
      <c r="AS713" s="393"/>
      <c r="AT713" s="542"/>
      <c r="AU713" s="394"/>
      <c r="AV713" s="394"/>
      <c r="AW713" s="394"/>
      <c r="AX713" s="394"/>
      <c r="AY713" s="394"/>
      <c r="AZ713" s="394"/>
      <c r="BA713" s="394"/>
      <c r="BB713" s="394"/>
      <c r="BC713" s="394"/>
      <c r="BD713" s="381"/>
      <c r="BE713" s="408"/>
      <c r="BF713" s="385"/>
      <c r="BG713" s="475"/>
      <c r="BH713" s="395"/>
      <c r="BI713" s="395" t="e">
        <f t="shared" si="742"/>
        <v>#DIV/0!</v>
      </c>
    </row>
    <row r="714" spans="1:61" s="358" customFormat="1" x14ac:dyDescent="0.3">
      <c r="A714" s="359" t="s">
        <v>182</v>
      </c>
      <c r="B714" s="572"/>
      <c r="C714" s="546"/>
      <c r="D714" s="360"/>
      <c r="E714" s="398"/>
      <c r="F714" s="523"/>
      <c r="G714" s="393"/>
      <c r="H714" s="542"/>
      <c r="I714" s="394"/>
      <c r="J714" s="394"/>
      <c r="K714" s="394"/>
      <c r="L714" s="394"/>
      <c r="M714" s="394"/>
      <c r="N714" s="394"/>
      <c r="O714" s="394"/>
      <c r="P714" s="394"/>
      <c r="Q714" s="394"/>
      <c r="R714" s="381"/>
      <c r="S714" s="408"/>
      <c r="T714" s="385"/>
      <c r="U714" s="475"/>
      <c r="V714" s="395"/>
      <c r="W714" s="395"/>
      <c r="X714" s="398"/>
      <c r="Y714" s="523"/>
      <c r="Z714" s="393"/>
      <c r="AA714" s="571"/>
      <c r="AB714" s="394"/>
      <c r="AC714" s="394"/>
      <c r="AD714" s="394"/>
      <c r="AE714" s="394"/>
      <c r="AF714" s="394"/>
      <c r="AG714" s="394"/>
      <c r="AH714" s="394"/>
      <c r="AI714" s="394"/>
      <c r="AJ714" s="394"/>
      <c r="AK714" s="381"/>
      <c r="AL714" s="408"/>
      <c r="AM714" s="385"/>
      <c r="AN714" s="475"/>
      <c r="AO714" s="395"/>
      <c r="AP714" s="395" t="e">
        <f t="shared" si="740"/>
        <v>#DIV/0!</v>
      </c>
      <c r="AQ714" s="398"/>
      <c r="AR714" s="523"/>
      <c r="AS714" s="393"/>
      <c r="AT714" s="571"/>
      <c r="AU714" s="394"/>
      <c r="AV714" s="394"/>
      <c r="AW714" s="394"/>
      <c r="AX714" s="394"/>
      <c r="AY714" s="394"/>
      <c r="AZ714" s="394"/>
      <c r="BA714" s="394"/>
      <c r="BB714" s="394"/>
      <c r="BC714" s="394"/>
      <c r="BD714" s="381"/>
      <c r="BE714" s="408"/>
      <c r="BF714" s="385"/>
      <c r="BG714" s="475"/>
      <c r="BH714" s="395"/>
      <c r="BI714" s="395" t="e">
        <f t="shared" si="742"/>
        <v>#DIV/0!</v>
      </c>
    </row>
    <row r="715" spans="1:61" s="358" customFormat="1" x14ac:dyDescent="0.3">
      <c r="A715" s="359"/>
      <c r="B715" s="602"/>
      <c r="C715" s="548"/>
      <c r="D715" s="360"/>
      <c r="E715" s="528"/>
      <c r="F715" s="523"/>
      <c r="G715" s="393"/>
      <c r="H715" s="394"/>
      <c r="I715" s="394"/>
      <c r="J715" s="394"/>
      <c r="K715" s="394"/>
      <c r="L715" s="394"/>
      <c r="M715" s="394"/>
      <c r="N715" s="394"/>
      <c r="O715" s="394"/>
      <c r="P715" s="394"/>
      <c r="Q715" s="394"/>
      <c r="R715" s="381"/>
      <c r="S715" s="408"/>
      <c r="T715" s="385"/>
      <c r="U715" s="475"/>
      <c r="V715" s="395"/>
      <c r="W715" s="395"/>
      <c r="X715" s="528"/>
      <c r="Y715" s="523"/>
      <c r="Z715" s="393"/>
      <c r="AA715" s="394"/>
      <c r="AB715" s="394"/>
      <c r="AC715" s="394"/>
      <c r="AD715" s="394"/>
      <c r="AE715" s="394"/>
      <c r="AF715" s="394"/>
      <c r="AG715" s="394"/>
      <c r="AH715" s="394"/>
      <c r="AI715" s="394"/>
      <c r="AJ715" s="394"/>
      <c r="AK715" s="381"/>
      <c r="AL715" s="408"/>
      <c r="AM715" s="385"/>
      <c r="AN715" s="475"/>
      <c r="AO715" s="395"/>
      <c r="AP715" s="395"/>
      <c r="AQ715" s="528"/>
      <c r="AR715" s="523"/>
      <c r="AS715" s="393"/>
      <c r="AT715" s="600"/>
      <c r="AU715" s="394"/>
      <c r="AV715" s="394"/>
      <c r="AW715" s="394"/>
      <c r="AX715" s="394"/>
      <c r="AY715" s="394"/>
      <c r="AZ715" s="394"/>
      <c r="BA715" s="394"/>
      <c r="BB715" s="394"/>
      <c r="BC715" s="394"/>
      <c r="BD715" s="381"/>
      <c r="BE715" s="408"/>
      <c r="BF715" s="385"/>
      <c r="BG715" s="475"/>
      <c r="BH715" s="395"/>
      <c r="BI715" s="395" t="e">
        <f t="shared" si="742"/>
        <v>#DIV/0!</v>
      </c>
    </row>
    <row r="716" spans="1:61" s="358" customFormat="1" x14ac:dyDescent="0.3">
      <c r="A716" s="359"/>
      <c r="B716" s="378"/>
      <c r="C716" s="546"/>
      <c r="D716" s="360"/>
      <c r="E716" s="398"/>
      <c r="F716" s="523"/>
      <c r="G716" s="393"/>
      <c r="H716" s="394"/>
      <c r="I716" s="394"/>
      <c r="J716" s="394"/>
      <c r="K716" s="394"/>
      <c r="L716" s="394"/>
      <c r="M716" s="394"/>
      <c r="N716" s="394"/>
      <c r="O716" s="394"/>
      <c r="P716" s="394"/>
      <c r="Q716" s="394"/>
      <c r="R716" s="385"/>
      <c r="S716" s="385"/>
      <c r="T716" s="385"/>
      <c r="U716" s="475"/>
      <c r="V716" s="395"/>
      <c r="W716" s="395" t="e">
        <f t="shared" si="738"/>
        <v>#DIV/0!</v>
      </c>
      <c r="X716" s="398"/>
      <c r="Y716" s="523"/>
      <c r="Z716" s="393"/>
      <c r="AA716" s="394"/>
      <c r="AB716" s="394"/>
      <c r="AC716" s="394"/>
      <c r="AD716" s="394"/>
      <c r="AE716" s="394"/>
      <c r="AF716" s="394"/>
      <c r="AG716" s="394"/>
      <c r="AH716" s="394"/>
      <c r="AI716" s="394"/>
      <c r="AJ716" s="394"/>
      <c r="AK716" s="385"/>
      <c r="AL716" s="385"/>
      <c r="AM716" s="385"/>
      <c r="AN716" s="475"/>
      <c r="AO716" s="395"/>
      <c r="AP716" s="395" t="e">
        <f t="shared" si="740"/>
        <v>#DIV/0!</v>
      </c>
      <c r="AQ716" s="398"/>
      <c r="AR716" s="523"/>
      <c r="AS716" s="393"/>
      <c r="AT716" s="394"/>
      <c r="AU716" s="394"/>
      <c r="AV716" s="394"/>
      <c r="AW716" s="394"/>
      <c r="AX716" s="394"/>
      <c r="AY716" s="394"/>
      <c r="AZ716" s="394"/>
      <c r="BA716" s="394"/>
      <c r="BB716" s="394"/>
      <c r="BC716" s="394"/>
      <c r="BD716" s="385"/>
      <c r="BE716" s="385"/>
      <c r="BF716" s="385"/>
      <c r="BG716" s="475"/>
      <c r="BH716" s="395"/>
      <c r="BI716" s="395" t="e">
        <f t="shared" si="742"/>
        <v>#DIV/0!</v>
      </c>
    </row>
    <row r="717" spans="1:61" s="358" customFormat="1" ht="24.75" customHeight="1" x14ac:dyDescent="0.3">
      <c r="A717" s="354" t="s">
        <v>4634</v>
      </c>
      <c r="B717" s="355" t="s">
        <v>230</v>
      </c>
      <c r="C717" s="587"/>
      <c r="D717" s="356">
        <v>6</v>
      </c>
      <c r="E717" s="389">
        <f t="shared" ref="E717:Q717" si="784">SUM(E718:E724)</f>
        <v>0</v>
      </c>
      <c r="F717" s="389">
        <f t="shared" si="784"/>
        <v>500</v>
      </c>
      <c r="G717" s="389">
        <f t="shared" si="784"/>
        <v>500</v>
      </c>
      <c r="H717" s="390">
        <f t="shared" si="784"/>
        <v>493.21399000000002</v>
      </c>
      <c r="I717" s="390">
        <f t="shared" si="784"/>
        <v>355.37376</v>
      </c>
      <c r="J717" s="390">
        <f t="shared" si="784"/>
        <v>229.21799999999999</v>
      </c>
      <c r="K717" s="390">
        <f t="shared" si="784"/>
        <v>43.310340000000004</v>
      </c>
      <c r="L717" s="390">
        <f t="shared" si="784"/>
        <v>25.710760000000001</v>
      </c>
      <c r="M717" s="390">
        <f t="shared" si="784"/>
        <v>0</v>
      </c>
      <c r="N717" s="390">
        <f t="shared" si="784"/>
        <v>0</v>
      </c>
      <c r="O717" s="390">
        <f t="shared" si="784"/>
        <v>42.763370000000002</v>
      </c>
      <c r="P717" s="390">
        <f t="shared" si="784"/>
        <v>229.21799999999999</v>
      </c>
      <c r="Q717" s="390">
        <f t="shared" si="784"/>
        <v>32.804380000000002</v>
      </c>
      <c r="R717" s="391"/>
      <c r="S717" s="391"/>
      <c r="T717" s="391"/>
      <c r="U717" s="474"/>
      <c r="V717" s="392"/>
      <c r="W717" s="392">
        <f t="shared" si="738"/>
        <v>0.98642798000000009</v>
      </c>
      <c r="X717" s="389">
        <f>SUM(X718:X729)</f>
        <v>0</v>
      </c>
      <c r="Y717" s="389">
        <f t="shared" ref="Y717:AJ717" si="785">SUM(Y718:Y724)</f>
        <v>415</v>
      </c>
      <c r="Z717" s="389">
        <f t="shared" si="785"/>
        <v>415</v>
      </c>
      <c r="AA717" s="390">
        <f t="shared" si="785"/>
        <v>4750.9174199999998</v>
      </c>
      <c r="AB717" s="390">
        <f t="shared" si="785"/>
        <v>4257.5412999999999</v>
      </c>
      <c r="AC717" s="390">
        <f t="shared" si="785"/>
        <v>1604.6155999999999</v>
      </c>
      <c r="AD717" s="390">
        <f t="shared" si="785"/>
        <v>1519.2047399999999</v>
      </c>
      <c r="AE717" s="390">
        <f t="shared" si="785"/>
        <v>128.75954999999999</v>
      </c>
      <c r="AF717" s="390">
        <f t="shared" si="785"/>
        <v>0</v>
      </c>
      <c r="AG717" s="390">
        <f t="shared" si="785"/>
        <v>0</v>
      </c>
      <c r="AH717" s="390">
        <f t="shared" si="785"/>
        <v>145.79091</v>
      </c>
      <c r="AI717" s="390">
        <f t="shared" si="785"/>
        <v>1604.6155999999999</v>
      </c>
      <c r="AJ717" s="390">
        <f t="shared" si="785"/>
        <v>1490.6119099999999</v>
      </c>
      <c r="AK717" s="391"/>
      <c r="AL717" s="391"/>
      <c r="AM717" s="391"/>
      <c r="AN717" s="474"/>
      <c r="AO717" s="392"/>
      <c r="AP717" s="392">
        <f t="shared" si="740"/>
        <v>11.44799378313253</v>
      </c>
      <c r="AQ717" s="389">
        <f>SUM(AQ718:AQ724)</f>
        <v>0</v>
      </c>
      <c r="AR717" s="389">
        <f t="shared" ref="AR717:AS717" si="786">SUM(AR718:AR724)</f>
        <v>300</v>
      </c>
      <c r="AS717" s="389">
        <f t="shared" si="786"/>
        <v>300</v>
      </c>
      <c r="AT717" s="390">
        <f t="shared" ref="AT717:BC717" si="787">SUM(AT718:AT724)</f>
        <v>1935.3212799999999</v>
      </c>
      <c r="AU717" s="390">
        <f t="shared" si="787"/>
        <v>1782.2592299999999</v>
      </c>
      <c r="AV717" s="390">
        <f t="shared" si="787"/>
        <v>640.43466999999998</v>
      </c>
      <c r="AW717" s="390">
        <f t="shared" si="787"/>
        <v>1087.63167</v>
      </c>
      <c r="AX717" s="390">
        <f t="shared" si="787"/>
        <v>23.924679999999999</v>
      </c>
      <c r="AY717" s="390">
        <f t="shared" si="787"/>
        <v>0</v>
      </c>
      <c r="AZ717" s="390">
        <f t="shared" si="787"/>
        <v>0</v>
      </c>
      <c r="BA717" s="390">
        <f t="shared" si="787"/>
        <v>44.928669999999997</v>
      </c>
      <c r="BB717" s="390">
        <f t="shared" si="787"/>
        <v>640.43466999999998</v>
      </c>
      <c r="BC717" s="390">
        <f t="shared" si="787"/>
        <v>1087.6318699999999</v>
      </c>
      <c r="BD717" s="391"/>
      <c r="BE717" s="391"/>
      <c r="BF717" s="391"/>
      <c r="BG717" s="474"/>
      <c r="BH717" s="392"/>
      <c r="BI717" s="392">
        <f t="shared" si="742"/>
        <v>6.4510709333333329</v>
      </c>
    </row>
    <row r="718" spans="1:61" s="358" customFormat="1" ht="19.2" x14ac:dyDescent="0.3">
      <c r="A718" s="359" t="s">
        <v>178</v>
      </c>
      <c r="B718" s="537" t="s">
        <v>235</v>
      </c>
      <c r="C718" s="550" t="s">
        <v>454</v>
      </c>
      <c r="D718" s="360">
        <v>6</v>
      </c>
      <c r="E718" s="398"/>
      <c r="F718" s="523">
        <v>500</v>
      </c>
      <c r="G718" s="393">
        <v>500</v>
      </c>
      <c r="H718" s="542">
        <v>493.21399000000002</v>
      </c>
      <c r="I718" s="394">
        <v>355.37376</v>
      </c>
      <c r="J718" s="394">
        <v>229.21799999999999</v>
      </c>
      <c r="K718" s="394">
        <f>4.25472+11.11072+4.09187+2.41682+4.91862+3.98796+8.54167+3.98796</f>
        <v>43.310340000000004</v>
      </c>
      <c r="L718" s="394">
        <v>25.710760000000001</v>
      </c>
      <c r="M718" s="394">
        <v>0</v>
      </c>
      <c r="N718" s="394">
        <v>0</v>
      </c>
      <c r="O718" s="394">
        <v>42.763370000000002</v>
      </c>
      <c r="P718" s="394">
        <v>229.21799999999999</v>
      </c>
      <c r="Q718" s="394">
        <f>11.11072+0.20868+1.31667+4.09187+2.41682+2.45931+1.32932+8.54167+1.32932</f>
        <v>32.804380000000002</v>
      </c>
      <c r="R718" s="381" t="s">
        <v>167</v>
      </c>
      <c r="S718" s="408" t="s">
        <v>175</v>
      </c>
      <c r="T718" s="385"/>
      <c r="U718" s="475">
        <v>329</v>
      </c>
      <c r="V718" s="395"/>
      <c r="W718" s="395">
        <f t="shared" si="738"/>
        <v>0.98642798000000009</v>
      </c>
      <c r="X718" s="398"/>
      <c r="Y718" s="523"/>
      <c r="Z718" s="393"/>
      <c r="AA718" s="542"/>
      <c r="AB718" s="394"/>
      <c r="AC718" s="394"/>
      <c r="AD718" s="394"/>
      <c r="AE718" s="394"/>
      <c r="AF718" s="394"/>
      <c r="AG718" s="394"/>
      <c r="AH718" s="394"/>
      <c r="AI718" s="394"/>
      <c r="AJ718" s="394"/>
      <c r="AK718" s="381"/>
      <c r="AL718" s="408"/>
      <c r="AM718" s="385"/>
      <c r="AN718" s="475"/>
      <c r="AO718" s="395"/>
      <c r="AP718" s="395" t="e">
        <f t="shared" ref="AP718:AP768" si="788">AA718/Y718</f>
        <v>#DIV/0!</v>
      </c>
      <c r="AQ718" s="398"/>
      <c r="AR718" s="523"/>
      <c r="AS718" s="393"/>
      <c r="AT718" s="542"/>
      <c r="AU718" s="394"/>
      <c r="AV718" s="394"/>
      <c r="AW718" s="394"/>
      <c r="AX718" s="394"/>
      <c r="AY718" s="394"/>
      <c r="AZ718" s="394"/>
      <c r="BA718" s="394"/>
      <c r="BB718" s="394"/>
      <c r="BC718" s="394"/>
      <c r="BD718" s="381"/>
      <c r="BE718" s="408"/>
      <c r="BF718" s="385"/>
      <c r="BG718" s="475"/>
      <c r="BH718" s="395"/>
      <c r="BI718" s="395" t="e">
        <f t="shared" si="742"/>
        <v>#DIV/0!</v>
      </c>
    </row>
    <row r="719" spans="1:61" s="358" customFormat="1" ht="19.2" x14ac:dyDescent="0.3">
      <c r="A719" s="359" t="s">
        <v>4634</v>
      </c>
      <c r="B719" s="572" t="s">
        <v>254</v>
      </c>
      <c r="C719" s="550" t="s">
        <v>2447</v>
      </c>
      <c r="D719" s="360">
        <v>6</v>
      </c>
      <c r="E719" s="398"/>
      <c r="F719" s="523"/>
      <c r="G719" s="393"/>
      <c r="H719" s="571"/>
      <c r="I719" s="394"/>
      <c r="J719" s="394"/>
      <c r="K719" s="394"/>
      <c r="L719" s="394"/>
      <c r="M719" s="394"/>
      <c r="N719" s="394"/>
      <c r="O719" s="394"/>
      <c r="P719" s="394"/>
      <c r="Q719" s="394"/>
      <c r="R719" s="381"/>
      <c r="S719" s="408"/>
      <c r="T719" s="385"/>
      <c r="U719" s="475"/>
      <c r="V719" s="395"/>
      <c r="W719" s="395"/>
      <c r="X719" s="398"/>
      <c r="Y719" s="523">
        <v>150</v>
      </c>
      <c r="Z719" s="393">
        <v>150</v>
      </c>
      <c r="AA719" s="571">
        <v>1330.5974799999999</v>
      </c>
      <c r="AB719" s="394">
        <v>1251.5485799999999</v>
      </c>
      <c r="AC719" s="394">
        <v>433.46111999999999</v>
      </c>
      <c r="AD719" s="394">
        <v>4.9186199999999998</v>
      </c>
      <c r="AE719" s="394">
        <v>22.275680000000001</v>
      </c>
      <c r="AF719" s="394">
        <v>0</v>
      </c>
      <c r="AG719" s="394">
        <v>0</v>
      </c>
      <c r="AH719" s="394">
        <v>22.38992</v>
      </c>
      <c r="AI719" s="394">
        <v>433.46111999999999</v>
      </c>
      <c r="AJ719" s="394">
        <v>2.4593099999999999</v>
      </c>
      <c r="AK719" s="381" t="s">
        <v>167</v>
      </c>
      <c r="AL719" s="408" t="s">
        <v>175</v>
      </c>
      <c r="AM719" s="385"/>
      <c r="AN719" s="475">
        <v>473</v>
      </c>
      <c r="AO719" s="395"/>
      <c r="AP719" s="395">
        <f t="shared" si="788"/>
        <v>8.8706498666666658</v>
      </c>
      <c r="AQ719" s="398"/>
      <c r="AR719" s="523"/>
      <c r="AS719" s="393"/>
      <c r="AT719" s="571"/>
      <c r="AU719" s="394"/>
      <c r="AV719" s="394"/>
      <c r="AW719" s="394"/>
      <c r="AX719" s="394"/>
      <c r="AY719" s="394"/>
      <c r="AZ719" s="394"/>
      <c r="BA719" s="394"/>
      <c r="BB719" s="394"/>
      <c r="BC719" s="394"/>
      <c r="BD719" s="381"/>
      <c r="BE719" s="408"/>
      <c r="BF719" s="385"/>
      <c r="BG719" s="475"/>
      <c r="BH719" s="395"/>
      <c r="BI719" s="395" t="e">
        <f t="shared" si="742"/>
        <v>#DIV/0!</v>
      </c>
    </row>
    <row r="720" spans="1:61" s="358" customFormat="1" ht="19.2" x14ac:dyDescent="0.3">
      <c r="A720" s="359" t="s">
        <v>4634</v>
      </c>
      <c r="B720" s="572" t="s">
        <v>2458</v>
      </c>
      <c r="C720" s="550" t="s">
        <v>2457</v>
      </c>
      <c r="D720" s="360">
        <v>6</v>
      </c>
      <c r="E720" s="398"/>
      <c r="F720" s="523"/>
      <c r="G720" s="393"/>
      <c r="H720" s="571"/>
      <c r="I720" s="394"/>
      <c r="J720" s="394"/>
      <c r="K720" s="394"/>
      <c r="L720" s="394"/>
      <c r="M720" s="394"/>
      <c r="N720" s="394"/>
      <c r="O720" s="394"/>
      <c r="P720" s="394"/>
      <c r="Q720" s="394"/>
      <c r="R720" s="381"/>
      <c r="S720" s="408"/>
      <c r="T720" s="385"/>
      <c r="U720" s="475"/>
      <c r="V720" s="395"/>
      <c r="W720" s="395"/>
      <c r="X720" s="398"/>
      <c r="Y720" s="523">
        <v>100</v>
      </c>
      <c r="Z720" s="393">
        <v>100</v>
      </c>
      <c r="AA720" s="571">
        <v>758.22639000000004</v>
      </c>
      <c r="AB720" s="394">
        <v>551.03115000000003</v>
      </c>
      <c r="AC720" s="394">
        <v>204.53065000000001</v>
      </c>
      <c r="AD720" s="394">
        <f>9.83724+14.34744+1.42788+12.4256+143.49561</f>
        <v>181.53377</v>
      </c>
      <c r="AE720" s="394">
        <v>60.731960000000001</v>
      </c>
      <c r="AF720" s="394">
        <v>0</v>
      </c>
      <c r="AG720" s="394">
        <v>0</v>
      </c>
      <c r="AH720" s="394">
        <v>60.465560000000004</v>
      </c>
      <c r="AI720" s="394">
        <v>204.53065000000001</v>
      </c>
      <c r="AJ720" s="394">
        <f>2.45931+3.58686+0.47596+12.4256+143.49561</f>
        <v>162.44334000000001</v>
      </c>
      <c r="AK720" s="381" t="s">
        <v>167</v>
      </c>
      <c r="AL720" s="408" t="s">
        <v>175</v>
      </c>
      <c r="AM720" s="385"/>
      <c r="AN720" s="475">
        <v>476</v>
      </c>
      <c r="AO720" s="395"/>
      <c r="AP720" s="395">
        <f t="shared" si="788"/>
        <v>7.5822639000000001</v>
      </c>
      <c r="AQ720" s="398"/>
      <c r="AR720" s="523"/>
      <c r="AS720" s="393"/>
      <c r="AT720" s="571"/>
      <c r="AU720" s="394"/>
      <c r="AV720" s="394"/>
      <c r="AW720" s="394"/>
      <c r="AX720" s="394"/>
      <c r="AY720" s="394"/>
      <c r="AZ720" s="394"/>
      <c r="BA720" s="394"/>
      <c r="BB720" s="394"/>
      <c r="BC720" s="394"/>
      <c r="BD720" s="381"/>
      <c r="BE720" s="408"/>
      <c r="BF720" s="385"/>
      <c r="BG720" s="475"/>
      <c r="BH720" s="395"/>
      <c r="BI720" s="395" t="e">
        <f t="shared" si="742"/>
        <v>#DIV/0!</v>
      </c>
    </row>
    <row r="721" spans="1:61" s="358" customFormat="1" ht="19.2" x14ac:dyDescent="0.3">
      <c r="A721" s="359" t="s">
        <v>4634</v>
      </c>
      <c r="B721" s="572" t="s">
        <v>2450</v>
      </c>
      <c r="C721" s="550" t="s">
        <v>2449</v>
      </c>
      <c r="D721" s="360">
        <v>6</v>
      </c>
      <c r="E721" s="398"/>
      <c r="F721" s="523"/>
      <c r="G721" s="393"/>
      <c r="H721" s="571"/>
      <c r="I721" s="394"/>
      <c r="J721" s="394"/>
      <c r="K721" s="394"/>
      <c r="L721" s="394"/>
      <c r="M721" s="394"/>
      <c r="N721" s="394"/>
      <c r="O721" s="394"/>
      <c r="P721" s="394"/>
      <c r="Q721" s="394"/>
      <c r="R721" s="381"/>
      <c r="S721" s="408"/>
      <c r="T721" s="385"/>
      <c r="U721" s="475"/>
      <c r="V721" s="395"/>
      <c r="W721" s="395"/>
      <c r="X721" s="398"/>
      <c r="Y721" s="523">
        <v>150</v>
      </c>
      <c r="Z721" s="393">
        <v>150</v>
      </c>
      <c r="AA721" s="571">
        <v>2135.94391</v>
      </c>
      <c r="AB721" s="394">
        <v>2027.51196</v>
      </c>
      <c r="AC721" s="394">
        <v>626.53499999999997</v>
      </c>
      <c r="AD721" s="394">
        <v>1318.66617</v>
      </c>
      <c r="AE721" s="394">
        <v>28.406410000000001</v>
      </c>
      <c r="AF721" s="394">
        <v>0</v>
      </c>
      <c r="AG721" s="394">
        <v>0</v>
      </c>
      <c r="AH721" s="394">
        <v>31.73771</v>
      </c>
      <c r="AI721" s="394">
        <v>626.53499999999997</v>
      </c>
      <c r="AJ721" s="394">
        <v>1318.66617</v>
      </c>
      <c r="AK721" s="381" t="s">
        <v>167</v>
      </c>
      <c r="AL721" s="408" t="s">
        <v>175</v>
      </c>
      <c r="AM721" s="385"/>
      <c r="AN721" s="475">
        <v>481</v>
      </c>
      <c r="AO721" s="395"/>
      <c r="AP721" s="395">
        <f t="shared" si="788"/>
        <v>14.239626066666666</v>
      </c>
      <c r="AQ721" s="398"/>
      <c r="AR721" s="523"/>
      <c r="AS721" s="393"/>
      <c r="AT721" s="571"/>
      <c r="AU721" s="394"/>
      <c r="AV721" s="394"/>
      <c r="AW721" s="394"/>
      <c r="AX721" s="394"/>
      <c r="AY721" s="394"/>
      <c r="AZ721" s="394"/>
      <c r="BA721" s="394"/>
      <c r="BB721" s="394"/>
      <c r="BC721" s="394"/>
      <c r="BD721" s="381"/>
      <c r="BE721" s="408"/>
      <c r="BF721" s="385"/>
      <c r="BG721" s="475"/>
      <c r="BH721" s="395"/>
      <c r="BI721" s="395" t="e">
        <f t="shared" si="742"/>
        <v>#DIV/0!</v>
      </c>
    </row>
    <row r="722" spans="1:61" s="358" customFormat="1" ht="19.2" x14ac:dyDescent="0.3">
      <c r="A722" s="359" t="s">
        <v>4634</v>
      </c>
      <c r="B722" s="572" t="s">
        <v>2614</v>
      </c>
      <c r="C722" s="550" t="s">
        <v>2613</v>
      </c>
      <c r="D722" s="360">
        <v>6</v>
      </c>
      <c r="E722" s="398"/>
      <c r="F722" s="523"/>
      <c r="G722" s="393"/>
      <c r="H722" s="571"/>
      <c r="I722" s="394"/>
      <c r="J722" s="394"/>
      <c r="K722" s="394"/>
      <c r="L722" s="394"/>
      <c r="M722" s="394"/>
      <c r="N722" s="394"/>
      <c r="O722" s="394"/>
      <c r="P722" s="394"/>
      <c r="Q722" s="394"/>
      <c r="R722" s="381"/>
      <c r="S722" s="408"/>
      <c r="T722" s="385"/>
      <c r="U722" s="475"/>
      <c r="V722" s="395"/>
      <c r="W722" s="395"/>
      <c r="X722" s="398"/>
      <c r="Y722" s="523">
        <v>15</v>
      </c>
      <c r="Z722" s="393">
        <v>15</v>
      </c>
      <c r="AA722" s="571">
        <v>526.14963999999998</v>
      </c>
      <c r="AB722" s="394">
        <v>427.44961000000001</v>
      </c>
      <c r="AC722" s="394">
        <v>340.08882999999997</v>
      </c>
      <c r="AD722" s="394">
        <f>6.91246+7.17372</f>
        <v>14.086180000000001</v>
      </c>
      <c r="AE722" s="394">
        <v>17.345500000000001</v>
      </c>
      <c r="AF722" s="394">
        <v>0</v>
      </c>
      <c r="AG722" s="394">
        <v>0</v>
      </c>
      <c r="AH722" s="394">
        <v>31.19772</v>
      </c>
      <c r="AI722" s="394">
        <v>340.08882999999997</v>
      </c>
      <c r="AJ722" s="394">
        <f>3.45623+3.58686</f>
        <v>7.0430900000000003</v>
      </c>
      <c r="AK722" s="381" t="s">
        <v>167</v>
      </c>
      <c r="AL722" s="408" t="s">
        <v>175</v>
      </c>
      <c r="AM722" s="385"/>
      <c r="AN722" s="475">
        <v>484</v>
      </c>
      <c r="AO722" s="395"/>
      <c r="AP722" s="395">
        <f t="shared" si="788"/>
        <v>35.076642666666665</v>
      </c>
      <c r="AQ722" s="398"/>
      <c r="AR722" s="523"/>
      <c r="AS722" s="393"/>
      <c r="AT722" s="571"/>
      <c r="AU722" s="394"/>
      <c r="AV722" s="394"/>
      <c r="AW722" s="394"/>
      <c r="AX722" s="394"/>
      <c r="AY722" s="394"/>
      <c r="AZ722" s="394"/>
      <c r="BA722" s="394"/>
      <c r="BB722" s="394"/>
      <c r="BC722" s="394"/>
      <c r="BD722" s="381"/>
      <c r="BE722" s="408"/>
      <c r="BF722" s="385"/>
      <c r="BG722" s="475"/>
      <c r="BH722" s="395"/>
      <c r="BI722" s="395" t="e">
        <f t="shared" si="742"/>
        <v>#DIV/0!</v>
      </c>
    </row>
    <row r="723" spans="1:61" s="358" customFormat="1" ht="19.2" x14ac:dyDescent="0.3">
      <c r="A723" s="359" t="s">
        <v>178</v>
      </c>
      <c r="B723" s="602" t="s">
        <v>314</v>
      </c>
      <c r="C723" s="548" t="s">
        <v>4845</v>
      </c>
      <c r="D723" s="360">
        <v>0.4</v>
      </c>
      <c r="E723" s="528"/>
      <c r="F723" s="523"/>
      <c r="G723" s="393"/>
      <c r="H723" s="394"/>
      <c r="I723" s="394"/>
      <c r="J723" s="394"/>
      <c r="K723" s="394"/>
      <c r="L723" s="394"/>
      <c r="M723" s="394"/>
      <c r="N723" s="394"/>
      <c r="O723" s="394"/>
      <c r="P723" s="394"/>
      <c r="Q723" s="394"/>
      <c r="R723" s="381"/>
      <c r="S723" s="408"/>
      <c r="T723" s="385"/>
      <c r="U723" s="475"/>
      <c r="V723" s="395"/>
      <c r="W723" s="395"/>
      <c r="X723" s="528"/>
      <c r="Y723" s="523"/>
      <c r="Z723" s="393"/>
      <c r="AA723" s="394"/>
      <c r="AB723" s="394"/>
      <c r="AC723" s="394"/>
      <c r="AD723" s="394"/>
      <c r="AE723" s="394"/>
      <c r="AF723" s="394"/>
      <c r="AG723" s="394"/>
      <c r="AH723" s="394"/>
      <c r="AI723" s="394"/>
      <c r="AJ723" s="394"/>
      <c r="AK723" s="381"/>
      <c r="AL723" s="408"/>
      <c r="AM723" s="385"/>
      <c r="AN723" s="475"/>
      <c r="AO723" s="395"/>
      <c r="AP723" s="395"/>
      <c r="AQ723" s="528"/>
      <c r="AR723" s="523">
        <v>300</v>
      </c>
      <c r="AS723" s="393">
        <v>300</v>
      </c>
      <c r="AT723" s="600">
        <v>1935.3212799999999</v>
      </c>
      <c r="AU723" s="394">
        <v>1782.2592299999999</v>
      </c>
      <c r="AV723" s="394">
        <v>640.43466999999998</v>
      </c>
      <c r="AW723" s="394">
        <v>1087.63167</v>
      </c>
      <c r="AX723" s="394">
        <v>23.924679999999999</v>
      </c>
      <c r="AY723" s="394">
        <v>0</v>
      </c>
      <c r="AZ723" s="394">
        <v>0</v>
      </c>
      <c r="BA723" s="394">
        <v>44.928669999999997</v>
      </c>
      <c r="BB723" s="394">
        <v>640.43466999999998</v>
      </c>
      <c r="BC723" s="394">
        <v>1087.6318699999999</v>
      </c>
      <c r="BD723" s="381" t="s">
        <v>167</v>
      </c>
      <c r="BE723" s="408" t="s">
        <v>175</v>
      </c>
      <c r="BF723" s="385"/>
      <c r="BG723" s="475">
        <v>458</v>
      </c>
      <c r="BH723" s="395"/>
      <c r="BI723" s="395">
        <f t="shared" ref="BI723" si="789">AT723/AR723</f>
        <v>6.4510709333333329</v>
      </c>
    </row>
    <row r="724" spans="1:61" s="358" customFormat="1" x14ac:dyDescent="0.3">
      <c r="A724" s="359"/>
      <c r="B724" s="378"/>
      <c r="C724" s="550"/>
      <c r="D724" s="360"/>
      <c r="E724" s="398"/>
      <c r="F724" s="523"/>
      <c r="G724" s="393"/>
      <c r="H724" s="394"/>
      <c r="I724" s="394"/>
      <c r="J724" s="394"/>
      <c r="K724" s="394"/>
      <c r="L724" s="394"/>
      <c r="M724" s="394"/>
      <c r="N724" s="394"/>
      <c r="O724" s="394"/>
      <c r="P724" s="394"/>
      <c r="Q724" s="394"/>
      <c r="R724" s="381"/>
      <c r="S724" s="408"/>
      <c r="T724" s="385"/>
      <c r="U724" s="475"/>
      <c r="V724" s="395"/>
      <c r="W724" s="395"/>
      <c r="X724" s="398"/>
      <c r="Y724" s="523"/>
      <c r="Z724" s="393"/>
      <c r="AA724" s="394"/>
      <c r="AB724" s="394"/>
      <c r="AC724" s="394"/>
      <c r="AD724" s="394"/>
      <c r="AE724" s="394"/>
      <c r="AF724" s="394"/>
      <c r="AG724" s="394"/>
      <c r="AH724" s="394"/>
      <c r="AI724" s="394"/>
      <c r="AJ724" s="394"/>
      <c r="AK724" s="381"/>
      <c r="AL724" s="408"/>
      <c r="AM724" s="385"/>
      <c r="AN724" s="475"/>
      <c r="AO724" s="395"/>
      <c r="AP724" s="395" t="e">
        <f t="shared" si="788"/>
        <v>#DIV/0!</v>
      </c>
      <c r="AQ724" s="398"/>
      <c r="AR724" s="523"/>
      <c r="AS724" s="393"/>
      <c r="AT724" s="394"/>
      <c r="AU724" s="394"/>
      <c r="AV724" s="394"/>
      <c r="AW724" s="394"/>
      <c r="AX724" s="394"/>
      <c r="AY724" s="394"/>
      <c r="AZ724" s="394"/>
      <c r="BA724" s="394"/>
      <c r="BB724" s="394"/>
      <c r="BC724" s="394"/>
      <c r="BD724" s="381"/>
      <c r="BE724" s="408"/>
      <c r="BF724" s="385"/>
      <c r="BG724" s="475"/>
      <c r="BH724" s="395"/>
      <c r="BI724" s="395" t="e">
        <f t="shared" si="742"/>
        <v>#DIV/0!</v>
      </c>
    </row>
    <row r="725" spans="1:61" s="358" customFormat="1" ht="24.75" customHeight="1" x14ac:dyDescent="0.3">
      <c r="A725" s="354" t="s">
        <v>4634</v>
      </c>
      <c r="B725" s="355" t="s">
        <v>2615</v>
      </c>
      <c r="C725" s="587"/>
      <c r="D725" s="356">
        <v>6</v>
      </c>
      <c r="E725" s="389">
        <f t="shared" ref="E725:Q725" si="790">SUM(E726:E729)</f>
        <v>0</v>
      </c>
      <c r="F725" s="389">
        <f t="shared" si="790"/>
        <v>0</v>
      </c>
      <c r="G725" s="389">
        <f t="shared" si="790"/>
        <v>0</v>
      </c>
      <c r="H725" s="390">
        <f t="shared" si="790"/>
        <v>0</v>
      </c>
      <c r="I725" s="390">
        <f t="shared" si="790"/>
        <v>0</v>
      </c>
      <c r="J725" s="390">
        <f t="shared" si="790"/>
        <v>0</v>
      </c>
      <c r="K725" s="390">
        <f t="shared" si="790"/>
        <v>0</v>
      </c>
      <c r="L725" s="390">
        <f t="shared" si="790"/>
        <v>0</v>
      </c>
      <c r="M725" s="390">
        <f t="shared" si="790"/>
        <v>0</v>
      </c>
      <c r="N725" s="390">
        <f t="shared" si="790"/>
        <v>0</v>
      </c>
      <c r="O725" s="390">
        <f t="shared" si="790"/>
        <v>0</v>
      </c>
      <c r="P725" s="390">
        <f t="shared" si="790"/>
        <v>0</v>
      </c>
      <c r="Q725" s="390">
        <f t="shared" si="790"/>
        <v>0</v>
      </c>
      <c r="R725" s="391"/>
      <c r="S725" s="391"/>
      <c r="T725" s="391"/>
      <c r="U725" s="474"/>
      <c r="V725" s="392"/>
      <c r="W725" s="392" t="e">
        <f t="shared" ref="W725" si="791">H725/F725</f>
        <v>#DIV/0!</v>
      </c>
      <c r="X725" s="389">
        <f t="shared" ref="X725:AJ725" si="792">SUM(X726:X729)</f>
        <v>0</v>
      </c>
      <c r="Y725" s="389">
        <f t="shared" si="792"/>
        <v>1130</v>
      </c>
      <c r="Z725" s="389">
        <f t="shared" si="792"/>
        <v>1130</v>
      </c>
      <c r="AA725" s="390">
        <f t="shared" si="792"/>
        <v>3430.0888800000002</v>
      </c>
      <c r="AB725" s="390">
        <f t="shared" si="792"/>
        <v>3180.1449699999998</v>
      </c>
      <c r="AC725" s="390">
        <f t="shared" si="792"/>
        <v>1645.15</v>
      </c>
      <c r="AD725" s="390">
        <f t="shared" si="792"/>
        <v>1452.08429</v>
      </c>
      <c r="AE725" s="390">
        <f t="shared" si="792"/>
        <v>46.081240000000001</v>
      </c>
      <c r="AF725" s="390">
        <f t="shared" si="792"/>
        <v>0</v>
      </c>
      <c r="AG725" s="390">
        <f t="shared" si="792"/>
        <v>0</v>
      </c>
      <c r="AH725" s="390">
        <f t="shared" si="792"/>
        <v>78.841720000000009</v>
      </c>
      <c r="AI725" s="390">
        <f t="shared" si="792"/>
        <v>1645.15</v>
      </c>
      <c r="AJ725" s="390">
        <f t="shared" si="792"/>
        <v>1403.9440900000002</v>
      </c>
      <c r="AK725" s="391"/>
      <c r="AL725" s="391"/>
      <c r="AM725" s="391"/>
      <c r="AN725" s="474"/>
      <c r="AO725" s="392"/>
      <c r="AP725" s="392">
        <f t="shared" si="788"/>
        <v>3.0354768849557523</v>
      </c>
      <c r="AQ725" s="389">
        <f t="shared" ref="AQ725:BC725" si="793">SUM(AQ726:AQ729)</f>
        <v>0</v>
      </c>
      <c r="AR725" s="389">
        <f t="shared" si="793"/>
        <v>208</v>
      </c>
      <c r="AS725" s="389">
        <f t="shared" si="793"/>
        <v>208</v>
      </c>
      <c r="AT725" s="390">
        <f t="shared" si="793"/>
        <v>548.70705999999996</v>
      </c>
      <c r="AU725" s="390">
        <f t="shared" si="793"/>
        <v>484.33722</v>
      </c>
      <c r="AV725" s="390">
        <f t="shared" si="793"/>
        <v>477.54237000000001</v>
      </c>
      <c r="AW725" s="390">
        <f t="shared" si="793"/>
        <v>0</v>
      </c>
      <c r="AX725" s="390">
        <f t="shared" si="793"/>
        <v>12.822649999999999</v>
      </c>
      <c r="AY725" s="390">
        <f t="shared" si="793"/>
        <v>0</v>
      </c>
      <c r="AZ725" s="390">
        <f t="shared" si="793"/>
        <v>0</v>
      </c>
      <c r="BA725" s="390">
        <f t="shared" si="793"/>
        <v>19.787299999999998</v>
      </c>
      <c r="BB725" s="390">
        <f t="shared" si="793"/>
        <v>477.54237000000001</v>
      </c>
      <c r="BC725" s="390">
        <f t="shared" si="793"/>
        <v>0</v>
      </c>
      <c r="BD725" s="391"/>
      <c r="BE725" s="391"/>
      <c r="BF725" s="391"/>
      <c r="BG725" s="474"/>
      <c r="BH725" s="392"/>
      <c r="BI725" s="392">
        <f t="shared" ref="BI725:BI768" si="794">AT725/AR725</f>
        <v>2.6380147115384611</v>
      </c>
    </row>
    <row r="726" spans="1:61" s="358" customFormat="1" ht="19.2" x14ac:dyDescent="0.3">
      <c r="A726" s="359" t="s">
        <v>4634</v>
      </c>
      <c r="B726" s="572" t="s">
        <v>314</v>
      </c>
      <c r="C726" s="546" t="s">
        <v>2616</v>
      </c>
      <c r="D726" s="360">
        <v>6</v>
      </c>
      <c r="E726" s="393"/>
      <c r="F726" s="497"/>
      <c r="G726" s="497"/>
      <c r="H726" s="571"/>
      <c r="I726" s="394"/>
      <c r="J726" s="394"/>
      <c r="K726" s="394"/>
      <c r="L726" s="394"/>
      <c r="M726" s="394"/>
      <c r="N726" s="394"/>
      <c r="O726" s="394"/>
      <c r="P726" s="394"/>
      <c r="Q726" s="394"/>
      <c r="R726" s="381"/>
      <c r="S726" s="408"/>
      <c r="T726" s="385"/>
      <c r="U726" s="475"/>
      <c r="V726" s="395"/>
      <c r="W726" s="395"/>
      <c r="X726" s="393"/>
      <c r="Y726" s="497">
        <v>680</v>
      </c>
      <c r="Z726" s="497">
        <v>680</v>
      </c>
      <c r="AA726" s="571">
        <v>2266.44625</v>
      </c>
      <c r="AB726" s="394">
        <v>2182.73479</v>
      </c>
      <c r="AC726" s="394">
        <v>832.65</v>
      </c>
      <c r="AD726" s="394">
        <v>1320.7079100000001</v>
      </c>
      <c r="AE726" s="394">
        <v>24.367940000000001</v>
      </c>
      <c r="AF726" s="394">
        <v>0</v>
      </c>
      <c r="AG726" s="394">
        <v>0</v>
      </c>
      <c r="AH726" s="394">
        <v>23.45731</v>
      </c>
      <c r="AI726" s="394">
        <v>832.65</v>
      </c>
      <c r="AJ726" s="394">
        <v>1320.7079100000001</v>
      </c>
      <c r="AK726" s="381" t="s">
        <v>167</v>
      </c>
      <c r="AL726" s="408" t="s">
        <v>175</v>
      </c>
      <c r="AM726" s="385"/>
      <c r="AN726" s="475">
        <v>487</v>
      </c>
      <c r="AO726" s="395"/>
      <c r="AP726" s="395">
        <f t="shared" si="788"/>
        <v>3.3330091911764703</v>
      </c>
      <c r="AQ726" s="393"/>
      <c r="AR726" s="497"/>
      <c r="AS726" s="497"/>
      <c r="AT726" s="571"/>
      <c r="AU726" s="394"/>
      <c r="AV726" s="394"/>
      <c r="AW726" s="394"/>
      <c r="AX726" s="394"/>
      <c r="AY726" s="394"/>
      <c r="AZ726" s="394"/>
      <c r="BA726" s="394"/>
      <c r="BB726" s="394"/>
      <c r="BC726" s="394"/>
      <c r="BD726" s="381"/>
      <c r="BE726" s="408"/>
      <c r="BF726" s="385"/>
      <c r="BG726" s="475"/>
      <c r="BH726" s="395"/>
      <c r="BI726" s="395" t="e">
        <f t="shared" si="794"/>
        <v>#DIV/0!</v>
      </c>
    </row>
    <row r="727" spans="1:61" s="358" customFormat="1" ht="19.2" x14ac:dyDescent="0.3">
      <c r="A727" s="359" t="s">
        <v>4634</v>
      </c>
      <c r="B727" s="572" t="s">
        <v>2599</v>
      </c>
      <c r="C727" s="546" t="s">
        <v>2598</v>
      </c>
      <c r="D727" s="360">
        <v>6</v>
      </c>
      <c r="E727" s="393"/>
      <c r="F727" s="497"/>
      <c r="G727" s="497"/>
      <c r="H727" s="571"/>
      <c r="I727" s="394"/>
      <c r="J727" s="394"/>
      <c r="K727" s="394"/>
      <c r="L727" s="394"/>
      <c r="M727" s="394"/>
      <c r="N727" s="394"/>
      <c r="O727" s="394"/>
      <c r="P727" s="394"/>
      <c r="Q727" s="394"/>
      <c r="R727" s="381"/>
      <c r="S727" s="408"/>
      <c r="T727" s="385"/>
      <c r="U727" s="475"/>
      <c r="V727" s="395"/>
      <c r="W727" s="395"/>
      <c r="X727" s="393"/>
      <c r="Y727" s="497">
        <v>450</v>
      </c>
      <c r="Z727" s="497">
        <v>450</v>
      </c>
      <c r="AA727" s="571">
        <v>1163.6426300000001</v>
      </c>
      <c r="AB727" s="394">
        <v>997.41017999999997</v>
      </c>
      <c r="AC727" s="394">
        <v>812.5</v>
      </c>
      <c r="AD727" s="394">
        <f>69.5595+28.85+11.13277+7.17374+10.36869+4.29168</f>
        <v>131.37638000000001</v>
      </c>
      <c r="AE727" s="394">
        <v>21.7133</v>
      </c>
      <c r="AF727" s="394">
        <v>0</v>
      </c>
      <c r="AG727" s="394">
        <v>0</v>
      </c>
      <c r="AH727" s="394">
        <v>55.384410000000003</v>
      </c>
      <c r="AI727" s="394">
        <v>812.5</v>
      </c>
      <c r="AJ727" s="394">
        <f>34.77975+28.85+11.13277+3.58687+3.45623+1.43056</f>
        <v>83.236180000000004</v>
      </c>
      <c r="AK727" s="381" t="s">
        <v>167</v>
      </c>
      <c r="AL727" s="408" t="s">
        <v>175</v>
      </c>
      <c r="AM727" s="385"/>
      <c r="AN727" s="475">
        <v>490</v>
      </c>
      <c r="AO727" s="395"/>
      <c r="AP727" s="395">
        <f t="shared" si="788"/>
        <v>2.5858725111111114</v>
      </c>
      <c r="AQ727" s="393"/>
      <c r="AR727" s="497"/>
      <c r="AS727" s="497"/>
      <c r="AT727" s="571"/>
      <c r="AU727" s="394"/>
      <c r="AV727" s="394"/>
      <c r="AW727" s="394"/>
      <c r="AX727" s="394"/>
      <c r="AY727" s="394"/>
      <c r="AZ727" s="394"/>
      <c r="BA727" s="394"/>
      <c r="BB727" s="394"/>
      <c r="BC727" s="394"/>
      <c r="BD727" s="381"/>
      <c r="BE727" s="408"/>
      <c r="BF727" s="385"/>
      <c r="BG727" s="475"/>
      <c r="BH727" s="395"/>
      <c r="BI727" s="395" t="e">
        <f t="shared" si="794"/>
        <v>#DIV/0!</v>
      </c>
    </row>
    <row r="728" spans="1:61" s="358" customFormat="1" ht="19.2" x14ac:dyDescent="0.3">
      <c r="A728" s="359" t="s">
        <v>178</v>
      </c>
      <c r="B728" s="602" t="s">
        <v>4770</v>
      </c>
      <c r="C728" s="618" t="s">
        <v>4811</v>
      </c>
      <c r="D728" s="360">
        <v>6</v>
      </c>
      <c r="E728" s="528"/>
      <c r="F728" s="523"/>
      <c r="G728" s="393"/>
      <c r="H728" s="394"/>
      <c r="I728" s="394"/>
      <c r="J728" s="394"/>
      <c r="K728" s="394"/>
      <c r="L728" s="394"/>
      <c r="M728" s="394"/>
      <c r="N728" s="394"/>
      <c r="O728" s="394"/>
      <c r="P728" s="394"/>
      <c r="Q728" s="394"/>
      <c r="R728" s="381"/>
      <c r="S728" s="408"/>
      <c r="T728" s="385"/>
      <c r="U728" s="475"/>
      <c r="V728" s="395"/>
      <c r="W728" s="395"/>
      <c r="X728" s="528"/>
      <c r="Y728" s="523"/>
      <c r="Z728" s="393"/>
      <c r="AA728" s="394"/>
      <c r="AB728" s="394"/>
      <c r="AC728" s="394"/>
      <c r="AD728" s="394"/>
      <c r="AE728" s="394"/>
      <c r="AF728" s="394"/>
      <c r="AG728" s="394"/>
      <c r="AH728" s="394"/>
      <c r="AI728" s="394"/>
      <c r="AJ728" s="394"/>
      <c r="AK728" s="381"/>
      <c r="AL728" s="408"/>
      <c r="AM728" s="385"/>
      <c r="AN728" s="475"/>
      <c r="AO728" s="395"/>
      <c r="AP728" s="395"/>
      <c r="AQ728" s="528"/>
      <c r="AR728" s="523">
        <v>208</v>
      </c>
      <c r="AS728" s="393">
        <v>208</v>
      </c>
      <c r="AT728" s="600">
        <v>548.70705999999996</v>
      </c>
      <c r="AU728" s="394">
        <v>484.33722</v>
      </c>
      <c r="AV728" s="394">
        <v>477.54237000000001</v>
      </c>
      <c r="AW728" s="394"/>
      <c r="AX728" s="394">
        <v>12.822649999999999</v>
      </c>
      <c r="AY728" s="394">
        <v>0</v>
      </c>
      <c r="AZ728" s="394">
        <v>0</v>
      </c>
      <c r="BA728" s="394">
        <v>19.787299999999998</v>
      </c>
      <c r="BB728" s="394">
        <v>477.54237000000001</v>
      </c>
      <c r="BC728" s="394"/>
      <c r="BD728" s="381" t="s">
        <v>167</v>
      </c>
      <c r="BE728" s="408" t="s">
        <v>175</v>
      </c>
      <c r="BF728" s="385"/>
      <c r="BG728" s="475">
        <v>460</v>
      </c>
      <c r="BH728" s="395"/>
      <c r="BI728" s="395">
        <f t="shared" si="794"/>
        <v>2.6380147115384611</v>
      </c>
    </row>
    <row r="729" spans="1:61" s="358" customFormat="1" x14ac:dyDescent="0.3">
      <c r="A729" s="359"/>
      <c r="B729" s="378"/>
      <c r="C729" s="546"/>
      <c r="D729" s="360"/>
      <c r="E729" s="398"/>
      <c r="F729" s="523"/>
      <c r="G729" s="393"/>
      <c r="H729" s="394"/>
      <c r="I729" s="394"/>
      <c r="J729" s="394"/>
      <c r="K729" s="394"/>
      <c r="L729" s="394"/>
      <c r="M729" s="394"/>
      <c r="N729" s="394"/>
      <c r="O729" s="394"/>
      <c r="P729" s="394"/>
      <c r="Q729" s="394"/>
      <c r="R729" s="385"/>
      <c r="S729" s="385"/>
      <c r="T729" s="385"/>
      <c r="U729" s="475"/>
      <c r="V729" s="395"/>
      <c r="W729" s="395" t="e">
        <f t="shared" si="738"/>
        <v>#DIV/0!</v>
      </c>
      <c r="X729" s="398"/>
      <c r="Y729" s="523"/>
      <c r="Z729" s="393"/>
      <c r="AA729" s="394"/>
      <c r="AB729" s="394"/>
      <c r="AC729" s="394"/>
      <c r="AD729" s="394"/>
      <c r="AE729" s="394"/>
      <c r="AF729" s="394"/>
      <c r="AG729" s="394"/>
      <c r="AH729" s="394"/>
      <c r="AI729" s="394"/>
      <c r="AJ729" s="394"/>
      <c r="AK729" s="385"/>
      <c r="AL729" s="385"/>
      <c r="AM729" s="385"/>
      <c r="AN729" s="475"/>
      <c r="AO729" s="395"/>
      <c r="AP729" s="395" t="e">
        <f t="shared" si="788"/>
        <v>#DIV/0!</v>
      </c>
      <c r="AQ729" s="398"/>
      <c r="AR729" s="523"/>
      <c r="AS729" s="393"/>
      <c r="AT729" s="394"/>
      <c r="AU729" s="394"/>
      <c r="AV729" s="394"/>
      <c r="AW729" s="394"/>
      <c r="AX729" s="394"/>
      <c r="AY729" s="394"/>
      <c r="AZ729" s="394"/>
      <c r="BA729" s="394"/>
      <c r="BB729" s="394"/>
      <c r="BC729" s="394"/>
      <c r="BD729" s="385"/>
      <c r="BE729" s="385"/>
      <c r="BF729" s="385"/>
      <c r="BG729" s="475"/>
      <c r="BH729" s="395"/>
      <c r="BI729" s="395" t="e">
        <f t="shared" si="794"/>
        <v>#DIV/0!</v>
      </c>
    </row>
    <row r="730" spans="1:61" s="358" customFormat="1" ht="72" x14ac:dyDescent="0.3">
      <c r="A730" s="435" t="s">
        <v>6327</v>
      </c>
      <c r="B730" s="447" t="s">
        <v>6328</v>
      </c>
      <c r="C730" s="591"/>
      <c r="D730" s="436"/>
      <c r="E730" s="437">
        <f t="shared" ref="E730:Q730" si="795">E731</f>
        <v>0</v>
      </c>
      <c r="F730" s="437">
        <f t="shared" si="795"/>
        <v>0</v>
      </c>
      <c r="G730" s="437">
        <f t="shared" si="795"/>
        <v>0</v>
      </c>
      <c r="H730" s="438">
        <f t="shared" si="795"/>
        <v>0</v>
      </c>
      <c r="I730" s="438">
        <f t="shared" si="795"/>
        <v>0</v>
      </c>
      <c r="J730" s="438">
        <f t="shared" si="795"/>
        <v>0</v>
      </c>
      <c r="K730" s="438">
        <f t="shared" si="795"/>
        <v>0</v>
      </c>
      <c r="L730" s="438">
        <f t="shared" si="795"/>
        <v>0</v>
      </c>
      <c r="M730" s="438">
        <f t="shared" si="795"/>
        <v>0</v>
      </c>
      <c r="N730" s="438">
        <f t="shared" si="795"/>
        <v>0</v>
      </c>
      <c r="O730" s="438">
        <f t="shared" si="795"/>
        <v>0</v>
      </c>
      <c r="P730" s="438">
        <f t="shared" si="795"/>
        <v>0</v>
      </c>
      <c r="Q730" s="438">
        <f t="shared" si="795"/>
        <v>0</v>
      </c>
      <c r="R730" s="439"/>
      <c r="S730" s="439"/>
      <c r="T730" s="439"/>
      <c r="U730" s="478"/>
      <c r="V730" s="440"/>
      <c r="W730" s="440" t="e">
        <f t="shared" si="738"/>
        <v>#DIV/0!</v>
      </c>
      <c r="X730" s="437">
        <f t="shared" ref="X730:AJ730" si="796">X731</f>
        <v>0</v>
      </c>
      <c r="Y730" s="437">
        <f t="shared" si="796"/>
        <v>0</v>
      </c>
      <c r="Z730" s="437">
        <f t="shared" si="796"/>
        <v>0</v>
      </c>
      <c r="AA730" s="438">
        <f t="shared" si="796"/>
        <v>0</v>
      </c>
      <c r="AB730" s="438">
        <f t="shared" si="796"/>
        <v>0</v>
      </c>
      <c r="AC730" s="438">
        <f t="shared" si="796"/>
        <v>0</v>
      </c>
      <c r="AD730" s="438">
        <f t="shared" si="796"/>
        <v>0</v>
      </c>
      <c r="AE730" s="438">
        <f t="shared" si="796"/>
        <v>0</v>
      </c>
      <c r="AF730" s="438">
        <f t="shared" si="796"/>
        <v>0</v>
      </c>
      <c r="AG730" s="438">
        <f t="shared" si="796"/>
        <v>0</v>
      </c>
      <c r="AH730" s="438">
        <f t="shared" si="796"/>
        <v>0</v>
      </c>
      <c r="AI730" s="438">
        <f t="shared" si="796"/>
        <v>0</v>
      </c>
      <c r="AJ730" s="438">
        <f t="shared" si="796"/>
        <v>0</v>
      </c>
      <c r="AK730" s="439"/>
      <c r="AL730" s="439"/>
      <c r="AM730" s="439"/>
      <c r="AN730" s="478"/>
      <c r="AO730" s="440"/>
      <c r="AP730" s="440" t="e">
        <f t="shared" si="788"/>
        <v>#DIV/0!</v>
      </c>
      <c r="AQ730" s="437">
        <f t="shared" ref="AQ730:BC730" si="797">AQ731</f>
        <v>0</v>
      </c>
      <c r="AR730" s="437">
        <f t="shared" si="797"/>
        <v>0</v>
      </c>
      <c r="AS730" s="437">
        <f t="shared" si="797"/>
        <v>0</v>
      </c>
      <c r="AT730" s="438">
        <f t="shared" si="797"/>
        <v>0</v>
      </c>
      <c r="AU730" s="438">
        <f t="shared" si="797"/>
        <v>0</v>
      </c>
      <c r="AV730" s="438">
        <f t="shared" si="797"/>
        <v>0</v>
      </c>
      <c r="AW730" s="438">
        <f t="shared" si="797"/>
        <v>0</v>
      </c>
      <c r="AX730" s="438">
        <f t="shared" si="797"/>
        <v>0</v>
      </c>
      <c r="AY730" s="438">
        <f t="shared" si="797"/>
        <v>0</v>
      </c>
      <c r="AZ730" s="438">
        <f t="shared" si="797"/>
        <v>0</v>
      </c>
      <c r="BA730" s="438">
        <f t="shared" si="797"/>
        <v>0</v>
      </c>
      <c r="BB730" s="438">
        <f t="shared" si="797"/>
        <v>0</v>
      </c>
      <c r="BC730" s="438">
        <f t="shared" si="797"/>
        <v>0</v>
      </c>
      <c r="BD730" s="439"/>
      <c r="BE730" s="439"/>
      <c r="BF730" s="439"/>
      <c r="BG730" s="478"/>
      <c r="BH730" s="440"/>
      <c r="BI730" s="440" t="e">
        <f t="shared" si="794"/>
        <v>#DIV/0!</v>
      </c>
    </row>
    <row r="731" spans="1:61" s="358" customFormat="1" ht="24.75" customHeight="1" x14ac:dyDescent="0.3">
      <c r="A731" s="354" t="s">
        <v>6327</v>
      </c>
      <c r="B731" s="355" t="s">
        <v>250</v>
      </c>
      <c r="C731" s="587"/>
      <c r="D731" s="356">
        <v>6</v>
      </c>
      <c r="E731" s="389">
        <f t="shared" ref="E731:Q731" si="798">SUM(E732:E734)</f>
        <v>0</v>
      </c>
      <c r="F731" s="389">
        <f t="shared" si="798"/>
        <v>0</v>
      </c>
      <c r="G731" s="389">
        <f t="shared" si="798"/>
        <v>0</v>
      </c>
      <c r="H731" s="390">
        <f t="shared" si="798"/>
        <v>0</v>
      </c>
      <c r="I731" s="390">
        <f t="shared" si="798"/>
        <v>0</v>
      </c>
      <c r="J731" s="390">
        <f t="shared" si="798"/>
        <v>0</v>
      </c>
      <c r="K731" s="390">
        <f t="shared" si="798"/>
        <v>0</v>
      </c>
      <c r="L731" s="390">
        <f t="shared" si="798"/>
        <v>0</v>
      </c>
      <c r="M731" s="390">
        <f t="shared" si="798"/>
        <v>0</v>
      </c>
      <c r="N731" s="390">
        <f t="shared" si="798"/>
        <v>0</v>
      </c>
      <c r="O731" s="390">
        <f t="shared" si="798"/>
        <v>0</v>
      </c>
      <c r="P731" s="390">
        <f t="shared" si="798"/>
        <v>0</v>
      </c>
      <c r="Q731" s="390">
        <f t="shared" si="798"/>
        <v>0</v>
      </c>
      <c r="R731" s="391"/>
      <c r="S731" s="391"/>
      <c r="T731" s="391"/>
      <c r="U731" s="474"/>
      <c r="V731" s="392"/>
      <c r="W731" s="392" t="e">
        <f t="shared" si="738"/>
        <v>#DIV/0!</v>
      </c>
      <c r="X731" s="389">
        <f t="shared" ref="X731:AJ731" si="799">SUM(X732:X734)</f>
        <v>0</v>
      </c>
      <c r="Y731" s="389">
        <f t="shared" si="799"/>
        <v>0</v>
      </c>
      <c r="Z731" s="389">
        <f t="shared" si="799"/>
        <v>0</v>
      </c>
      <c r="AA731" s="390">
        <f t="shared" si="799"/>
        <v>0</v>
      </c>
      <c r="AB731" s="390">
        <f t="shared" si="799"/>
        <v>0</v>
      </c>
      <c r="AC731" s="390">
        <f t="shared" si="799"/>
        <v>0</v>
      </c>
      <c r="AD731" s="390">
        <f t="shared" si="799"/>
        <v>0</v>
      </c>
      <c r="AE731" s="390">
        <f t="shared" si="799"/>
        <v>0</v>
      </c>
      <c r="AF731" s="390">
        <f t="shared" si="799"/>
        <v>0</v>
      </c>
      <c r="AG731" s="390">
        <f t="shared" si="799"/>
        <v>0</v>
      </c>
      <c r="AH731" s="390">
        <f t="shared" si="799"/>
        <v>0</v>
      </c>
      <c r="AI731" s="390">
        <f t="shared" si="799"/>
        <v>0</v>
      </c>
      <c r="AJ731" s="390">
        <f t="shared" si="799"/>
        <v>0</v>
      </c>
      <c r="AK731" s="391"/>
      <c r="AL731" s="391"/>
      <c r="AM731" s="391"/>
      <c r="AN731" s="474"/>
      <c r="AO731" s="392"/>
      <c r="AP731" s="392" t="e">
        <f t="shared" si="788"/>
        <v>#DIV/0!</v>
      </c>
      <c r="AQ731" s="389">
        <f t="shared" ref="AQ731:BC731" si="800">SUM(AQ732:AQ734)</f>
        <v>0</v>
      </c>
      <c r="AR731" s="389">
        <f t="shared" si="800"/>
        <v>0</v>
      </c>
      <c r="AS731" s="389">
        <f t="shared" si="800"/>
        <v>0</v>
      </c>
      <c r="AT731" s="390">
        <f t="shared" si="800"/>
        <v>0</v>
      </c>
      <c r="AU731" s="390">
        <f t="shared" si="800"/>
        <v>0</v>
      </c>
      <c r="AV731" s="390">
        <f t="shared" si="800"/>
        <v>0</v>
      </c>
      <c r="AW731" s="390">
        <f t="shared" si="800"/>
        <v>0</v>
      </c>
      <c r="AX731" s="390">
        <f t="shared" si="800"/>
        <v>0</v>
      </c>
      <c r="AY731" s="390">
        <f t="shared" si="800"/>
        <v>0</v>
      </c>
      <c r="AZ731" s="390">
        <f t="shared" si="800"/>
        <v>0</v>
      </c>
      <c r="BA731" s="390">
        <f t="shared" si="800"/>
        <v>0</v>
      </c>
      <c r="BB731" s="390">
        <f t="shared" si="800"/>
        <v>0</v>
      </c>
      <c r="BC731" s="390">
        <f t="shared" si="800"/>
        <v>0</v>
      </c>
      <c r="BD731" s="391"/>
      <c r="BE731" s="391"/>
      <c r="BF731" s="391"/>
      <c r="BG731" s="474"/>
      <c r="BH731" s="392"/>
      <c r="BI731" s="392" t="e">
        <f t="shared" si="794"/>
        <v>#DIV/0!</v>
      </c>
    </row>
    <row r="732" spans="1:61" s="358" customFormat="1" x14ac:dyDescent="0.3">
      <c r="A732" s="359"/>
      <c r="B732" s="537"/>
      <c r="C732" s="546"/>
      <c r="D732" s="360"/>
      <c r="E732" s="398"/>
      <c r="F732" s="523"/>
      <c r="G732" s="393"/>
      <c r="H732" s="542"/>
      <c r="I732" s="394"/>
      <c r="J732" s="394"/>
      <c r="K732" s="394"/>
      <c r="L732" s="394"/>
      <c r="M732" s="394"/>
      <c r="N732" s="394"/>
      <c r="O732" s="394"/>
      <c r="P732" s="394"/>
      <c r="Q732" s="394"/>
      <c r="R732" s="381"/>
      <c r="S732" s="408"/>
      <c r="T732" s="385"/>
      <c r="U732" s="475"/>
      <c r="V732" s="395"/>
      <c r="W732" s="395" t="e">
        <f t="shared" ref="W732:W768" si="801">H732/F732</f>
        <v>#DIV/0!</v>
      </c>
      <c r="X732" s="398"/>
      <c r="Y732" s="523"/>
      <c r="Z732" s="393"/>
      <c r="AA732" s="542"/>
      <c r="AB732" s="394"/>
      <c r="AC732" s="394"/>
      <c r="AD732" s="394"/>
      <c r="AE732" s="394"/>
      <c r="AF732" s="394"/>
      <c r="AG732" s="394"/>
      <c r="AH732" s="394"/>
      <c r="AI732" s="394"/>
      <c r="AJ732" s="394"/>
      <c r="AK732" s="381"/>
      <c r="AL732" s="408"/>
      <c r="AM732" s="385"/>
      <c r="AN732" s="475"/>
      <c r="AO732" s="395"/>
      <c r="AP732" s="395" t="e">
        <f t="shared" si="788"/>
        <v>#DIV/0!</v>
      </c>
      <c r="AQ732" s="398"/>
      <c r="AR732" s="523"/>
      <c r="AS732" s="393"/>
      <c r="AT732" s="542"/>
      <c r="AU732" s="394"/>
      <c r="AV732" s="394"/>
      <c r="AW732" s="394"/>
      <c r="AX732" s="394"/>
      <c r="AY732" s="394"/>
      <c r="AZ732" s="394"/>
      <c r="BA732" s="394"/>
      <c r="BB732" s="394"/>
      <c r="BC732" s="394"/>
      <c r="BD732" s="381"/>
      <c r="BE732" s="408"/>
      <c r="BF732" s="385"/>
      <c r="BG732" s="475"/>
      <c r="BH732" s="395"/>
      <c r="BI732" s="395" t="e">
        <f t="shared" si="794"/>
        <v>#DIV/0!</v>
      </c>
    </row>
    <row r="733" spans="1:61" s="358" customFormat="1" x14ac:dyDescent="0.3">
      <c r="A733" s="359"/>
      <c r="B733" s="572"/>
      <c r="C733" s="546"/>
      <c r="D733" s="360"/>
      <c r="E733" s="398"/>
      <c r="F733" s="523"/>
      <c r="G733" s="393"/>
      <c r="H733" s="571"/>
      <c r="I733" s="394"/>
      <c r="J733" s="394"/>
      <c r="K733" s="394"/>
      <c r="L733" s="394"/>
      <c r="M733" s="394"/>
      <c r="N733" s="394"/>
      <c r="O733" s="394"/>
      <c r="P733" s="394"/>
      <c r="Q733" s="394"/>
      <c r="R733" s="381"/>
      <c r="S733" s="408"/>
      <c r="T733" s="385"/>
      <c r="U733" s="475"/>
      <c r="V733" s="395"/>
      <c r="W733" s="395"/>
      <c r="X733" s="398"/>
      <c r="Y733" s="523"/>
      <c r="Z733" s="393"/>
      <c r="AA733" s="571"/>
      <c r="AB733" s="394"/>
      <c r="AC733" s="394"/>
      <c r="AD733" s="394"/>
      <c r="AE733" s="394"/>
      <c r="AF733" s="394"/>
      <c r="AG733" s="394"/>
      <c r="AH733" s="394"/>
      <c r="AI733" s="394"/>
      <c r="AJ733" s="394"/>
      <c r="AK733" s="381"/>
      <c r="AL733" s="408"/>
      <c r="AM733" s="385"/>
      <c r="AN733" s="475"/>
      <c r="AO733" s="395"/>
      <c r="AP733" s="395" t="e">
        <f t="shared" si="788"/>
        <v>#DIV/0!</v>
      </c>
      <c r="AQ733" s="398"/>
      <c r="AR733" s="523"/>
      <c r="AS733" s="393"/>
      <c r="AT733" s="571"/>
      <c r="AU733" s="394"/>
      <c r="AV733" s="394"/>
      <c r="AW733" s="394"/>
      <c r="AX733" s="394"/>
      <c r="AY733" s="394"/>
      <c r="AZ733" s="394"/>
      <c r="BA733" s="394"/>
      <c r="BB733" s="394"/>
      <c r="BC733" s="394"/>
      <c r="BD733" s="381"/>
      <c r="BE733" s="408"/>
      <c r="BF733" s="385"/>
      <c r="BG733" s="475"/>
      <c r="BH733" s="395"/>
      <c r="BI733" s="395" t="e">
        <f t="shared" si="794"/>
        <v>#DIV/0!</v>
      </c>
    </row>
    <row r="734" spans="1:61" s="358" customFormat="1" ht="13.2" customHeight="1" x14ac:dyDescent="0.3">
      <c r="A734" s="359"/>
      <c r="B734" s="378"/>
      <c r="C734" s="546"/>
      <c r="D734" s="360"/>
      <c r="E734" s="398"/>
      <c r="F734" s="523"/>
      <c r="G734" s="393"/>
      <c r="H734" s="394"/>
      <c r="I734" s="394"/>
      <c r="J734" s="394"/>
      <c r="K734" s="394"/>
      <c r="L734" s="394"/>
      <c r="M734" s="394"/>
      <c r="N734" s="394"/>
      <c r="O734" s="394"/>
      <c r="P734" s="394"/>
      <c r="Q734" s="394"/>
      <c r="R734" s="385"/>
      <c r="S734" s="385"/>
      <c r="T734" s="385"/>
      <c r="U734" s="475"/>
      <c r="V734" s="395"/>
      <c r="W734" s="395" t="e">
        <f t="shared" si="801"/>
        <v>#DIV/0!</v>
      </c>
      <c r="X734" s="398"/>
      <c r="Y734" s="523"/>
      <c r="Z734" s="393"/>
      <c r="AA734" s="394"/>
      <c r="AB734" s="394"/>
      <c r="AC734" s="394"/>
      <c r="AD734" s="394"/>
      <c r="AE734" s="394"/>
      <c r="AF734" s="394"/>
      <c r="AG734" s="394"/>
      <c r="AH734" s="394"/>
      <c r="AI734" s="394"/>
      <c r="AJ734" s="394"/>
      <c r="AK734" s="385"/>
      <c r="AL734" s="385"/>
      <c r="AM734" s="385"/>
      <c r="AN734" s="475"/>
      <c r="AO734" s="395"/>
      <c r="AP734" s="395" t="e">
        <f t="shared" si="788"/>
        <v>#DIV/0!</v>
      </c>
      <c r="AQ734" s="398"/>
      <c r="AR734" s="523"/>
      <c r="AS734" s="393"/>
      <c r="AT734" s="394"/>
      <c r="AU734" s="394"/>
      <c r="AV734" s="394"/>
      <c r="AW734" s="394"/>
      <c r="AX734" s="394"/>
      <c r="AY734" s="394"/>
      <c r="AZ734" s="394"/>
      <c r="BA734" s="394"/>
      <c r="BB734" s="394"/>
      <c r="BC734" s="394"/>
      <c r="BD734" s="385"/>
      <c r="BE734" s="385"/>
      <c r="BF734" s="385"/>
      <c r="BG734" s="475"/>
      <c r="BH734" s="395"/>
      <c r="BI734" s="395" t="e">
        <f t="shared" si="794"/>
        <v>#DIV/0!</v>
      </c>
    </row>
    <row r="735" spans="1:61" s="358" customFormat="1" ht="72" x14ac:dyDescent="0.3">
      <c r="A735" s="435" t="s">
        <v>4635</v>
      </c>
      <c r="B735" s="447" t="s">
        <v>6329</v>
      </c>
      <c r="C735" s="591"/>
      <c r="D735" s="436"/>
      <c r="E735" s="437">
        <f t="shared" ref="E735:Q735" si="802">E736</f>
        <v>0</v>
      </c>
      <c r="F735" s="437">
        <f t="shared" si="802"/>
        <v>0</v>
      </c>
      <c r="G735" s="437">
        <f t="shared" si="802"/>
        <v>0</v>
      </c>
      <c r="H735" s="438">
        <f t="shared" si="802"/>
        <v>0</v>
      </c>
      <c r="I735" s="438">
        <f t="shared" si="802"/>
        <v>0</v>
      </c>
      <c r="J735" s="438">
        <f t="shared" si="802"/>
        <v>0</v>
      </c>
      <c r="K735" s="438">
        <f t="shared" si="802"/>
        <v>0</v>
      </c>
      <c r="L735" s="438">
        <f t="shared" si="802"/>
        <v>0</v>
      </c>
      <c r="M735" s="438">
        <f t="shared" si="802"/>
        <v>0</v>
      </c>
      <c r="N735" s="438">
        <f t="shared" si="802"/>
        <v>0</v>
      </c>
      <c r="O735" s="438">
        <f t="shared" si="802"/>
        <v>0</v>
      </c>
      <c r="P735" s="438">
        <f t="shared" si="802"/>
        <v>0</v>
      </c>
      <c r="Q735" s="438">
        <f t="shared" si="802"/>
        <v>0</v>
      </c>
      <c r="R735" s="439"/>
      <c r="S735" s="439"/>
      <c r="T735" s="439"/>
      <c r="U735" s="478"/>
      <c r="V735" s="440"/>
      <c r="W735" s="440" t="e">
        <f t="shared" si="801"/>
        <v>#DIV/0!</v>
      </c>
      <c r="X735" s="437">
        <f t="shared" ref="X735:AJ735" si="803">X736</f>
        <v>0</v>
      </c>
      <c r="Y735" s="437">
        <f t="shared" si="803"/>
        <v>0</v>
      </c>
      <c r="Z735" s="437">
        <f t="shared" si="803"/>
        <v>0</v>
      </c>
      <c r="AA735" s="438">
        <f t="shared" si="803"/>
        <v>0</v>
      </c>
      <c r="AB735" s="438">
        <f t="shared" si="803"/>
        <v>0</v>
      </c>
      <c r="AC735" s="438">
        <f t="shared" si="803"/>
        <v>0</v>
      </c>
      <c r="AD735" s="438">
        <f t="shared" si="803"/>
        <v>0</v>
      </c>
      <c r="AE735" s="438">
        <f t="shared" si="803"/>
        <v>0</v>
      </c>
      <c r="AF735" s="438">
        <f t="shared" si="803"/>
        <v>0</v>
      </c>
      <c r="AG735" s="438">
        <f t="shared" si="803"/>
        <v>0</v>
      </c>
      <c r="AH735" s="438">
        <f t="shared" si="803"/>
        <v>0</v>
      </c>
      <c r="AI735" s="438">
        <f t="shared" si="803"/>
        <v>0</v>
      </c>
      <c r="AJ735" s="438">
        <f t="shared" si="803"/>
        <v>0</v>
      </c>
      <c r="AK735" s="439"/>
      <c r="AL735" s="439"/>
      <c r="AM735" s="439"/>
      <c r="AN735" s="478"/>
      <c r="AO735" s="440"/>
      <c r="AP735" s="440" t="e">
        <f t="shared" si="788"/>
        <v>#DIV/0!</v>
      </c>
      <c r="AQ735" s="437">
        <f t="shared" ref="AQ735:BC735" si="804">AQ736</f>
        <v>0</v>
      </c>
      <c r="AR735" s="437">
        <f t="shared" si="804"/>
        <v>15</v>
      </c>
      <c r="AS735" s="437">
        <f t="shared" si="804"/>
        <v>15</v>
      </c>
      <c r="AT735" s="438">
        <f t="shared" si="804"/>
        <v>3292.3081999999999</v>
      </c>
      <c r="AU735" s="438">
        <f t="shared" si="804"/>
        <v>3209.7177099999999</v>
      </c>
      <c r="AV735" s="438">
        <f t="shared" si="804"/>
        <v>962.77088000000003</v>
      </c>
      <c r="AW735" s="438">
        <f t="shared" si="804"/>
        <v>2223.6435200000001</v>
      </c>
      <c r="AX735" s="438">
        <f t="shared" si="804"/>
        <v>0</v>
      </c>
      <c r="AY735" s="438">
        <f t="shared" si="804"/>
        <v>0</v>
      </c>
      <c r="AZ735" s="438">
        <f t="shared" si="804"/>
        <v>0</v>
      </c>
      <c r="BA735" s="438">
        <f t="shared" si="804"/>
        <v>19.25422</v>
      </c>
      <c r="BB735" s="438">
        <f t="shared" si="804"/>
        <v>481.38544000000002</v>
      </c>
      <c r="BC735" s="438">
        <f t="shared" si="804"/>
        <v>2223.6435200000001</v>
      </c>
      <c r="BD735" s="439"/>
      <c r="BE735" s="439"/>
      <c r="BF735" s="439"/>
      <c r="BG735" s="478"/>
      <c r="BH735" s="440"/>
      <c r="BI735" s="440">
        <f t="shared" si="794"/>
        <v>219.48721333333333</v>
      </c>
    </row>
    <row r="736" spans="1:61" s="358" customFormat="1" ht="24.75" customHeight="1" x14ac:dyDescent="0.3">
      <c r="A736" s="354" t="s">
        <v>4635</v>
      </c>
      <c r="B736" s="355" t="s">
        <v>222</v>
      </c>
      <c r="C736" s="587"/>
      <c r="D736" s="356">
        <v>6</v>
      </c>
      <c r="E736" s="389">
        <f t="shared" ref="E736:Q736" si="805">SUM(E737:E739)</f>
        <v>0</v>
      </c>
      <c r="F736" s="389">
        <f t="shared" si="805"/>
        <v>0</v>
      </c>
      <c r="G736" s="389">
        <f t="shared" si="805"/>
        <v>0</v>
      </c>
      <c r="H736" s="390">
        <f t="shared" si="805"/>
        <v>0</v>
      </c>
      <c r="I736" s="390">
        <f t="shared" si="805"/>
        <v>0</v>
      </c>
      <c r="J736" s="390">
        <f t="shared" si="805"/>
        <v>0</v>
      </c>
      <c r="K736" s="390">
        <f t="shared" si="805"/>
        <v>0</v>
      </c>
      <c r="L736" s="390">
        <f t="shared" si="805"/>
        <v>0</v>
      </c>
      <c r="M736" s="390">
        <f t="shared" si="805"/>
        <v>0</v>
      </c>
      <c r="N736" s="390">
        <f t="shared" si="805"/>
        <v>0</v>
      </c>
      <c r="O736" s="390">
        <f t="shared" si="805"/>
        <v>0</v>
      </c>
      <c r="P736" s="390">
        <f t="shared" si="805"/>
        <v>0</v>
      </c>
      <c r="Q736" s="390">
        <f t="shared" si="805"/>
        <v>0</v>
      </c>
      <c r="R736" s="391"/>
      <c r="S736" s="391"/>
      <c r="T736" s="391"/>
      <c r="U736" s="474"/>
      <c r="V736" s="392"/>
      <c r="W736" s="392" t="e">
        <f t="shared" si="801"/>
        <v>#DIV/0!</v>
      </c>
      <c r="X736" s="389">
        <f t="shared" ref="X736:AJ736" si="806">SUM(X737:X739)</f>
        <v>0</v>
      </c>
      <c r="Y736" s="389">
        <f t="shared" si="806"/>
        <v>0</v>
      </c>
      <c r="Z736" s="389">
        <f t="shared" si="806"/>
        <v>0</v>
      </c>
      <c r="AA736" s="390">
        <f t="shared" si="806"/>
        <v>0</v>
      </c>
      <c r="AB736" s="390">
        <f t="shared" si="806"/>
        <v>0</v>
      </c>
      <c r="AC736" s="390">
        <f t="shared" si="806"/>
        <v>0</v>
      </c>
      <c r="AD736" s="390">
        <f t="shared" si="806"/>
        <v>0</v>
      </c>
      <c r="AE736" s="390">
        <f t="shared" si="806"/>
        <v>0</v>
      </c>
      <c r="AF736" s="390">
        <f t="shared" si="806"/>
        <v>0</v>
      </c>
      <c r="AG736" s="390">
        <f t="shared" si="806"/>
        <v>0</v>
      </c>
      <c r="AH736" s="390">
        <f t="shared" si="806"/>
        <v>0</v>
      </c>
      <c r="AI736" s="390">
        <f t="shared" si="806"/>
        <v>0</v>
      </c>
      <c r="AJ736" s="390">
        <f t="shared" si="806"/>
        <v>0</v>
      </c>
      <c r="AK736" s="391"/>
      <c r="AL736" s="391"/>
      <c r="AM736" s="391"/>
      <c r="AN736" s="474"/>
      <c r="AO736" s="392"/>
      <c r="AP736" s="392" t="e">
        <f t="shared" si="788"/>
        <v>#DIV/0!</v>
      </c>
      <c r="AQ736" s="389">
        <f t="shared" ref="AQ736:BC736" si="807">SUM(AQ737:AQ739)</f>
        <v>0</v>
      </c>
      <c r="AR736" s="389">
        <f t="shared" si="807"/>
        <v>15</v>
      </c>
      <c r="AS736" s="389">
        <f t="shared" si="807"/>
        <v>15</v>
      </c>
      <c r="AT736" s="390">
        <f t="shared" si="807"/>
        <v>3292.3081999999999</v>
      </c>
      <c r="AU736" s="390">
        <f t="shared" si="807"/>
        <v>3209.7177099999999</v>
      </c>
      <c r="AV736" s="390">
        <f t="shared" si="807"/>
        <v>962.77088000000003</v>
      </c>
      <c r="AW736" s="390">
        <f t="shared" si="807"/>
        <v>2223.6435200000001</v>
      </c>
      <c r="AX736" s="390">
        <f t="shared" si="807"/>
        <v>0</v>
      </c>
      <c r="AY736" s="390">
        <f t="shared" si="807"/>
        <v>0</v>
      </c>
      <c r="AZ736" s="390">
        <f t="shared" si="807"/>
        <v>0</v>
      </c>
      <c r="BA736" s="390">
        <f t="shared" si="807"/>
        <v>19.25422</v>
      </c>
      <c r="BB736" s="390">
        <f t="shared" si="807"/>
        <v>481.38544000000002</v>
      </c>
      <c r="BC736" s="390">
        <f t="shared" si="807"/>
        <v>2223.6435200000001</v>
      </c>
      <c r="BD736" s="391"/>
      <c r="BE736" s="391"/>
      <c r="BF736" s="391"/>
      <c r="BG736" s="474"/>
      <c r="BH736" s="392"/>
      <c r="BI736" s="392">
        <f t="shared" si="794"/>
        <v>219.48721333333333</v>
      </c>
    </row>
    <row r="737" spans="1:61" s="358" customFormat="1" x14ac:dyDescent="0.3">
      <c r="A737" s="359"/>
      <c r="B737" s="537"/>
      <c r="C737" s="546"/>
      <c r="D737" s="360"/>
      <c r="E737" s="393"/>
      <c r="F737" s="523"/>
      <c r="G737" s="393"/>
      <c r="H737" s="542"/>
      <c r="I737" s="394"/>
      <c r="J737" s="394"/>
      <c r="K737" s="394"/>
      <c r="L737" s="394"/>
      <c r="M737" s="394"/>
      <c r="N737" s="394"/>
      <c r="O737" s="394"/>
      <c r="P737" s="394"/>
      <c r="Q737" s="394"/>
      <c r="R737" s="385"/>
      <c r="S737" s="385"/>
      <c r="T737" s="385"/>
      <c r="U737" s="475"/>
      <c r="V737" s="395"/>
      <c r="W737" s="395" t="e">
        <f t="shared" ref="W737" si="808">H737/F737</f>
        <v>#DIV/0!</v>
      </c>
      <c r="X737" s="393"/>
      <c r="Y737" s="523"/>
      <c r="Z737" s="393"/>
      <c r="AA737" s="542"/>
      <c r="AB737" s="394"/>
      <c r="AC737" s="394"/>
      <c r="AD737" s="394"/>
      <c r="AE737" s="394"/>
      <c r="AF737" s="394"/>
      <c r="AG737" s="394"/>
      <c r="AH737" s="394"/>
      <c r="AI737" s="394"/>
      <c r="AJ737" s="394"/>
      <c r="AK737" s="385"/>
      <c r="AL737" s="385"/>
      <c r="AM737" s="385"/>
      <c r="AN737" s="475"/>
      <c r="AO737" s="395"/>
      <c r="AP737" s="395" t="e">
        <f t="shared" si="788"/>
        <v>#DIV/0!</v>
      </c>
      <c r="AQ737" s="393"/>
      <c r="AR737" s="523"/>
      <c r="AS737" s="393"/>
      <c r="AT737" s="542"/>
      <c r="AU737" s="394"/>
      <c r="AV737" s="394"/>
      <c r="AW737" s="394"/>
      <c r="AX737" s="394"/>
      <c r="AY737" s="394"/>
      <c r="AZ737" s="394"/>
      <c r="BA737" s="394"/>
      <c r="BB737" s="394"/>
      <c r="BC737" s="394"/>
      <c r="BD737" s="385"/>
      <c r="BE737" s="385"/>
      <c r="BF737" s="385"/>
      <c r="BG737" s="475"/>
      <c r="BH737" s="395"/>
      <c r="BI737" s="395" t="e">
        <f t="shared" si="794"/>
        <v>#DIV/0!</v>
      </c>
    </row>
    <row r="738" spans="1:61" s="358" customFormat="1" ht="19.2" x14ac:dyDescent="0.3">
      <c r="A738" s="359" t="s">
        <v>178</v>
      </c>
      <c r="B738" s="602" t="s">
        <v>4258</v>
      </c>
      <c r="C738" s="548" t="s">
        <v>4648</v>
      </c>
      <c r="D738" s="360">
        <v>6</v>
      </c>
      <c r="E738" s="528"/>
      <c r="F738" s="523"/>
      <c r="G738" s="393"/>
      <c r="H738" s="394"/>
      <c r="I738" s="394"/>
      <c r="J738" s="394"/>
      <c r="K738" s="394"/>
      <c r="L738" s="394"/>
      <c r="M738" s="394"/>
      <c r="N738" s="394"/>
      <c r="O738" s="394"/>
      <c r="P738" s="394"/>
      <c r="Q738" s="394"/>
      <c r="R738" s="381"/>
      <c r="S738" s="408"/>
      <c r="T738" s="385"/>
      <c r="U738" s="475"/>
      <c r="V738" s="395"/>
      <c r="W738" s="395"/>
      <c r="X738" s="528"/>
      <c r="Y738" s="523"/>
      <c r="Z738" s="393"/>
      <c r="AA738" s="394"/>
      <c r="AB738" s="394"/>
      <c r="AC738" s="394"/>
      <c r="AD738" s="394"/>
      <c r="AE738" s="394"/>
      <c r="AF738" s="394"/>
      <c r="AG738" s="394"/>
      <c r="AH738" s="394"/>
      <c r="AI738" s="394"/>
      <c r="AJ738" s="394"/>
      <c r="AK738" s="381"/>
      <c r="AL738" s="408"/>
      <c r="AM738" s="385"/>
      <c r="AN738" s="475"/>
      <c r="AO738" s="395"/>
      <c r="AP738" s="395"/>
      <c r="AQ738" s="528"/>
      <c r="AR738" s="523">
        <v>15</v>
      </c>
      <c r="AS738" s="393">
        <v>15</v>
      </c>
      <c r="AT738" s="600">
        <v>3292.3081999999999</v>
      </c>
      <c r="AU738" s="394">
        <v>3209.7177099999999</v>
      </c>
      <c r="AV738" s="394">
        <v>962.77088000000003</v>
      </c>
      <c r="AW738" s="394">
        <v>2223.6435200000001</v>
      </c>
      <c r="AX738" s="394"/>
      <c r="AY738" s="394">
        <v>0</v>
      </c>
      <c r="AZ738" s="394">
        <v>0</v>
      </c>
      <c r="BA738" s="394">
        <v>19.25422</v>
      </c>
      <c r="BB738" s="394">
        <v>481.38544000000002</v>
      </c>
      <c r="BC738" s="394">
        <v>2223.6435200000001</v>
      </c>
      <c r="BD738" s="381" t="s">
        <v>167</v>
      </c>
      <c r="BE738" s="408" t="s">
        <v>175</v>
      </c>
      <c r="BF738" s="385"/>
      <c r="BG738" s="475">
        <v>462</v>
      </c>
      <c r="BH738" s="395"/>
      <c r="BI738" s="395">
        <f t="shared" ref="BI738" si="809">AT738/AR738</f>
        <v>219.48721333333333</v>
      </c>
    </row>
    <row r="739" spans="1:61" s="358" customFormat="1" x14ac:dyDescent="0.3">
      <c r="A739" s="359"/>
      <c r="B739" s="378"/>
      <c r="C739" s="546"/>
      <c r="D739" s="360"/>
      <c r="E739" s="393"/>
      <c r="F739" s="523"/>
      <c r="G739" s="393"/>
      <c r="H739" s="394"/>
      <c r="I739" s="394"/>
      <c r="J739" s="394"/>
      <c r="K739" s="394"/>
      <c r="L739" s="394"/>
      <c r="M739" s="394"/>
      <c r="N739" s="394"/>
      <c r="O739" s="394"/>
      <c r="P739" s="394"/>
      <c r="Q739" s="394"/>
      <c r="R739" s="385"/>
      <c r="S739" s="385"/>
      <c r="T739" s="385"/>
      <c r="U739" s="475"/>
      <c r="V739" s="395"/>
      <c r="W739" s="395" t="e">
        <f t="shared" si="801"/>
        <v>#DIV/0!</v>
      </c>
      <c r="X739" s="393"/>
      <c r="Y739" s="523"/>
      <c r="Z739" s="393"/>
      <c r="AA739" s="394"/>
      <c r="AB739" s="394"/>
      <c r="AC739" s="394"/>
      <c r="AD739" s="394"/>
      <c r="AE739" s="394"/>
      <c r="AF739" s="394"/>
      <c r="AG739" s="394"/>
      <c r="AH739" s="394"/>
      <c r="AI739" s="394"/>
      <c r="AJ739" s="394"/>
      <c r="AK739" s="385"/>
      <c r="AL739" s="385"/>
      <c r="AM739" s="385"/>
      <c r="AN739" s="475"/>
      <c r="AO739" s="395"/>
      <c r="AP739" s="395" t="e">
        <f t="shared" si="788"/>
        <v>#DIV/0!</v>
      </c>
      <c r="AQ739" s="393"/>
      <c r="AR739" s="523"/>
      <c r="AS739" s="393"/>
      <c r="AT739" s="394"/>
      <c r="AU739" s="394"/>
      <c r="AV739" s="394"/>
      <c r="AW739" s="394"/>
      <c r="AX739" s="394"/>
      <c r="AY739" s="394"/>
      <c r="AZ739" s="394"/>
      <c r="BA739" s="394"/>
      <c r="BB739" s="394"/>
      <c r="BC739" s="394"/>
      <c r="BD739" s="385"/>
      <c r="BE739" s="385"/>
      <c r="BF739" s="385"/>
      <c r="BG739" s="475"/>
      <c r="BH739" s="395"/>
      <c r="BI739" s="395" t="e">
        <f t="shared" si="794"/>
        <v>#DIV/0!</v>
      </c>
    </row>
    <row r="740" spans="1:61" s="358" customFormat="1" ht="72" x14ac:dyDescent="0.3">
      <c r="A740" s="435" t="s">
        <v>4636</v>
      </c>
      <c r="B740" s="447" t="s">
        <v>6330</v>
      </c>
      <c r="C740" s="591"/>
      <c r="D740" s="436"/>
      <c r="E740" s="437">
        <f t="shared" ref="E740:Q740" si="810">E741+E753+E757</f>
        <v>0</v>
      </c>
      <c r="F740" s="437">
        <f t="shared" si="810"/>
        <v>700</v>
      </c>
      <c r="G740" s="437">
        <f t="shared" si="810"/>
        <v>700</v>
      </c>
      <c r="H740" s="438">
        <f t="shared" si="810"/>
        <v>3813.6561499999998</v>
      </c>
      <c r="I740" s="438">
        <f t="shared" si="810"/>
        <v>3454.2957500000002</v>
      </c>
      <c r="J740" s="438">
        <f t="shared" si="810"/>
        <v>1603.1105399999999</v>
      </c>
      <c r="K740" s="438">
        <f t="shared" si="810"/>
        <v>181.06449000000001</v>
      </c>
      <c r="L740" s="438">
        <f t="shared" si="810"/>
        <v>83.73393999999999</v>
      </c>
      <c r="M740" s="438">
        <f t="shared" si="810"/>
        <v>0</v>
      </c>
      <c r="N740" s="438">
        <f t="shared" si="810"/>
        <v>0</v>
      </c>
      <c r="O740" s="438">
        <f t="shared" si="810"/>
        <v>107.52760000000001</v>
      </c>
      <c r="P740" s="438">
        <f t="shared" si="810"/>
        <v>1281.0920799999999</v>
      </c>
      <c r="Q740" s="438">
        <f t="shared" si="810"/>
        <v>93.262919999999994</v>
      </c>
      <c r="R740" s="439"/>
      <c r="S740" s="439"/>
      <c r="T740" s="439"/>
      <c r="U740" s="478"/>
      <c r="V740" s="440"/>
      <c r="W740" s="440">
        <f t="shared" si="801"/>
        <v>5.4480802142857137</v>
      </c>
      <c r="X740" s="437">
        <f t="shared" ref="X740:AJ740" si="811">X741+X753+X757</f>
        <v>0</v>
      </c>
      <c r="Y740" s="437">
        <f t="shared" si="811"/>
        <v>1822</v>
      </c>
      <c r="Z740" s="437">
        <f t="shared" si="811"/>
        <v>1822</v>
      </c>
      <c r="AA740" s="438">
        <f t="shared" si="811"/>
        <v>12792.76189</v>
      </c>
      <c r="AB740" s="438">
        <f t="shared" si="811"/>
        <v>11888.936239999999</v>
      </c>
      <c r="AC740" s="438">
        <f t="shared" si="811"/>
        <v>4583.6856200000002</v>
      </c>
      <c r="AD740" s="438">
        <f t="shared" si="811"/>
        <v>6986.6600600000002</v>
      </c>
      <c r="AE740" s="438">
        <f t="shared" si="811"/>
        <v>253.25542000000002</v>
      </c>
      <c r="AF740" s="438">
        <f t="shared" si="811"/>
        <v>112.5</v>
      </c>
      <c r="AG740" s="438">
        <f t="shared" si="811"/>
        <v>0</v>
      </c>
      <c r="AH740" s="438">
        <f t="shared" si="811"/>
        <v>218.43968999999998</v>
      </c>
      <c r="AI740" s="438">
        <f t="shared" si="811"/>
        <v>2291.8428100000001</v>
      </c>
      <c r="AJ740" s="438">
        <f t="shared" si="811"/>
        <v>6986.6600600000002</v>
      </c>
      <c r="AK740" s="439"/>
      <c r="AL740" s="439"/>
      <c r="AM740" s="439"/>
      <c r="AN740" s="478"/>
      <c r="AO740" s="440"/>
      <c r="AP740" s="440">
        <f t="shared" si="788"/>
        <v>7.0212743633369925</v>
      </c>
      <c r="AQ740" s="437">
        <f t="shared" ref="AQ740:BC740" si="812">AQ741+AQ753+AQ757</f>
        <v>0</v>
      </c>
      <c r="AR740" s="437">
        <f t="shared" si="812"/>
        <v>990</v>
      </c>
      <c r="AS740" s="437">
        <f t="shared" si="812"/>
        <v>990</v>
      </c>
      <c r="AT740" s="438">
        <f t="shared" si="812"/>
        <v>5826.7038699999994</v>
      </c>
      <c r="AU740" s="438">
        <f t="shared" si="812"/>
        <v>5219.9300999999996</v>
      </c>
      <c r="AV740" s="438">
        <f t="shared" si="812"/>
        <v>2904.8270400000001</v>
      </c>
      <c r="AW740" s="438">
        <f t="shared" si="812"/>
        <v>2126.3070200000002</v>
      </c>
      <c r="AX740" s="438">
        <f t="shared" si="812"/>
        <v>89.049710000000005</v>
      </c>
      <c r="AY740" s="438">
        <f t="shared" si="812"/>
        <v>0</v>
      </c>
      <c r="AZ740" s="438">
        <f t="shared" si="812"/>
        <v>0</v>
      </c>
      <c r="BA740" s="438">
        <f t="shared" si="812"/>
        <v>161.21034</v>
      </c>
      <c r="BB740" s="438">
        <f t="shared" si="812"/>
        <v>1460.3069599999999</v>
      </c>
      <c r="BC740" s="438">
        <f t="shared" si="812"/>
        <v>1063.1535100000001</v>
      </c>
      <c r="BD740" s="439"/>
      <c r="BE740" s="439"/>
      <c r="BF740" s="439"/>
      <c r="BG740" s="478"/>
      <c r="BH740" s="440"/>
      <c r="BI740" s="440">
        <f t="shared" si="794"/>
        <v>5.8855594646464642</v>
      </c>
    </row>
    <row r="741" spans="1:61" s="358" customFormat="1" ht="24.75" customHeight="1" x14ac:dyDescent="0.3">
      <c r="A741" s="354" t="s">
        <v>4636</v>
      </c>
      <c r="B741" s="355" t="s">
        <v>223</v>
      </c>
      <c r="C741" s="587"/>
      <c r="D741" s="356">
        <v>6</v>
      </c>
      <c r="E741" s="389">
        <f t="shared" ref="E741:Q741" si="813">SUM(E742:E752)</f>
        <v>0</v>
      </c>
      <c r="F741" s="389">
        <f t="shared" si="813"/>
        <v>700</v>
      </c>
      <c r="G741" s="389">
        <f t="shared" si="813"/>
        <v>700</v>
      </c>
      <c r="H741" s="390">
        <f t="shared" si="813"/>
        <v>3813.6561499999998</v>
      </c>
      <c r="I741" s="390">
        <f t="shared" si="813"/>
        <v>3454.2957500000002</v>
      </c>
      <c r="J741" s="390">
        <f t="shared" si="813"/>
        <v>1603.1105399999999</v>
      </c>
      <c r="K741" s="390">
        <f t="shared" si="813"/>
        <v>181.06449000000001</v>
      </c>
      <c r="L741" s="390">
        <f t="shared" si="813"/>
        <v>83.73393999999999</v>
      </c>
      <c r="M741" s="390">
        <f t="shared" si="813"/>
        <v>0</v>
      </c>
      <c r="N741" s="390">
        <f t="shared" si="813"/>
        <v>0</v>
      </c>
      <c r="O741" s="390">
        <f t="shared" si="813"/>
        <v>107.52760000000001</v>
      </c>
      <c r="P741" s="390">
        <f t="shared" si="813"/>
        <v>1281.0920799999999</v>
      </c>
      <c r="Q741" s="390">
        <f t="shared" si="813"/>
        <v>93.262919999999994</v>
      </c>
      <c r="R741" s="391"/>
      <c r="S741" s="391"/>
      <c r="T741" s="391"/>
      <c r="U741" s="474"/>
      <c r="V741" s="392"/>
      <c r="W741" s="392">
        <f t="shared" si="801"/>
        <v>5.4480802142857137</v>
      </c>
      <c r="X741" s="389">
        <f t="shared" ref="X741:AJ741" si="814">SUM(X742:X752)</f>
        <v>0</v>
      </c>
      <c r="Y741" s="389">
        <f t="shared" si="814"/>
        <v>1822</v>
      </c>
      <c r="Z741" s="389">
        <f t="shared" si="814"/>
        <v>1822</v>
      </c>
      <c r="AA741" s="390">
        <f t="shared" si="814"/>
        <v>12792.76189</v>
      </c>
      <c r="AB741" s="390">
        <f t="shared" si="814"/>
        <v>11888.936239999999</v>
      </c>
      <c r="AC741" s="390">
        <f t="shared" si="814"/>
        <v>4583.6856200000002</v>
      </c>
      <c r="AD741" s="390">
        <f t="shared" si="814"/>
        <v>6986.6600600000002</v>
      </c>
      <c r="AE741" s="390">
        <f t="shared" si="814"/>
        <v>253.25542000000002</v>
      </c>
      <c r="AF741" s="390">
        <f t="shared" si="814"/>
        <v>112.5</v>
      </c>
      <c r="AG741" s="390">
        <f t="shared" si="814"/>
        <v>0</v>
      </c>
      <c r="AH741" s="390">
        <f t="shared" si="814"/>
        <v>218.43968999999998</v>
      </c>
      <c r="AI741" s="390">
        <f t="shared" si="814"/>
        <v>2291.8428100000001</v>
      </c>
      <c r="AJ741" s="390">
        <f t="shared" si="814"/>
        <v>6986.6600600000002</v>
      </c>
      <c r="AK741" s="391"/>
      <c r="AL741" s="391"/>
      <c r="AM741" s="391"/>
      <c r="AN741" s="474"/>
      <c r="AO741" s="392"/>
      <c r="AP741" s="392">
        <f t="shared" si="788"/>
        <v>7.0212743633369925</v>
      </c>
      <c r="AQ741" s="389">
        <f t="shared" ref="AQ741:BC741" si="815">SUM(AQ742:AQ752)</f>
        <v>0</v>
      </c>
      <c r="AR741" s="389">
        <f t="shared" si="815"/>
        <v>990</v>
      </c>
      <c r="AS741" s="389">
        <f t="shared" si="815"/>
        <v>990</v>
      </c>
      <c r="AT741" s="390">
        <f t="shared" si="815"/>
        <v>5826.7038699999994</v>
      </c>
      <c r="AU741" s="390">
        <f t="shared" si="815"/>
        <v>5219.9300999999996</v>
      </c>
      <c r="AV741" s="390">
        <f t="shared" si="815"/>
        <v>2904.8270400000001</v>
      </c>
      <c r="AW741" s="390">
        <f t="shared" si="815"/>
        <v>2126.3070200000002</v>
      </c>
      <c r="AX741" s="390">
        <f t="shared" si="815"/>
        <v>89.049710000000005</v>
      </c>
      <c r="AY741" s="390">
        <f t="shared" si="815"/>
        <v>0</v>
      </c>
      <c r="AZ741" s="390">
        <f t="shared" si="815"/>
        <v>0</v>
      </c>
      <c r="BA741" s="390">
        <f t="shared" si="815"/>
        <v>161.21034</v>
      </c>
      <c r="BB741" s="390">
        <f t="shared" si="815"/>
        <v>1460.3069599999999</v>
      </c>
      <c r="BC741" s="390">
        <f t="shared" si="815"/>
        <v>1063.1535100000001</v>
      </c>
      <c r="BD741" s="391"/>
      <c r="BE741" s="391"/>
      <c r="BF741" s="391"/>
      <c r="BG741" s="474"/>
      <c r="BH741" s="392"/>
      <c r="BI741" s="392">
        <f t="shared" si="794"/>
        <v>5.8855594646464642</v>
      </c>
    </row>
    <row r="742" spans="1:61" s="358" customFormat="1" ht="19.2" x14ac:dyDescent="0.3">
      <c r="A742" s="359" t="s">
        <v>178</v>
      </c>
      <c r="B742" s="537" t="s">
        <v>253</v>
      </c>
      <c r="C742" s="546" t="s">
        <v>446</v>
      </c>
      <c r="D742" s="360">
        <v>6</v>
      </c>
      <c r="E742" s="393"/>
      <c r="F742" s="523">
        <v>350</v>
      </c>
      <c r="G742" s="393">
        <v>350</v>
      </c>
      <c r="H742" s="542">
        <v>1027.1638399999999</v>
      </c>
      <c r="I742" s="394">
        <v>858.31100000000004</v>
      </c>
      <c r="J742" s="394">
        <v>644.03692000000001</v>
      </c>
      <c r="K742" s="394">
        <v>170.81734</v>
      </c>
      <c r="L742" s="394">
        <v>31.427689999999998</v>
      </c>
      <c r="M742" s="394">
        <v>0</v>
      </c>
      <c r="N742" s="394">
        <v>0</v>
      </c>
      <c r="O742" s="394">
        <v>52.310510000000001</v>
      </c>
      <c r="P742" s="394">
        <v>322.01846</v>
      </c>
      <c r="Q742" s="394">
        <v>85.408670000000001</v>
      </c>
      <c r="R742" s="381" t="s">
        <v>167</v>
      </c>
      <c r="S742" s="408" t="s">
        <v>175</v>
      </c>
      <c r="T742" s="385"/>
      <c r="U742" s="475">
        <v>334</v>
      </c>
      <c r="V742" s="395"/>
      <c r="W742" s="395">
        <f t="shared" si="801"/>
        <v>2.9347538285714285</v>
      </c>
      <c r="X742" s="393"/>
      <c r="Y742" s="523"/>
      <c r="Z742" s="393"/>
      <c r="AA742" s="542"/>
      <c r="AB742" s="394"/>
      <c r="AC742" s="394"/>
      <c r="AD742" s="394"/>
      <c r="AE742" s="394"/>
      <c r="AF742" s="394"/>
      <c r="AG742" s="394"/>
      <c r="AH742" s="394"/>
      <c r="AI742" s="394"/>
      <c r="AJ742" s="394"/>
      <c r="AK742" s="381"/>
      <c r="AL742" s="408"/>
      <c r="AM742" s="385"/>
      <c r="AN742" s="475"/>
      <c r="AO742" s="395"/>
      <c r="AP742" s="395" t="e">
        <f t="shared" si="788"/>
        <v>#DIV/0!</v>
      </c>
      <c r="AQ742" s="393"/>
      <c r="AR742" s="523"/>
      <c r="AS742" s="393"/>
      <c r="AT742" s="542"/>
      <c r="AU742" s="394"/>
      <c r="AV742" s="394"/>
      <c r="AW742" s="394"/>
      <c r="AX742" s="394"/>
      <c r="AY742" s="394"/>
      <c r="AZ742" s="394"/>
      <c r="BA742" s="394"/>
      <c r="BB742" s="394"/>
      <c r="BC742" s="394"/>
      <c r="BD742" s="381"/>
      <c r="BE742" s="408"/>
      <c r="BF742" s="385"/>
      <c r="BG742" s="475"/>
      <c r="BH742" s="395"/>
      <c r="BI742" s="395" t="e">
        <f t="shared" si="794"/>
        <v>#DIV/0!</v>
      </c>
    </row>
    <row r="743" spans="1:61" s="358" customFormat="1" ht="19.2" x14ac:dyDescent="0.3">
      <c r="A743" s="359" t="s">
        <v>182</v>
      </c>
      <c r="B743" s="537" t="s">
        <v>603</v>
      </c>
      <c r="C743" s="546" t="s">
        <v>476</v>
      </c>
      <c r="D743" s="360">
        <v>6</v>
      </c>
      <c r="E743" s="393"/>
      <c r="F743" s="523">
        <v>350</v>
      </c>
      <c r="G743" s="393">
        <v>350</v>
      </c>
      <c r="H743" s="542">
        <v>2786.4923100000001</v>
      </c>
      <c r="I743" s="394">
        <v>2595.9847500000001</v>
      </c>
      <c r="J743" s="394">
        <f>433.46112+525.6125</f>
        <v>959.07361999999989</v>
      </c>
      <c r="K743" s="394">
        <f>2.41682+4.95885+2.87148</f>
        <v>10.24715</v>
      </c>
      <c r="L743" s="394">
        <v>52.306249999999999</v>
      </c>
      <c r="M743" s="394">
        <v>0</v>
      </c>
      <c r="N743" s="394">
        <v>0</v>
      </c>
      <c r="O743" s="394">
        <v>55.217089999999999</v>
      </c>
      <c r="P743" s="394">
        <v>959.07361999999989</v>
      </c>
      <c r="Q743" s="394">
        <f>2.41682+4.95885+0.47858</f>
        <v>7.8542499999999995</v>
      </c>
      <c r="R743" s="381" t="s">
        <v>167</v>
      </c>
      <c r="S743" s="408" t="s">
        <v>175</v>
      </c>
      <c r="T743" s="385"/>
      <c r="U743" s="475">
        <v>337</v>
      </c>
      <c r="V743" s="395"/>
      <c r="W743" s="395">
        <f t="shared" ref="W743" si="816">H743/F743</f>
        <v>7.9614066000000001</v>
      </c>
      <c r="X743" s="393"/>
      <c r="Y743" s="523"/>
      <c r="Z743" s="393"/>
      <c r="AA743" s="542"/>
      <c r="AB743" s="394"/>
      <c r="AC743" s="394"/>
      <c r="AD743" s="394"/>
      <c r="AE743" s="394"/>
      <c r="AF743" s="394"/>
      <c r="AG743" s="394"/>
      <c r="AH743" s="394"/>
      <c r="AI743" s="394"/>
      <c r="AJ743" s="394"/>
      <c r="AK743" s="381"/>
      <c r="AL743" s="408"/>
      <c r="AM743" s="385"/>
      <c r="AN743" s="475"/>
      <c r="AO743" s="395"/>
      <c r="AP743" s="395" t="e">
        <f t="shared" si="788"/>
        <v>#DIV/0!</v>
      </c>
      <c r="AQ743" s="393"/>
      <c r="AR743" s="523"/>
      <c r="AS743" s="393"/>
      <c r="AT743" s="542"/>
      <c r="AU743" s="394"/>
      <c r="AV743" s="394"/>
      <c r="AW743" s="394"/>
      <c r="AX743" s="394"/>
      <c r="AY743" s="394"/>
      <c r="AZ743" s="394"/>
      <c r="BA743" s="394"/>
      <c r="BB743" s="394"/>
      <c r="BC743" s="394"/>
      <c r="BD743" s="381"/>
      <c r="BE743" s="408"/>
      <c r="BF743" s="385"/>
      <c r="BG743" s="475"/>
      <c r="BH743" s="395"/>
      <c r="BI743" s="395" t="e">
        <f t="shared" si="794"/>
        <v>#DIV/0!</v>
      </c>
    </row>
    <row r="744" spans="1:61" s="358" customFormat="1" ht="19.2" x14ac:dyDescent="0.3">
      <c r="A744" s="359" t="s">
        <v>4636</v>
      </c>
      <c r="B744" s="572" t="s">
        <v>2460</v>
      </c>
      <c r="C744" s="546" t="s">
        <v>2459</v>
      </c>
      <c r="D744" s="360">
        <v>6</v>
      </c>
      <c r="E744" s="393"/>
      <c r="F744" s="523"/>
      <c r="G744" s="393"/>
      <c r="H744" s="542"/>
      <c r="I744" s="394"/>
      <c r="J744" s="394"/>
      <c r="K744" s="394"/>
      <c r="L744" s="394"/>
      <c r="M744" s="394"/>
      <c r="N744" s="394"/>
      <c r="O744" s="394"/>
      <c r="P744" s="394"/>
      <c r="Q744" s="394"/>
      <c r="R744" s="381"/>
      <c r="S744" s="408"/>
      <c r="T744" s="385"/>
      <c r="U744" s="475"/>
      <c r="V744" s="395"/>
      <c r="W744" s="395"/>
      <c r="X744" s="393"/>
      <c r="Y744" s="523">
        <v>535</v>
      </c>
      <c r="Z744" s="393">
        <v>535</v>
      </c>
      <c r="AA744" s="571">
        <v>1113.4285</v>
      </c>
      <c r="AB744" s="394">
        <v>987.65365999999995</v>
      </c>
      <c r="AC744" s="394">
        <v>967.25562000000002</v>
      </c>
      <c r="AD744" s="394"/>
      <c r="AE744" s="394">
        <v>32.897970000000001</v>
      </c>
      <c r="AF744" s="394">
        <v>0</v>
      </c>
      <c r="AG744" s="394">
        <v>0</v>
      </c>
      <c r="AH744" s="394">
        <v>35.854210000000002</v>
      </c>
      <c r="AI744" s="394">
        <v>483.62781000000001</v>
      </c>
      <c r="AJ744" s="394"/>
      <c r="AK744" s="381" t="s">
        <v>167</v>
      </c>
      <c r="AL744" s="408" t="s">
        <v>175</v>
      </c>
      <c r="AM744" s="385"/>
      <c r="AN744" s="475">
        <v>495</v>
      </c>
      <c r="AO744" s="395"/>
      <c r="AP744" s="395">
        <f t="shared" si="788"/>
        <v>2.0811747663551401</v>
      </c>
      <c r="AQ744" s="393"/>
      <c r="AR744" s="523"/>
      <c r="AS744" s="393"/>
      <c r="AT744" s="571"/>
      <c r="AU744" s="394"/>
      <c r="AV744" s="394"/>
      <c r="AW744" s="394"/>
      <c r="AX744" s="394"/>
      <c r="AY744" s="394"/>
      <c r="AZ744" s="394"/>
      <c r="BA744" s="394"/>
      <c r="BB744" s="394"/>
      <c r="BC744" s="394"/>
      <c r="BD744" s="381"/>
      <c r="BE744" s="408"/>
      <c r="BF744" s="385"/>
      <c r="BG744" s="475"/>
      <c r="BH744" s="395"/>
      <c r="BI744" s="395" t="e">
        <f t="shared" si="794"/>
        <v>#DIV/0!</v>
      </c>
    </row>
    <row r="745" spans="1:61" s="358" customFormat="1" ht="19.2" x14ac:dyDescent="0.3">
      <c r="A745" s="359" t="s">
        <v>4636</v>
      </c>
      <c r="B745" s="572" t="s">
        <v>2601</v>
      </c>
      <c r="C745" s="546" t="s">
        <v>2600</v>
      </c>
      <c r="D745" s="360">
        <v>6</v>
      </c>
      <c r="E745" s="393"/>
      <c r="F745" s="523"/>
      <c r="G745" s="393"/>
      <c r="H745" s="542"/>
      <c r="I745" s="394"/>
      <c r="J745" s="394"/>
      <c r="K745" s="394"/>
      <c r="L745" s="394"/>
      <c r="M745" s="394"/>
      <c r="N745" s="394"/>
      <c r="O745" s="394"/>
      <c r="P745" s="394"/>
      <c r="Q745" s="394"/>
      <c r="R745" s="381"/>
      <c r="S745" s="408"/>
      <c r="T745" s="385"/>
      <c r="U745" s="475"/>
      <c r="V745" s="395"/>
      <c r="W745" s="395"/>
      <c r="X745" s="393"/>
      <c r="Y745" s="523">
        <v>400</v>
      </c>
      <c r="Z745" s="393">
        <v>400</v>
      </c>
      <c r="AA745" s="571">
        <v>2955.1222899999998</v>
      </c>
      <c r="AB745" s="394">
        <v>2794.8920499999999</v>
      </c>
      <c r="AC745" s="394">
        <v>967.25562000000002</v>
      </c>
      <c r="AD745" s="394">
        <v>1747.2759100000001</v>
      </c>
      <c r="AE745" s="394">
        <v>54.761360000000003</v>
      </c>
      <c r="AF745" s="394">
        <v>0</v>
      </c>
      <c r="AG745" s="394">
        <v>0</v>
      </c>
      <c r="AH745" s="394">
        <v>42.87865</v>
      </c>
      <c r="AI745" s="394">
        <v>483.62781000000001</v>
      </c>
      <c r="AJ745" s="394">
        <v>1747.2759100000001</v>
      </c>
      <c r="AK745" s="381" t="s">
        <v>167</v>
      </c>
      <c r="AL745" s="408" t="s">
        <v>175</v>
      </c>
      <c r="AM745" s="385"/>
      <c r="AN745" s="475">
        <v>497</v>
      </c>
      <c r="AO745" s="395"/>
      <c r="AP745" s="395">
        <f t="shared" si="788"/>
        <v>7.3878057249999998</v>
      </c>
      <c r="AQ745" s="393"/>
      <c r="AR745" s="523"/>
      <c r="AS745" s="393"/>
      <c r="AT745" s="571"/>
      <c r="AU745" s="394"/>
      <c r="AV745" s="394"/>
      <c r="AW745" s="394"/>
      <c r="AX745" s="394"/>
      <c r="AY745" s="394"/>
      <c r="AZ745" s="394"/>
      <c r="BA745" s="394"/>
      <c r="BB745" s="394"/>
      <c r="BC745" s="394"/>
      <c r="BD745" s="381"/>
      <c r="BE745" s="408"/>
      <c r="BF745" s="385"/>
      <c r="BG745" s="475"/>
      <c r="BH745" s="395"/>
      <c r="BI745" s="395" t="e">
        <f t="shared" si="794"/>
        <v>#DIV/0!</v>
      </c>
    </row>
    <row r="746" spans="1:61" s="358" customFormat="1" ht="19.2" x14ac:dyDescent="0.3">
      <c r="A746" s="359" t="s">
        <v>4636</v>
      </c>
      <c r="B746" s="572" t="s">
        <v>2603</v>
      </c>
      <c r="C746" s="546" t="s">
        <v>2602</v>
      </c>
      <c r="D746" s="360">
        <v>6</v>
      </c>
      <c r="E746" s="393"/>
      <c r="F746" s="523"/>
      <c r="G746" s="393"/>
      <c r="H746" s="542"/>
      <c r="I746" s="394"/>
      <c r="J746" s="394"/>
      <c r="K746" s="394"/>
      <c r="L746" s="394"/>
      <c r="M746" s="394"/>
      <c r="N746" s="394"/>
      <c r="O746" s="394"/>
      <c r="P746" s="394"/>
      <c r="Q746" s="394"/>
      <c r="R746" s="381"/>
      <c r="S746" s="408"/>
      <c r="T746" s="385"/>
      <c r="U746" s="475"/>
      <c r="V746" s="395"/>
      <c r="W746" s="395"/>
      <c r="X746" s="393"/>
      <c r="Y746" s="523">
        <v>220</v>
      </c>
      <c r="Z746" s="393">
        <v>220</v>
      </c>
      <c r="AA746" s="571">
        <v>3225.6478200000001</v>
      </c>
      <c r="AB746" s="394">
        <v>3037.0697300000002</v>
      </c>
      <c r="AC746" s="394">
        <v>923.19</v>
      </c>
      <c r="AD746" s="394">
        <v>2093.3332399999999</v>
      </c>
      <c r="AE746" s="394">
        <v>56.450290000000003</v>
      </c>
      <c r="AF746" s="394">
        <v>15</v>
      </c>
      <c r="AG746" s="394">
        <v>0</v>
      </c>
      <c r="AH746" s="394">
        <v>48.414090000000002</v>
      </c>
      <c r="AI746" s="394">
        <v>461.59500000000003</v>
      </c>
      <c r="AJ746" s="394">
        <v>2093.3332399999999</v>
      </c>
      <c r="AK746" s="381" t="s">
        <v>167</v>
      </c>
      <c r="AL746" s="408" t="s">
        <v>175</v>
      </c>
      <c r="AM746" s="385"/>
      <c r="AN746" s="475">
        <v>499</v>
      </c>
      <c r="AO746" s="395"/>
      <c r="AP746" s="395">
        <f t="shared" si="788"/>
        <v>14.662035545454547</v>
      </c>
      <c r="AQ746" s="393"/>
      <c r="AR746" s="523"/>
      <c r="AS746" s="393"/>
      <c r="AT746" s="571"/>
      <c r="AU746" s="394"/>
      <c r="AV746" s="394"/>
      <c r="AW746" s="394"/>
      <c r="AX746" s="394"/>
      <c r="AY746" s="394"/>
      <c r="AZ746" s="394"/>
      <c r="BA746" s="394"/>
      <c r="BB746" s="394"/>
      <c r="BC746" s="394"/>
      <c r="BD746" s="381"/>
      <c r="BE746" s="408"/>
      <c r="BF746" s="385"/>
      <c r="BG746" s="475"/>
      <c r="BH746" s="395"/>
      <c r="BI746" s="395" t="e">
        <f t="shared" si="794"/>
        <v>#DIV/0!</v>
      </c>
    </row>
    <row r="747" spans="1:61" s="358" customFormat="1" ht="19.2" x14ac:dyDescent="0.3">
      <c r="A747" s="359" t="s">
        <v>4636</v>
      </c>
      <c r="B747" s="572" t="s">
        <v>2594</v>
      </c>
      <c r="C747" s="546" t="s">
        <v>2608</v>
      </c>
      <c r="D747" s="360">
        <v>6</v>
      </c>
      <c r="E747" s="393"/>
      <c r="F747" s="523"/>
      <c r="G747" s="393"/>
      <c r="H747" s="542"/>
      <c r="I747" s="394"/>
      <c r="J747" s="394"/>
      <c r="K747" s="394"/>
      <c r="L747" s="394"/>
      <c r="M747" s="394"/>
      <c r="N747" s="394"/>
      <c r="O747" s="394"/>
      <c r="P747" s="394"/>
      <c r="Q747" s="394"/>
      <c r="R747" s="381"/>
      <c r="S747" s="408"/>
      <c r="T747" s="385"/>
      <c r="U747" s="475"/>
      <c r="V747" s="395"/>
      <c r="W747" s="395"/>
      <c r="X747" s="393"/>
      <c r="Y747" s="523">
        <v>302</v>
      </c>
      <c r="Z747" s="393">
        <v>302</v>
      </c>
      <c r="AA747" s="571">
        <v>2607.5649100000001</v>
      </c>
      <c r="AB747" s="394">
        <v>2336.4868200000001</v>
      </c>
      <c r="AC747" s="394">
        <v>808.33334000000002</v>
      </c>
      <c r="AD747" s="394">
        <v>1398.7750000000001</v>
      </c>
      <c r="AE747" s="394">
        <v>56.450290000000003</v>
      </c>
      <c r="AF747" s="394">
        <v>97.5</v>
      </c>
      <c r="AG747" s="394">
        <v>0</v>
      </c>
      <c r="AH747" s="394">
        <v>48.414090000000002</v>
      </c>
      <c r="AI747" s="394">
        <v>404.16667000000001</v>
      </c>
      <c r="AJ747" s="394">
        <v>1398.7750000000001</v>
      </c>
      <c r="AK747" s="381" t="s">
        <v>167</v>
      </c>
      <c r="AL747" s="408" t="s">
        <v>175</v>
      </c>
      <c r="AM747" s="385"/>
      <c r="AN747" s="475">
        <v>502</v>
      </c>
      <c r="AO747" s="395"/>
      <c r="AP747" s="395">
        <f t="shared" si="788"/>
        <v>8.6343208940397354</v>
      </c>
      <c r="AQ747" s="393"/>
      <c r="AR747" s="523"/>
      <c r="AS747" s="393"/>
      <c r="AT747" s="571"/>
      <c r="AU747" s="394"/>
      <c r="AV747" s="394"/>
      <c r="AW747" s="394"/>
      <c r="AX747" s="394"/>
      <c r="AY747" s="394"/>
      <c r="AZ747" s="394"/>
      <c r="BA747" s="394"/>
      <c r="BB747" s="394"/>
      <c r="BC747" s="394"/>
      <c r="BD747" s="381"/>
      <c r="BE747" s="408"/>
      <c r="BF747" s="385"/>
      <c r="BG747" s="475"/>
      <c r="BH747" s="395"/>
      <c r="BI747" s="395" t="e">
        <f t="shared" si="794"/>
        <v>#DIV/0!</v>
      </c>
    </row>
    <row r="748" spans="1:61" s="358" customFormat="1" ht="19.2" x14ac:dyDescent="0.3">
      <c r="A748" s="359" t="s">
        <v>4636</v>
      </c>
      <c r="B748" s="572" t="s">
        <v>322</v>
      </c>
      <c r="C748" s="546" t="s">
        <v>2592</v>
      </c>
      <c r="D748" s="360">
        <v>6</v>
      </c>
      <c r="E748" s="393"/>
      <c r="F748" s="523"/>
      <c r="G748" s="393"/>
      <c r="H748" s="542"/>
      <c r="I748" s="394"/>
      <c r="J748" s="394"/>
      <c r="K748" s="394"/>
      <c r="L748" s="394"/>
      <c r="M748" s="394"/>
      <c r="N748" s="394"/>
      <c r="O748" s="394"/>
      <c r="P748" s="394"/>
      <c r="Q748" s="394"/>
      <c r="R748" s="381"/>
      <c r="S748" s="408"/>
      <c r="T748" s="385"/>
      <c r="U748" s="475"/>
      <c r="V748" s="395"/>
      <c r="W748" s="395"/>
      <c r="X748" s="393"/>
      <c r="Y748" s="523">
        <v>365</v>
      </c>
      <c r="Z748" s="393">
        <v>365</v>
      </c>
      <c r="AA748" s="571">
        <v>2890.9983699999998</v>
      </c>
      <c r="AB748" s="394">
        <v>2732.8339799999999</v>
      </c>
      <c r="AC748" s="394">
        <v>917.65103999999997</v>
      </c>
      <c r="AD748" s="394">
        <v>1747.2759100000001</v>
      </c>
      <c r="AE748" s="394">
        <v>52.695509999999999</v>
      </c>
      <c r="AF748" s="394">
        <v>0</v>
      </c>
      <c r="AG748" s="394">
        <v>0</v>
      </c>
      <c r="AH748" s="394">
        <v>42.87865</v>
      </c>
      <c r="AI748" s="394">
        <v>458.82551999999998</v>
      </c>
      <c r="AJ748" s="394">
        <v>1747.2759100000001</v>
      </c>
      <c r="AK748" s="381" t="s">
        <v>167</v>
      </c>
      <c r="AL748" s="408" t="s">
        <v>175</v>
      </c>
      <c r="AM748" s="385"/>
      <c r="AN748" s="475">
        <v>505</v>
      </c>
      <c r="AO748" s="395"/>
      <c r="AP748" s="395">
        <f t="shared" si="788"/>
        <v>7.9205434794520544</v>
      </c>
      <c r="AQ748" s="393"/>
      <c r="AR748" s="523"/>
      <c r="AS748" s="393"/>
      <c r="AT748" s="571"/>
      <c r="AU748" s="394"/>
      <c r="AV748" s="394"/>
      <c r="AW748" s="394"/>
      <c r="AX748" s="394"/>
      <c r="AY748" s="394"/>
      <c r="AZ748" s="394"/>
      <c r="BA748" s="394"/>
      <c r="BB748" s="394"/>
      <c r="BC748" s="394"/>
      <c r="BD748" s="381"/>
      <c r="BE748" s="408"/>
      <c r="BF748" s="385"/>
      <c r="BG748" s="475"/>
      <c r="BH748" s="395"/>
      <c r="BI748" s="395" t="e">
        <f t="shared" si="794"/>
        <v>#DIV/0!</v>
      </c>
    </row>
    <row r="749" spans="1:61" s="358" customFormat="1" ht="19.2" x14ac:dyDescent="0.3">
      <c r="A749" s="359" t="s">
        <v>4636</v>
      </c>
      <c r="B749" s="602" t="s">
        <v>583</v>
      </c>
      <c r="C749" s="618" t="s">
        <v>4775</v>
      </c>
      <c r="D749" s="360">
        <v>6</v>
      </c>
      <c r="E749" s="528"/>
      <c r="F749" s="523"/>
      <c r="G749" s="393"/>
      <c r="H749" s="394"/>
      <c r="I749" s="394"/>
      <c r="J749" s="394"/>
      <c r="K749" s="394"/>
      <c r="L749" s="394"/>
      <c r="M749" s="394"/>
      <c r="N749" s="394"/>
      <c r="O749" s="394"/>
      <c r="P749" s="394"/>
      <c r="Q749" s="394"/>
      <c r="R749" s="381"/>
      <c r="S749" s="408"/>
      <c r="T749" s="385"/>
      <c r="U749" s="475"/>
      <c r="V749" s="395"/>
      <c r="W749" s="395"/>
      <c r="X749" s="528"/>
      <c r="Y749" s="523"/>
      <c r="Z749" s="393"/>
      <c r="AA749" s="394"/>
      <c r="AB749" s="394"/>
      <c r="AC749" s="394"/>
      <c r="AD749" s="394"/>
      <c r="AE749" s="394"/>
      <c r="AF749" s="394"/>
      <c r="AG749" s="394"/>
      <c r="AH749" s="394"/>
      <c r="AI749" s="394"/>
      <c r="AJ749" s="394"/>
      <c r="AK749" s="381"/>
      <c r="AL749" s="408"/>
      <c r="AM749" s="385"/>
      <c r="AN749" s="475"/>
      <c r="AO749" s="395"/>
      <c r="AP749" s="395"/>
      <c r="AQ749" s="528"/>
      <c r="AR749" s="523">
        <v>350</v>
      </c>
      <c r="AS749" s="393">
        <v>350</v>
      </c>
      <c r="AT749" s="600">
        <v>1205.4159999999999</v>
      </c>
      <c r="AU749" s="394">
        <v>1051.9502299999999</v>
      </c>
      <c r="AV749" s="394">
        <v>967.25828000000001</v>
      </c>
      <c r="AW749" s="394"/>
      <c r="AX749" s="394">
        <v>26.457509999999999</v>
      </c>
      <c r="AY749" s="394">
        <v>0</v>
      </c>
      <c r="AZ749" s="394">
        <v>0</v>
      </c>
      <c r="BA749" s="394">
        <v>49.091880000000003</v>
      </c>
      <c r="BB749" s="394">
        <v>483.62813999999997</v>
      </c>
      <c r="BC749" s="394"/>
      <c r="BD749" s="381" t="s">
        <v>167</v>
      </c>
      <c r="BE749" s="408" t="s">
        <v>175</v>
      </c>
      <c r="BF749" s="385"/>
      <c r="BG749" s="475">
        <v>464</v>
      </c>
      <c r="BH749" s="395"/>
      <c r="BI749" s="395">
        <f t="shared" si="794"/>
        <v>3.4440457142857142</v>
      </c>
    </row>
    <row r="750" spans="1:61" s="358" customFormat="1" ht="19.2" x14ac:dyDescent="0.3">
      <c r="A750" s="359" t="s">
        <v>4636</v>
      </c>
      <c r="B750" s="602" t="s">
        <v>254</v>
      </c>
      <c r="C750" s="618" t="s">
        <v>4841</v>
      </c>
      <c r="D750" s="360">
        <v>6</v>
      </c>
      <c r="E750" s="528"/>
      <c r="F750" s="523"/>
      <c r="G750" s="393"/>
      <c r="H750" s="394"/>
      <c r="I750" s="394"/>
      <c r="J750" s="394"/>
      <c r="K750" s="394"/>
      <c r="L750" s="394"/>
      <c r="M750" s="394"/>
      <c r="N750" s="394"/>
      <c r="O750" s="394"/>
      <c r="P750" s="394"/>
      <c r="Q750" s="394"/>
      <c r="R750" s="381"/>
      <c r="S750" s="408"/>
      <c r="T750" s="385"/>
      <c r="U750" s="475"/>
      <c r="V750" s="395"/>
      <c r="W750" s="395"/>
      <c r="X750" s="528"/>
      <c r="Y750" s="523"/>
      <c r="Z750" s="393"/>
      <c r="AA750" s="394"/>
      <c r="AB750" s="394"/>
      <c r="AC750" s="394"/>
      <c r="AD750" s="394"/>
      <c r="AE750" s="394"/>
      <c r="AF750" s="394"/>
      <c r="AG750" s="394"/>
      <c r="AH750" s="394"/>
      <c r="AI750" s="394"/>
      <c r="AJ750" s="394"/>
      <c r="AK750" s="381"/>
      <c r="AL750" s="408"/>
      <c r="AM750" s="385"/>
      <c r="AN750" s="475"/>
      <c r="AO750" s="395"/>
      <c r="AP750" s="395"/>
      <c r="AQ750" s="528"/>
      <c r="AR750" s="523">
        <v>300</v>
      </c>
      <c r="AS750" s="393">
        <v>300</v>
      </c>
      <c r="AT750" s="600">
        <v>1143.80268</v>
      </c>
      <c r="AU750" s="394">
        <v>972.18461000000002</v>
      </c>
      <c r="AV750" s="394">
        <f>433.46112+449.25</f>
        <v>882.71111999999994</v>
      </c>
      <c r="AW750" s="394"/>
      <c r="AX750" s="394">
        <v>26.739139999999999</v>
      </c>
      <c r="AY750" s="394">
        <v>0</v>
      </c>
      <c r="AZ750" s="394">
        <v>0</v>
      </c>
      <c r="BA750" s="394">
        <v>55.749499999999998</v>
      </c>
      <c r="BB750" s="394">
        <v>449.25</v>
      </c>
      <c r="BC750" s="394"/>
      <c r="BD750" s="381" t="s">
        <v>167</v>
      </c>
      <c r="BE750" s="408" t="s">
        <v>175</v>
      </c>
      <c r="BF750" s="385"/>
      <c r="BG750" s="475">
        <v>467</v>
      </c>
      <c r="BH750" s="395"/>
      <c r="BI750" s="395">
        <f t="shared" si="794"/>
        <v>3.8126755999999999</v>
      </c>
    </row>
    <row r="751" spans="1:61" s="358" customFormat="1" ht="19.2" x14ac:dyDescent="0.3">
      <c r="A751" s="359" t="s">
        <v>4636</v>
      </c>
      <c r="B751" s="602" t="s">
        <v>4958</v>
      </c>
      <c r="C751" s="548" t="s">
        <v>4957</v>
      </c>
      <c r="D751" s="360">
        <v>6</v>
      </c>
      <c r="E751" s="528"/>
      <c r="F751" s="523"/>
      <c r="G751" s="393"/>
      <c r="H751" s="394"/>
      <c r="I751" s="394"/>
      <c r="J751" s="394"/>
      <c r="K751" s="394"/>
      <c r="L751" s="394"/>
      <c r="M751" s="394"/>
      <c r="N751" s="394"/>
      <c r="O751" s="394"/>
      <c r="P751" s="394"/>
      <c r="Q751" s="394"/>
      <c r="R751" s="381"/>
      <c r="S751" s="408"/>
      <c r="T751" s="385"/>
      <c r="U751" s="475"/>
      <c r="V751" s="395"/>
      <c r="W751" s="395"/>
      <c r="X751" s="528"/>
      <c r="Y751" s="523"/>
      <c r="Z751" s="393"/>
      <c r="AA751" s="394"/>
      <c r="AB751" s="394"/>
      <c r="AC751" s="394"/>
      <c r="AD751" s="394"/>
      <c r="AE751" s="394"/>
      <c r="AF751" s="394"/>
      <c r="AG751" s="394"/>
      <c r="AH751" s="394"/>
      <c r="AI751" s="394"/>
      <c r="AJ751" s="394"/>
      <c r="AK751" s="381"/>
      <c r="AL751" s="408"/>
      <c r="AM751" s="385"/>
      <c r="AN751" s="475"/>
      <c r="AO751" s="395"/>
      <c r="AP751" s="395"/>
      <c r="AQ751" s="528"/>
      <c r="AR751" s="523">
        <v>340</v>
      </c>
      <c r="AS751" s="393">
        <v>340</v>
      </c>
      <c r="AT751" s="600">
        <v>3477.4851899999999</v>
      </c>
      <c r="AU751" s="394">
        <v>3195.7952599999999</v>
      </c>
      <c r="AV751" s="394">
        <v>1054.8576399999999</v>
      </c>
      <c r="AW751" s="394">
        <v>2126.3070200000002</v>
      </c>
      <c r="AX751" s="394">
        <v>35.853059999999999</v>
      </c>
      <c r="AY751" s="394">
        <v>0</v>
      </c>
      <c r="AZ751" s="394">
        <v>0</v>
      </c>
      <c r="BA751" s="394">
        <v>56.368960000000001</v>
      </c>
      <c r="BB751" s="394">
        <v>527.42881999999997</v>
      </c>
      <c r="BC751" s="394">
        <v>1063.1535100000001</v>
      </c>
      <c r="BD751" s="381" t="s">
        <v>167</v>
      </c>
      <c r="BE751" s="408" t="s">
        <v>175</v>
      </c>
      <c r="BF751" s="385"/>
      <c r="BG751" s="475">
        <v>469</v>
      </c>
      <c r="BH751" s="395"/>
      <c r="BI751" s="395">
        <f t="shared" ref="BI751" si="817">AT751/AR751</f>
        <v>10.227897617647059</v>
      </c>
    </row>
    <row r="752" spans="1:61" s="358" customFormat="1" x14ac:dyDescent="0.3">
      <c r="A752" s="359"/>
      <c r="B752" s="378"/>
      <c r="C752" s="546"/>
      <c r="D752" s="360"/>
      <c r="E752" s="393"/>
      <c r="F752" s="523"/>
      <c r="G752" s="393"/>
      <c r="H752" s="394"/>
      <c r="I752" s="394"/>
      <c r="J752" s="394"/>
      <c r="K752" s="394"/>
      <c r="L752" s="394"/>
      <c r="M752" s="394"/>
      <c r="N752" s="394"/>
      <c r="O752" s="394"/>
      <c r="P752" s="394"/>
      <c r="Q752" s="394"/>
      <c r="R752" s="385"/>
      <c r="S752" s="385"/>
      <c r="T752" s="385"/>
      <c r="U752" s="475"/>
      <c r="V752" s="395"/>
      <c r="W752" s="395" t="e">
        <f t="shared" si="801"/>
        <v>#DIV/0!</v>
      </c>
      <c r="X752" s="393"/>
      <c r="Y752" s="523"/>
      <c r="Z752" s="393"/>
      <c r="AA752" s="394"/>
      <c r="AB752" s="394"/>
      <c r="AC752" s="394"/>
      <c r="AD752" s="394"/>
      <c r="AE752" s="394"/>
      <c r="AF752" s="394"/>
      <c r="AG752" s="394"/>
      <c r="AH752" s="394"/>
      <c r="AI752" s="394"/>
      <c r="AJ752" s="394"/>
      <c r="AK752" s="385"/>
      <c r="AL752" s="385"/>
      <c r="AM752" s="385"/>
      <c r="AN752" s="475"/>
      <c r="AO752" s="395"/>
      <c r="AP752" s="395" t="e">
        <f t="shared" si="788"/>
        <v>#DIV/0!</v>
      </c>
      <c r="AQ752" s="393"/>
      <c r="AR752" s="523"/>
      <c r="AS752" s="393"/>
      <c r="AT752" s="394"/>
      <c r="AU752" s="394"/>
      <c r="AV752" s="394"/>
      <c r="AW752" s="394"/>
      <c r="AX752" s="394"/>
      <c r="AY752" s="394"/>
      <c r="AZ752" s="394"/>
      <c r="BA752" s="394"/>
      <c r="BB752" s="394"/>
      <c r="BC752" s="394"/>
      <c r="BD752" s="385"/>
      <c r="BE752" s="385"/>
      <c r="BF752" s="385"/>
      <c r="BG752" s="475"/>
      <c r="BH752" s="395"/>
      <c r="BI752" s="395" t="e">
        <f t="shared" si="794"/>
        <v>#DIV/0!</v>
      </c>
    </row>
    <row r="753" spans="1:61" s="358" customFormat="1" ht="24.75" customHeight="1" x14ac:dyDescent="0.3">
      <c r="A753" s="354" t="s">
        <v>4636</v>
      </c>
      <c r="B753" s="355" t="s">
        <v>224</v>
      </c>
      <c r="C753" s="587"/>
      <c r="D753" s="356">
        <v>6</v>
      </c>
      <c r="E753" s="389">
        <f t="shared" ref="E753:Q753" si="818">SUM(E754:E756)</f>
        <v>0</v>
      </c>
      <c r="F753" s="389">
        <f t="shared" si="818"/>
        <v>0</v>
      </c>
      <c r="G753" s="389">
        <f t="shared" si="818"/>
        <v>0</v>
      </c>
      <c r="H753" s="390">
        <f t="shared" si="818"/>
        <v>0</v>
      </c>
      <c r="I753" s="390">
        <f t="shared" si="818"/>
        <v>0</v>
      </c>
      <c r="J753" s="390">
        <f t="shared" si="818"/>
        <v>0</v>
      </c>
      <c r="K753" s="390">
        <f t="shared" si="818"/>
        <v>0</v>
      </c>
      <c r="L753" s="390">
        <f t="shared" si="818"/>
        <v>0</v>
      </c>
      <c r="M753" s="390">
        <f t="shared" si="818"/>
        <v>0</v>
      </c>
      <c r="N753" s="390">
        <f t="shared" si="818"/>
        <v>0</v>
      </c>
      <c r="O753" s="390">
        <f t="shared" si="818"/>
        <v>0</v>
      </c>
      <c r="P753" s="390">
        <f t="shared" si="818"/>
        <v>0</v>
      </c>
      <c r="Q753" s="390">
        <f t="shared" si="818"/>
        <v>0</v>
      </c>
      <c r="R753" s="391"/>
      <c r="S753" s="391"/>
      <c r="T753" s="391"/>
      <c r="U753" s="474"/>
      <c r="V753" s="392"/>
      <c r="W753" s="392" t="e">
        <f t="shared" si="801"/>
        <v>#DIV/0!</v>
      </c>
      <c r="X753" s="389">
        <f t="shared" ref="X753:AJ753" si="819">SUM(X754:X756)</f>
        <v>0</v>
      </c>
      <c r="Y753" s="389">
        <f t="shared" si="819"/>
        <v>0</v>
      </c>
      <c r="Z753" s="389">
        <f t="shared" si="819"/>
        <v>0</v>
      </c>
      <c r="AA753" s="390">
        <f t="shared" si="819"/>
        <v>0</v>
      </c>
      <c r="AB753" s="390">
        <f t="shared" si="819"/>
        <v>0</v>
      </c>
      <c r="AC753" s="390">
        <f t="shared" si="819"/>
        <v>0</v>
      </c>
      <c r="AD753" s="390">
        <f t="shared" si="819"/>
        <v>0</v>
      </c>
      <c r="AE753" s="390">
        <f t="shared" si="819"/>
        <v>0</v>
      </c>
      <c r="AF753" s="390">
        <f t="shared" si="819"/>
        <v>0</v>
      </c>
      <c r="AG753" s="390">
        <f t="shared" si="819"/>
        <v>0</v>
      </c>
      <c r="AH753" s="390">
        <f t="shared" si="819"/>
        <v>0</v>
      </c>
      <c r="AI753" s="390">
        <f t="shared" si="819"/>
        <v>0</v>
      </c>
      <c r="AJ753" s="390">
        <f t="shared" si="819"/>
        <v>0</v>
      </c>
      <c r="AK753" s="391"/>
      <c r="AL753" s="391"/>
      <c r="AM753" s="391"/>
      <c r="AN753" s="474"/>
      <c r="AO753" s="392"/>
      <c r="AP753" s="392" t="e">
        <f t="shared" si="788"/>
        <v>#DIV/0!</v>
      </c>
      <c r="AQ753" s="389">
        <f t="shared" ref="AQ753:BC753" si="820">SUM(AQ754:AQ756)</f>
        <v>0</v>
      </c>
      <c r="AR753" s="389">
        <f t="shared" si="820"/>
        <v>0</v>
      </c>
      <c r="AS753" s="389">
        <f t="shared" si="820"/>
        <v>0</v>
      </c>
      <c r="AT753" s="390">
        <f t="shared" si="820"/>
        <v>0</v>
      </c>
      <c r="AU753" s="390">
        <f t="shared" si="820"/>
        <v>0</v>
      </c>
      <c r="AV753" s="390">
        <f t="shared" si="820"/>
        <v>0</v>
      </c>
      <c r="AW753" s="390">
        <f t="shared" si="820"/>
        <v>0</v>
      </c>
      <c r="AX753" s="390">
        <f t="shared" si="820"/>
        <v>0</v>
      </c>
      <c r="AY753" s="390">
        <f t="shared" si="820"/>
        <v>0</v>
      </c>
      <c r="AZ753" s="390">
        <f t="shared" si="820"/>
        <v>0</v>
      </c>
      <c r="BA753" s="390">
        <f t="shared" si="820"/>
        <v>0</v>
      </c>
      <c r="BB753" s="390">
        <f t="shared" si="820"/>
        <v>0</v>
      </c>
      <c r="BC753" s="390">
        <f t="shared" si="820"/>
        <v>0</v>
      </c>
      <c r="BD753" s="391"/>
      <c r="BE753" s="391"/>
      <c r="BF753" s="391"/>
      <c r="BG753" s="474"/>
      <c r="BH753" s="392"/>
      <c r="BI753" s="392" t="e">
        <f t="shared" si="794"/>
        <v>#DIV/0!</v>
      </c>
    </row>
    <row r="754" spans="1:61" s="358" customFormat="1" ht="15.6" customHeight="1" x14ac:dyDescent="0.3">
      <c r="A754" s="359"/>
      <c r="B754" s="537"/>
      <c r="C754" s="546"/>
      <c r="D754" s="360"/>
      <c r="E754" s="393"/>
      <c r="F754" s="497"/>
      <c r="G754" s="497"/>
      <c r="H754" s="542"/>
      <c r="I754" s="394"/>
      <c r="J754" s="394"/>
      <c r="K754" s="394"/>
      <c r="L754" s="394"/>
      <c r="M754" s="394"/>
      <c r="N754" s="394"/>
      <c r="O754" s="394"/>
      <c r="P754" s="394"/>
      <c r="Q754" s="394"/>
      <c r="R754" s="381" t="s">
        <v>167</v>
      </c>
      <c r="S754" s="408" t="s">
        <v>175</v>
      </c>
      <c r="T754" s="385"/>
      <c r="U754" s="475"/>
      <c r="V754" s="395"/>
      <c r="W754" s="395" t="e">
        <f t="shared" si="801"/>
        <v>#DIV/0!</v>
      </c>
      <c r="X754" s="393"/>
      <c r="Y754" s="497"/>
      <c r="Z754" s="497"/>
      <c r="AA754" s="542"/>
      <c r="AB754" s="394"/>
      <c r="AC754" s="394"/>
      <c r="AD754" s="394"/>
      <c r="AE754" s="394"/>
      <c r="AF754" s="394"/>
      <c r="AG754" s="394"/>
      <c r="AH754" s="394"/>
      <c r="AI754" s="394"/>
      <c r="AJ754" s="394"/>
      <c r="AK754" s="381"/>
      <c r="AL754" s="408"/>
      <c r="AM754" s="385"/>
      <c r="AN754" s="475"/>
      <c r="AO754" s="395"/>
      <c r="AP754" s="395" t="e">
        <f t="shared" si="788"/>
        <v>#DIV/0!</v>
      </c>
      <c r="AQ754" s="393"/>
      <c r="AR754" s="497"/>
      <c r="AS754" s="497"/>
      <c r="AT754" s="542"/>
      <c r="AU754" s="394"/>
      <c r="AV754" s="394"/>
      <c r="AW754" s="394"/>
      <c r="AX754" s="394"/>
      <c r="AY754" s="394"/>
      <c r="AZ754" s="394"/>
      <c r="BA754" s="394"/>
      <c r="BB754" s="394"/>
      <c r="BC754" s="394"/>
      <c r="BD754" s="381"/>
      <c r="BE754" s="408"/>
      <c r="BF754" s="385"/>
      <c r="BG754" s="475"/>
      <c r="BH754" s="395"/>
      <c r="BI754" s="395" t="e">
        <f t="shared" si="794"/>
        <v>#DIV/0!</v>
      </c>
    </row>
    <row r="755" spans="1:61" s="358" customFormat="1" x14ac:dyDescent="0.3">
      <c r="A755" s="359"/>
      <c r="B755" s="572"/>
      <c r="C755" s="546"/>
      <c r="D755" s="360"/>
      <c r="E755" s="393"/>
      <c r="F755" s="497"/>
      <c r="G755" s="497"/>
      <c r="H755" s="571"/>
      <c r="I755" s="394"/>
      <c r="J755" s="394"/>
      <c r="K755" s="394"/>
      <c r="L755" s="394"/>
      <c r="M755" s="394"/>
      <c r="N755" s="394"/>
      <c r="O755" s="394"/>
      <c r="P755" s="394"/>
      <c r="Q755" s="394"/>
      <c r="R755" s="381"/>
      <c r="S755" s="408"/>
      <c r="T755" s="385"/>
      <c r="U755" s="475"/>
      <c r="V755" s="395"/>
      <c r="W755" s="395"/>
      <c r="X755" s="393"/>
      <c r="Y755" s="497"/>
      <c r="Z755" s="497"/>
      <c r="AA755" s="571"/>
      <c r="AB755" s="394"/>
      <c r="AC755" s="394"/>
      <c r="AD755" s="394"/>
      <c r="AE755" s="394"/>
      <c r="AF755" s="394"/>
      <c r="AG755" s="394"/>
      <c r="AH755" s="394"/>
      <c r="AI755" s="394"/>
      <c r="AJ755" s="394"/>
      <c r="AK755" s="381"/>
      <c r="AL755" s="408"/>
      <c r="AM755" s="385"/>
      <c r="AN755" s="475"/>
      <c r="AO755" s="395"/>
      <c r="AP755" s="395" t="e">
        <f t="shared" si="788"/>
        <v>#DIV/0!</v>
      </c>
      <c r="AQ755" s="393"/>
      <c r="AR755" s="497"/>
      <c r="AS755" s="497"/>
      <c r="AT755" s="571"/>
      <c r="AU755" s="394"/>
      <c r="AV755" s="394"/>
      <c r="AW755" s="394"/>
      <c r="AX755" s="394"/>
      <c r="AY755" s="394"/>
      <c r="AZ755" s="394"/>
      <c r="BA755" s="394"/>
      <c r="BB755" s="394"/>
      <c r="BC755" s="394"/>
      <c r="BD755" s="381"/>
      <c r="BE755" s="408"/>
      <c r="BF755" s="385"/>
      <c r="BG755" s="475"/>
      <c r="BH755" s="395"/>
      <c r="BI755" s="395" t="e">
        <f t="shared" si="794"/>
        <v>#DIV/0!</v>
      </c>
    </row>
    <row r="756" spans="1:61" s="358" customFormat="1" x14ac:dyDescent="0.3">
      <c r="A756" s="359"/>
      <c r="B756" s="378"/>
      <c r="C756" s="546"/>
      <c r="D756" s="360"/>
      <c r="E756" s="393"/>
      <c r="F756" s="523"/>
      <c r="G756" s="393"/>
      <c r="H756" s="394"/>
      <c r="I756" s="394"/>
      <c r="J756" s="394"/>
      <c r="K756" s="394"/>
      <c r="L756" s="394"/>
      <c r="M756" s="394"/>
      <c r="N756" s="394"/>
      <c r="O756" s="394"/>
      <c r="P756" s="394"/>
      <c r="Q756" s="394"/>
      <c r="R756" s="385"/>
      <c r="S756" s="385"/>
      <c r="T756" s="385"/>
      <c r="U756" s="475"/>
      <c r="V756" s="395"/>
      <c r="W756" s="395" t="e">
        <f t="shared" si="801"/>
        <v>#DIV/0!</v>
      </c>
      <c r="X756" s="393"/>
      <c r="Y756" s="523"/>
      <c r="Z756" s="393"/>
      <c r="AA756" s="394"/>
      <c r="AB756" s="394"/>
      <c r="AC756" s="394"/>
      <c r="AD756" s="394"/>
      <c r="AE756" s="394"/>
      <c r="AF756" s="394"/>
      <c r="AG756" s="394"/>
      <c r="AH756" s="394"/>
      <c r="AI756" s="394"/>
      <c r="AJ756" s="394"/>
      <c r="AK756" s="385"/>
      <c r="AL756" s="385"/>
      <c r="AM756" s="385"/>
      <c r="AN756" s="475"/>
      <c r="AO756" s="395"/>
      <c r="AP756" s="395" t="e">
        <f t="shared" si="788"/>
        <v>#DIV/0!</v>
      </c>
      <c r="AQ756" s="393"/>
      <c r="AR756" s="523"/>
      <c r="AS756" s="393"/>
      <c r="AT756" s="394"/>
      <c r="AU756" s="394"/>
      <c r="AV756" s="394"/>
      <c r="AW756" s="394"/>
      <c r="AX756" s="394"/>
      <c r="AY756" s="394"/>
      <c r="AZ756" s="394"/>
      <c r="BA756" s="394"/>
      <c r="BB756" s="394"/>
      <c r="BC756" s="394"/>
      <c r="BD756" s="385"/>
      <c r="BE756" s="385"/>
      <c r="BF756" s="385"/>
      <c r="BG756" s="475"/>
      <c r="BH756" s="395"/>
      <c r="BI756" s="395" t="e">
        <f t="shared" si="794"/>
        <v>#DIV/0!</v>
      </c>
    </row>
    <row r="757" spans="1:61" s="358" customFormat="1" ht="24.75" customHeight="1" x14ac:dyDescent="0.3">
      <c r="A757" s="354" t="s">
        <v>6331</v>
      </c>
      <c r="B757" s="355" t="s">
        <v>225</v>
      </c>
      <c r="C757" s="587"/>
      <c r="D757" s="356">
        <v>6</v>
      </c>
      <c r="E757" s="389">
        <f t="shared" ref="E757:Q757" si="821">SUM(E758:E758)</f>
        <v>0</v>
      </c>
      <c r="F757" s="389">
        <f t="shared" si="821"/>
        <v>0</v>
      </c>
      <c r="G757" s="389">
        <f t="shared" si="821"/>
        <v>0</v>
      </c>
      <c r="H757" s="390">
        <f t="shared" si="821"/>
        <v>0</v>
      </c>
      <c r="I757" s="390">
        <f t="shared" si="821"/>
        <v>0</v>
      </c>
      <c r="J757" s="390">
        <f t="shared" si="821"/>
        <v>0</v>
      </c>
      <c r="K757" s="390">
        <f t="shared" si="821"/>
        <v>0</v>
      </c>
      <c r="L757" s="390">
        <f t="shared" si="821"/>
        <v>0</v>
      </c>
      <c r="M757" s="390">
        <f t="shared" si="821"/>
        <v>0</v>
      </c>
      <c r="N757" s="390">
        <f t="shared" si="821"/>
        <v>0</v>
      </c>
      <c r="O757" s="390">
        <f t="shared" si="821"/>
        <v>0</v>
      </c>
      <c r="P757" s="390">
        <f t="shared" si="821"/>
        <v>0</v>
      </c>
      <c r="Q757" s="390">
        <f t="shared" si="821"/>
        <v>0</v>
      </c>
      <c r="R757" s="391"/>
      <c r="S757" s="391"/>
      <c r="T757" s="391"/>
      <c r="U757" s="474"/>
      <c r="V757" s="392"/>
      <c r="W757" s="392" t="e">
        <f t="shared" si="801"/>
        <v>#DIV/0!</v>
      </c>
      <c r="X757" s="389">
        <f t="shared" ref="X757:AJ757" si="822">SUM(X758:X758)</f>
        <v>0</v>
      </c>
      <c r="Y757" s="389">
        <f t="shared" si="822"/>
        <v>0</v>
      </c>
      <c r="Z757" s="389">
        <f t="shared" si="822"/>
        <v>0</v>
      </c>
      <c r="AA757" s="390">
        <f t="shared" si="822"/>
        <v>0</v>
      </c>
      <c r="AB757" s="390">
        <f t="shared" si="822"/>
        <v>0</v>
      </c>
      <c r="AC757" s="390">
        <f t="shared" si="822"/>
        <v>0</v>
      </c>
      <c r="AD757" s="390">
        <f t="shared" si="822"/>
        <v>0</v>
      </c>
      <c r="AE757" s="390">
        <f t="shared" si="822"/>
        <v>0</v>
      </c>
      <c r="AF757" s="390">
        <f t="shared" si="822"/>
        <v>0</v>
      </c>
      <c r="AG757" s="390">
        <f t="shared" si="822"/>
        <v>0</v>
      </c>
      <c r="AH757" s="390">
        <f t="shared" si="822"/>
        <v>0</v>
      </c>
      <c r="AI757" s="390">
        <f t="shared" si="822"/>
        <v>0</v>
      </c>
      <c r="AJ757" s="390">
        <f t="shared" si="822"/>
        <v>0</v>
      </c>
      <c r="AK757" s="391"/>
      <c r="AL757" s="391"/>
      <c r="AM757" s="391"/>
      <c r="AN757" s="474"/>
      <c r="AO757" s="392"/>
      <c r="AP757" s="392" t="e">
        <f t="shared" si="788"/>
        <v>#DIV/0!</v>
      </c>
      <c r="AQ757" s="389">
        <f t="shared" ref="AQ757:BC757" si="823">SUM(AQ758:AQ758)</f>
        <v>0</v>
      </c>
      <c r="AR757" s="389">
        <f t="shared" si="823"/>
        <v>0</v>
      </c>
      <c r="AS757" s="389">
        <f t="shared" si="823"/>
        <v>0</v>
      </c>
      <c r="AT757" s="390">
        <f t="shared" si="823"/>
        <v>0</v>
      </c>
      <c r="AU757" s="390">
        <f t="shared" si="823"/>
        <v>0</v>
      </c>
      <c r="AV757" s="390">
        <f t="shared" si="823"/>
        <v>0</v>
      </c>
      <c r="AW757" s="390">
        <f t="shared" si="823"/>
        <v>0</v>
      </c>
      <c r="AX757" s="390">
        <f t="shared" si="823"/>
        <v>0</v>
      </c>
      <c r="AY757" s="390">
        <f t="shared" si="823"/>
        <v>0</v>
      </c>
      <c r="AZ757" s="390">
        <f t="shared" si="823"/>
        <v>0</v>
      </c>
      <c r="BA757" s="390">
        <f t="shared" si="823"/>
        <v>0</v>
      </c>
      <c r="BB757" s="390">
        <f t="shared" si="823"/>
        <v>0</v>
      </c>
      <c r="BC757" s="390">
        <f t="shared" si="823"/>
        <v>0</v>
      </c>
      <c r="BD757" s="391"/>
      <c r="BE757" s="391"/>
      <c r="BF757" s="391"/>
      <c r="BG757" s="474"/>
      <c r="BH757" s="392"/>
      <c r="BI757" s="392" t="e">
        <f t="shared" si="794"/>
        <v>#DIV/0!</v>
      </c>
    </row>
    <row r="758" spans="1:61" s="358" customFormat="1" x14ac:dyDescent="0.3">
      <c r="A758" s="359"/>
      <c r="B758" s="378"/>
      <c r="C758" s="546"/>
      <c r="D758" s="360"/>
      <c r="E758" s="393"/>
      <c r="F758" s="523"/>
      <c r="G758" s="393"/>
      <c r="H758" s="394"/>
      <c r="I758" s="394"/>
      <c r="J758" s="394"/>
      <c r="K758" s="394"/>
      <c r="L758" s="394"/>
      <c r="M758" s="394"/>
      <c r="N758" s="394"/>
      <c r="O758" s="394"/>
      <c r="P758" s="394"/>
      <c r="Q758" s="394"/>
      <c r="R758" s="385"/>
      <c r="S758" s="385"/>
      <c r="T758" s="385"/>
      <c r="U758" s="475"/>
      <c r="V758" s="395"/>
      <c r="W758" s="395" t="e">
        <f t="shared" si="801"/>
        <v>#DIV/0!</v>
      </c>
      <c r="X758" s="393"/>
      <c r="Y758" s="523"/>
      <c r="Z758" s="393"/>
      <c r="AA758" s="394"/>
      <c r="AB758" s="394"/>
      <c r="AC758" s="394"/>
      <c r="AD758" s="394"/>
      <c r="AE758" s="394"/>
      <c r="AF758" s="394"/>
      <c r="AG758" s="394"/>
      <c r="AH758" s="394"/>
      <c r="AI758" s="394"/>
      <c r="AJ758" s="394"/>
      <c r="AK758" s="385"/>
      <c r="AL758" s="385"/>
      <c r="AM758" s="385"/>
      <c r="AN758" s="475"/>
      <c r="AO758" s="395"/>
      <c r="AP758" s="395" t="e">
        <f t="shared" si="788"/>
        <v>#DIV/0!</v>
      </c>
      <c r="AQ758" s="393"/>
      <c r="AR758" s="523"/>
      <c r="AS758" s="393"/>
      <c r="AT758" s="394"/>
      <c r="AU758" s="394"/>
      <c r="AV758" s="394"/>
      <c r="AW758" s="394"/>
      <c r="AX758" s="394"/>
      <c r="AY758" s="394"/>
      <c r="AZ758" s="394"/>
      <c r="BA758" s="394"/>
      <c r="BB758" s="394"/>
      <c r="BC758" s="394"/>
      <c r="BD758" s="385"/>
      <c r="BE758" s="385"/>
      <c r="BF758" s="385"/>
      <c r="BG758" s="475"/>
      <c r="BH758" s="395"/>
      <c r="BI758" s="395" t="e">
        <f t="shared" si="794"/>
        <v>#DIV/0!</v>
      </c>
    </row>
    <row r="759" spans="1:61" s="358" customFormat="1" ht="72" x14ac:dyDescent="0.3">
      <c r="A759" s="435" t="s">
        <v>4637</v>
      </c>
      <c r="B759" s="447" t="s">
        <v>6332</v>
      </c>
      <c r="C759" s="591"/>
      <c r="D759" s="436"/>
      <c r="E759" s="437">
        <f t="shared" ref="E759:Q759" si="824">E760</f>
        <v>0</v>
      </c>
      <c r="F759" s="437">
        <f t="shared" si="824"/>
        <v>3060</v>
      </c>
      <c r="G759" s="437">
        <f t="shared" si="824"/>
        <v>3060</v>
      </c>
      <c r="H759" s="438">
        <f t="shared" si="824"/>
        <v>8996.2841899999985</v>
      </c>
      <c r="I759" s="438">
        <f t="shared" si="824"/>
        <v>8731.1636299999991</v>
      </c>
      <c r="J759" s="438">
        <f t="shared" si="824"/>
        <v>2116.6666799999998</v>
      </c>
      <c r="K759" s="438">
        <f t="shared" si="824"/>
        <v>220.00002000000001</v>
      </c>
      <c r="L759" s="438">
        <f t="shared" si="824"/>
        <v>69.99996999999999</v>
      </c>
      <c r="M759" s="438">
        <f t="shared" si="824"/>
        <v>0</v>
      </c>
      <c r="N759" s="438">
        <f t="shared" si="824"/>
        <v>0</v>
      </c>
      <c r="O759" s="438">
        <f t="shared" si="824"/>
        <v>76.232990000000001</v>
      </c>
      <c r="P759" s="438">
        <f t="shared" si="824"/>
        <v>1058.3333399999999</v>
      </c>
      <c r="Q759" s="438">
        <f t="shared" si="824"/>
        <v>36.666669999999996</v>
      </c>
      <c r="R759" s="439"/>
      <c r="S759" s="439"/>
      <c r="T759" s="439"/>
      <c r="U759" s="478"/>
      <c r="V759" s="440"/>
      <c r="W759" s="440">
        <f t="shared" si="801"/>
        <v>2.9399621535947706</v>
      </c>
      <c r="X759" s="437">
        <f t="shared" ref="X759:AJ759" si="825">X760</f>
        <v>0</v>
      </c>
      <c r="Y759" s="437">
        <f t="shared" si="825"/>
        <v>655</v>
      </c>
      <c r="Z759" s="437">
        <f t="shared" si="825"/>
        <v>655</v>
      </c>
      <c r="AA759" s="438">
        <f t="shared" si="825"/>
        <v>8711.8421600000001</v>
      </c>
      <c r="AB759" s="438">
        <f t="shared" si="825"/>
        <v>8574.5937900000008</v>
      </c>
      <c r="AC759" s="438">
        <f t="shared" si="825"/>
        <v>1665.3</v>
      </c>
      <c r="AD759" s="438">
        <f t="shared" si="825"/>
        <v>6896.3666700000003</v>
      </c>
      <c r="AE759" s="438">
        <f t="shared" si="825"/>
        <v>39.551200000000001</v>
      </c>
      <c r="AF759" s="438">
        <f t="shared" si="825"/>
        <v>0</v>
      </c>
      <c r="AG759" s="438">
        <f t="shared" si="825"/>
        <v>0</v>
      </c>
      <c r="AH759" s="438">
        <f t="shared" si="825"/>
        <v>36.994500000000002</v>
      </c>
      <c r="AI759" s="438">
        <f t="shared" si="825"/>
        <v>832.65</v>
      </c>
      <c r="AJ759" s="438">
        <f t="shared" si="825"/>
        <v>6896.3666700000003</v>
      </c>
      <c r="AK759" s="439"/>
      <c r="AL759" s="439"/>
      <c r="AM759" s="439"/>
      <c r="AN759" s="478"/>
      <c r="AO759" s="440"/>
      <c r="AP759" s="440">
        <f t="shared" si="788"/>
        <v>13.300522381679389</v>
      </c>
      <c r="AQ759" s="437">
        <f t="shared" ref="AQ759:BC759" si="826">AQ760</f>
        <v>0</v>
      </c>
      <c r="AR759" s="437">
        <f t="shared" si="826"/>
        <v>917</v>
      </c>
      <c r="AS759" s="437">
        <f t="shared" si="826"/>
        <v>917</v>
      </c>
      <c r="AT759" s="438">
        <f t="shared" si="826"/>
        <v>5393.6801999999998</v>
      </c>
      <c r="AU759" s="438">
        <f t="shared" si="826"/>
        <v>5111.5231100000001</v>
      </c>
      <c r="AV759" s="438">
        <f t="shared" si="826"/>
        <v>2773.3333400000001</v>
      </c>
      <c r="AW759" s="438">
        <f t="shared" si="826"/>
        <v>2216.0333099999998</v>
      </c>
      <c r="AX759" s="438">
        <f t="shared" si="826"/>
        <v>88.043300000000002</v>
      </c>
      <c r="AY759" s="438">
        <f t="shared" si="826"/>
        <v>0</v>
      </c>
      <c r="AZ759" s="438">
        <f t="shared" si="826"/>
        <v>0</v>
      </c>
      <c r="BA759" s="438">
        <f t="shared" si="826"/>
        <v>79.602280000000007</v>
      </c>
      <c r="BB759" s="438">
        <f t="shared" si="826"/>
        <v>1386.6666700000001</v>
      </c>
      <c r="BC759" s="438">
        <f t="shared" si="826"/>
        <v>2216.0333099999998</v>
      </c>
      <c r="BD759" s="439"/>
      <c r="BE759" s="439"/>
      <c r="BF759" s="439"/>
      <c r="BG759" s="478"/>
      <c r="BH759" s="440"/>
      <c r="BI759" s="440">
        <f t="shared" si="794"/>
        <v>5.8818758996728464</v>
      </c>
    </row>
    <row r="760" spans="1:61" s="358" customFormat="1" ht="24.75" customHeight="1" x14ac:dyDescent="0.3">
      <c r="A760" s="354" t="s">
        <v>4637</v>
      </c>
      <c r="B760" s="355" t="s">
        <v>231</v>
      </c>
      <c r="C760" s="587"/>
      <c r="D760" s="356">
        <v>6</v>
      </c>
      <c r="E760" s="389">
        <f t="shared" ref="E760:Q760" si="827">SUM(E761:E766)</f>
        <v>0</v>
      </c>
      <c r="F760" s="389">
        <f t="shared" si="827"/>
        <v>3060</v>
      </c>
      <c r="G760" s="389">
        <f t="shared" si="827"/>
        <v>3060</v>
      </c>
      <c r="H760" s="390">
        <f t="shared" si="827"/>
        <v>8996.2841899999985</v>
      </c>
      <c r="I760" s="390">
        <f t="shared" si="827"/>
        <v>8731.1636299999991</v>
      </c>
      <c r="J760" s="390">
        <f t="shared" si="827"/>
        <v>2116.6666799999998</v>
      </c>
      <c r="K760" s="390">
        <f t="shared" si="827"/>
        <v>220.00002000000001</v>
      </c>
      <c r="L760" s="390">
        <f t="shared" si="827"/>
        <v>69.99996999999999</v>
      </c>
      <c r="M760" s="390">
        <f t="shared" si="827"/>
        <v>0</v>
      </c>
      <c r="N760" s="390">
        <f t="shared" si="827"/>
        <v>0</v>
      </c>
      <c r="O760" s="390">
        <f t="shared" si="827"/>
        <v>76.232990000000001</v>
      </c>
      <c r="P760" s="390">
        <f t="shared" si="827"/>
        <v>1058.3333399999999</v>
      </c>
      <c r="Q760" s="390">
        <f t="shared" si="827"/>
        <v>36.666669999999996</v>
      </c>
      <c r="R760" s="391"/>
      <c r="S760" s="391"/>
      <c r="T760" s="391"/>
      <c r="U760" s="474"/>
      <c r="V760" s="392"/>
      <c r="W760" s="392">
        <f t="shared" si="801"/>
        <v>2.9399621535947706</v>
      </c>
      <c r="X760" s="389">
        <f t="shared" ref="X760:AJ760" si="828">SUM(X761:X766)</f>
        <v>0</v>
      </c>
      <c r="Y760" s="389">
        <f t="shared" si="828"/>
        <v>655</v>
      </c>
      <c r="Z760" s="389">
        <f t="shared" si="828"/>
        <v>655</v>
      </c>
      <c r="AA760" s="390">
        <f t="shared" si="828"/>
        <v>8711.8421600000001</v>
      </c>
      <c r="AB760" s="390">
        <f t="shared" si="828"/>
        <v>8574.5937900000008</v>
      </c>
      <c r="AC760" s="390">
        <f t="shared" si="828"/>
        <v>1665.3</v>
      </c>
      <c r="AD760" s="390">
        <f t="shared" si="828"/>
        <v>6896.3666700000003</v>
      </c>
      <c r="AE760" s="390">
        <f t="shared" si="828"/>
        <v>39.551200000000001</v>
      </c>
      <c r="AF760" s="390">
        <f t="shared" si="828"/>
        <v>0</v>
      </c>
      <c r="AG760" s="390">
        <f t="shared" si="828"/>
        <v>0</v>
      </c>
      <c r="AH760" s="390">
        <f t="shared" si="828"/>
        <v>36.994500000000002</v>
      </c>
      <c r="AI760" s="390">
        <f t="shared" si="828"/>
        <v>832.65</v>
      </c>
      <c r="AJ760" s="390">
        <f t="shared" si="828"/>
        <v>6896.3666700000003</v>
      </c>
      <c r="AK760" s="391"/>
      <c r="AL760" s="391"/>
      <c r="AM760" s="391"/>
      <c r="AN760" s="474"/>
      <c r="AO760" s="392"/>
      <c r="AP760" s="392">
        <f t="shared" si="788"/>
        <v>13.300522381679389</v>
      </c>
      <c r="AQ760" s="389">
        <f t="shared" ref="AQ760:BC760" si="829">SUM(AQ761:AQ766)</f>
        <v>0</v>
      </c>
      <c r="AR760" s="389">
        <f t="shared" si="829"/>
        <v>917</v>
      </c>
      <c r="AS760" s="389">
        <f t="shared" si="829"/>
        <v>917</v>
      </c>
      <c r="AT760" s="390">
        <f t="shared" si="829"/>
        <v>5393.6801999999998</v>
      </c>
      <c r="AU760" s="390">
        <f t="shared" si="829"/>
        <v>5111.5231100000001</v>
      </c>
      <c r="AV760" s="390">
        <f t="shared" si="829"/>
        <v>2773.3333400000001</v>
      </c>
      <c r="AW760" s="390">
        <f t="shared" si="829"/>
        <v>2216.0333099999998</v>
      </c>
      <c r="AX760" s="390">
        <f t="shared" si="829"/>
        <v>88.043300000000002</v>
      </c>
      <c r="AY760" s="390">
        <f t="shared" si="829"/>
        <v>0</v>
      </c>
      <c r="AZ760" s="390">
        <f t="shared" si="829"/>
        <v>0</v>
      </c>
      <c r="BA760" s="390">
        <f t="shared" si="829"/>
        <v>79.602280000000007</v>
      </c>
      <c r="BB760" s="390">
        <f t="shared" si="829"/>
        <v>1386.6666700000001</v>
      </c>
      <c r="BC760" s="390">
        <f t="shared" si="829"/>
        <v>2216.0333099999998</v>
      </c>
      <c r="BD760" s="391"/>
      <c r="BE760" s="391"/>
      <c r="BF760" s="391"/>
      <c r="BG760" s="474"/>
      <c r="BH760" s="392"/>
      <c r="BI760" s="392">
        <f t="shared" si="794"/>
        <v>5.8818758996728464</v>
      </c>
    </row>
    <row r="761" spans="1:61" s="358" customFormat="1" ht="19.2" x14ac:dyDescent="0.3">
      <c r="A761" s="359" t="s">
        <v>178</v>
      </c>
      <c r="B761" s="537" t="s">
        <v>628</v>
      </c>
      <c r="C761" s="546" t="s">
        <v>504</v>
      </c>
      <c r="D761" s="360">
        <v>6</v>
      </c>
      <c r="E761" s="393"/>
      <c r="F761" s="497">
        <v>1530</v>
      </c>
      <c r="G761" s="497">
        <v>1530</v>
      </c>
      <c r="H761" s="542">
        <v>4492.2692399999996</v>
      </c>
      <c r="I761" s="394">
        <v>4361.4716699999999</v>
      </c>
      <c r="J761" s="394">
        <v>1058.3333399999999</v>
      </c>
      <c r="K761" s="394">
        <v>109.99997999999999</v>
      </c>
      <c r="L761" s="394">
        <v>34.855719999999998</v>
      </c>
      <c r="M761" s="394">
        <v>0</v>
      </c>
      <c r="N761" s="394">
        <v>0</v>
      </c>
      <c r="O761" s="394">
        <v>37.501539999999999</v>
      </c>
      <c r="P761" s="394">
        <v>529.16666999999995</v>
      </c>
      <c r="Q761" s="394">
        <v>18.33333</v>
      </c>
      <c r="R761" s="381" t="s">
        <v>167</v>
      </c>
      <c r="S761" s="408" t="s">
        <v>175</v>
      </c>
      <c r="T761" s="385"/>
      <c r="U761" s="475">
        <v>340</v>
      </c>
      <c r="V761" s="395"/>
      <c r="W761" s="395">
        <f t="shared" ref="W761" si="830">H761/F761</f>
        <v>2.9361236862745095</v>
      </c>
      <c r="X761" s="393"/>
      <c r="Y761" s="497"/>
      <c r="Z761" s="497"/>
      <c r="AA761" s="542"/>
      <c r="AB761" s="394"/>
      <c r="AC761" s="394"/>
      <c r="AD761" s="394"/>
      <c r="AE761" s="394"/>
      <c r="AF761" s="394"/>
      <c r="AG761" s="394"/>
      <c r="AH761" s="394"/>
      <c r="AI761" s="394"/>
      <c r="AJ761" s="394"/>
      <c r="AK761" s="381"/>
      <c r="AL761" s="408"/>
      <c r="AM761" s="385"/>
      <c r="AN761" s="475"/>
      <c r="AO761" s="395"/>
      <c r="AP761" s="395" t="e">
        <f t="shared" si="788"/>
        <v>#DIV/0!</v>
      </c>
      <c r="AQ761" s="393"/>
      <c r="AR761" s="497"/>
      <c r="AS761" s="497"/>
      <c r="AT761" s="542"/>
      <c r="AU761" s="394"/>
      <c r="AV761" s="394"/>
      <c r="AW761" s="394"/>
      <c r="AX761" s="394"/>
      <c r="AY761" s="394"/>
      <c r="AZ761" s="394"/>
      <c r="BA761" s="394"/>
      <c r="BB761" s="394"/>
      <c r="BC761" s="394"/>
      <c r="BD761" s="381"/>
      <c r="BE761" s="408"/>
      <c r="BF761" s="385"/>
      <c r="BG761" s="475"/>
      <c r="BH761" s="395"/>
      <c r="BI761" s="395" t="e">
        <f t="shared" si="794"/>
        <v>#DIV/0!</v>
      </c>
    </row>
    <row r="762" spans="1:61" s="358" customFormat="1" ht="19.2" x14ac:dyDescent="0.3">
      <c r="A762" s="359" t="s">
        <v>182</v>
      </c>
      <c r="B762" s="537" t="s">
        <v>628</v>
      </c>
      <c r="C762" s="546" t="s">
        <v>504</v>
      </c>
      <c r="D762" s="360">
        <v>6</v>
      </c>
      <c r="E762" s="393"/>
      <c r="F762" s="497">
        <v>1530</v>
      </c>
      <c r="G762" s="497">
        <v>1530</v>
      </c>
      <c r="H762" s="542">
        <v>4504.0149499999998</v>
      </c>
      <c r="I762" s="394">
        <v>4369.6919600000001</v>
      </c>
      <c r="J762" s="394">
        <v>1058.3333399999999</v>
      </c>
      <c r="K762" s="394">
        <v>110.00004</v>
      </c>
      <c r="L762" s="394">
        <v>35.14425</v>
      </c>
      <c r="M762" s="394">
        <v>0</v>
      </c>
      <c r="N762" s="394">
        <v>0</v>
      </c>
      <c r="O762" s="394">
        <v>38.731450000000002</v>
      </c>
      <c r="P762" s="394">
        <v>529.16666999999995</v>
      </c>
      <c r="Q762" s="394">
        <v>18.33334</v>
      </c>
      <c r="R762" s="381" t="s">
        <v>167</v>
      </c>
      <c r="S762" s="408" t="s">
        <v>175</v>
      </c>
      <c r="T762" s="385"/>
      <c r="U762" s="475">
        <v>343</v>
      </c>
      <c r="V762" s="395"/>
      <c r="W762" s="395">
        <f t="shared" ref="W762" si="831">H762/F762</f>
        <v>2.9438006209150327</v>
      </c>
      <c r="X762" s="393"/>
      <c r="Y762" s="497"/>
      <c r="Z762" s="497"/>
      <c r="AA762" s="542"/>
      <c r="AB762" s="394"/>
      <c r="AC762" s="394"/>
      <c r="AD762" s="394"/>
      <c r="AE762" s="394"/>
      <c r="AF762" s="394"/>
      <c r="AG762" s="394"/>
      <c r="AH762" s="394"/>
      <c r="AI762" s="394"/>
      <c r="AJ762" s="394"/>
      <c r="AK762" s="381"/>
      <c r="AL762" s="408"/>
      <c r="AM762" s="385"/>
      <c r="AN762" s="475"/>
      <c r="AO762" s="395"/>
      <c r="AP762" s="395" t="e">
        <f t="shared" si="788"/>
        <v>#DIV/0!</v>
      </c>
      <c r="AQ762" s="393"/>
      <c r="AR762" s="497"/>
      <c r="AS762" s="497"/>
      <c r="AT762" s="542"/>
      <c r="AU762" s="394"/>
      <c r="AV762" s="394"/>
      <c r="AW762" s="394"/>
      <c r="AX762" s="394"/>
      <c r="AY762" s="394"/>
      <c r="AZ762" s="394"/>
      <c r="BA762" s="394"/>
      <c r="BB762" s="394"/>
      <c r="BC762" s="394"/>
      <c r="BD762" s="381"/>
      <c r="BE762" s="408"/>
      <c r="BF762" s="385"/>
      <c r="BG762" s="475"/>
      <c r="BH762" s="395"/>
      <c r="BI762" s="395" t="e">
        <f t="shared" si="794"/>
        <v>#DIV/0!</v>
      </c>
    </row>
    <row r="763" spans="1:61" s="358" customFormat="1" ht="19.2" x14ac:dyDescent="0.3">
      <c r="A763" s="359" t="s">
        <v>4637</v>
      </c>
      <c r="B763" s="572" t="s">
        <v>2451</v>
      </c>
      <c r="C763" s="546" t="s">
        <v>2453</v>
      </c>
      <c r="D763" s="360">
        <v>6</v>
      </c>
      <c r="E763" s="393"/>
      <c r="F763" s="497"/>
      <c r="G763" s="497"/>
      <c r="H763" s="571"/>
      <c r="I763" s="394"/>
      <c r="J763" s="394"/>
      <c r="K763" s="394"/>
      <c r="L763" s="394"/>
      <c r="M763" s="394"/>
      <c r="N763" s="394"/>
      <c r="O763" s="394"/>
      <c r="P763" s="394"/>
      <c r="Q763" s="394"/>
      <c r="R763" s="381"/>
      <c r="S763" s="408"/>
      <c r="T763" s="385"/>
      <c r="U763" s="475"/>
      <c r="V763" s="395"/>
      <c r="W763" s="395"/>
      <c r="X763" s="393"/>
      <c r="Y763" s="497">
        <v>655</v>
      </c>
      <c r="Z763" s="497">
        <v>655</v>
      </c>
      <c r="AA763" s="571">
        <v>8711.8421600000001</v>
      </c>
      <c r="AB763" s="394">
        <v>8574.5937900000008</v>
      </c>
      <c r="AC763" s="394">
        <v>1665.3</v>
      </c>
      <c r="AD763" s="394">
        <v>6896.3666700000003</v>
      </c>
      <c r="AE763" s="394">
        <v>39.551200000000001</v>
      </c>
      <c r="AF763" s="394">
        <v>0</v>
      </c>
      <c r="AG763" s="394">
        <v>0</v>
      </c>
      <c r="AH763" s="394">
        <v>36.994500000000002</v>
      </c>
      <c r="AI763" s="394">
        <v>832.65</v>
      </c>
      <c r="AJ763" s="394">
        <v>6896.3666700000003</v>
      </c>
      <c r="AK763" s="381" t="s">
        <v>167</v>
      </c>
      <c r="AL763" s="408" t="s">
        <v>175</v>
      </c>
      <c r="AM763" s="385"/>
      <c r="AN763" s="475">
        <v>507</v>
      </c>
      <c r="AO763" s="395"/>
      <c r="AP763" s="395">
        <f t="shared" si="788"/>
        <v>13.300522381679389</v>
      </c>
      <c r="AQ763" s="393"/>
      <c r="AR763" s="497"/>
      <c r="AS763" s="497"/>
      <c r="AT763" s="571"/>
      <c r="AU763" s="394"/>
      <c r="AV763" s="394"/>
      <c r="AW763" s="394"/>
      <c r="AX763" s="394"/>
      <c r="AY763" s="394"/>
      <c r="AZ763" s="394"/>
      <c r="BA763" s="394"/>
      <c r="BB763" s="394"/>
      <c r="BC763" s="394"/>
      <c r="BD763" s="381"/>
      <c r="BE763" s="408"/>
      <c r="BF763" s="385"/>
      <c r="BG763" s="475"/>
      <c r="BH763" s="395"/>
      <c r="BI763" s="395" t="e">
        <f t="shared" si="794"/>
        <v>#DIV/0!</v>
      </c>
    </row>
    <row r="764" spans="1:61" s="358" customFormat="1" ht="28.8" x14ac:dyDescent="0.3">
      <c r="A764" s="359" t="s">
        <v>4637</v>
      </c>
      <c r="B764" s="602" t="s">
        <v>4789</v>
      </c>
      <c r="C764" s="618" t="s">
        <v>4790</v>
      </c>
      <c r="D764" s="360">
        <v>6</v>
      </c>
      <c r="E764" s="528"/>
      <c r="F764" s="523"/>
      <c r="G764" s="393"/>
      <c r="H764" s="394"/>
      <c r="I764" s="394"/>
      <c r="J764" s="394"/>
      <c r="K764" s="394"/>
      <c r="L764" s="394"/>
      <c r="M764" s="394"/>
      <c r="N764" s="394"/>
      <c r="O764" s="394"/>
      <c r="P764" s="394"/>
      <c r="Q764" s="394"/>
      <c r="R764" s="381"/>
      <c r="S764" s="408"/>
      <c r="T764" s="385"/>
      <c r="U764" s="475"/>
      <c r="V764" s="395"/>
      <c r="W764" s="395"/>
      <c r="X764" s="528"/>
      <c r="Y764" s="523"/>
      <c r="Z764" s="393"/>
      <c r="AA764" s="394"/>
      <c r="AB764" s="394"/>
      <c r="AC764" s="394"/>
      <c r="AD764" s="394"/>
      <c r="AE764" s="394"/>
      <c r="AF764" s="394"/>
      <c r="AG764" s="394"/>
      <c r="AH764" s="394"/>
      <c r="AI764" s="394"/>
      <c r="AJ764" s="394"/>
      <c r="AK764" s="381"/>
      <c r="AL764" s="408"/>
      <c r="AM764" s="385"/>
      <c r="AN764" s="475"/>
      <c r="AO764" s="395"/>
      <c r="AP764" s="395"/>
      <c r="AQ764" s="528"/>
      <c r="AR764" s="523">
        <v>237</v>
      </c>
      <c r="AS764" s="393">
        <v>237</v>
      </c>
      <c r="AT764" s="600">
        <v>1295.1773800000001</v>
      </c>
      <c r="AU764" s="394">
        <v>1138.43705</v>
      </c>
      <c r="AV764" s="394">
        <v>1058.3333399999999</v>
      </c>
      <c r="AW764" s="394"/>
      <c r="AX764" s="394">
        <v>26.565799999999999</v>
      </c>
      <c r="AY764" s="394">
        <v>0</v>
      </c>
      <c r="AZ764" s="394">
        <v>0</v>
      </c>
      <c r="BA764" s="394">
        <v>50.36401</v>
      </c>
      <c r="BB764" s="394">
        <v>529.16666999999995</v>
      </c>
      <c r="BC764" s="394"/>
      <c r="BD764" s="381" t="s">
        <v>167</v>
      </c>
      <c r="BE764" s="408" t="s">
        <v>175</v>
      </c>
      <c r="BF764" s="385"/>
      <c r="BG764" s="475">
        <v>472</v>
      </c>
      <c r="BH764" s="395"/>
      <c r="BI764" s="395">
        <f t="shared" si="794"/>
        <v>5.4648834599156118</v>
      </c>
    </row>
    <row r="765" spans="1:61" s="358" customFormat="1" ht="19.2" x14ac:dyDescent="0.3">
      <c r="A765" s="359" t="s">
        <v>4637</v>
      </c>
      <c r="B765" s="602" t="s">
        <v>603</v>
      </c>
      <c r="C765" s="548" t="s">
        <v>4965</v>
      </c>
      <c r="D765" s="360">
        <v>6</v>
      </c>
      <c r="E765" s="528"/>
      <c r="F765" s="523"/>
      <c r="G765" s="393"/>
      <c r="H765" s="394"/>
      <c r="I765" s="394"/>
      <c r="J765" s="394"/>
      <c r="K765" s="394"/>
      <c r="L765" s="394"/>
      <c r="M765" s="394"/>
      <c r="N765" s="394"/>
      <c r="O765" s="394"/>
      <c r="P765" s="394"/>
      <c r="Q765" s="394"/>
      <c r="R765" s="381"/>
      <c r="S765" s="408"/>
      <c r="T765" s="385"/>
      <c r="U765" s="475"/>
      <c r="V765" s="395"/>
      <c r="W765" s="395"/>
      <c r="X765" s="528"/>
      <c r="Y765" s="523"/>
      <c r="Z765" s="393"/>
      <c r="AA765" s="394"/>
      <c r="AB765" s="394"/>
      <c r="AC765" s="394"/>
      <c r="AD765" s="394"/>
      <c r="AE765" s="394"/>
      <c r="AF765" s="394"/>
      <c r="AG765" s="394"/>
      <c r="AH765" s="394"/>
      <c r="AI765" s="394"/>
      <c r="AJ765" s="394"/>
      <c r="AK765" s="381"/>
      <c r="AL765" s="408"/>
      <c r="AM765" s="385"/>
      <c r="AN765" s="475"/>
      <c r="AO765" s="395"/>
      <c r="AP765" s="395"/>
      <c r="AQ765" s="528"/>
      <c r="AR765" s="523">
        <v>680</v>
      </c>
      <c r="AS765" s="393">
        <v>680</v>
      </c>
      <c r="AT765" s="600">
        <v>4098.5028199999997</v>
      </c>
      <c r="AU765" s="394">
        <v>3973.0860600000001</v>
      </c>
      <c r="AV765" s="394">
        <v>1715</v>
      </c>
      <c r="AW765" s="394">
        <v>2216.0333099999998</v>
      </c>
      <c r="AX765" s="394">
        <v>61.477499999999999</v>
      </c>
      <c r="AY765" s="394">
        <v>0</v>
      </c>
      <c r="AZ765" s="394">
        <v>0</v>
      </c>
      <c r="BA765" s="394">
        <v>29.23827</v>
      </c>
      <c r="BB765" s="394">
        <v>857.5</v>
      </c>
      <c r="BC765" s="394">
        <v>2216.0333099999998</v>
      </c>
      <c r="BD765" s="381" t="s">
        <v>167</v>
      </c>
      <c r="BE765" s="408" t="s">
        <v>175</v>
      </c>
      <c r="BF765" s="385"/>
      <c r="BG765" s="475">
        <v>474</v>
      </c>
      <c r="BH765" s="395"/>
      <c r="BI765" s="395">
        <f t="shared" si="794"/>
        <v>6.0272100294117639</v>
      </c>
    </row>
    <row r="766" spans="1:61" s="358" customFormat="1" x14ac:dyDescent="0.3">
      <c r="A766" s="359"/>
      <c r="B766" s="378"/>
      <c r="C766" s="546"/>
      <c r="D766" s="360"/>
      <c r="E766" s="393"/>
      <c r="F766" s="393"/>
      <c r="G766" s="393"/>
      <c r="H766" s="394"/>
      <c r="I766" s="394"/>
      <c r="J766" s="394"/>
      <c r="K766" s="394"/>
      <c r="L766" s="394"/>
      <c r="M766" s="394"/>
      <c r="N766" s="394"/>
      <c r="O766" s="394"/>
      <c r="P766" s="394"/>
      <c r="Q766" s="394"/>
      <c r="R766" s="385"/>
      <c r="S766" s="385"/>
      <c r="T766" s="385"/>
      <c r="U766" s="475"/>
      <c r="V766" s="395"/>
      <c r="W766" s="395" t="e">
        <f t="shared" si="801"/>
        <v>#DIV/0!</v>
      </c>
      <c r="X766" s="393"/>
      <c r="Y766" s="393"/>
      <c r="Z766" s="393"/>
      <c r="AA766" s="394"/>
      <c r="AB766" s="394"/>
      <c r="AC766" s="394"/>
      <c r="AD766" s="394"/>
      <c r="AE766" s="394"/>
      <c r="AF766" s="394"/>
      <c r="AG766" s="394"/>
      <c r="AH766" s="394"/>
      <c r="AI766" s="394"/>
      <c r="AJ766" s="394"/>
      <c r="AK766" s="385"/>
      <c r="AL766" s="385"/>
      <c r="AM766" s="385"/>
      <c r="AN766" s="475"/>
      <c r="AO766" s="395"/>
      <c r="AP766" s="395" t="e">
        <f t="shared" si="788"/>
        <v>#DIV/0!</v>
      </c>
      <c r="AQ766" s="393"/>
      <c r="AR766" s="393"/>
      <c r="AS766" s="393"/>
      <c r="AT766" s="394"/>
      <c r="AU766" s="394"/>
      <c r="AV766" s="394"/>
      <c r="AW766" s="394"/>
      <c r="AX766" s="394"/>
      <c r="AY766" s="394"/>
      <c r="AZ766" s="394"/>
      <c r="BA766" s="394"/>
      <c r="BB766" s="394"/>
      <c r="BC766" s="394"/>
      <c r="BD766" s="385"/>
      <c r="BE766" s="385"/>
      <c r="BF766" s="385"/>
      <c r="BG766" s="475"/>
      <c r="BH766" s="395"/>
      <c r="BI766" s="395" t="e">
        <f t="shared" si="794"/>
        <v>#DIV/0!</v>
      </c>
    </row>
    <row r="767" spans="1:61" s="358" customFormat="1" ht="43.2" x14ac:dyDescent="0.3">
      <c r="A767" s="499" t="s">
        <v>45</v>
      </c>
      <c r="B767" s="500" t="s">
        <v>256</v>
      </c>
      <c r="C767" s="593"/>
      <c r="D767" s="502"/>
      <c r="E767" s="503">
        <f t="shared" ref="E767:Q767" si="832">E768+E1623+E3328+E3460</f>
        <v>0</v>
      </c>
      <c r="F767" s="503">
        <f t="shared" si="832"/>
        <v>722</v>
      </c>
      <c r="G767" s="503">
        <f t="shared" si="832"/>
        <v>0</v>
      </c>
      <c r="H767" s="504">
        <f t="shared" si="832"/>
        <v>9297.5469500000054</v>
      </c>
      <c r="I767" s="504">
        <f t="shared" si="832"/>
        <v>7813.6591700000208</v>
      </c>
      <c r="J767" s="504">
        <f t="shared" si="832"/>
        <v>6665.8625900000134</v>
      </c>
      <c r="K767" s="504">
        <f t="shared" si="832"/>
        <v>0</v>
      </c>
      <c r="L767" s="504">
        <f t="shared" si="832"/>
        <v>0</v>
      </c>
      <c r="M767" s="504">
        <f t="shared" si="832"/>
        <v>0</v>
      </c>
      <c r="N767" s="504">
        <f t="shared" si="832"/>
        <v>0</v>
      </c>
      <c r="O767" s="504">
        <f t="shared" si="832"/>
        <v>345.72258999999963</v>
      </c>
      <c r="P767" s="504">
        <f t="shared" si="832"/>
        <v>6604.8202100000135</v>
      </c>
      <c r="Q767" s="504">
        <f t="shared" si="832"/>
        <v>0</v>
      </c>
      <c r="R767" s="505"/>
      <c r="S767" s="505"/>
      <c r="T767" s="505"/>
      <c r="U767" s="506"/>
      <c r="V767" s="507"/>
      <c r="W767" s="507">
        <f t="shared" si="801"/>
        <v>12.877488850415521</v>
      </c>
      <c r="X767" s="503">
        <f t="shared" ref="X767:AJ767" si="833">X768+X1623+X3328+X3460</f>
        <v>0</v>
      </c>
      <c r="Y767" s="503">
        <f t="shared" si="833"/>
        <v>1123</v>
      </c>
      <c r="Z767" s="503">
        <f t="shared" si="833"/>
        <v>0</v>
      </c>
      <c r="AA767" s="504">
        <f t="shared" si="833"/>
        <v>18038.956930000022</v>
      </c>
      <c r="AB767" s="504">
        <f t="shared" si="833"/>
        <v>15153.67974</v>
      </c>
      <c r="AC767" s="504">
        <f t="shared" si="833"/>
        <v>13377.270820000038</v>
      </c>
      <c r="AD767" s="504">
        <f t="shared" si="833"/>
        <v>254.03485999999998</v>
      </c>
      <c r="AE767" s="504">
        <f t="shared" si="833"/>
        <v>0</v>
      </c>
      <c r="AF767" s="504">
        <f t="shared" si="833"/>
        <v>0</v>
      </c>
      <c r="AG767" s="504">
        <f t="shared" si="833"/>
        <v>0</v>
      </c>
      <c r="AH767" s="504">
        <f t="shared" si="833"/>
        <v>673.01862999999764</v>
      </c>
      <c r="AI767" s="504">
        <f t="shared" si="833"/>
        <v>12596.989180000035</v>
      </c>
      <c r="AJ767" s="504">
        <f t="shared" si="833"/>
        <v>110.70963000000003</v>
      </c>
      <c r="AK767" s="505"/>
      <c r="AL767" s="505"/>
      <c r="AM767" s="505"/>
      <c r="AN767" s="506"/>
      <c r="AO767" s="507"/>
      <c r="AP767" s="507">
        <f t="shared" si="788"/>
        <v>16.06318515583261</v>
      </c>
      <c r="AQ767" s="503">
        <f t="shared" ref="AQ767:BC767" si="834">AQ768+AQ1623+AQ3328+AQ3460</f>
        <v>0</v>
      </c>
      <c r="AR767" s="503">
        <f t="shared" si="834"/>
        <v>846</v>
      </c>
      <c r="AS767" s="503">
        <f t="shared" si="834"/>
        <v>0</v>
      </c>
      <c r="AT767" s="504">
        <f t="shared" si="834"/>
        <v>14543.163810000033</v>
      </c>
      <c r="AU767" s="504">
        <f t="shared" si="834"/>
        <v>11606.356061999984</v>
      </c>
      <c r="AV767" s="504">
        <f t="shared" si="834"/>
        <v>10330.516290000003</v>
      </c>
      <c r="AW767" s="504">
        <f t="shared" si="834"/>
        <v>190.9931</v>
      </c>
      <c r="AX767" s="504">
        <f t="shared" si="834"/>
        <v>0</v>
      </c>
      <c r="AY767" s="504">
        <f t="shared" si="834"/>
        <v>0</v>
      </c>
      <c r="AZ767" s="504">
        <f t="shared" si="834"/>
        <v>0</v>
      </c>
      <c r="BA767" s="504">
        <f t="shared" si="834"/>
        <v>684.31299000000229</v>
      </c>
      <c r="BB767" s="504">
        <f t="shared" si="834"/>
        <v>10287.276100000001</v>
      </c>
      <c r="BC767" s="504">
        <f t="shared" si="834"/>
        <v>60.053540000000034</v>
      </c>
      <c r="BD767" s="505"/>
      <c r="BE767" s="505"/>
      <c r="BF767" s="505"/>
      <c r="BG767" s="506"/>
      <c r="BH767" s="507"/>
      <c r="BI767" s="507">
        <f t="shared" si="794"/>
        <v>17.190500957446847</v>
      </c>
    </row>
    <row r="768" spans="1:61" s="358" customFormat="1" ht="43.2" x14ac:dyDescent="0.3">
      <c r="A768" s="616" t="s">
        <v>6334</v>
      </c>
      <c r="B768" s="516" t="s">
        <v>6333</v>
      </c>
      <c r="C768" s="594"/>
      <c r="D768" s="515">
        <v>0.22</v>
      </c>
      <c r="E768" s="509">
        <f t="shared" ref="E768:Q768" si="835">SUM(E769:E1622)</f>
        <v>0</v>
      </c>
      <c r="F768" s="509">
        <f t="shared" si="835"/>
        <v>193</v>
      </c>
      <c r="G768" s="509">
        <f t="shared" si="835"/>
        <v>0</v>
      </c>
      <c r="H768" s="510">
        <f t="shared" si="835"/>
        <v>1545.496779999997</v>
      </c>
      <c r="I768" s="510">
        <f t="shared" si="835"/>
        <v>1300.8830199999991</v>
      </c>
      <c r="J768" s="510">
        <f t="shared" si="835"/>
        <v>1081.6328900000026</v>
      </c>
      <c r="K768" s="510">
        <f t="shared" si="835"/>
        <v>0</v>
      </c>
      <c r="L768" s="510">
        <f t="shared" si="835"/>
        <v>0</v>
      </c>
      <c r="M768" s="510">
        <f t="shared" si="835"/>
        <v>0</v>
      </c>
      <c r="N768" s="510">
        <f t="shared" si="835"/>
        <v>0</v>
      </c>
      <c r="O768" s="510">
        <f t="shared" si="835"/>
        <v>56.825299999999935</v>
      </c>
      <c r="P768" s="510">
        <f t="shared" si="835"/>
        <v>1080.382170000003</v>
      </c>
      <c r="Q768" s="510">
        <f t="shared" si="835"/>
        <v>0</v>
      </c>
      <c r="R768" s="511"/>
      <c r="S768" s="511"/>
      <c r="T768" s="511"/>
      <c r="U768" s="512"/>
      <c r="V768" s="513"/>
      <c r="W768" s="513">
        <f t="shared" si="801"/>
        <v>8.0077553367875485</v>
      </c>
      <c r="X768" s="509">
        <f t="shared" ref="X768:AJ768" si="836">SUM(X769:X1622)</f>
        <v>0</v>
      </c>
      <c r="Y768" s="509">
        <f t="shared" si="836"/>
        <v>390</v>
      </c>
      <c r="Z768" s="509">
        <f t="shared" si="836"/>
        <v>0</v>
      </c>
      <c r="AA768" s="510">
        <f t="shared" si="836"/>
        <v>3676.8126600000037</v>
      </c>
      <c r="AB768" s="510">
        <f t="shared" si="836"/>
        <v>2794.6167299999979</v>
      </c>
      <c r="AC768" s="510">
        <f t="shared" si="836"/>
        <v>2282.6120500000093</v>
      </c>
      <c r="AD768" s="510">
        <f t="shared" si="836"/>
        <v>34.925919999999998</v>
      </c>
      <c r="AE768" s="510">
        <f t="shared" si="836"/>
        <v>0</v>
      </c>
      <c r="AF768" s="510">
        <f t="shared" si="836"/>
        <v>0</v>
      </c>
      <c r="AG768" s="510">
        <f t="shared" si="836"/>
        <v>0</v>
      </c>
      <c r="AH768" s="510">
        <f t="shared" si="836"/>
        <v>203.3178899999993</v>
      </c>
      <c r="AI768" s="510">
        <f t="shared" si="836"/>
        <v>2282.6120400000095</v>
      </c>
      <c r="AJ768" s="510">
        <f t="shared" si="836"/>
        <v>22.189659999999996</v>
      </c>
      <c r="AK768" s="511"/>
      <c r="AL768" s="511"/>
      <c r="AM768" s="511"/>
      <c r="AN768" s="512"/>
      <c r="AO768" s="513"/>
      <c r="AP768" s="513">
        <f t="shared" si="788"/>
        <v>9.4277247692307782</v>
      </c>
      <c r="AQ768" s="509">
        <f t="shared" ref="AQ768:BC768" si="837">SUM(AQ769:AQ1622)</f>
        <v>0</v>
      </c>
      <c r="AR768" s="509">
        <f t="shared" si="837"/>
        <v>270</v>
      </c>
      <c r="AS768" s="509">
        <f t="shared" si="837"/>
        <v>0</v>
      </c>
      <c r="AT768" s="510">
        <f t="shared" si="837"/>
        <v>3026.0635099999986</v>
      </c>
      <c r="AU768" s="510">
        <f t="shared" si="837"/>
        <v>2127.0975420000004</v>
      </c>
      <c r="AV768" s="510">
        <f t="shared" si="837"/>
        <v>1876.5305699999994</v>
      </c>
      <c r="AW768" s="510">
        <f t="shared" si="837"/>
        <v>0</v>
      </c>
      <c r="AX768" s="510">
        <f t="shared" si="837"/>
        <v>0</v>
      </c>
      <c r="AY768" s="510">
        <f t="shared" si="837"/>
        <v>0</v>
      </c>
      <c r="AZ768" s="510">
        <f t="shared" si="837"/>
        <v>0</v>
      </c>
      <c r="BA768" s="510">
        <f t="shared" si="837"/>
        <v>209.57043999999962</v>
      </c>
      <c r="BB768" s="510">
        <f t="shared" si="837"/>
        <v>1869.8232699999994</v>
      </c>
      <c r="BC768" s="510">
        <f t="shared" si="837"/>
        <v>0</v>
      </c>
      <c r="BD768" s="511"/>
      <c r="BE768" s="511"/>
      <c r="BF768" s="511"/>
      <c r="BG768" s="512"/>
      <c r="BH768" s="513"/>
      <c r="BI768" s="513">
        <f t="shared" si="794"/>
        <v>11.207642629629625</v>
      </c>
    </row>
    <row r="769" spans="1:61" s="358" customFormat="1" ht="19.2" x14ac:dyDescent="0.3">
      <c r="A769" s="359" t="s">
        <v>178</v>
      </c>
      <c r="B769" s="537" t="s">
        <v>1279</v>
      </c>
      <c r="C769" s="546" t="s">
        <v>666</v>
      </c>
      <c r="D769" s="360">
        <v>0.22</v>
      </c>
      <c r="E769" s="393"/>
      <c r="F769" s="523">
        <v>1</v>
      </c>
      <c r="G769" s="393"/>
      <c r="H769" s="544">
        <v>7.1948999999999996</v>
      </c>
      <c r="I769" s="394">
        <v>6.4025499999999997</v>
      </c>
      <c r="J769" s="394">
        <v>5.2089600000000003</v>
      </c>
      <c r="K769" s="394"/>
      <c r="L769" s="394"/>
      <c r="M769" s="394">
        <v>0</v>
      </c>
      <c r="N769" s="394">
        <v>0</v>
      </c>
      <c r="O769" s="394">
        <v>0.18472</v>
      </c>
      <c r="P769" s="394">
        <v>5.2089600000000003</v>
      </c>
      <c r="Q769" s="394"/>
      <c r="R769" s="381" t="s">
        <v>167</v>
      </c>
      <c r="S769" s="408" t="s">
        <v>175</v>
      </c>
      <c r="T769" s="385"/>
      <c r="U769" s="475">
        <v>346</v>
      </c>
      <c r="V769" s="395"/>
      <c r="W769" s="395">
        <f t="shared" ref="W769:W1623" si="838">H769/F769</f>
        <v>7.1948999999999996</v>
      </c>
      <c r="X769" s="393"/>
      <c r="Y769" s="523"/>
      <c r="Z769" s="393"/>
      <c r="AA769" s="544"/>
      <c r="AB769" s="394"/>
      <c r="AC769" s="394"/>
      <c r="AD769" s="394"/>
      <c r="AE769" s="394"/>
      <c r="AF769" s="394"/>
      <c r="AG769" s="394"/>
      <c r="AH769" s="394"/>
      <c r="AI769" s="394"/>
      <c r="AJ769" s="394"/>
      <c r="AK769" s="381"/>
      <c r="AL769" s="408"/>
      <c r="AM769" s="385"/>
      <c r="AN769" s="475"/>
      <c r="AO769" s="395"/>
      <c r="AP769" s="395" t="e">
        <f t="shared" ref="AP769:AP800" si="839">AA769/Y769</f>
        <v>#DIV/0!</v>
      </c>
      <c r="AQ769" s="393"/>
      <c r="AR769" s="523"/>
      <c r="AS769" s="393"/>
      <c r="AT769" s="544"/>
      <c r="AU769" s="394"/>
      <c r="AV769" s="394"/>
      <c r="AW769" s="394"/>
      <c r="AX769" s="394"/>
      <c r="AY769" s="394"/>
      <c r="AZ769" s="394"/>
      <c r="BA769" s="394"/>
      <c r="BB769" s="394"/>
      <c r="BC769" s="394"/>
      <c r="BD769" s="381"/>
      <c r="BE769" s="408"/>
      <c r="BF769" s="385"/>
      <c r="BG769" s="475"/>
      <c r="BH769" s="395"/>
      <c r="BI769" s="395" t="e">
        <f t="shared" ref="BI769:BI811" si="840">AT769/AR769</f>
        <v>#DIV/0!</v>
      </c>
    </row>
    <row r="770" spans="1:61" s="358" customFormat="1" ht="19.2" x14ac:dyDescent="0.3">
      <c r="A770" s="359" t="s">
        <v>182</v>
      </c>
      <c r="B770" s="537" t="s">
        <v>1280</v>
      </c>
      <c r="C770" s="546" t="s">
        <v>667</v>
      </c>
      <c r="D770" s="360">
        <v>0.22</v>
      </c>
      <c r="E770" s="393"/>
      <c r="F770" s="523">
        <v>1</v>
      </c>
      <c r="G770" s="393"/>
      <c r="H770" s="544">
        <v>7.1949100000000001</v>
      </c>
      <c r="I770" s="394">
        <v>6.4025600000000003</v>
      </c>
      <c r="J770" s="394">
        <v>5.2089600000000003</v>
      </c>
      <c r="K770" s="394"/>
      <c r="L770" s="394"/>
      <c r="M770" s="394">
        <v>0</v>
      </c>
      <c r="N770" s="394">
        <v>0</v>
      </c>
      <c r="O770" s="394">
        <v>0.18472</v>
      </c>
      <c r="P770" s="394">
        <v>5.2089600000000003</v>
      </c>
      <c r="Q770" s="394"/>
      <c r="R770" s="381" t="s">
        <v>167</v>
      </c>
      <c r="S770" s="408" t="s">
        <v>175</v>
      </c>
      <c r="T770" s="385"/>
      <c r="U770" s="475">
        <v>347</v>
      </c>
      <c r="V770" s="395"/>
      <c r="W770" s="395">
        <f t="shared" ref="W770:W798" si="841">H770/F770</f>
        <v>7.1949100000000001</v>
      </c>
      <c r="X770" s="393"/>
      <c r="Y770" s="523"/>
      <c r="Z770" s="393"/>
      <c r="AA770" s="544"/>
      <c r="AB770" s="394"/>
      <c r="AC770" s="394"/>
      <c r="AD770" s="394"/>
      <c r="AE770" s="394"/>
      <c r="AF770" s="394"/>
      <c r="AG770" s="394"/>
      <c r="AH770" s="394"/>
      <c r="AI770" s="394"/>
      <c r="AJ770" s="394"/>
      <c r="AK770" s="381"/>
      <c r="AL770" s="408"/>
      <c r="AM770" s="385"/>
      <c r="AN770" s="475"/>
      <c r="AO770" s="395"/>
      <c r="AP770" s="395" t="e">
        <f t="shared" si="839"/>
        <v>#DIV/0!</v>
      </c>
      <c r="AQ770" s="393"/>
      <c r="AR770" s="523"/>
      <c r="AS770" s="393"/>
      <c r="AT770" s="544"/>
      <c r="AU770" s="394"/>
      <c r="AV770" s="394"/>
      <c r="AW770" s="394"/>
      <c r="AX770" s="394"/>
      <c r="AY770" s="394"/>
      <c r="AZ770" s="394"/>
      <c r="BA770" s="394"/>
      <c r="BB770" s="394"/>
      <c r="BC770" s="394"/>
      <c r="BD770" s="381"/>
      <c r="BE770" s="408"/>
      <c r="BF770" s="385"/>
      <c r="BG770" s="475"/>
      <c r="BH770" s="395"/>
      <c r="BI770" s="395" t="e">
        <f t="shared" si="840"/>
        <v>#DIV/0!</v>
      </c>
    </row>
    <row r="771" spans="1:61" s="358" customFormat="1" ht="19.2" x14ac:dyDescent="0.3">
      <c r="A771" s="359"/>
      <c r="B771" s="537" t="s">
        <v>573</v>
      </c>
      <c r="C771" s="546" t="s">
        <v>442</v>
      </c>
      <c r="D771" s="360">
        <v>0.22</v>
      </c>
      <c r="E771" s="393"/>
      <c r="F771" s="523">
        <v>1</v>
      </c>
      <c r="G771" s="393"/>
      <c r="H771" s="544">
        <v>7.1948999999999996</v>
      </c>
      <c r="I771" s="394">
        <v>6.4025499999999997</v>
      </c>
      <c r="J771" s="394">
        <v>5.2089600000000003</v>
      </c>
      <c r="K771" s="394"/>
      <c r="L771" s="394"/>
      <c r="M771" s="394">
        <v>0</v>
      </c>
      <c r="N771" s="394">
        <v>0</v>
      </c>
      <c r="O771" s="394">
        <v>0.18472</v>
      </c>
      <c r="P771" s="394">
        <v>5.2089600000000003</v>
      </c>
      <c r="Q771" s="394"/>
      <c r="R771" s="381" t="s">
        <v>167</v>
      </c>
      <c r="S771" s="408" t="s">
        <v>175</v>
      </c>
      <c r="T771" s="385"/>
      <c r="U771" s="475">
        <v>348</v>
      </c>
      <c r="V771" s="395"/>
      <c r="W771" s="395">
        <f t="shared" si="841"/>
        <v>7.1948999999999996</v>
      </c>
      <c r="X771" s="393"/>
      <c r="Y771" s="523"/>
      <c r="Z771" s="393"/>
      <c r="AA771" s="544"/>
      <c r="AB771" s="394"/>
      <c r="AC771" s="394"/>
      <c r="AD771" s="394"/>
      <c r="AE771" s="394"/>
      <c r="AF771" s="394"/>
      <c r="AG771" s="394"/>
      <c r="AH771" s="394"/>
      <c r="AI771" s="394"/>
      <c r="AJ771" s="394"/>
      <c r="AK771" s="381"/>
      <c r="AL771" s="408"/>
      <c r="AM771" s="385"/>
      <c r="AN771" s="475"/>
      <c r="AO771" s="395"/>
      <c r="AP771" s="395" t="e">
        <f t="shared" si="839"/>
        <v>#DIV/0!</v>
      </c>
      <c r="AQ771" s="393"/>
      <c r="AR771" s="523"/>
      <c r="AS771" s="393"/>
      <c r="AT771" s="544"/>
      <c r="AU771" s="394"/>
      <c r="AV771" s="394"/>
      <c r="AW771" s="394"/>
      <c r="AX771" s="394"/>
      <c r="AY771" s="394"/>
      <c r="AZ771" s="394"/>
      <c r="BA771" s="394"/>
      <c r="BB771" s="394"/>
      <c r="BC771" s="394"/>
      <c r="BD771" s="381"/>
      <c r="BE771" s="408"/>
      <c r="BF771" s="385"/>
      <c r="BG771" s="475"/>
      <c r="BH771" s="395"/>
      <c r="BI771" s="395" t="e">
        <f t="shared" si="840"/>
        <v>#DIV/0!</v>
      </c>
    </row>
    <row r="772" spans="1:61" s="358" customFormat="1" ht="19.2" x14ac:dyDescent="0.3">
      <c r="A772" s="359" t="s">
        <v>329</v>
      </c>
      <c r="B772" s="537" t="s">
        <v>1281</v>
      </c>
      <c r="C772" s="546" t="s">
        <v>668</v>
      </c>
      <c r="D772" s="360">
        <v>0.22</v>
      </c>
      <c r="E772" s="393"/>
      <c r="F772" s="523">
        <v>1</v>
      </c>
      <c r="G772" s="393"/>
      <c r="H772" s="544">
        <v>7.1949100000000001</v>
      </c>
      <c r="I772" s="394">
        <v>6.4025600000000003</v>
      </c>
      <c r="J772" s="394">
        <v>5.2089600000000003</v>
      </c>
      <c r="K772" s="394"/>
      <c r="L772" s="394"/>
      <c r="M772" s="394">
        <v>0</v>
      </c>
      <c r="N772" s="394">
        <v>0</v>
      </c>
      <c r="O772" s="394">
        <v>0.18472</v>
      </c>
      <c r="P772" s="394">
        <v>5.2089600000000003</v>
      </c>
      <c r="Q772" s="394"/>
      <c r="R772" s="381" t="s">
        <v>167</v>
      </c>
      <c r="S772" s="408" t="s">
        <v>175</v>
      </c>
      <c r="T772" s="385"/>
      <c r="U772" s="475">
        <v>349</v>
      </c>
      <c r="V772" s="395"/>
      <c r="W772" s="395">
        <f t="shared" si="841"/>
        <v>7.1949100000000001</v>
      </c>
      <c r="X772" s="393"/>
      <c r="Y772" s="523"/>
      <c r="Z772" s="393"/>
      <c r="AA772" s="544"/>
      <c r="AB772" s="394"/>
      <c r="AC772" s="394"/>
      <c r="AD772" s="394"/>
      <c r="AE772" s="394"/>
      <c r="AF772" s="394"/>
      <c r="AG772" s="394"/>
      <c r="AH772" s="394"/>
      <c r="AI772" s="394"/>
      <c r="AJ772" s="394"/>
      <c r="AK772" s="381"/>
      <c r="AL772" s="408"/>
      <c r="AM772" s="385"/>
      <c r="AN772" s="475"/>
      <c r="AO772" s="395"/>
      <c r="AP772" s="395" t="e">
        <f t="shared" si="839"/>
        <v>#DIV/0!</v>
      </c>
      <c r="AQ772" s="393"/>
      <c r="AR772" s="523"/>
      <c r="AS772" s="393"/>
      <c r="AT772" s="544"/>
      <c r="AU772" s="394"/>
      <c r="AV772" s="394"/>
      <c r="AW772" s="394"/>
      <c r="AX772" s="394"/>
      <c r="AY772" s="394"/>
      <c r="AZ772" s="394"/>
      <c r="BA772" s="394"/>
      <c r="BB772" s="394"/>
      <c r="BC772" s="394"/>
      <c r="BD772" s="381"/>
      <c r="BE772" s="408"/>
      <c r="BF772" s="385"/>
      <c r="BG772" s="475"/>
      <c r="BH772" s="395"/>
      <c r="BI772" s="395" t="e">
        <f t="shared" si="840"/>
        <v>#DIV/0!</v>
      </c>
    </row>
    <row r="773" spans="1:61" s="358" customFormat="1" ht="19.2" x14ac:dyDescent="0.3">
      <c r="A773" s="359" t="s">
        <v>189</v>
      </c>
      <c r="B773" s="537" t="s">
        <v>1282</v>
      </c>
      <c r="C773" s="546" t="s">
        <v>669</v>
      </c>
      <c r="D773" s="360">
        <v>0.22</v>
      </c>
      <c r="E773" s="393"/>
      <c r="F773" s="523">
        <v>1</v>
      </c>
      <c r="G773" s="393"/>
      <c r="H773" s="544">
        <v>7.5186400000000004</v>
      </c>
      <c r="I773" s="394">
        <v>6.7262899999999997</v>
      </c>
      <c r="J773" s="394">
        <v>5.2089600000000003</v>
      </c>
      <c r="K773" s="394"/>
      <c r="L773" s="394"/>
      <c r="M773" s="394">
        <v>0</v>
      </c>
      <c r="N773" s="394">
        <v>0</v>
      </c>
      <c r="O773" s="394">
        <v>0.18472</v>
      </c>
      <c r="P773" s="394">
        <v>5.2089600000000003</v>
      </c>
      <c r="Q773" s="394"/>
      <c r="R773" s="381" t="s">
        <v>167</v>
      </c>
      <c r="S773" s="408" t="s">
        <v>175</v>
      </c>
      <c r="T773" s="385"/>
      <c r="U773" s="475">
        <v>350</v>
      </c>
      <c r="V773" s="395"/>
      <c r="W773" s="395">
        <f t="shared" si="841"/>
        <v>7.5186400000000004</v>
      </c>
      <c r="X773" s="393"/>
      <c r="Y773" s="523"/>
      <c r="Z773" s="393"/>
      <c r="AA773" s="544"/>
      <c r="AB773" s="394"/>
      <c r="AC773" s="394"/>
      <c r="AD773" s="394"/>
      <c r="AE773" s="394"/>
      <c r="AF773" s="394"/>
      <c r="AG773" s="394"/>
      <c r="AH773" s="394"/>
      <c r="AI773" s="394"/>
      <c r="AJ773" s="394"/>
      <c r="AK773" s="381"/>
      <c r="AL773" s="408"/>
      <c r="AM773" s="385"/>
      <c r="AN773" s="475"/>
      <c r="AO773" s="395"/>
      <c r="AP773" s="395" t="e">
        <f t="shared" si="839"/>
        <v>#DIV/0!</v>
      </c>
      <c r="AQ773" s="393"/>
      <c r="AR773" s="523"/>
      <c r="AS773" s="393"/>
      <c r="AT773" s="544"/>
      <c r="AU773" s="394"/>
      <c r="AV773" s="394"/>
      <c r="AW773" s="394"/>
      <c r="AX773" s="394"/>
      <c r="AY773" s="394"/>
      <c r="AZ773" s="394"/>
      <c r="BA773" s="394"/>
      <c r="BB773" s="394"/>
      <c r="BC773" s="394"/>
      <c r="BD773" s="381"/>
      <c r="BE773" s="408"/>
      <c r="BF773" s="385"/>
      <c r="BG773" s="475"/>
      <c r="BH773" s="395"/>
      <c r="BI773" s="395" t="e">
        <f t="shared" si="840"/>
        <v>#DIV/0!</v>
      </c>
    </row>
    <row r="774" spans="1:61" s="358" customFormat="1" ht="19.2" x14ac:dyDescent="0.3">
      <c r="A774" s="359" t="s">
        <v>267</v>
      </c>
      <c r="B774" s="537" t="s">
        <v>1283</v>
      </c>
      <c r="C774" s="546" t="s">
        <v>670</v>
      </c>
      <c r="D774" s="360">
        <v>0.22</v>
      </c>
      <c r="E774" s="393"/>
      <c r="F774" s="523">
        <v>1</v>
      </c>
      <c r="G774" s="393"/>
      <c r="H774" s="544">
        <v>7.1948999999999996</v>
      </c>
      <c r="I774" s="394">
        <v>6.4025499999999997</v>
      </c>
      <c r="J774" s="394">
        <v>5.2089600000000003</v>
      </c>
      <c r="K774" s="394"/>
      <c r="L774" s="394"/>
      <c r="M774" s="394">
        <v>0</v>
      </c>
      <c r="N774" s="394">
        <v>0</v>
      </c>
      <c r="O774" s="394">
        <v>0.18472</v>
      </c>
      <c r="P774" s="394">
        <v>5.2089600000000003</v>
      </c>
      <c r="Q774" s="394"/>
      <c r="R774" s="381" t="s">
        <v>167</v>
      </c>
      <c r="S774" s="408" t="s">
        <v>175</v>
      </c>
      <c r="T774" s="385"/>
      <c r="U774" s="475">
        <v>351</v>
      </c>
      <c r="V774" s="395"/>
      <c r="W774" s="395">
        <f t="shared" si="841"/>
        <v>7.1948999999999996</v>
      </c>
      <c r="X774" s="393"/>
      <c r="Y774" s="523"/>
      <c r="Z774" s="393"/>
      <c r="AA774" s="544"/>
      <c r="AB774" s="394"/>
      <c r="AC774" s="394"/>
      <c r="AD774" s="394"/>
      <c r="AE774" s="394"/>
      <c r="AF774" s="394"/>
      <c r="AG774" s="394"/>
      <c r="AH774" s="394"/>
      <c r="AI774" s="394"/>
      <c r="AJ774" s="394"/>
      <c r="AK774" s="381"/>
      <c r="AL774" s="408"/>
      <c r="AM774" s="385"/>
      <c r="AN774" s="475"/>
      <c r="AO774" s="395"/>
      <c r="AP774" s="395" t="e">
        <f t="shared" si="839"/>
        <v>#DIV/0!</v>
      </c>
      <c r="AQ774" s="393"/>
      <c r="AR774" s="523"/>
      <c r="AS774" s="393"/>
      <c r="AT774" s="544"/>
      <c r="AU774" s="394"/>
      <c r="AV774" s="394"/>
      <c r="AW774" s="394"/>
      <c r="AX774" s="394"/>
      <c r="AY774" s="394"/>
      <c r="AZ774" s="394"/>
      <c r="BA774" s="394"/>
      <c r="BB774" s="394"/>
      <c r="BC774" s="394"/>
      <c r="BD774" s="381"/>
      <c r="BE774" s="408"/>
      <c r="BF774" s="385"/>
      <c r="BG774" s="475"/>
      <c r="BH774" s="395"/>
      <c r="BI774" s="395" t="e">
        <f t="shared" si="840"/>
        <v>#DIV/0!</v>
      </c>
    </row>
    <row r="775" spans="1:61" s="358" customFormat="1" ht="19.2" x14ac:dyDescent="0.3">
      <c r="A775" s="359" t="s">
        <v>268</v>
      </c>
      <c r="B775" s="537" t="s">
        <v>1284</v>
      </c>
      <c r="C775" s="546" t="s">
        <v>671</v>
      </c>
      <c r="D775" s="360">
        <v>0.22</v>
      </c>
      <c r="E775" s="393"/>
      <c r="F775" s="523">
        <v>1</v>
      </c>
      <c r="G775" s="393"/>
      <c r="H775" s="544">
        <v>7.4740599999999997</v>
      </c>
      <c r="I775" s="394">
        <v>6.6817099999999998</v>
      </c>
      <c r="J775" s="394">
        <v>5.2086499999999996</v>
      </c>
      <c r="K775" s="394"/>
      <c r="L775" s="394"/>
      <c r="M775" s="394">
        <v>0</v>
      </c>
      <c r="N775" s="394">
        <v>0</v>
      </c>
      <c r="O775" s="394">
        <v>0.18472</v>
      </c>
      <c r="P775" s="394">
        <v>5.2086499999999996</v>
      </c>
      <c r="Q775" s="394"/>
      <c r="R775" s="381" t="s">
        <v>167</v>
      </c>
      <c r="S775" s="408" t="s">
        <v>175</v>
      </c>
      <c r="T775" s="385"/>
      <c r="U775" s="475">
        <v>352</v>
      </c>
      <c r="V775" s="395"/>
      <c r="W775" s="395">
        <f t="shared" si="841"/>
        <v>7.4740599999999997</v>
      </c>
      <c r="X775" s="393"/>
      <c r="Y775" s="523"/>
      <c r="Z775" s="393"/>
      <c r="AA775" s="544"/>
      <c r="AB775" s="394"/>
      <c r="AC775" s="394"/>
      <c r="AD775" s="394"/>
      <c r="AE775" s="394"/>
      <c r="AF775" s="394"/>
      <c r="AG775" s="394"/>
      <c r="AH775" s="394"/>
      <c r="AI775" s="394"/>
      <c r="AJ775" s="394"/>
      <c r="AK775" s="381"/>
      <c r="AL775" s="408"/>
      <c r="AM775" s="385"/>
      <c r="AN775" s="475"/>
      <c r="AO775" s="395"/>
      <c r="AP775" s="395" t="e">
        <f t="shared" si="839"/>
        <v>#DIV/0!</v>
      </c>
      <c r="AQ775" s="393"/>
      <c r="AR775" s="523"/>
      <c r="AS775" s="393"/>
      <c r="AT775" s="544"/>
      <c r="AU775" s="394"/>
      <c r="AV775" s="394"/>
      <c r="AW775" s="394"/>
      <c r="AX775" s="394"/>
      <c r="AY775" s="394"/>
      <c r="AZ775" s="394"/>
      <c r="BA775" s="394"/>
      <c r="BB775" s="394"/>
      <c r="BC775" s="394"/>
      <c r="BD775" s="381"/>
      <c r="BE775" s="408"/>
      <c r="BF775" s="385"/>
      <c r="BG775" s="475"/>
      <c r="BH775" s="395"/>
      <c r="BI775" s="395" t="e">
        <f t="shared" si="840"/>
        <v>#DIV/0!</v>
      </c>
    </row>
    <row r="776" spans="1:61" s="358" customFormat="1" ht="19.2" x14ac:dyDescent="0.3">
      <c r="A776" s="359" t="s">
        <v>269</v>
      </c>
      <c r="B776" s="537" t="s">
        <v>1285</v>
      </c>
      <c r="C776" s="546" t="s">
        <v>672</v>
      </c>
      <c r="D776" s="360">
        <v>0.22</v>
      </c>
      <c r="E776" s="393"/>
      <c r="F776" s="523">
        <v>1</v>
      </c>
      <c r="G776" s="393"/>
      <c r="H776" s="544">
        <v>7.19895</v>
      </c>
      <c r="I776" s="394">
        <v>6.4066000000000001</v>
      </c>
      <c r="J776" s="394">
        <v>5.2086600000000001</v>
      </c>
      <c r="K776" s="394"/>
      <c r="L776" s="394"/>
      <c r="M776" s="394">
        <v>0</v>
      </c>
      <c r="N776" s="394">
        <v>0</v>
      </c>
      <c r="O776" s="394">
        <v>0.18472</v>
      </c>
      <c r="P776" s="394">
        <v>5.2086600000000001</v>
      </c>
      <c r="Q776" s="394"/>
      <c r="R776" s="381" t="s">
        <v>167</v>
      </c>
      <c r="S776" s="408" t="s">
        <v>175</v>
      </c>
      <c r="T776" s="385"/>
      <c r="U776" s="475">
        <v>353</v>
      </c>
      <c r="V776" s="395"/>
      <c r="W776" s="395">
        <f t="shared" si="841"/>
        <v>7.19895</v>
      </c>
      <c r="X776" s="393"/>
      <c r="Y776" s="523"/>
      <c r="Z776" s="393"/>
      <c r="AA776" s="544"/>
      <c r="AB776" s="394"/>
      <c r="AC776" s="394"/>
      <c r="AD776" s="394"/>
      <c r="AE776" s="394"/>
      <c r="AF776" s="394"/>
      <c r="AG776" s="394"/>
      <c r="AH776" s="394"/>
      <c r="AI776" s="394"/>
      <c r="AJ776" s="394"/>
      <c r="AK776" s="381"/>
      <c r="AL776" s="408"/>
      <c r="AM776" s="385"/>
      <c r="AN776" s="475"/>
      <c r="AO776" s="395"/>
      <c r="AP776" s="395" t="e">
        <f t="shared" si="839"/>
        <v>#DIV/0!</v>
      </c>
      <c r="AQ776" s="393"/>
      <c r="AR776" s="523"/>
      <c r="AS776" s="393"/>
      <c r="AT776" s="544"/>
      <c r="AU776" s="394"/>
      <c r="AV776" s="394"/>
      <c r="AW776" s="394"/>
      <c r="AX776" s="394"/>
      <c r="AY776" s="394"/>
      <c r="AZ776" s="394"/>
      <c r="BA776" s="394"/>
      <c r="BB776" s="394"/>
      <c r="BC776" s="394"/>
      <c r="BD776" s="381"/>
      <c r="BE776" s="408"/>
      <c r="BF776" s="385"/>
      <c r="BG776" s="475"/>
      <c r="BH776" s="395"/>
      <c r="BI776" s="395" t="e">
        <f t="shared" si="840"/>
        <v>#DIV/0!</v>
      </c>
    </row>
    <row r="777" spans="1:61" s="358" customFormat="1" ht="19.2" x14ac:dyDescent="0.3">
      <c r="A777" s="359" t="s">
        <v>270</v>
      </c>
      <c r="B777" s="537" t="s">
        <v>1286</v>
      </c>
      <c r="C777" s="546" t="s">
        <v>673</v>
      </c>
      <c r="D777" s="360">
        <v>0.22</v>
      </c>
      <c r="E777" s="393"/>
      <c r="F777" s="523">
        <v>1</v>
      </c>
      <c r="G777" s="393"/>
      <c r="H777" s="544">
        <v>6.8505799999999999</v>
      </c>
      <c r="I777" s="394">
        <v>6.05823</v>
      </c>
      <c r="J777" s="394">
        <v>5.2086499999999996</v>
      </c>
      <c r="K777" s="394"/>
      <c r="L777" s="394"/>
      <c r="M777" s="394">
        <v>0</v>
      </c>
      <c r="N777" s="394">
        <v>0</v>
      </c>
      <c r="O777" s="394">
        <v>0.18472</v>
      </c>
      <c r="P777" s="394">
        <v>5.2086499999999996</v>
      </c>
      <c r="Q777" s="394"/>
      <c r="R777" s="381" t="s">
        <v>167</v>
      </c>
      <c r="S777" s="408" t="s">
        <v>175</v>
      </c>
      <c r="T777" s="385"/>
      <c r="U777" s="475">
        <v>354</v>
      </c>
      <c r="V777" s="395"/>
      <c r="W777" s="395">
        <f t="shared" si="841"/>
        <v>6.8505799999999999</v>
      </c>
      <c r="X777" s="393"/>
      <c r="Y777" s="523"/>
      <c r="Z777" s="393"/>
      <c r="AA777" s="544"/>
      <c r="AB777" s="394"/>
      <c r="AC777" s="394"/>
      <c r="AD777" s="394"/>
      <c r="AE777" s="394"/>
      <c r="AF777" s="394"/>
      <c r="AG777" s="394"/>
      <c r="AH777" s="394"/>
      <c r="AI777" s="394"/>
      <c r="AJ777" s="394"/>
      <c r="AK777" s="381"/>
      <c r="AL777" s="408"/>
      <c r="AM777" s="385"/>
      <c r="AN777" s="475"/>
      <c r="AO777" s="395"/>
      <c r="AP777" s="395" t="e">
        <f t="shared" si="839"/>
        <v>#DIV/0!</v>
      </c>
      <c r="AQ777" s="393"/>
      <c r="AR777" s="523"/>
      <c r="AS777" s="393"/>
      <c r="AT777" s="544"/>
      <c r="AU777" s="394"/>
      <c r="AV777" s="394"/>
      <c r="AW777" s="394"/>
      <c r="AX777" s="394"/>
      <c r="AY777" s="394"/>
      <c r="AZ777" s="394"/>
      <c r="BA777" s="394"/>
      <c r="BB777" s="394"/>
      <c r="BC777" s="394"/>
      <c r="BD777" s="381"/>
      <c r="BE777" s="408"/>
      <c r="BF777" s="385"/>
      <c r="BG777" s="475"/>
      <c r="BH777" s="395"/>
      <c r="BI777" s="395" t="e">
        <f t="shared" si="840"/>
        <v>#DIV/0!</v>
      </c>
    </row>
    <row r="778" spans="1:61" s="358" customFormat="1" ht="19.2" x14ac:dyDescent="0.3">
      <c r="A778" s="359" t="s">
        <v>271</v>
      </c>
      <c r="B778" s="537" t="s">
        <v>1287</v>
      </c>
      <c r="C778" s="546" t="s">
        <v>674</v>
      </c>
      <c r="D778" s="360">
        <v>0.22</v>
      </c>
      <c r="E778" s="393"/>
      <c r="F778" s="523">
        <v>1</v>
      </c>
      <c r="G778" s="393"/>
      <c r="H778" s="544">
        <v>6.8505799999999999</v>
      </c>
      <c r="I778" s="394">
        <v>6.05823</v>
      </c>
      <c r="J778" s="394">
        <v>5.2086499999999996</v>
      </c>
      <c r="K778" s="394"/>
      <c r="L778" s="394"/>
      <c r="M778" s="394">
        <v>0</v>
      </c>
      <c r="N778" s="394">
        <v>0</v>
      </c>
      <c r="O778" s="394">
        <v>0.18472</v>
      </c>
      <c r="P778" s="394">
        <v>5.2086499999999996</v>
      </c>
      <c r="Q778" s="394"/>
      <c r="R778" s="381" t="s">
        <v>167</v>
      </c>
      <c r="S778" s="408" t="s">
        <v>175</v>
      </c>
      <c r="T778" s="385"/>
      <c r="U778" s="475">
        <v>355</v>
      </c>
      <c r="V778" s="395"/>
      <c r="W778" s="395">
        <f t="shared" si="841"/>
        <v>6.8505799999999999</v>
      </c>
      <c r="X778" s="393"/>
      <c r="Y778" s="523"/>
      <c r="Z778" s="393"/>
      <c r="AA778" s="544"/>
      <c r="AB778" s="394"/>
      <c r="AC778" s="394"/>
      <c r="AD778" s="394"/>
      <c r="AE778" s="394"/>
      <c r="AF778" s="394"/>
      <c r="AG778" s="394"/>
      <c r="AH778" s="394"/>
      <c r="AI778" s="394"/>
      <c r="AJ778" s="394"/>
      <c r="AK778" s="381"/>
      <c r="AL778" s="408"/>
      <c r="AM778" s="385"/>
      <c r="AN778" s="475"/>
      <c r="AO778" s="395"/>
      <c r="AP778" s="395" t="e">
        <f t="shared" si="839"/>
        <v>#DIV/0!</v>
      </c>
      <c r="AQ778" s="393"/>
      <c r="AR778" s="523"/>
      <c r="AS778" s="393"/>
      <c r="AT778" s="544"/>
      <c r="AU778" s="394"/>
      <c r="AV778" s="394"/>
      <c r="AW778" s="394"/>
      <c r="AX778" s="394"/>
      <c r="AY778" s="394"/>
      <c r="AZ778" s="394"/>
      <c r="BA778" s="394"/>
      <c r="BB778" s="394"/>
      <c r="BC778" s="394"/>
      <c r="BD778" s="381"/>
      <c r="BE778" s="408"/>
      <c r="BF778" s="385"/>
      <c r="BG778" s="475"/>
      <c r="BH778" s="395"/>
      <c r="BI778" s="395" t="e">
        <f t="shared" si="840"/>
        <v>#DIV/0!</v>
      </c>
    </row>
    <row r="779" spans="1:61" s="358" customFormat="1" ht="19.2" x14ac:dyDescent="0.3">
      <c r="A779" s="359" t="s">
        <v>272</v>
      </c>
      <c r="B779" s="537" t="s">
        <v>1288</v>
      </c>
      <c r="C779" s="546" t="s">
        <v>675</v>
      </c>
      <c r="D779" s="360">
        <v>0.22</v>
      </c>
      <c r="E779" s="393"/>
      <c r="F779" s="523">
        <v>1</v>
      </c>
      <c r="G779" s="393"/>
      <c r="H779" s="544">
        <v>6.8505799999999999</v>
      </c>
      <c r="I779" s="394">
        <v>6.05823</v>
      </c>
      <c r="J779" s="394">
        <v>5.2086499999999996</v>
      </c>
      <c r="K779" s="394"/>
      <c r="L779" s="394"/>
      <c r="M779" s="394">
        <v>0</v>
      </c>
      <c r="N779" s="394">
        <v>0</v>
      </c>
      <c r="O779" s="394">
        <v>0.18472</v>
      </c>
      <c r="P779" s="394">
        <v>5.2086499999999996</v>
      </c>
      <c r="Q779" s="394"/>
      <c r="R779" s="381" t="s">
        <v>167</v>
      </c>
      <c r="S779" s="408" t="s">
        <v>175</v>
      </c>
      <c r="T779" s="385"/>
      <c r="U779" s="475">
        <v>356</v>
      </c>
      <c r="V779" s="395"/>
      <c r="W779" s="395">
        <f t="shared" si="841"/>
        <v>6.8505799999999999</v>
      </c>
      <c r="X779" s="393"/>
      <c r="Y779" s="523"/>
      <c r="Z779" s="393"/>
      <c r="AA779" s="544"/>
      <c r="AB779" s="394"/>
      <c r="AC779" s="394"/>
      <c r="AD779" s="394"/>
      <c r="AE779" s="394"/>
      <c r="AF779" s="394"/>
      <c r="AG779" s="394"/>
      <c r="AH779" s="394"/>
      <c r="AI779" s="394"/>
      <c r="AJ779" s="394"/>
      <c r="AK779" s="381"/>
      <c r="AL779" s="408"/>
      <c r="AM779" s="385"/>
      <c r="AN779" s="475"/>
      <c r="AO779" s="395"/>
      <c r="AP779" s="395" t="e">
        <f t="shared" si="839"/>
        <v>#DIV/0!</v>
      </c>
      <c r="AQ779" s="393"/>
      <c r="AR779" s="523"/>
      <c r="AS779" s="393"/>
      <c r="AT779" s="544"/>
      <c r="AU779" s="394"/>
      <c r="AV779" s="394"/>
      <c r="AW779" s="394"/>
      <c r="AX779" s="394"/>
      <c r="AY779" s="394"/>
      <c r="AZ779" s="394"/>
      <c r="BA779" s="394"/>
      <c r="BB779" s="394"/>
      <c r="BC779" s="394"/>
      <c r="BD779" s="381"/>
      <c r="BE779" s="408"/>
      <c r="BF779" s="385"/>
      <c r="BG779" s="475"/>
      <c r="BH779" s="395"/>
      <c r="BI779" s="395" t="e">
        <f t="shared" si="840"/>
        <v>#DIV/0!</v>
      </c>
    </row>
    <row r="780" spans="1:61" s="358" customFormat="1" ht="19.2" x14ac:dyDescent="0.3">
      <c r="A780" s="359" t="s">
        <v>273</v>
      </c>
      <c r="B780" s="537" t="s">
        <v>1289</v>
      </c>
      <c r="C780" s="546" t="s">
        <v>676</v>
      </c>
      <c r="D780" s="360">
        <v>0.22</v>
      </c>
      <c r="E780" s="393"/>
      <c r="F780" s="523">
        <v>1</v>
      </c>
      <c r="G780" s="393"/>
      <c r="H780" s="544">
        <v>6.8505799999999999</v>
      </c>
      <c r="I780" s="394">
        <v>6.05823</v>
      </c>
      <c r="J780" s="394">
        <v>5.2086499999999996</v>
      </c>
      <c r="K780" s="394"/>
      <c r="L780" s="394"/>
      <c r="M780" s="394">
        <v>0</v>
      </c>
      <c r="N780" s="394">
        <v>0</v>
      </c>
      <c r="O780" s="394">
        <v>0.18472</v>
      </c>
      <c r="P780" s="394">
        <v>5.2086499999999996</v>
      </c>
      <c r="Q780" s="394"/>
      <c r="R780" s="381" t="s">
        <v>167</v>
      </c>
      <c r="S780" s="408" t="s">
        <v>175</v>
      </c>
      <c r="T780" s="385"/>
      <c r="U780" s="475">
        <v>357</v>
      </c>
      <c r="V780" s="395"/>
      <c r="W780" s="395">
        <f t="shared" si="841"/>
        <v>6.8505799999999999</v>
      </c>
      <c r="X780" s="393"/>
      <c r="Y780" s="523"/>
      <c r="Z780" s="393"/>
      <c r="AA780" s="544"/>
      <c r="AB780" s="394"/>
      <c r="AC780" s="394"/>
      <c r="AD780" s="394"/>
      <c r="AE780" s="394"/>
      <c r="AF780" s="394"/>
      <c r="AG780" s="394"/>
      <c r="AH780" s="394"/>
      <c r="AI780" s="394"/>
      <c r="AJ780" s="394"/>
      <c r="AK780" s="381"/>
      <c r="AL780" s="408"/>
      <c r="AM780" s="385"/>
      <c r="AN780" s="475"/>
      <c r="AO780" s="395"/>
      <c r="AP780" s="395" t="e">
        <f t="shared" si="839"/>
        <v>#DIV/0!</v>
      </c>
      <c r="AQ780" s="393"/>
      <c r="AR780" s="523"/>
      <c r="AS780" s="393"/>
      <c r="AT780" s="544"/>
      <c r="AU780" s="394"/>
      <c r="AV780" s="394"/>
      <c r="AW780" s="394"/>
      <c r="AX780" s="394"/>
      <c r="AY780" s="394"/>
      <c r="AZ780" s="394"/>
      <c r="BA780" s="394"/>
      <c r="BB780" s="394"/>
      <c r="BC780" s="394"/>
      <c r="BD780" s="381"/>
      <c r="BE780" s="408"/>
      <c r="BF780" s="385"/>
      <c r="BG780" s="475"/>
      <c r="BH780" s="395"/>
      <c r="BI780" s="395" t="e">
        <f t="shared" si="840"/>
        <v>#DIV/0!</v>
      </c>
    </row>
    <row r="781" spans="1:61" s="358" customFormat="1" ht="19.2" x14ac:dyDescent="0.3">
      <c r="A781" s="359" t="s">
        <v>274</v>
      </c>
      <c r="B781" s="537" t="s">
        <v>1290</v>
      </c>
      <c r="C781" s="546" t="s">
        <v>677</v>
      </c>
      <c r="D781" s="360">
        <v>0.22</v>
      </c>
      <c r="E781" s="393"/>
      <c r="F781" s="523">
        <v>1</v>
      </c>
      <c r="G781" s="393"/>
      <c r="H781" s="544">
        <v>6.87744</v>
      </c>
      <c r="I781" s="394">
        <v>6.0850900000000001</v>
      </c>
      <c r="J781" s="394">
        <v>5.2084799999999998</v>
      </c>
      <c r="K781" s="394"/>
      <c r="L781" s="394"/>
      <c r="M781" s="394">
        <v>0</v>
      </c>
      <c r="N781" s="394">
        <v>0</v>
      </c>
      <c r="O781" s="394">
        <v>0.18472</v>
      </c>
      <c r="P781" s="394">
        <v>5.2084799999999998</v>
      </c>
      <c r="Q781" s="394"/>
      <c r="R781" s="381" t="s">
        <v>167</v>
      </c>
      <c r="S781" s="408" t="s">
        <v>175</v>
      </c>
      <c r="T781" s="385"/>
      <c r="U781" s="475">
        <v>358</v>
      </c>
      <c r="V781" s="395"/>
      <c r="W781" s="395">
        <f t="shared" si="841"/>
        <v>6.87744</v>
      </c>
      <c r="X781" s="393"/>
      <c r="Y781" s="523"/>
      <c r="Z781" s="393"/>
      <c r="AA781" s="544"/>
      <c r="AB781" s="394"/>
      <c r="AC781" s="394"/>
      <c r="AD781" s="394"/>
      <c r="AE781" s="394"/>
      <c r="AF781" s="394"/>
      <c r="AG781" s="394"/>
      <c r="AH781" s="394"/>
      <c r="AI781" s="394"/>
      <c r="AJ781" s="394"/>
      <c r="AK781" s="381"/>
      <c r="AL781" s="408"/>
      <c r="AM781" s="385"/>
      <c r="AN781" s="475"/>
      <c r="AO781" s="395"/>
      <c r="AP781" s="395" t="e">
        <f t="shared" si="839"/>
        <v>#DIV/0!</v>
      </c>
      <c r="AQ781" s="393"/>
      <c r="AR781" s="523"/>
      <c r="AS781" s="393"/>
      <c r="AT781" s="544"/>
      <c r="AU781" s="394"/>
      <c r="AV781" s="394"/>
      <c r="AW781" s="394"/>
      <c r="AX781" s="394"/>
      <c r="AY781" s="394"/>
      <c r="AZ781" s="394"/>
      <c r="BA781" s="394"/>
      <c r="BB781" s="394"/>
      <c r="BC781" s="394"/>
      <c r="BD781" s="381"/>
      <c r="BE781" s="408"/>
      <c r="BF781" s="385"/>
      <c r="BG781" s="475"/>
      <c r="BH781" s="395"/>
      <c r="BI781" s="395" t="e">
        <f t="shared" si="840"/>
        <v>#DIV/0!</v>
      </c>
    </row>
    <row r="782" spans="1:61" s="358" customFormat="1" ht="19.2" x14ac:dyDescent="0.3">
      <c r="A782" s="359" t="s">
        <v>275</v>
      </c>
      <c r="B782" s="537" t="s">
        <v>1291</v>
      </c>
      <c r="C782" s="546" t="s">
        <v>678</v>
      </c>
      <c r="D782" s="360">
        <v>0.22</v>
      </c>
      <c r="E782" s="393"/>
      <c r="F782" s="523">
        <v>1</v>
      </c>
      <c r="G782" s="393"/>
      <c r="H782" s="544">
        <v>6.8774499999999996</v>
      </c>
      <c r="I782" s="394">
        <v>6.0850999999999997</v>
      </c>
      <c r="J782" s="394">
        <v>5.2084900000000003</v>
      </c>
      <c r="K782" s="394"/>
      <c r="L782" s="394"/>
      <c r="M782" s="394">
        <v>0</v>
      </c>
      <c r="N782" s="394">
        <v>0</v>
      </c>
      <c r="O782" s="394">
        <v>0.18472</v>
      </c>
      <c r="P782" s="394">
        <v>5.2084900000000003</v>
      </c>
      <c r="Q782" s="394"/>
      <c r="R782" s="381" t="s">
        <v>167</v>
      </c>
      <c r="S782" s="408" t="s">
        <v>175</v>
      </c>
      <c r="T782" s="385"/>
      <c r="U782" s="475">
        <v>359</v>
      </c>
      <c r="V782" s="395"/>
      <c r="W782" s="395">
        <f t="shared" si="841"/>
        <v>6.8774499999999996</v>
      </c>
      <c r="X782" s="393"/>
      <c r="Y782" s="523"/>
      <c r="Z782" s="393"/>
      <c r="AA782" s="544"/>
      <c r="AB782" s="394"/>
      <c r="AC782" s="394"/>
      <c r="AD782" s="394"/>
      <c r="AE782" s="394"/>
      <c r="AF782" s="394"/>
      <c r="AG782" s="394"/>
      <c r="AH782" s="394"/>
      <c r="AI782" s="394"/>
      <c r="AJ782" s="394"/>
      <c r="AK782" s="381"/>
      <c r="AL782" s="408"/>
      <c r="AM782" s="385"/>
      <c r="AN782" s="475"/>
      <c r="AO782" s="395"/>
      <c r="AP782" s="395" t="e">
        <f t="shared" si="839"/>
        <v>#DIV/0!</v>
      </c>
      <c r="AQ782" s="393"/>
      <c r="AR782" s="523"/>
      <c r="AS782" s="393"/>
      <c r="AT782" s="544"/>
      <c r="AU782" s="394"/>
      <c r="AV782" s="394"/>
      <c r="AW782" s="394"/>
      <c r="AX782" s="394"/>
      <c r="AY782" s="394"/>
      <c r="AZ782" s="394"/>
      <c r="BA782" s="394"/>
      <c r="BB782" s="394"/>
      <c r="BC782" s="394"/>
      <c r="BD782" s="381"/>
      <c r="BE782" s="408"/>
      <c r="BF782" s="385"/>
      <c r="BG782" s="475"/>
      <c r="BH782" s="395"/>
      <c r="BI782" s="395" t="e">
        <f t="shared" si="840"/>
        <v>#DIV/0!</v>
      </c>
    </row>
    <row r="783" spans="1:61" s="358" customFormat="1" ht="19.2" x14ac:dyDescent="0.3">
      <c r="A783" s="359" t="s">
        <v>276</v>
      </c>
      <c r="B783" s="537" t="s">
        <v>1292</v>
      </c>
      <c r="C783" s="546" t="s">
        <v>679</v>
      </c>
      <c r="D783" s="360">
        <v>0.22</v>
      </c>
      <c r="E783" s="393"/>
      <c r="F783" s="523">
        <v>1</v>
      </c>
      <c r="G783" s="393"/>
      <c r="H783" s="544">
        <v>6.8774600000000001</v>
      </c>
      <c r="I783" s="394">
        <v>6.0851100000000002</v>
      </c>
      <c r="J783" s="394">
        <v>5.2084999999999999</v>
      </c>
      <c r="K783" s="394"/>
      <c r="L783" s="394"/>
      <c r="M783" s="394">
        <v>0</v>
      </c>
      <c r="N783" s="394">
        <v>0</v>
      </c>
      <c r="O783" s="394">
        <v>0.18472</v>
      </c>
      <c r="P783" s="394">
        <v>5.2084999999999999</v>
      </c>
      <c r="Q783" s="394"/>
      <c r="R783" s="381" t="s">
        <v>167</v>
      </c>
      <c r="S783" s="408" t="s">
        <v>175</v>
      </c>
      <c r="T783" s="385"/>
      <c r="U783" s="475">
        <v>360</v>
      </c>
      <c r="V783" s="395"/>
      <c r="W783" s="395">
        <f t="shared" si="841"/>
        <v>6.8774600000000001</v>
      </c>
      <c r="X783" s="393"/>
      <c r="Y783" s="523"/>
      <c r="Z783" s="393"/>
      <c r="AA783" s="544"/>
      <c r="AB783" s="394"/>
      <c r="AC783" s="394"/>
      <c r="AD783" s="394"/>
      <c r="AE783" s="394"/>
      <c r="AF783" s="394"/>
      <c r="AG783" s="394"/>
      <c r="AH783" s="394"/>
      <c r="AI783" s="394"/>
      <c r="AJ783" s="394"/>
      <c r="AK783" s="381"/>
      <c r="AL783" s="408"/>
      <c r="AM783" s="385"/>
      <c r="AN783" s="475"/>
      <c r="AO783" s="395"/>
      <c r="AP783" s="395" t="e">
        <f t="shared" si="839"/>
        <v>#DIV/0!</v>
      </c>
      <c r="AQ783" s="393"/>
      <c r="AR783" s="523"/>
      <c r="AS783" s="393"/>
      <c r="AT783" s="544"/>
      <c r="AU783" s="394"/>
      <c r="AV783" s="394"/>
      <c r="AW783" s="394"/>
      <c r="AX783" s="394"/>
      <c r="AY783" s="394"/>
      <c r="AZ783" s="394"/>
      <c r="BA783" s="394"/>
      <c r="BB783" s="394"/>
      <c r="BC783" s="394"/>
      <c r="BD783" s="381"/>
      <c r="BE783" s="408"/>
      <c r="BF783" s="385"/>
      <c r="BG783" s="475"/>
      <c r="BH783" s="395"/>
      <c r="BI783" s="395" t="e">
        <f t="shared" si="840"/>
        <v>#DIV/0!</v>
      </c>
    </row>
    <row r="784" spans="1:61" s="358" customFormat="1" ht="19.2" x14ac:dyDescent="0.3">
      <c r="A784" s="359" t="s">
        <v>341</v>
      </c>
      <c r="B784" s="537" t="s">
        <v>1293</v>
      </c>
      <c r="C784" s="546" t="s">
        <v>680</v>
      </c>
      <c r="D784" s="360">
        <v>0.22</v>
      </c>
      <c r="E784" s="393"/>
      <c r="F784" s="523">
        <v>1</v>
      </c>
      <c r="G784" s="393"/>
      <c r="H784" s="544">
        <v>6.8774499999999996</v>
      </c>
      <c r="I784" s="394">
        <v>6.0850999999999997</v>
      </c>
      <c r="J784" s="394">
        <v>5.2084900000000003</v>
      </c>
      <c r="K784" s="394"/>
      <c r="L784" s="394"/>
      <c r="M784" s="394">
        <v>0</v>
      </c>
      <c r="N784" s="394">
        <v>0</v>
      </c>
      <c r="O784" s="394">
        <v>0.18472</v>
      </c>
      <c r="P784" s="394">
        <v>5.2084900000000003</v>
      </c>
      <c r="Q784" s="394"/>
      <c r="R784" s="381" t="s">
        <v>167</v>
      </c>
      <c r="S784" s="408" t="s">
        <v>175</v>
      </c>
      <c r="T784" s="385"/>
      <c r="U784" s="475">
        <v>361</v>
      </c>
      <c r="V784" s="395"/>
      <c r="W784" s="395">
        <f t="shared" si="841"/>
        <v>6.8774499999999996</v>
      </c>
      <c r="X784" s="393"/>
      <c r="Y784" s="523"/>
      <c r="Z784" s="393"/>
      <c r="AA784" s="544"/>
      <c r="AB784" s="394"/>
      <c r="AC784" s="394"/>
      <c r="AD784" s="394"/>
      <c r="AE784" s="394"/>
      <c r="AF784" s="394"/>
      <c r="AG784" s="394"/>
      <c r="AH784" s="394"/>
      <c r="AI784" s="394"/>
      <c r="AJ784" s="394"/>
      <c r="AK784" s="381"/>
      <c r="AL784" s="408"/>
      <c r="AM784" s="385"/>
      <c r="AN784" s="475"/>
      <c r="AO784" s="395"/>
      <c r="AP784" s="395" t="e">
        <f t="shared" si="839"/>
        <v>#DIV/0!</v>
      </c>
      <c r="AQ784" s="393"/>
      <c r="AR784" s="523"/>
      <c r="AS784" s="393"/>
      <c r="AT784" s="544"/>
      <c r="AU784" s="394"/>
      <c r="AV784" s="394"/>
      <c r="AW784" s="394"/>
      <c r="AX784" s="394"/>
      <c r="AY784" s="394"/>
      <c r="AZ784" s="394"/>
      <c r="BA784" s="394"/>
      <c r="BB784" s="394"/>
      <c r="BC784" s="394"/>
      <c r="BD784" s="381"/>
      <c r="BE784" s="408"/>
      <c r="BF784" s="385"/>
      <c r="BG784" s="475"/>
      <c r="BH784" s="395"/>
      <c r="BI784" s="395" t="e">
        <f t="shared" si="840"/>
        <v>#DIV/0!</v>
      </c>
    </row>
    <row r="785" spans="1:61" s="358" customFormat="1" ht="19.2" x14ac:dyDescent="0.3">
      <c r="A785" s="359" t="s">
        <v>326</v>
      </c>
      <c r="B785" s="537" t="s">
        <v>1294</v>
      </c>
      <c r="C785" s="546" t="s">
        <v>681</v>
      </c>
      <c r="D785" s="360">
        <v>0.22</v>
      </c>
      <c r="E785" s="393"/>
      <c r="F785" s="523">
        <v>1</v>
      </c>
      <c r="G785" s="393"/>
      <c r="H785" s="544">
        <v>6.8774600000000001</v>
      </c>
      <c r="I785" s="394">
        <v>6.0851100000000002</v>
      </c>
      <c r="J785" s="394">
        <v>5.2084999999999999</v>
      </c>
      <c r="K785" s="394"/>
      <c r="L785" s="394"/>
      <c r="M785" s="394">
        <v>0</v>
      </c>
      <c r="N785" s="394">
        <v>0</v>
      </c>
      <c r="O785" s="394">
        <v>0.18472</v>
      </c>
      <c r="P785" s="394">
        <v>5.2084999999999999</v>
      </c>
      <c r="Q785" s="394"/>
      <c r="R785" s="381" t="s">
        <v>167</v>
      </c>
      <c r="S785" s="408" t="s">
        <v>175</v>
      </c>
      <c r="T785" s="385"/>
      <c r="U785" s="475">
        <v>362</v>
      </c>
      <c r="V785" s="395"/>
      <c r="W785" s="395">
        <f t="shared" si="841"/>
        <v>6.8774600000000001</v>
      </c>
      <c r="X785" s="393"/>
      <c r="Y785" s="523"/>
      <c r="Z785" s="393"/>
      <c r="AA785" s="544"/>
      <c r="AB785" s="394"/>
      <c r="AC785" s="394"/>
      <c r="AD785" s="394"/>
      <c r="AE785" s="394"/>
      <c r="AF785" s="394"/>
      <c r="AG785" s="394"/>
      <c r="AH785" s="394"/>
      <c r="AI785" s="394"/>
      <c r="AJ785" s="394"/>
      <c r="AK785" s="381"/>
      <c r="AL785" s="408"/>
      <c r="AM785" s="385"/>
      <c r="AN785" s="475"/>
      <c r="AO785" s="395"/>
      <c r="AP785" s="395" t="e">
        <f t="shared" si="839"/>
        <v>#DIV/0!</v>
      </c>
      <c r="AQ785" s="393"/>
      <c r="AR785" s="523"/>
      <c r="AS785" s="393"/>
      <c r="AT785" s="544"/>
      <c r="AU785" s="394"/>
      <c r="AV785" s="394"/>
      <c r="AW785" s="394"/>
      <c r="AX785" s="394"/>
      <c r="AY785" s="394"/>
      <c r="AZ785" s="394"/>
      <c r="BA785" s="394"/>
      <c r="BB785" s="394"/>
      <c r="BC785" s="394"/>
      <c r="BD785" s="381"/>
      <c r="BE785" s="408"/>
      <c r="BF785" s="385"/>
      <c r="BG785" s="475"/>
      <c r="BH785" s="395"/>
      <c r="BI785" s="395" t="e">
        <f t="shared" si="840"/>
        <v>#DIV/0!</v>
      </c>
    </row>
    <row r="786" spans="1:61" s="358" customFormat="1" ht="19.2" x14ac:dyDescent="0.3">
      <c r="A786" s="359" t="s">
        <v>327</v>
      </c>
      <c r="B786" s="537" t="s">
        <v>1295</v>
      </c>
      <c r="C786" s="546" t="s">
        <v>682</v>
      </c>
      <c r="D786" s="360">
        <v>0.22</v>
      </c>
      <c r="E786" s="393"/>
      <c r="F786" s="523">
        <v>1</v>
      </c>
      <c r="G786" s="393"/>
      <c r="H786" s="544">
        <v>6.8774499999999996</v>
      </c>
      <c r="I786" s="394">
        <v>6.0850999999999997</v>
      </c>
      <c r="J786" s="394">
        <v>5.2084900000000003</v>
      </c>
      <c r="K786" s="394"/>
      <c r="L786" s="394"/>
      <c r="M786" s="394">
        <v>0</v>
      </c>
      <c r="N786" s="394">
        <v>0</v>
      </c>
      <c r="O786" s="394">
        <v>0.18472</v>
      </c>
      <c r="P786" s="394">
        <v>5.2084900000000003</v>
      </c>
      <c r="Q786" s="394"/>
      <c r="R786" s="381" t="s">
        <v>167</v>
      </c>
      <c r="S786" s="408" t="s">
        <v>175</v>
      </c>
      <c r="T786" s="385"/>
      <c r="U786" s="475">
        <v>363</v>
      </c>
      <c r="V786" s="395"/>
      <c r="W786" s="395">
        <f t="shared" si="841"/>
        <v>6.8774499999999996</v>
      </c>
      <c r="X786" s="393"/>
      <c r="Y786" s="523"/>
      <c r="Z786" s="393"/>
      <c r="AA786" s="544"/>
      <c r="AB786" s="394"/>
      <c r="AC786" s="394"/>
      <c r="AD786" s="394"/>
      <c r="AE786" s="394"/>
      <c r="AF786" s="394"/>
      <c r="AG786" s="394"/>
      <c r="AH786" s="394"/>
      <c r="AI786" s="394"/>
      <c r="AJ786" s="394"/>
      <c r="AK786" s="381"/>
      <c r="AL786" s="408"/>
      <c r="AM786" s="385"/>
      <c r="AN786" s="475"/>
      <c r="AO786" s="395"/>
      <c r="AP786" s="395" t="e">
        <f t="shared" si="839"/>
        <v>#DIV/0!</v>
      </c>
      <c r="AQ786" s="393"/>
      <c r="AR786" s="523"/>
      <c r="AS786" s="393"/>
      <c r="AT786" s="544"/>
      <c r="AU786" s="394"/>
      <c r="AV786" s="394"/>
      <c r="AW786" s="394"/>
      <c r="AX786" s="394"/>
      <c r="AY786" s="394"/>
      <c r="AZ786" s="394"/>
      <c r="BA786" s="394"/>
      <c r="BB786" s="394"/>
      <c r="BC786" s="394"/>
      <c r="BD786" s="381"/>
      <c r="BE786" s="408"/>
      <c r="BF786" s="385"/>
      <c r="BG786" s="475"/>
      <c r="BH786" s="395"/>
      <c r="BI786" s="395" t="e">
        <f t="shared" si="840"/>
        <v>#DIV/0!</v>
      </c>
    </row>
    <row r="787" spans="1:61" s="358" customFormat="1" ht="19.2" x14ac:dyDescent="0.3">
      <c r="A787" s="359" t="s">
        <v>184</v>
      </c>
      <c r="B787" s="537" t="s">
        <v>1296</v>
      </c>
      <c r="C787" s="546" t="s">
        <v>683</v>
      </c>
      <c r="D787" s="360">
        <v>0.22</v>
      </c>
      <c r="E787" s="393"/>
      <c r="F787" s="523">
        <v>1</v>
      </c>
      <c r="G787" s="393"/>
      <c r="H787" s="544">
        <v>8.2660400000000003</v>
      </c>
      <c r="I787" s="394">
        <v>7.0483900000000004</v>
      </c>
      <c r="J787" s="394">
        <v>5.2083300000000001</v>
      </c>
      <c r="K787" s="394"/>
      <c r="L787" s="394"/>
      <c r="M787" s="394">
        <v>0</v>
      </c>
      <c r="N787" s="394">
        <v>0</v>
      </c>
      <c r="O787" s="394">
        <v>0.28387000000000001</v>
      </c>
      <c r="P787" s="394">
        <v>5.2083300000000001</v>
      </c>
      <c r="Q787" s="394"/>
      <c r="R787" s="381" t="s">
        <v>167</v>
      </c>
      <c r="S787" s="408" t="s">
        <v>175</v>
      </c>
      <c r="T787" s="385"/>
      <c r="U787" s="475">
        <v>364</v>
      </c>
      <c r="V787" s="395"/>
      <c r="W787" s="395">
        <f t="shared" si="841"/>
        <v>8.2660400000000003</v>
      </c>
      <c r="X787" s="393"/>
      <c r="Y787" s="523"/>
      <c r="Z787" s="393"/>
      <c r="AA787" s="544"/>
      <c r="AB787" s="394"/>
      <c r="AC787" s="394"/>
      <c r="AD787" s="394"/>
      <c r="AE787" s="394"/>
      <c r="AF787" s="394"/>
      <c r="AG787" s="394"/>
      <c r="AH787" s="394"/>
      <c r="AI787" s="394"/>
      <c r="AJ787" s="394"/>
      <c r="AK787" s="381"/>
      <c r="AL787" s="408"/>
      <c r="AM787" s="385"/>
      <c r="AN787" s="475"/>
      <c r="AO787" s="395"/>
      <c r="AP787" s="395" t="e">
        <f t="shared" si="839"/>
        <v>#DIV/0!</v>
      </c>
      <c r="AQ787" s="393"/>
      <c r="AR787" s="523"/>
      <c r="AS787" s="393"/>
      <c r="AT787" s="544"/>
      <c r="AU787" s="394"/>
      <c r="AV787" s="394"/>
      <c r="AW787" s="394"/>
      <c r="AX787" s="394"/>
      <c r="AY787" s="394"/>
      <c r="AZ787" s="394"/>
      <c r="BA787" s="394"/>
      <c r="BB787" s="394"/>
      <c r="BC787" s="394"/>
      <c r="BD787" s="381"/>
      <c r="BE787" s="408"/>
      <c r="BF787" s="385"/>
      <c r="BG787" s="475"/>
      <c r="BH787" s="395"/>
      <c r="BI787" s="395" t="e">
        <f t="shared" si="840"/>
        <v>#DIV/0!</v>
      </c>
    </row>
    <row r="788" spans="1:61" s="358" customFormat="1" ht="19.2" x14ac:dyDescent="0.3">
      <c r="A788" s="359" t="s">
        <v>345</v>
      </c>
      <c r="B788" s="537" t="s">
        <v>1297</v>
      </c>
      <c r="C788" s="546" t="s">
        <v>684</v>
      </c>
      <c r="D788" s="360">
        <v>0.22</v>
      </c>
      <c r="E788" s="393"/>
      <c r="F788" s="523">
        <v>1</v>
      </c>
      <c r="G788" s="393"/>
      <c r="H788" s="544">
        <v>8.0845599999999997</v>
      </c>
      <c r="I788" s="394">
        <v>6.8669099999999998</v>
      </c>
      <c r="J788" s="394">
        <v>5.2083300000000001</v>
      </c>
      <c r="K788" s="394"/>
      <c r="L788" s="394"/>
      <c r="M788" s="394">
        <v>0</v>
      </c>
      <c r="N788" s="394">
        <v>0</v>
      </c>
      <c r="O788" s="394">
        <v>0.28387000000000001</v>
      </c>
      <c r="P788" s="394">
        <v>5.2083300000000001</v>
      </c>
      <c r="Q788" s="394"/>
      <c r="R788" s="381" t="s">
        <v>167</v>
      </c>
      <c r="S788" s="408" t="s">
        <v>175</v>
      </c>
      <c r="T788" s="385"/>
      <c r="U788" s="475">
        <v>365</v>
      </c>
      <c r="V788" s="395"/>
      <c r="W788" s="395">
        <f t="shared" si="841"/>
        <v>8.0845599999999997</v>
      </c>
      <c r="X788" s="393"/>
      <c r="Y788" s="523"/>
      <c r="Z788" s="393"/>
      <c r="AA788" s="544"/>
      <c r="AB788" s="394"/>
      <c r="AC788" s="394"/>
      <c r="AD788" s="394"/>
      <c r="AE788" s="394"/>
      <c r="AF788" s="394"/>
      <c r="AG788" s="394"/>
      <c r="AH788" s="394"/>
      <c r="AI788" s="394"/>
      <c r="AJ788" s="394"/>
      <c r="AK788" s="381"/>
      <c r="AL788" s="408"/>
      <c r="AM788" s="385"/>
      <c r="AN788" s="475"/>
      <c r="AO788" s="395"/>
      <c r="AP788" s="395" t="e">
        <f t="shared" si="839"/>
        <v>#DIV/0!</v>
      </c>
      <c r="AQ788" s="393"/>
      <c r="AR788" s="523"/>
      <c r="AS788" s="393"/>
      <c r="AT788" s="544"/>
      <c r="AU788" s="394"/>
      <c r="AV788" s="394"/>
      <c r="AW788" s="394"/>
      <c r="AX788" s="394"/>
      <c r="AY788" s="394"/>
      <c r="AZ788" s="394"/>
      <c r="BA788" s="394"/>
      <c r="BB788" s="394"/>
      <c r="BC788" s="394"/>
      <c r="BD788" s="381"/>
      <c r="BE788" s="408"/>
      <c r="BF788" s="385"/>
      <c r="BG788" s="475"/>
      <c r="BH788" s="395"/>
      <c r="BI788" s="395" t="e">
        <f t="shared" si="840"/>
        <v>#DIV/0!</v>
      </c>
    </row>
    <row r="789" spans="1:61" s="358" customFormat="1" ht="19.2" x14ac:dyDescent="0.3">
      <c r="A789" s="359" t="s">
        <v>330</v>
      </c>
      <c r="B789" s="537" t="s">
        <v>572</v>
      </c>
      <c r="C789" s="546" t="s">
        <v>441</v>
      </c>
      <c r="D789" s="360">
        <v>0.22</v>
      </c>
      <c r="E789" s="393"/>
      <c r="F789" s="523">
        <v>1</v>
      </c>
      <c r="G789" s="393"/>
      <c r="H789" s="544">
        <v>8.7892499999999991</v>
      </c>
      <c r="I789" s="394">
        <v>7.9023399999999997</v>
      </c>
      <c r="J789" s="394">
        <v>7.0416800000000004</v>
      </c>
      <c r="K789" s="394"/>
      <c r="L789" s="394"/>
      <c r="M789" s="394">
        <v>0</v>
      </c>
      <c r="N789" s="394">
        <v>0</v>
      </c>
      <c r="O789" s="394">
        <v>0.20676</v>
      </c>
      <c r="P789" s="394">
        <v>7.0416800000000004</v>
      </c>
      <c r="Q789" s="394"/>
      <c r="R789" s="381" t="s">
        <v>167</v>
      </c>
      <c r="S789" s="408" t="s">
        <v>175</v>
      </c>
      <c r="T789" s="385"/>
      <c r="U789" s="475">
        <v>366</v>
      </c>
      <c r="V789" s="395"/>
      <c r="W789" s="395">
        <f t="shared" si="841"/>
        <v>8.7892499999999991</v>
      </c>
      <c r="X789" s="393"/>
      <c r="Y789" s="523"/>
      <c r="Z789" s="393"/>
      <c r="AA789" s="544"/>
      <c r="AB789" s="394"/>
      <c r="AC789" s="394"/>
      <c r="AD789" s="394"/>
      <c r="AE789" s="394"/>
      <c r="AF789" s="394"/>
      <c r="AG789" s="394"/>
      <c r="AH789" s="394"/>
      <c r="AI789" s="394"/>
      <c r="AJ789" s="394"/>
      <c r="AK789" s="381"/>
      <c r="AL789" s="408"/>
      <c r="AM789" s="385"/>
      <c r="AN789" s="475"/>
      <c r="AO789" s="395"/>
      <c r="AP789" s="395" t="e">
        <f t="shared" si="839"/>
        <v>#DIV/0!</v>
      </c>
      <c r="AQ789" s="393"/>
      <c r="AR789" s="523"/>
      <c r="AS789" s="393"/>
      <c r="AT789" s="544"/>
      <c r="AU789" s="394"/>
      <c r="AV789" s="394"/>
      <c r="AW789" s="394"/>
      <c r="AX789" s="394"/>
      <c r="AY789" s="394"/>
      <c r="AZ789" s="394"/>
      <c r="BA789" s="394"/>
      <c r="BB789" s="394"/>
      <c r="BC789" s="394"/>
      <c r="BD789" s="381"/>
      <c r="BE789" s="408"/>
      <c r="BF789" s="385"/>
      <c r="BG789" s="475"/>
      <c r="BH789" s="395"/>
      <c r="BI789" s="395" t="e">
        <f t="shared" si="840"/>
        <v>#DIV/0!</v>
      </c>
    </row>
    <row r="790" spans="1:61" s="358" customFormat="1" ht="19.2" x14ac:dyDescent="0.3">
      <c r="A790" s="359" t="s">
        <v>331</v>
      </c>
      <c r="B790" s="537" t="s">
        <v>1298</v>
      </c>
      <c r="C790" s="546" t="s">
        <v>685</v>
      </c>
      <c r="D790" s="360">
        <v>0.22</v>
      </c>
      <c r="E790" s="393"/>
      <c r="F790" s="523">
        <v>1</v>
      </c>
      <c r="G790" s="393"/>
      <c r="H790" s="544">
        <v>8.7892399999999995</v>
      </c>
      <c r="I790" s="394">
        <v>7.9023300000000001</v>
      </c>
      <c r="J790" s="394">
        <v>7.0416800000000004</v>
      </c>
      <c r="K790" s="394"/>
      <c r="L790" s="394"/>
      <c r="M790" s="394">
        <v>0</v>
      </c>
      <c r="N790" s="394">
        <v>0</v>
      </c>
      <c r="O790" s="394">
        <v>0.20676</v>
      </c>
      <c r="P790" s="394">
        <v>7.0416800000000004</v>
      </c>
      <c r="Q790" s="394"/>
      <c r="R790" s="381" t="s">
        <v>167</v>
      </c>
      <c r="S790" s="408" t="s">
        <v>175</v>
      </c>
      <c r="T790" s="385"/>
      <c r="U790" s="475">
        <v>367</v>
      </c>
      <c r="V790" s="395"/>
      <c r="W790" s="395">
        <f t="shared" si="841"/>
        <v>8.7892399999999995</v>
      </c>
      <c r="X790" s="393"/>
      <c r="Y790" s="523"/>
      <c r="Z790" s="393"/>
      <c r="AA790" s="544"/>
      <c r="AB790" s="394"/>
      <c r="AC790" s="394"/>
      <c r="AD790" s="394"/>
      <c r="AE790" s="394"/>
      <c r="AF790" s="394"/>
      <c r="AG790" s="394"/>
      <c r="AH790" s="394"/>
      <c r="AI790" s="394"/>
      <c r="AJ790" s="394"/>
      <c r="AK790" s="381"/>
      <c r="AL790" s="408"/>
      <c r="AM790" s="385"/>
      <c r="AN790" s="475"/>
      <c r="AO790" s="395"/>
      <c r="AP790" s="395" t="e">
        <f t="shared" si="839"/>
        <v>#DIV/0!</v>
      </c>
      <c r="AQ790" s="393"/>
      <c r="AR790" s="523"/>
      <c r="AS790" s="393"/>
      <c r="AT790" s="544"/>
      <c r="AU790" s="394"/>
      <c r="AV790" s="394"/>
      <c r="AW790" s="394"/>
      <c r="AX790" s="394"/>
      <c r="AY790" s="394"/>
      <c r="AZ790" s="394"/>
      <c r="BA790" s="394"/>
      <c r="BB790" s="394"/>
      <c r="BC790" s="394"/>
      <c r="BD790" s="381"/>
      <c r="BE790" s="408"/>
      <c r="BF790" s="385"/>
      <c r="BG790" s="475"/>
      <c r="BH790" s="395"/>
      <c r="BI790" s="395" t="e">
        <f t="shared" si="840"/>
        <v>#DIV/0!</v>
      </c>
    </row>
    <row r="791" spans="1:61" s="358" customFormat="1" ht="19.2" x14ac:dyDescent="0.3">
      <c r="A791" s="359" t="s">
        <v>332</v>
      </c>
      <c r="B791" s="537" t="s">
        <v>1299</v>
      </c>
      <c r="C791" s="546" t="s">
        <v>686</v>
      </c>
      <c r="D791" s="360">
        <v>0.22</v>
      </c>
      <c r="E791" s="393"/>
      <c r="F791" s="523">
        <v>1</v>
      </c>
      <c r="G791" s="393"/>
      <c r="H791" s="544">
        <v>8.7892600000000005</v>
      </c>
      <c r="I791" s="394">
        <v>7.9023500000000002</v>
      </c>
      <c r="J791" s="394">
        <v>7.04169</v>
      </c>
      <c r="K791" s="394"/>
      <c r="L791" s="394"/>
      <c r="M791" s="394">
        <v>0</v>
      </c>
      <c r="N791" s="394">
        <v>0</v>
      </c>
      <c r="O791" s="394">
        <v>0.20676</v>
      </c>
      <c r="P791" s="394">
        <v>7.04169</v>
      </c>
      <c r="Q791" s="394"/>
      <c r="R791" s="381" t="s">
        <v>167</v>
      </c>
      <c r="S791" s="408" t="s">
        <v>175</v>
      </c>
      <c r="T791" s="385"/>
      <c r="U791" s="475">
        <v>368</v>
      </c>
      <c r="V791" s="395"/>
      <c r="W791" s="395">
        <f t="shared" si="841"/>
        <v>8.7892600000000005</v>
      </c>
      <c r="X791" s="393"/>
      <c r="Y791" s="523"/>
      <c r="Z791" s="393"/>
      <c r="AA791" s="544"/>
      <c r="AB791" s="394"/>
      <c r="AC791" s="394"/>
      <c r="AD791" s="394"/>
      <c r="AE791" s="394"/>
      <c r="AF791" s="394"/>
      <c r="AG791" s="394"/>
      <c r="AH791" s="394"/>
      <c r="AI791" s="394"/>
      <c r="AJ791" s="394"/>
      <c r="AK791" s="381"/>
      <c r="AL791" s="408"/>
      <c r="AM791" s="385"/>
      <c r="AN791" s="475"/>
      <c r="AO791" s="395"/>
      <c r="AP791" s="395" t="e">
        <f t="shared" si="839"/>
        <v>#DIV/0!</v>
      </c>
      <c r="AQ791" s="393"/>
      <c r="AR791" s="523"/>
      <c r="AS791" s="393"/>
      <c r="AT791" s="544"/>
      <c r="AU791" s="394"/>
      <c r="AV791" s="394"/>
      <c r="AW791" s="394"/>
      <c r="AX791" s="394"/>
      <c r="AY791" s="394"/>
      <c r="AZ791" s="394"/>
      <c r="BA791" s="394"/>
      <c r="BB791" s="394"/>
      <c r="BC791" s="394"/>
      <c r="BD791" s="381"/>
      <c r="BE791" s="408"/>
      <c r="BF791" s="385"/>
      <c r="BG791" s="475"/>
      <c r="BH791" s="395"/>
      <c r="BI791" s="395" t="e">
        <f t="shared" si="840"/>
        <v>#DIV/0!</v>
      </c>
    </row>
    <row r="792" spans="1:61" s="358" customFormat="1" ht="19.2" x14ac:dyDescent="0.3">
      <c r="A792" s="359" t="s">
        <v>333</v>
      </c>
      <c r="B792" s="537" t="s">
        <v>1300</v>
      </c>
      <c r="C792" s="546" t="s">
        <v>687</v>
      </c>
      <c r="D792" s="360">
        <v>0.22</v>
      </c>
      <c r="E792" s="393"/>
      <c r="F792" s="523">
        <v>1</v>
      </c>
      <c r="G792" s="393"/>
      <c r="H792" s="544">
        <v>8.7892399999999995</v>
      </c>
      <c r="I792" s="394">
        <v>7.0416699999999999</v>
      </c>
      <c r="J792" s="394">
        <v>7.9023300000000001</v>
      </c>
      <c r="K792" s="394"/>
      <c r="L792" s="394"/>
      <c r="M792" s="394">
        <v>0</v>
      </c>
      <c r="N792" s="394">
        <v>0</v>
      </c>
      <c r="O792" s="394">
        <v>0.20676</v>
      </c>
      <c r="P792" s="394">
        <v>7.0416699999999999</v>
      </c>
      <c r="Q792" s="394"/>
      <c r="R792" s="381" t="s">
        <v>167</v>
      </c>
      <c r="S792" s="408" t="s">
        <v>175</v>
      </c>
      <c r="T792" s="385"/>
      <c r="U792" s="475">
        <v>369</v>
      </c>
      <c r="V792" s="395"/>
      <c r="W792" s="395">
        <f t="shared" si="841"/>
        <v>8.7892399999999995</v>
      </c>
      <c r="X792" s="393"/>
      <c r="Y792" s="523"/>
      <c r="Z792" s="393"/>
      <c r="AA792" s="544"/>
      <c r="AB792" s="394"/>
      <c r="AC792" s="394"/>
      <c r="AD792" s="394"/>
      <c r="AE792" s="394"/>
      <c r="AF792" s="394"/>
      <c r="AG792" s="394"/>
      <c r="AH792" s="394"/>
      <c r="AI792" s="394"/>
      <c r="AJ792" s="394"/>
      <c r="AK792" s="381"/>
      <c r="AL792" s="408"/>
      <c r="AM792" s="385"/>
      <c r="AN792" s="475"/>
      <c r="AO792" s="395"/>
      <c r="AP792" s="395" t="e">
        <f t="shared" si="839"/>
        <v>#DIV/0!</v>
      </c>
      <c r="AQ792" s="393"/>
      <c r="AR792" s="523"/>
      <c r="AS792" s="393"/>
      <c r="AT792" s="544"/>
      <c r="AU792" s="394"/>
      <c r="AV792" s="394"/>
      <c r="AW792" s="394"/>
      <c r="AX792" s="394"/>
      <c r="AY792" s="394"/>
      <c r="AZ792" s="394"/>
      <c r="BA792" s="394"/>
      <c r="BB792" s="394"/>
      <c r="BC792" s="394"/>
      <c r="BD792" s="381"/>
      <c r="BE792" s="408"/>
      <c r="BF792" s="385"/>
      <c r="BG792" s="475"/>
      <c r="BH792" s="395"/>
      <c r="BI792" s="395" t="e">
        <f t="shared" si="840"/>
        <v>#DIV/0!</v>
      </c>
    </row>
    <row r="793" spans="1:61" s="358" customFormat="1" ht="19.2" x14ac:dyDescent="0.3">
      <c r="A793" s="359" t="s">
        <v>334</v>
      </c>
      <c r="B793" s="537" t="s">
        <v>1301</v>
      </c>
      <c r="C793" s="546" t="s">
        <v>688</v>
      </c>
      <c r="D793" s="360">
        <v>0.22</v>
      </c>
      <c r="E793" s="393"/>
      <c r="F793" s="523">
        <v>1</v>
      </c>
      <c r="G793" s="393"/>
      <c r="H793" s="544">
        <v>8.7892499999999991</v>
      </c>
      <c r="I793" s="394">
        <v>7.9023399999999997</v>
      </c>
      <c r="J793" s="394">
        <v>7.0416699999999999</v>
      </c>
      <c r="K793" s="394"/>
      <c r="L793" s="394"/>
      <c r="M793" s="394">
        <v>0</v>
      </c>
      <c r="N793" s="394">
        <v>0</v>
      </c>
      <c r="O793" s="394">
        <v>0.20676</v>
      </c>
      <c r="P793" s="394">
        <v>7.0416699999999999</v>
      </c>
      <c r="Q793" s="394"/>
      <c r="R793" s="381" t="s">
        <v>167</v>
      </c>
      <c r="S793" s="408" t="s">
        <v>175</v>
      </c>
      <c r="T793" s="385"/>
      <c r="U793" s="475">
        <v>370</v>
      </c>
      <c r="V793" s="395"/>
      <c r="W793" s="395">
        <f t="shared" si="841"/>
        <v>8.7892499999999991</v>
      </c>
      <c r="X793" s="393"/>
      <c r="Y793" s="523"/>
      <c r="Z793" s="393"/>
      <c r="AA793" s="544"/>
      <c r="AB793" s="394"/>
      <c r="AC793" s="394"/>
      <c r="AD793" s="394"/>
      <c r="AE793" s="394"/>
      <c r="AF793" s="394"/>
      <c r="AG793" s="394"/>
      <c r="AH793" s="394"/>
      <c r="AI793" s="394"/>
      <c r="AJ793" s="394"/>
      <c r="AK793" s="381"/>
      <c r="AL793" s="408"/>
      <c r="AM793" s="385"/>
      <c r="AN793" s="475"/>
      <c r="AO793" s="395"/>
      <c r="AP793" s="395" t="e">
        <f t="shared" si="839"/>
        <v>#DIV/0!</v>
      </c>
      <c r="AQ793" s="393"/>
      <c r="AR793" s="523"/>
      <c r="AS793" s="393"/>
      <c r="AT793" s="544"/>
      <c r="AU793" s="394"/>
      <c r="AV793" s="394"/>
      <c r="AW793" s="394"/>
      <c r="AX793" s="394"/>
      <c r="AY793" s="394"/>
      <c r="AZ793" s="394"/>
      <c r="BA793" s="394"/>
      <c r="BB793" s="394"/>
      <c r="BC793" s="394"/>
      <c r="BD793" s="381"/>
      <c r="BE793" s="408"/>
      <c r="BF793" s="385"/>
      <c r="BG793" s="475"/>
      <c r="BH793" s="395"/>
      <c r="BI793" s="395" t="e">
        <f t="shared" si="840"/>
        <v>#DIV/0!</v>
      </c>
    </row>
    <row r="794" spans="1:61" s="358" customFormat="1" ht="19.2" x14ac:dyDescent="0.3">
      <c r="A794" s="359" t="s">
        <v>335</v>
      </c>
      <c r="B794" s="537" t="s">
        <v>1302</v>
      </c>
      <c r="C794" s="546" t="s">
        <v>689</v>
      </c>
      <c r="D794" s="360">
        <v>0.22</v>
      </c>
      <c r="E794" s="393"/>
      <c r="F794" s="523">
        <v>1</v>
      </c>
      <c r="G794" s="393"/>
      <c r="H794" s="544">
        <v>8.7892499999999991</v>
      </c>
      <c r="I794" s="394">
        <v>7.9023399999999997</v>
      </c>
      <c r="J794" s="394">
        <v>7.0416699999999999</v>
      </c>
      <c r="K794" s="394"/>
      <c r="L794" s="394"/>
      <c r="M794" s="394">
        <v>0</v>
      </c>
      <c r="N794" s="394">
        <v>0</v>
      </c>
      <c r="O794" s="394">
        <v>0.20676</v>
      </c>
      <c r="P794" s="394">
        <v>7.0416699999999999</v>
      </c>
      <c r="Q794" s="394"/>
      <c r="R794" s="381" t="s">
        <v>167</v>
      </c>
      <c r="S794" s="408" t="s">
        <v>175</v>
      </c>
      <c r="T794" s="385"/>
      <c r="U794" s="475">
        <v>371</v>
      </c>
      <c r="V794" s="395"/>
      <c r="W794" s="395">
        <f t="shared" si="841"/>
        <v>8.7892499999999991</v>
      </c>
      <c r="X794" s="393"/>
      <c r="Y794" s="523"/>
      <c r="Z794" s="393"/>
      <c r="AA794" s="544"/>
      <c r="AB794" s="394"/>
      <c r="AC794" s="394"/>
      <c r="AD794" s="394"/>
      <c r="AE794" s="394"/>
      <c r="AF794" s="394"/>
      <c r="AG794" s="394"/>
      <c r="AH794" s="394"/>
      <c r="AI794" s="394"/>
      <c r="AJ794" s="394"/>
      <c r="AK794" s="381"/>
      <c r="AL794" s="408"/>
      <c r="AM794" s="385"/>
      <c r="AN794" s="475"/>
      <c r="AO794" s="395"/>
      <c r="AP794" s="395" t="e">
        <f t="shared" si="839"/>
        <v>#DIV/0!</v>
      </c>
      <c r="AQ794" s="393"/>
      <c r="AR794" s="523"/>
      <c r="AS794" s="393"/>
      <c r="AT794" s="544"/>
      <c r="AU794" s="394"/>
      <c r="AV794" s="394"/>
      <c r="AW794" s="394"/>
      <c r="AX794" s="394"/>
      <c r="AY794" s="394"/>
      <c r="AZ794" s="394"/>
      <c r="BA794" s="394"/>
      <c r="BB794" s="394"/>
      <c r="BC794" s="394"/>
      <c r="BD794" s="381"/>
      <c r="BE794" s="408"/>
      <c r="BF794" s="385"/>
      <c r="BG794" s="475"/>
      <c r="BH794" s="395"/>
      <c r="BI794" s="395" t="e">
        <f t="shared" si="840"/>
        <v>#DIV/0!</v>
      </c>
    </row>
    <row r="795" spans="1:61" s="358" customFormat="1" ht="19.2" x14ac:dyDescent="0.3">
      <c r="A795" s="359" t="s">
        <v>336</v>
      </c>
      <c r="B795" s="537" t="s">
        <v>1303</v>
      </c>
      <c r="C795" s="546" t="s">
        <v>690</v>
      </c>
      <c r="D795" s="360">
        <v>0.22</v>
      </c>
      <c r="E795" s="393"/>
      <c r="F795" s="523">
        <v>1</v>
      </c>
      <c r="G795" s="393"/>
      <c r="H795" s="544">
        <v>8.7892499999999991</v>
      </c>
      <c r="I795" s="394">
        <v>7.9023399999999997</v>
      </c>
      <c r="J795" s="394">
        <v>7.4166999999999996</v>
      </c>
      <c r="K795" s="394"/>
      <c r="L795" s="394"/>
      <c r="M795" s="394">
        <v>0</v>
      </c>
      <c r="N795" s="394">
        <v>0</v>
      </c>
      <c r="O795" s="394">
        <v>0.20676</v>
      </c>
      <c r="P795" s="394">
        <v>7.0416699999999999</v>
      </c>
      <c r="Q795" s="394"/>
      <c r="R795" s="381" t="s">
        <v>167</v>
      </c>
      <c r="S795" s="408" t="s">
        <v>175</v>
      </c>
      <c r="T795" s="385"/>
      <c r="U795" s="475">
        <v>372</v>
      </c>
      <c r="V795" s="395"/>
      <c r="W795" s="395">
        <f t="shared" si="841"/>
        <v>8.7892499999999991</v>
      </c>
      <c r="X795" s="393"/>
      <c r="Y795" s="523"/>
      <c r="Z795" s="393"/>
      <c r="AA795" s="544"/>
      <c r="AB795" s="394"/>
      <c r="AC795" s="394"/>
      <c r="AD795" s="394"/>
      <c r="AE795" s="394"/>
      <c r="AF795" s="394"/>
      <c r="AG795" s="394"/>
      <c r="AH795" s="394"/>
      <c r="AI795" s="394"/>
      <c r="AJ795" s="394"/>
      <c r="AK795" s="381"/>
      <c r="AL795" s="408"/>
      <c r="AM795" s="385"/>
      <c r="AN795" s="475"/>
      <c r="AO795" s="395"/>
      <c r="AP795" s="395" t="e">
        <f t="shared" si="839"/>
        <v>#DIV/0!</v>
      </c>
      <c r="AQ795" s="393"/>
      <c r="AR795" s="523"/>
      <c r="AS795" s="393"/>
      <c r="AT795" s="544"/>
      <c r="AU795" s="394"/>
      <c r="AV795" s="394"/>
      <c r="AW795" s="394"/>
      <c r="AX795" s="394"/>
      <c r="AY795" s="394"/>
      <c r="AZ795" s="394"/>
      <c r="BA795" s="394"/>
      <c r="BB795" s="394"/>
      <c r="BC795" s="394"/>
      <c r="BD795" s="381"/>
      <c r="BE795" s="408"/>
      <c r="BF795" s="385"/>
      <c r="BG795" s="475"/>
      <c r="BH795" s="395"/>
      <c r="BI795" s="395" t="e">
        <f t="shared" si="840"/>
        <v>#DIV/0!</v>
      </c>
    </row>
    <row r="796" spans="1:61" s="358" customFormat="1" ht="19.2" x14ac:dyDescent="0.3">
      <c r="A796" s="359" t="s">
        <v>337</v>
      </c>
      <c r="B796" s="537" t="s">
        <v>1304</v>
      </c>
      <c r="C796" s="546" t="s">
        <v>691</v>
      </c>
      <c r="D796" s="360">
        <v>0.22</v>
      </c>
      <c r="E796" s="393"/>
      <c r="F796" s="523">
        <v>1</v>
      </c>
      <c r="G796" s="393"/>
      <c r="H796" s="544">
        <v>8.7892499999999991</v>
      </c>
      <c r="I796" s="394">
        <v>7.9023399999999997</v>
      </c>
      <c r="J796" s="394">
        <v>7.0416699999999999</v>
      </c>
      <c r="K796" s="394"/>
      <c r="L796" s="394"/>
      <c r="M796" s="394">
        <v>0</v>
      </c>
      <c r="N796" s="394">
        <v>0</v>
      </c>
      <c r="O796" s="394">
        <v>0.20676</v>
      </c>
      <c r="P796" s="394">
        <v>7.0416699999999999</v>
      </c>
      <c r="Q796" s="394"/>
      <c r="R796" s="381" t="s">
        <v>167</v>
      </c>
      <c r="S796" s="408" t="s">
        <v>175</v>
      </c>
      <c r="T796" s="385"/>
      <c r="U796" s="475">
        <v>373</v>
      </c>
      <c r="V796" s="395"/>
      <c r="W796" s="395">
        <f t="shared" si="841"/>
        <v>8.7892499999999991</v>
      </c>
      <c r="X796" s="393"/>
      <c r="Y796" s="523"/>
      <c r="Z796" s="393"/>
      <c r="AA796" s="544"/>
      <c r="AB796" s="394"/>
      <c r="AC796" s="394"/>
      <c r="AD796" s="394"/>
      <c r="AE796" s="394"/>
      <c r="AF796" s="394"/>
      <c r="AG796" s="394"/>
      <c r="AH796" s="394"/>
      <c r="AI796" s="394"/>
      <c r="AJ796" s="394"/>
      <c r="AK796" s="381"/>
      <c r="AL796" s="408"/>
      <c r="AM796" s="385"/>
      <c r="AN796" s="475"/>
      <c r="AO796" s="395"/>
      <c r="AP796" s="395" t="e">
        <f t="shared" si="839"/>
        <v>#DIV/0!</v>
      </c>
      <c r="AQ796" s="393"/>
      <c r="AR796" s="523"/>
      <c r="AS796" s="393"/>
      <c r="AT796" s="544"/>
      <c r="AU796" s="394"/>
      <c r="AV796" s="394"/>
      <c r="AW796" s="394"/>
      <c r="AX796" s="394"/>
      <c r="AY796" s="394"/>
      <c r="AZ796" s="394"/>
      <c r="BA796" s="394"/>
      <c r="BB796" s="394"/>
      <c r="BC796" s="394"/>
      <c r="BD796" s="381"/>
      <c r="BE796" s="408"/>
      <c r="BF796" s="385"/>
      <c r="BG796" s="475"/>
      <c r="BH796" s="395"/>
      <c r="BI796" s="395" t="e">
        <f t="shared" si="840"/>
        <v>#DIV/0!</v>
      </c>
    </row>
    <row r="797" spans="1:61" s="358" customFormat="1" ht="19.2" x14ac:dyDescent="0.3">
      <c r="A797" s="359" t="s">
        <v>338</v>
      </c>
      <c r="B797" s="537" t="s">
        <v>1305</v>
      </c>
      <c r="C797" s="546" t="s">
        <v>692</v>
      </c>
      <c r="D797" s="360">
        <v>0.22</v>
      </c>
      <c r="E797" s="393"/>
      <c r="F797" s="523">
        <v>1</v>
      </c>
      <c r="G797" s="393"/>
      <c r="H797" s="544">
        <v>8.7892499999999991</v>
      </c>
      <c r="I797" s="394">
        <v>7.9023399999999997</v>
      </c>
      <c r="J797" s="394">
        <v>7.0416699999999999</v>
      </c>
      <c r="K797" s="394"/>
      <c r="L797" s="394"/>
      <c r="M797" s="394">
        <v>0</v>
      </c>
      <c r="N797" s="394">
        <v>0</v>
      </c>
      <c r="O797" s="394">
        <v>0.20676</v>
      </c>
      <c r="P797" s="394">
        <v>7.0416699999999999</v>
      </c>
      <c r="Q797" s="394"/>
      <c r="R797" s="381" t="s">
        <v>167</v>
      </c>
      <c r="S797" s="408" t="s">
        <v>175</v>
      </c>
      <c r="T797" s="385"/>
      <c r="U797" s="475">
        <v>374</v>
      </c>
      <c r="V797" s="395"/>
      <c r="W797" s="395">
        <f t="shared" si="841"/>
        <v>8.7892499999999991</v>
      </c>
      <c r="X797" s="393"/>
      <c r="Y797" s="523"/>
      <c r="Z797" s="393"/>
      <c r="AA797" s="544"/>
      <c r="AB797" s="394"/>
      <c r="AC797" s="394"/>
      <c r="AD797" s="394"/>
      <c r="AE797" s="394"/>
      <c r="AF797" s="394"/>
      <c r="AG797" s="394"/>
      <c r="AH797" s="394"/>
      <c r="AI797" s="394"/>
      <c r="AJ797" s="394"/>
      <c r="AK797" s="381"/>
      <c r="AL797" s="408"/>
      <c r="AM797" s="385"/>
      <c r="AN797" s="475"/>
      <c r="AO797" s="395"/>
      <c r="AP797" s="395" t="e">
        <f t="shared" si="839"/>
        <v>#DIV/0!</v>
      </c>
      <c r="AQ797" s="393"/>
      <c r="AR797" s="523"/>
      <c r="AS797" s="393"/>
      <c r="AT797" s="544"/>
      <c r="AU797" s="394"/>
      <c r="AV797" s="394"/>
      <c r="AW797" s="394"/>
      <c r="AX797" s="394"/>
      <c r="AY797" s="394"/>
      <c r="AZ797" s="394"/>
      <c r="BA797" s="394"/>
      <c r="BB797" s="394"/>
      <c r="BC797" s="394"/>
      <c r="BD797" s="381"/>
      <c r="BE797" s="408"/>
      <c r="BF797" s="385"/>
      <c r="BG797" s="475"/>
      <c r="BH797" s="395"/>
      <c r="BI797" s="395" t="e">
        <f t="shared" si="840"/>
        <v>#DIV/0!</v>
      </c>
    </row>
    <row r="798" spans="1:61" s="358" customFormat="1" ht="19.2" x14ac:dyDescent="0.3">
      <c r="A798" s="359" t="s">
        <v>339</v>
      </c>
      <c r="B798" s="537" t="s">
        <v>1306</v>
      </c>
      <c r="C798" s="546" t="s">
        <v>693</v>
      </c>
      <c r="D798" s="360">
        <v>0.22</v>
      </c>
      <c r="E798" s="393"/>
      <c r="F798" s="523">
        <v>1</v>
      </c>
      <c r="G798" s="393"/>
      <c r="H798" s="544">
        <v>8.7892499999999991</v>
      </c>
      <c r="I798" s="394">
        <v>7.9023399999999997</v>
      </c>
      <c r="J798" s="394">
        <v>7.0416699999999999</v>
      </c>
      <c r="K798" s="394"/>
      <c r="L798" s="394"/>
      <c r="M798" s="394">
        <v>0</v>
      </c>
      <c r="N798" s="394">
        <v>0</v>
      </c>
      <c r="O798" s="394">
        <v>0.20676</v>
      </c>
      <c r="P798" s="394">
        <v>7.0416699999999999</v>
      </c>
      <c r="Q798" s="394"/>
      <c r="R798" s="381" t="s">
        <v>167</v>
      </c>
      <c r="S798" s="408" t="s">
        <v>175</v>
      </c>
      <c r="T798" s="385"/>
      <c r="U798" s="475">
        <v>375</v>
      </c>
      <c r="V798" s="395"/>
      <c r="W798" s="395">
        <f t="shared" si="841"/>
        <v>8.7892499999999991</v>
      </c>
      <c r="X798" s="393"/>
      <c r="Y798" s="523"/>
      <c r="Z798" s="393"/>
      <c r="AA798" s="544"/>
      <c r="AB798" s="394"/>
      <c r="AC798" s="394"/>
      <c r="AD798" s="394"/>
      <c r="AE798" s="394"/>
      <c r="AF798" s="394"/>
      <c r="AG798" s="394"/>
      <c r="AH798" s="394"/>
      <c r="AI798" s="394"/>
      <c r="AJ798" s="394"/>
      <c r="AK798" s="381"/>
      <c r="AL798" s="408"/>
      <c r="AM798" s="385"/>
      <c r="AN798" s="475"/>
      <c r="AO798" s="395"/>
      <c r="AP798" s="395" t="e">
        <f t="shared" si="839"/>
        <v>#DIV/0!</v>
      </c>
      <c r="AQ798" s="393"/>
      <c r="AR798" s="523"/>
      <c r="AS798" s="393"/>
      <c r="AT798" s="544"/>
      <c r="AU798" s="394"/>
      <c r="AV798" s="394"/>
      <c r="AW798" s="394"/>
      <c r="AX798" s="394"/>
      <c r="AY798" s="394"/>
      <c r="AZ798" s="394"/>
      <c r="BA798" s="394"/>
      <c r="BB798" s="394"/>
      <c r="BC798" s="394"/>
      <c r="BD798" s="381"/>
      <c r="BE798" s="408"/>
      <c r="BF798" s="385"/>
      <c r="BG798" s="475"/>
      <c r="BH798" s="395"/>
      <c r="BI798" s="395" t="e">
        <f t="shared" si="840"/>
        <v>#DIV/0!</v>
      </c>
    </row>
    <row r="799" spans="1:61" s="358" customFormat="1" ht="19.2" x14ac:dyDescent="0.3">
      <c r="A799" s="359" t="s">
        <v>340</v>
      </c>
      <c r="B799" s="537" t="s">
        <v>1307</v>
      </c>
      <c r="C799" s="546" t="s">
        <v>694</v>
      </c>
      <c r="D799" s="360">
        <v>0.22</v>
      </c>
      <c r="E799" s="393"/>
      <c r="F799" s="523">
        <v>1</v>
      </c>
      <c r="G799" s="393"/>
      <c r="H799" s="544">
        <v>8.7892499999999991</v>
      </c>
      <c r="I799" s="394">
        <v>7.9023399999999997</v>
      </c>
      <c r="J799" s="394">
        <v>7.0416699999999999</v>
      </c>
      <c r="K799" s="394"/>
      <c r="L799" s="394"/>
      <c r="M799" s="394">
        <v>0</v>
      </c>
      <c r="N799" s="394">
        <v>0</v>
      </c>
      <c r="O799" s="394">
        <v>0.20676</v>
      </c>
      <c r="P799" s="394">
        <v>7.0416699999999999</v>
      </c>
      <c r="Q799" s="394"/>
      <c r="R799" s="381" t="s">
        <v>167</v>
      </c>
      <c r="S799" s="408" t="s">
        <v>175</v>
      </c>
      <c r="T799" s="385"/>
      <c r="U799" s="475">
        <v>376</v>
      </c>
      <c r="V799" s="395"/>
      <c r="W799" s="395">
        <f t="shared" si="838"/>
        <v>8.7892499999999991</v>
      </c>
      <c r="X799" s="393"/>
      <c r="Y799" s="523"/>
      <c r="Z799" s="393"/>
      <c r="AA799" s="544"/>
      <c r="AB799" s="394"/>
      <c r="AC799" s="394"/>
      <c r="AD799" s="394"/>
      <c r="AE799" s="394"/>
      <c r="AF799" s="394"/>
      <c r="AG799" s="394"/>
      <c r="AH799" s="394"/>
      <c r="AI799" s="394"/>
      <c r="AJ799" s="394"/>
      <c r="AK799" s="381"/>
      <c r="AL799" s="408"/>
      <c r="AM799" s="385"/>
      <c r="AN799" s="475"/>
      <c r="AO799" s="395"/>
      <c r="AP799" s="395" t="e">
        <f t="shared" si="839"/>
        <v>#DIV/0!</v>
      </c>
      <c r="AQ799" s="393"/>
      <c r="AR799" s="523"/>
      <c r="AS799" s="393"/>
      <c r="AT799" s="544"/>
      <c r="AU799" s="394"/>
      <c r="AV799" s="394"/>
      <c r="AW799" s="394"/>
      <c r="AX799" s="394"/>
      <c r="AY799" s="394"/>
      <c r="AZ799" s="394"/>
      <c r="BA799" s="394"/>
      <c r="BB799" s="394"/>
      <c r="BC799" s="394"/>
      <c r="BD799" s="381"/>
      <c r="BE799" s="408"/>
      <c r="BF799" s="385"/>
      <c r="BG799" s="475"/>
      <c r="BH799" s="395"/>
      <c r="BI799" s="395" t="e">
        <f t="shared" si="840"/>
        <v>#DIV/0!</v>
      </c>
    </row>
    <row r="800" spans="1:61" s="358" customFormat="1" ht="19.2" x14ac:dyDescent="0.3">
      <c r="A800" s="359" t="s">
        <v>357</v>
      </c>
      <c r="B800" s="537" t="s">
        <v>1308</v>
      </c>
      <c r="C800" s="546" t="s">
        <v>695</v>
      </c>
      <c r="D800" s="360">
        <v>0.22</v>
      </c>
      <c r="E800" s="393"/>
      <c r="F800" s="523">
        <v>1</v>
      </c>
      <c r="G800" s="393"/>
      <c r="H800" s="544">
        <v>8.7892499999999991</v>
      </c>
      <c r="I800" s="394">
        <v>7.9023399999999997</v>
      </c>
      <c r="J800" s="394">
        <v>7.4166999999999996</v>
      </c>
      <c r="K800" s="394"/>
      <c r="L800" s="394"/>
      <c r="M800" s="394">
        <v>0</v>
      </c>
      <c r="N800" s="394">
        <v>0</v>
      </c>
      <c r="O800" s="394">
        <v>0.20676</v>
      </c>
      <c r="P800" s="394">
        <v>7.0416699999999999</v>
      </c>
      <c r="Q800" s="394"/>
      <c r="R800" s="381" t="s">
        <v>167</v>
      </c>
      <c r="S800" s="408" t="s">
        <v>175</v>
      </c>
      <c r="T800" s="385"/>
      <c r="U800" s="475">
        <v>377</v>
      </c>
      <c r="V800" s="395"/>
      <c r="W800" s="395">
        <f t="shared" ref="W800:W863" si="842">H800/F800</f>
        <v>8.7892499999999991</v>
      </c>
      <c r="X800" s="393"/>
      <c r="Y800" s="523"/>
      <c r="Z800" s="393"/>
      <c r="AA800" s="544"/>
      <c r="AB800" s="394"/>
      <c r="AC800" s="394"/>
      <c r="AD800" s="394"/>
      <c r="AE800" s="394"/>
      <c r="AF800" s="394"/>
      <c r="AG800" s="394"/>
      <c r="AH800" s="394"/>
      <c r="AI800" s="394"/>
      <c r="AJ800" s="394"/>
      <c r="AK800" s="381"/>
      <c r="AL800" s="408"/>
      <c r="AM800" s="385"/>
      <c r="AN800" s="475"/>
      <c r="AO800" s="395"/>
      <c r="AP800" s="395" t="e">
        <f t="shared" si="839"/>
        <v>#DIV/0!</v>
      </c>
      <c r="AQ800" s="393"/>
      <c r="AR800" s="523"/>
      <c r="AS800" s="393"/>
      <c r="AT800" s="544"/>
      <c r="AU800" s="394"/>
      <c r="AV800" s="394"/>
      <c r="AW800" s="394"/>
      <c r="AX800" s="394"/>
      <c r="AY800" s="394"/>
      <c r="AZ800" s="394"/>
      <c r="BA800" s="394"/>
      <c r="BB800" s="394"/>
      <c r="BC800" s="394"/>
      <c r="BD800" s="381"/>
      <c r="BE800" s="408"/>
      <c r="BF800" s="385"/>
      <c r="BG800" s="475"/>
      <c r="BH800" s="395"/>
      <c r="BI800" s="395" t="e">
        <f t="shared" si="840"/>
        <v>#DIV/0!</v>
      </c>
    </row>
    <row r="801" spans="1:61" s="358" customFormat="1" ht="19.2" x14ac:dyDescent="0.3">
      <c r="A801" s="359" t="s">
        <v>342</v>
      </c>
      <c r="B801" s="537" t="s">
        <v>1309</v>
      </c>
      <c r="C801" s="546" t="s">
        <v>696</v>
      </c>
      <c r="D801" s="360">
        <v>0.22</v>
      </c>
      <c r="E801" s="393"/>
      <c r="F801" s="523">
        <v>1</v>
      </c>
      <c r="G801" s="393"/>
      <c r="H801" s="544">
        <v>8.7892399999999995</v>
      </c>
      <c r="I801" s="394">
        <v>7.9023300000000001</v>
      </c>
      <c r="J801" s="394">
        <v>7.0416699999999999</v>
      </c>
      <c r="K801" s="394"/>
      <c r="L801" s="394"/>
      <c r="M801" s="394">
        <v>0</v>
      </c>
      <c r="N801" s="394">
        <v>0</v>
      </c>
      <c r="O801" s="394">
        <v>0.20676</v>
      </c>
      <c r="P801" s="394">
        <v>7.0416699999999999</v>
      </c>
      <c r="Q801" s="394"/>
      <c r="R801" s="381" t="s">
        <v>167</v>
      </c>
      <c r="S801" s="408" t="s">
        <v>175</v>
      </c>
      <c r="T801" s="385"/>
      <c r="U801" s="475">
        <v>378</v>
      </c>
      <c r="V801" s="395"/>
      <c r="W801" s="395">
        <f t="shared" si="842"/>
        <v>8.7892399999999995</v>
      </c>
      <c r="X801" s="393"/>
      <c r="Y801" s="523"/>
      <c r="Z801" s="393"/>
      <c r="AA801" s="544"/>
      <c r="AB801" s="394"/>
      <c r="AC801" s="394"/>
      <c r="AD801" s="394"/>
      <c r="AE801" s="394"/>
      <c r="AF801" s="394"/>
      <c r="AG801" s="394"/>
      <c r="AH801" s="394"/>
      <c r="AI801" s="394"/>
      <c r="AJ801" s="394"/>
      <c r="AK801" s="381"/>
      <c r="AL801" s="408"/>
      <c r="AM801" s="385"/>
      <c r="AN801" s="475"/>
      <c r="AO801" s="395"/>
      <c r="AP801" s="395" t="e">
        <f t="shared" ref="AP801:AP864" si="843">AA801/Y801</f>
        <v>#DIV/0!</v>
      </c>
      <c r="AQ801" s="393"/>
      <c r="AR801" s="523"/>
      <c r="AS801" s="393"/>
      <c r="AT801" s="544"/>
      <c r="AU801" s="394"/>
      <c r="AV801" s="394"/>
      <c r="AW801" s="394"/>
      <c r="AX801" s="394"/>
      <c r="AY801" s="394"/>
      <c r="AZ801" s="394"/>
      <c r="BA801" s="394"/>
      <c r="BB801" s="394"/>
      <c r="BC801" s="394"/>
      <c r="BD801" s="381"/>
      <c r="BE801" s="408"/>
      <c r="BF801" s="385"/>
      <c r="BG801" s="475"/>
      <c r="BH801" s="395"/>
      <c r="BI801" s="395" t="e">
        <f t="shared" si="840"/>
        <v>#DIV/0!</v>
      </c>
    </row>
    <row r="802" spans="1:61" s="358" customFormat="1" ht="19.2" x14ac:dyDescent="0.3">
      <c r="A802" s="359" t="s">
        <v>343</v>
      </c>
      <c r="B802" s="537" t="s">
        <v>1310</v>
      </c>
      <c r="C802" s="546" t="s">
        <v>697</v>
      </c>
      <c r="D802" s="360">
        <v>0.22</v>
      </c>
      <c r="E802" s="393"/>
      <c r="F802" s="523">
        <v>1</v>
      </c>
      <c r="G802" s="393"/>
      <c r="H802" s="544">
        <v>8.7892499999999991</v>
      </c>
      <c r="I802" s="394">
        <v>7.9023399999999997</v>
      </c>
      <c r="J802" s="394">
        <v>7.0416699999999999</v>
      </c>
      <c r="K802" s="394"/>
      <c r="L802" s="394"/>
      <c r="M802" s="394">
        <v>0</v>
      </c>
      <c r="N802" s="394">
        <v>0</v>
      </c>
      <c r="O802" s="394">
        <v>0.20676</v>
      </c>
      <c r="P802" s="394">
        <v>7.0416699999999999</v>
      </c>
      <c r="Q802" s="394"/>
      <c r="R802" s="381" t="s">
        <v>167</v>
      </c>
      <c r="S802" s="408" t="s">
        <v>175</v>
      </c>
      <c r="T802" s="385"/>
      <c r="U802" s="475">
        <v>379</v>
      </c>
      <c r="V802" s="395"/>
      <c r="W802" s="395">
        <f t="shared" si="842"/>
        <v>8.7892499999999991</v>
      </c>
      <c r="X802" s="393"/>
      <c r="Y802" s="523"/>
      <c r="Z802" s="393"/>
      <c r="AA802" s="544"/>
      <c r="AB802" s="394"/>
      <c r="AC802" s="394"/>
      <c r="AD802" s="394"/>
      <c r="AE802" s="394"/>
      <c r="AF802" s="394"/>
      <c r="AG802" s="394"/>
      <c r="AH802" s="394"/>
      <c r="AI802" s="394"/>
      <c r="AJ802" s="394"/>
      <c r="AK802" s="381"/>
      <c r="AL802" s="408"/>
      <c r="AM802" s="385"/>
      <c r="AN802" s="475"/>
      <c r="AO802" s="395"/>
      <c r="AP802" s="395" t="e">
        <f t="shared" si="843"/>
        <v>#DIV/0!</v>
      </c>
      <c r="AQ802" s="393"/>
      <c r="AR802" s="523"/>
      <c r="AS802" s="393"/>
      <c r="AT802" s="544"/>
      <c r="AU802" s="394"/>
      <c r="AV802" s="394"/>
      <c r="AW802" s="394"/>
      <c r="AX802" s="394"/>
      <c r="AY802" s="394"/>
      <c r="AZ802" s="394"/>
      <c r="BA802" s="394"/>
      <c r="BB802" s="394"/>
      <c r="BC802" s="394"/>
      <c r="BD802" s="381"/>
      <c r="BE802" s="408"/>
      <c r="BF802" s="385"/>
      <c r="BG802" s="475"/>
      <c r="BH802" s="395"/>
      <c r="BI802" s="395" t="e">
        <f t="shared" si="840"/>
        <v>#DIV/0!</v>
      </c>
    </row>
    <row r="803" spans="1:61" s="358" customFormat="1" ht="19.2" x14ac:dyDescent="0.3">
      <c r="A803" s="359" t="s">
        <v>328</v>
      </c>
      <c r="B803" s="537" t="s">
        <v>1311</v>
      </c>
      <c r="C803" s="546" t="s">
        <v>698</v>
      </c>
      <c r="D803" s="360">
        <v>0.22</v>
      </c>
      <c r="E803" s="393"/>
      <c r="F803" s="523">
        <v>1</v>
      </c>
      <c r="G803" s="393"/>
      <c r="H803" s="544">
        <v>8.7892399999999995</v>
      </c>
      <c r="I803" s="394">
        <v>7.9023300000000001</v>
      </c>
      <c r="J803" s="394">
        <v>7.0416699999999999</v>
      </c>
      <c r="K803" s="394"/>
      <c r="L803" s="394"/>
      <c r="M803" s="394">
        <v>0</v>
      </c>
      <c r="N803" s="394">
        <v>0</v>
      </c>
      <c r="O803" s="394">
        <v>0.20676</v>
      </c>
      <c r="P803" s="394">
        <v>7.0416699999999999</v>
      </c>
      <c r="Q803" s="394"/>
      <c r="R803" s="381" t="s">
        <v>167</v>
      </c>
      <c r="S803" s="408" t="s">
        <v>175</v>
      </c>
      <c r="T803" s="385"/>
      <c r="U803" s="475">
        <v>380</v>
      </c>
      <c r="V803" s="395"/>
      <c r="W803" s="395">
        <f t="shared" si="842"/>
        <v>8.7892399999999995</v>
      </c>
      <c r="X803" s="393"/>
      <c r="Y803" s="523"/>
      <c r="Z803" s="393"/>
      <c r="AA803" s="544"/>
      <c r="AB803" s="394"/>
      <c r="AC803" s="394"/>
      <c r="AD803" s="394"/>
      <c r="AE803" s="394"/>
      <c r="AF803" s="394"/>
      <c r="AG803" s="394"/>
      <c r="AH803" s="394"/>
      <c r="AI803" s="394"/>
      <c r="AJ803" s="394"/>
      <c r="AK803" s="381"/>
      <c r="AL803" s="408"/>
      <c r="AM803" s="385"/>
      <c r="AN803" s="475"/>
      <c r="AO803" s="395"/>
      <c r="AP803" s="395" t="e">
        <f t="shared" si="843"/>
        <v>#DIV/0!</v>
      </c>
      <c r="AQ803" s="393"/>
      <c r="AR803" s="523"/>
      <c r="AS803" s="393"/>
      <c r="AT803" s="544"/>
      <c r="AU803" s="394"/>
      <c r="AV803" s="394"/>
      <c r="AW803" s="394"/>
      <c r="AX803" s="394"/>
      <c r="AY803" s="394"/>
      <c r="AZ803" s="394"/>
      <c r="BA803" s="394"/>
      <c r="BB803" s="394"/>
      <c r="BC803" s="394"/>
      <c r="BD803" s="381"/>
      <c r="BE803" s="408"/>
      <c r="BF803" s="385"/>
      <c r="BG803" s="475"/>
      <c r="BH803" s="395"/>
      <c r="BI803" s="395" t="e">
        <f t="shared" si="840"/>
        <v>#DIV/0!</v>
      </c>
    </row>
    <row r="804" spans="1:61" s="358" customFormat="1" ht="19.2" x14ac:dyDescent="0.3">
      <c r="A804" s="359" t="s">
        <v>361</v>
      </c>
      <c r="B804" s="537" t="s">
        <v>1312</v>
      </c>
      <c r="C804" s="546" t="s">
        <v>699</v>
      </c>
      <c r="D804" s="360">
        <v>0.22</v>
      </c>
      <c r="E804" s="393"/>
      <c r="F804" s="523">
        <v>1</v>
      </c>
      <c r="G804" s="393"/>
      <c r="H804" s="544">
        <v>8.7892499999999991</v>
      </c>
      <c r="I804" s="394">
        <v>7.9023399999999997</v>
      </c>
      <c r="J804" s="394">
        <v>7.0416699999999999</v>
      </c>
      <c r="K804" s="394"/>
      <c r="L804" s="394"/>
      <c r="M804" s="394">
        <v>0</v>
      </c>
      <c r="N804" s="394">
        <v>0</v>
      </c>
      <c r="O804" s="394">
        <v>0.20676</v>
      </c>
      <c r="P804" s="394">
        <v>7.0416699999999999</v>
      </c>
      <c r="Q804" s="394"/>
      <c r="R804" s="381" t="s">
        <v>167</v>
      </c>
      <c r="S804" s="408" t="s">
        <v>175</v>
      </c>
      <c r="T804" s="385"/>
      <c r="U804" s="475">
        <v>381</v>
      </c>
      <c r="V804" s="395"/>
      <c r="W804" s="395">
        <f t="shared" si="842"/>
        <v>8.7892499999999991</v>
      </c>
      <c r="X804" s="393"/>
      <c r="Y804" s="523"/>
      <c r="Z804" s="393"/>
      <c r="AA804" s="544"/>
      <c r="AB804" s="394"/>
      <c r="AC804" s="394"/>
      <c r="AD804" s="394"/>
      <c r="AE804" s="394"/>
      <c r="AF804" s="394"/>
      <c r="AG804" s="394"/>
      <c r="AH804" s="394"/>
      <c r="AI804" s="394"/>
      <c r="AJ804" s="394"/>
      <c r="AK804" s="381"/>
      <c r="AL804" s="408"/>
      <c r="AM804" s="385"/>
      <c r="AN804" s="475"/>
      <c r="AO804" s="395"/>
      <c r="AP804" s="395" t="e">
        <f t="shared" si="843"/>
        <v>#DIV/0!</v>
      </c>
      <c r="AQ804" s="393"/>
      <c r="AR804" s="523"/>
      <c r="AS804" s="393"/>
      <c r="AT804" s="544"/>
      <c r="AU804" s="394"/>
      <c r="AV804" s="394"/>
      <c r="AW804" s="394"/>
      <c r="AX804" s="394"/>
      <c r="AY804" s="394"/>
      <c r="AZ804" s="394"/>
      <c r="BA804" s="394"/>
      <c r="BB804" s="394"/>
      <c r="BC804" s="394"/>
      <c r="BD804" s="381"/>
      <c r="BE804" s="408"/>
      <c r="BF804" s="385"/>
      <c r="BG804" s="475"/>
      <c r="BH804" s="395"/>
      <c r="BI804" s="395" t="e">
        <f t="shared" si="840"/>
        <v>#DIV/0!</v>
      </c>
    </row>
    <row r="805" spans="1:61" s="358" customFormat="1" ht="19.2" x14ac:dyDescent="0.3">
      <c r="A805" s="359" t="s">
        <v>346</v>
      </c>
      <c r="B805" s="537" t="s">
        <v>1313</v>
      </c>
      <c r="C805" s="546" t="s">
        <v>700</v>
      </c>
      <c r="D805" s="360">
        <v>0.22</v>
      </c>
      <c r="E805" s="393"/>
      <c r="F805" s="523">
        <v>1</v>
      </c>
      <c r="G805" s="393"/>
      <c r="H805" s="544">
        <v>8.7892399999999995</v>
      </c>
      <c r="I805" s="394">
        <v>7.9023300000000001</v>
      </c>
      <c r="J805" s="394">
        <v>7.0416699999999999</v>
      </c>
      <c r="K805" s="394"/>
      <c r="L805" s="394"/>
      <c r="M805" s="394">
        <v>0</v>
      </c>
      <c r="N805" s="394">
        <v>0</v>
      </c>
      <c r="O805" s="394">
        <v>0.20676</v>
      </c>
      <c r="P805" s="394">
        <v>7.0416699999999999</v>
      </c>
      <c r="Q805" s="394"/>
      <c r="R805" s="381" t="s">
        <v>167</v>
      </c>
      <c r="S805" s="408" t="s">
        <v>175</v>
      </c>
      <c r="T805" s="385"/>
      <c r="U805" s="475">
        <v>382</v>
      </c>
      <c r="V805" s="395"/>
      <c r="W805" s="395">
        <f t="shared" si="842"/>
        <v>8.7892399999999995</v>
      </c>
      <c r="X805" s="393"/>
      <c r="Y805" s="523"/>
      <c r="Z805" s="393"/>
      <c r="AA805" s="544"/>
      <c r="AB805" s="394"/>
      <c r="AC805" s="394"/>
      <c r="AD805" s="394"/>
      <c r="AE805" s="394"/>
      <c r="AF805" s="394"/>
      <c r="AG805" s="394"/>
      <c r="AH805" s="394"/>
      <c r="AI805" s="394"/>
      <c r="AJ805" s="394"/>
      <c r="AK805" s="381"/>
      <c r="AL805" s="408"/>
      <c r="AM805" s="385"/>
      <c r="AN805" s="475"/>
      <c r="AO805" s="395"/>
      <c r="AP805" s="395" t="e">
        <f t="shared" si="843"/>
        <v>#DIV/0!</v>
      </c>
      <c r="AQ805" s="393"/>
      <c r="AR805" s="523"/>
      <c r="AS805" s="393"/>
      <c r="AT805" s="544"/>
      <c r="AU805" s="394"/>
      <c r="AV805" s="394"/>
      <c r="AW805" s="394"/>
      <c r="AX805" s="394"/>
      <c r="AY805" s="394"/>
      <c r="AZ805" s="394"/>
      <c r="BA805" s="394"/>
      <c r="BB805" s="394"/>
      <c r="BC805" s="394"/>
      <c r="BD805" s="381"/>
      <c r="BE805" s="408"/>
      <c r="BF805" s="385"/>
      <c r="BG805" s="475"/>
      <c r="BH805" s="395"/>
      <c r="BI805" s="395" t="e">
        <f t="shared" si="840"/>
        <v>#DIV/0!</v>
      </c>
    </row>
    <row r="806" spans="1:61" s="358" customFormat="1" ht="19.2" x14ac:dyDescent="0.3">
      <c r="A806" s="359" t="s">
        <v>347</v>
      </c>
      <c r="B806" s="537" t="s">
        <v>1314</v>
      </c>
      <c r="C806" s="546" t="s">
        <v>701</v>
      </c>
      <c r="D806" s="360">
        <v>0.22</v>
      </c>
      <c r="E806" s="393"/>
      <c r="F806" s="523">
        <v>1</v>
      </c>
      <c r="G806" s="393"/>
      <c r="H806" s="544">
        <v>8.7892600000000005</v>
      </c>
      <c r="I806" s="394">
        <v>7.9023500000000002</v>
      </c>
      <c r="J806" s="394">
        <v>7.0416699999999999</v>
      </c>
      <c r="K806" s="394"/>
      <c r="L806" s="394"/>
      <c r="M806" s="394">
        <v>0</v>
      </c>
      <c r="N806" s="394">
        <v>0</v>
      </c>
      <c r="O806" s="394">
        <v>0.20676</v>
      </c>
      <c r="P806" s="394">
        <v>7.0416699999999999</v>
      </c>
      <c r="Q806" s="394"/>
      <c r="R806" s="381" t="s">
        <v>167</v>
      </c>
      <c r="S806" s="408" t="s">
        <v>175</v>
      </c>
      <c r="T806" s="385"/>
      <c r="U806" s="475">
        <v>383</v>
      </c>
      <c r="V806" s="395"/>
      <c r="W806" s="395">
        <f t="shared" si="842"/>
        <v>8.7892600000000005</v>
      </c>
      <c r="X806" s="393"/>
      <c r="Y806" s="523"/>
      <c r="Z806" s="393"/>
      <c r="AA806" s="544"/>
      <c r="AB806" s="394"/>
      <c r="AC806" s="394"/>
      <c r="AD806" s="394"/>
      <c r="AE806" s="394"/>
      <c r="AF806" s="394"/>
      <c r="AG806" s="394"/>
      <c r="AH806" s="394"/>
      <c r="AI806" s="394"/>
      <c r="AJ806" s="394"/>
      <c r="AK806" s="381"/>
      <c r="AL806" s="408"/>
      <c r="AM806" s="385"/>
      <c r="AN806" s="475"/>
      <c r="AO806" s="395"/>
      <c r="AP806" s="395" t="e">
        <f t="shared" si="843"/>
        <v>#DIV/0!</v>
      </c>
      <c r="AQ806" s="393"/>
      <c r="AR806" s="523"/>
      <c r="AS806" s="393"/>
      <c r="AT806" s="544"/>
      <c r="AU806" s="394"/>
      <c r="AV806" s="394"/>
      <c r="AW806" s="394"/>
      <c r="AX806" s="394"/>
      <c r="AY806" s="394"/>
      <c r="AZ806" s="394"/>
      <c r="BA806" s="394"/>
      <c r="BB806" s="394"/>
      <c r="BC806" s="394"/>
      <c r="BD806" s="381"/>
      <c r="BE806" s="408"/>
      <c r="BF806" s="385"/>
      <c r="BG806" s="475"/>
      <c r="BH806" s="395"/>
      <c r="BI806" s="395" t="e">
        <f t="shared" si="840"/>
        <v>#DIV/0!</v>
      </c>
    </row>
    <row r="807" spans="1:61" s="358" customFormat="1" ht="19.2" x14ac:dyDescent="0.3">
      <c r="A807" s="359" t="s">
        <v>348</v>
      </c>
      <c r="B807" s="537" t="s">
        <v>1315</v>
      </c>
      <c r="C807" s="546" t="s">
        <v>702</v>
      </c>
      <c r="D807" s="360">
        <v>0.22</v>
      </c>
      <c r="E807" s="393"/>
      <c r="F807" s="523">
        <v>1</v>
      </c>
      <c r="G807" s="393"/>
      <c r="H807" s="544">
        <v>8.7892399999999995</v>
      </c>
      <c r="I807" s="394">
        <v>7.9023300000000001</v>
      </c>
      <c r="J807" s="394">
        <v>7.0416699999999999</v>
      </c>
      <c r="K807" s="394"/>
      <c r="L807" s="394"/>
      <c r="M807" s="394">
        <v>0</v>
      </c>
      <c r="N807" s="394">
        <v>0</v>
      </c>
      <c r="O807" s="394">
        <v>0.20676</v>
      </c>
      <c r="P807" s="394">
        <v>7.0416699999999999</v>
      </c>
      <c r="Q807" s="394"/>
      <c r="R807" s="381" t="s">
        <v>167</v>
      </c>
      <c r="S807" s="408" t="s">
        <v>175</v>
      </c>
      <c r="T807" s="385"/>
      <c r="U807" s="475">
        <v>384</v>
      </c>
      <c r="V807" s="395"/>
      <c r="W807" s="395">
        <f t="shared" si="842"/>
        <v>8.7892399999999995</v>
      </c>
      <c r="X807" s="393"/>
      <c r="Y807" s="523"/>
      <c r="Z807" s="393"/>
      <c r="AA807" s="544"/>
      <c r="AB807" s="394"/>
      <c r="AC807" s="394"/>
      <c r="AD807" s="394"/>
      <c r="AE807" s="394"/>
      <c r="AF807" s="394"/>
      <c r="AG807" s="394"/>
      <c r="AH807" s="394"/>
      <c r="AI807" s="394"/>
      <c r="AJ807" s="394"/>
      <c r="AK807" s="381"/>
      <c r="AL807" s="408"/>
      <c r="AM807" s="385"/>
      <c r="AN807" s="475"/>
      <c r="AO807" s="395"/>
      <c r="AP807" s="395" t="e">
        <f t="shared" si="843"/>
        <v>#DIV/0!</v>
      </c>
      <c r="AQ807" s="393"/>
      <c r="AR807" s="523"/>
      <c r="AS807" s="393"/>
      <c r="AT807" s="544"/>
      <c r="AU807" s="394"/>
      <c r="AV807" s="394"/>
      <c r="AW807" s="394"/>
      <c r="AX807" s="394"/>
      <c r="AY807" s="394"/>
      <c r="AZ807" s="394"/>
      <c r="BA807" s="394"/>
      <c r="BB807" s="394"/>
      <c r="BC807" s="394"/>
      <c r="BD807" s="381"/>
      <c r="BE807" s="408"/>
      <c r="BF807" s="385"/>
      <c r="BG807" s="475"/>
      <c r="BH807" s="395"/>
      <c r="BI807" s="395" t="e">
        <f t="shared" si="840"/>
        <v>#DIV/0!</v>
      </c>
    </row>
    <row r="808" spans="1:61" s="358" customFormat="1" ht="19.2" x14ac:dyDescent="0.3">
      <c r="A808" s="359" t="s">
        <v>349</v>
      </c>
      <c r="B808" s="537" t="s">
        <v>1316</v>
      </c>
      <c r="C808" s="546" t="s">
        <v>703</v>
      </c>
      <c r="D808" s="360">
        <v>0.22</v>
      </c>
      <c r="E808" s="393"/>
      <c r="F808" s="523">
        <v>1</v>
      </c>
      <c r="G808" s="393"/>
      <c r="H808" s="544">
        <v>8.7892600000000005</v>
      </c>
      <c r="I808" s="394">
        <v>7.9023500000000002</v>
      </c>
      <c r="J808" s="394">
        <v>7.0416699999999999</v>
      </c>
      <c r="K808" s="394"/>
      <c r="L808" s="394"/>
      <c r="M808" s="394">
        <v>0</v>
      </c>
      <c r="N808" s="394">
        <v>0</v>
      </c>
      <c r="O808" s="394">
        <v>0.20676</v>
      </c>
      <c r="P808" s="394">
        <v>7.0416699999999999</v>
      </c>
      <c r="Q808" s="394"/>
      <c r="R808" s="381" t="s">
        <v>167</v>
      </c>
      <c r="S808" s="408" t="s">
        <v>175</v>
      </c>
      <c r="T808" s="385"/>
      <c r="U808" s="475">
        <v>385</v>
      </c>
      <c r="V808" s="395"/>
      <c r="W808" s="395">
        <f t="shared" si="842"/>
        <v>8.7892600000000005</v>
      </c>
      <c r="X808" s="393"/>
      <c r="Y808" s="523"/>
      <c r="Z808" s="393"/>
      <c r="AA808" s="544"/>
      <c r="AB808" s="394"/>
      <c r="AC808" s="394"/>
      <c r="AD808" s="394"/>
      <c r="AE808" s="394"/>
      <c r="AF808" s="394"/>
      <c r="AG808" s="394"/>
      <c r="AH808" s="394"/>
      <c r="AI808" s="394"/>
      <c r="AJ808" s="394"/>
      <c r="AK808" s="381"/>
      <c r="AL808" s="408"/>
      <c r="AM808" s="385"/>
      <c r="AN808" s="475"/>
      <c r="AO808" s="395"/>
      <c r="AP808" s="395" t="e">
        <f t="shared" si="843"/>
        <v>#DIV/0!</v>
      </c>
      <c r="AQ808" s="393"/>
      <c r="AR808" s="523"/>
      <c r="AS808" s="393"/>
      <c r="AT808" s="544"/>
      <c r="AU808" s="394"/>
      <c r="AV808" s="394"/>
      <c r="AW808" s="394"/>
      <c r="AX808" s="394"/>
      <c r="AY808" s="394"/>
      <c r="AZ808" s="394"/>
      <c r="BA808" s="394"/>
      <c r="BB808" s="394"/>
      <c r="BC808" s="394"/>
      <c r="BD808" s="381"/>
      <c r="BE808" s="408"/>
      <c r="BF808" s="385"/>
      <c r="BG808" s="475"/>
      <c r="BH808" s="395"/>
      <c r="BI808" s="395" t="e">
        <f t="shared" si="840"/>
        <v>#DIV/0!</v>
      </c>
    </row>
    <row r="809" spans="1:61" s="358" customFormat="1" ht="19.2" x14ac:dyDescent="0.3">
      <c r="A809" s="359" t="s">
        <v>350</v>
      </c>
      <c r="B809" s="537" t="s">
        <v>1317</v>
      </c>
      <c r="C809" s="546" t="s">
        <v>704</v>
      </c>
      <c r="D809" s="360">
        <v>0.22</v>
      </c>
      <c r="E809" s="393"/>
      <c r="F809" s="523">
        <v>1</v>
      </c>
      <c r="G809" s="393"/>
      <c r="H809" s="544">
        <v>8.7892399999999995</v>
      </c>
      <c r="I809" s="394">
        <v>7.9023300000000001</v>
      </c>
      <c r="J809" s="394">
        <v>7.0416699999999999</v>
      </c>
      <c r="K809" s="394"/>
      <c r="L809" s="394"/>
      <c r="M809" s="394">
        <v>0</v>
      </c>
      <c r="N809" s="394">
        <v>0</v>
      </c>
      <c r="O809" s="394">
        <v>0.20676</v>
      </c>
      <c r="P809" s="394">
        <v>7.0416699999999999</v>
      </c>
      <c r="Q809" s="394"/>
      <c r="R809" s="381" t="s">
        <v>167</v>
      </c>
      <c r="S809" s="408" t="s">
        <v>175</v>
      </c>
      <c r="T809" s="385"/>
      <c r="U809" s="475">
        <v>386</v>
      </c>
      <c r="V809" s="395"/>
      <c r="W809" s="395">
        <f t="shared" si="842"/>
        <v>8.7892399999999995</v>
      </c>
      <c r="X809" s="393"/>
      <c r="Y809" s="523"/>
      <c r="Z809" s="393"/>
      <c r="AA809" s="544"/>
      <c r="AB809" s="394"/>
      <c r="AC809" s="394"/>
      <c r="AD809" s="394"/>
      <c r="AE809" s="394"/>
      <c r="AF809" s="394"/>
      <c r="AG809" s="394"/>
      <c r="AH809" s="394"/>
      <c r="AI809" s="394"/>
      <c r="AJ809" s="394"/>
      <c r="AK809" s="381"/>
      <c r="AL809" s="408"/>
      <c r="AM809" s="385"/>
      <c r="AN809" s="475"/>
      <c r="AO809" s="395"/>
      <c r="AP809" s="395" t="e">
        <f t="shared" si="843"/>
        <v>#DIV/0!</v>
      </c>
      <c r="AQ809" s="393"/>
      <c r="AR809" s="523"/>
      <c r="AS809" s="393"/>
      <c r="AT809" s="544"/>
      <c r="AU809" s="394"/>
      <c r="AV809" s="394"/>
      <c r="AW809" s="394"/>
      <c r="AX809" s="394"/>
      <c r="AY809" s="394"/>
      <c r="AZ809" s="394"/>
      <c r="BA809" s="394"/>
      <c r="BB809" s="394"/>
      <c r="BC809" s="394"/>
      <c r="BD809" s="381"/>
      <c r="BE809" s="408"/>
      <c r="BF809" s="385"/>
      <c r="BG809" s="475"/>
      <c r="BH809" s="395"/>
      <c r="BI809" s="395" t="e">
        <f t="shared" si="840"/>
        <v>#DIV/0!</v>
      </c>
    </row>
    <row r="810" spans="1:61" s="358" customFormat="1" ht="19.2" x14ac:dyDescent="0.3">
      <c r="A810" s="359" t="s">
        <v>351</v>
      </c>
      <c r="B810" s="537" t="s">
        <v>1318</v>
      </c>
      <c r="C810" s="546" t="s">
        <v>705</v>
      </c>
      <c r="D810" s="360">
        <v>0.22</v>
      </c>
      <c r="E810" s="393"/>
      <c r="F810" s="523">
        <v>1</v>
      </c>
      <c r="G810" s="393"/>
      <c r="H810" s="544">
        <v>8.7892600000000005</v>
      </c>
      <c r="I810" s="394">
        <v>7.9023500000000002</v>
      </c>
      <c r="J810" s="394">
        <v>7.0416699999999999</v>
      </c>
      <c r="K810" s="394"/>
      <c r="L810" s="394"/>
      <c r="M810" s="394">
        <v>0</v>
      </c>
      <c r="N810" s="394">
        <v>0</v>
      </c>
      <c r="O810" s="394">
        <v>0.20676</v>
      </c>
      <c r="P810" s="394">
        <v>7.0416699999999999</v>
      </c>
      <c r="Q810" s="394"/>
      <c r="R810" s="381" t="s">
        <v>167</v>
      </c>
      <c r="S810" s="408" t="s">
        <v>175</v>
      </c>
      <c r="T810" s="385"/>
      <c r="U810" s="475">
        <v>387</v>
      </c>
      <c r="V810" s="395"/>
      <c r="W810" s="395">
        <f t="shared" si="842"/>
        <v>8.7892600000000005</v>
      </c>
      <c r="X810" s="393"/>
      <c r="Y810" s="523"/>
      <c r="Z810" s="393"/>
      <c r="AA810" s="544"/>
      <c r="AB810" s="394"/>
      <c r="AC810" s="394"/>
      <c r="AD810" s="394"/>
      <c r="AE810" s="394"/>
      <c r="AF810" s="394"/>
      <c r="AG810" s="394"/>
      <c r="AH810" s="394"/>
      <c r="AI810" s="394"/>
      <c r="AJ810" s="394"/>
      <c r="AK810" s="381"/>
      <c r="AL810" s="408"/>
      <c r="AM810" s="385"/>
      <c r="AN810" s="475"/>
      <c r="AO810" s="395"/>
      <c r="AP810" s="395" t="e">
        <f t="shared" si="843"/>
        <v>#DIV/0!</v>
      </c>
      <c r="AQ810" s="393"/>
      <c r="AR810" s="523"/>
      <c r="AS810" s="393"/>
      <c r="AT810" s="544"/>
      <c r="AU810" s="394"/>
      <c r="AV810" s="394"/>
      <c r="AW810" s="394"/>
      <c r="AX810" s="394"/>
      <c r="AY810" s="394"/>
      <c r="AZ810" s="394"/>
      <c r="BA810" s="394"/>
      <c r="BB810" s="394"/>
      <c r="BC810" s="394"/>
      <c r="BD810" s="381"/>
      <c r="BE810" s="408"/>
      <c r="BF810" s="385"/>
      <c r="BG810" s="475"/>
      <c r="BH810" s="395"/>
      <c r="BI810" s="395" t="e">
        <f t="shared" si="840"/>
        <v>#DIV/0!</v>
      </c>
    </row>
    <row r="811" spans="1:61" s="358" customFormat="1" ht="19.2" x14ac:dyDescent="0.3">
      <c r="A811" s="359" t="s">
        <v>352</v>
      </c>
      <c r="B811" s="537" t="s">
        <v>1319</v>
      </c>
      <c r="C811" s="546" t="s">
        <v>706</v>
      </c>
      <c r="D811" s="360">
        <v>0.22</v>
      </c>
      <c r="E811" s="393"/>
      <c r="F811" s="523">
        <v>1</v>
      </c>
      <c r="G811" s="393"/>
      <c r="H811" s="544">
        <v>8.7892399999999995</v>
      </c>
      <c r="I811" s="394">
        <v>7.9023300000000001</v>
      </c>
      <c r="J811" s="394">
        <v>7.0416699999999999</v>
      </c>
      <c r="K811" s="394"/>
      <c r="L811" s="394"/>
      <c r="M811" s="394">
        <v>0</v>
      </c>
      <c r="N811" s="394">
        <v>0</v>
      </c>
      <c r="O811" s="394">
        <v>0.20676</v>
      </c>
      <c r="P811" s="394">
        <v>7.0416699999999999</v>
      </c>
      <c r="Q811" s="394"/>
      <c r="R811" s="381" t="s">
        <v>167</v>
      </c>
      <c r="S811" s="408" t="s">
        <v>175</v>
      </c>
      <c r="T811" s="385"/>
      <c r="U811" s="475">
        <v>388</v>
      </c>
      <c r="V811" s="395"/>
      <c r="W811" s="395">
        <f t="shared" si="842"/>
        <v>8.7892399999999995</v>
      </c>
      <c r="X811" s="393"/>
      <c r="Y811" s="523"/>
      <c r="Z811" s="393"/>
      <c r="AA811" s="544"/>
      <c r="AB811" s="394"/>
      <c r="AC811" s="394"/>
      <c r="AD811" s="394"/>
      <c r="AE811" s="394"/>
      <c r="AF811" s="394"/>
      <c r="AG811" s="394"/>
      <c r="AH811" s="394"/>
      <c r="AI811" s="394"/>
      <c r="AJ811" s="394"/>
      <c r="AK811" s="381"/>
      <c r="AL811" s="408"/>
      <c r="AM811" s="385"/>
      <c r="AN811" s="475"/>
      <c r="AO811" s="395"/>
      <c r="AP811" s="395" t="e">
        <f t="shared" si="843"/>
        <v>#DIV/0!</v>
      </c>
      <c r="AQ811" s="393"/>
      <c r="AR811" s="523"/>
      <c r="AS811" s="393"/>
      <c r="AT811" s="544"/>
      <c r="AU811" s="394"/>
      <c r="AV811" s="394"/>
      <c r="AW811" s="394"/>
      <c r="AX811" s="394"/>
      <c r="AY811" s="394"/>
      <c r="AZ811" s="394"/>
      <c r="BA811" s="394"/>
      <c r="BB811" s="394"/>
      <c r="BC811" s="394"/>
      <c r="BD811" s="381"/>
      <c r="BE811" s="408"/>
      <c r="BF811" s="385"/>
      <c r="BG811" s="475"/>
      <c r="BH811" s="395"/>
      <c r="BI811" s="395" t="e">
        <f t="shared" si="840"/>
        <v>#DIV/0!</v>
      </c>
    </row>
    <row r="812" spans="1:61" s="358" customFormat="1" ht="19.2" x14ac:dyDescent="0.3">
      <c r="A812" s="359" t="s">
        <v>353</v>
      </c>
      <c r="B812" s="537" t="s">
        <v>1320</v>
      </c>
      <c r="C812" s="546" t="s">
        <v>707</v>
      </c>
      <c r="D812" s="360">
        <v>0.22</v>
      </c>
      <c r="E812" s="393"/>
      <c r="F812" s="523">
        <v>1</v>
      </c>
      <c r="G812" s="393"/>
      <c r="H812" s="544">
        <v>8.7892600000000005</v>
      </c>
      <c r="I812" s="394">
        <v>7.9023500000000002</v>
      </c>
      <c r="J812" s="394">
        <v>7.0416699999999999</v>
      </c>
      <c r="K812" s="394"/>
      <c r="L812" s="394"/>
      <c r="M812" s="394">
        <v>0</v>
      </c>
      <c r="N812" s="394">
        <v>0</v>
      </c>
      <c r="O812" s="394">
        <v>0.20676</v>
      </c>
      <c r="P812" s="394">
        <v>7.0416699999999999</v>
      </c>
      <c r="Q812" s="394"/>
      <c r="R812" s="381" t="s">
        <v>167</v>
      </c>
      <c r="S812" s="408" t="s">
        <v>175</v>
      </c>
      <c r="T812" s="385"/>
      <c r="U812" s="475">
        <v>389</v>
      </c>
      <c r="V812" s="395"/>
      <c r="W812" s="395">
        <f t="shared" si="842"/>
        <v>8.7892600000000005</v>
      </c>
      <c r="X812" s="393"/>
      <c r="Y812" s="523"/>
      <c r="Z812" s="393"/>
      <c r="AA812" s="544"/>
      <c r="AB812" s="394"/>
      <c r="AC812" s="394"/>
      <c r="AD812" s="394"/>
      <c r="AE812" s="394"/>
      <c r="AF812" s="394"/>
      <c r="AG812" s="394"/>
      <c r="AH812" s="394"/>
      <c r="AI812" s="394"/>
      <c r="AJ812" s="394"/>
      <c r="AK812" s="381"/>
      <c r="AL812" s="408"/>
      <c r="AM812" s="385"/>
      <c r="AN812" s="475"/>
      <c r="AO812" s="395"/>
      <c r="AP812" s="395" t="e">
        <f t="shared" si="843"/>
        <v>#DIV/0!</v>
      </c>
      <c r="AQ812" s="393"/>
      <c r="AR812" s="523"/>
      <c r="AS812" s="393"/>
      <c r="AT812" s="544"/>
      <c r="AU812" s="394"/>
      <c r="AV812" s="394"/>
      <c r="AW812" s="394"/>
      <c r="AX812" s="394"/>
      <c r="AY812" s="394"/>
      <c r="AZ812" s="394"/>
      <c r="BA812" s="394"/>
      <c r="BB812" s="394"/>
      <c r="BC812" s="394"/>
      <c r="BD812" s="381"/>
      <c r="BE812" s="408"/>
      <c r="BF812" s="385"/>
      <c r="BG812" s="475"/>
      <c r="BH812" s="395"/>
      <c r="BI812" s="395" t="e">
        <f t="shared" ref="BI812:BI875" si="844">AT812/AR812</f>
        <v>#DIV/0!</v>
      </c>
    </row>
    <row r="813" spans="1:61" s="358" customFormat="1" ht="19.2" x14ac:dyDescent="0.3">
      <c r="A813" s="359" t="s">
        <v>354</v>
      </c>
      <c r="B813" s="537" t="s">
        <v>1321</v>
      </c>
      <c r="C813" s="546" t="s">
        <v>708</v>
      </c>
      <c r="D813" s="360">
        <v>0.22</v>
      </c>
      <c r="E813" s="393"/>
      <c r="F813" s="523">
        <v>1</v>
      </c>
      <c r="G813" s="393"/>
      <c r="H813" s="544">
        <v>8.7892399999999995</v>
      </c>
      <c r="I813" s="394">
        <v>7.9023300000000001</v>
      </c>
      <c r="J813" s="394">
        <v>7.0416699999999999</v>
      </c>
      <c r="K813" s="394"/>
      <c r="L813" s="394"/>
      <c r="M813" s="394">
        <v>0</v>
      </c>
      <c r="N813" s="394">
        <v>0</v>
      </c>
      <c r="O813" s="394">
        <v>0.20676</v>
      </c>
      <c r="P813" s="394">
        <v>7.0416699999999999</v>
      </c>
      <c r="Q813" s="394"/>
      <c r="R813" s="381" t="s">
        <v>167</v>
      </c>
      <c r="S813" s="408" t="s">
        <v>175</v>
      </c>
      <c r="T813" s="385"/>
      <c r="U813" s="475">
        <v>390</v>
      </c>
      <c r="V813" s="395"/>
      <c r="W813" s="395">
        <f t="shared" ref="W813:W834" si="845">H813/F813</f>
        <v>8.7892399999999995</v>
      </c>
      <c r="X813" s="393"/>
      <c r="Y813" s="523"/>
      <c r="Z813" s="393"/>
      <c r="AA813" s="544"/>
      <c r="AB813" s="394"/>
      <c r="AC813" s="394"/>
      <c r="AD813" s="394"/>
      <c r="AE813" s="394"/>
      <c r="AF813" s="394"/>
      <c r="AG813" s="394"/>
      <c r="AH813" s="394"/>
      <c r="AI813" s="394"/>
      <c r="AJ813" s="394"/>
      <c r="AK813" s="381"/>
      <c r="AL813" s="408"/>
      <c r="AM813" s="385"/>
      <c r="AN813" s="475"/>
      <c r="AO813" s="395"/>
      <c r="AP813" s="395" t="e">
        <f t="shared" si="843"/>
        <v>#DIV/0!</v>
      </c>
      <c r="AQ813" s="393"/>
      <c r="AR813" s="523"/>
      <c r="AS813" s="393"/>
      <c r="AT813" s="544"/>
      <c r="AU813" s="394"/>
      <c r="AV813" s="394"/>
      <c r="AW813" s="394"/>
      <c r="AX813" s="394"/>
      <c r="AY813" s="394"/>
      <c r="AZ813" s="394"/>
      <c r="BA813" s="394"/>
      <c r="BB813" s="394"/>
      <c r="BC813" s="394"/>
      <c r="BD813" s="381"/>
      <c r="BE813" s="408"/>
      <c r="BF813" s="385"/>
      <c r="BG813" s="475"/>
      <c r="BH813" s="395"/>
      <c r="BI813" s="395" t="e">
        <f t="shared" si="844"/>
        <v>#DIV/0!</v>
      </c>
    </row>
    <row r="814" spans="1:61" s="358" customFormat="1" ht="19.2" x14ac:dyDescent="0.3">
      <c r="A814" s="359" t="s">
        <v>355</v>
      </c>
      <c r="B814" s="537" t="s">
        <v>1322</v>
      </c>
      <c r="C814" s="546" t="s">
        <v>709</v>
      </c>
      <c r="D814" s="360">
        <v>0.22</v>
      </c>
      <c r="E814" s="393"/>
      <c r="F814" s="523">
        <v>1</v>
      </c>
      <c r="G814" s="393"/>
      <c r="H814" s="544">
        <v>8.7892600000000005</v>
      </c>
      <c r="I814" s="394">
        <v>7.9023500000000002</v>
      </c>
      <c r="J814" s="394">
        <v>7.0416699999999999</v>
      </c>
      <c r="K814" s="394"/>
      <c r="L814" s="394"/>
      <c r="M814" s="394">
        <v>0</v>
      </c>
      <c r="N814" s="394">
        <v>0</v>
      </c>
      <c r="O814" s="394">
        <v>0.20676</v>
      </c>
      <c r="P814" s="394">
        <v>7.0416699999999999</v>
      </c>
      <c r="Q814" s="394"/>
      <c r="R814" s="381" t="s">
        <v>167</v>
      </c>
      <c r="S814" s="408" t="s">
        <v>175</v>
      </c>
      <c r="T814" s="385"/>
      <c r="U814" s="475">
        <v>391</v>
      </c>
      <c r="V814" s="395"/>
      <c r="W814" s="395">
        <f t="shared" si="845"/>
        <v>8.7892600000000005</v>
      </c>
      <c r="X814" s="393"/>
      <c r="Y814" s="523"/>
      <c r="Z814" s="393"/>
      <c r="AA814" s="544"/>
      <c r="AB814" s="394"/>
      <c r="AC814" s="394"/>
      <c r="AD814" s="394"/>
      <c r="AE814" s="394"/>
      <c r="AF814" s="394"/>
      <c r="AG814" s="394"/>
      <c r="AH814" s="394"/>
      <c r="AI814" s="394"/>
      <c r="AJ814" s="394"/>
      <c r="AK814" s="381"/>
      <c r="AL814" s="408"/>
      <c r="AM814" s="385"/>
      <c r="AN814" s="475"/>
      <c r="AO814" s="395"/>
      <c r="AP814" s="395" t="e">
        <f t="shared" si="843"/>
        <v>#DIV/0!</v>
      </c>
      <c r="AQ814" s="393"/>
      <c r="AR814" s="523"/>
      <c r="AS814" s="393"/>
      <c r="AT814" s="544"/>
      <c r="AU814" s="394"/>
      <c r="AV814" s="394"/>
      <c r="AW814" s="394"/>
      <c r="AX814" s="394"/>
      <c r="AY814" s="394"/>
      <c r="AZ814" s="394"/>
      <c r="BA814" s="394"/>
      <c r="BB814" s="394"/>
      <c r="BC814" s="394"/>
      <c r="BD814" s="381"/>
      <c r="BE814" s="408"/>
      <c r="BF814" s="385"/>
      <c r="BG814" s="475"/>
      <c r="BH814" s="395"/>
      <c r="BI814" s="395" t="e">
        <f t="shared" si="844"/>
        <v>#DIV/0!</v>
      </c>
    </row>
    <row r="815" spans="1:61" s="358" customFormat="1" ht="19.2" x14ac:dyDescent="0.3">
      <c r="A815" s="359" t="s">
        <v>356</v>
      </c>
      <c r="B815" s="537" t="s">
        <v>1323</v>
      </c>
      <c r="C815" s="546" t="s">
        <v>710</v>
      </c>
      <c r="D815" s="360">
        <v>0.22</v>
      </c>
      <c r="E815" s="393"/>
      <c r="F815" s="523">
        <v>1</v>
      </c>
      <c r="G815" s="393"/>
      <c r="H815" s="544">
        <v>8.7892399999999995</v>
      </c>
      <c r="I815" s="394">
        <v>7.9023300000000001</v>
      </c>
      <c r="J815" s="394">
        <v>7.0416699999999999</v>
      </c>
      <c r="K815" s="394"/>
      <c r="L815" s="394"/>
      <c r="M815" s="394">
        <v>0</v>
      </c>
      <c r="N815" s="394">
        <v>0</v>
      </c>
      <c r="O815" s="394">
        <v>0.20676</v>
      </c>
      <c r="P815" s="394">
        <v>7.0416699999999999</v>
      </c>
      <c r="Q815" s="394"/>
      <c r="R815" s="381" t="s">
        <v>167</v>
      </c>
      <c r="S815" s="408" t="s">
        <v>175</v>
      </c>
      <c r="T815" s="385"/>
      <c r="U815" s="475">
        <v>392</v>
      </c>
      <c r="V815" s="395"/>
      <c r="W815" s="395">
        <f t="shared" si="845"/>
        <v>8.7892399999999995</v>
      </c>
      <c r="X815" s="393"/>
      <c r="Y815" s="523"/>
      <c r="Z815" s="393"/>
      <c r="AA815" s="544"/>
      <c r="AB815" s="394"/>
      <c r="AC815" s="394"/>
      <c r="AD815" s="394"/>
      <c r="AE815" s="394"/>
      <c r="AF815" s="394"/>
      <c r="AG815" s="394"/>
      <c r="AH815" s="394"/>
      <c r="AI815" s="394"/>
      <c r="AJ815" s="394"/>
      <c r="AK815" s="381"/>
      <c r="AL815" s="408"/>
      <c r="AM815" s="385"/>
      <c r="AN815" s="475"/>
      <c r="AO815" s="395"/>
      <c r="AP815" s="395" t="e">
        <f t="shared" si="843"/>
        <v>#DIV/0!</v>
      </c>
      <c r="AQ815" s="393"/>
      <c r="AR815" s="523"/>
      <c r="AS815" s="393"/>
      <c r="AT815" s="544"/>
      <c r="AU815" s="394"/>
      <c r="AV815" s="394"/>
      <c r="AW815" s="394"/>
      <c r="AX815" s="394"/>
      <c r="AY815" s="394"/>
      <c r="AZ815" s="394"/>
      <c r="BA815" s="394"/>
      <c r="BB815" s="394"/>
      <c r="BC815" s="394"/>
      <c r="BD815" s="381"/>
      <c r="BE815" s="408"/>
      <c r="BF815" s="385"/>
      <c r="BG815" s="475"/>
      <c r="BH815" s="395"/>
      <c r="BI815" s="395" t="e">
        <f t="shared" si="844"/>
        <v>#DIV/0!</v>
      </c>
    </row>
    <row r="816" spans="1:61" s="358" customFormat="1" ht="19.2" x14ac:dyDescent="0.3">
      <c r="A816" s="359" t="s">
        <v>373</v>
      </c>
      <c r="B816" s="537" t="s">
        <v>1324</v>
      </c>
      <c r="C816" s="546" t="s">
        <v>711</v>
      </c>
      <c r="D816" s="360">
        <v>0.22</v>
      </c>
      <c r="E816" s="393"/>
      <c r="F816" s="523">
        <v>1</v>
      </c>
      <c r="G816" s="393"/>
      <c r="H816" s="544">
        <v>6.2120100000000003</v>
      </c>
      <c r="I816" s="394">
        <v>5.9427500000000002</v>
      </c>
      <c r="J816" s="394">
        <v>5.2083300000000001</v>
      </c>
      <c r="K816" s="394"/>
      <c r="L816" s="394"/>
      <c r="M816" s="394">
        <v>0</v>
      </c>
      <c r="N816" s="394">
        <v>0</v>
      </c>
      <c r="O816" s="394">
        <v>6.2770000000000006E-2</v>
      </c>
      <c r="P816" s="394">
        <v>5.2083300000000001</v>
      </c>
      <c r="Q816" s="394"/>
      <c r="R816" s="381" t="s">
        <v>167</v>
      </c>
      <c r="S816" s="408" t="s">
        <v>175</v>
      </c>
      <c r="T816" s="385"/>
      <c r="U816" s="475">
        <v>393</v>
      </c>
      <c r="V816" s="395"/>
      <c r="W816" s="395">
        <f t="shared" si="845"/>
        <v>6.2120100000000003</v>
      </c>
      <c r="X816" s="393"/>
      <c r="Y816" s="523"/>
      <c r="Z816" s="393"/>
      <c r="AA816" s="544"/>
      <c r="AB816" s="394"/>
      <c r="AC816" s="394"/>
      <c r="AD816" s="394"/>
      <c r="AE816" s="394"/>
      <c r="AF816" s="394"/>
      <c r="AG816" s="394"/>
      <c r="AH816" s="394"/>
      <c r="AI816" s="394"/>
      <c r="AJ816" s="394"/>
      <c r="AK816" s="381"/>
      <c r="AL816" s="408"/>
      <c r="AM816" s="385"/>
      <c r="AN816" s="475"/>
      <c r="AO816" s="395"/>
      <c r="AP816" s="395" t="e">
        <f t="shared" si="843"/>
        <v>#DIV/0!</v>
      </c>
      <c r="AQ816" s="393"/>
      <c r="AR816" s="523"/>
      <c r="AS816" s="393"/>
      <c r="AT816" s="544"/>
      <c r="AU816" s="394"/>
      <c r="AV816" s="394"/>
      <c r="AW816" s="394"/>
      <c r="AX816" s="394"/>
      <c r="AY816" s="394"/>
      <c r="AZ816" s="394"/>
      <c r="BA816" s="394"/>
      <c r="BB816" s="394"/>
      <c r="BC816" s="394"/>
      <c r="BD816" s="381"/>
      <c r="BE816" s="408"/>
      <c r="BF816" s="385"/>
      <c r="BG816" s="475"/>
      <c r="BH816" s="395"/>
      <c r="BI816" s="395" t="e">
        <f t="shared" si="844"/>
        <v>#DIV/0!</v>
      </c>
    </row>
    <row r="817" spans="1:61" s="358" customFormat="1" ht="19.2" x14ac:dyDescent="0.3">
      <c r="A817" s="359" t="s">
        <v>358</v>
      </c>
      <c r="B817" s="537" t="s">
        <v>1325</v>
      </c>
      <c r="C817" s="546" t="s">
        <v>712</v>
      </c>
      <c r="D817" s="360">
        <v>0.22</v>
      </c>
      <c r="E817" s="393"/>
      <c r="F817" s="523">
        <v>1</v>
      </c>
      <c r="G817" s="393"/>
      <c r="H817" s="544">
        <v>19.021409999999999</v>
      </c>
      <c r="I817" s="394">
        <v>16.38607</v>
      </c>
      <c r="J817" s="394">
        <v>5.2083399999999997</v>
      </c>
      <c r="K817" s="394"/>
      <c r="L817" s="394"/>
      <c r="M817" s="394">
        <v>0</v>
      </c>
      <c r="N817" s="394">
        <v>0</v>
      </c>
      <c r="O817" s="394">
        <v>0.61436999999999997</v>
      </c>
      <c r="P817" s="394">
        <v>5.2083399999999997</v>
      </c>
      <c r="Q817" s="394"/>
      <c r="R817" s="381" t="s">
        <v>167</v>
      </c>
      <c r="S817" s="408" t="s">
        <v>175</v>
      </c>
      <c r="T817" s="385"/>
      <c r="U817" s="475">
        <v>394</v>
      </c>
      <c r="V817" s="395"/>
      <c r="W817" s="395">
        <f t="shared" si="845"/>
        <v>19.021409999999999</v>
      </c>
      <c r="X817" s="393"/>
      <c r="Y817" s="523"/>
      <c r="Z817" s="393"/>
      <c r="AA817" s="544"/>
      <c r="AB817" s="394"/>
      <c r="AC817" s="394"/>
      <c r="AD817" s="394"/>
      <c r="AE817" s="394"/>
      <c r="AF817" s="394"/>
      <c r="AG817" s="394"/>
      <c r="AH817" s="394"/>
      <c r="AI817" s="394"/>
      <c r="AJ817" s="394"/>
      <c r="AK817" s="381"/>
      <c r="AL817" s="408"/>
      <c r="AM817" s="385"/>
      <c r="AN817" s="475"/>
      <c r="AO817" s="395"/>
      <c r="AP817" s="395" t="e">
        <f t="shared" si="843"/>
        <v>#DIV/0!</v>
      </c>
      <c r="AQ817" s="393"/>
      <c r="AR817" s="523"/>
      <c r="AS817" s="393"/>
      <c r="AT817" s="544"/>
      <c r="AU817" s="394"/>
      <c r="AV817" s="394"/>
      <c r="AW817" s="394"/>
      <c r="AX817" s="394"/>
      <c r="AY817" s="394"/>
      <c r="AZ817" s="394"/>
      <c r="BA817" s="394"/>
      <c r="BB817" s="394"/>
      <c r="BC817" s="394"/>
      <c r="BD817" s="381"/>
      <c r="BE817" s="408"/>
      <c r="BF817" s="385"/>
      <c r="BG817" s="475"/>
      <c r="BH817" s="395"/>
      <c r="BI817" s="395" t="e">
        <f t="shared" si="844"/>
        <v>#DIV/0!</v>
      </c>
    </row>
    <row r="818" spans="1:61" s="358" customFormat="1" ht="19.2" x14ac:dyDescent="0.3">
      <c r="A818" s="359" t="s">
        <v>359</v>
      </c>
      <c r="B818" s="537" t="s">
        <v>1326</v>
      </c>
      <c r="C818" s="546" t="s">
        <v>713</v>
      </c>
      <c r="D818" s="360">
        <v>0.22</v>
      </c>
      <c r="E818" s="393"/>
      <c r="F818" s="523">
        <v>1</v>
      </c>
      <c r="G818" s="393"/>
      <c r="H818" s="544">
        <v>19.049109999999999</v>
      </c>
      <c r="I818" s="394">
        <v>16.41377</v>
      </c>
      <c r="J818" s="394">
        <v>5.2083399999999997</v>
      </c>
      <c r="K818" s="394"/>
      <c r="L818" s="394"/>
      <c r="M818" s="394">
        <v>0</v>
      </c>
      <c r="N818" s="394">
        <v>0</v>
      </c>
      <c r="O818" s="394">
        <v>0.61436999999999997</v>
      </c>
      <c r="P818" s="394">
        <v>5.2083399999999997</v>
      </c>
      <c r="Q818" s="394"/>
      <c r="R818" s="381" t="s">
        <v>167</v>
      </c>
      <c r="S818" s="408" t="s">
        <v>175</v>
      </c>
      <c r="T818" s="385"/>
      <c r="U818" s="475">
        <v>396</v>
      </c>
      <c r="V818" s="395"/>
      <c r="W818" s="395">
        <f t="shared" si="845"/>
        <v>19.049109999999999</v>
      </c>
      <c r="X818" s="393"/>
      <c r="Y818" s="523"/>
      <c r="Z818" s="393"/>
      <c r="AA818" s="544"/>
      <c r="AB818" s="394"/>
      <c r="AC818" s="394"/>
      <c r="AD818" s="394"/>
      <c r="AE818" s="394"/>
      <c r="AF818" s="394"/>
      <c r="AG818" s="394"/>
      <c r="AH818" s="394"/>
      <c r="AI818" s="394"/>
      <c r="AJ818" s="394"/>
      <c r="AK818" s="381"/>
      <c r="AL818" s="408"/>
      <c r="AM818" s="385"/>
      <c r="AN818" s="475"/>
      <c r="AO818" s="395"/>
      <c r="AP818" s="395" t="e">
        <f t="shared" si="843"/>
        <v>#DIV/0!</v>
      </c>
      <c r="AQ818" s="393"/>
      <c r="AR818" s="523"/>
      <c r="AS818" s="393"/>
      <c r="AT818" s="544"/>
      <c r="AU818" s="394"/>
      <c r="AV818" s="394"/>
      <c r="AW818" s="394"/>
      <c r="AX818" s="394"/>
      <c r="AY818" s="394"/>
      <c r="AZ818" s="394"/>
      <c r="BA818" s="394"/>
      <c r="BB818" s="394"/>
      <c r="BC818" s="394"/>
      <c r="BD818" s="381"/>
      <c r="BE818" s="408"/>
      <c r="BF818" s="385"/>
      <c r="BG818" s="475"/>
      <c r="BH818" s="395"/>
      <c r="BI818" s="395" t="e">
        <f t="shared" si="844"/>
        <v>#DIV/0!</v>
      </c>
    </row>
    <row r="819" spans="1:61" s="358" customFormat="1" ht="19.2" x14ac:dyDescent="0.3">
      <c r="A819" s="359" t="s">
        <v>344</v>
      </c>
      <c r="B819" s="537" t="s">
        <v>1327</v>
      </c>
      <c r="C819" s="546" t="s">
        <v>714</v>
      </c>
      <c r="D819" s="360">
        <v>0.22</v>
      </c>
      <c r="E819" s="393"/>
      <c r="F819" s="523">
        <v>1</v>
      </c>
      <c r="G819" s="393"/>
      <c r="H819" s="544">
        <v>14.76211</v>
      </c>
      <c r="I819" s="394">
        <v>12.74442</v>
      </c>
      <c r="J819" s="394">
        <v>5.2083399999999997</v>
      </c>
      <c r="K819" s="394"/>
      <c r="L819" s="394"/>
      <c r="M819" s="394">
        <v>0</v>
      </c>
      <c r="N819" s="394">
        <v>0</v>
      </c>
      <c r="O819" s="394">
        <v>0.47038000000000002</v>
      </c>
      <c r="P819" s="394">
        <v>5.2083399999999997</v>
      </c>
      <c r="Q819" s="394"/>
      <c r="R819" s="381" t="s">
        <v>167</v>
      </c>
      <c r="S819" s="408" t="s">
        <v>175</v>
      </c>
      <c r="T819" s="385"/>
      <c r="U819" s="475">
        <v>397</v>
      </c>
      <c r="V819" s="395"/>
      <c r="W819" s="395">
        <f t="shared" si="845"/>
        <v>14.76211</v>
      </c>
      <c r="X819" s="393"/>
      <c r="Y819" s="523"/>
      <c r="Z819" s="393"/>
      <c r="AA819" s="544"/>
      <c r="AB819" s="394"/>
      <c r="AC819" s="394"/>
      <c r="AD819" s="394"/>
      <c r="AE819" s="394"/>
      <c r="AF819" s="394"/>
      <c r="AG819" s="394"/>
      <c r="AH819" s="394"/>
      <c r="AI819" s="394"/>
      <c r="AJ819" s="394"/>
      <c r="AK819" s="381"/>
      <c r="AL819" s="408"/>
      <c r="AM819" s="385"/>
      <c r="AN819" s="475"/>
      <c r="AO819" s="395"/>
      <c r="AP819" s="395" t="e">
        <f t="shared" si="843"/>
        <v>#DIV/0!</v>
      </c>
      <c r="AQ819" s="393"/>
      <c r="AR819" s="523"/>
      <c r="AS819" s="393"/>
      <c r="AT819" s="544"/>
      <c r="AU819" s="394"/>
      <c r="AV819" s="394"/>
      <c r="AW819" s="394"/>
      <c r="AX819" s="394"/>
      <c r="AY819" s="394"/>
      <c r="AZ819" s="394"/>
      <c r="BA819" s="394"/>
      <c r="BB819" s="394"/>
      <c r="BC819" s="394"/>
      <c r="BD819" s="381"/>
      <c r="BE819" s="408"/>
      <c r="BF819" s="385"/>
      <c r="BG819" s="475"/>
      <c r="BH819" s="395"/>
      <c r="BI819" s="395" t="e">
        <f t="shared" si="844"/>
        <v>#DIV/0!</v>
      </c>
    </row>
    <row r="820" spans="1:61" s="358" customFormat="1" ht="19.2" x14ac:dyDescent="0.3">
      <c r="A820" s="359" t="s">
        <v>377</v>
      </c>
      <c r="B820" s="537" t="s">
        <v>1328</v>
      </c>
      <c r="C820" s="546" t="s">
        <v>715</v>
      </c>
      <c r="D820" s="360">
        <v>0.22</v>
      </c>
      <c r="E820" s="393"/>
      <c r="F820" s="523">
        <v>1</v>
      </c>
      <c r="G820" s="393"/>
      <c r="H820" s="544">
        <v>5.4990300000000003</v>
      </c>
      <c r="I820" s="394">
        <v>5.2297700000000003</v>
      </c>
      <c r="J820" s="394">
        <v>5.2083300000000001</v>
      </c>
      <c r="K820" s="394"/>
      <c r="L820" s="394"/>
      <c r="M820" s="394">
        <v>0</v>
      </c>
      <c r="N820" s="394">
        <v>0</v>
      </c>
      <c r="O820" s="394">
        <v>6.2770000000000006E-2</v>
      </c>
      <c r="P820" s="394">
        <v>5.2083300000000001</v>
      </c>
      <c r="Q820" s="394"/>
      <c r="R820" s="381" t="s">
        <v>167</v>
      </c>
      <c r="S820" s="408" t="s">
        <v>175</v>
      </c>
      <c r="T820" s="385"/>
      <c r="U820" s="475">
        <v>398</v>
      </c>
      <c r="V820" s="395"/>
      <c r="W820" s="395">
        <f>H820/F820</f>
        <v>5.4990300000000003</v>
      </c>
      <c r="X820" s="393"/>
      <c r="Y820" s="523"/>
      <c r="Z820" s="393"/>
      <c r="AA820" s="544"/>
      <c r="AB820" s="394"/>
      <c r="AC820" s="394"/>
      <c r="AD820" s="394"/>
      <c r="AE820" s="394"/>
      <c r="AF820" s="394"/>
      <c r="AG820" s="394"/>
      <c r="AH820" s="394"/>
      <c r="AI820" s="394"/>
      <c r="AJ820" s="394"/>
      <c r="AK820" s="381"/>
      <c r="AL820" s="408"/>
      <c r="AM820" s="385"/>
      <c r="AN820" s="475"/>
      <c r="AO820" s="395"/>
      <c r="AP820" s="395" t="e">
        <f t="shared" si="843"/>
        <v>#DIV/0!</v>
      </c>
      <c r="AQ820" s="393"/>
      <c r="AR820" s="523"/>
      <c r="AS820" s="393"/>
      <c r="AT820" s="544"/>
      <c r="AU820" s="394"/>
      <c r="AV820" s="394"/>
      <c r="AW820" s="394"/>
      <c r="AX820" s="394"/>
      <c r="AY820" s="394"/>
      <c r="AZ820" s="394"/>
      <c r="BA820" s="394"/>
      <c r="BB820" s="394"/>
      <c r="BC820" s="394"/>
      <c r="BD820" s="381"/>
      <c r="BE820" s="408"/>
      <c r="BF820" s="385"/>
      <c r="BG820" s="475"/>
      <c r="BH820" s="395"/>
      <c r="BI820" s="395" t="e">
        <f t="shared" si="844"/>
        <v>#DIV/0!</v>
      </c>
    </row>
    <row r="821" spans="1:61" s="358" customFormat="1" ht="19.2" x14ac:dyDescent="0.3">
      <c r="A821" s="359" t="s">
        <v>362</v>
      </c>
      <c r="B821" s="537" t="s">
        <v>1329</v>
      </c>
      <c r="C821" s="546" t="s">
        <v>716</v>
      </c>
      <c r="D821" s="360">
        <v>0.22</v>
      </c>
      <c r="E821" s="393"/>
      <c r="F821" s="523">
        <v>1</v>
      </c>
      <c r="G821" s="393"/>
      <c r="H821" s="544">
        <v>5.49899</v>
      </c>
      <c r="I821" s="394">
        <v>5.22973</v>
      </c>
      <c r="J821" s="394">
        <v>5.2083300000000001</v>
      </c>
      <c r="K821" s="394"/>
      <c r="L821" s="394"/>
      <c r="M821" s="394">
        <v>0</v>
      </c>
      <c r="N821" s="394">
        <v>0</v>
      </c>
      <c r="O821" s="394">
        <v>6.2770000000000006E-2</v>
      </c>
      <c r="P821" s="394">
        <v>5.2083300000000001</v>
      </c>
      <c r="Q821" s="394"/>
      <c r="R821" s="381" t="s">
        <v>167</v>
      </c>
      <c r="S821" s="408" t="s">
        <v>175</v>
      </c>
      <c r="T821" s="385"/>
      <c r="U821" s="475">
        <v>399</v>
      </c>
      <c r="V821" s="395"/>
      <c r="W821" s="395">
        <f>H821/F821</f>
        <v>5.49899</v>
      </c>
      <c r="X821" s="393"/>
      <c r="Y821" s="523"/>
      <c r="Z821" s="393"/>
      <c r="AA821" s="544"/>
      <c r="AB821" s="394"/>
      <c r="AC821" s="394"/>
      <c r="AD821" s="394"/>
      <c r="AE821" s="394"/>
      <c r="AF821" s="394"/>
      <c r="AG821" s="394"/>
      <c r="AH821" s="394"/>
      <c r="AI821" s="394"/>
      <c r="AJ821" s="394"/>
      <c r="AK821" s="381"/>
      <c r="AL821" s="408"/>
      <c r="AM821" s="385"/>
      <c r="AN821" s="475"/>
      <c r="AO821" s="395"/>
      <c r="AP821" s="395" t="e">
        <f t="shared" si="843"/>
        <v>#DIV/0!</v>
      </c>
      <c r="AQ821" s="393"/>
      <c r="AR821" s="523"/>
      <c r="AS821" s="393"/>
      <c r="AT821" s="544"/>
      <c r="AU821" s="394"/>
      <c r="AV821" s="394"/>
      <c r="AW821" s="394"/>
      <c r="AX821" s="394"/>
      <c r="AY821" s="394"/>
      <c r="AZ821" s="394"/>
      <c r="BA821" s="394"/>
      <c r="BB821" s="394"/>
      <c r="BC821" s="394"/>
      <c r="BD821" s="381"/>
      <c r="BE821" s="408"/>
      <c r="BF821" s="385"/>
      <c r="BG821" s="475"/>
      <c r="BH821" s="395"/>
      <c r="BI821" s="395" t="e">
        <f t="shared" si="844"/>
        <v>#DIV/0!</v>
      </c>
    </row>
    <row r="822" spans="1:61" s="358" customFormat="1" ht="19.2" x14ac:dyDescent="0.3">
      <c r="A822" s="359" t="s">
        <v>363</v>
      </c>
      <c r="B822" s="537" t="s">
        <v>1330</v>
      </c>
      <c r="C822" s="546" t="s">
        <v>717</v>
      </c>
      <c r="D822" s="360">
        <v>0.22</v>
      </c>
      <c r="E822" s="393"/>
      <c r="F822" s="523">
        <v>1</v>
      </c>
      <c r="G822" s="393"/>
      <c r="H822" s="544">
        <v>14.762119999999999</v>
      </c>
      <c r="I822" s="394">
        <v>12.744429999999999</v>
      </c>
      <c r="J822" s="394">
        <v>5.2083399999999997</v>
      </c>
      <c r="K822" s="394"/>
      <c r="L822" s="394"/>
      <c r="M822" s="394">
        <v>0</v>
      </c>
      <c r="N822" s="394">
        <v>0</v>
      </c>
      <c r="O822" s="394">
        <v>0.47038000000000002</v>
      </c>
      <c r="P822" s="394">
        <v>5.2083399999999997</v>
      </c>
      <c r="Q822" s="394"/>
      <c r="R822" s="381" t="s">
        <v>167</v>
      </c>
      <c r="S822" s="408" t="s">
        <v>175</v>
      </c>
      <c r="T822" s="385"/>
      <c r="U822" s="475">
        <v>400</v>
      </c>
      <c r="V822" s="395"/>
      <c r="W822" s="395">
        <f t="shared" si="845"/>
        <v>14.762119999999999</v>
      </c>
      <c r="X822" s="393"/>
      <c r="Y822" s="523"/>
      <c r="Z822" s="393"/>
      <c r="AA822" s="544"/>
      <c r="AB822" s="394"/>
      <c r="AC822" s="394"/>
      <c r="AD822" s="394"/>
      <c r="AE822" s="394"/>
      <c r="AF822" s="394"/>
      <c r="AG822" s="394"/>
      <c r="AH822" s="394"/>
      <c r="AI822" s="394"/>
      <c r="AJ822" s="394"/>
      <c r="AK822" s="381"/>
      <c r="AL822" s="408"/>
      <c r="AM822" s="385"/>
      <c r="AN822" s="475"/>
      <c r="AO822" s="395"/>
      <c r="AP822" s="395" t="e">
        <f t="shared" si="843"/>
        <v>#DIV/0!</v>
      </c>
      <c r="AQ822" s="393"/>
      <c r="AR822" s="523"/>
      <c r="AS822" s="393"/>
      <c r="AT822" s="544"/>
      <c r="AU822" s="394"/>
      <c r="AV822" s="394"/>
      <c r="AW822" s="394"/>
      <c r="AX822" s="394"/>
      <c r="AY822" s="394"/>
      <c r="AZ822" s="394"/>
      <c r="BA822" s="394"/>
      <c r="BB822" s="394"/>
      <c r="BC822" s="394"/>
      <c r="BD822" s="381"/>
      <c r="BE822" s="408"/>
      <c r="BF822" s="385"/>
      <c r="BG822" s="475"/>
      <c r="BH822" s="395"/>
      <c r="BI822" s="395" t="e">
        <f t="shared" si="844"/>
        <v>#DIV/0!</v>
      </c>
    </row>
    <row r="823" spans="1:61" s="358" customFormat="1" ht="19.2" x14ac:dyDescent="0.3">
      <c r="A823" s="359" t="s">
        <v>364</v>
      </c>
      <c r="B823" s="537" t="s">
        <v>297</v>
      </c>
      <c r="C823" s="546" t="s">
        <v>289</v>
      </c>
      <c r="D823" s="360">
        <v>0.22</v>
      </c>
      <c r="E823" s="393"/>
      <c r="F823" s="523">
        <v>1</v>
      </c>
      <c r="G823" s="393"/>
      <c r="H823" s="544">
        <v>13.09834</v>
      </c>
      <c r="I823" s="394">
        <v>11.08065</v>
      </c>
      <c r="J823" s="394">
        <v>5.2083399999999997</v>
      </c>
      <c r="K823" s="394"/>
      <c r="L823" s="394"/>
      <c r="M823" s="394">
        <v>0</v>
      </c>
      <c r="N823" s="394">
        <v>0</v>
      </c>
      <c r="O823" s="394">
        <v>0.47038000000000002</v>
      </c>
      <c r="P823" s="394">
        <v>5.2083399999999997</v>
      </c>
      <c r="Q823" s="394"/>
      <c r="R823" s="381" t="s">
        <v>167</v>
      </c>
      <c r="S823" s="408" t="s">
        <v>175</v>
      </c>
      <c r="T823" s="385"/>
      <c r="U823" s="475">
        <v>401</v>
      </c>
      <c r="V823" s="395"/>
      <c r="W823" s="395">
        <f t="shared" si="845"/>
        <v>13.09834</v>
      </c>
      <c r="X823" s="393"/>
      <c r="Y823" s="523"/>
      <c r="Z823" s="393"/>
      <c r="AA823" s="544"/>
      <c r="AB823" s="394"/>
      <c r="AC823" s="394"/>
      <c r="AD823" s="394"/>
      <c r="AE823" s="394"/>
      <c r="AF823" s="394"/>
      <c r="AG823" s="394"/>
      <c r="AH823" s="394"/>
      <c r="AI823" s="394"/>
      <c r="AJ823" s="394"/>
      <c r="AK823" s="381"/>
      <c r="AL823" s="408"/>
      <c r="AM823" s="385"/>
      <c r="AN823" s="475"/>
      <c r="AO823" s="395"/>
      <c r="AP823" s="395" t="e">
        <f t="shared" si="843"/>
        <v>#DIV/0!</v>
      </c>
      <c r="AQ823" s="393"/>
      <c r="AR823" s="523"/>
      <c r="AS823" s="393"/>
      <c r="AT823" s="544"/>
      <c r="AU823" s="394"/>
      <c r="AV823" s="394"/>
      <c r="AW823" s="394"/>
      <c r="AX823" s="394"/>
      <c r="AY823" s="394"/>
      <c r="AZ823" s="394"/>
      <c r="BA823" s="394"/>
      <c r="BB823" s="394"/>
      <c r="BC823" s="394"/>
      <c r="BD823" s="381"/>
      <c r="BE823" s="408"/>
      <c r="BF823" s="385"/>
      <c r="BG823" s="475"/>
      <c r="BH823" s="395"/>
      <c r="BI823" s="395" t="e">
        <f t="shared" si="844"/>
        <v>#DIV/0!</v>
      </c>
    </row>
    <row r="824" spans="1:61" s="358" customFormat="1" ht="19.2" x14ac:dyDescent="0.3">
      <c r="A824" s="359" t="s">
        <v>365</v>
      </c>
      <c r="B824" s="537" t="s">
        <v>1331</v>
      </c>
      <c r="C824" s="546" t="s">
        <v>718</v>
      </c>
      <c r="D824" s="360">
        <v>0.22</v>
      </c>
      <c r="E824" s="393"/>
      <c r="F824" s="523">
        <v>1</v>
      </c>
      <c r="G824" s="393"/>
      <c r="H824" s="544">
        <v>9.9276099999999996</v>
      </c>
      <c r="I824" s="394">
        <v>8.4696899999999999</v>
      </c>
      <c r="J824" s="394">
        <v>5.2083399999999997</v>
      </c>
      <c r="K824" s="394"/>
      <c r="L824" s="394"/>
      <c r="M824" s="394">
        <v>0</v>
      </c>
      <c r="N824" s="394">
        <v>0</v>
      </c>
      <c r="O824" s="394">
        <v>0.33988000000000002</v>
      </c>
      <c r="P824" s="394">
        <v>5.2083399999999997</v>
      </c>
      <c r="Q824" s="394"/>
      <c r="R824" s="381" t="s">
        <v>167</v>
      </c>
      <c r="S824" s="408" t="s">
        <v>175</v>
      </c>
      <c r="T824" s="385"/>
      <c r="U824" s="475">
        <v>402</v>
      </c>
      <c r="V824" s="395"/>
      <c r="W824" s="395">
        <f t="shared" si="845"/>
        <v>9.9276099999999996</v>
      </c>
      <c r="X824" s="393"/>
      <c r="Y824" s="523"/>
      <c r="Z824" s="393"/>
      <c r="AA824" s="544"/>
      <c r="AB824" s="394"/>
      <c r="AC824" s="394"/>
      <c r="AD824" s="394"/>
      <c r="AE824" s="394"/>
      <c r="AF824" s="394"/>
      <c r="AG824" s="394"/>
      <c r="AH824" s="394"/>
      <c r="AI824" s="394"/>
      <c r="AJ824" s="394"/>
      <c r="AK824" s="381"/>
      <c r="AL824" s="408"/>
      <c r="AM824" s="385"/>
      <c r="AN824" s="475"/>
      <c r="AO824" s="395"/>
      <c r="AP824" s="395" t="e">
        <f t="shared" si="843"/>
        <v>#DIV/0!</v>
      </c>
      <c r="AQ824" s="393"/>
      <c r="AR824" s="523"/>
      <c r="AS824" s="393"/>
      <c r="AT824" s="544"/>
      <c r="AU824" s="394"/>
      <c r="AV824" s="394"/>
      <c r="AW824" s="394"/>
      <c r="AX824" s="394"/>
      <c r="AY824" s="394"/>
      <c r="AZ824" s="394"/>
      <c r="BA824" s="394"/>
      <c r="BB824" s="394"/>
      <c r="BC824" s="394"/>
      <c r="BD824" s="381"/>
      <c r="BE824" s="408"/>
      <c r="BF824" s="385"/>
      <c r="BG824" s="475"/>
      <c r="BH824" s="395"/>
      <c r="BI824" s="395" t="e">
        <f t="shared" si="844"/>
        <v>#DIV/0!</v>
      </c>
    </row>
    <row r="825" spans="1:61" s="358" customFormat="1" ht="19.2" x14ac:dyDescent="0.3">
      <c r="A825" s="359" t="s">
        <v>366</v>
      </c>
      <c r="B825" s="537" t="s">
        <v>1332</v>
      </c>
      <c r="C825" s="546" t="s">
        <v>719</v>
      </c>
      <c r="D825" s="360">
        <v>0.22</v>
      </c>
      <c r="E825" s="393"/>
      <c r="F825" s="523">
        <v>1</v>
      </c>
      <c r="G825" s="393"/>
      <c r="H825" s="544">
        <v>5.49899</v>
      </c>
      <c r="I825" s="394">
        <v>5.22973</v>
      </c>
      <c r="J825" s="394">
        <v>5.2083300000000001</v>
      </c>
      <c r="K825" s="394"/>
      <c r="L825" s="394"/>
      <c r="M825" s="394">
        <v>0</v>
      </c>
      <c r="N825" s="394">
        <v>0</v>
      </c>
      <c r="O825" s="394">
        <v>6.2770000000000006E-2</v>
      </c>
      <c r="P825" s="394">
        <v>5.2083300000000001</v>
      </c>
      <c r="Q825" s="394"/>
      <c r="R825" s="381" t="s">
        <v>167</v>
      </c>
      <c r="S825" s="408" t="s">
        <v>175</v>
      </c>
      <c r="T825" s="385"/>
      <c r="U825" s="475">
        <v>403</v>
      </c>
      <c r="V825" s="395"/>
      <c r="W825" s="395">
        <f t="shared" si="845"/>
        <v>5.49899</v>
      </c>
      <c r="X825" s="393"/>
      <c r="Y825" s="523"/>
      <c r="Z825" s="393"/>
      <c r="AA825" s="544"/>
      <c r="AB825" s="394"/>
      <c r="AC825" s="394"/>
      <c r="AD825" s="394"/>
      <c r="AE825" s="394"/>
      <c r="AF825" s="394"/>
      <c r="AG825" s="394"/>
      <c r="AH825" s="394"/>
      <c r="AI825" s="394"/>
      <c r="AJ825" s="394"/>
      <c r="AK825" s="381"/>
      <c r="AL825" s="408"/>
      <c r="AM825" s="385"/>
      <c r="AN825" s="475"/>
      <c r="AO825" s="395"/>
      <c r="AP825" s="395" t="e">
        <f t="shared" si="843"/>
        <v>#DIV/0!</v>
      </c>
      <c r="AQ825" s="393"/>
      <c r="AR825" s="523"/>
      <c r="AS825" s="393"/>
      <c r="AT825" s="544"/>
      <c r="AU825" s="394"/>
      <c r="AV825" s="394"/>
      <c r="AW825" s="394"/>
      <c r="AX825" s="394"/>
      <c r="AY825" s="394"/>
      <c r="AZ825" s="394"/>
      <c r="BA825" s="394"/>
      <c r="BB825" s="394"/>
      <c r="BC825" s="394"/>
      <c r="BD825" s="381"/>
      <c r="BE825" s="408"/>
      <c r="BF825" s="385"/>
      <c r="BG825" s="475"/>
      <c r="BH825" s="395"/>
      <c r="BI825" s="395" t="e">
        <f t="shared" si="844"/>
        <v>#DIV/0!</v>
      </c>
    </row>
    <row r="826" spans="1:61" s="358" customFormat="1" ht="19.2" x14ac:dyDescent="0.3">
      <c r="A826" s="359" t="s">
        <v>367</v>
      </c>
      <c r="B826" s="537" t="s">
        <v>598</v>
      </c>
      <c r="C826" s="546" t="s">
        <v>470</v>
      </c>
      <c r="D826" s="360">
        <v>0.22</v>
      </c>
      <c r="E826" s="393"/>
      <c r="F826" s="523">
        <v>1</v>
      </c>
      <c r="G826" s="393"/>
      <c r="H826" s="544">
        <v>8.3230000000000004</v>
      </c>
      <c r="I826" s="394">
        <v>7.43649</v>
      </c>
      <c r="J826" s="394">
        <v>7.0416699999999999</v>
      </c>
      <c r="K826" s="394"/>
      <c r="L826" s="394"/>
      <c r="M826" s="394">
        <v>0</v>
      </c>
      <c r="N826" s="394">
        <v>0</v>
      </c>
      <c r="O826" s="394">
        <v>0.20676</v>
      </c>
      <c r="P826" s="394">
        <v>7.0416699999999999</v>
      </c>
      <c r="Q826" s="394"/>
      <c r="R826" s="381" t="s">
        <v>167</v>
      </c>
      <c r="S826" s="408" t="s">
        <v>175</v>
      </c>
      <c r="T826" s="385"/>
      <c r="U826" s="475">
        <v>404</v>
      </c>
      <c r="V826" s="395"/>
      <c r="W826" s="395">
        <f t="shared" si="845"/>
        <v>8.3230000000000004</v>
      </c>
      <c r="X826" s="393"/>
      <c r="Y826" s="523"/>
      <c r="Z826" s="393"/>
      <c r="AA826" s="544"/>
      <c r="AB826" s="394"/>
      <c r="AC826" s="394"/>
      <c r="AD826" s="394"/>
      <c r="AE826" s="394"/>
      <c r="AF826" s="394"/>
      <c r="AG826" s="394"/>
      <c r="AH826" s="394"/>
      <c r="AI826" s="394"/>
      <c r="AJ826" s="394"/>
      <c r="AK826" s="381"/>
      <c r="AL826" s="408"/>
      <c r="AM826" s="385"/>
      <c r="AN826" s="475"/>
      <c r="AO826" s="395"/>
      <c r="AP826" s="395" t="e">
        <f t="shared" si="843"/>
        <v>#DIV/0!</v>
      </c>
      <c r="AQ826" s="393"/>
      <c r="AR826" s="523"/>
      <c r="AS826" s="393"/>
      <c r="AT826" s="544"/>
      <c r="AU826" s="394"/>
      <c r="AV826" s="394"/>
      <c r="AW826" s="394"/>
      <c r="AX826" s="394"/>
      <c r="AY826" s="394"/>
      <c r="AZ826" s="394"/>
      <c r="BA826" s="394"/>
      <c r="BB826" s="394"/>
      <c r="BC826" s="394"/>
      <c r="BD826" s="381"/>
      <c r="BE826" s="408"/>
      <c r="BF826" s="385"/>
      <c r="BG826" s="475"/>
      <c r="BH826" s="395"/>
      <c r="BI826" s="395" t="e">
        <f t="shared" si="844"/>
        <v>#DIV/0!</v>
      </c>
    </row>
    <row r="827" spans="1:61" s="358" customFormat="1" ht="19.2" x14ac:dyDescent="0.3">
      <c r="A827" s="359" t="s">
        <v>368</v>
      </c>
      <c r="B827" s="537" t="s">
        <v>1333</v>
      </c>
      <c r="C827" s="546" t="s">
        <v>720</v>
      </c>
      <c r="D827" s="360">
        <v>0.22</v>
      </c>
      <c r="E827" s="393"/>
      <c r="F827" s="523">
        <v>1</v>
      </c>
      <c r="G827" s="393"/>
      <c r="H827" s="544">
        <v>8.3230000000000004</v>
      </c>
      <c r="I827" s="394">
        <v>7.43649</v>
      </c>
      <c r="J827" s="394">
        <v>7.0416699999999999</v>
      </c>
      <c r="K827" s="394"/>
      <c r="L827" s="394"/>
      <c r="M827" s="394">
        <v>0</v>
      </c>
      <c r="N827" s="394">
        <v>0</v>
      </c>
      <c r="O827" s="394">
        <v>0.20676</v>
      </c>
      <c r="P827" s="394">
        <v>7.0416699999999999</v>
      </c>
      <c r="Q827" s="394"/>
      <c r="R827" s="381" t="s">
        <v>167</v>
      </c>
      <c r="S827" s="408" t="s">
        <v>175</v>
      </c>
      <c r="T827" s="385"/>
      <c r="U827" s="475">
        <v>405</v>
      </c>
      <c r="V827" s="395"/>
      <c r="W827" s="395">
        <f t="shared" si="845"/>
        <v>8.3230000000000004</v>
      </c>
      <c r="X827" s="393"/>
      <c r="Y827" s="523"/>
      <c r="Z827" s="393"/>
      <c r="AA827" s="544"/>
      <c r="AB827" s="394"/>
      <c r="AC827" s="394"/>
      <c r="AD827" s="394"/>
      <c r="AE827" s="394"/>
      <c r="AF827" s="394"/>
      <c r="AG827" s="394"/>
      <c r="AH827" s="394"/>
      <c r="AI827" s="394"/>
      <c r="AJ827" s="394"/>
      <c r="AK827" s="381"/>
      <c r="AL827" s="408"/>
      <c r="AM827" s="385"/>
      <c r="AN827" s="475"/>
      <c r="AO827" s="395"/>
      <c r="AP827" s="395" t="e">
        <f t="shared" si="843"/>
        <v>#DIV/0!</v>
      </c>
      <c r="AQ827" s="393"/>
      <c r="AR827" s="523"/>
      <c r="AS827" s="393"/>
      <c r="AT827" s="544"/>
      <c r="AU827" s="394"/>
      <c r="AV827" s="394"/>
      <c r="AW827" s="394"/>
      <c r="AX827" s="394"/>
      <c r="AY827" s="394"/>
      <c r="AZ827" s="394"/>
      <c r="BA827" s="394"/>
      <c r="BB827" s="394"/>
      <c r="BC827" s="394"/>
      <c r="BD827" s="381"/>
      <c r="BE827" s="408"/>
      <c r="BF827" s="385"/>
      <c r="BG827" s="475"/>
      <c r="BH827" s="395"/>
      <c r="BI827" s="395" t="e">
        <f t="shared" si="844"/>
        <v>#DIV/0!</v>
      </c>
    </row>
    <row r="828" spans="1:61" s="358" customFormat="1" ht="19.2" x14ac:dyDescent="0.3">
      <c r="A828" s="359" t="s">
        <v>369</v>
      </c>
      <c r="B828" s="537" t="s">
        <v>593</v>
      </c>
      <c r="C828" s="546" t="s">
        <v>465</v>
      </c>
      <c r="D828" s="360">
        <v>0.22</v>
      </c>
      <c r="E828" s="393"/>
      <c r="F828" s="523">
        <v>1</v>
      </c>
      <c r="G828" s="393"/>
      <c r="H828" s="544">
        <v>8.3230000000000004</v>
      </c>
      <c r="I828" s="394">
        <v>7.43649</v>
      </c>
      <c r="J828" s="394">
        <v>7.0416699999999999</v>
      </c>
      <c r="K828" s="394"/>
      <c r="L828" s="394"/>
      <c r="M828" s="394">
        <v>0</v>
      </c>
      <c r="N828" s="394">
        <v>0</v>
      </c>
      <c r="O828" s="394">
        <v>0.20676</v>
      </c>
      <c r="P828" s="394">
        <v>7.0416699999999999</v>
      </c>
      <c r="Q828" s="394"/>
      <c r="R828" s="381" t="s">
        <v>167</v>
      </c>
      <c r="S828" s="408" t="s">
        <v>175</v>
      </c>
      <c r="T828" s="385"/>
      <c r="U828" s="475">
        <v>406</v>
      </c>
      <c r="V828" s="395"/>
      <c r="W828" s="395">
        <f t="shared" si="845"/>
        <v>8.3230000000000004</v>
      </c>
      <c r="X828" s="393"/>
      <c r="Y828" s="523"/>
      <c r="Z828" s="393"/>
      <c r="AA828" s="544"/>
      <c r="AB828" s="394"/>
      <c r="AC828" s="394"/>
      <c r="AD828" s="394"/>
      <c r="AE828" s="394"/>
      <c r="AF828" s="394"/>
      <c r="AG828" s="394"/>
      <c r="AH828" s="394"/>
      <c r="AI828" s="394"/>
      <c r="AJ828" s="394"/>
      <c r="AK828" s="381"/>
      <c r="AL828" s="408"/>
      <c r="AM828" s="385"/>
      <c r="AN828" s="475"/>
      <c r="AO828" s="395"/>
      <c r="AP828" s="395" t="e">
        <f t="shared" si="843"/>
        <v>#DIV/0!</v>
      </c>
      <c r="AQ828" s="393"/>
      <c r="AR828" s="523"/>
      <c r="AS828" s="393"/>
      <c r="AT828" s="544"/>
      <c r="AU828" s="394"/>
      <c r="AV828" s="394"/>
      <c r="AW828" s="394"/>
      <c r="AX828" s="394"/>
      <c r="AY828" s="394"/>
      <c r="AZ828" s="394"/>
      <c r="BA828" s="394"/>
      <c r="BB828" s="394"/>
      <c r="BC828" s="394"/>
      <c r="BD828" s="381"/>
      <c r="BE828" s="408"/>
      <c r="BF828" s="385"/>
      <c r="BG828" s="475"/>
      <c r="BH828" s="395"/>
      <c r="BI828" s="395" t="e">
        <f t="shared" si="844"/>
        <v>#DIV/0!</v>
      </c>
    </row>
    <row r="829" spans="1:61" s="358" customFormat="1" ht="19.2" x14ac:dyDescent="0.3">
      <c r="A829" s="359" t="s">
        <v>370</v>
      </c>
      <c r="B829" s="537" t="s">
        <v>1334</v>
      </c>
      <c r="C829" s="546" t="s">
        <v>721</v>
      </c>
      <c r="D829" s="360">
        <v>0.22</v>
      </c>
      <c r="E829" s="393"/>
      <c r="F829" s="523">
        <v>1</v>
      </c>
      <c r="G829" s="393"/>
      <c r="H829" s="544">
        <v>8.3230000000000004</v>
      </c>
      <c r="I829" s="394">
        <v>7.43649</v>
      </c>
      <c r="J829" s="394">
        <v>7.0416699999999999</v>
      </c>
      <c r="K829" s="394"/>
      <c r="L829" s="394"/>
      <c r="M829" s="394">
        <v>0</v>
      </c>
      <c r="N829" s="394">
        <v>0</v>
      </c>
      <c r="O829" s="394">
        <v>0.20676</v>
      </c>
      <c r="P829" s="394">
        <v>7.0416699999999999</v>
      </c>
      <c r="Q829" s="394"/>
      <c r="R829" s="381" t="s">
        <v>167</v>
      </c>
      <c r="S829" s="408" t="s">
        <v>175</v>
      </c>
      <c r="T829" s="385"/>
      <c r="U829" s="475">
        <v>407</v>
      </c>
      <c r="V829" s="395"/>
      <c r="W829" s="395">
        <f t="shared" si="845"/>
        <v>8.3230000000000004</v>
      </c>
      <c r="X829" s="393"/>
      <c r="Y829" s="523"/>
      <c r="Z829" s="393"/>
      <c r="AA829" s="544"/>
      <c r="AB829" s="394"/>
      <c r="AC829" s="394"/>
      <c r="AD829" s="394"/>
      <c r="AE829" s="394"/>
      <c r="AF829" s="394"/>
      <c r="AG829" s="394"/>
      <c r="AH829" s="394"/>
      <c r="AI829" s="394"/>
      <c r="AJ829" s="394"/>
      <c r="AK829" s="381"/>
      <c r="AL829" s="408"/>
      <c r="AM829" s="385"/>
      <c r="AN829" s="475"/>
      <c r="AO829" s="395"/>
      <c r="AP829" s="395" t="e">
        <f t="shared" si="843"/>
        <v>#DIV/0!</v>
      </c>
      <c r="AQ829" s="393"/>
      <c r="AR829" s="523"/>
      <c r="AS829" s="393"/>
      <c r="AT829" s="544"/>
      <c r="AU829" s="394"/>
      <c r="AV829" s="394"/>
      <c r="AW829" s="394"/>
      <c r="AX829" s="394"/>
      <c r="AY829" s="394"/>
      <c r="AZ829" s="394"/>
      <c r="BA829" s="394"/>
      <c r="BB829" s="394"/>
      <c r="BC829" s="394"/>
      <c r="BD829" s="381"/>
      <c r="BE829" s="408"/>
      <c r="BF829" s="385"/>
      <c r="BG829" s="475"/>
      <c r="BH829" s="395"/>
      <c r="BI829" s="395" t="e">
        <f t="shared" si="844"/>
        <v>#DIV/0!</v>
      </c>
    </row>
    <row r="830" spans="1:61" s="358" customFormat="1" ht="19.2" x14ac:dyDescent="0.3">
      <c r="A830" s="359" t="s">
        <v>371</v>
      </c>
      <c r="B830" s="537" t="s">
        <v>599</v>
      </c>
      <c r="C830" s="546" t="s">
        <v>471</v>
      </c>
      <c r="D830" s="360">
        <v>0.22</v>
      </c>
      <c r="E830" s="393"/>
      <c r="F830" s="523">
        <v>1</v>
      </c>
      <c r="G830" s="393"/>
      <c r="H830" s="544">
        <v>8.3230000000000004</v>
      </c>
      <c r="I830" s="394">
        <v>7.43649</v>
      </c>
      <c r="J830" s="394">
        <v>7.0416699999999999</v>
      </c>
      <c r="K830" s="394"/>
      <c r="L830" s="394"/>
      <c r="M830" s="394">
        <v>0</v>
      </c>
      <c r="N830" s="394">
        <v>0</v>
      </c>
      <c r="O830" s="394">
        <v>0.20676</v>
      </c>
      <c r="P830" s="394">
        <v>7.0416699999999999</v>
      </c>
      <c r="Q830" s="394"/>
      <c r="R830" s="381" t="s">
        <v>167</v>
      </c>
      <c r="S830" s="408" t="s">
        <v>175</v>
      </c>
      <c r="T830" s="385"/>
      <c r="U830" s="475">
        <v>408</v>
      </c>
      <c r="V830" s="395"/>
      <c r="W830" s="395">
        <f t="shared" si="845"/>
        <v>8.3230000000000004</v>
      </c>
      <c r="X830" s="393"/>
      <c r="Y830" s="523"/>
      <c r="Z830" s="393"/>
      <c r="AA830" s="544"/>
      <c r="AB830" s="394"/>
      <c r="AC830" s="394"/>
      <c r="AD830" s="394"/>
      <c r="AE830" s="394"/>
      <c r="AF830" s="394"/>
      <c r="AG830" s="394"/>
      <c r="AH830" s="394"/>
      <c r="AI830" s="394"/>
      <c r="AJ830" s="394"/>
      <c r="AK830" s="381"/>
      <c r="AL830" s="408"/>
      <c r="AM830" s="385"/>
      <c r="AN830" s="475"/>
      <c r="AO830" s="395"/>
      <c r="AP830" s="395" t="e">
        <f t="shared" si="843"/>
        <v>#DIV/0!</v>
      </c>
      <c r="AQ830" s="393"/>
      <c r="AR830" s="523"/>
      <c r="AS830" s="393"/>
      <c r="AT830" s="544"/>
      <c r="AU830" s="394"/>
      <c r="AV830" s="394"/>
      <c r="AW830" s="394"/>
      <c r="AX830" s="394"/>
      <c r="AY830" s="394"/>
      <c r="AZ830" s="394"/>
      <c r="BA830" s="394"/>
      <c r="BB830" s="394"/>
      <c r="BC830" s="394"/>
      <c r="BD830" s="381"/>
      <c r="BE830" s="408"/>
      <c r="BF830" s="385"/>
      <c r="BG830" s="475"/>
      <c r="BH830" s="395"/>
      <c r="BI830" s="395" t="e">
        <f t="shared" si="844"/>
        <v>#DIV/0!</v>
      </c>
    </row>
    <row r="831" spans="1:61" s="358" customFormat="1" ht="19.2" x14ac:dyDescent="0.3">
      <c r="A831" s="359" t="s">
        <v>372</v>
      </c>
      <c r="B831" s="537" t="s">
        <v>596</v>
      </c>
      <c r="C831" s="546" t="s">
        <v>468</v>
      </c>
      <c r="D831" s="360">
        <v>0.22</v>
      </c>
      <c r="E831" s="393"/>
      <c r="F831" s="523">
        <v>1</v>
      </c>
      <c r="G831" s="393"/>
      <c r="H831" s="544">
        <v>8.3230000000000004</v>
      </c>
      <c r="I831" s="394">
        <v>7.43649</v>
      </c>
      <c r="J831" s="394">
        <v>7.0416699999999999</v>
      </c>
      <c r="K831" s="394"/>
      <c r="L831" s="394"/>
      <c r="M831" s="394">
        <v>0</v>
      </c>
      <c r="N831" s="394">
        <v>0</v>
      </c>
      <c r="O831" s="394">
        <v>0.20676</v>
      </c>
      <c r="P831" s="394">
        <v>7.0416699999999999</v>
      </c>
      <c r="Q831" s="394"/>
      <c r="R831" s="381" t="s">
        <v>167</v>
      </c>
      <c r="S831" s="408" t="s">
        <v>175</v>
      </c>
      <c r="T831" s="385"/>
      <c r="U831" s="475">
        <v>409</v>
      </c>
      <c r="V831" s="395"/>
      <c r="W831" s="395">
        <f t="shared" si="845"/>
        <v>8.3230000000000004</v>
      </c>
      <c r="X831" s="393"/>
      <c r="Y831" s="523"/>
      <c r="Z831" s="393"/>
      <c r="AA831" s="544"/>
      <c r="AB831" s="394"/>
      <c r="AC831" s="394"/>
      <c r="AD831" s="394"/>
      <c r="AE831" s="394"/>
      <c r="AF831" s="394"/>
      <c r="AG831" s="394"/>
      <c r="AH831" s="394"/>
      <c r="AI831" s="394"/>
      <c r="AJ831" s="394"/>
      <c r="AK831" s="381"/>
      <c r="AL831" s="408"/>
      <c r="AM831" s="385"/>
      <c r="AN831" s="475"/>
      <c r="AO831" s="395"/>
      <c r="AP831" s="395" t="e">
        <f t="shared" si="843"/>
        <v>#DIV/0!</v>
      </c>
      <c r="AQ831" s="393"/>
      <c r="AR831" s="523"/>
      <c r="AS831" s="393"/>
      <c r="AT831" s="544"/>
      <c r="AU831" s="394"/>
      <c r="AV831" s="394"/>
      <c r="AW831" s="394"/>
      <c r="AX831" s="394"/>
      <c r="AY831" s="394"/>
      <c r="AZ831" s="394"/>
      <c r="BA831" s="394"/>
      <c r="BB831" s="394"/>
      <c r="BC831" s="394"/>
      <c r="BD831" s="381"/>
      <c r="BE831" s="408"/>
      <c r="BF831" s="385"/>
      <c r="BG831" s="475"/>
      <c r="BH831" s="395"/>
      <c r="BI831" s="395" t="e">
        <f t="shared" si="844"/>
        <v>#DIV/0!</v>
      </c>
    </row>
    <row r="832" spans="1:61" s="358" customFormat="1" ht="19.2" x14ac:dyDescent="0.3">
      <c r="A832" s="359" t="s">
        <v>389</v>
      </c>
      <c r="B832" s="537" t="s">
        <v>1335</v>
      </c>
      <c r="C832" s="546" t="s">
        <v>722</v>
      </c>
      <c r="D832" s="360">
        <v>0.22</v>
      </c>
      <c r="E832" s="393"/>
      <c r="F832" s="523">
        <v>1</v>
      </c>
      <c r="G832" s="393"/>
      <c r="H832" s="544">
        <v>8.3230000000000004</v>
      </c>
      <c r="I832" s="394">
        <v>7.43649</v>
      </c>
      <c r="J832" s="394">
        <v>7.0416699999999999</v>
      </c>
      <c r="K832" s="394"/>
      <c r="L832" s="394"/>
      <c r="M832" s="394">
        <v>0</v>
      </c>
      <c r="N832" s="394">
        <v>0</v>
      </c>
      <c r="O832" s="394">
        <v>0.20676</v>
      </c>
      <c r="P832" s="394">
        <v>7.0416699999999999</v>
      </c>
      <c r="Q832" s="394"/>
      <c r="R832" s="381" t="s">
        <v>167</v>
      </c>
      <c r="S832" s="408" t="s">
        <v>175</v>
      </c>
      <c r="T832" s="385"/>
      <c r="U832" s="475">
        <v>410</v>
      </c>
      <c r="V832" s="395"/>
      <c r="W832" s="395">
        <f t="shared" si="845"/>
        <v>8.3230000000000004</v>
      </c>
      <c r="X832" s="393"/>
      <c r="Y832" s="523"/>
      <c r="Z832" s="393"/>
      <c r="AA832" s="544"/>
      <c r="AB832" s="394"/>
      <c r="AC832" s="394"/>
      <c r="AD832" s="394"/>
      <c r="AE832" s="394"/>
      <c r="AF832" s="394"/>
      <c r="AG832" s="394"/>
      <c r="AH832" s="394"/>
      <c r="AI832" s="394"/>
      <c r="AJ832" s="394"/>
      <c r="AK832" s="381"/>
      <c r="AL832" s="408"/>
      <c r="AM832" s="385"/>
      <c r="AN832" s="475"/>
      <c r="AO832" s="395"/>
      <c r="AP832" s="395" t="e">
        <f t="shared" si="843"/>
        <v>#DIV/0!</v>
      </c>
      <c r="AQ832" s="393"/>
      <c r="AR832" s="523"/>
      <c r="AS832" s="393"/>
      <c r="AT832" s="544"/>
      <c r="AU832" s="394"/>
      <c r="AV832" s="394"/>
      <c r="AW832" s="394"/>
      <c r="AX832" s="394"/>
      <c r="AY832" s="394"/>
      <c r="AZ832" s="394"/>
      <c r="BA832" s="394"/>
      <c r="BB832" s="394"/>
      <c r="BC832" s="394"/>
      <c r="BD832" s="381"/>
      <c r="BE832" s="408"/>
      <c r="BF832" s="385"/>
      <c r="BG832" s="475"/>
      <c r="BH832" s="395"/>
      <c r="BI832" s="395" t="e">
        <f t="shared" si="844"/>
        <v>#DIV/0!</v>
      </c>
    </row>
    <row r="833" spans="1:61" s="358" customFormat="1" ht="19.2" x14ac:dyDescent="0.3">
      <c r="A833" s="359" t="s">
        <v>374</v>
      </c>
      <c r="B833" s="537" t="s">
        <v>592</v>
      </c>
      <c r="C833" s="546" t="s">
        <v>464</v>
      </c>
      <c r="D833" s="360">
        <v>0.22</v>
      </c>
      <c r="E833" s="393"/>
      <c r="F833" s="523">
        <v>1</v>
      </c>
      <c r="G833" s="393"/>
      <c r="H833" s="544">
        <v>8.3230000000000004</v>
      </c>
      <c r="I833" s="394">
        <v>7.43649</v>
      </c>
      <c r="J833" s="394">
        <v>7.0416699999999999</v>
      </c>
      <c r="K833" s="394"/>
      <c r="L833" s="394"/>
      <c r="M833" s="394">
        <v>0</v>
      </c>
      <c r="N833" s="394">
        <v>0</v>
      </c>
      <c r="O833" s="394">
        <v>0.20676</v>
      </c>
      <c r="P833" s="394">
        <v>7.0416699999999999</v>
      </c>
      <c r="Q833" s="394"/>
      <c r="R833" s="381" t="s">
        <v>167</v>
      </c>
      <c r="S833" s="408" t="s">
        <v>175</v>
      </c>
      <c r="T833" s="385"/>
      <c r="U833" s="475">
        <v>411</v>
      </c>
      <c r="V833" s="395"/>
      <c r="W833" s="395">
        <f t="shared" si="845"/>
        <v>8.3230000000000004</v>
      </c>
      <c r="X833" s="393"/>
      <c r="Y833" s="523"/>
      <c r="Z833" s="393"/>
      <c r="AA833" s="544"/>
      <c r="AB833" s="394"/>
      <c r="AC833" s="394"/>
      <c r="AD833" s="394"/>
      <c r="AE833" s="394"/>
      <c r="AF833" s="394"/>
      <c r="AG833" s="394"/>
      <c r="AH833" s="394"/>
      <c r="AI833" s="394"/>
      <c r="AJ833" s="394"/>
      <c r="AK833" s="381"/>
      <c r="AL833" s="408"/>
      <c r="AM833" s="385"/>
      <c r="AN833" s="475"/>
      <c r="AO833" s="395"/>
      <c r="AP833" s="395" t="e">
        <f t="shared" si="843"/>
        <v>#DIV/0!</v>
      </c>
      <c r="AQ833" s="393"/>
      <c r="AR833" s="523"/>
      <c r="AS833" s="393"/>
      <c r="AT833" s="544"/>
      <c r="AU833" s="394"/>
      <c r="AV833" s="394"/>
      <c r="AW833" s="394"/>
      <c r="AX833" s="394"/>
      <c r="AY833" s="394"/>
      <c r="AZ833" s="394"/>
      <c r="BA833" s="394"/>
      <c r="BB833" s="394"/>
      <c r="BC833" s="394"/>
      <c r="BD833" s="381"/>
      <c r="BE833" s="408"/>
      <c r="BF833" s="385"/>
      <c r="BG833" s="475"/>
      <c r="BH833" s="395"/>
      <c r="BI833" s="395" t="e">
        <f t="shared" si="844"/>
        <v>#DIV/0!</v>
      </c>
    </row>
    <row r="834" spans="1:61" s="358" customFormat="1" ht="19.2" x14ac:dyDescent="0.3">
      <c r="A834" s="359" t="s">
        <v>375</v>
      </c>
      <c r="B834" s="537" t="s">
        <v>588</v>
      </c>
      <c r="C834" s="546" t="s">
        <v>460</v>
      </c>
      <c r="D834" s="360">
        <v>0.22</v>
      </c>
      <c r="E834" s="393"/>
      <c r="F834" s="523">
        <v>1</v>
      </c>
      <c r="G834" s="393"/>
      <c r="H834" s="544">
        <v>8.3230000000000004</v>
      </c>
      <c r="I834" s="394">
        <v>7.43649</v>
      </c>
      <c r="J834" s="394">
        <v>7.0416699999999999</v>
      </c>
      <c r="K834" s="394"/>
      <c r="L834" s="394"/>
      <c r="M834" s="394">
        <v>0</v>
      </c>
      <c r="N834" s="394">
        <v>0</v>
      </c>
      <c r="O834" s="394">
        <v>0.20676</v>
      </c>
      <c r="P834" s="394">
        <v>7.0416699999999999</v>
      </c>
      <c r="Q834" s="394"/>
      <c r="R834" s="381" t="s">
        <v>167</v>
      </c>
      <c r="S834" s="408" t="s">
        <v>175</v>
      </c>
      <c r="T834" s="385"/>
      <c r="U834" s="475">
        <v>412</v>
      </c>
      <c r="V834" s="395"/>
      <c r="W834" s="395">
        <f t="shared" si="845"/>
        <v>8.3230000000000004</v>
      </c>
      <c r="X834" s="393"/>
      <c r="Y834" s="523"/>
      <c r="Z834" s="393"/>
      <c r="AA834" s="544"/>
      <c r="AB834" s="394"/>
      <c r="AC834" s="394"/>
      <c r="AD834" s="394"/>
      <c r="AE834" s="394"/>
      <c r="AF834" s="394"/>
      <c r="AG834" s="394"/>
      <c r="AH834" s="394"/>
      <c r="AI834" s="394"/>
      <c r="AJ834" s="394"/>
      <c r="AK834" s="381"/>
      <c r="AL834" s="408"/>
      <c r="AM834" s="385"/>
      <c r="AN834" s="475"/>
      <c r="AO834" s="395"/>
      <c r="AP834" s="395" t="e">
        <f t="shared" si="843"/>
        <v>#DIV/0!</v>
      </c>
      <c r="AQ834" s="393"/>
      <c r="AR834" s="523"/>
      <c r="AS834" s="393"/>
      <c r="AT834" s="544"/>
      <c r="AU834" s="394"/>
      <c r="AV834" s="394"/>
      <c r="AW834" s="394"/>
      <c r="AX834" s="394"/>
      <c r="AY834" s="394"/>
      <c r="AZ834" s="394"/>
      <c r="BA834" s="394"/>
      <c r="BB834" s="394"/>
      <c r="BC834" s="394"/>
      <c r="BD834" s="381"/>
      <c r="BE834" s="408"/>
      <c r="BF834" s="385"/>
      <c r="BG834" s="475"/>
      <c r="BH834" s="395"/>
      <c r="BI834" s="395" t="e">
        <f t="shared" si="844"/>
        <v>#DIV/0!</v>
      </c>
    </row>
    <row r="835" spans="1:61" s="358" customFormat="1" ht="19.2" x14ac:dyDescent="0.3">
      <c r="A835" s="359" t="s">
        <v>360</v>
      </c>
      <c r="B835" s="537" t="s">
        <v>1336</v>
      </c>
      <c r="C835" s="546" t="s">
        <v>723</v>
      </c>
      <c r="D835" s="360">
        <v>0.22</v>
      </c>
      <c r="E835" s="393"/>
      <c r="F835" s="523">
        <v>1</v>
      </c>
      <c r="G835" s="393"/>
      <c r="H835" s="544">
        <v>8.3230000000000004</v>
      </c>
      <c r="I835" s="394">
        <v>7.43649</v>
      </c>
      <c r="J835" s="394">
        <v>7.0416699999999999</v>
      </c>
      <c r="K835" s="394"/>
      <c r="L835" s="394"/>
      <c r="M835" s="394">
        <v>0</v>
      </c>
      <c r="N835" s="394">
        <v>0</v>
      </c>
      <c r="O835" s="394">
        <v>0.20676</v>
      </c>
      <c r="P835" s="394">
        <v>7.0416699999999999</v>
      </c>
      <c r="Q835" s="394"/>
      <c r="R835" s="381" t="s">
        <v>167</v>
      </c>
      <c r="S835" s="408" t="s">
        <v>175</v>
      </c>
      <c r="T835" s="385"/>
      <c r="U835" s="475">
        <v>413</v>
      </c>
      <c r="V835" s="395"/>
      <c r="W835" s="395">
        <f t="shared" si="842"/>
        <v>8.3230000000000004</v>
      </c>
      <c r="X835" s="393"/>
      <c r="Y835" s="523"/>
      <c r="Z835" s="393"/>
      <c r="AA835" s="544"/>
      <c r="AB835" s="394"/>
      <c r="AC835" s="394"/>
      <c r="AD835" s="394"/>
      <c r="AE835" s="394"/>
      <c r="AF835" s="394"/>
      <c r="AG835" s="394"/>
      <c r="AH835" s="394"/>
      <c r="AI835" s="394"/>
      <c r="AJ835" s="394"/>
      <c r="AK835" s="381"/>
      <c r="AL835" s="408"/>
      <c r="AM835" s="385"/>
      <c r="AN835" s="475"/>
      <c r="AO835" s="395"/>
      <c r="AP835" s="395" t="e">
        <f t="shared" si="843"/>
        <v>#DIV/0!</v>
      </c>
      <c r="AQ835" s="393"/>
      <c r="AR835" s="523"/>
      <c r="AS835" s="393"/>
      <c r="AT835" s="544"/>
      <c r="AU835" s="394"/>
      <c r="AV835" s="394"/>
      <c r="AW835" s="394"/>
      <c r="AX835" s="394"/>
      <c r="AY835" s="394"/>
      <c r="AZ835" s="394"/>
      <c r="BA835" s="394"/>
      <c r="BB835" s="394"/>
      <c r="BC835" s="394"/>
      <c r="BD835" s="381"/>
      <c r="BE835" s="408"/>
      <c r="BF835" s="385"/>
      <c r="BG835" s="475"/>
      <c r="BH835" s="395"/>
      <c r="BI835" s="395" t="e">
        <f t="shared" si="844"/>
        <v>#DIV/0!</v>
      </c>
    </row>
    <row r="836" spans="1:61" s="358" customFormat="1" ht="19.2" x14ac:dyDescent="0.3">
      <c r="A836" s="359" t="s">
        <v>393</v>
      </c>
      <c r="B836" s="537" t="s">
        <v>1337</v>
      </c>
      <c r="C836" s="546" t="s">
        <v>724</v>
      </c>
      <c r="D836" s="360">
        <v>0.22</v>
      </c>
      <c r="E836" s="393"/>
      <c r="F836" s="523">
        <v>1</v>
      </c>
      <c r="G836" s="393"/>
      <c r="H836" s="544">
        <v>8.3230000000000004</v>
      </c>
      <c r="I836" s="394">
        <v>7.43649</v>
      </c>
      <c r="J836" s="394">
        <v>7.0416699999999999</v>
      </c>
      <c r="K836" s="394"/>
      <c r="L836" s="394"/>
      <c r="M836" s="394">
        <v>0</v>
      </c>
      <c r="N836" s="394">
        <v>0</v>
      </c>
      <c r="O836" s="394">
        <v>0.20676</v>
      </c>
      <c r="P836" s="394">
        <v>7.0416699999999999</v>
      </c>
      <c r="Q836" s="394"/>
      <c r="R836" s="381" t="s">
        <v>167</v>
      </c>
      <c r="S836" s="408" t="s">
        <v>175</v>
      </c>
      <c r="T836" s="385"/>
      <c r="U836" s="475">
        <v>414</v>
      </c>
      <c r="V836" s="395"/>
      <c r="W836" s="395">
        <f t="shared" si="842"/>
        <v>8.3230000000000004</v>
      </c>
      <c r="X836" s="393"/>
      <c r="Y836" s="523"/>
      <c r="Z836" s="393"/>
      <c r="AA836" s="544"/>
      <c r="AB836" s="394"/>
      <c r="AC836" s="394"/>
      <c r="AD836" s="394"/>
      <c r="AE836" s="394"/>
      <c r="AF836" s="394"/>
      <c r="AG836" s="394"/>
      <c r="AH836" s="394"/>
      <c r="AI836" s="394"/>
      <c r="AJ836" s="394"/>
      <c r="AK836" s="381"/>
      <c r="AL836" s="408"/>
      <c r="AM836" s="385"/>
      <c r="AN836" s="475"/>
      <c r="AO836" s="395"/>
      <c r="AP836" s="395" t="e">
        <f t="shared" si="843"/>
        <v>#DIV/0!</v>
      </c>
      <c r="AQ836" s="393"/>
      <c r="AR836" s="523"/>
      <c r="AS836" s="393"/>
      <c r="AT836" s="544"/>
      <c r="AU836" s="394"/>
      <c r="AV836" s="394"/>
      <c r="AW836" s="394"/>
      <c r="AX836" s="394"/>
      <c r="AY836" s="394"/>
      <c r="AZ836" s="394"/>
      <c r="BA836" s="394"/>
      <c r="BB836" s="394"/>
      <c r="BC836" s="394"/>
      <c r="BD836" s="381"/>
      <c r="BE836" s="408"/>
      <c r="BF836" s="385"/>
      <c r="BG836" s="475"/>
      <c r="BH836" s="395"/>
      <c r="BI836" s="395" t="e">
        <f t="shared" si="844"/>
        <v>#DIV/0!</v>
      </c>
    </row>
    <row r="837" spans="1:61" s="358" customFormat="1" ht="19.2" x14ac:dyDescent="0.3">
      <c r="A837" s="359" t="s">
        <v>378</v>
      </c>
      <c r="B837" s="537" t="s">
        <v>1338</v>
      </c>
      <c r="C837" s="546" t="s">
        <v>725</v>
      </c>
      <c r="D837" s="360">
        <v>0.22</v>
      </c>
      <c r="E837" s="393"/>
      <c r="F837" s="523">
        <v>1</v>
      </c>
      <c r="G837" s="393"/>
      <c r="H837" s="544">
        <v>8.3230000000000004</v>
      </c>
      <c r="I837" s="394">
        <v>7.43649</v>
      </c>
      <c r="J837" s="394">
        <v>7.0416699999999999</v>
      </c>
      <c r="K837" s="394"/>
      <c r="L837" s="394"/>
      <c r="M837" s="394">
        <v>0</v>
      </c>
      <c r="N837" s="394">
        <v>0</v>
      </c>
      <c r="O837" s="394">
        <v>0.20676</v>
      </c>
      <c r="P837" s="394">
        <v>7.0416699999999999</v>
      </c>
      <c r="Q837" s="394"/>
      <c r="R837" s="381" t="s">
        <v>167</v>
      </c>
      <c r="S837" s="408" t="s">
        <v>175</v>
      </c>
      <c r="T837" s="385"/>
      <c r="U837" s="475">
        <v>415</v>
      </c>
      <c r="V837" s="395"/>
      <c r="W837" s="395">
        <f t="shared" si="842"/>
        <v>8.3230000000000004</v>
      </c>
      <c r="X837" s="393"/>
      <c r="Y837" s="523"/>
      <c r="Z837" s="393"/>
      <c r="AA837" s="544"/>
      <c r="AB837" s="394"/>
      <c r="AC837" s="394"/>
      <c r="AD837" s="394"/>
      <c r="AE837" s="394"/>
      <c r="AF837" s="394"/>
      <c r="AG837" s="394"/>
      <c r="AH837" s="394"/>
      <c r="AI837" s="394"/>
      <c r="AJ837" s="394"/>
      <c r="AK837" s="381"/>
      <c r="AL837" s="408"/>
      <c r="AM837" s="385"/>
      <c r="AN837" s="475"/>
      <c r="AO837" s="395"/>
      <c r="AP837" s="395" t="e">
        <f t="shared" si="843"/>
        <v>#DIV/0!</v>
      </c>
      <c r="AQ837" s="393"/>
      <c r="AR837" s="523"/>
      <c r="AS837" s="393"/>
      <c r="AT837" s="544"/>
      <c r="AU837" s="394"/>
      <c r="AV837" s="394"/>
      <c r="AW837" s="394"/>
      <c r="AX837" s="394"/>
      <c r="AY837" s="394"/>
      <c r="AZ837" s="394"/>
      <c r="BA837" s="394"/>
      <c r="BB837" s="394"/>
      <c r="BC837" s="394"/>
      <c r="BD837" s="381"/>
      <c r="BE837" s="408"/>
      <c r="BF837" s="385"/>
      <c r="BG837" s="475"/>
      <c r="BH837" s="395"/>
      <c r="BI837" s="395" t="e">
        <f t="shared" si="844"/>
        <v>#DIV/0!</v>
      </c>
    </row>
    <row r="838" spans="1:61" s="358" customFormat="1" ht="19.2" x14ac:dyDescent="0.3">
      <c r="A838" s="359" t="s">
        <v>379</v>
      </c>
      <c r="B838" s="537" t="s">
        <v>1339</v>
      </c>
      <c r="C838" s="546" t="s">
        <v>726</v>
      </c>
      <c r="D838" s="360">
        <v>0.22</v>
      </c>
      <c r="E838" s="393"/>
      <c r="F838" s="523">
        <v>1</v>
      </c>
      <c r="G838" s="393"/>
      <c r="H838" s="544">
        <v>8.3230000000000004</v>
      </c>
      <c r="I838" s="394">
        <v>7.43649</v>
      </c>
      <c r="J838" s="394">
        <v>7.0416699999999999</v>
      </c>
      <c r="K838" s="394"/>
      <c r="L838" s="394"/>
      <c r="M838" s="394">
        <v>0</v>
      </c>
      <c r="N838" s="394">
        <v>0</v>
      </c>
      <c r="O838" s="394">
        <v>0.20676</v>
      </c>
      <c r="P838" s="394">
        <v>7.0416699999999999</v>
      </c>
      <c r="Q838" s="394"/>
      <c r="R838" s="381" t="s">
        <v>167</v>
      </c>
      <c r="S838" s="408" t="s">
        <v>175</v>
      </c>
      <c r="T838" s="385"/>
      <c r="U838" s="475">
        <v>416</v>
      </c>
      <c r="V838" s="395"/>
      <c r="W838" s="395">
        <f t="shared" si="842"/>
        <v>8.3230000000000004</v>
      </c>
      <c r="X838" s="393"/>
      <c r="Y838" s="523"/>
      <c r="Z838" s="393"/>
      <c r="AA838" s="544"/>
      <c r="AB838" s="394"/>
      <c r="AC838" s="394"/>
      <c r="AD838" s="394"/>
      <c r="AE838" s="394"/>
      <c r="AF838" s="394"/>
      <c r="AG838" s="394"/>
      <c r="AH838" s="394"/>
      <c r="AI838" s="394"/>
      <c r="AJ838" s="394"/>
      <c r="AK838" s="381"/>
      <c r="AL838" s="408"/>
      <c r="AM838" s="385"/>
      <c r="AN838" s="475"/>
      <c r="AO838" s="395"/>
      <c r="AP838" s="395" t="e">
        <f t="shared" si="843"/>
        <v>#DIV/0!</v>
      </c>
      <c r="AQ838" s="393"/>
      <c r="AR838" s="523"/>
      <c r="AS838" s="393"/>
      <c r="AT838" s="544"/>
      <c r="AU838" s="394"/>
      <c r="AV838" s="394"/>
      <c r="AW838" s="394"/>
      <c r="AX838" s="394"/>
      <c r="AY838" s="394"/>
      <c r="AZ838" s="394"/>
      <c r="BA838" s="394"/>
      <c r="BB838" s="394"/>
      <c r="BC838" s="394"/>
      <c r="BD838" s="381"/>
      <c r="BE838" s="408"/>
      <c r="BF838" s="385"/>
      <c r="BG838" s="475"/>
      <c r="BH838" s="395"/>
      <c r="BI838" s="395" t="e">
        <f t="shared" si="844"/>
        <v>#DIV/0!</v>
      </c>
    </row>
    <row r="839" spans="1:61" s="358" customFormat="1" ht="19.2" x14ac:dyDescent="0.3">
      <c r="A839" s="359" t="s">
        <v>380</v>
      </c>
      <c r="B839" s="537" t="s">
        <v>1340</v>
      </c>
      <c r="C839" s="546" t="s">
        <v>727</v>
      </c>
      <c r="D839" s="360">
        <v>0.22</v>
      </c>
      <c r="E839" s="393"/>
      <c r="F839" s="523">
        <v>1</v>
      </c>
      <c r="G839" s="393"/>
      <c r="H839" s="544">
        <v>8.3230000000000004</v>
      </c>
      <c r="I839" s="394">
        <v>7.43649</v>
      </c>
      <c r="J839" s="394">
        <v>7.0416699999999999</v>
      </c>
      <c r="K839" s="394"/>
      <c r="L839" s="394"/>
      <c r="M839" s="394">
        <v>0</v>
      </c>
      <c r="N839" s="394">
        <v>0</v>
      </c>
      <c r="O839" s="394">
        <v>0.20676</v>
      </c>
      <c r="P839" s="394">
        <v>7.0416699999999999</v>
      </c>
      <c r="Q839" s="394"/>
      <c r="R839" s="381" t="s">
        <v>167</v>
      </c>
      <c r="S839" s="408" t="s">
        <v>175</v>
      </c>
      <c r="T839" s="385"/>
      <c r="U839" s="475">
        <v>417</v>
      </c>
      <c r="V839" s="395"/>
      <c r="W839" s="395">
        <f t="shared" si="842"/>
        <v>8.3230000000000004</v>
      </c>
      <c r="X839" s="393"/>
      <c r="Y839" s="523"/>
      <c r="Z839" s="393"/>
      <c r="AA839" s="544"/>
      <c r="AB839" s="394"/>
      <c r="AC839" s="394"/>
      <c r="AD839" s="394"/>
      <c r="AE839" s="394"/>
      <c r="AF839" s="394"/>
      <c r="AG839" s="394"/>
      <c r="AH839" s="394"/>
      <c r="AI839" s="394"/>
      <c r="AJ839" s="394"/>
      <c r="AK839" s="381"/>
      <c r="AL839" s="408"/>
      <c r="AM839" s="385"/>
      <c r="AN839" s="475"/>
      <c r="AO839" s="395"/>
      <c r="AP839" s="395" t="e">
        <f t="shared" si="843"/>
        <v>#DIV/0!</v>
      </c>
      <c r="AQ839" s="393"/>
      <c r="AR839" s="523"/>
      <c r="AS839" s="393"/>
      <c r="AT839" s="544"/>
      <c r="AU839" s="394"/>
      <c r="AV839" s="394"/>
      <c r="AW839" s="394"/>
      <c r="AX839" s="394"/>
      <c r="AY839" s="394"/>
      <c r="AZ839" s="394"/>
      <c r="BA839" s="394"/>
      <c r="BB839" s="394"/>
      <c r="BC839" s="394"/>
      <c r="BD839" s="381"/>
      <c r="BE839" s="408"/>
      <c r="BF839" s="385"/>
      <c r="BG839" s="475"/>
      <c r="BH839" s="395"/>
      <c r="BI839" s="395" t="e">
        <f t="shared" si="844"/>
        <v>#DIV/0!</v>
      </c>
    </row>
    <row r="840" spans="1:61" s="358" customFormat="1" ht="19.2" x14ac:dyDescent="0.3">
      <c r="A840" s="359" t="s">
        <v>381</v>
      </c>
      <c r="B840" s="537" t="s">
        <v>1341</v>
      </c>
      <c r="C840" s="546" t="s">
        <v>728</v>
      </c>
      <c r="D840" s="360">
        <v>0.22</v>
      </c>
      <c r="E840" s="393"/>
      <c r="F840" s="523">
        <v>1</v>
      </c>
      <c r="G840" s="393"/>
      <c r="H840" s="544">
        <v>5.6139999999999999</v>
      </c>
      <c r="I840" s="394">
        <v>5.2126599999999996</v>
      </c>
      <c r="J840" s="394">
        <v>5.2083300000000001</v>
      </c>
      <c r="K840" s="394"/>
      <c r="L840" s="394"/>
      <c r="M840" s="394">
        <v>0</v>
      </c>
      <c r="N840" s="394">
        <v>0</v>
      </c>
      <c r="O840" s="394">
        <v>9.3509999999999996E-2</v>
      </c>
      <c r="P840" s="394">
        <v>5.2083300000000001</v>
      </c>
      <c r="Q840" s="394"/>
      <c r="R840" s="381" t="s">
        <v>167</v>
      </c>
      <c r="S840" s="408" t="s">
        <v>175</v>
      </c>
      <c r="T840" s="385"/>
      <c r="U840" s="475">
        <v>418</v>
      </c>
      <c r="V840" s="395"/>
      <c r="W840" s="395">
        <f t="shared" si="842"/>
        <v>5.6139999999999999</v>
      </c>
      <c r="X840" s="393"/>
      <c r="Y840" s="523"/>
      <c r="Z840" s="393"/>
      <c r="AA840" s="544"/>
      <c r="AB840" s="394"/>
      <c r="AC840" s="394"/>
      <c r="AD840" s="394"/>
      <c r="AE840" s="394"/>
      <c r="AF840" s="394"/>
      <c r="AG840" s="394"/>
      <c r="AH840" s="394"/>
      <c r="AI840" s="394"/>
      <c r="AJ840" s="394"/>
      <c r="AK840" s="381"/>
      <c r="AL840" s="408"/>
      <c r="AM840" s="385"/>
      <c r="AN840" s="475"/>
      <c r="AO840" s="395"/>
      <c r="AP840" s="395" t="e">
        <f t="shared" si="843"/>
        <v>#DIV/0!</v>
      </c>
      <c r="AQ840" s="393"/>
      <c r="AR840" s="523"/>
      <c r="AS840" s="393"/>
      <c r="AT840" s="544"/>
      <c r="AU840" s="394"/>
      <c r="AV840" s="394"/>
      <c r="AW840" s="394"/>
      <c r="AX840" s="394"/>
      <c r="AY840" s="394"/>
      <c r="AZ840" s="394"/>
      <c r="BA840" s="394"/>
      <c r="BB840" s="394"/>
      <c r="BC840" s="394"/>
      <c r="BD840" s="381"/>
      <c r="BE840" s="408"/>
      <c r="BF840" s="385"/>
      <c r="BG840" s="475"/>
      <c r="BH840" s="395"/>
      <c r="BI840" s="395" t="e">
        <f t="shared" si="844"/>
        <v>#DIV/0!</v>
      </c>
    </row>
    <row r="841" spans="1:61" s="358" customFormat="1" ht="19.2" x14ac:dyDescent="0.3">
      <c r="A841" s="359" t="s">
        <v>382</v>
      </c>
      <c r="B841" s="537" t="s">
        <v>1342</v>
      </c>
      <c r="C841" s="546" t="s">
        <v>729</v>
      </c>
      <c r="D841" s="360">
        <v>0.22</v>
      </c>
      <c r="E841" s="393"/>
      <c r="F841" s="523">
        <v>1</v>
      </c>
      <c r="G841" s="393"/>
      <c r="H841" s="544">
        <v>5.6139999999999999</v>
      </c>
      <c r="I841" s="394">
        <v>5.2126599999999996</v>
      </c>
      <c r="J841" s="394">
        <v>5.2083300000000001</v>
      </c>
      <c r="K841" s="394"/>
      <c r="L841" s="394"/>
      <c r="M841" s="394">
        <v>0</v>
      </c>
      <c r="N841" s="394">
        <v>0</v>
      </c>
      <c r="O841" s="394">
        <v>9.3509999999999996E-2</v>
      </c>
      <c r="P841" s="394">
        <v>5.2083300000000001</v>
      </c>
      <c r="Q841" s="394"/>
      <c r="R841" s="381" t="s">
        <v>167</v>
      </c>
      <c r="S841" s="408" t="s">
        <v>175</v>
      </c>
      <c r="T841" s="385"/>
      <c r="U841" s="475">
        <v>419</v>
      </c>
      <c r="V841" s="395"/>
      <c r="W841" s="395">
        <f t="shared" si="842"/>
        <v>5.6139999999999999</v>
      </c>
      <c r="X841" s="393"/>
      <c r="Y841" s="523"/>
      <c r="Z841" s="393"/>
      <c r="AA841" s="544"/>
      <c r="AB841" s="394"/>
      <c r="AC841" s="394"/>
      <c r="AD841" s="394"/>
      <c r="AE841" s="394"/>
      <c r="AF841" s="394"/>
      <c r="AG841" s="394"/>
      <c r="AH841" s="394"/>
      <c r="AI841" s="394"/>
      <c r="AJ841" s="394"/>
      <c r="AK841" s="381"/>
      <c r="AL841" s="408"/>
      <c r="AM841" s="385"/>
      <c r="AN841" s="475"/>
      <c r="AO841" s="395"/>
      <c r="AP841" s="395" t="e">
        <f t="shared" si="843"/>
        <v>#DIV/0!</v>
      </c>
      <c r="AQ841" s="393"/>
      <c r="AR841" s="523"/>
      <c r="AS841" s="393"/>
      <c r="AT841" s="544"/>
      <c r="AU841" s="394"/>
      <c r="AV841" s="394"/>
      <c r="AW841" s="394"/>
      <c r="AX841" s="394"/>
      <c r="AY841" s="394"/>
      <c r="AZ841" s="394"/>
      <c r="BA841" s="394"/>
      <c r="BB841" s="394"/>
      <c r="BC841" s="394"/>
      <c r="BD841" s="381"/>
      <c r="BE841" s="408"/>
      <c r="BF841" s="385"/>
      <c r="BG841" s="475"/>
      <c r="BH841" s="395"/>
      <c r="BI841" s="395" t="e">
        <f t="shared" si="844"/>
        <v>#DIV/0!</v>
      </c>
    </row>
    <row r="842" spans="1:61" s="358" customFormat="1" ht="19.2" x14ac:dyDescent="0.3">
      <c r="A842" s="359" t="s">
        <v>383</v>
      </c>
      <c r="B842" s="537" t="s">
        <v>1343</v>
      </c>
      <c r="C842" s="546" t="s">
        <v>730</v>
      </c>
      <c r="D842" s="360">
        <v>0.22</v>
      </c>
      <c r="E842" s="393"/>
      <c r="F842" s="523">
        <v>1</v>
      </c>
      <c r="G842" s="393"/>
      <c r="H842" s="544">
        <v>5.6139999999999999</v>
      </c>
      <c r="I842" s="394">
        <v>5.2126599999999996</v>
      </c>
      <c r="J842" s="394">
        <v>5.2083300000000001</v>
      </c>
      <c r="K842" s="394"/>
      <c r="L842" s="394"/>
      <c r="M842" s="394">
        <v>0</v>
      </c>
      <c r="N842" s="394">
        <v>0</v>
      </c>
      <c r="O842" s="394">
        <v>9.3509999999999996E-2</v>
      </c>
      <c r="P842" s="394">
        <v>5.2083300000000001</v>
      </c>
      <c r="Q842" s="394"/>
      <c r="R842" s="381" t="s">
        <v>167</v>
      </c>
      <c r="S842" s="408" t="s">
        <v>175</v>
      </c>
      <c r="T842" s="385"/>
      <c r="U842" s="475">
        <v>420</v>
      </c>
      <c r="V842" s="395"/>
      <c r="W842" s="395">
        <f t="shared" si="842"/>
        <v>5.6139999999999999</v>
      </c>
      <c r="X842" s="393"/>
      <c r="Y842" s="523"/>
      <c r="Z842" s="393"/>
      <c r="AA842" s="544"/>
      <c r="AB842" s="394"/>
      <c r="AC842" s="394"/>
      <c r="AD842" s="394"/>
      <c r="AE842" s="394"/>
      <c r="AF842" s="394"/>
      <c r="AG842" s="394"/>
      <c r="AH842" s="394"/>
      <c r="AI842" s="394"/>
      <c r="AJ842" s="394"/>
      <c r="AK842" s="381"/>
      <c r="AL842" s="408"/>
      <c r="AM842" s="385"/>
      <c r="AN842" s="475"/>
      <c r="AO842" s="395"/>
      <c r="AP842" s="395" t="e">
        <f t="shared" si="843"/>
        <v>#DIV/0!</v>
      </c>
      <c r="AQ842" s="393"/>
      <c r="AR842" s="523"/>
      <c r="AS842" s="393"/>
      <c r="AT842" s="544"/>
      <c r="AU842" s="394"/>
      <c r="AV842" s="394"/>
      <c r="AW842" s="394"/>
      <c r="AX842" s="394"/>
      <c r="AY842" s="394"/>
      <c r="AZ842" s="394"/>
      <c r="BA842" s="394"/>
      <c r="BB842" s="394"/>
      <c r="BC842" s="394"/>
      <c r="BD842" s="381"/>
      <c r="BE842" s="408"/>
      <c r="BF842" s="385"/>
      <c r="BG842" s="475"/>
      <c r="BH842" s="395"/>
      <c r="BI842" s="395" t="e">
        <f t="shared" si="844"/>
        <v>#DIV/0!</v>
      </c>
    </row>
    <row r="843" spans="1:61" s="358" customFormat="1" ht="19.2" x14ac:dyDescent="0.3">
      <c r="A843" s="359" t="s">
        <v>384</v>
      </c>
      <c r="B843" s="537" t="s">
        <v>1344</v>
      </c>
      <c r="C843" s="546" t="s">
        <v>731</v>
      </c>
      <c r="D843" s="360">
        <v>0.22</v>
      </c>
      <c r="E843" s="393"/>
      <c r="F843" s="523">
        <v>1</v>
      </c>
      <c r="G843" s="393"/>
      <c r="H843" s="544">
        <v>5.6139999999999999</v>
      </c>
      <c r="I843" s="394">
        <v>5.2126599999999996</v>
      </c>
      <c r="J843" s="394">
        <v>5.2083300000000001</v>
      </c>
      <c r="K843" s="394"/>
      <c r="L843" s="394"/>
      <c r="M843" s="394">
        <v>0</v>
      </c>
      <c r="N843" s="394">
        <v>0</v>
      </c>
      <c r="O843" s="394">
        <v>9.3509999999999996E-2</v>
      </c>
      <c r="P843" s="394">
        <v>5.2083300000000001</v>
      </c>
      <c r="Q843" s="394"/>
      <c r="R843" s="381" t="s">
        <v>167</v>
      </c>
      <c r="S843" s="408" t="s">
        <v>175</v>
      </c>
      <c r="T843" s="385"/>
      <c r="U843" s="475">
        <v>421</v>
      </c>
      <c r="V843" s="395"/>
      <c r="W843" s="395">
        <f t="shared" si="842"/>
        <v>5.6139999999999999</v>
      </c>
      <c r="X843" s="393"/>
      <c r="Y843" s="523"/>
      <c r="Z843" s="393"/>
      <c r="AA843" s="544"/>
      <c r="AB843" s="394"/>
      <c r="AC843" s="394"/>
      <c r="AD843" s="394"/>
      <c r="AE843" s="394"/>
      <c r="AF843" s="394"/>
      <c r="AG843" s="394"/>
      <c r="AH843" s="394"/>
      <c r="AI843" s="394"/>
      <c r="AJ843" s="394"/>
      <c r="AK843" s="381"/>
      <c r="AL843" s="408"/>
      <c r="AM843" s="385"/>
      <c r="AN843" s="475"/>
      <c r="AO843" s="395"/>
      <c r="AP843" s="395" t="e">
        <f t="shared" si="843"/>
        <v>#DIV/0!</v>
      </c>
      <c r="AQ843" s="393"/>
      <c r="AR843" s="523"/>
      <c r="AS843" s="393"/>
      <c r="AT843" s="544"/>
      <c r="AU843" s="394"/>
      <c r="AV843" s="394"/>
      <c r="AW843" s="394"/>
      <c r="AX843" s="394"/>
      <c r="AY843" s="394"/>
      <c r="AZ843" s="394"/>
      <c r="BA843" s="394"/>
      <c r="BB843" s="394"/>
      <c r="BC843" s="394"/>
      <c r="BD843" s="381"/>
      <c r="BE843" s="408"/>
      <c r="BF843" s="385"/>
      <c r="BG843" s="475"/>
      <c r="BH843" s="395"/>
      <c r="BI843" s="395" t="e">
        <f t="shared" si="844"/>
        <v>#DIV/0!</v>
      </c>
    </row>
    <row r="844" spans="1:61" s="358" customFormat="1" ht="19.2" x14ac:dyDescent="0.3">
      <c r="A844" s="359" t="s">
        <v>385</v>
      </c>
      <c r="B844" s="537" t="s">
        <v>1345</v>
      </c>
      <c r="C844" s="546" t="s">
        <v>732</v>
      </c>
      <c r="D844" s="360">
        <v>0.22</v>
      </c>
      <c r="E844" s="393"/>
      <c r="F844" s="523">
        <v>1</v>
      </c>
      <c r="G844" s="393"/>
      <c r="H844" s="544">
        <v>5.6139999999999999</v>
      </c>
      <c r="I844" s="394">
        <v>5.2126599999999996</v>
      </c>
      <c r="J844" s="394">
        <v>5.2083300000000001</v>
      </c>
      <c r="K844" s="394"/>
      <c r="L844" s="394"/>
      <c r="M844" s="394">
        <v>0</v>
      </c>
      <c r="N844" s="394">
        <v>0</v>
      </c>
      <c r="O844" s="394">
        <v>9.3509999999999996E-2</v>
      </c>
      <c r="P844" s="394">
        <v>5.2083300000000001</v>
      </c>
      <c r="Q844" s="394"/>
      <c r="R844" s="381" t="s">
        <v>167</v>
      </c>
      <c r="S844" s="408" t="s">
        <v>175</v>
      </c>
      <c r="T844" s="385"/>
      <c r="U844" s="475">
        <v>422</v>
      </c>
      <c r="V844" s="395"/>
      <c r="W844" s="395">
        <f t="shared" si="842"/>
        <v>5.6139999999999999</v>
      </c>
      <c r="X844" s="393"/>
      <c r="Y844" s="523"/>
      <c r="Z844" s="393"/>
      <c r="AA844" s="544"/>
      <c r="AB844" s="394"/>
      <c r="AC844" s="394"/>
      <c r="AD844" s="394"/>
      <c r="AE844" s="394"/>
      <c r="AF844" s="394"/>
      <c r="AG844" s="394"/>
      <c r="AH844" s="394"/>
      <c r="AI844" s="394"/>
      <c r="AJ844" s="394"/>
      <c r="AK844" s="381"/>
      <c r="AL844" s="408"/>
      <c r="AM844" s="385"/>
      <c r="AN844" s="475"/>
      <c r="AO844" s="395"/>
      <c r="AP844" s="395" t="e">
        <f t="shared" si="843"/>
        <v>#DIV/0!</v>
      </c>
      <c r="AQ844" s="393"/>
      <c r="AR844" s="523"/>
      <c r="AS844" s="393"/>
      <c r="AT844" s="544"/>
      <c r="AU844" s="394"/>
      <c r="AV844" s="394"/>
      <c r="AW844" s="394"/>
      <c r="AX844" s="394"/>
      <c r="AY844" s="394"/>
      <c r="AZ844" s="394"/>
      <c r="BA844" s="394"/>
      <c r="BB844" s="394"/>
      <c r="BC844" s="394"/>
      <c r="BD844" s="381"/>
      <c r="BE844" s="408"/>
      <c r="BF844" s="385"/>
      <c r="BG844" s="475"/>
      <c r="BH844" s="395"/>
      <c r="BI844" s="395" t="e">
        <f t="shared" si="844"/>
        <v>#DIV/0!</v>
      </c>
    </row>
    <row r="845" spans="1:61" s="358" customFormat="1" ht="19.2" x14ac:dyDescent="0.3">
      <c r="A845" s="359" t="s">
        <v>386</v>
      </c>
      <c r="B845" s="537" t="s">
        <v>1346</v>
      </c>
      <c r="C845" s="546" t="s">
        <v>733</v>
      </c>
      <c r="D845" s="360">
        <v>0.22</v>
      </c>
      <c r="E845" s="393"/>
      <c r="F845" s="523">
        <v>1</v>
      </c>
      <c r="G845" s="393"/>
      <c r="H845" s="544">
        <v>7.0529999999999999</v>
      </c>
      <c r="I845" s="394">
        <v>5.7610299999999999</v>
      </c>
      <c r="J845" s="394">
        <v>5.2083300000000001</v>
      </c>
      <c r="K845" s="394"/>
      <c r="L845" s="394"/>
      <c r="M845" s="394">
        <v>0</v>
      </c>
      <c r="N845" s="394">
        <v>0</v>
      </c>
      <c r="O845" s="394">
        <v>0.30116999999999999</v>
      </c>
      <c r="P845" s="394">
        <v>5.2083300000000001</v>
      </c>
      <c r="Q845" s="394"/>
      <c r="R845" s="381" t="s">
        <v>167</v>
      </c>
      <c r="S845" s="408" t="s">
        <v>175</v>
      </c>
      <c r="T845" s="385"/>
      <c r="U845" s="475">
        <v>423</v>
      </c>
      <c r="V845" s="395"/>
      <c r="W845" s="395">
        <f t="shared" si="842"/>
        <v>7.0529999999999999</v>
      </c>
      <c r="X845" s="393"/>
      <c r="Y845" s="523"/>
      <c r="Z845" s="393"/>
      <c r="AA845" s="544"/>
      <c r="AB845" s="394"/>
      <c r="AC845" s="394"/>
      <c r="AD845" s="394"/>
      <c r="AE845" s="394"/>
      <c r="AF845" s="394"/>
      <c r="AG845" s="394"/>
      <c r="AH845" s="394"/>
      <c r="AI845" s="394"/>
      <c r="AJ845" s="394"/>
      <c r="AK845" s="381"/>
      <c r="AL845" s="408"/>
      <c r="AM845" s="385"/>
      <c r="AN845" s="475"/>
      <c r="AO845" s="395"/>
      <c r="AP845" s="395" t="e">
        <f t="shared" si="843"/>
        <v>#DIV/0!</v>
      </c>
      <c r="AQ845" s="393"/>
      <c r="AR845" s="523"/>
      <c r="AS845" s="393"/>
      <c r="AT845" s="544"/>
      <c r="AU845" s="394"/>
      <c r="AV845" s="394"/>
      <c r="AW845" s="394"/>
      <c r="AX845" s="394"/>
      <c r="AY845" s="394"/>
      <c r="AZ845" s="394"/>
      <c r="BA845" s="394"/>
      <c r="BB845" s="394"/>
      <c r="BC845" s="394"/>
      <c r="BD845" s="381"/>
      <c r="BE845" s="408"/>
      <c r="BF845" s="385"/>
      <c r="BG845" s="475"/>
      <c r="BH845" s="395"/>
      <c r="BI845" s="395" t="e">
        <f t="shared" si="844"/>
        <v>#DIV/0!</v>
      </c>
    </row>
    <row r="846" spans="1:61" s="358" customFormat="1" ht="19.2" x14ac:dyDescent="0.3">
      <c r="A846" s="359" t="s">
        <v>387</v>
      </c>
      <c r="B846" s="537" t="s">
        <v>586</v>
      </c>
      <c r="C846" s="546" t="s">
        <v>458</v>
      </c>
      <c r="D846" s="360">
        <v>0.22</v>
      </c>
      <c r="E846" s="393"/>
      <c r="F846" s="523">
        <v>1</v>
      </c>
      <c r="G846" s="393"/>
      <c r="H846" s="544">
        <v>5.6139999999999999</v>
      </c>
      <c r="I846" s="394">
        <v>5.2126599999999996</v>
      </c>
      <c r="J846" s="394">
        <v>5.2083300000000001</v>
      </c>
      <c r="K846" s="394"/>
      <c r="L846" s="394"/>
      <c r="M846" s="394">
        <v>0</v>
      </c>
      <c r="N846" s="394">
        <v>0</v>
      </c>
      <c r="O846" s="394">
        <v>9.3509999999999996E-2</v>
      </c>
      <c r="P846" s="394">
        <v>5.2083300000000001</v>
      </c>
      <c r="Q846" s="394"/>
      <c r="R846" s="381" t="s">
        <v>167</v>
      </c>
      <c r="S846" s="408" t="s">
        <v>175</v>
      </c>
      <c r="T846" s="385"/>
      <c r="U846" s="475">
        <v>424</v>
      </c>
      <c r="V846" s="395"/>
      <c r="W846" s="395">
        <f t="shared" si="842"/>
        <v>5.6139999999999999</v>
      </c>
      <c r="X846" s="393"/>
      <c r="Y846" s="523"/>
      <c r="Z846" s="393"/>
      <c r="AA846" s="544"/>
      <c r="AB846" s="394"/>
      <c r="AC846" s="394"/>
      <c r="AD846" s="394"/>
      <c r="AE846" s="394"/>
      <c r="AF846" s="394"/>
      <c r="AG846" s="394"/>
      <c r="AH846" s="394"/>
      <c r="AI846" s="394"/>
      <c r="AJ846" s="394"/>
      <c r="AK846" s="381"/>
      <c r="AL846" s="408"/>
      <c r="AM846" s="385"/>
      <c r="AN846" s="475"/>
      <c r="AO846" s="395"/>
      <c r="AP846" s="395" t="e">
        <f t="shared" si="843"/>
        <v>#DIV/0!</v>
      </c>
      <c r="AQ846" s="393"/>
      <c r="AR846" s="523"/>
      <c r="AS846" s="393"/>
      <c r="AT846" s="544"/>
      <c r="AU846" s="394"/>
      <c r="AV846" s="394"/>
      <c r="AW846" s="394"/>
      <c r="AX846" s="394"/>
      <c r="AY846" s="394"/>
      <c r="AZ846" s="394"/>
      <c r="BA846" s="394"/>
      <c r="BB846" s="394"/>
      <c r="BC846" s="394"/>
      <c r="BD846" s="381"/>
      <c r="BE846" s="408"/>
      <c r="BF846" s="385"/>
      <c r="BG846" s="475"/>
      <c r="BH846" s="395"/>
      <c r="BI846" s="395" t="e">
        <f t="shared" si="844"/>
        <v>#DIV/0!</v>
      </c>
    </row>
    <row r="847" spans="1:61" s="358" customFormat="1" ht="19.2" x14ac:dyDescent="0.3">
      <c r="A847" s="359" t="s">
        <v>388</v>
      </c>
      <c r="B847" s="537" t="s">
        <v>1347</v>
      </c>
      <c r="C847" s="546" t="s">
        <v>734</v>
      </c>
      <c r="D847" s="360">
        <v>0.22</v>
      </c>
      <c r="E847" s="393"/>
      <c r="F847" s="523">
        <v>1</v>
      </c>
      <c r="G847" s="393"/>
      <c r="H847" s="544">
        <v>5.6139999999999999</v>
      </c>
      <c r="I847" s="394">
        <v>5.2126599999999996</v>
      </c>
      <c r="J847" s="394">
        <v>5.2083300000000001</v>
      </c>
      <c r="K847" s="394"/>
      <c r="L847" s="394"/>
      <c r="M847" s="394">
        <v>0</v>
      </c>
      <c r="N847" s="394">
        <v>0</v>
      </c>
      <c r="O847" s="394">
        <v>9.3509999999999996E-2</v>
      </c>
      <c r="P847" s="394">
        <v>5.2083300000000001</v>
      </c>
      <c r="Q847" s="394"/>
      <c r="R847" s="381" t="s">
        <v>167</v>
      </c>
      <c r="S847" s="408" t="s">
        <v>175</v>
      </c>
      <c r="T847" s="385"/>
      <c r="U847" s="475">
        <v>425</v>
      </c>
      <c r="V847" s="395"/>
      <c r="W847" s="395">
        <f t="shared" si="842"/>
        <v>5.6139999999999999</v>
      </c>
      <c r="X847" s="393"/>
      <c r="Y847" s="523"/>
      <c r="Z847" s="393"/>
      <c r="AA847" s="544"/>
      <c r="AB847" s="394"/>
      <c r="AC847" s="394"/>
      <c r="AD847" s="394"/>
      <c r="AE847" s="394"/>
      <c r="AF847" s="394"/>
      <c r="AG847" s="394"/>
      <c r="AH847" s="394"/>
      <c r="AI847" s="394"/>
      <c r="AJ847" s="394"/>
      <c r="AK847" s="381"/>
      <c r="AL847" s="408"/>
      <c r="AM847" s="385"/>
      <c r="AN847" s="475"/>
      <c r="AO847" s="395"/>
      <c r="AP847" s="395" t="e">
        <f t="shared" si="843"/>
        <v>#DIV/0!</v>
      </c>
      <c r="AQ847" s="393"/>
      <c r="AR847" s="523"/>
      <c r="AS847" s="393"/>
      <c r="AT847" s="544"/>
      <c r="AU847" s="394"/>
      <c r="AV847" s="394"/>
      <c r="AW847" s="394"/>
      <c r="AX847" s="394"/>
      <c r="AY847" s="394"/>
      <c r="AZ847" s="394"/>
      <c r="BA847" s="394"/>
      <c r="BB847" s="394"/>
      <c r="BC847" s="394"/>
      <c r="BD847" s="381"/>
      <c r="BE847" s="408"/>
      <c r="BF847" s="385"/>
      <c r="BG847" s="475"/>
      <c r="BH847" s="395"/>
      <c r="BI847" s="395" t="e">
        <f t="shared" si="844"/>
        <v>#DIV/0!</v>
      </c>
    </row>
    <row r="848" spans="1:61" s="358" customFormat="1" ht="19.2" x14ac:dyDescent="0.3">
      <c r="A848" s="359" t="s">
        <v>405</v>
      </c>
      <c r="B848" s="537" t="s">
        <v>1348</v>
      </c>
      <c r="C848" s="546" t="s">
        <v>735</v>
      </c>
      <c r="D848" s="360">
        <v>0.22</v>
      </c>
      <c r="E848" s="393"/>
      <c r="F848" s="523">
        <v>1</v>
      </c>
      <c r="G848" s="393"/>
      <c r="H848" s="544">
        <v>7.0529999999999999</v>
      </c>
      <c r="I848" s="394">
        <v>5.7610299999999999</v>
      </c>
      <c r="J848" s="394">
        <v>5.2083300000000001</v>
      </c>
      <c r="K848" s="394"/>
      <c r="L848" s="394"/>
      <c r="M848" s="394">
        <v>0</v>
      </c>
      <c r="N848" s="394">
        <v>0</v>
      </c>
      <c r="O848" s="394">
        <v>0.30116999999999999</v>
      </c>
      <c r="P848" s="394">
        <v>5.2083300000000001</v>
      </c>
      <c r="Q848" s="394"/>
      <c r="R848" s="381" t="s">
        <v>167</v>
      </c>
      <c r="S848" s="408" t="s">
        <v>175</v>
      </c>
      <c r="T848" s="385"/>
      <c r="U848" s="475">
        <v>426</v>
      </c>
      <c r="V848" s="395"/>
      <c r="W848" s="395">
        <f t="shared" si="842"/>
        <v>7.0529999999999999</v>
      </c>
      <c r="X848" s="393"/>
      <c r="Y848" s="523"/>
      <c r="Z848" s="393"/>
      <c r="AA848" s="544"/>
      <c r="AB848" s="394"/>
      <c r="AC848" s="394"/>
      <c r="AD848" s="394"/>
      <c r="AE848" s="394"/>
      <c r="AF848" s="394"/>
      <c r="AG848" s="394"/>
      <c r="AH848" s="394"/>
      <c r="AI848" s="394"/>
      <c r="AJ848" s="394"/>
      <c r="AK848" s="381"/>
      <c r="AL848" s="408"/>
      <c r="AM848" s="385"/>
      <c r="AN848" s="475"/>
      <c r="AO848" s="395"/>
      <c r="AP848" s="395" t="e">
        <f t="shared" si="843"/>
        <v>#DIV/0!</v>
      </c>
      <c r="AQ848" s="393"/>
      <c r="AR848" s="523"/>
      <c r="AS848" s="393"/>
      <c r="AT848" s="544"/>
      <c r="AU848" s="394"/>
      <c r="AV848" s="394"/>
      <c r="AW848" s="394"/>
      <c r="AX848" s="394"/>
      <c r="AY848" s="394"/>
      <c r="AZ848" s="394"/>
      <c r="BA848" s="394"/>
      <c r="BB848" s="394"/>
      <c r="BC848" s="394"/>
      <c r="BD848" s="381"/>
      <c r="BE848" s="408"/>
      <c r="BF848" s="385"/>
      <c r="BG848" s="475"/>
      <c r="BH848" s="395"/>
      <c r="BI848" s="395" t="e">
        <f t="shared" si="844"/>
        <v>#DIV/0!</v>
      </c>
    </row>
    <row r="849" spans="1:61" s="358" customFormat="1" ht="19.2" x14ac:dyDescent="0.3">
      <c r="A849" s="359" t="s">
        <v>390</v>
      </c>
      <c r="B849" s="537" t="s">
        <v>1349</v>
      </c>
      <c r="C849" s="546" t="s">
        <v>736</v>
      </c>
      <c r="D849" s="360">
        <v>0.22</v>
      </c>
      <c r="E849" s="393"/>
      <c r="F849" s="523">
        <v>1</v>
      </c>
      <c r="G849" s="393"/>
      <c r="H849" s="544">
        <v>7.0659999999999998</v>
      </c>
      <c r="I849" s="394">
        <v>5.7736900000000002</v>
      </c>
      <c r="J849" s="394">
        <v>5.2083300000000001</v>
      </c>
      <c r="K849" s="394"/>
      <c r="L849" s="394"/>
      <c r="M849" s="394">
        <v>0</v>
      </c>
      <c r="N849" s="394">
        <v>0</v>
      </c>
      <c r="O849" s="394">
        <v>0.30116999999999999</v>
      </c>
      <c r="P849" s="394">
        <v>5.2083300000000001</v>
      </c>
      <c r="Q849" s="394"/>
      <c r="R849" s="381" t="s">
        <v>167</v>
      </c>
      <c r="S849" s="408" t="s">
        <v>175</v>
      </c>
      <c r="T849" s="385"/>
      <c r="U849" s="475">
        <v>427</v>
      </c>
      <c r="V849" s="395"/>
      <c r="W849" s="395">
        <f t="shared" si="842"/>
        <v>7.0659999999999998</v>
      </c>
      <c r="X849" s="393"/>
      <c r="Y849" s="523"/>
      <c r="Z849" s="393"/>
      <c r="AA849" s="544"/>
      <c r="AB849" s="394"/>
      <c r="AC849" s="394"/>
      <c r="AD849" s="394"/>
      <c r="AE849" s="394"/>
      <c r="AF849" s="394"/>
      <c r="AG849" s="394"/>
      <c r="AH849" s="394"/>
      <c r="AI849" s="394"/>
      <c r="AJ849" s="394"/>
      <c r="AK849" s="381"/>
      <c r="AL849" s="408"/>
      <c r="AM849" s="385"/>
      <c r="AN849" s="475"/>
      <c r="AO849" s="395"/>
      <c r="AP849" s="395" t="e">
        <f t="shared" si="843"/>
        <v>#DIV/0!</v>
      </c>
      <c r="AQ849" s="393"/>
      <c r="AR849" s="523"/>
      <c r="AS849" s="393"/>
      <c r="AT849" s="544"/>
      <c r="AU849" s="394"/>
      <c r="AV849" s="394"/>
      <c r="AW849" s="394"/>
      <c r="AX849" s="394"/>
      <c r="AY849" s="394"/>
      <c r="AZ849" s="394"/>
      <c r="BA849" s="394"/>
      <c r="BB849" s="394"/>
      <c r="BC849" s="394"/>
      <c r="BD849" s="381"/>
      <c r="BE849" s="408"/>
      <c r="BF849" s="385"/>
      <c r="BG849" s="475"/>
      <c r="BH849" s="395"/>
      <c r="BI849" s="395" t="e">
        <f t="shared" si="844"/>
        <v>#DIV/0!</v>
      </c>
    </row>
    <row r="850" spans="1:61" s="358" customFormat="1" ht="19.2" x14ac:dyDescent="0.3">
      <c r="A850" s="359" t="s">
        <v>391</v>
      </c>
      <c r="B850" s="537" t="s">
        <v>1350</v>
      </c>
      <c r="C850" s="546" t="s">
        <v>737</v>
      </c>
      <c r="D850" s="360">
        <v>0.22</v>
      </c>
      <c r="E850" s="393"/>
      <c r="F850" s="523">
        <v>1</v>
      </c>
      <c r="G850" s="393"/>
      <c r="H850" s="544">
        <v>7.0529999999999999</v>
      </c>
      <c r="I850" s="394">
        <v>5.7610299999999999</v>
      </c>
      <c r="J850" s="394">
        <v>5.2083300000000001</v>
      </c>
      <c r="K850" s="394"/>
      <c r="L850" s="394"/>
      <c r="M850" s="394">
        <v>0</v>
      </c>
      <c r="N850" s="394">
        <v>0</v>
      </c>
      <c r="O850" s="394">
        <v>0.30116999999999999</v>
      </c>
      <c r="P850" s="394">
        <v>5.2083300000000001</v>
      </c>
      <c r="Q850" s="394"/>
      <c r="R850" s="381" t="s">
        <v>167</v>
      </c>
      <c r="S850" s="408" t="s">
        <v>175</v>
      </c>
      <c r="T850" s="385"/>
      <c r="U850" s="475">
        <v>428</v>
      </c>
      <c r="V850" s="395"/>
      <c r="W850" s="395">
        <f t="shared" si="842"/>
        <v>7.0529999999999999</v>
      </c>
      <c r="X850" s="393"/>
      <c r="Y850" s="523"/>
      <c r="Z850" s="393"/>
      <c r="AA850" s="544"/>
      <c r="AB850" s="394"/>
      <c r="AC850" s="394"/>
      <c r="AD850" s="394"/>
      <c r="AE850" s="394"/>
      <c r="AF850" s="394"/>
      <c r="AG850" s="394"/>
      <c r="AH850" s="394"/>
      <c r="AI850" s="394"/>
      <c r="AJ850" s="394"/>
      <c r="AK850" s="381"/>
      <c r="AL850" s="408"/>
      <c r="AM850" s="385"/>
      <c r="AN850" s="475"/>
      <c r="AO850" s="395"/>
      <c r="AP850" s="395" t="e">
        <f t="shared" si="843"/>
        <v>#DIV/0!</v>
      </c>
      <c r="AQ850" s="393"/>
      <c r="AR850" s="523"/>
      <c r="AS850" s="393"/>
      <c r="AT850" s="544"/>
      <c r="AU850" s="394"/>
      <c r="AV850" s="394"/>
      <c r="AW850" s="394"/>
      <c r="AX850" s="394"/>
      <c r="AY850" s="394"/>
      <c r="AZ850" s="394"/>
      <c r="BA850" s="394"/>
      <c r="BB850" s="394"/>
      <c r="BC850" s="394"/>
      <c r="BD850" s="381"/>
      <c r="BE850" s="408"/>
      <c r="BF850" s="385"/>
      <c r="BG850" s="475"/>
      <c r="BH850" s="395"/>
      <c r="BI850" s="395" t="e">
        <f t="shared" si="844"/>
        <v>#DIV/0!</v>
      </c>
    </row>
    <row r="851" spans="1:61" s="358" customFormat="1" ht="19.2" x14ac:dyDescent="0.3">
      <c r="A851" s="359" t="s">
        <v>376</v>
      </c>
      <c r="B851" s="537" t="s">
        <v>1351</v>
      </c>
      <c r="C851" s="546" t="s">
        <v>738</v>
      </c>
      <c r="D851" s="360">
        <v>0.22</v>
      </c>
      <c r="E851" s="393"/>
      <c r="F851" s="523">
        <v>1</v>
      </c>
      <c r="G851" s="393"/>
      <c r="H851" s="544">
        <v>7.0659999999999998</v>
      </c>
      <c r="I851" s="394">
        <v>5.7736900000000002</v>
      </c>
      <c r="J851" s="394">
        <v>5.2083300000000001</v>
      </c>
      <c r="K851" s="394"/>
      <c r="L851" s="394"/>
      <c r="M851" s="394">
        <v>0</v>
      </c>
      <c r="N851" s="394">
        <v>0</v>
      </c>
      <c r="O851" s="394">
        <v>0.30116999999999999</v>
      </c>
      <c r="P851" s="394">
        <v>5.2083300000000001</v>
      </c>
      <c r="Q851" s="394"/>
      <c r="R851" s="381" t="s">
        <v>167</v>
      </c>
      <c r="S851" s="408" t="s">
        <v>175</v>
      </c>
      <c r="T851" s="385"/>
      <c r="U851" s="475">
        <v>429</v>
      </c>
      <c r="V851" s="395"/>
      <c r="W851" s="395">
        <f t="shared" si="842"/>
        <v>7.0659999999999998</v>
      </c>
      <c r="X851" s="393"/>
      <c r="Y851" s="523"/>
      <c r="Z851" s="393"/>
      <c r="AA851" s="544"/>
      <c r="AB851" s="394"/>
      <c r="AC851" s="394"/>
      <c r="AD851" s="394"/>
      <c r="AE851" s="394"/>
      <c r="AF851" s="394"/>
      <c r="AG851" s="394"/>
      <c r="AH851" s="394"/>
      <c r="AI851" s="394"/>
      <c r="AJ851" s="394"/>
      <c r="AK851" s="381"/>
      <c r="AL851" s="408"/>
      <c r="AM851" s="385"/>
      <c r="AN851" s="475"/>
      <c r="AO851" s="395"/>
      <c r="AP851" s="395" t="e">
        <f t="shared" si="843"/>
        <v>#DIV/0!</v>
      </c>
      <c r="AQ851" s="393"/>
      <c r="AR851" s="523"/>
      <c r="AS851" s="393"/>
      <c r="AT851" s="544"/>
      <c r="AU851" s="394"/>
      <c r="AV851" s="394"/>
      <c r="AW851" s="394"/>
      <c r="AX851" s="394"/>
      <c r="AY851" s="394"/>
      <c r="AZ851" s="394"/>
      <c r="BA851" s="394"/>
      <c r="BB851" s="394"/>
      <c r="BC851" s="394"/>
      <c r="BD851" s="381"/>
      <c r="BE851" s="408"/>
      <c r="BF851" s="385"/>
      <c r="BG851" s="475"/>
      <c r="BH851" s="395"/>
      <c r="BI851" s="395" t="e">
        <f t="shared" si="844"/>
        <v>#DIV/0!</v>
      </c>
    </row>
    <row r="852" spans="1:61" s="358" customFormat="1" ht="19.2" x14ac:dyDescent="0.3">
      <c r="A852" s="359" t="s">
        <v>1858</v>
      </c>
      <c r="B852" s="537" t="s">
        <v>1352</v>
      </c>
      <c r="C852" s="546" t="s">
        <v>739</v>
      </c>
      <c r="D852" s="360">
        <v>0.22</v>
      </c>
      <c r="E852" s="393"/>
      <c r="F852" s="523">
        <v>1</v>
      </c>
      <c r="G852" s="393"/>
      <c r="H852" s="544">
        <v>7.0529999999999999</v>
      </c>
      <c r="I852" s="394">
        <v>5.7610299999999999</v>
      </c>
      <c r="J852" s="394">
        <v>5.2083300000000001</v>
      </c>
      <c r="K852" s="394"/>
      <c r="L852" s="394"/>
      <c r="M852" s="394">
        <v>0</v>
      </c>
      <c r="N852" s="394">
        <v>0</v>
      </c>
      <c r="O852" s="394">
        <v>0.30116999999999999</v>
      </c>
      <c r="P852" s="394">
        <v>5.2083300000000001</v>
      </c>
      <c r="Q852" s="394"/>
      <c r="R852" s="381" t="s">
        <v>167</v>
      </c>
      <c r="S852" s="408" t="s">
        <v>175</v>
      </c>
      <c r="T852" s="385"/>
      <c r="U852" s="475">
        <v>430</v>
      </c>
      <c r="V852" s="395"/>
      <c r="W852" s="395">
        <f t="shared" si="842"/>
        <v>7.0529999999999999</v>
      </c>
      <c r="X852" s="393"/>
      <c r="Y852" s="523"/>
      <c r="Z852" s="393"/>
      <c r="AA852" s="544"/>
      <c r="AB852" s="394"/>
      <c r="AC852" s="394"/>
      <c r="AD852" s="394"/>
      <c r="AE852" s="394"/>
      <c r="AF852" s="394"/>
      <c r="AG852" s="394"/>
      <c r="AH852" s="394"/>
      <c r="AI852" s="394"/>
      <c r="AJ852" s="394"/>
      <c r="AK852" s="381"/>
      <c r="AL852" s="408"/>
      <c r="AM852" s="385"/>
      <c r="AN852" s="475"/>
      <c r="AO852" s="395"/>
      <c r="AP852" s="395" t="e">
        <f t="shared" si="843"/>
        <v>#DIV/0!</v>
      </c>
      <c r="AQ852" s="393"/>
      <c r="AR852" s="523"/>
      <c r="AS852" s="393"/>
      <c r="AT852" s="544"/>
      <c r="AU852" s="394"/>
      <c r="AV852" s="394"/>
      <c r="AW852" s="394"/>
      <c r="AX852" s="394"/>
      <c r="AY852" s="394"/>
      <c r="AZ852" s="394"/>
      <c r="BA852" s="394"/>
      <c r="BB852" s="394"/>
      <c r="BC852" s="394"/>
      <c r="BD852" s="381"/>
      <c r="BE852" s="408"/>
      <c r="BF852" s="385"/>
      <c r="BG852" s="475"/>
      <c r="BH852" s="395"/>
      <c r="BI852" s="395" t="e">
        <f t="shared" si="844"/>
        <v>#DIV/0!</v>
      </c>
    </row>
    <row r="853" spans="1:61" s="358" customFormat="1" ht="19.2" x14ac:dyDescent="0.3">
      <c r="A853" s="359" t="s">
        <v>394</v>
      </c>
      <c r="B853" s="537" t="s">
        <v>1353</v>
      </c>
      <c r="C853" s="546" t="s">
        <v>740</v>
      </c>
      <c r="D853" s="360">
        <v>0.22</v>
      </c>
      <c r="E853" s="393"/>
      <c r="F853" s="523">
        <v>1</v>
      </c>
      <c r="G853" s="393"/>
      <c r="H853" s="544">
        <v>7.0529999999999999</v>
      </c>
      <c r="I853" s="394">
        <v>5.7610299999999999</v>
      </c>
      <c r="J853" s="394">
        <v>5.2083300000000001</v>
      </c>
      <c r="K853" s="394"/>
      <c r="L853" s="394"/>
      <c r="M853" s="394">
        <v>0</v>
      </c>
      <c r="N853" s="394">
        <v>0</v>
      </c>
      <c r="O853" s="394">
        <v>0.30116999999999999</v>
      </c>
      <c r="P853" s="394">
        <v>5.2083300000000001</v>
      </c>
      <c r="Q853" s="394"/>
      <c r="R853" s="381" t="s">
        <v>167</v>
      </c>
      <c r="S853" s="408" t="s">
        <v>175</v>
      </c>
      <c r="T853" s="385"/>
      <c r="U853" s="475">
        <v>431</v>
      </c>
      <c r="V853" s="395"/>
      <c r="W853" s="395">
        <f t="shared" si="842"/>
        <v>7.0529999999999999</v>
      </c>
      <c r="X853" s="393"/>
      <c r="Y853" s="523"/>
      <c r="Z853" s="393"/>
      <c r="AA853" s="544"/>
      <c r="AB853" s="394"/>
      <c r="AC853" s="394"/>
      <c r="AD853" s="394"/>
      <c r="AE853" s="394"/>
      <c r="AF853" s="394"/>
      <c r="AG853" s="394"/>
      <c r="AH853" s="394"/>
      <c r="AI853" s="394"/>
      <c r="AJ853" s="394"/>
      <c r="AK853" s="381"/>
      <c r="AL853" s="408"/>
      <c r="AM853" s="385"/>
      <c r="AN853" s="475"/>
      <c r="AO853" s="395"/>
      <c r="AP853" s="395" t="e">
        <f t="shared" si="843"/>
        <v>#DIV/0!</v>
      </c>
      <c r="AQ853" s="393"/>
      <c r="AR853" s="523"/>
      <c r="AS853" s="393"/>
      <c r="AT853" s="544"/>
      <c r="AU853" s="394"/>
      <c r="AV853" s="394"/>
      <c r="AW853" s="394"/>
      <c r="AX853" s="394"/>
      <c r="AY853" s="394"/>
      <c r="AZ853" s="394"/>
      <c r="BA853" s="394"/>
      <c r="BB853" s="394"/>
      <c r="BC853" s="394"/>
      <c r="BD853" s="381"/>
      <c r="BE853" s="408"/>
      <c r="BF853" s="385"/>
      <c r="BG853" s="475"/>
      <c r="BH853" s="395"/>
      <c r="BI853" s="395" t="e">
        <f t="shared" si="844"/>
        <v>#DIV/0!</v>
      </c>
    </row>
    <row r="854" spans="1:61" s="358" customFormat="1" ht="19.2" x14ac:dyDescent="0.3">
      <c r="A854" s="359" t="s">
        <v>395</v>
      </c>
      <c r="B854" s="537" t="s">
        <v>1354</v>
      </c>
      <c r="C854" s="546" t="s">
        <v>741</v>
      </c>
      <c r="D854" s="360">
        <v>0.22</v>
      </c>
      <c r="E854" s="393"/>
      <c r="F854" s="523">
        <v>1</v>
      </c>
      <c r="G854" s="393"/>
      <c r="H854" s="544">
        <v>7.0659999999999998</v>
      </c>
      <c r="I854" s="394">
        <v>5.7736900000000002</v>
      </c>
      <c r="J854" s="394">
        <v>5.2083300000000001</v>
      </c>
      <c r="K854" s="394"/>
      <c r="L854" s="394"/>
      <c r="M854" s="394">
        <v>0</v>
      </c>
      <c r="N854" s="394">
        <v>0</v>
      </c>
      <c r="O854" s="394">
        <v>0.30116999999999999</v>
      </c>
      <c r="P854" s="394">
        <v>5.2083300000000001</v>
      </c>
      <c r="Q854" s="394"/>
      <c r="R854" s="381" t="s">
        <v>167</v>
      </c>
      <c r="S854" s="408" t="s">
        <v>175</v>
      </c>
      <c r="T854" s="385"/>
      <c r="U854" s="475">
        <v>432</v>
      </c>
      <c r="V854" s="395"/>
      <c r="W854" s="395">
        <f t="shared" si="842"/>
        <v>7.0659999999999998</v>
      </c>
      <c r="X854" s="393"/>
      <c r="Y854" s="523"/>
      <c r="Z854" s="393"/>
      <c r="AA854" s="544"/>
      <c r="AB854" s="394"/>
      <c r="AC854" s="394"/>
      <c r="AD854" s="394"/>
      <c r="AE854" s="394"/>
      <c r="AF854" s="394"/>
      <c r="AG854" s="394"/>
      <c r="AH854" s="394"/>
      <c r="AI854" s="394"/>
      <c r="AJ854" s="394"/>
      <c r="AK854" s="381"/>
      <c r="AL854" s="408"/>
      <c r="AM854" s="385"/>
      <c r="AN854" s="475"/>
      <c r="AO854" s="395"/>
      <c r="AP854" s="395" t="e">
        <f t="shared" si="843"/>
        <v>#DIV/0!</v>
      </c>
      <c r="AQ854" s="393"/>
      <c r="AR854" s="523"/>
      <c r="AS854" s="393"/>
      <c r="AT854" s="544"/>
      <c r="AU854" s="394"/>
      <c r="AV854" s="394"/>
      <c r="AW854" s="394"/>
      <c r="AX854" s="394"/>
      <c r="AY854" s="394"/>
      <c r="AZ854" s="394"/>
      <c r="BA854" s="394"/>
      <c r="BB854" s="394"/>
      <c r="BC854" s="394"/>
      <c r="BD854" s="381"/>
      <c r="BE854" s="408"/>
      <c r="BF854" s="385"/>
      <c r="BG854" s="475"/>
      <c r="BH854" s="395"/>
      <c r="BI854" s="395" t="e">
        <f t="shared" si="844"/>
        <v>#DIV/0!</v>
      </c>
    </row>
    <row r="855" spans="1:61" s="358" customFormat="1" ht="19.2" x14ac:dyDescent="0.3">
      <c r="A855" s="359" t="s">
        <v>396</v>
      </c>
      <c r="B855" s="537" t="s">
        <v>1355</v>
      </c>
      <c r="C855" s="546" t="s">
        <v>742</v>
      </c>
      <c r="D855" s="360">
        <v>0.22</v>
      </c>
      <c r="E855" s="393"/>
      <c r="F855" s="523">
        <v>1</v>
      </c>
      <c r="G855" s="393"/>
      <c r="H855" s="544">
        <v>7.0659999999999998</v>
      </c>
      <c r="I855" s="394">
        <v>5.7736900000000002</v>
      </c>
      <c r="J855" s="394">
        <v>5.2083300000000001</v>
      </c>
      <c r="K855" s="394"/>
      <c r="L855" s="394"/>
      <c r="M855" s="394">
        <v>0</v>
      </c>
      <c r="N855" s="394">
        <v>0</v>
      </c>
      <c r="O855" s="394">
        <v>0.30116999999999999</v>
      </c>
      <c r="P855" s="394">
        <v>5.2083300000000001</v>
      </c>
      <c r="Q855" s="394"/>
      <c r="R855" s="381" t="s">
        <v>167</v>
      </c>
      <c r="S855" s="408" t="s">
        <v>175</v>
      </c>
      <c r="T855" s="385"/>
      <c r="U855" s="475">
        <v>433</v>
      </c>
      <c r="V855" s="395"/>
      <c r="W855" s="395">
        <f t="shared" si="842"/>
        <v>7.0659999999999998</v>
      </c>
      <c r="X855" s="393"/>
      <c r="Y855" s="523"/>
      <c r="Z855" s="393"/>
      <c r="AA855" s="544"/>
      <c r="AB855" s="394"/>
      <c r="AC855" s="394"/>
      <c r="AD855" s="394"/>
      <c r="AE855" s="394"/>
      <c r="AF855" s="394"/>
      <c r="AG855" s="394"/>
      <c r="AH855" s="394"/>
      <c r="AI855" s="394"/>
      <c r="AJ855" s="394"/>
      <c r="AK855" s="381"/>
      <c r="AL855" s="408"/>
      <c r="AM855" s="385"/>
      <c r="AN855" s="475"/>
      <c r="AO855" s="395"/>
      <c r="AP855" s="395" t="e">
        <f t="shared" si="843"/>
        <v>#DIV/0!</v>
      </c>
      <c r="AQ855" s="393"/>
      <c r="AR855" s="523"/>
      <c r="AS855" s="393"/>
      <c r="AT855" s="544"/>
      <c r="AU855" s="394"/>
      <c r="AV855" s="394"/>
      <c r="AW855" s="394"/>
      <c r="AX855" s="394"/>
      <c r="AY855" s="394"/>
      <c r="AZ855" s="394"/>
      <c r="BA855" s="394"/>
      <c r="BB855" s="394"/>
      <c r="BC855" s="394"/>
      <c r="BD855" s="381"/>
      <c r="BE855" s="408"/>
      <c r="BF855" s="385"/>
      <c r="BG855" s="475"/>
      <c r="BH855" s="395"/>
      <c r="BI855" s="395" t="e">
        <f t="shared" si="844"/>
        <v>#DIV/0!</v>
      </c>
    </row>
    <row r="856" spans="1:61" s="358" customFormat="1" ht="19.2" x14ac:dyDescent="0.3">
      <c r="A856" s="359" t="s">
        <v>397</v>
      </c>
      <c r="B856" s="537" t="s">
        <v>1356</v>
      </c>
      <c r="C856" s="546" t="s">
        <v>743</v>
      </c>
      <c r="D856" s="360">
        <v>0.22</v>
      </c>
      <c r="E856" s="393"/>
      <c r="F856" s="523">
        <v>1</v>
      </c>
      <c r="G856" s="393"/>
      <c r="H856" s="544">
        <v>7.0659999999999998</v>
      </c>
      <c r="I856" s="394">
        <v>5.7736900000000002</v>
      </c>
      <c r="J856" s="394">
        <v>5.2083300000000001</v>
      </c>
      <c r="K856" s="394"/>
      <c r="L856" s="394"/>
      <c r="M856" s="394">
        <v>0</v>
      </c>
      <c r="N856" s="394">
        <v>0</v>
      </c>
      <c r="O856" s="394">
        <v>0.30116999999999999</v>
      </c>
      <c r="P856" s="394">
        <v>5.2083300000000001</v>
      </c>
      <c r="Q856" s="394"/>
      <c r="R856" s="381" t="s">
        <v>167</v>
      </c>
      <c r="S856" s="408" t="s">
        <v>175</v>
      </c>
      <c r="T856" s="385"/>
      <c r="U856" s="475">
        <v>434</v>
      </c>
      <c r="V856" s="395"/>
      <c r="W856" s="395">
        <f t="shared" si="842"/>
        <v>7.0659999999999998</v>
      </c>
      <c r="X856" s="393"/>
      <c r="Y856" s="523"/>
      <c r="Z856" s="393"/>
      <c r="AA856" s="544"/>
      <c r="AB856" s="394"/>
      <c r="AC856" s="394"/>
      <c r="AD856" s="394"/>
      <c r="AE856" s="394"/>
      <c r="AF856" s="394"/>
      <c r="AG856" s="394"/>
      <c r="AH856" s="394"/>
      <c r="AI856" s="394"/>
      <c r="AJ856" s="394"/>
      <c r="AK856" s="381"/>
      <c r="AL856" s="408"/>
      <c r="AM856" s="385"/>
      <c r="AN856" s="475"/>
      <c r="AO856" s="395"/>
      <c r="AP856" s="395" t="e">
        <f t="shared" si="843"/>
        <v>#DIV/0!</v>
      </c>
      <c r="AQ856" s="393"/>
      <c r="AR856" s="523"/>
      <c r="AS856" s="393"/>
      <c r="AT856" s="544"/>
      <c r="AU856" s="394"/>
      <c r="AV856" s="394"/>
      <c r="AW856" s="394"/>
      <c r="AX856" s="394"/>
      <c r="AY856" s="394"/>
      <c r="AZ856" s="394"/>
      <c r="BA856" s="394"/>
      <c r="BB856" s="394"/>
      <c r="BC856" s="394"/>
      <c r="BD856" s="381"/>
      <c r="BE856" s="408"/>
      <c r="BF856" s="385"/>
      <c r="BG856" s="475"/>
      <c r="BH856" s="395"/>
      <c r="BI856" s="395" t="e">
        <f t="shared" si="844"/>
        <v>#DIV/0!</v>
      </c>
    </row>
    <row r="857" spans="1:61" s="358" customFormat="1" ht="19.2" x14ac:dyDescent="0.3">
      <c r="A857" s="359" t="s">
        <v>398</v>
      </c>
      <c r="B857" s="537" t="s">
        <v>1357</v>
      </c>
      <c r="C857" s="546" t="s">
        <v>744</v>
      </c>
      <c r="D857" s="360">
        <v>0.22</v>
      </c>
      <c r="E857" s="393"/>
      <c r="F857" s="523">
        <v>1</v>
      </c>
      <c r="G857" s="393"/>
      <c r="H857" s="544">
        <v>7.0529999999999999</v>
      </c>
      <c r="I857" s="394">
        <v>5.7610299999999999</v>
      </c>
      <c r="J857" s="394">
        <v>5.2083300000000001</v>
      </c>
      <c r="K857" s="394"/>
      <c r="L857" s="394"/>
      <c r="M857" s="394">
        <v>0</v>
      </c>
      <c r="N857" s="394">
        <v>0</v>
      </c>
      <c r="O857" s="394">
        <v>0.30116999999999999</v>
      </c>
      <c r="P857" s="394">
        <v>5.2083300000000001</v>
      </c>
      <c r="Q857" s="394"/>
      <c r="R857" s="381" t="s">
        <v>167</v>
      </c>
      <c r="S857" s="408" t="s">
        <v>175</v>
      </c>
      <c r="T857" s="385"/>
      <c r="U857" s="475">
        <v>435</v>
      </c>
      <c r="V857" s="395"/>
      <c r="W857" s="395">
        <f t="shared" si="842"/>
        <v>7.0529999999999999</v>
      </c>
      <c r="X857" s="393"/>
      <c r="Y857" s="523"/>
      <c r="Z857" s="393"/>
      <c r="AA857" s="544"/>
      <c r="AB857" s="394"/>
      <c r="AC857" s="394"/>
      <c r="AD857" s="394"/>
      <c r="AE857" s="394"/>
      <c r="AF857" s="394"/>
      <c r="AG857" s="394"/>
      <c r="AH857" s="394"/>
      <c r="AI857" s="394"/>
      <c r="AJ857" s="394"/>
      <c r="AK857" s="381"/>
      <c r="AL857" s="408"/>
      <c r="AM857" s="385"/>
      <c r="AN857" s="475"/>
      <c r="AO857" s="395"/>
      <c r="AP857" s="395" t="e">
        <f t="shared" si="843"/>
        <v>#DIV/0!</v>
      </c>
      <c r="AQ857" s="393"/>
      <c r="AR857" s="523"/>
      <c r="AS857" s="393"/>
      <c r="AT857" s="544"/>
      <c r="AU857" s="394"/>
      <c r="AV857" s="394"/>
      <c r="AW857" s="394"/>
      <c r="AX857" s="394"/>
      <c r="AY857" s="394"/>
      <c r="AZ857" s="394"/>
      <c r="BA857" s="394"/>
      <c r="BB857" s="394"/>
      <c r="BC857" s="394"/>
      <c r="BD857" s="381"/>
      <c r="BE857" s="408"/>
      <c r="BF857" s="385"/>
      <c r="BG857" s="475"/>
      <c r="BH857" s="395"/>
      <c r="BI857" s="395" t="e">
        <f t="shared" si="844"/>
        <v>#DIV/0!</v>
      </c>
    </row>
    <row r="858" spans="1:61" s="358" customFormat="1" ht="19.2" x14ac:dyDescent="0.3">
      <c r="A858" s="359" t="s">
        <v>399</v>
      </c>
      <c r="B858" s="537" t="s">
        <v>1358</v>
      </c>
      <c r="C858" s="546" t="s">
        <v>745</v>
      </c>
      <c r="D858" s="360">
        <v>0.22</v>
      </c>
      <c r="E858" s="393"/>
      <c r="F858" s="523">
        <v>1</v>
      </c>
      <c r="G858" s="393"/>
      <c r="H858" s="544">
        <v>7.0659999999999998</v>
      </c>
      <c r="I858" s="394">
        <v>5.7736900000000002</v>
      </c>
      <c r="J858" s="394">
        <v>5.2083300000000001</v>
      </c>
      <c r="K858" s="394"/>
      <c r="L858" s="394"/>
      <c r="M858" s="394">
        <v>0</v>
      </c>
      <c r="N858" s="394">
        <v>0</v>
      </c>
      <c r="O858" s="394">
        <v>0.30116999999999999</v>
      </c>
      <c r="P858" s="394">
        <v>5.2083300000000001</v>
      </c>
      <c r="Q858" s="394"/>
      <c r="R858" s="381" t="s">
        <v>167</v>
      </c>
      <c r="S858" s="408" t="s">
        <v>175</v>
      </c>
      <c r="T858" s="385"/>
      <c r="U858" s="475">
        <v>436</v>
      </c>
      <c r="V858" s="395"/>
      <c r="W858" s="395">
        <f t="shared" si="842"/>
        <v>7.0659999999999998</v>
      </c>
      <c r="X858" s="393"/>
      <c r="Y858" s="523"/>
      <c r="Z858" s="393"/>
      <c r="AA858" s="544"/>
      <c r="AB858" s="394"/>
      <c r="AC858" s="394"/>
      <c r="AD858" s="394"/>
      <c r="AE858" s="394"/>
      <c r="AF858" s="394"/>
      <c r="AG858" s="394"/>
      <c r="AH858" s="394"/>
      <c r="AI858" s="394"/>
      <c r="AJ858" s="394"/>
      <c r="AK858" s="381"/>
      <c r="AL858" s="408"/>
      <c r="AM858" s="385"/>
      <c r="AN858" s="475"/>
      <c r="AO858" s="395"/>
      <c r="AP858" s="395" t="e">
        <f t="shared" si="843"/>
        <v>#DIV/0!</v>
      </c>
      <c r="AQ858" s="393"/>
      <c r="AR858" s="523"/>
      <c r="AS858" s="393"/>
      <c r="AT858" s="544"/>
      <c r="AU858" s="394"/>
      <c r="AV858" s="394"/>
      <c r="AW858" s="394"/>
      <c r="AX858" s="394"/>
      <c r="AY858" s="394"/>
      <c r="AZ858" s="394"/>
      <c r="BA858" s="394"/>
      <c r="BB858" s="394"/>
      <c r="BC858" s="394"/>
      <c r="BD858" s="381"/>
      <c r="BE858" s="408"/>
      <c r="BF858" s="385"/>
      <c r="BG858" s="475"/>
      <c r="BH858" s="395"/>
      <c r="BI858" s="395" t="e">
        <f t="shared" si="844"/>
        <v>#DIV/0!</v>
      </c>
    </row>
    <row r="859" spans="1:61" s="358" customFormat="1" ht="19.2" x14ac:dyDescent="0.3">
      <c r="A859" s="359" t="s">
        <v>400</v>
      </c>
      <c r="B859" s="537" t="s">
        <v>1359</v>
      </c>
      <c r="C859" s="546" t="s">
        <v>746</v>
      </c>
      <c r="D859" s="360">
        <v>0.22</v>
      </c>
      <c r="E859" s="393"/>
      <c r="F859" s="523">
        <v>1</v>
      </c>
      <c r="G859" s="393"/>
      <c r="H859" s="544">
        <v>8.8650000000000002</v>
      </c>
      <c r="I859" s="394">
        <v>5.8945400000000001</v>
      </c>
      <c r="J859" s="394">
        <v>5.2083300000000001</v>
      </c>
      <c r="K859" s="394"/>
      <c r="L859" s="394"/>
      <c r="M859" s="394">
        <v>0</v>
      </c>
      <c r="N859" s="394">
        <v>0</v>
      </c>
      <c r="O859" s="394">
        <v>0.69247000000000003</v>
      </c>
      <c r="P859" s="394">
        <v>5.2083300000000001</v>
      </c>
      <c r="Q859" s="394"/>
      <c r="R859" s="381" t="s">
        <v>167</v>
      </c>
      <c r="S859" s="408" t="s">
        <v>175</v>
      </c>
      <c r="T859" s="385"/>
      <c r="U859" s="475">
        <v>437</v>
      </c>
      <c r="V859" s="395"/>
      <c r="W859" s="395">
        <f t="shared" si="842"/>
        <v>8.8650000000000002</v>
      </c>
      <c r="X859" s="393"/>
      <c r="Y859" s="523"/>
      <c r="Z859" s="393"/>
      <c r="AA859" s="544"/>
      <c r="AB859" s="394"/>
      <c r="AC859" s="394"/>
      <c r="AD859" s="394"/>
      <c r="AE859" s="394"/>
      <c r="AF859" s="394"/>
      <c r="AG859" s="394"/>
      <c r="AH859" s="394"/>
      <c r="AI859" s="394"/>
      <c r="AJ859" s="394"/>
      <c r="AK859" s="381"/>
      <c r="AL859" s="408"/>
      <c r="AM859" s="385"/>
      <c r="AN859" s="475"/>
      <c r="AO859" s="395"/>
      <c r="AP859" s="395" t="e">
        <f t="shared" si="843"/>
        <v>#DIV/0!</v>
      </c>
      <c r="AQ859" s="393"/>
      <c r="AR859" s="523"/>
      <c r="AS859" s="393"/>
      <c r="AT859" s="544"/>
      <c r="AU859" s="394"/>
      <c r="AV859" s="394"/>
      <c r="AW859" s="394"/>
      <c r="AX859" s="394"/>
      <c r="AY859" s="394"/>
      <c r="AZ859" s="394"/>
      <c r="BA859" s="394"/>
      <c r="BB859" s="394"/>
      <c r="BC859" s="394"/>
      <c r="BD859" s="381"/>
      <c r="BE859" s="408"/>
      <c r="BF859" s="385"/>
      <c r="BG859" s="475"/>
      <c r="BH859" s="395"/>
      <c r="BI859" s="395" t="e">
        <f t="shared" si="844"/>
        <v>#DIV/0!</v>
      </c>
    </row>
    <row r="860" spans="1:61" s="358" customFormat="1" ht="19.2" x14ac:dyDescent="0.3">
      <c r="A860" s="359" t="s">
        <v>401</v>
      </c>
      <c r="B860" s="537" t="s">
        <v>1360</v>
      </c>
      <c r="C860" s="546" t="s">
        <v>747</v>
      </c>
      <c r="D860" s="360">
        <v>0.22</v>
      </c>
      <c r="E860" s="393"/>
      <c r="F860" s="523">
        <v>1</v>
      </c>
      <c r="G860" s="393"/>
      <c r="H860" s="544">
        <v>8.8650000000000002</v>
      </c>
      <c r="I860" s="394">
        <v>5.8945400000000001</v>
      </c>
      <c r="J860" s="394">
        <v>5.2083300000000001</v>
      </c>
      <c r="K860" s="394"/>
      <c r="L860" s="394"/>
      <c r="M860" s="394">
        <v>0</v>
      </c>
      <c r="N860" s="394">
        <v>0</v>
      </c>
      <c r="O860" s="394">
        <v>0.69247000000000003</v>
      </c>
      <c r="P860" s="394">
        <v>5.2083300000000001</v>
      </c>
      <c r="Q860" s="394"/>
      <c r="R860" s="381" t="s">
        <v>167</v>
      </c>
      <c r="S860" s="408" t="s">
        <v>175</v>
      </c>
      <c r="T860" s="385"/>
      <c r="U860" s="475">
        <v>438</v>
      </c>
      <c r="V860" s="395"/>
      <c r="W860" s="395">
        <f t="shared" si="842"/>
        <v>8.8650000000000002</v>
      </c>
      <c r="X860" s="393"/>
      <c r="Y860" s="523"/>
      <c r="Z860" s="393"/>
      <c r="AA860" s="544"/>
      <c r="AB860" s="394"/>
      <c r="AC860" s="394"/>
      <c r="AD860" s="394"/>
      <c r="AE860" s="394"/>
      <c r="AF860" s="394"/>
      <c r="AG860" s="394"/>
      <c r="AH860" s="394"/>
      <c r="AI860" s="394"/>
      <c r="AJ860" s="394"/>
      <c r="AK860" s="381"/>
      <c r="AL860" s="408"/>
      <c r="AM860" s="385"/>
      <c r="AN860" s="475"/>
      <c r="AO860" s="395"/>
      <c r="AP860" s="395" t="e">
        <f t="shared" si="843"/>
        <v>#DIV/0!</v>
      </c>
      <c r="AQ860" s="393"/>
      <c r="AR860" s="523"/>
      <c r="AS860" s="393"/>
      <c r="AT860" s="544"/>
      <c r="AU860" s="394"/>
      <c r="AV860" s="394"/>
      <c r="AW860" s="394"/>
      <c r="AX860" s="394"/>
      <c r="AY860" s="394"/>
      <c r="AZ860" s="394"/>
      <c r="BA860" s="394"/>
      <c r="BB860" s="394"/>
      <c r="BC860" s="394"/>
      <c r="BD860" s="381"/>
      <c r="BE860" s="408"/>
      <c r="BF860" s="385"/>
      <c r="BG860" s="475"/>
      <c r="BH860" s="395"/>
      <c r="BI860" s="395" t="e">
        <f t="shared" si="844"/>
        <v>#DIV/0!</v>
      </c>
    </row>
    <row r="861" spans="1:61" s="358" customFormat="1" ht="19.2" x14ac:dyDescent="0.3">
      <c r="A861" s="359" t="s">
        <v>402</v>
      </c>
      <c r="B861" s="537" t="s">
        <v>616</v>
      </c>
      <c r="C861" s="546" t="s">
        <v>490</v>
      </c>
      <c r="D861" s="360">
        <v>0.22</v>
      </c>
      <c r="E861" s="393"/>
      <c r="F861" s="523">
        <v>1</v>
      </c>
      <c r="G861" s="393"/>
      <c r="H861" s="544">
        <v>8.8650000000000002</v>
      </c>
      <c r="I861" s="394">
        <v>5.8945400000000001</v>
      </c>
      <c r="J861" s="394">
        <v>5.2083300000000001</v>
      </c>
      <c r="K861" s="394"/>
      <c r="L861" s="394"/>
      <c r="M861" s="394">
        <v>0</v>
      </c>
      <c r="N861" s="394">
        <v>0</v>
      </c>
      <c r="O861" s="394">
        <v>0.69247000000000003</v>
      </c>
      <c r="P861" s="394">
        <v>5.2083300000000001</v>
      </c>
      <c r="Q861" s="394"/>
      <c r="R861" s="381" t="s">
        <v>167</v>
      </c>
      <c r="S861" s="408" t="s">
        <v>175</v>
      </c>
      <c r="T861" s="385"/>
      <c r="U861" s="475">
        <v>439</v>
      </c>
      <c r="V861" s="395"/>
      <c r="W861" s="395">
        <f t="shared" si="842"/>
        <v>8.8650000000000002</v>
      </c>
      <c r="X861" s="393"/>
      <c r="Y861" s="523"/>
      <c r="Z861" s="393"/>
      <c r="AA861" s="544"/>
      <c r="AB861" s="394"/>
      <c r="AC861" s="394"/>
      <c r="AD861" s="394"/>
      <c r="AE861" s="394"/>
      <c r="AF861" s="394"/>
      <c r="AG861" s="394"/>
      <c r="AH861" s="394"/>
      <c r="AI861" s="394"/>
      <c r="AJ861" s="394"/>
      <c r="AK861" s="381"/>
      <c r="AL861" s="408"/>
      <c r="AM861" s="385"/>
      <c r="AN861" s="475"/>
      <c r="AO861" s="395"/>
      <c r="AP861" s="395" t="e">
        <f t="shared" si="843"/>
        <v>#DIV/0!</v>
      </c>
      <c r="AQ861" s="393"/>
      <c r="AR861" s="523"/>
      <c r="AS861" s="393"/>
      <c r="AT861" s="544"/>
      <c r="AU861" s="394"/>
      <c r="AV861" s="394"/>
      <c r="AW861" s="394"/>
      <c r="AX861" s="394"/>
      <c r="AY861" s="394"/>
      <c r="AZ861" s="394"/>
      <c r="BA861" s="394"/>
      <c r="BB861" s="394"/>
      <c r="BC861" s="394"/>
      <c r="BD861" s="381"/>
      <c r="BE861" s="408"/>
      <c r="BF861" s="385"/>
      <c r="BG861" s="475"/>
      <c r="BH861" s="395"/>
      <c r="BI861" s="395" t="e">
        <f t="shared" si="844"/>
        <v>#DIV/0!</v>
      </c>
    </row>
    <row r="862" spans="1:61" s="358" customFormat="1" ht="19.2" x14ac:dyDescent="0.3">
      <c r="A862" s="359" t="s">
        <v>403</v>
      </c>
      <c r="B862" s="537" t="s">
        <v>595</v>
      </c>
      <c r="C862" s="546" t="s">
        <v>467</v>
      </c>
      <c r="D862" s="360">
        <v>0.22</v>
      </c>
      <c r="E862" s="393"/>
      <c r="F862" s="523">
        <v>1</v>
      </c>
      <c r="G862" s="393"/>
      <c r="H862" s="544">
        <v>8.8650000000000002</v>
      </c>
      <c r="I862" s="394">
        <v>5.8945400000000001</v>
      </c>
      <c r="J862" s="394">
        <v>5.2083300000000001</v>
      </c>
      <c r="K862" s="394"/>
      <c r="L862" s="394"/>
      <c r="M862" s="394">
        <v>0</v>
      </c>
      <c r="N862" s="394">
        <v>0</v>
      </c>
      <c r="O862" s="394">
        <v>0.69247000000000003</v>
      </c>
      <c r="P862" s="394">
        <v>5.2083300000000001</v>
      </c>
      <c r="Q862" s="394"/>
      <c r="R862" s="381" t="s">
        <v>167</v>
      </c>
      <c r="S862" s="408" t="s">
        <v>175</v>
      </c>
      <c r="T862" s="385"/>
      <c r="U862" s="475">
        <v>440</v>
      </c>
      <c r="V862" s="395"/>
      <c r="W862" s="395">
        <f t="shared" si="842"/>
        <v>8.8650000000000002</v>
      </c>
      <c r="X862" s="393"/>
      <c r="Y862" s="523"/>
      <c r="Z862" s="393"/>
      <c r="AA862" s="544"/>
      <c r="AB862" s="394"/>
      <c r="AC862" s="394"/>
      <c r="AD862" s="394"/>
      <c r="AE862" s="394"/>
      <c r="AF862" s="394"/>
      <c r="AG862" s="394"/>
      <c r="AH862" s="394"/>
      <c r="AI862" s="394"/>
      <c r="AJ862" s="394"/>
      <c r="AK862" s="381"/>
      <c r="AL862" s="408"/>
      <c r="AM862" s="385"/>
      <c r="AN862" s="475"/>
      <c r="AO862" s="395"/>
      <c r="AP862" s="395" t="e">
        <f t="shared" si="843"/>
        <v>#DIV/0!</v>
      </c>
      <c r="AQ862" s="393"/>
      <c r="AR862" s="523"/>
      <c r="AS862" s="393"/>
      <c r="AT862" s="544"/>
      <c r="AU862" s="394"/>
      <c r="AV862" s="394"/>
      <c r="AW862" s="394"/>
      <c r="AX862" s="394"/>
      <c r="AY862" s="394"/>
      <c r="AZ862" s="394"/>
      <c r="BA862" s="394"/>
      <c r="BB862" s="394"/>
      <c r="BC862" s="394"/>
      <c r="BD862" s="381"/>
      <c r="BE862" s="408"/>
      <c r="BF862" s="385"/>
      <c r="BG862" s="475"/>
      <c r="BH862" s="395"/>
      <c r="BI862" s="395" t="e">
        <f t="shared" si="844"/>
        <v>#DIV/0!</v>
      </c>
    </row>
    <row r="863" spans="1:61" s="358" customFormat="1" ht="19.2" x14ac:dyDescent="0.3">
      <c r="A863" s="359" t="s">
        <v>404</v>
      </c>
      <c r="B863" s="537" t="s">
        <v>1361</v>
      </c>
      <c r="C863" s="546" t="s">
        <v>748</v>
      </c>
      <c r="D863" s="360">
        <v>0.22</v>
      </c>
      <c r="E863" s="393"/>
      <c r="F863" s="523">
        <v>1</v>
      </c>
      <c r="G863" s="393"/>
      <c r="H863" s="544">
        <v>8.8650000000000002</v>
      </c>
      <c r="I863" s="394">
        <v>5.8945400000000001</v>
      </c>
      <c r="J863" s="394">
        <v>5.2083300000000001</v>
      </c>
      <c r="K863" s="394"/>
      <c r="L863" s="394"/>
      <c r="M863" s="394">
        <v>0</v>
      </c>
      <c r="N863" s="394">
        <v>0</v>
      </c>
      <c r="O863" s="394">
        <v>0.69247000000000003</v>
      </c>
      <c r="P863" s="394">
        <v>5.2083300000000001</v>
      </c>
      <c r="Q863" s="394"/>
      <c r="R863" s="381" t="s">
        <v>167</v>
      </c>
      <c r="S863" s="408" t="s">
        <v>175</v>
      </c>
      <c r="T863" s="385"/>
      <c r="U863" s="475">
        <v>441</v>
      </c>
      <c r="V863" s="395"/>
      <c r="W863" s="395">
        <f t="shared" si="842"/>
        <v>8.8650000000000002</v>
      </c>
      <c r="X863" s="393"/>
      <c r="Y863" s="523"/>
      <c r="Z863" s="393"/>
      <c r="AA863" s="544"/>
      <c r="AB863" s="394"/>
      <c r="AC863" s="394"/>
      <c r="AD863" s="394"/>
      <c r="AE863" s="394"/>
      <c r="AF863" s="394"/>
      <c r="AG863" s="394"/>
      <c r="AH863" s="394"/>
      <c r="AI863" s="394"/>
      <c r="AJ863" s="394"/>
      <c r="AK863" s="381"/>
      <c r="AL863" s="408"/>
      <c r="AM863" s="385"/>
      <c r="AN863" s="475"/>
      <c r="AO863" s="395"/>
      <c r="AP863" s="395" t="e">
        <f t="shared" si="843"/>
        <v>#DIV/0!</v>
      </c>
      <c r="AQ863" s="393"/>
      <c r="AR863" s="523"/>
      <c r="AS863" s="393"/>
      <c r="AT863" s="544"/>
      <c r="AU863" s="394"/>
      <c r="AV863" s="394"/>
      <c r="AW863" s="394"/>
      <c r="AX863" s="394"/>
      <c r="AY863" s="394"/>
      <c r="AZ863" s="394"/>
      <c r="BA863" s="394"/>
      <c r="BB863" s="394"/>
      <c r="BC863" s="394"/>
      <c r="BD863" s="381"/>
      <c r="BE863" s="408"/>
      <c r="BF863" s="385"/>
      <c r="BG863" s="475"/>
      <c r="BH863" s="395"/>
      <c r="BI863" s="395" t="e">
        <f t="shared" si="844"/>
        <v>#DIV/0!</v>
      </c>
    </row>
    <row r="864" spans="1:61" s="358" customFormat="1" ht="19.2" x14ac:dyDescent="0.3">
      <c r="A864" s="359" t="s">
        <v>1870</v>
      </c>
      <c r="B864" s="537" t="s">
        <v>1362</v>
      </c>
      <c r="C864" s="546" t="s">
        <v>749</v>
      </c>
      <c r="D864" s="360">
        <v>0.22</v>
      </c>
      <c r="E864" s="393"/>
      <c r="F864" s="523">
        <v>1</v>
      </c>
      <c r="G864" s="393"/>
      <c r="H864" s="544">
        <v>8.8650000000000002</v>
      </c>
      <c r="I864" s="394">
        <v>5.8945400000000001</v>
      </c>
      <c r="J864" s="394">
        <v>5.2083300000000001</v>
      </c>
      <c r="K864" s="394"/>
      <c r="L864" s="394"/>
      <c r="M864" s="394">
        <v>0</v>
      </c>
      <c r="N864" s="394">
        <v>0</v>
      </c>
      <c r="O864" s="394">
        <v>0.69247000000000003</v>
      </c>
      <c r="P864" s="394">
        <v>5.2083300000000001</v>
      </c>
      <c r="Q864" s="394"/>
      <c r="R864" s="381" t="s">
        <v>167</v>
      </c>
      <c r="S864" s="408" t="s">
        <v>175</v>
      </c>
      <c r="T864" s="385"/>
      <c r="U864" s="475">
        <v>442</v>
      </c>
      <c r="V864" s="395"/>
      <c r="W864" s="395">
        <f t="shared" ref="W864:W934" si="846">H864/F864</f>
        <v>8.8650000000000002</v>
      </c>
      <c r="X864" s="393"/>
      <c r="Y864" s="523"/>
      <c r="Z864" s="393"/>
      <c r="AA864" s="544"/>
      <c r="AB864" s="394"/>
      <c r="AC864" s="394"/>
      <c r="AD864" s="394"/>
      <c r="AE864" s="394"/>
      <c r="AF864" s="394"/>
      <c r="AG864" s="394"/>
      <c r="AH864" s="394"/>
      <c r="AI864" s="394"/>
      <c r="AJ864" s="394"/>
      <c r="AK864" s="381"/>
      <c r="AL864" s="408"/>
      <c r="AM864" s="385"/>
      <c r="AN864" s="475"/>
      <c r="AO864" s="395"/>
      <c r="AP864" s="395" t="e">
        <f t="shared" si="843"/>
        <v>#DIV/0!</v>
      </c>
      <c r="AQ864" s="393"/>
      <c r="AR864" s="523"/>
      <c r="AS864" s="393"/>
      <c r="AT864" s="544"/>
      <c r="AU864" s="394"/>
      <c r="AV864" s="394"/>
      <c r="AW864" s="394"/>
      <c r="AX864" s="394"/>
      <c r="AY864" s="394"/>
      <c r="AZ864" s="394"/>
      <c r="BA864" s="394"/>
      <c r="BB864" s="394"/>
      <c r="BC864" s="394"/>
      <c r="BD864" s="381"/>
      <c r="BE864" s="408"/>
      <c r="BF864" s="385"/>
      <c r="BG864" s="475"/>
      <c r="BH864" s="395"/>
      <c r="BI864" s="395" t="e">
        <f t="shared" si="844"/>
        <v>#DIV/0!</v>
      </c>
    </row>
    <row r="865" spans="1:61" s="358" customFormat="1" ht="19.2" x14ac:dyDescent="0.3">
      <c r="A865" s="359" t="s">
        <v>406</v>
      </c>
      <c r="B865" s="537" t="s">
        <v>1363</v>
      </c>
      <c r="C865" s="546" t="s">
        <v>750</v>
      </c>
      <c r="D865" s="360">
        <v>0.22</v>
      </c>
      <c r="E865" s="393"/>
      <c r="F865" s="523">
        <v>1</v>
      </c>
      <c r="G865" s="393"/>
      <c r="H865" s="544">
        <v>8.8650000000000002</v>
      </c>
      <c r="I865" s="394">
        <v>5.8945400000000001</v>
      </c>
      <c r="J865" s="394">
        <v>5.2083300000000001</v>
      </c>
      <c r="K865" s="394"/>
      <c r="L865" s="394"/>
      <c r="M865" s="394">
        <v>0</v>
      </c>
      <c r="N865" s="394">
        <v>0</v>
      </c>
      <c r="O865" s="394">
        <v>0.69247000000000003</v>
      </c>
      <c r="P865" s="394">
        <v>5.2083300000000001</v>
      </c>
      <c r="Q865" s="394"/>
      <c r="R865" s="381" t="s">
        <v>167</v>
      </c>
      <c r="S865" s="408" t="s">
        <v>175</v>
      </c>
      <c r="T865" s="385"/>
      <c r="U865" s="475">
        <v>443</v>
      </c>
      <c r="V865" s="395"/>
      <c r="W865" s="395">
        <f t="shared" si="846"/>
        <v>8.8650000000000002</v>
      </c>
      <c r="X865" s="393"/>
      <c r="Y865" s="523"/>
      <c r="Z865" s="393"/>
      <c r="AA865" s="544"/>
      <c r="AB865" s="394"/>
      <c r="AC865" s="394"/>
      <c r="AD865" s="394"/>
      <c r="AE865" s="394"/>
      <c r="AF865" s="394"/>
      <c r="AG865" s="394"/>
      <c r="AH865" s="394"/>
      <c r="AI865" s="394"/>
      <c r="AJ865" s="394"/>
      <c r="AK865" s="381"/>
      <c r="AL865" s="408"/>
      <c r="AM865" s="385"/>
      <c r="AN865" s="475"/>
      <c r="AO865" s="395"/>
      <c r="AP865" s="395" t="e">
        <f t="shared" ref="AP865:AP928" si="847">AA865/Y865</f>
        <v>#DIV/0!</v>
      </c>
      <c r="AQ865" s="393"/>
      <c r="AR865" s="523"/>
      <c r="AS865" s="393"/>
      <c r="AT865" s="544"/>
      <c r="AU865" s="394"/>
      <c r="AV865" s="394"/>
      <c r="AW865" s="394"/>
      <c r="AX865" s="394"/>
      <c r="AY865" s="394"/>
      <c r="AZ865" s="394"/>
      <c r="BA865" s="394"/>
      <c r="BB865" s="394"/>
      <c r="BC865" s="394"/>
      <c r="BD865" s="381"/>
      <c r="BE865" s="408"/>
      <c r="BF865" s="385"/>
      <c r="BG865" s="475"/>
      <c r="BH865" s="395"/>
      <c r="BI865" s="395" t="e">
        <f t="shared" si="844"/>
        <v>#DIV/0!</v>
      </c>
    </row>
    <row r="866" spans="1:61" s="358" customFormat="1" ht="19.2" x14ac:dyDescent="0.3">
      <c r="A866" s="359" t="s">
        <v>407</v>
      </c>
      <c r="B866" s="537" t="s">
        <v>1364</v>
      </c>
      <c r="C866" s="546" t="s">
        <v>751</v>
      </c>
      <c r="D866" s="360">
        <v>0.22</v>
      </c>
      <c r="E866" s="393"/>
      <c r="F866" s="523">
        <v>1</v>
      </c>
      <c r="G866" s="393"/>
      <c r="H866" s="544">
        <v>8.5146999999999995</v>
      </c>
      <c r="I866" s="394">
        <v>6.3796900000000001</v>
      </c>
      <c r="J866" s="394">
        <v>5.2084400000000004</v>
      </c>
      <c r="K866" s="394"/>
      <c r="L866" s="394"/>
      <c r="M866" s="394">
        <v>0</v>
      </c>
      <c r="N866" s="394">
        <v>0</v>
      </c>
      <c r="O866" s="394">
        <v>0.49773000000000001</v>
      </c>
      <c r="P866" s="394">
        <v>5.2084400000000004</v>
      </c>
      <c r="Q866" s="394"/>
      <c r="R866" s="381" t="s">
        <v>167</v>
      </c>
      <c r="S866" s="408" t="s">
        <v>175</v>
      </c>
      <c r="T866" s="385"/>
      <c r="U866" s="475">
        <v>444</v>
      </c>
      <c r="V866" s="395"/>
      <c r="W866" s="395">
        <f t="shared" si="846"/>
        <v>8.5146999999999995</v>
      </c>
      <c r="X866" s="393"/>
      <c r="Y866" s="523"/>
      <c r="Z866" s="393"/>
      <c r="AA866" s="544"/>
      <c r="AB866" s="394"/>
      <c r="AC866" s="394"/>
      <c r="AD866" s="394"/>
      <c r="AE866" s="394"/>
      <c r="AF866" s="394"/>
      <c r="AG866" s="394"/>
      <c r="AH866" s="394"/>
      <c r="AI866" s="394"/>
      <c r="AJ866" s="394"/>
      <c r="AK866" s="381"/>
      <c r="AL866" s="408"/>
      <c r="AM866" s="385"/>
      <c r="AN866" s="475"/>
      <c r="AO866" s="395"/>
      <c r="AP866" s="395" t="e">
        <f t="shared" si="847"/>
        <v>#DIV/0!</v>
      </c>
      <c r="AQ866" s="393"/>
      <c r="AR866" s="523"/>
      <c r="AS866" s="393"/>
      <c r="AT866" s="544"/>
      <c r="AU866" s="394"/>
      <c r="AV866" s="394"/>
      <c r="AW866" s="394"/>
      <c r="AX866" s="394"/>
      <c r="AY866" s="394"/>
      <c r="AZ866" s="394"/>
      <c r="BA866" s="394"/>
      <c r="BB866" s="394"/>
      <c r="BC866" s="394"/>
      <c r="BD866" s="381"/>
      <c r="BE866" s="408"/>
      <c r="BF866" s="385"/>
      <c r="BG866" s="475"/>
      <c r="BH866" s="395"/>
      <c r="BI866" s="395" t="e">
        <f t="shared" si="844"/>
        <v>#DIV/0!</v>
      </c>
    </row>
    <row r="867" spans="1:61" s="358" customFormat="1" ht="19.2" x14ac:dyDescent="0.3">
      <c r="A867" s="359" t="s">
        <v>392</v>
      </c>
      <c r="B867" s="537" t="s">
        <v>1365</v>
      </c>
      <c r="C867" s="546" t="s">
        <v>752</v>
      </c>
      <c r="D867" s="360">
        <v>0.22</v>
      </c>
      <c r="E867" s="393"/>
      <c r="F867" s="523">
        <v>1</v>
      </c>
      <c r="G867" s="393"/>
      <c r="H867" s="544">
        <v>8.5856499999999993</v>
      </c>
      <c r="I867" s="394">
        <v>6.4506399999999999</v>
      </c>
      <c r="J867" s="394">
        <v>5.2083300000000001</v>
      </c>
      <c r="K867" s="394"/>
      <c r="L867" s="394"/>
      <c r="M867" s="394">
        <v>0</v>
      </c>
      <c r="N867" s="394">
        <v>0</v>
      </c>
      <c r="O867" s="394">
        <v>0.49773000000000001</v>
      </c>
      <c r="P867" s="394">
        <v>5.2083300000000001</v>
      </c>
      <c r="Q867" s="394"/>
      <c r="R867" s="381" t="s">
        <v>167</v>
      </c>
      <c r="S867" s="408" t="s">
        <v>175</v>
      </c>
      <c r="T867" s="385"/>
      <c r="U867" s="475">
        <v>445</v>
      </c>
      <c r="V867" s="395"/>
      <c r="W867" s="395">
        <f t="shared" si="846"/>
        <v>8.5856499999999993</v>
      </c>
      <c r="X867" s="393"/>
      <c r="Y867" s="523"/>
      <c r="Z867" s="393"/>
      <c r="AA867" s="544"/>
      <c r="AB867" s="394"/>
      <c r="AC867" s="394"/>
      <c r="AD867" s="394"/>
      <c r="AE867" s="394"/>
      <c r="AF867" s="394"/>
      <c r="AG867" s="394"/>
      <c r="AH867" s="394"/>
      <c r="AI867" s="394"/>
      <c r="AJ867" s="394"/>
      <c r="AK867" s="381"/>
      <c r="AL867" s="408"/>
      <c r="AM867" s="385"/>
      <c r="AN867" s="475"/>
      <c r="AO867" s="395"/>
      <c r="AP867" s="395" t="e">
        <f t="shared" si="847"/>
        <v>#DIV/0!</v>
      </c>
      <c r="AQ867" s="393"/>
      <c r="AR867" s="523"/>
      <c r="AS867" s="393"/>
      <c r="AT867" s="544"/>
      <c r="AU867" s="394"/>
      <c r="AV867" s="394"/>
      <c r="AW867" s="394"/>
      <c r="AX867" s="394"/>
      <c r="AY867" s="394"/>
      <c r="AZ867" s="394"/>
      <c r="BA867" s="394"/>
      <c r="BB867" s="394"/>
      <c r="BC867" s="394"/>
      <c r="BD867" s="381"/>
      <c r="BE867" s="408"/>
      <c r="BF867" s="385"/>
      <c r="BG867" s="475"/>
      <c r="BH867" s="395"/>
      <c r="BI867" s="395" t="e">
        <f t="shared" si="844"/>
        <v>#DIV/0!</v>
      </c>
    </row>
    <row r="868" spans="1:61" s="358" customFormat="1" ht="19.2" x14ac:dyDescent="0.3">
      <c r="A868" s="359" t="s">
        <v>1874</v>
      </c>
      <c r="B868" s="537" t="s">
        <v>607</v>
      </c>
      <c r="C868" s="546" t="s">
        <v>480</v>
      </c>
      <c r="D868" s="360">
        <v>0.22</v>
      </c>
      <c r="E868" s="393"/>
      <c r="F868" s="523">
        <v>1</v>
      </c>
      <c r="G868" s="393"/>
      <c r="H868" s="544">
        <v>8.5856499999999993</v>
      </c>
      <c r="I868" s="394">
        <v>6.4506399999999999</v>
      </c>
      <c r="J868" s="394">
        <v>5.2083300000000001</v>
      </c>
      <c r="K868" s="394"/>
      <c r="L868" s="394"/>
      <c r="M868" s="394">
        <v>0</v>
      </c>
      <c r="N868" s="394">
        <v>0</v>
      </c>
      <c r="O868" s="394">
        <v>0.49773000000000001</v>
      </c>
      <c r="P868" s="394">
        <v>5.2083300000000001</v>
      </c>
      <c r="Q868" s="394"/>
      <c r="R868" s="381" t="s">
        <v>167</v>
      </c>
      <c r="S868" s="408" t="s">
        <v>175</v>
      </c>
      <c r="T868" s="385"/>
      <c r="U868" s="475">
        <v>446</v>
      </c>
      <c r="V868" s="395"/>
      <c r="W868" s="395">
        <f t="shared" si="846"/>
        <v>8.5856499999999993</v>
      </c>
      <c r="X868" s="393"/>
      <c r="Y868" s="523"/>
      <c r="Z868" s="393"/>
      <c r="AA868" s="544"/>
      <c r="AB868" s="394"/>
      <c r="AC868" s="394"/>
      <c r="AD868" s="394"/>
      <c r="AE868" s="394"/>
      <c r="AF868" s="394"/>
      <c r="AG868" s="394"/>
      <c r="AH868" s="394"/>
      <c r="AI868" s="394"/>
      <c r="AJ868" s="394"/>
      <c r="AK868" s="381"/>
      <c r="AL868" s="408"/>
      <c r="AM868" s="385"/>
      <c r="AN868" s="475"/>
      <c r="AO868" s="395"/>
      <c r="AP868" s="395" t="e">
        <f t="shared" si="847"/>
        <v>#DIV/0!</v>
      </c>
      <c r="AQ868" s="393"/>
      <c r="AR868" s="523"/>
      <c r="AS868" s="393"/>
      <c r="AT868" s="544"/>
      <c r="AU868" s="394"/>
      <c r="AV868" s="394"/>
      <c r="AW868" s="394"/>
      <c r="AX868" s="394"/>
      <c r="AY868" s="394"/>
      <c r="AZ868" s="394"/>
      <c r="BA868" s="394"/>
      <c r="BB868" s="394"/>
      <c r="BC868" s="394"/>
      <c r="BD868" s="381"/>
      <c r="BE868" s="408"/>
      <c r="BF868" s="385"/>
      <c r="BG868" s="475"/>
      <c r="BH868" s="395"/>
      <c r="BI868" s="395" t="e">
        <f t="shared" si="844"/>
        <v>#DIV/0!</v>
      </c>
    </row>
    <row r="869" spans="1:61" s="358" customFormat="1" ht="19.2" x14ac:dyDescent="0.3">
      <c r="A869" s="359" t="s">
        <v>1859</v>
      </c>
      <c r="B869" s="537" t="s">
        <v>1366</v>
      </c>
      <c r="C869" s="546" t="s">
        <v>753</v>
      </c>
      <c r="D869" s="360">
        <v>0.22</v>
      </c>
      <c r="E869" s="393"/>
      <c r="F869" s="523">
        <v>1</v>
      </c>
      <c r="G869" s="393"/>
      <c r="H869" s="544">
        <v>8.5856499999999993</v>
      </c>
      <c r="I869" s="394">
        <v>6.4506399999999999</v>
      </c>
      <c r="J869" s="394">
        <v>5.2083300000000001</v>
      </c>
      <c r="K869" s="394"/>
      <c r="L869" s="394"/>
      <c r="M869" s="394">
        <v>0</v>
      </c>
      <c r="N869" s="394">
        <v>0</v>
      </c>
      <c r="O869" s="394">
        <v>0.49773000000000001</v>
      </c>
      <c r="P869" s="394">
        <v>5.2083300000000001</v>
      </c>
      <c r="Q869" s="394"/>
      <c r="R869" s="381" t="s">
        <v>167</v>
      </c>
      <c r="S869" s="408" t="s">
        <v>175</v>
      </c>
      <c r="T869" s="385"/>
      <c r="U869" s="475">
        <v>447</v>
      </c>
      <c r="V869" s="395"/>
      <c r="W869" s="395">
        <f t="shared" si="846"/>
        <v>8.5856499999999993</v>
      </c>
      <c r="X869" s="393"/>
      <c r="Y869" s="523"/>
      <c r="Z869" s="393"/>
      <c r="AA869" s="544"/>
      <c r="AB869" s="394"/>
      <c r="AC869" s="394"/>
      <c r="AD869" s="394"/>
      <c r="AE869" s="394"/>
      <c r="AF869" s="394"/>
      <c r="AG869" s="394"/>
      <c r="AH869" s="394"/>
      <c r="AI869" s="394"/>
      <c r="AJ869" s="394"/>
      <c r="AK869" s="381"/>
      <c r="AL869" s="408"/>
      <c r="AM869" s="385"/>
      <c r="AN869" s="475"/>
      <c r="AO869" s="395"/>
      <c r="AP869" s="395" t="e">
        <f t="shared" si="847"/>
        <v>#DIV/0!</v>
      </c>
      <c r="AQ869" s="393"/>
      <c r="AR869" s="523"/>
      <c r="AS869" s="393"/>
      <c r="AT869" s="544"/>
      <c r="AU869" s="394"/>
      <c r="AV869" s="394"/>
      <c r="AW869" s="394"/>
      <c r="AX869" s="394"/>
      <c r="AY869" s="394"/>
      <c r="AZ869" s="394"/>
      <c r="BA869" s="394"/>
      <c r="BB869" s="394"/>
      <c r="BC869" s="394"/>
      <c r="BD869" s="381"/>
      <c r="BE869" s="408"/>
      <c r="BF869" s="385"/>
      <c r="BG869" s="475"/>
      <c r="BH869" s="395"/>
      <c r="BI869" s="395" t="e">
        <f t="shared" si="844"/>
        <v>#DIV/0!</v>
      </c>
    </row>
    <row r="870" spans="1:61" s="358" customFormat="1" ht="19.2" x14ac:dyDescent="0.3">
      <c r="A870" s="359" t="s">
        <v>1860</v>
      </c>
      <c r="B870" s="537" t="s">
        <v>1367</v>
      </c>
      <c r="C870" s="546" t="s">
        <v>754</v>
      </c>
      <c r="D870" s="360">
        <v>0.22</v>
      </c>
      <c r="E870" s="393"/>
      <c r="F870" s="523">
        <v>1</v>
      </c>
      <c r="G870" s="393"/>
      <c r="H870" s="544">
        <v>8.5856499999999993</v>
      </c>
      <c r="I870" s="394">
        <v>6.4506399999999999</v>
      </c>
      <c r="J870" s="394">
        <v>5.2083300000000001</v>
      </c>
      <c r="K870" s="394"/>
      <c r="L870" s="394"/>
      <c r="M870" s="394">
        <v>0</v>
      </c>
      <c r="N870" s="394">
        <v>0</v>
      </c>
      <c r="O870" s="394">
        <v>0.49773000000000001</v>
      </c>
      <c r="P870" s="394">
        <v>5.2083300000000001</v>
      </c>
      <c r="Q870" s="394"/>
      <c r="R870" s="381" t="s">
        <v>167</v>
      </c>
      <c r="S870" s="408" t="s">
        <v>175</v>
      </c>
      <c r="T870" s="385"/>
      <c r="U870" s="475">
        <v>448</v>
      </c>
      <c r="V870" s="395"/>
      <c r="W870" s="395">
        <f t="shared" si="846"/>
        <v>8.5856499999999993</v>
      </c>
      <c r="X870" s="393"/>
      <c r="Y870" s="523"/>
      <c r="Z870" s="393"/>
      <c r="AA870" s="544"/>
      <c r="AB870" s="394"/>
      <c r="AC870" s="394"/>
      <c r="AD870" s="394"/>
      <c r="AE870" s="394"/>
      <c r="AF870" s="394"/>
      <c r="AG870" s="394"/>
      <c r="AH870" s="394"/>
      <c r="AI870" s="394"/>
      <c r="AJ870" s="394"/>
      <c r="AK870" s="381"/>
      <c r="AL870" s="408"/>
      <c r="AM870" s="385"/>
      <c r="AN870" s="475"/>
      <c r="AO870" s="395"/>
      <c r="AP870" s="395" t="e">
        <f t="shared" si="847"/>
        <v>#DIV/0!</v>
      </c>
      <c r="AQ870" s="393"/>
      <c r="AR870" s="523"/>
      <c r="AS870" s="393"/>
      <c r="AT870" s="544"/>
      <c r="AU870" s="394"/>
      <c r="AV870" s="394"/>
      <c r="AW870" s="394"/>
      <c r="AX870" s="394"/>
      <c r="AY870" s="394"/>
      <c r="AZ870" s="394"/>
      <c r="BA870" s="394"/>
      <c r="BB870" s="394"/>
      <c r="BC870" s="394"/>
      <c r="BD870" s="381"/>
      <c r="BE870" s="408"/>
      <c r="BF870" s="385"/>
      <c r="BG870" s="475"/>
      <c r="BH870" s="395"/>
      <c r="BI870" s="395" t="e">
        <f t="shared" si="844"/>
        <v>#DIV/0!</v>
      </c>
    </row>
    <row r="871" spans="1:61" s="358" customFormat="1" ht="19.2" x14ac:dyDescent="0.3">
      <c r="A871" s="359" t="s">
        <v>1861</v>
      </c>
      <c r="B871" s="537" t="s">
        <v>1368</v>
      </c>
      <c r="C871" s="546" t="s">
        <v>755</v>
      </c>
      <c r="D871" s="360">
        <v>0.22</v>
      </c>
      <c r="E871" s="393"/>
      <c r="F871" s="523">
        <v>1</v>
      </c>
      <c r="G871" s="393"/>
      <c r="H871" s="544">
        <v>8.5856499999999993</v>
      </c>
      <c r="I871" s="394">
        <v>6.4506399999999999</v>
      </c>
      <c r="J871" s="394">
        <v>5.2083300000000001</v>
      </c>
      <c r="K871" s="394"/>
      <c r="L871" s="394"/>
      <c r="M871" s="394">
        <v>0</v>
      </c>
      <c r="N871" s="394">
        <v>0</v>
      </c>
      <c r="O871" s="394">
        <v>0.49773000000000001</v>
      </c>
      <c r="P871" s="394">
        <v>5.2083300000000001</v>
      </c>
      <c r="Q871" s="394"/>
      <c r="R871" s="381" t="s">
        <v>167</v>
      </c>
      <c r="S871" s="408" t="s">
        <v>175</v>
      </c>
      <c r="T871" s="385"/>
      <c r="U871" s="475">
        <v>449</v>
      </c>
      <c r="V871" s="395"/>
      <c r="W871" s="395">
        <f t="shared" si="846"/>
        <v>8.5856499999999993</v>
      </c>
      <c r="X871" s="393"/>
      <c r="Y871" s="523"/>
      <c r="Z871" s="393"/>
      <c r="AA871" s="544"/>
      <c r="AB871" s="394"/>
      <c r="AC871" s="394"/>
      <c r="AD871" s="394"/>
      <c r="AE871" s="394"/>
      <c r="AF871" s="394"/>
      <c r="AG871" s="394"/>
      <c r="AH871" s="394"/>
      <c r="AI871" s="394"/>
      <c r="AJ871" s="394"/>
      <c r="AK871" s="381"/>
      <c r="AL871" s="408"/>
      <c r="AM871" s="385"/>
      <c r="AN871" s="475"/>
      <c r="AO871" s="395"/>
      <c r="AP871" s="395" t="e">
        <f t="shared" si="847"/>
        <v>#DIV/0!</v>
      </c>
      <c r="AQ871" s="393"/>
      <c r="AR871" s="523"/>
      <c r="AS871" s="393"/>
      <c r="AT871" s="544"/>
      <c r="AU871" s="394"/>
      <c r="AV871" s="394"/>
      <c r="AW871" s="394"/>
      <c r="AX871" s="394"/>
      <c r="AY871" s="394"/>
      <c r="AZ871" s="394"/>
      <c r="BA871" s="394"/>
      <c r="BB871" s="394"/>
      <c r="BC871" s="394"/>
      <c r="BD871" s="381"/>
      <c r="BE871" s="408"/>
      <c r="BF871" s="385"/>
      <c r="BG871" s="475"/>
      <c r="BH871" s="395"/>
      <c r="BI871" s="395" t="e">
        <f t="shared" si="844"/>
        <v>#DIV/0!</v>
      </c>
    </row>
    <row r="872" spans="1:61" s="358" customFormat="1" ht="19.2" x14ac:dyDescent="0.3">
      <c r="A872" s="359" t="s">
        <v>1862</v>
      </c>
      <c r="B872" s="537" t="s">
        <v>1369</v>
      </c>
      <c r="C872" s="546" t="s">
        <v>756</v>
      </c>
      <c r="D872" s="360">
        <v>0.22</v>
      </c>
      <c r="E872" s="393"/>
      <c r="F872" s="523">
        <v>1</v>
      </c>
      <c r="G872" s="393"/>
      <c r="H872" s="544">
        <v>8.5856499999999993</v>
      </c>
      <c r="I872" s="394">
        <v>6.4506399999999999</v>
      </c>
      <c r="J872" s="394">
        <v>5.2083300000000001</v>
      </c>
      <c r="K872" s="394"/>
      <c r="L872" s="394"/>
      <c r="M872" s="394">
        <v>0</v>
      </c>
      <c r="N872" s="394">
        <v>0</v>
      </c>
      <c r="O872" s="394">
        <v>0.49773000000000001</v>
      </c>
      <c r="P872" s="394">
        <v>5.2083300000000001</v>
      </c>
      <c r="Q872" s="394"/>
      <c r="R872" s="381" t="s">
        <v>167</v>
      </c>
      <c r="S872" s="408" t="s">
        <v>175</v>
      </c>
      <c r="T872" s="385"/>
      <c r="U872" s="475">
        <v>450</v>
      </c>
      <c r="V872" s="395"/>
      <c r="W872" s="395">
        <f t="shared" si="846"/>
        <v>8.5856499999999993</v>
      </c>
      <c r="X872" s="393"/>
      <c r="Y872" s="523"/>
      <c r="Z872" s="393"/>
      <c r="AA872" s="544"/>
      <c r="AB872" s="394"/>
      <c r="AC872" s="394"/>
      <c r="AD872" s="394"/>
      <c r="AE872" s="394"/>
      <c r="AF872" s="394"/>
      <c r="AG872" s="394"/>
      <c r="AH872" s="394"/>
      <c r="AI872" s="394"/>
      <c r="AJ872" s="394"/>
      <c r="AK872" s="381"/>
      <c r="AL872" s="408"/>
      <c r="AM872" s="385"/>
      <c r="AN872" s="475"/>
      <c r="AO872" s="395"/>
      <c r="AP872" s="395" t="e">
        <f t="shared" si="847"/>
        <v>#DIV/0!</v>
      </c>
      <c r="AQ872" s="393"/>
      <c r="AR872" s="523"/>
      <c r="AS872" s="393"/>
      <c r="AT872" s="544"/>
      <c r="AU872" s="394"/>
      <c r="AV872" s="394"/>
      <c r="AW872" s="394"/>
      <c r="AX872" s="394"/>
      <c r="AY872" s="394"/>
      <c r="AZ872" s="394"/>
      <c r="BA872" s="394"/>
      <c r="BB872" s="394"/>
      <c r="BC872" s="394"/>
      <c r="BD872" s="381"/>
      <c r="BE872" s="408"/>
      <c r="BF872" s="385"/>
      <c r="BG872" s="475"/>
      <c r="BH872" s="395"/>
      <c r="BI872" s="395" t="e">
        <f t="shared" si="844"/>
        <v>#DIV/0!</v>
      </c>
    </row>
    <row r="873" spans="1:61" s="358" customFormat="1" ht="19.2" x14ac:dyDescent="0.3">
      <c r="A873" s="359" t="s">
        <v>1863</v>
      </c>
      <c r="B873" s="537" t="s">
        <v>1370</v>
      </c>
      <c r="C873" s="546" t="s">
        <v>757</v>
      </c>
      <c r="D873" s="360">
        <v>0.22</v>
      </c>
      <c r="E873" s="393"/>
      <c r="F873" s="523">
        <v>1</v>
      </c>
      <c r="G873" s="393"/>
      <c r="H873" s="544">
        <v>8.5856499999999993</v>
      </c>
      <c r="I873" s="394">
        <v>6.4506399999999999</v>
      </c>
      <c r="J873" s="394">
        <v>5.2083300000000001</v>
      </c>
      <c r="K873" s="394"/>
      <c r="L873" s="394"/>
      <c r="M873" s="394">
        <v>0</v>
      </c>
      <c r="N873" s="394">
        <v>0</v>
      </c>
      <c r="O873" s="394">
        <v>0.49773000000000001</v>
      </c>
      <c r="P873" s="394">
        <v>5.2083300000000001</v>
      </c>
      <c r="Q873" s="394"/>
      <c r="R873" s="381" t="s">
        <v>167</v>
      </c>
      <c r="S873" s="408" t="s">
        <v>175</v>
      </c>
      <c r="T873" s="385"/>
      <c r="U873" s="475">
        <v>451</v>
      </c>
      <c r="V873" s="395"/>
      <c r="W873" s="395">
        <f t="shared" si="846"/>
        <v>8.5856499999999993</v>
      </c>
      <c r="X873" s="393"/>
      <c r="Y873" s="523"/>
      <c r="Z873" s="393"/>
      <c r="AA873" s="544"/>
      <c r="AB873" s="394"/>
      <c r="AC873" s="394"/>
      <c r="AD873" s="394"/>
      <c r="AE873" s="394"/>
      <c r="AF873" s="394"/>
      <c r="AG873" s="394"/>
      <c r="AH873" s="394"/>
      <c r="AI873" s="394"/>
      <c r="AJ873" s="394"/>
      <c r="AK873" s="381"/>
      <c r="AL873" s="408"/>
      <c r="AM873" s="385"/>
      <c r="AN873" s="475"/>
      <c r="AO873" s="395"/>
      <c r="AP873" s="395" t="e">
        <f t="shared" si="847"/>
        <v>#DIV/0!</v>
      </c>
      <c r="AQ873" s="393"/>
      <c r="AR873" s="523"/>
      <c r="AS873" s="393"/>
      <c r="AT873" s="544"/>
      <c r="AU873" s="394"/>
      <c r="AV873" s="394"/>
      <c r="AW873" s="394"/>
      <c r="AX873" s="394"/>
      <c r="AY873" s="394"/>
      <c r="AZ873" s="394"/>
      <c r="BA873" s="394"/>
      <c r="BB873" s="394"/>
      <c r="BC873" s="394"/>
      <c r="BD873" s="381"/>
      <c r="BE873" s="408"/>
      <c r="BF873" s="385"/>
      <c r="BG873" s="475"/>
      <c r="BH873" s="395"/>
      <c r="BI873" s="395" t="e">
        <f t="shared" si="844"/>
        <v>#DIV/0!</v>
      </c>
    </row>
    <row r="874" spans="1:61" s="358" customFormat="1" ht="19.2" x14ac:dyDescent="0.3">
      <c r="A874" s="359" t="s">
        <v>1864</v>
      </c>
      <c r="B874" s="537" t="s">
        <v>1371</v>
      </c>
      <c r="C874" s="546" t="s">
        <v>758</v>
      </c>
      <c r="D874" s="360">
        <v>0.22</v>
      </c>
      <c r="E874" s="393"/>
      <c r="F874" s="523">
        <v>1</v>
      </c>
      <c r="G874" s="393"/>
      <c r="H874" s="544">
        <v>8.5856499999999993</v>
      </c>
      <c r="I874" s="394">
        <v>6.4506399999999999</v>
      </c>
      <c r="J874" s="394">
        <v>5.2083300000000001</v>
      </c>
      <c r="K874" s="394"/>
      <c r="L874" s="394"/>
      <c r="M874" s="394">
        <v>0</v>
      </c>
      <c r="N874" s="394">
        <v>0</v>
      </c>
      <c r="O874" s="394">
        <v>0.49773000000000001</v>
      </c>
      <c r="P874" s="394">
        <v>5.2083300000000001</v>
      </c>
      <c r="Q874" s="394"/>
      <c r="R874" s="381" t="s">
        <v>167</v>
      </c>
      <c r="S874" s="408" t="s">
        <v>175</v>
      </c>
      <c r="T874" s="385"/>
      <c r="U874" s="475">
        <v>452</v>
      </c>
      <c r="V874" s="395"/>
      <c r="W874" s="395">
        <f t="shared" si="846"/>
        <v>8.5856499999999993</v>
      </c>
      <c r="X874" s="393"/>
      <c r="Y874" s="523"/>
      <c r="Z874" s="393"/>
      <c r="AA874" s="544"/>
      <c r="AB874" s="394"/>
      <c r="AC874" s="394"/>
      <c r="AD874" s="394"/>
      <c r="AE874" s="394"/>
      <c r="AF874" s="394"/>
      <c r="AG874" s="394"/>
      <c r="AH874" s="394"/>
      <c r="AI874" s="394"/>
      <c r="AJ874" s="394"/>
      <c r="AK874" s="381"/>
      <c r="AL874" s="408"/>
      <c r="AM874" s="385"/>
      <c r="AN874" s="475"/>
      <c r="AO874" s="395"/>
      <c r="AP874" s="395" t="e">
        <f t="shared" si="847"/>
        <v>#DIV/0!</v>
      </c>
      <c r="AQ874" s="393"/>
      <c r="AR874" s="523"/>
      <c r="AS874" s="393"/>
      <c r="AT874" s="544"/>
      <c r="AU874" s="394"/>
      <c r="AV874" s="394"/>
      <c r="AW874" s="394"/>
      <c r="AX874" s="394"/>
      <c r="AY874" s="394"/>
      <c r="AZ874" s="394"/>
      <c r="BA874" s="394"/>
      <c r="BB874" s="394"/>
      <c r="BC874" s="394"/>
      <c r="BD874" s="381"/>
      <c r="BE874" s="408"/>
      <c r="BF874" s="385"/>
      <c r="BG874" s="475"/>
      <c r="BH874" s="395"/>
      <c r="BI874" s="395" t="e">
        <f t="shared" si="844"/>
        <v>#DIV/0!</v>
      </c>
    </row>
    <row r="875" spans="1:61" s="358" customFormat="1" ht="19.2" x14ac:dyDescent="0.3">
      <c r="A875" s="359" t="s">
        <v>1865</v>
      </c>
      <c r="B875" s="537" t="s">
        <v>1372</v>
      </c>
      <c r="C875" s="546" t="s">
        <v>759</v>
      </c>
      <c r="D875" s="360">
        <v>0.22</v>
      </c>
      <c r="E875" s="393"/>
      <c r="F875" s="523">
        <v>1</v>
      </c>
      <c r="G875" s="393"/>
      <c r="H875" s="544">
        <v>8.5856499999999993</v>
      </c>
      <c r="I875" s="394">
        <v>6.4506399999999999</v>
      </c>
      <c r="J875" s="394">
        <v>5.2083300000000001</v>
      </c>
      <c r="K875" s="394"/>
      <c r="L875" s="394"/>
      <c r="M875" s="394">
        <v>0</v>
      </c>
      <c r="N875" s="394">
        <v>0</v>
      </c>
      <c r="O875" s="394">
        <v>0.49773000000000001</v>
      </c>
      <c r="P875" s="394">
        <v>5.2083300000000001</v>
      </c>
      <c r="Q875" s="394"/>
      <c r="R875" s="381" t="s">
        <v>167</v>
      </c>
      <c r="S875" s="408" t="s">
        <v>175</v>
      </c>
      <c r="T875" s="385"/>
      <c r="U875" s="475">
        <v>453</v>
      </c>
      <c r="V875" s="395"/>
      <c r="W875" s="395">
        <f t="shared" si="846"/>
        <v>8.5856499999999993</v>
      </c>
      <c r="X875" s="393"/>
      <c r="Y875" s="523"/>
      <c r="Z875" s="393"/>
      <c r="AA875" s="544"/>
      <c r="AB875" s="394"/>
      <c r="AC875" s="394"/>
      <c r="AD875" s="394"/>
      <c r="AE875" s="394"/>
      <c r="AF875" s="394"/>
      <c r="AG875" s="394"/>
      <c r="AH875" s="394"/>
      <c r="AI875" s="394"/>
      <c r="AJ875" s="394"/>
      <c r="AK875" s="381"/>
      <c r="AL875" s="408"/>
      <c r="AM875" s="385"/>
      <c r="AN875" s="475"/>
      <c r="AO875" s="395"/>
      <c r="AP875" s="395" t="e">
        <f t="shared" si="847"/>
        <v>#DIV/0!</v>
      </c>
      <c r="AQ875" s="393"/>
      <c r="AR875" s="523"/>
      <c r="AS875" s="393"/>
      <c r="AT875" s="544"/>
      <c r="AU875" s="394"/>
      <c r="AV875" s="394"/>
      <c r="AW875" s="394"/>
      <c r="AX875" s="394"/>
      <c r="AY875" s="394"/>
      <c r="AZ875" s="394"/>
      <c r="BA875" s="394"/>
      <c r="BB875" s="394"/>
      <c r="BC875" s="394"/>
      <c r="BD875" s="381"/>
      <c r="BE875" s="408"/>
      <c r="BF875" s="385"/>
      <c r="BG875" s="475"/>
      <c r="BH875" s="395"/>
      <c r="BI875" s="395" t="e">
        <f t="shared" si="844"/>
        <v>#DIV/0!</v>
      </c>
    </row>
    <row r="876" spans="1:61" s="358" customFormat="1" ht="19.2" x14ac:dyDescent="0.3">
      <c r="A876" s="359" t="s">
        <v>1866</v>
      </c>
      <c r="B876" s="537" t="s">
        <v>1373</v>
      </c>
      <c r="C876" s="546" t="s">
        <v>760</v>
      </c>
      <c r="D876" s="360">
        <v>0.22</v>
      </c>
      <c r="E876" s="393"/>
      <c r="F876" s="523">
        <v>1</v>
      </c>
      <c r="G876" s="393"/>
      <c r="H876" s="544">
        <v>7.35527</v>
      </c>
      <c r="I876" s="394">
        <v>6.4683599999999997</v>
      </c>
      <c r="J876" s="394">
        <v>5.2083500000000003</v>
      </c>
      <c r="K876" s="394"/>
      <c r="L876" s="394"/>
      <c r="M876" s="394">
        <v>0</v>
      </c>
      <c r="N876" s="394">
        <v>0</v>
      </c>
      <c r="O876" s="394">
        <v>0.20676</v>
      </c>
      <c r="P876" s="394">
        <v>5.2083500000000003</v>
      </c>
      <c r="Q876" s="394"/>
      <c r="R876" s="381" t="s">
        <v>167</v>
      </c>
      <c r="S876" s="408" t="s">
        <v>175</v>
      </c>
      <c r="T876" s="385"/>
      <c r="U876" s="475">
        <v>454</v>
      </c>
      <c r="V876" s="395"/>
      <c r="W876" s="395">
        <f t="shared" si="846"/>
        <v>7.35527</v>
      </c>
      <c r="X876" s="393"/>
      <c r="Y876" s="523"/>
      <c r="Z876" s="393"/>
      <c r="AA876" s="544"/>
      <c r="AB876" s="394"/>
      <c r="AC876" s="394"/>
      <c r="AD876" s="394"/>
      <c r="AE876" s="394"/>
      <c r="AF876" s="394"/>
      <c r="AG876" s="394"/>
      <c r="AH876" s="394"/>
      <c r="AI876" s="394"/>
      <c r="AJ876" s="394"/>
      <c r="AK876" s="381"/>
      <c r="AL876" s="408"/>
      <c r="AM876" s="385"/>
      <c r="AN876" s="475"/>
      <c r="AO876" s="395"/>
      <c r="AP876" s="395" t="e">
        <f t="shared" si="847"/>
        <v>#DIV/0!</v>
      </c>
      <c r="AQ876" s="393"/>
      <c r="AR876" s="523"/>
      <c r="AS876" s="393"/>
      <c r="AT876" s="544"/>
      <c r="AU876" s="394"/>
      <c r="AV876" s="394"/>
      <c r="AW876" s="394"/>
      <c r="AX876" s="394"/>
      <c r="AY876" s="394"/>
      <c r="AZ876" s="394"/>
      <c r="BA876" s="394"/>
      <c r="BB876" s="394"/>
      <c r="BC876" s="394"/>
      <c r="BD876" s="381"/>
      <c r="BE876" s="408"/>
      <c r="BF876" s="385"/>
      <c r="BG876" s="475"/>
      <c r="BH876" s="395"/>
      <c r="BI876" s="395" t="e">
        <f t="shared" ref="BI876:BI939" si="848">AT876/AR876</f>
        <v>#DIV/0!</v>
      </c>
    </row>
    <row r="877" spans="1:61" s="358" customFormat="1" ht="19.2" x14ac:dyDescent="0.3">
      <c r="A877" s="359" t="s">
        <v>1867</v>
      </c>
      <c r="B877" s="537" t="s">
        <v>294</v>
      </c>
      <c r="C877" s="546" t="s">
        <v>761</v>
      </c>
      <c r="D877" s="360">
        <v>0.22</v>
      </c>
      <c r="E877" s="393"/>
      <c r="F877" s="523">
        <v>1</v>
      </c>
      <c r="G877" s="393"/>
      <c r="H877" s="544">
        <v>7.3170799999999998</v>
      </c>
      <c r="I877" s="394">
        <v>6.4301700000000004</v>
      </c>
      <c r="J877" s="394">
        <v>5.2083500000000003</v>
      </c>
      <c r="K877" s="394"/>
      <c r="L877" s="394"/>
      <c r="M877" s="394">
        <v>0</v>
      </c>
      <c r="N877" s="394">
        <v>0</v>
      </c>
      <c r="O877" s="394">
        <v>0.20676</v>
      </c>
      <c r="P877" s="394">
        <v>5.2083500000000003</v>
      </c>
      <c r="Q877" s="394"/>
      <c r="R877" s="381" t="s">
        <v>167</v>
      </c>
      <c r="S877" s="408" t="s">
        <v>175</v>
      </c>
      <c r="T877" s="385"/>
      <c r="U877" s="475">
        <v>455</v>
      </c>
      <c r="V877" s="395"/>
      <c r="W877" s="395">
        <f t="shared" si="846"/>
        <v>7.3170799999999998</v>
      </c>
      <c r="X877" s="393"/>
      <c r="Y877" s="523"/>
      <c r="Z877" s="393"/>
      <c r="AA877" s="544"/>
      <c r="AB877" s="394"/>
      <c r="AC877" s="394"/>
      <c r="AD877" s="394"/>
      <c r="AE877" s="394"/>
      <c r="AF877" s="394"/>
      <c r="AG877" s="394"/>
      <c r="AH877" s="394"/>
      <c r="AI877" s="394"/>
      <c r="AJ877" s="394"/>
      <c r="AK877" s="381"/>
      <c r="AL877" s="408"/>
      <c r="AM877" s="385"/>
      <c r="AN877" s="475"/>
      <c r="AO877" s="395"/>
      <c r="AP877" s="395" t="e">
        <f t="shared" si="847"/>
        <v>#DIV/0!</v>
      </c>
      <c r="AQ877" s="393"/>
      <c r="AR877" s="523"/>
      <c r="AS877" s="393"/>
      <c r="AT877" s="544"/>
      <c r="AU877" s="394"/>
      <c r="AV877" s="394"/>
      <c r="AW877" s="394"/>
      <c r="AX877" s="394"/>
      <c r="AY877" s="394"/>
      <c r="AZ877" s="394"/>
      <c r="BA877" s="394"/>
      <c r="BB877" s="394"/>
      <c r="BC877" s="394"/>
      <c r="BD877" s="381"/>
      <c r="BE877" s="408"/>
      <c r="BF877" s="385"/>
      <c r="BG877" s="475"/>
      <c r="BH877" s="395"/>
      <c r="BI877" s="395" t="e">
        <f t="shared" si="848"/>
        <v>#DIV/0!</v>
      </c>
    </row>
    <row r="878" spans="1:61" s="358" customFormat="1" ht="19.2" x14ac:dyDescent="0.3">
      <c r="A878" s="359" t="s">
        <v>1868</v>
      </c>
      <c r="B878" s="537" t="s">
        <v>1374</v>
      </c>
      <c r="C878" s="546" t="s">
        <v>762</v>
      </c>
      <c r="D878" s="360">
        <v>0.22</v>
      </c>
      <c r="E878" s="393"/>
      <c r="F878" s="523">
        <v>1</v>
      </c>
      <c r="G878" s="393"/>
      <c r="H878" s="544">
        <v>7.0315500000000002</v>
      </c>
      <c r="I878" s="394">
        <v>6.1446399999999999</v>
      </c>
      <c r="J878" s="394">
        <v>5.2083500000000003</v>
      </c>
      <c r="K878" s="394"/>
      <c r="L878" s="394"/>
      <c r="M878" s="394">
        <v>0</v>
      </c>
      <c r="N878" s="394">
        <v>0</v>
      </c>
      <c r="O878" s="394">
        <v>0.20676</v>
      </c>
      <c r="P878" s="394">
        <v>5.2083500000000003</v>
      </c>
      <c r="Q878" s="394"/>
      <c r="R878" s="381" t="s">
        <v>167</v>
      </c>
      <c r="S878" s="408" t="s">
        <v>175</v>
      </c>
      <c r="T878" s="385"/>
      <c r="U878" s="475">
        <v>456</v>
      </c>
      <c r="V878" s="395"/>
      <c r="W878" s="395">
        <f t="shared" si="846"/>
        <v>7.0315500000000002</v>
      </c>
      <c r="X878" s="393"/>
      <c r="Y878" s="523"/>
      <c r="Z878" s="393"/>
      <c r="AA878" s="544"/>
      <c r="AB878" s="394"/>
      <c r="AC878" s="394"/>
      <c r="AD878" s="394"/>
      <c r="AE878" s="394"/>
      <c r="AF878" s="394"/>
      <c r="AG878" s="394"/>
      <c r="AH878" s="394"/>
      <c r="AI878" s="394"/>
      <c r="AJ878" s="394"/>
      <c r="AK878" s="381"/>
      <c r="AL878" s="408"/>
      <c r="AM878" s="385"/>
      <c r="AN878" s="475"/>
      <c r="AO878" s="395"/>
      <c r="AP878" s="395" t="e">
        <f t="shared" si="847"/>
        <v>#DIV/0!</v>
      </c>
      <c r="AQ878" s="393"/>
      <c r="AR878" s="523"/>
      <c r="AS878" s="393"/>
      <c r="AT878" s="544"/>
      <c r="AU878" s="394"/>
      <c r="AV878" s="394"/>
      <c r="AW878" s="394"/>
      <c r="AX878" s="394"/>
      <c r="AY878" s="394"/>
      <c r="AZ878" s="394"/>
      <c r="BA878" s="394"/>
      <c r="BB878" s="394"/>
      <c r="BC878" s="394"/>
      <c r="BD878" s="381"/>
      <c r="BE878" s="408"/>
      <c r="BF878" s="385"/>
      <c r="BG878" s="475"/>
      <c r="BH878" s="395"/>
      <c r="BI878" s="395" t="e">
        <f t="shared" si="848"/>
        <v>#DIV/0!</v>
      </c>
    </row>
    <row r="879" spans="1:61" s="358" customFormat="1" ht="19.2" x14ac:dyDescent="0.3">
      <c r="A879" s="359" t="s">
        <v>1869</v>
      </c>
      <c r="B879" s="537" t="s">
        <v>299</v>
      </c>
      <c r="C879" s="546" t="s">
        <v>281</v>
      </c>
      <c r="D879" s="360">
        <v>0.22</v>
      </c>
      <c r="E879" s="393"/>
      <c r="F879" s="523">
        <v>1</v>
      </c>
      <c r="G879" s="393"/>
      <c r="H879" s="544">
        <v>7.0315500000000002</v>
      </c>
      <c r="I879" s="394">
        <v>6.1446399999999999</v>
      </c>
      <c r="J879" s="394">
        <v>5.2083500000000003</v>
      </c>
      <c r="K879" s="394"/>
      <c r="L879" s="394"/>
      <c r="M879" s="394">
        <v>0</v>
      </c>
      <c r="N879" s="394">
        <v>0</v>
      </c>
      <c r="O879" s="394">
        <v>0.20676</v>
      </c>
      <c r="P879" s="394">
        <v>5.2083500000000003</v>
      </c>
      <c r="Q879" s="394"/>
      <c r="R879" s="381" t="s">
        <v>167</v>
      </c>
      <c r="S879" s="408" t="s">
        <v>175</v>
      </c>
      <c r="T879" s="385"/>
      <c r="U879" s="475">
        <v>457</v>
      </c>
      <c r="V879" s="395"/>
      <c r="W879" s="395">
        <f t="shared" si="846"/>
        <v>7.0315500000000002</v>
      </c>
      <c r="X879" s="393"/>
      <c r="Y879" s="523"/>
      <c r="Z879" s="393"/>
      <c r="AA879" s="544"/>
      <c r="AB879" s="394"/>
      <c r="AC879" s="394"/>
      <c r="AD879" s="394"/>
      <c r="AE879" s="394"/>
      <c r="AF879" s="394"/>
      <c r="AG879" s="394"/>
      <c r="AH879" s="394"/>
      <c r="AI879" s="394"/>
      <c r="AJ879" s="394"/>
      <c r="AK879" s="381"/>
      <c r="AL879" s="408"/>
      <c r="AM879" s="385"/>
      <c r="AN879" s="475"/>
      <c r="AO879" s="395"/>
      <c r="AP879" s="395" t="e">
        <f t="shared" si="847"/>
        <v>#DIV/0!</v>
      </c>
      <c r="AQ879" s="393"/>
      <c r="AR879" s="523"/>
      <c r="AS879" s="393"/>
      <c r="AT879" s="544"/>
      <c r="AU879" s="394"/>
      <c r="AV879" s="394"/>
      <c r="AW879" s="394"/>
      <c r="AX879" s="394"/>
      <c r="AY879" s="394"/>
      <c r="AZ879" s="394"/>
      <c r="BA879" s="394"/>
      <c r="BB879" s="394"/>
      <c r="BC879" s="394"/>
      <c r="BD879" s="381"/>
      <c r="BE879" s="408"/>
      <c r="BF879" s="385"/>
      <c r="BG879" s="475"/>
      <c r="BH879" s="395"/>
      <c r="BI879" s="395" t="e">
        <f t="shared" si="848"/>
        <v>#DIV/0!</v>
      </c>
    </row>
    <row r="880" spans="1:61" s="358" customFormat="1" ht="19.2" x14ac:dyDescent="0.3">
      <c r="A880" s="359" t="s">
        <v>1886</v>
      </c>
      <c r="B880" s="537" t="s">
        <v>1375</v>
      </c>
      <c r="C880" s="546" t="s">
        <v>763</v>
      </c>
      <c r="D880" s="360">
        <v>0.22</v>
      </c>
      <c r="E880" s="393"/>
      <c r="F880" s="523">
        <v>1</v>
      </c>
      <c r="G880" s="393"/>
      <c r="H880" s="544">
        <v>8.7383699999999997</v>
      </c>
      <c r="I880" s="394">
        <v>6.6033600000000003</v>
      </c>
      <c r="J880" s="394">
        <v>5.2083300000000001</v>
      </c>
      <c r="K880" s="394"/>
      <c r="L880" s="394"/>
      <c r="M880" s="394">
        <v>0</v>
      </c>
      <c r="N880" s="394">
        <v>0</v>
      </c>
      <c r="O880" s="394">
        <v>0.49773000000000001</v>
      </c>
      <c r="P880" s="394">
        <v>5.2083300000000001</v>
      </c>
      <c r="Q880" s="394"/>
      <c r="R880" s="381" t="s">
        <v>167</v>
      </c>
      <c r="S880" s="408" t="s">
        <v>175</v>
      </c>
      <c r="T880" s="385"/>
      <c r="U880" s="475">
        <v>458</v>
      </c>
      <c r="V880" s="395"/>
      <c r="W880" s="395">
        <f t="shared" si="846"/>
        <v>8.7383699999999997</v>
      </c>
      <c r="X880" s="393"/>
      <c r="Y880" s="523"/>
      <c r="Z880" s="393"/>
      <c r="AA880" s="544"/>
      <c r="AB880" s="394"/>
      <c r="AC880" s="394"/>
      <c r="AD880" s="394"/>
      <c r="AE880" s="394"/>
      <c r="AF880" s="394"/>
      <c r="AG880" s="394"/>
      <c r="AH880" s="394"/>
      <c r="AI880" s="394"/>
      <c r="AJ880" s="394"/>
      <c r="AK880" s="381"/>
      <c r="AL880" s="408"/>
      <c r="AM880" s="385"/>
      <c r="AN880" s="475"/>
      <c r="AO880" s="395"/>
      <c r="AP880" s="395" t="e">
        <f t="shared" si="847"/>
        <v>#DIV/0!</v>
      </c>
      <c r="AQ880" s="393"/>
      <c r="AR880" s="523"/>
      <c r="AS880" s="393"/>
      <c r="AT880" s="544"/>
      <c r="AU880" s="394"/>
      <c r="AV880" s="394"/>
      <c r="AW880" s="394"/>
      <c r="AX880" s="394"/>
      <c r="AY880" s="394"/>
      <c r="AZ880" s="394"/>
      <c r="BA880" s="394"/>
      <c r="BB880" s="394"/>
      <c r="BC880" s="394"/>
      <c r="BD880" s="381"/>
      <c r="BE880" s="408"/>
      <c r="BF880" s="385"/>
      <c r="BG880" s="475"/>
      <c r="BH880" s="395"/>
      <c r="BI880" s="395" t="e">
        <f t="shared" si="848"/>
        <v>#DIV/0!</v>
      </c>
    </row>
    <row r="881" spans="1:61" s="358" customFormat="1" ht="19.2" x14ac:dyDescent="0.3">
      <c r="A881" s="359" t="s">
        <v>1871</v>
      </c>
      <c r="B881" s="537" t="s">
        <v>1376</v>
      </c>
      <c r="C881" s="546" t="s">
        <v>764</v>
      </c>
      <c r="D881" s="360">
        <v>0.22</v>
      </c>
      <c r="E881" s="393"/>
      <c r="F881" s="523">
        <v>1</v>
      </c>
      <c r="G881" s="393"/>
      <c r="H881" s="544">
        <v>8.8094400000000004</v>
      </c>
      <c r="I881" s="394">
        <v>6.6744300000000001</v>
      </c>
      <c r="J881" s="394">
        <v>5.2083300000000001</v>
      </c>
      <c r="K881" s="394"/>
      <c r="L881" s="394"/>
      <c r="M881" s="394">
        <v>0</v>
      </c>
      <c r="N881" s="394">
        <v>0</v>
      </c>
      <c r="O881" s="394">
        <v>0.49773000000000001</v>
      </c>
      <c r="P881" s="394">
        <v>5.2083300000000001</v>
      </c>
      <c r="Q881" s="394"/>
      <c r="R881" s="381" t="s">
        <v>167</v>
      </c>
      <c r="S881" s="408" t="s">
        <v>175</v>
      </c>
      <c r="T881" s="385"/>
      <c r="U881" s="475">
        <v>459</v>
      </c>
      <c r="V881" s="395"/>
      <c r="W881" s="395">
        <f t="shared" si="846"/>
        <v>8.8094400000000004</v>
      </c>
      <c r="X881" s="393"/>
      <c r="Y881" s="523"/>
      <c r="Z881" s="393"/>
      <c r="AA881" s="544"/>
      <c r="AB881" s="394"/>
      <c r="AC881" s="394"/>
      <c r="AD881" s="394"/>
      <c r="AE881" s="394"/>
      <c r="AF881" s="394"/>
      <c r="AG881" s="394"/>
      <c r="AH881" s="394"/>
      <c r="AI881" s="394"/>
      <c r="AJ881" s="394"/>
      <c r="AK881" s="381"/>
      <c r="AL881" s="408"/>
      <c r="AM881" s="385"/>
      <c r="AN881" s="475"/>
      <c r="AO881" s="395"/>
      <c r="AP881" s="395" t="e">
        <f t="shared" si="847"/>
        <v>#DIV/0!</v>
      </c>
      <c r="AQ881" s="393"/>
      <c r="AR881" s="523"/>
      <c r="AS881" s="393"/>
      <c r="AT881" s="544"/>
      <c r="AU881" s="394"/>
      <c r="AV881" s="394"/>
      <c r="AW881" s="394"/>
      <c r="AX881" s="394"/>
      <c r="AY881" s="394"/>
      <c r="AZ881" s="394"/>
      <c r="BA881" s="394"/>
      <c r="BB881" s="394"/>
      <c r="BC881" s="394"/>
      <c r="BD881" s="381"/>
      <c r="BE881" s="408"/>
      <c r="BF881" s="385"/>
      <c r="BG881" s="475"/>
      <c r="BH881" s="395"/>
      <c r="BI881" s="395" t="e">
        <f t="shared" si="848"/>
        <v>#DIV/0!</v>
      </c>
    </row>
    <row r="882" spans="1:61" s="358" customFormat="1" ht="19.2" x14ac:dyDescent="0.3">
      <c r="A882" s="359" t="s">
        <v>1872</v>
      </c>
      <c r="B882" s="537" t="s">
        <v>1377</v>
      </c>
      <c r="C882" s="546" t="s">
        <v>765</v>
      </c>
      <c r="D882" s="360">
        <v>0.22</v>
      </c>
      <c r="E882" s="393"/>
      <c r="F882" s="523">
        <v>1</v>
      </c>
      <c r="G882" s="393"/>
      <c r="H882" s="544">
        <v>8.7383699999999997</v>
      </c>
      <c r="I882" s="394">
        <v>6.6033600000000003</v>
      </c>
      <c r="J882" s="394">
        <v>5.2083300000000001</v>
      </c>
      <c r="K882" s="394"/>
      <c r="L882" s="394"/>
      <c r="M882" s="394">
        <v>0</v>
      </c>
      <c r="N882" s="394">
        <v>0</v>
      </c>
      <c r="O882" s="394">
        <v>0.49773000000000001</v>
      </c>
      <c r="P882" s="394">
        <v>5.2083300000000001</v>
      </c>
      <c r="Q882" s="394"/>
      <c r="R882" s="381" t="s">
        <v>167</v>
      </c>
      <c r="S882" s="408" t="s">
        <v>175</v>
      </c>
      <c r="T882" s="385"/>
      <c r="U882" s="475">
        <v>460</v>
      </c>
      <c r="V882" s="395"/>
      <c r="W882" s="395">
        <f t="shared" si="846"/>
        <v>8.7383699999999997</v>
      </c>
      <c r="X882" s="393"/>
      <c r="Y882" s="523"/>
      <c r="Z882" s="393"/>
      <c r="AA882" s="544"/>
      <c r="AB882" s="394"/>
      <c r="AC882" s="394"/>
      <c r="AD882" s="394"/>
      <c r="AE882" s="394"/>
      <c r="AF882" s="394"/>
      <c r="AG882" s="394"/>
      <c r="AH882" s="394"/>
      <c r="AI882" s="394"/>
      <c r="AJ882" s="394"/>
      <c r="AK882" s="381"/>
      <c r="AL882" s="408"/>
      <c r="AM882" s="385"/>
      <c r="AN882" s="475"/>
      <c r="AO882" s="395"/>
      <c r="AP882" s="395" t="e">
        <f t="shared" si="847"/>
        <v>#DIV/0!</v>
      </c>
      <c r="AQ882" s="393"/>
      <c r="AR882" s="523"/>
      <c r="AS882" s="393"/>
      <c r="AT882" s="544"/>
      <c r="AU882" s="394"/>
      <c r="AV882" s="394"/>
      <c r="AW882" s="394"/>
      <c r="AX882" s="394"/>
      <c r="AY882" s="394"/>
      <c r="AZ882" s="394"/>
      <c r="BA882" s="394"/>
      <c r="BB882" s="394"/>
      <c r="BC882" s="394"/>
      <c r="BD882" s="381"/>
      <c r="BE882" s="408"/>
      <c r="BF882" s="385"/>
      <c r="BG882" s="475"/>
      <c r="BH882" s="395"/>
      <c r="BI882" s="395" t="e">
        <f t="shared" si="848"/>
        <v>#DIV/0!</v>
      </c>
    </row>
    <row r="883" spans="1:61" s="358" customFormat="1" ht="19.2" x14ac:dyDescent="0.3">
      <c r="A883" s="359" t="s">
        <v>408</v>
      </c>
      <c r="B883" s="537" t="s">
        <v>1378</v>
      </c>
      <c r="C883" s="546" t="s">
        <v>766</v>
      </c>
      <c r="D883" s="360">
        <v>0.22</v>
      </c>
      <c r="E883" s="393"/>
      <c r="F883" s="523">
        <v>1</v>
      </c>
      <c r="G883" s="393"/>
      <c r="H883" s="544">
        <v>8.7383699999999997</v>
      </c>
      <c r="I883" s="394">
        <v>6.6033600000000003</v>
      </c>
      <c r="J883" s="394">
        <v>5.2083300000000001</v>
      </c>
      <c r="K883" s="394"/>
      <c r="L883" s="394"/>
      <c r="M883" s="394">
        <v>0</v>
      </c>
      <c r="N883" s="394">
        <v>0</v>
      </c>
      <c r="O883" s="394">
        <v>0.49773000000000001</v>
      </c>
      <c r="P883" s="394">
        <v>5.2083300000000001</v>
      </c>
      <c r="Q883" s="394"/>
      <c r="R883" s="381" t="s">
        <v>167</v>
      </c>
      <c r="S883" s="408" t="s">
        <v>175</v>
      </c>
      <c r="T883" s="385"/>
      <c r="U883" s="475">
        <v>461</v>
      </c>
      <c r="V883" s="395"/>
      <c r="W883" s="395">
        <f t="shared" si="846"/>
        <v>8.7383699999999997</v>
      </c>
      <c r="X883" s="393"/>
      <c r="Y883" s="523"/>
      <c r="Z883" s="393"/>
      <c r="AA883" s="544"/>
      <c r="AB883" s="394"/>
      <c r="AC883" s="394"/>
      <c r="AD883" s="394"/>
      <c r="AE883" s="394"/>
      <c r="AF883" s="394"/>
      <c r="AG883" s="394"/>
      <c r="AH883" s="394"/>
      <c r="AI883" s="394"/>
      <c r="AJ883" s="394"/>
      <c r="AK883" s="381"/>
      <c r="AL883" s="408"/>
      <c r="AM883" s="385"/>
      <c r="AN883" s="475"/>
      <c r="AO883" s="395"/>
      <c r="AP883" s="395" t="e">
        <f t="shared" si="847"/>
        <v>#DIV/0!</v>
      </c>
      <c r="AQ883" s="393"/>
      <c r="AR883" s="523"/>
      <c r="AS883" s="393"/>
      <c r="AT883" s="544"/>
      <c r="AU883" s="394"/>
      <c r="AV883" s="394"/>
      <c r="AW883" s="394"/>
      <c r="AX883" s="394"/>
      <c r="AY883" s="394"/>
      <c r="AZ883" s="394"/>
      <c r="BA883" s="394"/>
      <c r="BB883" s="394"/>
      <c r="BC883" s="394"/>
      <c r="BD883" s="381"/>
      <c r="BE883" s="408"/>
      <c r="BF883" s="385"/>
      <c r="BG883" s="475"/>
      <c r="BH883" s="395"/>
      <c r="BI883" s="395" t="e">
        <f t="shared" si="848"/>
        <v>#DIV/0!</v>
      </c>
    </row>
    <row r="884" spans="1:61" s="358" customFormat="1" ht="19.2" x14ac:dyDescent="0.3">
      <c r="A884" s="359" t="s">
        <v>1890</v>
      </c>
      <c r="B884" s="537" t="s">
        <v>1379</v>
      </c>
      <c r="C884" s="546" t="s">
        <v>767</v>
      </c>
      <c r="D884" s="360">
        <v>0.22</v>
      </c>
      <c r="E884" s="393"/>
      <c r="F884" s="523">
        <v>1</v>
      </c>
      <c r="G884" s="393"/>
      <c r="H884" s="544">
        <v>8.7383699999999997</v>
      </c>
      <c r="I884" s="394">
        <v>6.6033600000000003</v>
      </c>
      <c r="J884" s="394">
        <v>5.2083300000000001</v>
      </c>
      <c r="K884" s="394"/>
      <c r="L884" s="394"/>
      <c r="M884" s="394">
        <v>0</v>
      </c>
      <c r="N884" s="394">
        <v>0</v>
      </c>
      <c r="O884" s="394">
        <v>0.49773000000000001</v>
      </c>
      <c r="P884" s="394">
        <v>5.2083300000000001</v>
      </c>
      <c r="Q884" s="394"/>
      <c r="R884" s="381" t="s">
        <v>167</v>
      </c>
      <c r="S884" s="408" t="s">
        <v>175</v>
      </c>
      <c r="T884" s="385"/>
      <c r="U884" s="475">
        <v>462</v>
      </c>
      <c r="V884" s="395"/>
      <c r="W884" s="395">
        <f t="shared" si="846"/>
        <v>8.7383699999999997</v>
      </c>
      <c r="X884" s="393"/>
      <c r="Y884" s="523"/>
      <c r="Z884" s="393"/>
      <c r="AA884" s="544"/>
      <c r="AB884" s="394"/>
      <c r="AC884" s="394"/>
      <c r="AD884" s="394"/>
      <c r="AE884" s="394"/>
      <c r="AF884" s="394"/>
      <c r="AG884" s="394"/>
      <c r="AH884" s="394"/>
      <c r="AI884" s="394"/>
      <c r="AJ884" s="394"/>
      <c r="AK884" s="381"/>
      <c r="AL884" s="408"/>
      <c r="AM884" s="385"/>
      <c r="AN884" s="475"/>
      <c r="AO884" s="395"/>
      <c r="AP884" s="395" t="e">
        <f t="shared" si="847"/>
        <v>#DIV/0!</v>
      </c>
      <c r="AQ884" s="393"/>
      <c r="AR884" s="523"/>
      <c r="AS884" s="393"/>
      <c r="AT884" s="544"/>
      <c r="AU884" s="394"/>
      <c r="AV884" s="394"/>
      <c r="AW884" s="394"/>
      <c r="AX884" s="394"/>
      <c r="AY884" s="394"/>
      <c r="AZ884" s="394"/>
      <c r="BA884" s="394"/>
      <c r="BB884" s="394"/>
      <c r="BC884" s="394"/>
      <c r="BD884" s="381"/>
      <c r="BE884" s="408"/>
      <c r="BF884" s="385"/>
      <c r="BG884" s="475"/>
      <c r="BH884" s="395"/>
      <c r="BI884" s="395" t="e">
        <f t="shared" si="848"/>
        <v>#DIV/0!</v>
      </c>
    </row>
    <row r="885" spans="1:61" s="358" customFormat="1" ht="19.2" x14ac:dyDescent="0.3">
      <c r="A885" s="359" t="s">
        <v>1875</v>
      </c>
      <c r="B885" s="537" t="s">
        <v>294</v>
      </c>
      <c r="C885" s="546" t="s">
        <v>768</v>
      </c>
      <c r="D885" s="360">
        <v>0.22</v>
      </c>
      <c r="E885" s="393"/>
      <c r="F885" s="523">
        <v>1</v>
      </c>
      <c r="G885" s="393"/>
      <c r="H885" s="544">
        <v>8.8094400000000004</v>
      </c>
      <c r="I885" s="394">
        <v>6.6744300000000001</v>
      </c>
      <c r="J885" s="394">
        <v>5.2083300000000001</v>
      </c>
      <c r="K885" s="394"/>
      <c r="L885" s="394"/>
      <c r="M885" s="394">
        <v>0</v>
      </c>
      <c r="N885" s="394">
        <v>0</v>
      </c>
      <c r="O885" s="394">
        <v>0.49773000000000001</v>
      </c>
      <c r="P885" s="394">
        <v>5.2083300000000001</v>
      </c>
      <c r="Q885" s="394"/>
      <c r="R885" s="381" t="s">
        <v>167</v>
      </c>
      <c r="S885" s="408" t="s">
        <v>175</v>
      </c>
      <c r="T885" s="385"/>
      <c r="U885" s="475">
        <v>463</v>
      </c>
      <c r="V885" s="395"/>
      <c r="W885" s="395">
        <f t="shared" si="846"/>
        <v>8.8094400000000004</v>
      </c>
      <c r="X885" s="393"/>
      <c r="Y885" s="523"/>
      <c r="Z885" s="393"/>
      <c r="AA885" s="544"/>
      <c r="AB885" s="394"/>
      <c r="AC885" s="394"/>
      <c r="AD885" s="394"/>
      <c r="AE885" s="394"/>
      <c r="AF885" s="394"/>
      <c r="AG885" s="394"/>
      <c r="AH885" s="394"/>
      <c r="AI885" s="394"/>
      <c r="AJ885" s="394"/>
      <c r="AK885" s="381"/>
      <c r="AL885" s="408"/>
      <c r="AM885" s="385"/>
      <c r="AN885" s="475"/>
      <c r="AO885" s="395"/>
      <c r="AP885" s="395" t="e">
        <f t="shared" si="847"/>
        <v>#DIV/0!</v>
      </c>
      <c r="AQ885" s="393"/>
      <c r="AR885" s="523"/>
      <c r="AS885" s="393"/>
      <c r="AT885" s="544"/>
      <c r="AU885" s="394"/>
      <c r="AV885" s="394"/>
      <c r="AW885" s="394"/>
      <c r="AX885" s="394"/>
      <c r="AY885" s="394"/>
      <c r="AZ885" s="394"/>
      <c r="BA885" s="394"/>
      <c r="BB885" s="394"/>
      <c r="BC885" s="394"/>
      <c r="BD885" s="381"/>
      <c r="BE885" s="408"/>
      <c r="BF885" s="385"/>
      <c r="BG885" s="475"/>
      <c r="BH885" s="395"/>
      <c r="BI885" s="395" t="e">
        <f t="shared" si="848"/>
        <v>#DIV/0!</v>
      </c>
    </row>
    <row r="886" spans="1:61" s="358" customFormat="1" ht="19.2" x14ac:dyDescent="0.3">
      <c r="A886" s="359" t="s">
        <v>1876</v>
      </c>
      <c r="B886" s="537" t="s">
        <v>294</v>
      </c>
      <c r="C886" s="546" t="s">
        <v>769</v>
      </c>
      <c r="D886" s="360">
        <v>0.22</v>
      </c>
      <c r="E886" s="393"/>
      <c r="F886" s="523">
        <v>1</v>
      </c>
      <c r="G886" s="393"/>
      <c r="H886" s="544">
        <v>8.8094300000000008</v>
      </c>
      <c r="I886" s="394">
        <v>6.6744300000000001</v>
      </c>
      <c r="J886" s="394">
        <v>5.2083300000000001</v>
      </c>
      <c r="K886" s="394"/>
      <c r="L886" s="394"/>
      <c r="M886" s="394">
        <v>0</v>
      </c>
      <c r="N886" s="394">
        <v>0</v>
      </c>
      <c r="O886" s="394">
        <v>0.49773000000000001</v>
      </c>
      <c r="P886" s="394">
        <v>5.2083300000000001</v>
      </c>
      <c r="Q886" s="394"/>
      <c r="R886" s="381" t="s">
        <v>167</v>
      </c>
      <c r="S886" s="408" t="s">
        <v>175</v>
      </c>
      <c r="T886" s="385"/>
      <c r="U886" s="475">
        <v>464</v>
      </c>
      <c r="V886" s="395"/>
      <c r="W886" s="395">
        <f t="shared" si="846"/>
        <v>8.8094300000000008</v>
      </c>
      <c r="X886" s="393"/>
      <c r="Y886" s="523"/>
      <c r="Z886" s="393"/>
      <c r="AA886" s="544"/>
      <c r="AB886" s="394"/>
      <c r="AC886" s="394"/>
      <c r="AD886" s="394"/>
      <c r="AE886" s="394"/>
      <c r="AF886" s="394"/>
      <c r="AG886" s="394"/>
      <c r="AH886" s="394"/>
      <c r="AI886" s="394"/>
      <c r="AJ886" s="394"/>
      <c r="AK886" s="381"/>
      <c r="AL886" s="408"/>
      <c r="AM886" s="385"/>
      <c r="AN886" s="475"/>
      <c r="AO886" s="395"/>
      <c r="AP886" s="395" t="e">
        <f t="shared" si="847"/>
        <v>#DIV/0!</v>
      </c>
      <c r="AQ886" s="393"/>
      <c r="AR886" s="523"/>
      <c r="AS886" s="393"/>
      <c r="AT886" s="544"/>
      <c r="AU886" s="394"/>
      <c r="AV886" s="394"/>
      <c r="AW886" s="394"/>
      <c r="AX886" s="394"/>
      <c r="AY886" s="394"/>
      <c r="AZ886" s="394"/>
      <c r="BA886" s="394"/>
      <c r="BB886" s="394"/>
      <c r="BC886" s="394"/>
      <c r="BD886" s="381"/>
      <c r="BE886" s="408"/>
      <c r="BF886" s="385"/>
      <c r="BG886" s="475"/>
      <c r="BH886" s="395"/>
      <c r="BI886" s="395" t="e">
        <f t="shared" si="848"/>
        <v>#DIV/0!</v>
      </c>
    </row>
    <row r="887" spans="1:61" s="358" customFormat="1" ht="19.2" x14ac:dyDescent="0.3">
      <c r="A887" s="359" t="s">
        <v>1877</v>
      </c>
      <c r="B887" s="537" t="s">
        <v>1380</v>
      </c>
      <c r="C887" s="546" t="s">
        <v>770</v>
      </c>
      <c r="D887" s="360">
        <v>0.22</v>
      </c>
      <c r="E887" s="393"/>
      <c r="F887" s="523">
        <v>1</v>
      </c>
      <c r="G887" s="393"/>
      <c r="H887" s="544">
        <v>7.3896600000000001</v>
      </c>
      <c r="I887" s="394">
        <v>6.5027499999999998</v>
      </c>
      <c r="J887" s="394">
        <v>5.2083300000000001</v>
      </c>
      <c r="K887" s="394"/>
      <c r="L887" s="394"/>
      <c r="M887" s="394">
        <v>0</v>
      </c>
      <c r="N887" s="394">
        <v>0</v>
      </c>
      <c r="O887" s="394">
        <v>0.20676</v>
      </c>
      <c r="P887" s="394">
        <v>5.2083300000000001</v>
      </c>
      <c r="Q887" s="394"/>
      <c r="R887" s="381" t="s">
        <v>167</v>
      </c>
      <c r="S887" s="408" t="s">
        <v>175</v>
      </c>
      <c r="T887" s="385"/>
      <c r="U887" s="475">
        <v>465</v>
      </c>
      <c r="V887" s="395"/>
      <c r="W887" s="395">
        <f t="shared" si="846"/>
        <v>7.3896600000000001</v>
      </c>
      <c r="X887" s="393"/>
      <c r="Y887" s="523"/>
      <c r="Z887" s="393"/>
      <c r="AA887" s="544"/>
      <c r="AB887" s="394"/>
      <c r="AC887" s="394"/>
      <c r="AD887" s="394"/>
      <c r="AE887" s="394"/>
      <c r="AF887" s="394"/>
      <c r="AG887" s="394"/>
      <c r="AH887" s="394"/>
      <c r="AI887" s="394"/>
      <c r="AJ887" s="394"/>
      <c r="AK887" s="381"/>
      <c r="AL887" s="408"/>
      <c r="AM887" s="385"/>
      <c r="AN887" s="475"/>
      <c r="AO887" s="395"/>
      <c r="AP887" s="395" t="e">
        <f t="shared" si="847"/>
        <v>#DIV/0!</v>
      </c>
      <c r="AQ887" s="393"/>
      <c r="AR887" s="523"/>
      <c r="AS887" s="393"/>
      <c r="AT887" s="544"/>
      <c r="AU887" s="394"/>
      <c r="AV887" s="394"/>
      <c r="AW887" s="394"/>
      <c r="AX887" s="394"/>
      <c r="AY887" s="394"/>
      <c r="AZ887" s="394"/>
      <c r="BA887" s="394"/>
      <c r="BB887" s="394"/>
      <c r="BC887" s="394"/>
      <c r="BD887" s="381"/>
      <c r="BE887" s="408"/>
      <c r="BF887" s="385"/>
      <c r="BG887" s="475"/>
      <c r="BH887" s="395"/>
      <c r="BI887" s="395" t="e">
        <f t="shared" si="848"/>
        <v>#DIV/0!</v>
      </c>
    </row>
    <row r="888" spans="1:61" s="358" customFormat="1" ht="19.2" x14ac:dyDescent="0.3">
      <c r="A888" s="359" t="s">
        <v>1878</v>
      </c>
      <c r="B888" s="537" t="s">
        <v>594</v>
      </c>
      <c r="C888" s="546" t="s">
        <v>466</v>
      </c>
      <c r="D888" s="360">
        <v>0.22</v>
      </c>
      <c r="E888" s="393"/>
      <c r="F888" s="523">
        <v>1</v>
      </c>
      <c r="G888" s="393"/>
      <c r="H888" s="544">
        <v>7.4251899999999997</v>
      </c>
      <c r="I888" s="394">
        <v>6.5382800000000003</v>
      </c>
      <c r="J888" s="394">
        <v>5.2083300000000001</v>
      </c>
      <c r="K888" s="394"/>
      <c r="L888" s="394"/>
      <c r="M888" s="394">
        <v>0</v>
      </c>
      <c r="N888" s="394">
        <v>0</v>
      </c>
      <c r="O888" s="394">
        <v>0.20676</v>
      </c>
      <c r="P888" s="394">
        <v>5.2083300000000001</v>
      </c>
      <c r="Q888" s="394"/>
      <c r="R888" s="381" t="s">
        <v>167</v>
      </c>
      <c r="S888" s="408" t="s">
        <v>175</v>
      </c>
      <c r="T888" s="385"/>
      <c r="U888" s="475">
        <v>466</v>
      </c>
      <c r="V888" s="395"/>
      <c r="W888" s="395">
        <f t="shared" si="846"/>
        <v>7.4251899999999997</v>
      </c>
      <c r="X888" s="393"/>
      <c r="Y888" s="523"/>
      <c r="Z888" s="393"/>
      <c r="AA888" s="544"/>
      <c r="AB888" s="394"/>
      <c r="AC888" s="394"/>
      <c r="AD888" s="394"/>
      <c r="AE888" s="394"/>
      <c r="AF888" s="394"/>
      <c r="AG888" s="394"/>
      <c r="AH888" s="394"/>
      <c r="AI888" s="394"/>
      <c r="AJ888" s="394"/>
      <c r="AK888" s="381"/>
      <c r="AL888" s="408"/>
      <c r="AM888" s="385"/>
      <c r="AN888" s="475"/>
      <c r="AO888" s="395"/>
      <c r="AP888" s="395" t="e">
        <f t="shared" si="847"/>
        <v>#DIV/0!</v>
      </c>
      <c r="AQ888" s="393"/>
      <c r="AR888" s="523"/>
      <c r="AS888" s="393"/>
      <c r="AT888" s="544"/>
      <c r="AU888" s="394"/>
      <c r="AV888" s="394"/>
      <c r="AW888" s="394"/>
      <c r="AX888" s="394"/>
      <c r="AY888" s="394"/>
      <c r="AZ888" s="394"/>
      <c r="BA888" s="394"/>
      <c r="BB888" s="394"/>
      <c r="BC888" s="394"/>
      <c r="BD888" s="381"/>
      <c r="BE888" s="408"/>
      <c r="BF888" s="385"/>
      <c r="BG888" s="475"/>
      <c r="BH888" s="395"/>
      <c r="BI888" s="395" t="e">
        <f t="shared" si="848"/>
        <v>#DIV/0!</v>
      </c>
    </row>
    <row r="889" spans="1:61" s="358" customFormat="1" ht="19.2" x14ac:dyDescent="0.3">
      <c r="A889" s="359" t="s">
        <v>1879</v>
      </c>
      <c r="B889" s="537" t="s">
        <v>1381</v>
      </c>
      <c r="C889" s="546" t="s">
        <v>771</v>
      </c>
      <c r="D889" s="360">
        <v>0.22</v>
      </c>
      <c r="E889" s="393"/>
      <c r="F889" s="523">
        <v>1</v>
      </c>
      <c r="G889" s="393"/>
      <c r="H889" s="544">
        <v>8.4857099999999992</v>
      </c>
      <c r="I889" s="394">
        <v>6.3506999999999998</v>
      </c>
      <c r="J889" s="394">
        <v>5.2083300000000001</v>
      </c>
      <c r="K889" s="394"/>
      <c r="L889" s="394"/>
      <c r="M889" s="394">
        <v>0</v>
      </c>
      <c r="N889" s="394">
        <v>0</v>
      </c>
      <c r="O889" s="394">
        <v>0.49773000000000001</v>
      </c>
      <c r="P889" s="394">
        <v>5.2083300000000001</v>
      </c>
      <c r="Q889" s="394"/>
      <c r="R889" s="381" t="s">
        <v>167</v>
      </c>
      <c r="S889" s="408" t="s">
        <v>175</v>
      </c>
      <c r="T889" s="385"/>
      <c r="U889" s="475">
        <v>467</v>
      </c>
      <c r="V889" s="395"/>
      <c r="W889" s="395">
        <f t="shared" si="846"/>
        <v>8.4857099999999992</v>
      </c>
      <c r="X889" s="393"/>
      <c r="Y889" s="523"/>
      <c r="Z889" s="393"/>
      <c r="AA889" s="544"/>
      <c r="AB889" s="394"/>
      <c r="AC889" s="394"/>
      <c r="AD889" s="394"/>
      <c r="AE889" s="394"/>
      <c r="AF889" s="394"/>
      <c r="AG889" s="394"/>
      <c r="AH889" s="394"/>
      <c r="AI889" s="394"/>
      <c r="AJ889" s="394"/>
      <c r="AK889" s="381"/>
      <c r="AL889" s="408"/>
      <c r="AM889" s="385"/>
      <c r="AN889" s="475"/>
      <c r="AO889" s="395"/>
      <c r="AP889" s="395" t="e">
        <f t="shared" si="847"/>
        <v>#DIV/0!</v>
      </c>
      <c r="AQ889" s="393"/>
      <c r="AR889" s="523"/>
      <c r="AS889" s="393"/>
      <c r="AT889" s="544"/>
      <c r="AU889" s="394"/>
      <c r="AV889" s="394"/>
      <c r="AW889" s="394"/>
      <c r="AX889" s="394"/>
      <c r="AY889" s="394"/>
      <c r="AZ889" s="394"/>
      <c r="BA889" s="394"/>
      <c r="BB889" s="394"/>
      <c r="BC889" s="394"/>
      <c r="BD889" s="381"/>
      <c r="BE889" s="408"/>
      <c r="BF889" s="385"/>
      <c r="BG889" s="475"/>
      <c r="BH889" s="395"/>
      <c r="BI889" s="395" t="e">
        <f t="shared" si="848"/>
        <v>#DIV/0!</v>
      </c>
    </row>
    <row r="890" spans="1:61" s="358" customFormat="1" ht="19.2" x14ac:dyDescent="0.3">
      <c r="A890" s="359" t="s">
        <v>1880</v>
      </c>
      <c r="B890" s="537" t="s">
        <v>1382</v>
      </c>
      <c r="C890" s="546" t="s">
        <v>772</v>
      </c>
      <c r="D890" s="360">
        <v>0.22</v>
      </c>
      <c r="E890" s="393"/>
      <c r="F890" s="523">
        <v>1</v>
      </c>
      <c r="G890" s="393"/>
      <c r="H890" s="544">
        <v>8.7206899999999994</v>
      </c>
      <c r="I890" s="394">
        <v>6.58568</v>
      </c>
      <c r="J890" s="394">
        <v>5.2083399999999997</v>
      </c>
      <c r="K890" s="394"/>
      <c r="L890" s="394"/>
      <c r="M890" s="394">
        <v>0</v>
      </c>
      <c r="N890" s="394">
        <v>0</v>
      </c>
      <c r="O890" s="394">
        <v>0.49773000000000001</v>
      </c>
      <c r="P890" s="394">
        <v>5.2083399999999997</v>
      </c>
      <c r="Q890" s="394"/>
      <c r="R890" s="381" t="s">
        <v>167</v>
      </c>
      <c r="S890" s="408" t="s">
        <v>175</v>
      </c>
      <c r="T890" s="385"/>
      <c r="U890" s="475">
        <v>468</v>
      </c>
      <c r="V890" s="395"/>
      <c r="W890" s="395">
        <f t="shared" si="846"/>
        <v>8.7206899999999994</v>
      </c>
      <c r="X890" s="393"/>
      <c r="Y890" s="523"/>
      <c r="Z890" s="393"/>
      <c r="AA890" s="544"/>
      <c r="AB890" s="394"/>
      <c r="AC890" s="394"/>
      <c r="AD890" s="394"/>
      <c r="AE890" s="394"/>
      <c r="AF890" s="394"/>
      <c r="AG890" s="394"/>
      <c r="AH890" s="394"/>
      <c r="AI890" s="394"/>
      <c r="AJ890" s="394"/>
      <c r="AK890" s="381"/>
      <c r="AL890" s="408"/>
      <c r="AM890" s="385"/>
      <c r="AN890" s="475"/>
      <c r="AO890" s="395"/>
      <c r="AP890" s="395" t="e">
        <f t="shared" si="847"/>
        <v>#DIV/0!</v>
      </c>
      <c r="AQ890" s="393"/>
      <c r="AR890" s="523"/>
      <c r="AS890" s="393"/>
      <c r="AT890" s="544"/>
      <c r="AU890" s="394"/>
      <c r="AV890" s="394"/>
      <c r="AW890" s="394"/>
      <c r="AX890" s="394"/>
      <c r="AY890" s="394"/>
      <c r="AZ890" s="394"/>
      <c r="BA890" s="394"/>
      <c r="BB890" s="394"/>
      <c r="BC890" s="394"/>
      <c r="BD890" s="381"/>
      <c r="BE890" s="408"/>
      <c r="BF890" s="385"/>
      <c r="BG890" s="475"/>
      <c r="BH890" s="395"/>
      <c r="BI890" s="395" t="e">
        <f t="shared" si="848"/>
        <v>#DIV/0!</v>
      </c>
    </row>
    <row r="891" spans="1:61" s="358" customFormat="1" ht="19.2" x14ac:dyDescent="0.3">
      <c r="A891" s="359" t="s">
        <v>1881</v>
      </c>
      <c r="B891" s="537" t="s">
        <v>1383</v>
      </c>
      <c r="C891" s="546" t="s">
        <v>773</v>
      </c>
      <c r="D891" s="360">
        <v>0.22</v>
      </c>
      <c r="E891" s="393"/>
      <c r="F891" s="523">
        <v>1</v>
      </c>
      <c r="G891" s="393"/>
      <c r="H891" s="544">
        <v>8.7207000000000008</v>
      </c>
      <c r="I891" s="394">
        <v>6.5856899999999996</v>
      </c>
      <c r="J891" s="394">
        <v>5.2083399999999997</v>
      </c>
      <c r="K891" s="394"/>
      <c r="L891" s="394"/>
      <c r="M891" s="394">
        <v>0</v>
      </c>
      <c r="N891" s="394">
        <v>0</v>
      </c>
      <c r="O891" s="394">
        <v>0.49773000000000001</v>
      </c>
      <c r="P891" s="394">
        <v>5.2083399999999997</v>
      </c>
      <c r="Q891" s="394"/>
      <c r="R891" s="381" t="s">
        <v>167</v>
      </c>
      <c r="S891" s="408" t="s">
        <v>175</v>
      </c>
      <c r="T891" s="385"/>
      <c r="U891" s="475">
        <v>469</v>
      </c>
      <c r="V891" s="395"/>
      <c r="W891" s="395">
        <f t="shared" si="846"/>
        <v>8.7207000000000008</v>
      </c>
      <c r="X891" s="393"/>
      <c r="Y891" s="523"/>
      <c r="Z891" s="393"/>
      <c r="AA891" s="544"/>
      <c r="AB891" s="394"/>
      <c r="AC891" s="394"/>
      <c r="AD891" s="394"/>
      <c r="AE891" s="394"/>
      <c r="AF891" s="394"/>
      <c r="AG891" s="394"/>
      <c r="AH891" s="394"/>
      <c r="AI891" s="394"/>
      <c r="AJ891" s="394"/>
      <c r="AK891" s="381"/>
      <c r="AL891" s="408"/>
      <c r="AM891" s="385"/>
      <c r="AN891" s="475"/>
      <c r="AO891" s="395"/>
      <c r="AP891" s="395" t="e">
        <f t="shared" si="847"/>
        <v>#DIV/0!</v>
      </c>
      <c r="AQ891" s="393"/>
      <c r="AR891" s="523"/>
      <c r="AS891" s="393"/>
      <c r="AT891" s="544"/>
      <c r="AU891" s="394"/>
      <c r="AV891" s="394"/>
      <c r="AW891" s="394"/>
      <c r="AX891" s="394"/>
      <c r="AY891" s="394"/>
      <c r="AZ891" s="394"/>
      <c r="BA891" s="394"/>
      <c r="BB891" s="394"/>
      <c r="BC891" s="394"/>
      <c r="BD891" s="381"/>
      <c r="BE891" s="408"/>
      <c r="BF891" s="385"/>
      <c r="BG891" s="475"/>
      <c r="BH891" s="395"/>
      <c r="BI891" s="395" t="e">
        <f t="shared" si="848"/>
        <v>#DIV/0!</v>
      </c>
    </row>
    <row r="892" spans="1:61" s="358" customFormat="1" ht="19.2" x14ac:dyDescent="0.3">
      <c r="A892" s="359" t="s">
        <v>1882</v>
      </c>
      <c r="B892" s="537" t="s">
        <v>1384</v>
      </c>
      <c r="C892" s="546" t="s">
        <v>774</v>
      </c>
      <c r="D892" s="360">
        <v>0.22</v>
      </c>
      <c r="E892" s="393"/>
      <c r="F892" s="523">
        <v>1</v>
      </c>
      <c r="G892" s="393"/>
      <c r="H892" s="544">
        <v>8.7206899999999994</v>
      </c>
      <c r="I892" s="394">
        <v>6.5856899999999996</v>
      </c>
      <c r="J892" s="394">
        <v>5.2083399999999997</v>
      </c>
      <c r="K892" s="394"/>
      <c r="L892" s="394"/>
      <c r="M892" s="394">
        <v>0</v>
      </c>
      <c r="N892" s="394">
        <v>0</v>
      </c>
      <c r="O892" s="394">
        <v>0.49773000000000001</v>
      </c>
      <c r="P892" s="394">
        <v>5.2083399999999997</v>
      </c>
      <c r="Q892" s="394"/>
      <c r="R892" s="381" t="s">
        <v>167</v>
      </c>
      <c r="S892" s="408" t="s">
        <v>175</v>
      </c>
      <c r="T892" s="385"/>
      <c r="U892" s="475">
        <v>470</v>
      </c>
      <c r="V892" s="395"/>
      <c r="W892" s="395">
        <f t="shared" si="846"/>
        <v>8.7206899999999994</v>
      </c>
      <c r="X892" s="393"/>
      <c r="Y892" s="523"/>
      <c r="Z892" s="393"/>
      <c r="AA892" s="544"/>
      <c r="AB892" s="394"/>
      <c r="AC892" s="394"/>
      <c r="AD892" s="394"/>
      <c r="AE892" s="394"/>
      <c r="AF892" s="394"/>
      <c r="AG892" s="394"/>
      <c r="AH892" s="394"/>
      <c r="AI892" s="394"/>
      <c r="AJ892" s="394"/>
      <c r="AK892" s="381"/>
      <c r="AL892" s="408"/>
      <c r="AM892" s="385"/>
      <c r="AN892" s="475"/>
      <c r="AO892" s="395"/>
      <c r="AP892" s="395" t="e">
        <f t="shared" si="847"/>
        <v>#DIV/0!</v>
      </c>
      <c r="AQ892" s="393"/>
      <c r="AR892" s="523"/>
      <c r="AS892" s="393"/>
      <c r="AT892" s="544"/>
      <c r="AU892" s="394"/>
      <c r="AV892" s="394"/>
      <c r="AW892" s="394"/>
      <c r="AX892" s="394"/>
      <c r="AY892" s="394"/>
      <c r="AZ892" s="394"/>
      <c r="BA892" s="394"/>
      <c r="BB892" s="394"/>
      <c r="BC892" s="394"/>
      <c r="BD892" s="381"/>
      <c r="BE892" s="408"/>
      <c r="BF892" s="385"/>
      <c r="BG892" s="475"/>
      <c r="BH892" s="395"/>
      <c r="BI892" s="395" t="e">
        <f t="shared" si="848"/>
        <v>#DIV/0!</v>
      </c>
    </row>
    <row r="893" spans="1:61" s="358" customFormat="1" ht="19.2" x14ac:dyDescent="0.3">
      <c r="A893" s="359" t="s">
        <v>1883</v>
      </c>
      <c r="B893" s="537" t="s">
        <v>632</v>
      </c>
      <c r="C893" s="546" t="s">
        <v>508</v>
      </c>
      <c r="D893" s="360">
        <v>0.22</v>
      </c>
      <c r="E893" s="393"/>
      <c r="F893" s="523">
        <v>1</v>
      </c>
      <c r="G893" s="393"/>
      <c r="H893" s="544">
        <v>9.0444300000000002</v>
      </c>
      <c r="I893" s="394">
        <v>6.9094199999999999</v>
      </c>
      <c r="J893" s="394">
        <v>5.2083399999999997</v>
      </c>
      <c r="K893" s="394"/>
      <c r="L893" s="394"/>
      <c r="M893" s="394">
        <v>0</v>
      </c>
      <c r="N893" s="394">
        <v>0</v>
      </c>
      <c r="O893" s="394">
        <v>0.49773000000000001</v>
      </c>
      <c r="P893" s="394">
        <v>5.2083399999999997</v>
      </c>
      <c r="Q893" s="394"/>
      <c r="R893" s="381" t="s">
        <v>167</v>
      </c>
      <c r="S893" s="408" t="s">
        <v>175</v>
      </c>
      <c r="T893" s="385"/>
      <c r="U893" s="475">
        <v>471</v>
      </c>
      <c r="V893" s="395"/>
      <c r="W893" s="395">
        <f t="shared" si="846"/>
        <v>9.0444300000000002</v>
      </c>
      <c r="X893" s="393"/>
      <c r="Y893" s="523"/>
      <c r="Z893" s="393"/>
      <c r="AA893" s="544"/>
      <c r="AB893" s="394"/>
      <c r="AC893" s="394"/>
      <c r="AD893" s="394"/>
      <c r="AE893" s="394"/>
      <c r="AF893" s="394"/>
      <c r="AG893" s="394"/>
      <c r="AH893" s="394"/>
      <c r="AI893" s="394"/>
      <c r="AJ893" s="394"/>
      <c r="AK893" s="381"/>
      <c r="AL893" s="408"/>
      <c r="AM893" s="385"/>
      <c r="AN893" s="475"/>
      <c r="AO893" s="395"/>
      <c r="AP893" s="395" t="e">
        <f t="shared" si="847"/>
        <v>#DIV/0!</v>
      </c>
      <c r="AQ893" s="393"/>
      <c r="AR893" s="523"/>
      <c r="AS893" s="393"/>
      <c r="AT893" s="544"/>
      <c r="AU893" s="394"/>
      <c r="AV893" s="394"/>
      <c r="AW893" s="394"/>
      <c r="AX893" s="394"/>
      <c r="AY893" s="394"/>
      <c r="AZ893" s="394"/>
      <c r="BA893" s="394"/>
      <c r="BB893" s="394"/>
      <c r="BC893" s="394"/>
      <c r="BD893" s="381"/>
      <c r="BE893" s="408"/>
      <c r="BF893" s="385"/>
      <c r="BG893" s="475"/>
      <c r="BH893" s="395"/>
      <c r="BI893" s="395" t="e">
        <f t="shared" si="848"/>
        <v>#DIV/0!</v>
      </c>
    </row>
    <row r="894" spans="1:61" s="358" customFormat="1" ht="19.2" x14ac:dyDescent="0.3">
      <c r="A894" s="359" t="s">
        <v>1884</v>
      </c>
      <c r="B894" s="537" t="s">
        <v>1385</v>
      </c>
      <c r="C894" s="546" t="s">
        <v>775</v>
      </c>
      <c r="D894" s="360">
        <v>0.22</v>
      </c>
      <c r="E894" s="393"/>
      <c r="F894" s="523">
        <v>1</v>
      </c>
      <c r="G894" s="393"/>
      <c r="H894" s="544">
        <v>9.0444300000000002</v>
      </c>
      <c r="I894" s="394">
        <v>6.9094199999999999</v>
      </c>
      <c r="J894" s="394">
        <v>5.2083399999999997</v>
      </c>
      <c r="K894" s="394"/>
      <c r="L894" s="394"/>
      <c r="M894" s="394">
        <v>0</v>
      </c>
      <c r="N894" s="394">
        <v>0</v>
      </c>
      <c r="O894" s="394">
        <v>0.49773000000000001</v>
      </c>
      <c r="P894" s="394">
        <v>5.2083399999999997</v>
      </c>
      <c r="Q894" s="394"/>
      <c r="R894" s="381" t="s">
        <v>167</v>
      </c>
      <c r="S894" s="408" t="s">
        <v>175</v>
      </c>
      <c r="T894" s="385"/>
      <c r="U894" s="475">
        <v>472</v>
      </c>
      <c r="V894" s="395"/>
      <c r="W894" s="395">
        <f t="shared" si="846"/>
        <v>9.0444300000000002</v>
      </c>
      <c r="X894" s="393"/>
      <c r="Y894" s="523"/>
      <c r="Z894" s="393"/>
      <c r="AA894" s="544"/>
      <c r="AB894" s="394"/>
      <c r="AC894" s="394"/>
      <c r="AD894" s="394"/>
      <c r="AE894" s="394"/>
      <c r="AF894" s="394"/>
      <c r="AG894" s="394"/>
      <c r="AH894" s="394"/>
      <c r="AI894" s="394"/>
      <c r="AJ894" s="394"/>
      <c r="AK894" s="381"/>
      <c r="AL894" s="408"/>
      <c r="AM894" s="385"/>
      <c r="AN894" s="475"/>
      <c r="AO894" s="395"/>
      <c r="AP894" s="395" t="e">
        <f t="shared" si="847"/>
        <v>#DIV/0!</v>
      </c>
      <c r="AQ894" s="393"/>
      <c r="AR894" s="523"/>
      <c r="AS894" s="393"/>
      <c r="AT894" s="544"/>
      <c r="AU894" s="394"/>
      <c r="AV894" s="394"/>
      <c r="AW894" s="394"/>
      <c r="AX894" s="394"/>
      <c r="AY894" s="394"/>
      <c r="AZ894" s="394"/>
      <c r="BA894" s="394"/>
      <c r="BB894" s="394"/>
      <c r="BC894" s="394"/>
      <c r="BD894" s="381"/>
      <c r="BE894" s="408"/>
      <c r="BF894" s="385"/>
      <c r="BG894" s="475"/>
      <c r="BH894" s="395"/>
      <c r="BI894" s="395" t="e">
        <f t="shared" si="848"/>
        <v>#DIV/0!</v>
      </c>
    </row>
    <row r="895" spans="1:61" s="358" customFormat="1" ht="19.2" x14ac:dyDescent="0.3">
      <c r="A895" s="359" t="s">
        <v>1885</v>
      </c>
      <c r="B895" s="537" t="s">
        <v>1386</v>
      </c>
      <c r="C895" s="546" t="s">
        <v>776</v>
      </c>
      <c r="D895" s="360">
        <v>0.22</v>
      </c>
      <c r="E895" s="393"/>
      <c r="F895" s="523">
        <v>1</v>
      </c>
      <c r="G895" s="393"/>
      <c r="H895" s="544">
        <v>9.0444300000000002</v>
      </c>
      <c r="I895" s="394">
        <v>6.9094199999999999</v>
      </c>
      <c r="J895" s="394">
        <v>5.2083399999999997</v>
      </c>
      <c r="K895" s="394"/>
      <c r="L895" s="394"/>
      <c r="M895" s="394">
        <v>0</v>
      </c>
      <c r="N895" s="394">
        <v>0</v>
      </c>
      <c r="O895" s="394">
        <v>0.49773000000000001</v>
      </c>
      <c r="P895" s="394">
        <v>5.2083399999999997</v>
      </c>
      <c r="Q895" s="394"/>
      <c r="R895" s="381" t="s">
        <v>167</v>
      </c>
      <c r="S895" s="408" t="s">
        <v>175</v>
      </c>
      <c r="T895" s="385"/>
      <c r="U895" s="475">
        <v>473</v>
      </c>
      <c r="V895" s="395"/>
      <c r="W895" s="395">
        <f t="shared" si="846"/>
        <v>9.0444300000000002</v>
      </c>
      <c r="X895" s="393"/>
      <c r="Y895" s="523"/>
      <c r="Z895" s="393"/>
      <c r="AA895" s="544"/>
      <c r="AB895" s="394"/>
      <c r="AC895" s="394"/>
      <c r="AD895" s="394"/>
      <c r="AE895" s="394"/>
      <c r="AF895" s="394"/>
      <c r="AG895" s="394"/>
      <c r="AH895" s="394"/>
      <c r="AI895" s="394"/>
      <c r="AJ895" s="394"/>
      <c r="AK895" s="381"/>
      <c r="AL895" s="408"/>
      <c r="AM895" s="385"/>
      <c r="AN895" s="475"/>
      <c r="AO895" s="395"/>
      <c r="AP895" s="395" t="e">
        <f t="shared" si="847"/>
        <v>#DIV/0!</v>
      </c>
      <c r="AQ895" s="393"/>
      <c r="AR895" s="523"/>
      <c r="AS895" s="393"/>
      <c r="AT895" s="544"/>
      <c r="AU895" s="394"/>
      <c r="AV895" s="394"/>
      <c r="AW895" s="394"/>
      <c r="AX895" s="394"/>
      <c r="AY895" s="394"/>
      <c r="AZ895" s="394"/>
      <c r="BA895" s="394"/>
      <c r="BB895" s="394"/>
      <c r="BC895" s="394"/>
      <c r="BD895" s="381"/>
      <c r="BE895" s="408"/>
      <c r="BF895" s="385"/>
      <c r="BG895" s="475"/>
      <c r="BH895" s="395"/>
      <c r="BI895" s="395" t="e">
        <f t="shared" si="848"/>
        <v>#DIV/0!</v>
      </c>
    </row>
    <row r="896" spans="1:61" s="358" customFormat="1" ht="19.2" x14ac:dyDescent="0.3">
      <c r="A896" s="359" t="s">
        <v>1902</v>
      </c>
      <c r="B896" s="537" t="s">
        <v>1387</v>
      </c>
      <c r="C896" s="546" t="s">
        <v>777</v>
      </c>
      <c r="D896" s="360">
        <v>0.22</v>
      </c>
      <c r="E896" s="393"/>
      <c r="F896" s="523">
        <v>1</v>
      </c>
      <c r="G896" s="393"/>
      <c r="H896" s="544">
        <v>9.0444300000000002</v>
      </c>
      <c r="I896" s="394">
        <v>6.9094199999999999</v>
      </c>
      <c r="J896" s="394">
        <v>5.2083399999999997</v>
      </c>
      <c r="K896" s="394"/>
      <c r="L896" s="394"/>
      <c r="M896" s="394">
        <v>0</v>
      </c>
      <c r="N896" s="394">
        <v>0</v>
      </c>
      <c r="O896" s="394">
        <v>0.49773000000000001</v>
      </c>
      <c r="P896" s="394">
        <v>5.2083399999999997</v>
      </c>
      <c r="Q896" s="394"/>
      <c r="R896" s="381" t="s">
        <v>167</v>
      </c>
      <c r="S896" s="408" t="s">
        <v>175</v>
      </c>
      <c r="T896" s="385"/>
      <c r="U896" s="475">
        <v>474</v>
      </c>
      <c r="V896" s="395"/>
      <c r="W896" s="395">
        <f t="shared" si="846"/>
        <v>9.0444300000000002</v>
      </c>
      <c r="X896" s="393"/>
      <c r="Y896" s="523"/>
      <c r="Z896" s="393"/>
      <c r="AA896" s="544"/>
      <c r="AB896" s="394"/>
      <c r="AC896" s="394"/>
      <c r="AD896" s="394"/>
      <c r="AE896" s="394"/>
      <c r="AF896" s="394"/>
      <c r="AG896" s="394"/>
      <c r="AH896" s="394"/>
      <c r="AI896" s="394"/>
      <c r="AJ896" s="394"/>
      <c r="AK896" s="381"/>
      <c r="AL896" s="408"/>
      <c r="AM896" s="385"/>
      <c r="AN896" s="475"/>
      <c r="AO896" s="395"/>
      <c r="AP896" s="395" t="e">
        <f t="shared" si="847"/>
        <v>#DIV/0!</v>
      </c>
      <c r="AQ896" s="393"/>
      <c r="AR896" s="523"/>
      <c r="AS896" s="393"/>
      <c r="AT896" s="544"/>
      <c r="AU896" s="394"/>
      <c r="AV896" s="394"/>
      <c r="AW896" s="394"/>
      <c r="AX896" s="394"/>
      <c r="AY896" s="394"/>
      <c r="AZ896" s="394"/>
      <c r="BA896" s="394"/>
      <c r="BB896" s="394"/>
      <c r="BC896" s="394"/>
      <c r="BD896" s="381"/>
      <c r="BE896" s="408"/>
      <c r="BF896" s="385"/>
      <c r="BG896" s="475"/>
      <c r="BH896" s="395"/>
      <c r="BI896" s="395" t="e">
        <f t="shared" si="848"/>
        <v>#DIV/0!</v>
      </c>
    </row>
    <row r="897" spans="1:61" s="358" customFormat="1" ht="19.2" x14ac:dyDescent="0.3">
      <c r="A897" s="359" t="s">
        <v>1887</v>
      </c>
      <c r="B897" s="537" t="s">
        <v>1388</v>
      </c>
      <c r="C897" s="546" t="s">
        <v>778</v>
      </c>
      <c r="D897" s="360">
        <v>0.22</v>
      </c>
      <c r="E897" s="393"/>
      <c r="F897" s="523">
        <v>1</v>
      </c>
      <c r="G897" s="393"/>
      <c r="H897" s="544">
        <v>9.0444300000000002</v>
      </c>
      <c r="I897" s="394">
        <v>6.9094199999999999</v>
      </c>
      <c r="J897" s="394">
        <v>5.2083399999999997</v>
      </c>
      <c r="K897" s="394"/>
      <c r="L897" s="394"/>
      <c r="M897" s="394">
        <v>0</v>
      </c>
      <c r="N897" s="394">
        <v>0</v>
      </c>
      <c r="O897" s="394">
        <v>0.49773000000000001</v>
      </c>
      <c r="P897" s="394">
        <v>5.2083399999999997</v>
      </c>
      <c r="Q897" s="394"/>
      <c r="R897" s="381" t="s">
        <v>167</v>
      </c>
      <c r="S897" s="408" t="s">
        <v>175</v>
      </c>
      <c r="T897" s="385"/>
      <c r="U897" s="475">
        <v>475</v>
      </c>
      <c r="V897" s="395"/>
      <c r="W897" s="395">
        <f t="shared" si="846"/>
        <v>9.0444300000000002</v>
      </c>
      <c r="X897" s="393"/>
      <c r="Y897" s="523"/>
      <c r="Z897" s="393"/>
      <c r="AA897" s="544"/>
      <c r="AB897" s="394"/>
      <c r="AC897" s="394"/>
      <c r="AD897" s="394"/>
      <c r="AE897" s="394"/>
      <c r="AF897" s="394"/>
      <c r="AG897" s="394"/>
      <c r="AH897" s="394"/>
      <c r="AI897" s="394"/>
      <c r="AJ897" s="394"/>
      <c r="AK897" s="381"/>
      <c r="AL897" s="408"/>
      <c r="AM897" s="385"/>
      <c r="AN897" s="475"/>
      <c r="AO897" s="395"/>
      <c r="AP897" s="395" t="e">
        <f t="shared" si="847"/>
        <v>#DIV/0!</v>
      </c>
      <c r="AQ897" s="393"/>
      <c r="AR897" s="523"/>
      <c r="AS897" s="393"/>
      <c r="AT897" s="544"/>
      <c r="AU897" s="394"/>
      <c r="AV897" s="394"/>
      <c r="AW897" s="394"/>
      <c r="AX897" s="394"/>
      <c r="AY897" s="394"/>
      <c r="AZ897" s="394"/>
      <c r="BA897" s="394"/>
      <c r="BB897" s="394"/>
      <c r="BC897" s="394"/>
      <c r="BD897" s="381"/>
      <c r="BE897" s="408"/>
      <c r="BF897" s="385"/>
      <c r="BG897" s="475"/>
      <c r="BH897" s="395"/>
      <c r="BI897" s="395" t="e">
        <f t="shared" si="848"/>
        <v>#DIV/0!</v>
      </c>
    </row>
    <row r="898" spans="1:61" s="358" customFormat="1" ht="19.2" x14ac:dyDescent="0.3">
      <c r="A898" s="359" t="s">
        <v>1888</v>
      </c>
      <c r="B898" s="537" t="s">
        <v>1389</v>
      </c>
      <c r="C898" s="546" t="s">
        <v>779</v>
      </c>
      <c r="D898" s="360">
        <v>0.22</v>
      </c>
      <c r="E898" s="393"/>
      <c r="F898" s="523">
        <v>1</v>
      </c>
      <c r="G898" s="393"/>
      <c r="H898" s="544">
        <v>9.0444300000000002</v>
      </c>
      <c r="I898" s="394">
        <v>6.9094199999999999</v>
      </c>
      <c r="J898" s="394">
        <v>5.2083399999999997</v>
      </c>
      <c r="K898" s="394"/>
      <c r="L898" s="394"/>
      <c r="M898" s="394">
        <v>0</v>
      </c>
      <c r="N898" s="394">
        <v>0</v>
      </c>
      <c r="O898" s="394">
        <v>0.49773000000000001</v>
      </c>
      <c r="P898" s="394">
        <v>5.2083399999999997</v>
      </c>
      <c r="Q898" s="394"/>
      <c r="R898" s="381" t="s">
        <v>167</v>
      </c>
      <c r="S898" s="408" t="s">
        <v>175</v>
      </c>
      <c r="T898" s="385"/>
      <c r="U898" s="475">
        <v>476</v>
      </c>
      <c r="V898" s="395"/>
      <c r="W898" s="395">
        <f t="shared" si="846"/>
        <v>9.0444300000000002</v>
      </c>
      <c r="X898" s="393"/>
      <c r="Y898" s="523"/>
      <c r="Z898" s="393"/>
      <c r="AA898" s="544"/>
      <c r="AB898" s="394"/>
      <c r="AC898" s="394"/>
      <c r="AD898" s="394"/>
      <c r="AE898" s="394"/>
      <c r="AF898" s="394"/>
      <c r="AG898" s="394"/>
      <c r="AH898" s="394"/>
      <c r="AI898" s="394"/>
      <c r="AJ898" s="394"/>
      <c r="AK898" s="381"/>
      <c r="AL898" s="408"/>
      <c r="AM898" s="385"/>
      <c r="AN898" s="475"/>
      <c r="AO898" s="395"/>
      <c r="AP898" s="395" t="e">
        <f t="shared" si="847"/>
        <v>#DIV/0!</v>
      </c>
      <c r="AQ898" s="393"/>
      <c r="AR898" s="523"/>
      <c r="AS898" s="393"/>
      <c r="AT898" s="544"/>
      <c r="AU898" s="394"/>
      <c r="AV898" s="394"/>
      <c r="AW898" s="394"/>
      <c r="AX898" s="394"/>
      <c r="AY898" s="394"/>
      <c r="AZ898" s="394"/>
      <c r="BA898" s="394"/>
      <c r="BB898" s="394"/>
      <c r="BC898" s="394"/>
      <c r="BD898" s="381"/>
      <c r="BE898" s="408"/>
      <c r="BF898" s="385"/>
      <c r="BG898" s="475"/>
      <c r="BH898" s="395"/>
      <c r="BI898" s="395" t="e">
        <f t="shared" si="848"/>
        <v>#DIV/0!</v>
      </c>
    </row>
    <row r="899" spans="1:61" s="358" customFormat="1" ht="19.2" x14ac:dyDescent="0.3">
      <c r="A899" s="359" t="s">
        <v>1873</v>
      </c>
      <c r="B899" s="537" t="s">
        <v>1390</v>
      </c>
      <c r="C899" s="546" t="s">
        <v>780</v>
      </c>
      <c r="D899" s="360">
        <v>0.22</v>
      </c>
      <c r="E899" s="393"/>
      <c r="F899" s="523">
        <v>1</v>
      </c>
      <c r="G899" s="393"/>
      <c r="H899" s="544">
        <v>9.0444300000000002</v>
      </c>
      <c r="I899" s="394">
        <v>6.9094199999999999</v>
      </c>
      <c r="J899" s="394">
        <v>5.2083399999999997</v>
      </c>
      <c r="K899" s="394"/>
      <c r="L899" s="394"/>
      <c r="M899" s="394">
        <v>0</v>
      </c>
      <c r="N899" s="394">
        <v>0</v>
      </c>
      <c r="O899" s="394">
        <v>0.49773000000000001</v>
      </c>
      <c r="P899" s="394">
        <v>5.2083399999999997</v>
      </c>
      <c r="Q899" s="394"/>
      <c r="R899" s="381" t="s">
        <v>167</v>
      </c>
      <c r="S899" s="408" t="s">
        <v>175</v>
      </c>
      <c r="T899" s="385"/>
      <c r="U899" s="475">
        <v>477</v>
      </c>
      <c r="V899" s="395"/>
      <c r="W899" s="395">
        <f t="shared" si="846"/>
        <v>9.0444300000000002</v>
      </c>
      <c r="X899" s="393"/>
      <c r="Y899" s="523"/>
      <c r="Z899" s="393"/>
      <c r="AA899" s="544"/>
      <c r="AB899" s="394"/>
      <c r="AC899" s="394"/>
      <c r="AD899" s="394"/>
      <c r="AE899" s="394"/>
      <c r="AF899" s="394"/>
      <c r="AG899" s="394"/>
      <c r="AH899" s="394"/>
      <c r="AI899" s="394"/>
      <c r="AJ899" s="394"/>
      <c r="AK899" s="381"/>
      <c r="AL899" s="408"/>
      <c r="AM899" s="385"/>
      <c r="AN899" s="475"/>
      <c r="AO899" s="395"/>
      <c r="AP899" s="395" t="e">
        <f t="shared" si="847"/>
        <v>#DIV/0!</v>
      </c>
      <c r="AQ899" s="393"/>
      <c r="AR899" s="523"/>
      <c r="AS899" s="393"/>
      <c r="AT899" s="544"/>
      <c r="AU899" s="394"/>
      <c r="AV899" s="394"/>
      <c r="AW899" s="394"/>
      <c r="AX899" s="394"/>
      <c r="AY899" s="394"/>
      <c r="AZ899" s="394"/>
      <c r="BA899" s="394"/>
      <c r="BB899" s="394"/>
      <c r="BC899" s="394"/>
      <c r="BD899" s="381"/>
      <c r="BE899" s="408"/>
      <c r="BF899" s="385"/>
      <c r="BG899" s="475"/>
      <c r="BH899" s="395"/>
      <c r="BI899" s="395" t="e">
        <f t="shared" si="848"/>
        <v>#DIV/0!</v>
      </c>
    </row>
    <row r="900" spans="1:61" s="358" customFormat="1" ht="19.2" x14ac:dyDescent="0.3">
      <c r="A900" s="359" t="s">
        <v>1906</v>
      </c>
      <c r="B900" s="537" t="s">
        <v>1391</v>
      </c>
      <c r="C900" s="546" t="s">
        <v>781</v>
      </c>
      <c r="D900" s="360">
        <v>0.22</v>
      </c>
      <c r="E900" s="393"/>
      <c r="F900" s="523">
        <v>1</v>
      </c>
      <c r="G900" s="393"/>
      <c r="H900" s="544">
        <v>9.0444300000000002</v>
      </c>
      <c r="I900" s="394">
        <v>6.9094199999999999</v>
      </c>
      <c r="J900" s="394">
        <v>5.2083399999999997</v>
      </c>
      <c r="K900" s="394"/>
      <c r="L900" s="394"/>
      <c r="M900" s="394">
        <v>0</v>
      </c>
      <c r="N900" s="394">
        <v>0</v>
      </c>
      <c r="O900" s="394">
        <v>0.49773000000000001</v>
      </c>
      <c r="P900" s="394">
        <v>5.2083399999999997</v>
      </c>
      <c r="Q900" s="394"/>
      <c r="R900" s="381" t="s">
        <v>167</v>
      </c>
      <c r="S900" s="408" t="s">
        <v>175</v>
      </c>
      <c r="T900" s="385"/>
      <c r="U900" s="475">
        <v>478</v>
      </c>
      <c r="V900" s="395"/>
      <c r="W900" s="395">
        <f t="shared" si="846"/>
        <v>9.0444300000000002</v>
      </c>
      <c r="X900" s="393"/>
      <c r="Y900" s="523"/>
      <c r="Z900" s="393"/>
      <c r="AA900" s="544"/>
      <c r="AB900" s="394"/>
      <c r="AC900" s="394"/>
      <c r="AD900" s="394"/>
      <c r="AE900" s="394"/>
      <c r="AF900" s="394"/>
      <c r="AG900" s="394"/>
      <c r="AH900" s="394"/>
      <c r="AI900" s="394"/>
      <c r="AJ900" s="394"/>
      <c r="AK900" s="381"/>
      <c r="AL900" s="408"/>
      <c r="AM900" s="385"/>
      <c r="AN900" s="475"/>
      <c r="AO900" s="395"/>
      <c r="AP900" s="395" t="e">
        <f t="shared" si="847"/>
        <v>#DIV/0!</v>
      </c>
      <c r="AQ900" s="393"/>
      <c r="AR900" s="523"/>
      <c r="AS900" s="393"/>
      <c r="AT900" s="544"/>
      <c r="AU900" s="394"/>
      <c r="AV900" s="394"/>
      <c r="AW900" s="394"/>
      <c r="AX900" s="394"/>
      <c r="AY900" s="394"/>
      <c r="AZ900" s="394"/>
      <c r="BA900" s="394"/>
      <c r="BB900" s="394"/>
      <c r="BC900" s="394"/>
      <c r="BD900" s="381"/>
      <c r="BE900" s="408"/>
      <c r="BF900" s="385"/>
      <c r="BG900" s="475"/>
      <c r="BH900" s="395"/>
      <c r="BI900" s="395" t="e">
        <f t="shared" si="848"/>
        <v>#DIV/0!</v>
      </c>
    </row>
    <row r="901" spans="1:61" s="358" customFormat="1" ht="19.2" x14ac:dyDescent="0.3">
      <c r="A901" s="359" t="s">
        <v>1891</v>
      </c>
      <c r="B901" s="537" t="s">
        <v>1392</v>
      </c>
      <c r="C901" s="546" t="s">
        <v>782</v>
      </c>
      <c r="D901" s="360">
        <v>0.22</v>
      </c>
      <c r="E901" s="393"/>
      <c r="F901" s="523">
        <v>1</v>
      </c>
      <c r="G901" s="393"/>
      <c r="H901" s="544">
        <v>9.0444300000000002</v>
      </c>
      <c r="I901" s="394">
        <v>6.9094199999999999</v>
      </c>
      <c r="J901" s="394">
        <v>5.2083399999999997</v>
      </c>
      <c r="K901" s="394"/>
      <c r="L901" s="394"/>
      <c r="M901" s="394">
        <v>0</v>
      </c>
      <c r="N901" s="394">
        <v>0</v>
      </c>
      <c r="O901" s="394">
        <v>0.49773000000000001</v>
      </c>
      <c r="P901" s="394">
        <v>5.2083399999999997</v>
      </c>
      <c r="Q901" s="394"/>
      <c r="R901" s="381" t="s">
        <v>167</v>
      </c>
      <c r="S901" s="408" t="s">
        <v>175</v>
      </c>
      <c r="T901" s="385"/>
      <c r="U901" s="475">
        <v>479</v>
      </c>
      <c r="V901" s="395"/>
      <c r="W901" s="395">
        <f t="shared" si="846"/>
        <v>9.0444300000000002</v>
      </c>
      <c r="X901" s="393"/>
      <c r="Y901" s="523"/>
      <c r="Z901" s="393"/>
      <c r="AA901" s="544"/>
      <c r="AB901" s="394"/>
      <c r="AC901" s="394"/>
      <c r="AD901" s="394"/>
      <c r="AE901" s="394"/>
      <c r="AF901" s="394"/>
      <c r="AG901" s="394"/>
      <c r="AH901" s="394"/>
      <c r="AI901" s="394"/>
      <c r="AJ901" s="394"/>
      <c r="AK901" s="381"/>
      <c r="AL901" s="408"/>
      <c r="AM901" s="385"/>
      <c r="AN901" s="475"/>
      <c r="AO901" s="395"/>
      <c r="AP901" s="395" t="e">
        <f t="shared" si="847"/>
        <v>#DIV/0!</v>
      </c>
      <c r="AQ901" s="393"/>
      <c r="AR901" s="523"/>
      <c r="AS901" s="393"/>
      <c r="AT901" s="544"/>
      <c r="AU901" s="394"/>
      <c r="AV901" s="394"/>
      <c r="AW901" s="394"/>
      <c r="AX901" s="394"/>
      <c r="AY901" s="394"/>
      <c r="AZ901" s="394"/>
      <c r="BA901" s="394"/>
      <c r="BB901" s="394"/>
      <c r="BC901" s="394"/>
      <c r="BD901" s="381"/>
      <c r="BE901" s="408"/>
      <c r="BF901" s="385"/>
      <c r="BG901" s="475"/>
      <c r="BH901" s="395"/>
      <c r="BI901" s="395" t="e">
        <f t="shared" si="848"/>
        <v>#DIV/0!</v>
      </c>
    </row>
    <row r="902" spans="1:61" s="358" customFormat="1" ht="19.2" x14ac:dyDescent="0.3">
      <c r="A902" s="359" t="s">
        <v>1892</v>
      </c>
      <c r="B902" s="537" t="s">
        <v>1393</v>
      </c>
      <c r="C902" s="546" t="s">
        <v>783</v>
      </c>
      <c r="D902" s="360">
        <v>0.22</v>
      </c>
      <c r="E902" s="393"/>
      <c r="F902" s="523">
        <v>1</v>
      </c>
      <c r="G902" s="393"/>
      <c r="H902" s="544">
        <v>9.0444300000000002</v>
      </c>
      <c r="I902" s="394">
        <v>6.9094199999999999</v>
      </c>
      <c r="J902" s="394">
        <v>5.2083399999999997</v>
      </c>
      <c r="K902" s="394"/>
      <c r="L902" s="394"/>
      <c r="M902" s="394">
        <v>0</v>
      </c>
      <c r="N902" s="394">
        <v>0</v>
      </c>
      <c r="O902" s="394">
        <v>0.49773000000000001</v>
      </c>
      <c r="P902" s="394">
        <v>5.2083399999999997</v>
      </c>
      <c r="Q902" s="394"/>
      <c r="R902" s="381" t="s">
        <v>167</v>
      </c>
      <c r="S902" s="408" t="s">
        <v>175</v>
      </c>
      <c r="T902" s="385"/>
      <c r="U902" s="475">
        <v>480</v>
      </c>
      <c r="V902" s="395"/>
      <c r="W902" s="395">
        <f t="shared" si="846"/>
        <v>9.0444300000000002</v>
      </c>
      <c r="X902" s="393"/>
      <c r="Y902" s="523"/>
      <c r="Z902" s="393"/>
      <c r="AA902" s="544"/>
      <c r="AB902" s="394"/>
      <c r="AC902" s="394"/>
      <c r="AD902" s="394"/>
      <c r="AE902" s="394"/>
      <c r="AF902" s="394"/>
      <c r="AG902" s="394"/>
      <c r="AH902" s="394"/>
      <c r="AI902" s="394"/>
      <c r="AJ902" s="394"/>
      <c r="AK902" s="381"/>
      <c r="AL902" s="408"/>
      <c r="AM902" s="385"/>
      <c r="AN902" s="475"/>
      <c r="AO902" s="395"/>
      <c r="AP902" s="395" t="e">
        <f t="shared" si="847"/>
        <v>#DIV/0!</v>
      </c>
      <c r="AQ902" s="393"/>
      <c r="AR902" s="523"/>
      <c r="AS902" s="393"/>
      <c r="AT902" s="544"/>
      <c r="AU902" s="394"/>
      <c r="AV902" s="394"/>
      <c r="AW902" s="394"/>
      <c r="AX902" s="394"/>
      <c r="AY902" s="394"/>
      <c r="AZ902" s="394"/>
      <c r="BA902" s="394"/>
      <c r="BB902" s="394"/>
      <c r="BC902" s="394"/>
      <c r="BD902" s="381"/>
      <c r="BE902" s="408"/>
      <c r="BF902" s="385"/>
      <c r="BG902" s="475"/>
      <c r="BH902" s="395"/>
      <c r="BI902" s="395" t="e">
        <f t="shared" si="848"/>
        <v>#DIV/0!</v>
      </c>
    </row>
    <row r="903" spans="1:61" s="358" customFormat="1" ht="19.2" x14ac:dyDescent="0.3">
      <c r="A903" s="359" t="s">
        <v>1893</v>
      </c>
      <c r="B903" s="537" t="s">
        <v>639</v>
      </c>
      <c r="C903" s="546" t="s">
        <v>517</v>
      </c>
      <c r="D903" s="360">
        <v>0.22</v>
      </c>
      <c r="E903" s="393"/>
      <c r="F903" s="523">
        <v>1</v>
      </c>
      <c r="G903" s="393"/>
      <c r="H903" s="544">
        <v>9.0444300000000002</v>
      </c>
      <c r="I903" s="394">
        <v>6.9094199999999999</v>
      </c>
      <c r="J903" s="394">
        <v>5.2083399999999997</v>
      </c>
      <c r="K903" s="394"/>
      <c r="L903" s="394"/>
      <c r="M903" s="394">
        <v>0</v>
      </c>
      <c r="N903" s="394">
        <v>0</v>
      </c>
      <c r="O903" s="394">
        <v>0.49773000000000001</v>
      </c>
      <c r="P903" s="394">
        <v>5.2083399999999997</v>
      </c>
      <c r="Q903" s="394"/>
      <c r="R903" s="381" t="s">
        <v>167</v>
      </c>
      <c r="S903" s="408" t="s">
        <v>175</v>
      </c>
      <c r="T903" s="385"/>
      <c r="U903" s="475">
        <v>481</v>
      </c>
      <c r="V903" s="395"/>
      <c r="W903" s="395">
        <f t="shared" si="846"/>
        <v>9.0444300000000002</v>
      </c>
      <c r="X903" s="393"/>
      <c r="Y903" s="523"/>
      <c r="Z903" s="393"/>
      <c r="AA903" s="544"/>
      <c r="AB903" s="394"/>
      <c r="AC903" s="394"/>
      <c r="AD903" s="394"/>
      <c r="AE903" s="394"/>
      <c r="AF903" s="394"/>
      <c r="AG903" s="394"/>
      <c r="AH903" s="394"/>
      <c r="AI903" s="394"/>
      <c r="AJ903" s="394"/>
      <c r="AK903" s="381"/>
      <c r="AL903" s="408"/>
      <c r="AM903" s="385"/>
      <c r="AN903" s="475"/>
      <c r="AO903" s="395"/>
      <c r="AP903" s="395" t="e">
        <f t="shared" si="847"/>
        <v>#DIV/0!</v>
      </c>
      <c r="AQ903" s="393"/>
      <c r="AR903" s="523"/>
      <c r="AS903" s="393"/>
      <c r="AT903" s="544"/>
      <c r="AU903" s="394"/>
      <c r="AV903" s="394"/>
      <c r="AW903" s="394"/>
      <c r="AX903" s="394"/>
      <c r="AY903" s="394"/>
      <c r="AZ903" s="394"/>
      <c r="BA903" s="394"/>
      <c r="BB903" s="394"/>
      <c r="BC903" s="394"/>
      <c r="BD903" s="381"/>
      <c r="BE903" s="408"/>
      <c r="BF903" s="385"/>
      <c r="BG903" s="475"/>
      <c r="BH903" s="395"/>
      <c r="BI903" s="395" t="e">
        <f t="shared" si="848"/>
        <v>#DIV/0!</v>
      </c>
    </row>
    <row r="904" spans="1:61" s="358" customFormat="1" ht="19.2" x14ac:dyDescent="0.3">
      <c r="A904" s="359" t="s">
        <v>1894</v>
      </c>
      <c r="B904" s="537" t="s">
        <v>294</v>
      </c>
      <c r="C904" s="546" t="s">
        <v>784</v>
      </c>
      <c r="D904" s="360">
        <v>0.22</v>
      </c>
      <c r="E904" s="393"/>
      <c r="F904" s="523">
        <v>1</v>
      </c>
      <c r="G904" s="393"/>
      <c r="H904" s="544">
        <v>9.0444300000000002</v>
      </c>
      <c r="I904" s="394">
        <v>6.9094199999999999</v>
      </c>
      <c r="J904" s="394">
        <v>5.2083399999999997</v>
      </c>
      <c r="K904" s="394"/>
      <c r="L904" s="394"/>
      <c r="M904" s="394">
        <v>0</v>
      </c>
      <c r="N904" s="394">
        <v>0</v>
      </c>
      <c r="O904" s="394">
        <v>0.49773000000000001</v>
      </c>
      <c r="P904" s="394">
        <v>5.2083399999999997</v>
      </c>
      <c r="Q904" s="394"/>
      <c r="R904" s="381" t="s">
        <v>167</v>
      </c>
      <c r="S904" s="408" t="s">
        <v>175</v>
      </c>
      <c r="T904" s="385"/>
      <c r="U904" s="475">
        <v>482</v>
      </c>
      <c r="V904" s="395"/>
      <c r="W904" s="395">
        <f t="shared" si="846"/>
        <v>9.0444300000000002</v>
      </c>
      <c r="X904" s="393"/>
      <c r="Y904" s="523"/>
      <c r="Z904" s="393"/>
      <c r="AA904" s="544"/>
      <c r="AB904" s="394"/>
      <c r="AC904" s="394"/>
      <c r="AD904" s="394"/>
      <c r="AE904" s="394"/>
      <c r="AF904" s="394"/>
      <c r="AG904" s="394"/>
      <c r="AH904" s="394"/>
      <c r="AI904" s="394"/>
      <c r="AJ904" s="394"/>
      <c r="AK904" s="381"/>
      <c r="AL904" s="408"/>
      <c r="AM904" s="385"/>
      <c r="AN904" s="475"/>
      <c r="AO904" s="395"/>
      <c r="AP904" s="395" t="e">
        <f t="shared" si="847"/>
        <v>#DIV/0!</v>
      </c>
      <c r="AQ904" s="393"/>
      <c r="AR904" s="523"/>
      <c r="AS904" s="393"/>
      <c r="AT904" s="544"/>
      <c r="AU904" s="394"/>
      <c r="AV904" s="394"/>
      <c r="AW904" s="394"/>
      <c r="AX904" s="394"/>
      <c r="AY904" s="394"/>
      <c r="AZ904" s="394"/>
      <c r="BA904" s="394"/>
      <c r="BB904" s="394"/>
      <c r="BC904" s="394"/>
      <c r="BD904" s="381"/>
      <c r="BE904" s="408"/>
      <c r="BF904" s="385"/>
      <c r="BG904" s="475"/>
      <c r="BH904" s="395"/>
      <c r="BI904" s="395" t="e">
        <f t="shared" si="848"/>
        <v>#DIV/0!</v>
      </c>
    </row>
    <row r="905" spans="1:61" s="358" customFormat="1" ht="19.2" x14ac:dyDescent="0.3">
      <c r="A905" s="359" t="s">
        <v>1895</v>
      </c>
      <c r="B905" s="537" t="s">
        <v>294</v>
      </c>
      <c r="C905" s="546" t="s">
        <v>785</v>
      </c>
      <c r="D905" s="360">
        <v>0.22</v>
      </c>
      <c r="E905" s="393"/>
      <c r="F905" s="523">
        <v>1</v>
      </c>
      <c r="G905" s="393"/>
      <c r="H905" s="544">
        <v>9.0444300000000002</v>
      </c>
      <c r="I905" s="394">
        <v>6.9094199999999999</v>
      </c>
      <c r="J905" s="394">
        <v>5.2083399999999997</v>
      </c>
      <c r="K905" s="394"/>
      <c r="L905" s="394"/>
      <c r="M905" s="394">
        <v>0</v>
      </c>
      <c r="N905" s="394">
        <v>0</v>
      </c>
      <c r="O905" s="394">
        <v>0.49773000000000001</v>
      </c>
      <c r="P905" s="394">
        <v>5.2083399999999997</v>
      </c>
      <c r="Q905" s="394"/>
      <c r="R905" s="381" t="s">
        <v>167</v>
      </c>
      <c r="S905" s="408" t="s">
        <v>175</v>
      </c>
      <c r="T905" s="385"/>
      <c r="U905" s="475">
        <v>483</v>
      </c>
      <c r="V905" s="395"/>
      <c r="W905" s="395">
        <f t="shared" si="846"/>
        <v>9.0444300000000002</v>
      </c>
      <c r="X905" s="393"/>
      <c r="Y905" s="523"/>
      <c r="Z905" s="393"/>
      <c r="AA905" s="544"/>
      <c r="AB905" s="394"/>
      <c r="AC905" s="394"/>
      <c r="AD905" s="394"/>
      <c r="AE905" s="394"/>
      <c r="AF905" s="394"/>
      <c r="AG905" s="394"/>
      <c r="AH905" s="394"/>
      <c r="AI905" s="394"/>
      <c r="AJ905" s="394"/>
      <c r="AK905" s="381"/>
      <c r="AL905" s="408"/>
      <c r="AM905" s="385"/>
      <c r="AN905" s="475"/>
      <c r="AO905" s="395"/>
      <c r="AP905" s="395" t="e">
        <f t="shared" si="847"/>
        <v>#DIV/0!</v>
      </c>
      <c r="AQ905" s="393"/>
      <c r="AR905" s="523"/>
      <c r="AS905" s="393"/>
      <c r="AT905" s="544"/>
      <c r="AU905" s="394"/>
      <c r="AV905" s="394"/>
      <c r="AW905" s="394"/>
      <c r="AX905" s="394"/>
      <c r="AY905" s="394"/>
      <c r="AZ905" s="394"/>
      <c r="BA905" s="394"/>
      <c r="BB905" s="394"/>
      <c r="BC905" s="394"/>
      <c r="BD905" s="381"/>
      <c r="BE905" s="408"/>
      <c r="BF905" s="385"/>
      <c r="BG905" s="475"/>
      <c r="BH905" s="395"/>
      <c r="BI905" s="395" t="e">
        <f t="shared" si="848"/>
        <v>#DIV/0!</v>
      </c>
    </row>
    <row r="906" spans="1:61" s="358" customFormat="1" ht="19.2" x14ac:dyDescent="0.3">
      <c r="A906" s="359" t="s">
        <v>1896</v>
      </c>
      <c r="B906" s="537" t="s">
        <v>294</v>
      </c>
      <c r="C906" s="546" t="s">
        <v>786</v>
      </c>
      <c r="D906" s="360">
        <v>0.22</v>
      </c>
      <c r="E906" s="393"/>
      <c r="F906" s="523">
        <v>1</v>
      </c>
      <c r="G906" s="393"/>
      <c r="H906" s="544">
        <v>9.0444300000000002</v>
      </c>
      <c r="I906" s="394">
        <v>6.9094199999999999</v>
      </c>
      <c r="J906" s="394">
        <v>5.2083399999999997</v>
      </c>
      <c r="K906" s="394"/>
      <c r="L906" s="394"/>
      <c r="M906" s="394">
        <v>0</v>
      </c>
      <c r="N906" s="394">
        <v>0</v>
      </c>
      <c r="O906" s="394">
        <v>0.49773000000000001</v>
      </c>
      <c r="P906" s="394">
        <v>5.2083399999999997</v>
      </c>
      <c r="Q906" s="394"/>
      <c r="R906" s="381" t="s">
        <v>167</v>
      </c>
      <c r="S906" s="408" t="s">
        <v>175</v>
      </c>
      <c r="T906" s="385"/>
      <c r="U906" s="475">
        <v>484</v>
      </c>
      <c r="V906" s="395"/>
      <c r="W906" s="395">
        <f t="shared" si="846"/>
        <v>9.0444300000000002</v>
      </c>
      <c r="X906" s="393"/>
      <c r="Y906" s="523"/>
      <c r="Z906" s="393"/>
      <c r="AA906" s="544"/>
      <c r="AB906" s="394"/>
      <c r="AC906" s="394"/>
      <c r="AD906" s="394"/>
      <c r="AE906" s="394"/>
      <c r="AF906" s="394"/>
      <c r="AG906" s="394"/>
      <c r="AH906" s="394"/>
      <c r="AI906" s="394"/>
      <c r="AJ906" s="394"/>
      <c r="AK906" s="381"/>
      <c r="AL906" s="408"/>
      <c r="AM906" s="385"/>
      <c r="AN906" s="475"/>
      <c r="AO906" s="395"/>
      <c r="AP906" s="395" t="e">
        <f t="shared" si="847"/>
        <v>#DIV/0!</v>
      </c>
      <c r="AQ906" s="393"/>
      <c r="AR906" s="523"/>
      <c r="AS906" s="393"/>
      <c r="AT906" s="544"/>
      <c r="AU906" s="394"/>
      <c r="AV906" s="394"/>
      <c r="AW906" s="394"/>
      <c r="AX906" s="394"/>
      <c r="AY906" s="394"/>
      <c r="AZ906" s="394"/>
      <c r="BA906" s="394"/>
      <c r="BB906" s="394"/>
      <c r="BC906" s="394"/>
      <c r="BD906" s="381"/>
      <c r="BE906" s="408"/>
      <c r="BF906" s="385"/>
      <c r="BG906" s="475"/>
      <c r="BH906" s="395"/>
      <c r="BI906" s="395" t="e">
        <f t="shared" si="848"/>
        <v>#DIV/0!</v>
      </c>
    </row>
    <row r="907" spans="1:61" s="358" customFormat="1" ht="19.2" x14ac:dyDescent="0.3">
      <c r="A907" s="359" t="s">
        <v>1897</v>
      </c>
      <c r="B907" s="537" t="s">
        <v>1394</v>
      </c>
      <c r="C907" s="546" t="s">
        <v>787</v>
      </c>
      <c r="D907" s="360">
        <v>0.22</v>
      </c>
      <c r="E907" s="393"/>
      <c r="F907" s="523">
        <v>1</v>
      </c>
      <c r="G907" s="393"/>
      <c r="H907" s="544">
        <v>5.4819300000000002</v>
      </c>
      <c r="I907" s="394">
        <v>5.2126700000000001</v>
      </c>
      <c r="J907" s="394">
        <v>5.2083399999999997</v>
      </c>
      <c r="K907" s="394"/>
      <c r="L907" s="394"/>
      <c r="M907" s="394">
        <v>0</v>
      </c>
      <c r="N907" s="394">
        <v>0</v>
      </c>
      <c r="O907" s="394">
        <v>6.2770000000000006E-2</v>
      </c>
      <c r="P907" s="394">
        <v>5.2083399999999997</v>
      </c>
      <c r="Q907" s="394"/>
      <c r="R907" s="381" t="s">
        <v>167</v>
      </c>
      <c r="S907" s="408" t="s">
        <v>175</v>
      </c>
      <c r="T907" s="385"/>
      <c r="U907" s="475">
        <v>485</v>
      </c>
      <c r="V907" s="395"/>
      <c r="W907" s="395">
        <f t="shared" si="846"/>
        <v>5.4819300000000002</v>
      </c>
      <c r="X907" s="393"/>
      <c r="Y907" s="523"/>
      <c r="Z907" s="393"/>
      <c r="AA907" s="544"/>
      <c r="AB907" s="394"/>
      <c r="AC907" s="394"/>
      <c r="AD907" s="394"/>
      <c r="AE907" s="394"/>
      <c r="AF907" s="394"/>
      <c r="AG907" s="394"/>
      <c r="AH907" s="394"/>
      <c r="AI907" s="394"/>
      <c r="AJ907" s="394"/>
      <c r="AK907" s="381"/>
      <c r="AL907" s="408"/>
      <c r="AM907" s="385"/>
      <c r="AN907" s="475"/>
      <c r="AO907" s="395"/>
      <c r="AP907" s="395" t="e">
        <f t="shared" si="847"/>
        <v>#DIV/0!</v>
      </c>
      <c r="AQ907" s="393"/>
      <c r="AR907" s="523"/>
      <c r="AS907" s="393"/>
      <c r="AT907" s="544"/>
      <c r="AU907" s="394"/>
      <c r="AV907" s="394"/>
      <c r="AW907" s="394"/>
      <c r="AX907" s="394"/>
      <c r="AY907" s="394"/>
      <c r="AZ907" s="394"/>
      <c r="BA907" s="394"/>
      <c r="BB907" s="394"/>
      <c r="BC907" s="394"/>
      <c r="BD907" s="381"/>
      <c r="BE907" s="408"/>
      <c r="BF907" s="385"/>
      <c r="BG907" s="475"/>
      <c r="BH907" s="395"/>
      <c r="BI907" s="395" t="e">
        <f t="shared" si="848"/>
        <v>#DIV/0!</v>
      </c>
    </row>
    <row r="908" spans="1:61" s="358" customFormat="1" ht="19.2" x14ac:dyDescent="0.3">
      <c r="A908" s="359" t="s">
        <v>1898</v>
      </c>
      <c r="B908" s="537" t="s">
        <v>1395</v>
      </c>
      <c r="C908" s="546" t="s">
        <v>788</v>
      </c>
      <c r="D908" s="360">
        <v>0.22</v>
      </c>
      <c r="E908" s="393"/>
      <c r="F908" s="523">
        <v>1</v>
      </c>
      <c r="G908" s="393"/>
      <c r="H908" s="544">
        <v>13.206799999999999</v>
      </c>
      <c r="I908" s="394">
        <v>11.07179</v>
      </c>
      <c r="J908" s="394">
        <v>5.2083300000000001</v>
      </c>
      <c r="K908" s="394"/>
      <c r="L908" s="394"/>
      <c r="M908" s="394">
        <v>0</v>
      </c>
      <c r="N908" s="394">
        <v>0</v>
      </c>
      <c r="O908" s="394">
        <v>0.49773000000000001</v>
      </c>
      <c r="P908" s="394">
        <v>5.2083300000000001</v>
      </c>
      <c r="Q908" s="394"/>
      <c r="R908" s="381" t="s">
        <v>167</v>
      </c>
      <c r="S908" s="408" t="s">
        <v>175</v>
      </c>
      <c r="T908" s="385"/>
      <c r="U908" s="475">
        <v>486</v>
      </c>
      <c r="V908" s="395"/>
      <c r="W908" s="395">
        <f t="shared" si="846"/>
        <v>13.206799999999999</v>
      </c>
      <c r="X908" s="393"/>
      <c r="Y908" s="523"/>
      <c r="Z908" s="393"/>
      <c r="AA908" s="544"/>
      <c r="AB908" s="394"/>
      <c r="AC908" s="394"/>
      <c r="AD908" s="394"/>
      <c r="AE908" s="394"/>
      <c r="AF908" s="394"/>
      <c r="AG908" s="394"/>
      <c r="AH908" s="394"/>
      <c r="AI908" s="394"/>
      <c r="AJ908" s="394"/>
      <c r="AK908" s="381"/>
      <c r="AL908" s="408"/>
      <c r="AM908" s="385"/>
      <c r="AN908" s="475"/>
      <c r="AO908" s="395"/>
      <c r="AP908" s="395" t="e">
        <f t="shared" si="847"/>
        <v>#DIV/0!</v>
      </c>
      <c r="AQ908" s="393"/>
      <c r="AR908" s="523"/>
      <c r="AS908" s="393"/>
      <c r="AT908" s="544"/>
      <c r="AU908" s="394"/>
      <c r="AV908" s="394"/>
      <c r="AW908" s="394"/>
      <c r="AX908" s="394"/>
      <c r="AY908" s="394"/>
      <c r="AZ908" s="394"/>
      <c r="BA908" s="394"/>
      <c r="BB908" s="394"/>
      <c r="BC908" s="394"/>
      <c r="BD908" s="381"/>
      <c r="BE908" s="408"/>
      <c r="BF908" s="385"/>
      <c r="BG908" s="475"/>
      <c r="BH908" s="395"/>
      <c r="BI908" s="395" t="e">
        <f t="shared" si="848"/>
        <v>#DIV/0!</v>
      </c>
    </row>
    <row r="909" spans="1:61" s="358" customFormat="1" ht="19.2" x14ac:dyDescent="0.3">
      <c r="A909" s="359" t="s">
        <v>1899</v>
      </c>
      <c r="B909" s="537" t="s">
        <v>1396</v>
      </c>
      <c r="C909" s="546" t="s">
        <v>789</v>
      </c>
      <c r="D909" s="360">
        <v>0.22</v>
      </c>
      <c r="E909" s="393"/>
      <c r="F909" s="523">
        <v>1</v>
      </c>
      <c r="G909" s="393"/>
      <c r="H909" s="544">
        <v>6.1706500000000002</v>
      </c>
      <c r="I909" s="394">
        <v>5.2837399999999999</v>
      </c>
      <c r="J909" s="394">
        <v>5.0283300000000004</v>
      </c>
      <c r="K909" s="394"/>
      <c r="L909" s="394"/>
      <c r="M909" s="394">
        <v>0</v>
      </c>
      <c r="N909" s="394">
        <v>0</v>
      </c>
      <c r="O909" s="394">
        <v>0.20676</v>
      </c>
      <c r="P909" s="394">
        <v>5.2083300000000001</v>
      </c>
      <c r="Q909" s="394"/>
      <c r="R909" s="381" t="s">
        <v>167</v>
      </c>
      <c r="S909" s="408" t="s">
        <v>175</v>
      </c>
      <c r="T909" s="385"/>
      <c r="U909" s="475">
        <v>487</v>
      </c>
      <c r="V909" s="395"/>
      <c r="W909" s="395">
        <f t="shared" si="846"/>
        <v>6.1706500000000002</v>
      </c>
      <c r="X909" s="393"/>
      <c r="Y909" s="523"/>
      <c r="Z909" s="393"/>
      <c r="AA909" s="544"/>
      <c r="AB909" s="394"/>
      <c r="AC909" s="394"/>
      <c r="AD909" s="394"/>
      <c r="AE909" s="394"/>
      <c r="AF909" s="394"/>
      <c r="AG909" s="394"/>
      <c r="AH909" s="394"/>
      <c r="AI909" s="394"/>
      <c r="AJ909" s="394"/>
      <c r="AK909" s="381"/>
      <c r="AL909" s="408"/>
      <c r="AM909" s="385"/>
      <c r="AN909" s="475"/>
      <c r="AO909" s="395"/>
      <c r="AP909" s="395" t="e">
        <f t="shared" si="847"/>
        <v>#DIV/0!</v>
      </c>
      <c r="AQ909" s="393"/>
      <c r="AR909" s="523"/>
      <c r="AS909" s="393"/>
      <c r="AT909" s="544"/>
      <c r="AU909" s="394"/>
      <c r="AV909" s="394"/>
      <c r="AW909" s="394"/>
      <c r="AX909" s="394"/>
      <c r="AY909" s="394"/>
      <c r="AZ909" s="394"/>
      <c r="BA909" s="394"/>
      <c r="BB909" s="394"/>
      <c r="BC909" s="394"/>
      <c r="BD909" s="381"/>
      <c r="BE909" s="408"/>
      <c r="BF909" s="385"/>
      <c r="BG909" s="475"/>
      <c r="BH909" s="395"/>
      <c r="BI909" s="395" t="e">
        <f t="shared" si="848"/>
        <v>#DIV/0!</v>
      </c>
    </row>
    <row r="910" spans="1:61" s="358" customFormat="1" ht="19.2" x14ac:dyDescent="0.3">
      <c r="A910" s="359" t="s">
        <v>1900</v>
      </c>
      <c r="B910" s="537" t="s">
        <v>1397</v>
      </c>
      <c r="C910" s="546" t="s">
        <v>790</v>
      </c>
      <c r="D910" s="360">
        <v>0.22</v>
      </c>
      <c r="E910" s="393"/>
      <c r="F910" s="523">
        <v>1</v>
      </c>
      <c r="G910" s="393"/>
      <c r="H910" s="544">
        <v>6.1706500000000002</v>
      </c>
      <c r="I910" s="394">
        <v>5.2837399999999999</v>
      </c>
      <c r="J910" s="394">
        <v>5.0283300000000004</v>
      </c>
      <c r="K910" s="394"/>
      <c r="L910" s="394"/>
      <c r="M910" s="394">
        <v>0</v>
      </c>
      <c r="N910" s="394">
        <v>0</v>
      </c>
      <c r="O910" s="394">
        <v>0.20676</v>
      </c>
      <c r="P910" s="394">
        <v>5.2083300000000001</v>
      </c>
      <c r="Q910" s="394"/>
      <c r="R910" s="381" t="s">
        <v>167</v>
      </c>
      <c r="S910" s="408" t="s">
        <v>175</v>
      </c>
      <c r="T910" s="385"/>
      <c r="U910" s="475">
        <v>488</v>
      </c>
      <c r="V910" s="395"/>
      <c r="W910" s="395">
        <f t="shared" si="846"/>
        <v>6.1706500000000002</v>
      </c>
      <c r="X910" s="393"/>
      <c r="Y910" s="523"/>
      <c r="Z910" s="393"/>
      <c r="AA910" s="544"/>
      <c r="AB910" s="394"/>
      <c r="AC910" s="394"/>
      <c r="AD910" s="394"/>
      <c r="AE910" s="394"/>
      <c r="AF910" s="394"/>
      <c r="AG910" s="394"/>
      <c r="AH910" s="394"/>
      <c r="AI910" s="394"/>
      <c r="AJ910" s="394"/>
      <c r="AK910" s="381"/>
      <c r="AL910" s="408"/>
      <c r="AM910" s="385"/>
      <c r="AN910" s="475"/>
      <c r="AO910" s="395"/>
      <c r="AP910" s="395" t="e">
        <f t="shared" si="847"/>
        <v>#DIV/0!</v>
      </c>
      <c r="AQ910" s="393"/>
      <c r="AR910" s="523"/>
      <c r="AS910" s="393"/>
      <c r="AT910" s="544"/>
      <c r="AU910" s="394"/>
      <c r="AV910" s="394"/>
      <c r="AW910" s="394"/>
      <c r="AX910" s="394"/>
      <c r="AY910" s="394"/>
      <c r="AZ910" s="394"/>
      <c r="BA910" s="394"/>
      <c r="BB910" s="394"/>
      <c r="BC910" s="394"/>
      <c r="BD910" s="381"/>
      <c r="BE910" s="408"/>
      <c r="BF910" s="385"/>
      <c r="BG910" s="475"/>
      <c r="BH910" s="395"/>
      <c r="BI910" s="395" t="e">
        <f t="shared" si="848"/>
        <v>#DIV/0!</v>
      </c>
    </row>
    <row r="911" spans="1:61" s="358" customFormat="1" ht="19.2" x14ac:dyDescent="0.3">
      <c r="A911" s="359" t="s">
        <v>1901</v>
      </c>
      <c r="B911" s="537" t="s">
        <v>1398</v>
      </c>
      <c r="C911" s="546" t="s">
        <v>791</v>
      </c>
      <c r="D911" s="360">
        <v>0.22</v>
      </c>
      <c r="E911" s="393"/>
      <c r="F911" s="523">
        <v>1</v>
      </c>
      <c r="G911" s="393"/>
      <c r="H911" s="544">
        <v>24.58877</v>
      </c>
      <c r="I911" s="394">
        <v>21.784279999999999</v>
      </c>
      <c r="J911" s="394">
        <v>5.2083300000000001</v>
      </c>
      <c r="K911" s="394"/>
      <c r="L911" s="394"/>
      <c r="M911" s="394">
        <v>0</v>
      </c>
      <c r="N911" s="394">
        <v>0</v>
      </c>
      <c r="O911" s="394">
        <v>0.65381</v>
      </c>
      <c r="P911" s="394">
        <v>5.2083300000000001</v>
      </c>
      <c r="Q911" s="394"/>
      <c r="R911" s="381" t="s">
        <v>167</v>
      </c>
      <c r="S911" s="408" t="s">
        <v>175</v>
      </c>
      <c r="T911" s="385"/>
      <c r="U911" s="475">
        <v>489</v>
      </c>
      <c r="V911" s="395"/>
      <c r="W911" s="395">
        <f t="shared" si="846"/>
        <v>24.58877</v>
      </c>
      <c r="X911" s="393"/>
      <c r="Y911" s="523"/>
      <c r="Z911" s="393"/>
      <c r="AA911" s="544"/>
      <c r="AB911" s="394"/>
      <c r="AC911" s="394"/>
      <c r="AD911" s="394"/>
      <c r="AE911" s="394"/>
      <c r="AF911" s="394"/>
      <c r="AG911" s="394"/>
      <c r="AH911" s="394"/>
      <c r="AI911" s="394"/>
      <c r="AJ911" s="394"/>
      <c r="AK911" s="381"/>
      <c r="AL911" s="408"/>
      <c r="AM911" s="385"/>
      <c r="AN911" s="475"/>
      <c r="AO911" s="395"/>
      <c r="AP911" s="395" t="e">
        <f t="shared" si="847"/>
        <v>#DIV/0!</v>
      </c>
      <c r="AQ911" s="393"/>
      <c r="AR911" s="523"/>
      <c r="AS911" s="393"/>
      <c r="AT911" s="544"/>
      <c r="AU911" s="394"/>
      <c r="AV911" s="394"/>
      <c r="AW911" s="394"/>
      <c r="AX911" s="394"/>
      <c r="AY911" s="394"/>
      <c r="AZ911" s="394"/>
      <c r="BA911" s="394"/>
      <c r="BB911" s="394"/>
      <c r="BC911" s="394"/>
      <c r="BD911" s="381"/>
      <c r="BE911" s="408"/>
      <c r="BF911" s="385"/>
      <c r="BG911" s="475"/>
      <c r="BH911" s="395"/>
      <c r="BI911" s="395" t="e">
        <f t="shared" si="848"/>
        <v>#DIV/0!</v>
      </c>
    </row>
    <row r="912" spans="1:61" s="358" customFormat="1" ht="19.2" x14ac:dyDescent="0.3">
      <c r="A912" s="359" t="s">
        <v>1918</v>
      </c>
      <c r="B912" s="537" t="s">
        <v>1399</v>
      </c>
      <c r="C912" s="546" t="s">
        <v>792</v>
      </c>
      <c r="D912" s="360">
        <v>0.22</v>
      </c>
      <c r="E912" s="393"/>
      <c r="F912" s="523">
        <v>1</v>
      </c>
      <c r="G912" s="393"/>
      <c r="H912" s="544">
        <v>5.4819300000000002</v>
      </c>
      <c r="I912" s="394">
        <v>5.2126700000000001</v>
      </c>
      <c r="J912" s="394">
        <v>5.2083399999999997</v>
      </c>
      <c r="K912" s="394"/>
      <c r="L912" s="394"/>
      <c r="M912" s="394">
        <v>0</v>
      </c>
      <c r="N912" s="394">
        <v>0</v>
      </c>
      <c r="O912" s="394">
        <v>6.2770000000000006E-2</v>
      </c>
      <c r="P912" s="394">
        <v>5.2083399999999997</v>
      </c>
      <c r="Q912" s="394"/>
      <c r="R912" s="381" t="s">
        <v>167</v>
      </c>
      <c r="S912" s="408" t="s">
        <v>175</v>
      </c>
      <c r="T912" s="385"/>
      <c r="U912" s="475">
        <v>490</v>
      </c>
      <c r="V912" s="395"/>
      <c r="W912" s="395">
        <f t="shared" si="846"/>
        <v>5.4819300000000002</v>
      </c>
      <c r="X912" s="393"/>
      <c r="Y912" s="523"/>
      <c r="Z912" s="393"/>
      <c r="AA912" s="544"/>
      <c r="AB912" s="394"/>
      <c r="AC912" s="394"/>
      <c r="AD912" s="394"/>
      <c r="AE912" s="394"/>
      <c r="AF912" s="394"/>
      <c r="AG912" s="394"/>
      <c r="AH912" s="394"/>
      <c r="AI912" s="394"/>
      <c r="AJ912" s="394"/>
      <c r="AK912" s="381"/>
      <c r="AL912" s="408"/>
      <c r="AM912" s="385"/>
      <c r="AN912" s="475"/>
      <c r="AO912" s="395"/>
      <c r="AP912" s="395" t="e">
        <f t="shared" si="847"/>
        <v>#DIV/0!</v>
      </c>
      <c r="AQ912" s="393"/>
      <c r="AR912" s="523"/>
      <c r="AS912" s="393"/>
      <c r="AT912" s="544"/>
      <c r="AU912" s="394"/>
      <c r="AV912" s="394"/>
      <c r="AW912" s="394"/>
      <c r="AX912" s="394"/>
      <c r="AY912" s="394"/>
      <c r="AZ912" s="394"/>
      <c r="BA912" s="394"/>
      <c r="BB912" s="394"/>
      <c r="BC912" s="394"/>
      <c r="BD912" s="381"/>
      <c r="BE912" s="408"/>
      <c r="BF912" s="385"/>
      <c r="BG912" s="475"/>
      <c r="BH912" s="395"/>
      <c r="BI912" s="395" t="e">
        <f t="shared" si="848"/>
        <v>#DIV/0!</v>
      </c>
    </row>
    <row r="913" spans="1:61" s="358" customFormat="1" ht="19.2" x14ac:dyDescent="0.3">
      <c r="A913" s="359" t="s">
        <v>1903</v>
      </c>
      <c r="B913" s="537" t="s">
        <v>1400</v>
      </c>
      <c r="C913" s="546" t="s">
        <v>793</v>
      </c>
      <c r="D913" s="360">
        <v>0.22</v>
      </c>
      <c r="E913" s="393"/>
      <c r="F913" s="523">
        <v>1</v>
      </c>
      <c r="G913" s="393"/>
      <c r="H913" s="544">
        <v>5.4819300000000002</v>
      </c>
      <c r="I913" s="394">
        <v>5.2126700000000001</v>
      </c>
      <c r="J913" s="394">
        <v>5.2083399999999997</v>
      </c>
      <c r="K913" s="394"/>
      <c r="L913" s="394"/>
      <c r="M913" s="394">
        <v>0</v>
      </c>
      <c r="N913" s="394">
        <v>0</v>
      </c>
      <c r="O913" s="394">
        <v>6.2770000000000006E-2</v>
      </c>
      <c r="P913" s="394">
        <v>5.2083399999999997</v>
      </c>
      <c r="Q913" s="394"/>
      <c r="R913" s="381" t="s">
        <v>167</v>
      </c>
      <c r="S913" s="408" t="s">
        <v>175</v>
      </c>
      <c r="T913" s="385"/>
      <c r="U913" s="475">
        <v>491</v>
      </c>
      <c r="V913" s="395"/>
      <c r="W913" s="395">
        <f t="shared" si="846"/>
        <v>5.4819300000000002</v>
      </c>
      <c r="X913" s="393"/>
      <c r="Y913" s="523"/>
      <c r="Z913" s="393"/>
      <c r="AA913" s="544"/>
      <c r="AB913" s="394"/>
      <c r="AC913" s="394"/>
      <c r="AD913" s="394"/>
      <c r="AE913" s="394"/>
      <c r="AF913" s="394"/>
      <c r="AG913" s="394"/>
      <c r="AH913" s="394"/>
      <c r="AI913" s="394"/>
      <c r="AJ913" s="394"/>
      <c r="AK913" s="381"/>
      <c r="AL913" s="408"/>
      <c r="AM913" s="385"/>
      <c r="AN913" s="475"/>
      <c r="AO913" s="395"/>
      <c r="AP913" s="395" t="e">
        <f t="shared" si="847"/>
        <v>#DIV/0!</v>
      </c>
      <c r="AQ913" s="393"/>
      <c r="AR913" s="523"/>
      <c r="AS913" s="393"/>
      <c r="AT913" s="544"/>
      <c r="AU913" s="394"/>
      <c r="AV913" s="394"/>
      <c r="AW913" s="394"/>
      <c r="AX913" s="394"/>
      <c r="AY913" s="394"/>
      <c r="AZ913" s="394"/>
      <c r="BA913" s="394"/>
      <c r="BB913" s="394"/>
      <c r="BC913" s="394"/>
      <c r="BD913" s="381"/>
      <c r="BE913" s="408"/>
      <c r="BF913" s="385"/>
      <c r="BG913" s="475"/>
      <c r="BH913" s="395"/>
      <c r="BI913" s="395" t="e">
        <f t="shared" si="848"/>
        <v>#DIV/0!</v>
      </c>
    </row>
    <row r="914" spans="1:61" s="358" customFormat="1" ht="19.2" x14ac:dyDescent="0.3">
      <c r="A914" s="359" t="s">
        <v>1904</v>
      </c>
      <c r="B914" s="537" t="s">
        <v>1401</v>
      </c>
      <c r="C914" s="546" t="s">
        <v>794</v>
      </c>
      <c r="D914" s="360">
        <v>0.22</v>
      </c>
      <c r="E914" s="393"/>
      <c r="F914" s="523">
        <v>1</v>
      </c>
      <c r="G914" s="393"/>
      <c r="H914" s="544">
        <v>5.4819300000000002</v>
      </c>
      <c r="I914" s="394">
        <v>5.2126700000000001</v>
      </c>
      <c r="J914" s="394">
        <v>5.2083399999999997</v>
      </c>
      <c r="K914" s="394"/>
      <c r="L914" s="394"/>
      <c r="M914" s="394">
        <v>0</v>
      </c>
      <c r="N914" s="394">
        <v>0</v>
      </c>
      <c r="O914" s="394">
        <v>6.2770000000000006E-2</v>
      </c>
      <c r="P914" s="394">
        <v>5.2083399999999997</v>
      </c>
      <c r="Q914" s="394"/>
      <c r="R914" s="381" t="s">
        <v>167</v>
      </c>
      <c r="S914" s="408" t="s">
        <v>175</v>
      </c>
      <c r="T914" s="385"/>
      <c r="U914" s="475">
        <v>492</v>
      </c>
      <c r="V914" s="395"/>
      <c r="W914" s="395">
        <f t="shared" si="846"/>
        <v>5.4819300000000002</v>
      </c>
      <c r="X914" s="393"/>
      <c r="Y914" s="523"/>
      <c r="Z914" s="393"/>
      <c r="AA914" s="544"/>
      <c r="AB914" s="394"/>
      <c r="AC914" s="394"/>
      <c r="AD914" s="394"/>
      <c r="AE914" s="394"/>
      <c r="AF914" s="394"/>
      <c r="AG914" s="394"/>
      <c r="AH914" s="394"/>
      <c r="AI914" s="394"/>
      <c r="AJ914" s="394"/>
      <c r="AK914" s="381"/>
      <c r="AL914" s="408"/>
      <c r="AM914" s="385"/>
      <c r="AN914" s="475"/>
      <c r="AO914" s="395"/>
      <c r="AP914" s="395" t="e">
        <f t="shared" si="847"/>
        <v>#DIV/0!</v>
      </c>
      <c r="AQ914" s="393"/>
      <c r="AR914" s="523"/>
      <c r="AS914" s="393"/>
      <c r="AT914" s="544"/>
      <c r="AU914" s="394"/>
      <c r="AV914" s="394"/>
      <c r="AW914" s="394"/>
      <c r="AX914" s="394"/>
      <c r="AY914" s="394"/>
      <c r="AZ914" s="394"/>
      <c r="BA914" s="394"/>
      <c r="BB914" s="394"/>
      <c r="BC914" s="394"/>
      <c r="BD914" s="381"/>
      <c r="BE914" s="408"/>
      <c r="BF914" s="385"/>
      <c r="BG914" s="475"/>
      <c r="BH914" s="395"/>
      <c r="BI914" s="395" t="e">
        <f t="shared" si="848"/>
        <v>#DIV/0!</v>
      </c>
    </row>
    <row r="915" spans="1:61" s="358" customFormat="1" ht="19.2" x14ac:dyDescent="0.3">
      <c r="A915" s="359" t="s">
        <v>1889</v>
      </c>
      <c r="B915" s="537" t="s">
        <v>1402</v>
      </c>
      <c r="C915" s="546" t="s">
        <v>795</v>
      </c>
      <c r="D915" s="360">
        <v>0.22</v>
      </c>
      <c r="E915" s="393"/>
      <c r="F915" s="523">
        <v>1</v>
      </c>
      <c r="G915" s="393"/>
      <c r="H915" s="544">
        <v>5.4819300000000002</v>
      </c>
      <c r="I915" s="394">
        <v>5.2126700000000001</v>
      </c>
      <c r="J915" s="394">
        <v>5.2083399999999997</v>
      </c>
      <c r="K915" s="394"/>
      <c r="L915" s="394"/>
      <c r="M915" s="394">
        <v>0</v>
      </c>
      <c r="N915" s="394">
        <v>0</v>
      </c>
      <c r="O915" s="394">
        <v>6.2770000000000006E-2</v>
      </c>
      <c r="P915" s="394">
        <v>5.2083399999999997</v>
      </c>
      <c r="Q915" s="394"/>
      <c r="R915" s="381" t="s">
        <v>167</v>
      </c>
      <c r="S915" s="408" t="s">
        <v>175</v>
      </c>
      <c r="T915" s="385"/>
      <c r="U915" s="475">
        <v>493</v>
      </c>
      <c r="V915" s="395"/>
      <c r="W915" s="395">
        <f t="shared" ref="W915:W933" si="849">H915/F915</f>
        <v>5.4819300000000002</v>
      </c>
      <c r="X915" s="393"/>
      <c r="Y915" s="523"/>
      <c r="Z915" s="393"/>
      <c r="AA915" s="544"/>
      <c r="AB915" s="394"/>
      <c r="AC915" s="394"/>
      <c r="AD915" s="394"/>
      <c r="AE915" s="394"/>
      <c r="AF915" s="394"/>
      <c r="AG915" s="394"/>
      <c r="AH915" s="394"/>
      <c r="AI915" s="394"/>
      <c r="AJ915" s="394"/>
      <c r="AK915" s="381"/>
      <c r="AL915" s="408"/>
      <c r="AM915" s="385"/>
      <c r="AN915" s="475"/>
      <c r="AO915" s="395"/>
      <c r="AP915" s="395" t="e">
        <f t="shared" si="847"/>
        <v>#DIV/0!</v>
      </c>
      <c r="AQ915" s="393"/>
      <c r="AR915" s="523"/>
      <c r="AS915" s="393"/>
      <c r="AT915" s="544"/>
      <c r="AU915" s="394"/>
      <c r="AV915" s="394"/>
      <c r="AW915" s="394"/>
      <c r="AX915" s="394"/>
      <c r="AY915" s="394"/>
      <c r="AZ915" s="394"/>
      <c r="BA915" s="394"/>
      <c r="BB915" s="394"/>
      <c r="BC915" s="394"/>
      <c r="BD915" s="381"/>
      <c r="BE915" s="408"/>
      <c r="BF915" s="385"/>
      <c r="BG915" s="475"/>
      <c r="BH915" s="395"/>
      <c r="BI915" s="395" t="e">
        <f t="shared" si="848"/>
        <v>#DIV/0!</v>
      </c>
    </row>
    <row r="916" spans="1:61" s="358" customFormat="1" ht="19.2" x14ac:dyDescent="0.3">
      <c r="A916" s="359" t="s">
        <v>1922</v>
      </c>
      <c r="B916" s="537" t="s">
        <v>1403</v>
      </c>
      <c r="C916" s="546" t="s">
        <v>796</v>
      </c>
      <c r="D916" s="360">
        <v>0.22</v>
      </c>
      <c r="E916" s="393"/>
      <c r="F916" s="523">
        <v>1</v>
      </c>
      <c r="G916" s="393"/>
      <c r="H916" s="544">
        <v>5.4819300000000002</v>
      </c>
      <c r="I916" s="394">
        <v>5.2126700000000001</v>
      </c>
      <c r="J916" s="394">
        <v>5.2083399999999997</v>
      </c>
      <c r="K916" s="394"/>
      <c r="L916" s="394"/>
      <c r="M916" s="394">
        <v>0</v>
      </c>
      <c r="N916" s="394">
        <v>0</v>
      </c>
      <c r="O916" s="394">
        <v>6.2770000000000006E-2</v>
      </c>
      <c r="P916" s="394">
        <v>5.2083399999999997</v>
      </c>
      <c r="Q916" s="394"/>
      <c r="R916" s="381" t="s">
        <v>167</v>
      </c>
      <c r="S916" s="408" t="s">
        <v>175</v>
      </c>
      <c r="T916" s="385"/>
      <c r="U916" s="475">
        <v>494</v>
      </c>
      <c r="V916" s="395"/>
      <c r="W916" s="395">
        <f t="shared" si="849"/>
        <v>5.4819300000000002</v>
      </c>
      <c r="X916" s="393"/>
      <c r="Y916" s="523"/>
      <c r="Z916" s="393"/>
      <c r="AA916" s="544"/>
      <c r="AB916" s="394"/>
      <c r="AC916" s="394"/>
      <c r="AD916" s="394"/>
      <c r="AE916" s="394"/>
      <c r="AF916" s="394"/>
      <c r="AG916" s="394"/>
      <c r="AH916" s="394"/>
      <c r="AI916" s="394"/>
      <c r="AJ916" s="394"/>
      <c r="AK916" s="381"/>
      <c r="AL916" s="408"/>
      <c r="AM916" s="385"/>
      <c r="AN916" s="475"/>
      <c r="AO916" s="395"/>
      <c r="AP916" s="395" t="e">
        <f t="shared" si="847"/>
        <v>#DIV/0!</v>
      </c>
      <c r="AQ916" s="393"/>
      <c r="AR916" s="523"/>
      <c r="AS916" s="393"/>
      <c r="AT916" s="544"/>
      <c r="AU916" s="394"/>
      <c r="AV916" s="394"/>
      <c r="AW916" s="394"/>
      <c r="AX916" s="394"/>
      <c r="AY916" s="394"/>
      <c r="AZ916" s="394"/>
      <c r="BA916" s="394"/>
      <c r="BB916" s="394"/>
      <c r="BC916" s="394"/>
      <c r="BD916" s="381"/>
      <c r="BE916" s="408"/>
      <c r="BF916" s="385"/>
      <c r="BG916" s="475"/>
      <c r="BH916" s="395"/>
      <c r="BI916" s="395" t="e">
        <f t="shared" si="848"/>
        <v>#DIV/0!</v>
      </c>
    </row>
    <row r="917" spans="1:61" s="358" customFormat="1" ht="19.2" x14ac:dyDescent="0.3">
      <c r="A917" s="359" t="s">
        <v>1907</v>
      </c>
      <c r="B917" s="537" t="s">
        <v>1404</v>
      </c>
      <c r="C917" s="546" t="s">
        <v>797</v>
      </c>
      <c r="D917" s="360">
        <v>0.22</v>
      </c>
      <c r="E917" s="393"/>
      <c r="F917" s="523">
        <v>1</v>
      </c>
      <c r="G917" s="393"/>
      <c r="H917" s="544">
        <v>5.4819300000000002</v>
      </c>
      <c r="I917" s="394">
        <v>5.2126700000000001</v>
      </c>
      <c r="J917" s="394">
        <v>5.2083399999999997</v>
      </c>
      <c r="K917" s="394"/>
      <c r="L917" s="394"/>
      <c r="M917" s="394">
        <v>0</v>
      </c>
      <c r="N917" s="394">
        <v>0</v>
      </c>
      <c r="O917" s="394">
        <v>6.2770000000000006E-2</v>
      </c>
      <c r="P917" s="394">
        <v>5.2083399999999997</v>
      </c>
      <c r="Q917" s="394"/>
      <c r="R917" s="381" t="s">
        <v>167</v>
      </c>
      <c r="S917" s="408" t="s">
        <v>175</v>
      </c>
      <c r="T917" s="385"/>
      <c r="U917" s="475">
        <v>495</v>
      </c>
      <c r="V917" s="395"/>
      <c r="W917" s="395">
        <f t="shared" si="849"/>
        <v>5.4819300000000002</v>
      </c>
      <c r="X917" s="393"/>
      <c r="Y917" s="523"/>
      <c r="Z917" s="393"/>
      <c r="AA917" s="544"/>
      <c r="AB917" s="394"/>
      <c r="AC917" s="394"/>
      <c r="AD917" s="394"/>
      <c r="AE917" s="394"/>
      <c r="AF917" s="394"/>
      <c r="AG917" s="394"/>
      <c r="AH917" s="394"/>
      <c r="AI917" s="394"/>
      <c r="AJ917" s="394"/>
      <c r="AK917" s="381"/>
      <c r="AL917" s="408"/>
      <c r="AM917" s="385"/>
      <c r="AN917" s="475"/>
      <c r="AO917" s="395"/>
      <c r="AP917" s="395" t="e">
        <f t="shared" si="847"/>
        <v>#DIV/0!</v>
      </c>
      <c r="AQ917" s="393"/>
      <c r="AR917" s="523"/>
      <c r="AS917" s="393"/>
      <c r="AT917" s="544"/>
      <c r="AU917" s="394"/>
      <c r="AV917" s="394"/>
      <c r="AW917" s="394"/>
      <c r="AX917" s="394"/>
      <c r="AY917" s="394"/>
      <c r="AZ917" s="394"/>
      <c r="BA917" s="394"/>
      <c r="BB917" s="394"/>
      <c r="BC917" s="394"/>
      <c r="BD917" s="381"/>
      <c r="BE917" s="408"/>
      <c r="BF917" s="385"/>
      <c r="BG917" s="475"/>
      <c r="BH917" s="395"/>
      <c r="BI917" s="395" t="e">
        <f t="shared" si="848"/>
        <v>#DIV/0!</v>
      </c>
    </row>
    <row r="918" spans="1:61" s="358" customFormat="1" ht="19.2" x14ac:dyDescent="0.3">
      <c r="A918" s="359" t="s">
        <v>1908</v>
      </c>
      <c r="B918" s="537" t="s">
        <v>1405</v>
      </c>
      <c r="C918" s="546" t="s">
        <v>798</v>
      </c>
      <c r="D918" s="360">
        <v>0.22</v>
      </c>
      <c r="E918" s="393"/>
      <c r="F918" s="523">
        <v>1</v>
      </c>
      <c r="G918" s="393"/>
      <c r="H918" s="544">
        <v>5.4819300000000002</v>
      </c>
      <c r="I918" s="394">
        <v>5.2126700000000001</v>
      </c>
      <c r="J918" s="394">
        <v>5.2083399999999997</v>
      </c>
      <c r="K918" s="394"/>
      <c r="L918" s="394"/>
      <c r="M918" s="394">
        <v>0</v>
      </c>
      <c r="N918" s="394">
        <v>0</v>
      </c>
      <c r="O918" s="394">
        <v>6.2770000000000006E-2</v>
      </c>
      <c r="P918" s="394">
        <v>5.2083399999999997</v>
      </c>
      <c r="Q918" s="394"/>
      <c r="R918" s="381" t="s">
        <v>167</v>
      </c>
      <c r="S918" s="408" t="s">
        <v>175</v>
      </c>
      <c r="T918" s="385"/>
      <c r="U918" s="475">
        <v>496</v>
      </c>
      <c r="V918" s="395"/>
      <c r="W918" s="395">
        <f t="shared" si="849"/>
        <v>5.4819300000000002</v>
      </c>
      <c r="X918" s="393"/>
      <c r="Y918" s="523"/>
      <c r="Z918" s="393"/>
      <c r="AA918" s="544"/>
      <c r="AB918" s="394"/>
      <c r="AC918" s="394"/>
      <c r="AD918" s="394"/>
      <c r="AE918" s="394"/>
      <c r="AF918" s="394"/>
      <c r="AG918" s="394"/>
      <c r="AH918" s="394"/>
      <c r="AI918" s="394"/>
      <c r="AJ918" s="394"/>
      <c r="AK918" s="381"/>
      <c r="AL918" s="408"/>
      <c r="AM918" s="385"/>
      <c r="AN918" s="475"/>
      <c r="AO918" s="395"/>
      <c r="AP918" s="395" t="e">
        <f t="shared" si="847"/>
        <v>#DIV/0!</v>
      </c>
      <c r="AQ918" s="393"/>
      <c r="AR918" s="523"/>
      <c r="AS918" s="393"/>
      <c r="AT918" s="544"/>
      <c r="AU918" s="394"/>
      <c r="AV918" s="394"/>
      <c r="AW918" s="394"/>
      <c r="AX918" s="394"/>
      <c r="AY918" s="394"/>
      <c r="AZ918" s="394"/>
      <c r="BA918" s="394"/>
      <c r="BB918" s="394"/>
      <c r="BC918" s="394"/>
      <c r="BD918" s="381"/>
      <c r="BE918" s="408"/>
      <c r="BF918" s="385"/>
      <c r="BG918" s="475"/>
      <c r="BH918" s="395"/>
      <c r="BI918" s="395" t="e">
        <f t="shared" si="848"/>
        <v>#DIV/0!</v>
      </c>
    </row>
    <row r="919" spans="1:61" s="358" customFormat="1" ht="19.2" x14ac:dyDescent="0.3">
      <c r="A919" s="359" t="s">
        <v>1909</v>
      </c>
      <c r="B919" s="537" t="s">
        <v>1406</v>
      </c>
      <c r="C919" s="546" t="s">
        <v>799</v>
      </c>
      <c r="D919" s="360">
        <v>0.22</v>
      </c>
      <c r="E919" s="393"/>
      <c r="F919" s="523">
        <v>1</v>
      </c>
      <c r="G919" s="393"/>
      <c r="H919" s="544">
        <v>5.4819300000000002</v>
      </c>
      <c r="I919" s="394">
        <v>5.2126700000000001</v>
      </c>
      <c r="J919" s="394">
        <v>5.2083399999999997</v>
      </c>
      <c r="K919" s="394"/>
      <c r="L919" s="394"/>
      <c r="M919" s="394">
        <v>0</v>
      </c>
      <c r="N919" s="394">
        <v>0</v>
      </c>
      <c r="O919" s="394">
        <v>6.2770000000000006E-2</v>
      </c>
      <c r="P919" s="394">
        <v>5.2083399999999997</v>
      </c>
      <c r="Q919" s="394"/>
      <c r="R919" s="381" t="s">
        <v>167</v>
      </c>
      <c r="S919" s="408" t="s">
        <v>175</v>
      </c>
      <c r="T919" s="385"/>
      <c r="U919" s="475">
        <v>497</v>
      </c>
      <c r="V919" s="395"/>
      <c r="W919" s="395">
        <f t="shared" si="849"/>
        <v>5.4819300000000002</v>
      </c>
      <c r="X919" s="393"/>
      <c r="Y919" s="523"/>
      <c r="Z919" s="393"/>
      <c r="AA919" s="544"/>
      <c r="AB919" s="394"/>
      <c r="AC919" s="394"/>
      <c r="AD919" s="394"/>
      <c r="AE919" s="394"/>
      <c r="AF919" s="394"/>
      <c r="AG919" s="394"/>
      <c r="AH919" s="394"/>
      <c r="AI919" s="394"/>
      <c r="AJ919" s="394"/>
      <c r="AK919" s="381"/>
      <c r="AL919" s="408"/>
      <c r="AM919" s="385"/>
      <c r="AN919" s="475"/>
      <c r="AO919" s="395"/>
      <c r="AP919" s="395" t="e">
        <f t="shared" si="847"/>
        <v>#DIV/0!</v>
      </c>
      <c r="AQ919" s="393"/>
      <c r="AR919" s="523"/>
      <c r="AS919" s="393"/>
      <c r="AT919" s="544"/>
      <c r="AU919" s="394"/>
      <c r="AV919" s="394"/>
      <c r="AW919" s="394"/>
      <c r="AX919" s="394"/>
      <c r="AY919" s="394"/>
      <c r="AZ919" s="394"/>
      <c r="BA919" s="394"/>
      <c r="BB919" s="394"/>
      <c r="BC919" s="394"/>
      <c r="BD919" s="381"/>
      <c r="BE919" s="408"/>
      <c r="BF919" s="385"/>
      <c r="BG919" s="475"/>
      <c r="BH919" s="395"/>
      <c r="BI919" s="395" t="e">
        <f t="shared" si="848"/>
        <v>#DIV/0!</v>
      </c>
    </row>
    <row r="920" spans="1:61" s="358" customFormat="1" ht="19.2" x14ac:dyDescent="0.3">
      <c r="A920" s="359" t="s">
        <v>1910</v>
      </c>
      <c r="B920" s="537" t="s">
        <v>1406</v>
      </c>
      <c r="C920" s="546" t="s">
        <v>800</v>
      </c>
      <c r="D920" s="360">
        <v>0.22</v>
      </c>
      <c r="E920" s="393"/>
      <c r="F920" s="523">
        <v>1</v>
      </c>
      <c r="G920" s="393"/>
      <c r="H920" s="544">
        <v>5.4819300000000002</v>
      </c>
      <c r="I920" s="394">
        <v>5.2126700000000001</v>
      </c>
      <c r="J920" s="394">
        <v>5.2083399999999997</v>
      </c>
      <c r="K920" s="394"/>
      <c r="L920" s="394"/>
      <c r="M920" s="394">
        <v>0</v>
      </c>
      <c r="N920" s="394">
        <v>0</v>
      </c>
      <c r="O920" s="394">
        <v>6.2770000000000006E-2</v>
      </c>
      <c r="P920" s="394">
        <v>5.2083399999999997</v>
      </c>
      <c r="Q920" s="394"/>
      <c r="R920" s="381" t="s">
        <v>167</v>
      </c>
      <c r="S920" s="408" t="s">
        <v>175</v>
      </c>
      <c r="T920" s="385"/>
      <c r="U920" s="475">
        <v>498</v>
      </c>
      <c r="V920" s="395"/>
      <c r="W920" s="395">
        <f t="shared" si="849"/>
        <v>5.4819300000000002</v>
      </c>
      <c r="X920" s="393"/>
      <c r="Y920" s="523"/>
      <c r="Z920" s="393"/>
      <c r="AA920" s="544"/>
      <c r="AB920" s="394"/>
      <c r="AC920" s="394"/>
      <c r="AD920" s="394"/>
      <c r="AE920" s="394"/>
      <c r="AF920" s="394"/>
      <c r="AG920" s="394"/>
      <c r="AH920" s="394"/>
      <c r="AI920" s="394"/>
      <c r="AJ920" s="394"/>
      <c r="AK920" s="381"/>
      <c r="AL920" s="408"/>
      <c r="AM920" s="385"/>
      <c r="AN920" s="475"/>
      <c r="AO920" s="395"/>
      <c r="AP920" s="395" t="e">
        <f t="shared" si="847"/>
        <v>#DIV/0!</v>
      </c>
      <c r="AQ920" s="393"/>
      <c r="AR920" s="523"/>
      <c r="AS920" s="393"/>
      <c r="AT920" s="544"/>
      <c r="AU920" s="394"/>
      <c r="AV920" s="394"/>
      <c r="AW920" s="394"/>
      <c r="AX920" s="394"/>
      <c r="AY920" s="394"/>
      <c r="AZ920" s="394"/>
      <c r="BA920" s="394"/>
      <c r="BB920" s="394"/>
      <c r="BC920" s="394"/>
      <c r="BD920" s="381"/>
      <c r="BE920" s="408"/>
      <c r="BF920" s="385"/>
      <c r="BG920" s="475"/>
      <c r="BH920" s="395"/>
      <c r="BI920" s="395" t="e">
        <f t="shared" si="848"/>
        <v>#DIV/0!</v>
      </c>
    </row>
    <row r="921" spans="1:61" s="358" customFormat="1" ht="19.2" x14ac:dyDescent="0.3">
      <c r="A921" s="359" t="s">
        <v>1911</v>
      </c>
      <c r="B921" s="537" t="s">
        <v>1407</v>
      </c>
      <c r="C921" s="546" t="s">
        <v>801</v>
      </c>
      <c r="D921" s="360">
        <v>0.22</v>
      </c>
      <c r="E921" s="393"/>
      <c r="F921" s="523">
        <v>1</v>
      </c>
      <c r="G921" s="393"/>
      <c r="H921" s="544">
        <v>5.4819300000000002</v>
      </c>
      <c r="I921" s="394">
        <v>5.2126700000000001</v>
      </c>
      <c r="J921" s="394">
        <v>5.2083399999999997</v>
      </c>
      <c r="K921" s="394"/>
      <c r="L921" s="394"/>
      <c r="M921" s="394">
        <v>0</v>
      </c>
      <c r="N921" s="394">
        <v>0</v>
      </c>
      <c r="O921" s="394">
        <v>6.2770000000000006E-2</v>
      </c>
      <c r="P921" s="394">
        <v>5.2083399999999997</v>
      </c>
      <c r="Q921" s="394"/>
      <c r="R921" s="381" t="s">
        <v>167</v>
      </c>
      <c r="S921" s="408" t="s">
        <v>175</v>
      </c>
      <c r="T921" s="385"/>
      <c r="U921" s="475">
        <v>499</v>
      </c>
      <c r="V921" s="395"/>
      <c r="W921" s="395">
        <f t="shared" si="849"/>
        <v>5.4819300000000002</v>
      </c>
      <c r="X921" s="393"/>
      <c r="Y921" s="523"/>
      <c r="Z921" s="393"/>
      <c r="AA921" s="544"/>
      <c r="AB921" s="394"/>
      <c r="AC921" s="394"/>
      <c r="AD921" s="394"/>
      <c r="AE921" s="394"/>
      <c r="AF921" s="394"/>
      <c r="AG921" s="394"/>
      <c r="AH921" s="394"/>
      <c r="AI921" s="394"/>
      <c r="AJ921" s="394"/>
      <c r="AK921" s="381"/>
      <c r="AL921" s="408"/>
      <c r="AM921" s="385"/>
      <c r="AN921" s="475"/>
      <c r="AO921" s="395"/>
      <c r="AP921" s="395" t="e">
        <f t="shared" si="847"/>
        <v>#DIV/0!</v>
      </c>
      <c r="AQ921" s="393"/>
      <c r="AR921" s="523"/>
      <c r="AS921" s="393"/>
      <c r="AT921" s="544"/>
      <c r="AU921" s="394"/>
      <c r="AV921" s="394"/>
      <c r="AW921" s="394"/>
      <c r="AX921" s="394"/>
      <c r="AY921" s="394"/>
      <c r="AZ921" s="394"/>
      <c r="BA921" s="394"/>
      <c r="BB921" s="394"/>
      <c r="BC921" s="394"/>
      <c r="BD921" s="381"/>
      <c r="BE921" s="408"/>
      <c r="BF921" s="385"/>
      <c r="BG921" s="475"/>
      <c r="BH921" s="395"/>
      <c r="BI921" s="395" t="e">
        <f t="shared" si="848"/>
        <v>#DIV/0!</v>
      </c>
    </row>
    <row r="922" spans="1:61" s="358" customFormat="1" ht="19.2" x14ac:dyDescent="0.3">
      <c r="A922" s="359" t="s">
        <v>1912</v>
      </c>
      <c r="B922" s="537" t="s">
        <v>1408</v>
      </c>
      <c r="C922" s="546" t="s">
        <v>802</v>
      </c>
      <c r="D922" s="360">
        <v>0.22</v>
      </c>
      <c r="E922" s="393"/>
      <c r="F922" s="523">
        <v>1</v>
      </c>
      <c r="G922" s="393"/>
      <c r="H922" s="544">
        <v>5.4819300000000002</v>
      </c>
      <c r="I922" s="394">
        <v>5.2126700000000001</v>
      </c>
      <c r="J922" s="394">
        <v>5.2083399999999997</v>
      </c>
      <c r="K922" s="394"/>
      <c r="L922" s="394"/>
      <c r="M922" s="394">
        <v>0</v>
      </c>
      <c r="N922" s="394">
        <v>0</v>
      </c>
      <c r="O922" s="394">
        <v>6.2770000000000006E-2</v>
      </c>
      <c r="P922" s="394">
        <v>5.2083399999999997</v>
      </c>
      <c r="Q922" s="394"/>
      <c r="R922" s="381" t="s">
        <v>167</v>
      </c>
      <c r="S922" s="408" t="s">
        <v>175</v>
      </c>
      <c r="T922" s="385"/>
      <c r="U922" s="475">
        <v>500</v>
      </c>
      <c r="V922" s="395"/>
      <c r="W922" s="395">
        <f t="shared" si="849"/>
        <v>5.4819300000000002</v>
      </c>
      <c r="X922" s="393"/>
      <c r="Y922" s="523"/>
      <c r="Z922" s="393"/>
      <c r="AA922" s="544"/>
      <c r="AB922" s="394"/>
      <c r="AC922" s="394"/>
      <c r="AD922" s="394"/>
      <c r="AE922" s="394"/>
      <c r="AF922" s="394"/>
      <c r="AG922" s="394"/>
      <c r="AH922" s="394"/>
      <c r="AI922" s="394"/>
      <c r="AJ922" s="394"/>
      <c r="AK922" s="381"/>
      <c r="AL922" s="408"/>
      <c r="AM922" s="385"/>
      <c r="AN922" s="475"/>
      <c r="AO922" s="395"/>
      <c r="AP922" s="395" t="e">
        <f t="shared" si="847"/>
        <v>#DIV/0!</v>
      </c>
      <c r="AQ922" s="393"/>
      <c r="AR922" s="523"/>
      <c r="AS922" s="393"/>
      <c r="AT922" s="544"/>
      <c r="AU922" s="394"/>
      <c r="AV922" s="394"/>
      <c r="AW922" s="394"/>
      <c r="AX922" s="394"/>
      <c r="AY922" s="394"/>
      <c r="AZ922" s="394"/>
      <c r="BA922" s="394"/>
      <c r="BB922" s="394"/>
      <c r="BC922" s="394"/>
      <c r="BD922" s="381"/>
      <c r="BE922" s="408"/>
      <c r="BF922" s="385"/>
      <c r="BG922" s="475"/>
      <c r="BH922" s="395"/>
      <c r="BI922" s="395" t="e">
        <f t="shared" si="848"/>
        <v>#DIV/0!</v>
      </c>
    </row>
    <row r="923" spans="1:61" s="358" customFormat="1" ht="19.2" x14ac:dyDescent="0.3">
      <c r="A923" s="359" t="s">
        <v>1913</v>
      </c>
      <c r="B923" s="537" t="s">
        <v>1409</v>
      </c>
      <c r="C923" s="546" t="s">
        <v>803</v>
      </c>
      <c r="D923" s="360">
        <v>0.22</v>
      </c>
      <c r="E923" s="393"/>
      <c r="F923" s="523">
        <v>1</v>
      </c>
      <c r="G923" s="393"/>
      <c r="H923" s="544">
        <v>8.7274200000000004</v>
      </c>
      <c r="I923" s="394">
        <v>6.5924100000000001</v>
      </c>
      <c r="J923" s="394">
        <v>5.2083399999999997</v>
      </c>
      <c r="K923" s="394"/>
      <c r="L923" s="394"/>
      <c r="M923" s="394">
        <v>0</v>
      </c>
      <c r="N923" s="394">
        <v>0</v>
      </c>
      <c r="O923" s="394">
        <v>0.49773000000000001</v>
      </c>
      <c r="P923" s="394">
        <v>5.2083399999999997</v>
      </c>
      <c r="Q923" s="394"/>
      <c r="R923" s="381" t="s">
        <v>167</v>
      </c>
      <c r="S923" s="408" t="s">
        <v>175</v>
      </c>
      <c r="T923" s="385"/>
      <c r="U923" s="475">
        <v>501</v>
      </c>
      <c r="V923" s="395"/>
      <c r="W923" s="395">
        <f t="shared" si="849"/>
        <v>8.7274200000000004</v>
      </c>
      <c r="X923" s="393"/>
      <c r="Y923" s="523"/>
      <c r="Z923" s="393"/>
      <c r="AA923" s="544"/>
      <c r="AB923" s="394"/>
      <c r="AC923" s="394"/>
      <c r="AD923" s="394"/>
      <c r="AE923" s="394"/>
      <c r="AF923" s="394"/>
      <c r="AG923" s="394"/>
      <c r="AH923" s="394"/>
      <c r="AI923" s="394"/>
      <c r="AJ923" s="394"/>
      <c r="AK923" s="381"/>
      <c r="AL923" s="408"/>
      <c r="AM923" s="385"/>
      <c r="AN923" s="475"/>
      <c r="AO923" s="395"/>
      <c r="AP923" s="395" t="e">
        <f t="shared" si="847"/>
        <v>#DIV/0!</v>
      </c>
      <c r="AQ923" s="393"/>
      <c r="AR923" s="523"/>
      <c r="AS923" s="393"/>
      <c r="AT923" s="544"/>
      <c r="AU923" s="394"/>
      <c r="AV923" s="394"/>
      <c r="AW923" s="394"/>
      <c r="AX923" s="394"/>
      <c r="AY923" s="394"/>
      <c r="AZ923" s="394"/>
      <c r="BA923" s="394"/>
      <c r="BB923" s="394"/>
      <c r="BC923" s="394"/>
      <c r="BD923" s="381"/>
      <c r="BE923" s="408"/>
      <c r="BF923" s="385"/>
      <c r="BG923" s="475"/>
      <c r="BH923" s="395"/>
      <c r="BI923" s="395" t="e">
        <f t="shared" si="848"/>
        <v>#DIV/0!</v>
      </c>
    </row>
    <row r="924" spans="1:61" s="358" customFormat="1" ht="19.2" x14ac:dyDescent="0.3">
      <c r="A924" s="359" t="s">
        <v>1914</v>
      </c>
      <c r="B924" s="537" t="s">
        <v>1952</v>
      </c>
      <c r="C924" s="546" t="s">
        <v>1951</v>
      </c>
      <c r="D924" s="360">
        <v>0.22</v>
      </c>
      <c r="E924" s="393"/>
      <c r="F924" s="523">
        <v>1</v>
      </c>
      <c r="G924" s="393"/>
      <c r="H924" s="544">
        <v>8.7274200000000004</v>
      </c>
      <c r="I924" s="394">
        <v>6.5924100000000001</v>
      </c>
      <c r="J924" s="394">
        <v>5.2083399999999997</v>
      </c>
      <c r="K924" s="394"/>
      <c r="L924" s="394"/>
      <c r="M924" s="394">
        <v>0</v>
      </c>
      <c r="N924" s="394">
        <v>0</v>
      </c>
      <c r="O924" s="394">
        <v>0.49773000000000001</v>
      </c>
      <c r="P924" s="394">
        <v>5.2083399999999997</v>
      </c>
      <c r="Q924" s="394"/>
      <c r="R924" s="381" t="s">
        <v>167</v>
      </c>
      <c r="S924" s="408" t="s">
        <v>175</v>
      </c>
      <c r="T924" s="385"/>
      <c r="U924" s="475">
        <v>502</v>
      </c>
      <c r="V924" s="395"/>
      <c r="W924" s="395">
        <f t="shared" si="849"/>
        <v>8.7274200000000004</v>
      </c>
      <c r="X924" s="393"/>
      <c r="Y924" s="523"/>
      <c r="Z924" s="393"/>
      <c r="AA924" s="544"/>
      <c r="AB924" s="394"/>
      <c r="AC924" s="394"/>
      <c r="AD924" s="394"/>
      <c r="AE924" s="394"/>
      <c r="AF924" s="394"/>
      <c r="AG924" s="394"/>
      <c r="AH924" s="394"/>
      <c r="AI924" s="394"/>
      <c r="AJ924" s="394"/>
      <c r="AK924" s="381"/>
      <c r="AL924" s="408"/>
      <c r="AM924" s="385"/>
      <c r="AN924" s="475"/>
      <c r="AO924" s="395"/>
      <c r="AP924" s="395" t="e">
        <f t="shared" si="847"/>
        <v>#DIV/0!</v>
      </c>
      <c r="AQ924" s="393"/>
      <c r="AR924" s="523"/>
      <c r="AS924" s="393"/>
      <c r="AT924" s="544"/>
      <c r="AU924" s="394"/>
      <c r="AV924" s="394"/>
      <c r="AW924" s="394"/>
      <c r="AX924" s="394"/>
      <c r="AY924" s="394"/>
      <c r="AZ924" s="394"/>
      <c r="BA924" s="394"/>
      <c r="BB924" s="394"/>
      <c r="BC924" s="394"/>
      <c r="BD924" s="381"/>
      <c r="BE924" s="408"/>
      <c r="BF924" s="385"/>
      <c r="BG924" s="475"/>
      <c r="BH924" s="395"/>
      <c r="BI924" s="395" t="e">
        <f t="shared" si="848"/>
        <v>#DIV/0!</v>
      </c>
    </row>
    <row r="925" spans="1:61" s="358" customFormat="1" ht="19.2" x14ac:dyDescent="0.3">
      <c r="A925" s="359" t="s">
        <v>1915</v>
      </c>
      <c r="B925" s="537" t="s">
        <v>1410</v>
      </c>
      <c r="C925" s="546" t="s">
        <v>804</v>
      </c>
      <c r="D925" s="360">
        <v>0.22</v>
      </c>
      <c r="E925" s="393"/>
      <c r="F925" s="523">
        <v>1</v>
      </c>
      <c r="G925" s="393"/>
      <c r="H925" s="544">
        <v>8.72743</v>
      </c>
      <c r="I925" s="394">
        <v>6.5924100000000001</v>
      </c>
      <c r="J925" s="394">
        <v>5.2083399999999997</v>
      </c>
      <c r="K925" s="394"/>
      <c r="L925" s="394"/>
      <c r="M925" s="394">
        <v>0</v>
      </c>
      <c r="N925" s="394">
        <v>0</v>
      </c>
      <c r="O925" s="394">
        <v>0.49773000000000001</v>
      </c>
      <c r="P925" s="394">
        <v>5.2083399999999997</v>
      </c>
      <c r="Q925" s="394"/>
      <c r="R925" s="381" t="s">
        <v>167</v>
      </c>
      <c r="S925" s="408" t="s">
        <v>175</v>
      </c>
      <c r="T925" s="385"/>
      <c r="U925" s="475">
        <v>503</v>
      </c>
      <c r="V925" s="395"/>
      <c r="W925" s="395">
        <f t="shared" si="849"/>
        <v>8.72743</v>
      </c>
      <c r="X925" s="393"/>
      <c r="Y925" s="523"/>
      <c r="Z925" s="393"/>
      <c r="AA925" s="544"/>
      <c r="AB925" s="394"/>
      <c r="AC925" s="394"/>
      <c r="AD925" s="394"/>
      <c r="AE925" s="394"/>
      <c r="AF925" s="394"/>
      <c r="AG925" s="394"/>
      <c r="AH925" s="394"/>
      <c r="AI925" s="394"/>
      <c r="AJ925" s="394"/>
      <c r="AK925" s="381"/>
      <c r="AL925" s="408"/>
      <c r="AM925" s="385"/>
      <c r="AN925" s="475"/>
      <c r="AO925" s="395"/>
      <c r="AP925" s="395" t="e">
        <f t="shared" si="847"/>
        <v>#DIV/0!</v>
      </c>
      <c r="AQ925" s="393"/>
      <c r="AR925" s="523"/>
      <c r="AS925" s="393"/>
      <c r="AT925" s="544"/>
      <c r="AU925" s="394"/>
      <c r="AV925" s="394"/>
      <c r="AW925" s="394"/>
      <c r="AX925" s="394"/>
      <c r="AY925" s="394"/>
      <c r="AZ925" s="394"/>
      <c r="BA925" s="394"/>
      <c r="BB925" s="394"/>
      <c r="BC925" s="394"/>
      <c r="BD925" s="381"/>
      <c r="BE925" s="408"/>
      <c r="BF925" s="385"/>
      <c r="BG925" s="475"/>
      <c r="BH925" s="395"/>
      <c r="BI925" s="395" t="e">
        <f t="shared" si="848"/>
        <v>#DIV/0!</v>
      </c>
    </row>
    <row r="926" spans="1:61" s="358" customFormat="1" ht="19.2" x14ac:dyDescent="0.3">
      <c r="A926" s="359" t="s">
        <v>1916</v>
      </c>
      <c r="B926" s="537" t="s">
        <v>1411</v>
      </c>
      <c r="C926" s="546" t="s">
        <v>805</v>
      </c>
      <c r="D926" s="360">
        <v>0.22</v>
      </c>
      <c r="E926" s="393"/>
      <c r="F926" s="523">
        <v>1</v>
      </c>
      <c r="G926" s="393"/>
      <c r="H926" s="544">
        <v>8.7274200000000004</v>
      </c>
      <c r="I926" s="394">
        <v>6.5924100000000001</v>
      </c>
      <c r="J926" s="394">
        <v>5.2083399999999997</v>
      </c>
      <c r="K926" s="394"/>
      <c r="L926" s="394"/>
      <c r="M926" s="394">
        <v>0</v>
      </c>
      <c r="N926" s="394">
        <v>0</v>
      </c>
      <c r="O926" s="394">
        <v>0.49773000000000001</v>
      </c>
      <c r="P926" s="394">
        <v>5.2083399999999997</v>
      </c>
      <c r="Q926" s="394"/>
      <c r="R926" s="381" t="s">
        <v>167</v>
      </c>
      <c r="S926" s="408" t="s">
        <v>175</v>
      </c>
      <c r="T926" s="385"/>
      <c r="U926" s="475">
        <v>504</v>
      </c>
      <c r="V926" s="395"/>
      <c r="W926" s="395">
        <f t="shared" si="849"/>
        <v>8.7274200000000004</v>
      </c>
      <c r="X926" s="393"/>
      <c r="Y926" s="523"/>
      <c r="Z926" s="393"/>
      <c r="AA926" s="544"/>
      <c r="AB926" s="394"/>
      <c r="AC926" s="394"/>
      <c r="AD926" s="394"/>
      <c r="AE926" s="394"/>
      <c r="AF926" s="394"/>
      <c r="AG926" s="394"/>
      <c r="AH926" s="394"/>
      <c r="AI926" s="394"/>
      <c r="AJ926" s="394"/>
      <c r="AK926" s="381"/>
      <c r="AL926" s="408"/>
      <c r="AM926" s="385"/>
      <c r="AN926" s="475"/>
      <c r="AO926" s="395"/>
      <c r="AP926" s="395" t="e">
        <f t="shared" si="847"/>
        <v>#DIV/0!</v>
      </c>
      <c r="AQ926" s="393"/>
      <c r="AR926" s="523"/>
      <c r="AS926" s="393"/>
      <c r="AT926" s="544"/>
      <c r="AU926" s="394"/>
      <c r="AV926" s="394"/>
      <c r="AW926" s="394"/>
      <c r="AX926" s="394"/>
      <c r="AY926" s="394"/>
      <c r="AZ926" s="394"/>
      <c r="BA926" s="394"/>
      <c r="BB926" s="394"/>
      <c r="BC926" s="394"/>
      <c r="BD926" s="381"/>
      <c r="BE926" s="408"/>
      <c r="BF926" s="385"/>
      <c r="BG926" s="475"/>
      <c r="BH926" s="395"/>
      <c r="BI926" s="395" t="e">
        <f t="shared" si="848"/>
        <v>#DIV/0!</v>
      </c>
    </row>
    <row r="927" spans="1:61" s="358" customFormat="1" ht="19.2" x14ac:dyDescent="0.3">
      <c r="A927" s="359" t="s">
        <v>1917</v>
      </c>
      <c r="B927" s="537" t="s">
        <v>1412</v>
      </c>
      <c r="C927" s="546" t="s">
        <v>806</v>
      </c>
      <c r="D927" s="360">
        <v>0.22</v>
      </c>
      <c r="E927" s="393"/>
      <c r="F927" s="523">
        <v>1</v>
      </c>
      <c r="G927" s="393"/>
      <c r="H927" s="544">
        <v>8.72743</v>
      </c>
      <c r="I927" s="394">
        <v>6.5924100000000001</v>
      </c>
      <c r="J927" s="394">
        <v>5.2083399999999997</v>
      </c>
      <c r="K927" s="394"/>
      <c r="L927" s="394"/>
      <c r="M927" s="394">
        <v>0</v>
      </c>
      <c r="N927" s="394">
        <v>0</v>
      </c>
      <c r="O927" s="394">
        <v>0.49773000000000001</v>
      </c>
      <c r="P927" s="394">
        <v>5.2083399999999997</v>
      </c>
      <c r="Q927" s="394"/>
      <c r="R927" s="381" t="s">
        <v>167</v>
      </c>
      <c r="S927" s="408" t="s">
        <v>175</v>
      </c>
      <c r="T927" s="385"/>
      <c r="U927" s="475">
        <v>505</v>
      </c>
      <c r="V927" s="395"/>
      <c r="W927" s="395">
        <f t="shared" si="849"/>
        <v>8.72743</v>
      </c>
      <c r="X927" s="393"/>
      <c r="Y927" s="523"/>
      <c r="Z927" s="393"/>
      <c r="AA927" s="544"/>
      <c r="AB927" s="394"/>
      <c r="AC927" s="394"/>
      <c r="AD927" s="394"/>
      <c r="AE927" s="394"/>
      <c r="AF927" s="394"/>
      <c r="AG927" s="394"/>
      <c r="AH927" s="394"/>
      <c r="AI927" s="394"/>
      <c r="AJ927" s="394"/>
      <c r="AK927" s="381"/>
      <c r="AL927" s="408"/>
      <c r="AM927" s="385"/>
      <c r="AN927" s="475"/>
      <c r="AO927" s="395"/>
      <c r="AP927" s="395" t="e">
        <f t="shared" si="847"/>
        <v>#DIV/0!</v>
      </c>
      <c r="AQ927" s="393"/>
      <c r="AR927" s="523"/>
      <c r="AS927" s="393"/>
      <c r="AT927" s="544"/>
      <c r="AU927" s="394"/>
      <c r="AV927" s="394"/>
      <c r="AW927" s="394"/>
      <c r="AX927" s="394"/>
      <c r="AY927" s="394"/>
      <c r="AZ927" s="394"/>
      <c r="BA927" s="394"/>
      <c r="BB927" s="394"/>
      <c r="BC927" s="394"/>
      <c r="BD927" s="381"/>
      <c r="BE927" s="408"/>
      <c r="BF927" s="385"/>
      <c r="BG927" s="475"/>
      <c r="BH927" s="395"/>
      <c r="BI927" s="395" t="e">
        <f t="shared" si="848"/>
        <v>#DIV/0!</v>
      </c>
    </row>
    <row r="928" spans="1:61" s="358" customFormat="1" ht="19.2" x14ac:dyDescent="0.3">
      <c r="A928" s="359" t="s">
        <v>1934</v>
      </c>
      <c r="B928" s="537" t="s">
        <v>1413</v>
      </c>
      <c r="C928" s="546" t="s">
        <v>807</v>
      </c>
      <c r="D928" s="360">
        <v>0.22</v>
      </c>
      <c r="E928" s="393"/>
      <c r="F928" s="523">
        <v>1</v>
      </c>
      <c r="G928" s="393"/>
      <c r="H928" s="544">
        <v>8.7274200000000004</v>
      </c>
      <c r="I928" s="394">
        <v>6.5924100000000001</v>
      </c>
      <c r="J928" s="394">
        <v>5.2083399999999997</v>
      </c>
      <c r="K928" s="394"/>
      <c r="L928" s="394"/>
      <c r="M928" s="394">
        <v>0</v>
      </c>
      <c r="N928" s="394">
        <v>0</v>
      </c>
      <c r="O928" s="394">
        <v>0.49773000000000001</v>
      </c>
      <c r="P928" s="394">
        <v>5.2083399999999997</v>
      </c>
      <c r="Q928" s="394"/>
      <c r="R928" s="381" t="s">
        <v>167</v>
      </c>
      <c r="S928" s="408" t="s">
        <v>175</v>
      </c>
      <c r="T928" s="385"/>
      <c r="U928" s="475">
        <v>506</v>
      </c>
      <c r="V928" s="395"/>
      <c r="W928" s="395">
        <f t="shared" si="849"/>
        <v>8.7274200000000004</v>
      </c>
      <c r="X928" s="393"/>
      <c r="Y928" s="523"/>
      <c r="Z928" s="393"/>
      <c r="AA928" s="544"/>
      <c r="AB928" s="394"/>
      <c r="AC928" s="394"/>
      <c r="AD928" s="394"/>
      <c r="AE928" s="394"/>
      <c r="AF928" s="394"/>
      <c r="AG928" s="394"/>
      <c r="AH928" s="394"/>
      <c r="AI928" s="394"/>
      <c r="AJ928" s="394"/>
      <c r="AK928" s="381"/>
      <c r="AL928" s="408"/>
      <c r="AM928" s="385"/>
      <c r="AN928" s="475"/>
      <c r="AO928" s="395"/>
      <c r="AP928" s="395" t="e">
        <f t="shared" si="847"/>
        <v>#DIV/0!</v>
      </c>
      <c r="AQ928" s="393"/>
      <c r="AR928" s="523"/>
      <c r="AS928" s="393"/>
      <c r="AT928" s="544"/>
      <c r="AU928" s="394"/>
      <c r="AV928" s="394"/>
      <c r="AW928" s="394"/>
      <c r="AX928" s="394"/>
      <c r="AY928" s="394"/>
      <c r="AZ928" s="394"/>
      <c r="BA928" s="394"/>
      <c r="BB928" s="394"/>
      <c r="BC928" s="394"/>
      <c r="BD928" s="381"/>
      <c r="BE928" s="408"/>
      <c r="BF928" s="385"/>
      <c r="BG928" s="475"/>
      <c r="BH928" s="395"/>
      <c r="BI928" s="395" t="e">
        <f t="shared" si="848"/>
        <v>#DIV/0!</v>
      </c>
    </row>
    <row r="929" spans="1:61" s="358" customFormat="1" ht="19.2" x14ac:dyDescent="0.3">
      <c r="A929" s="359" t="s">
        <v>1919</v>
      </c>
      <c r="B929" s="537" t="s">
        <v>1414</v>
      </c>
      <c r="C929" s="546" t="s">
        <v>808</v>
      </c>
      <c r="D929" s="360">
        <v>0.22</v>
      </c>
      <c r="E929" s="393"/>
      <c r="F929" s="523">
        <v>1</v>
      </c>
      <c r="G929" s="406"/>
      <c r="H929" s="544">
        <v>8.72743</v>
      </c>
      <c r="I929" s="394">
        <v>6.5924100000000001</v>
      </c>
      <c r="J929" s="394">
        <v>5.2083399999999997</v>
      </c>
      <c r="K929" s="394"/>
      <c r="L929" s="394"/>
      <c r="M929" s="394">
        <v>0</v>
      </c>
      <c r="N929" s="394">
        <v>0</v>
      </c>
      <c r="O929" s="394">
        <v>0.49773000000000001</v>
      </c>
      <c r="P929" s="394">
        <v>5.2083399999999997</v>
      </c>
      <c r="Q929" s="394"/>
      <c r="R929" s="381" t="s">
        <v>167</v>
      </c>
      <c r="S929" s="408" t="s">
        <v>175</v>
      </c>
      <c r="T929" s="385"/>
      <c r="U929" s="475">
        <v>507</v>
      </c>
      <c r="V929" s="395"/>
      <c r="W929" s="395">
        <f t="shared" si="849"/>
        <v>8.72743</v>
      </c>
      <c r="X929" s="393"/>
      <c r="Y929" s="523"/>
      <c r="Z929" s="406"/>
      <c r="AA929" s="544"/>
      <c r="AB929" s="394"/>
      <c r="AC929" s="394"/>
      <c r="AD929" s="394"/>
      <c r="AE929" s="394"/>
      <c r="AF929" s="394"/>
      <c r="AG929" s="394"/>
      <c r="AH929" s="394"/>
      <c r="AI929" s="394"/>
      <c r="AJ929" s="394"/>
      <c r="AK929" s="381"/>
      <c r="AL929" s="408"/>
      <c r="AM929" s="385"/>
      <c r="AN929" s="475"/>
      <c r="AO929" s="395"/>
      <c r="AP929" s="395" t="e">
        <f t="shared" ref="AP929:AP992" si="850">AA929/Y929</f>
        <v>#DIV/0!</v>
      </c>
      <c r="AQ929" s="393"/>
      <c r="AR929" s="523"/>
      <c r="AS929" s="406"/>
      <c r="AT929" s="544"/>
      <c r="AU929" s="394"/>
      <c r="AV929" s="394"/>
      <c r="AW929" s="394"/>
      <c r="AX929" s="394"/>
      <c r="AY929" s="394"/>
      <c r="AZ929" s="394"/>
      <c r="BA929" s="394"/>
      <c r="BB929" s="394"/>
      <c r="BC929" s="394"/>
      <c r="BD929" s="381"/>
      <c r="BE929" s="408"/>
      <c r="BF929" s="385"/>
      <c r="BG929" s="475"/>
      <c r="BH929" s="395"/>
      <c r="BI929" s="395" t="e">
        <f t="shared" si="848"/>
        <v>#DIV/0!</v>
      </c>
    </row>
    <row r="930" spans="1:61" s="358" customFormat="1" ht="19.2" x14ac:dyDescent="0.3">
      <c r="A930" s="359" t="s">
        <v>1920</v>
      </c>
      <c r="B930" s="537" t="s">
        <v>1414</v>
      </c>
      <c r="C930" s="546" t="s">
        <v>809</v>
      </c>
      <c r="D930" s="360">
        <v>0.22</v>
      </c>
      <c r="E930" s="393"/>
      <c r="F930" s="523">
        <v>1</v>
      </c>
      <c r="G930" s="406"/>
      <c r="H930" s="544">
        <v>8.7274200000000004</v>
      </c>
      <c r="I930" s="394">
        <v>6.5924100000000001</v>
      </c>
      <c r="J930" s="394">
        <v>5.2083399999999997</v>
      </c>
      <c r="K930" s="394"/>
      <c r="L930" s="394"/>
      <c r="M930" s="394">
        <v>0</v>
      </c>
      <c r="N930" s="394">
        <v>0</v>
      </c>
      <c r="O930" s="394">
        <v>0.49773000000000001</v>
      </c>
      <c r="P930" s="394">
        <v>5.2083399999999997</v>
      </c>
      <c r="Q930" s="394"/>
      <c r="R930" s="381" t="s">
        <v>167</v>
      </c>
      <c r="S930" s="408" t="s">
        <v>175</v>
      </c>
      <c r="T930" s="385"/>
      <c r="U930" s="475">
        <v>508</v>
      </c>
      <c r="V930" s="395"/>
      <c r="W930" s="395">
        <f t="shared" si="849"/>
        <v>8.7274200000000004</v>
      </c>
      <c r="X930" s="393"/>
      <c r="Y930" s="523"/>
      <c r="Z930" s="406"/>
      <c r="AA930" s="544"/>
      <c r="AB930" s="394"/>
      <c r="AC930" s="394"/>
      <c r="AD930" s="394"/>
      <c r="AE930" s="394"/>
      <c r="AF930" s="394"/>
      <c r="AG930" s="394"/>
      <c r="AH930" s="394"/>
      <c r="AI930" s="394"/>
      <c r="AJ930" s="394"/>
      <c r="AK930" s="381"/>
      <c r="AL930" s="408"/>
      <c r="AM930" s="385"/>
      <c r="AN930" s="475"/>
      <c r="AO930" s="395"/>
      <c r="AP930" s="395" t="e">
        <f t="shared" si="850"/>
        <v>#DIV/0!</v>
      </c>
      <c r="AQ930" s="393"/>
      <c r="AR930" s="523"/>
      <c r="AS930" s="406"/>
      <c r="AT930" s="544"/>
      <c r="AU930" s="394"/>
      <c r="AV930" s="394"/>
      <c r="AW930" s="394"/>
      <c r="AX930" s="394"/>
      <c r="AY930" s="394"/>
      <c r="AZ930" s="394"/>
      <c r="BA930" s="394"/>
      <c r="BB930" s="394"/>
      <c r="BC930" s="394"/>
      <c r="BD930" s="381"/>
      <c r="BE930" s="408"/>
      <c r="BF930" s="385"/>
      <c r="BG930" s="475"/>
      <c r="BH930" s="395"/>
      <c r="BI930" s="395" t="e">
        <f t="shared" si="848"/>
        <v>#DIV/0!</v>
      </c>
    </row>
    <row r="931" spans="1:61" s="358" customFormat="1" ht="19.2" x14ac:dyDescent="0.3">
      <c r="A931" s="359" t="s">
        <v>1905</v>
      </c>
      <c r="B931" s="537" t="s">
        <v>1415</v>
      </c>
      <c r="C931" s="546" t="s">
        <v>810</v>
      </c>
      <c r="D931" s="360">
        <v>0.22</v>
      </c>
      <c r="E931" s="393"/>
      <c r="F931" s="523">
        <v>1</v>
      </c>
      <c r="G931" s="393"/>
      <c r="H931" s="544">
        <v>8.72743</v>
      </c>
      <c r="I931" s="394">
        <v>6.5924100000000001</v>
      </c>
      <c r="J931" s="394">
        <v>5.2083399999999997</v>
      </c>
      <c r="K931" s="394"/>
      <c r="L931" s="394"/>
      <c r="M931" s="394">
        <v>0</v>
      </c>
      <c r="N931" s="394">
        <v>0</v>
      </c>
      <c r="O931" s="394">
        <v>0.49773000000000001</v>
      </c>
      <c r="P931" s="394">
        <v>5.2083399999999997</v>
      </c>
      <c r="Q931" s="394"/>
      <c r="R931" s="381" t="s">
        <v>167</v>
      </c>
      <c r="S931" s="408" t="s">
        <v>175</v>
      </c>
      <c r="T931" s="385"/>
      <c r="U931" s="475">
        <v>509</v>
      </c>
      <c r="V931" s="395"/>
      <c r="W931" s="395">
        <f t="shared" si="849"/>
        <v>8.72743</v>
      </c>
      <c r="X931" s="393"/>
      <c r="Y931" s="523"/>
      <c r="Z931" s="393"/>
      <c r="AA931" s="544"/>
      <c r="AB931" s="394"/>
      <c r="AC931" s="394"/>
      <c r="AD931" s="394"/>
      <c r="AE931" s="394"/>
      <c r="AF931" s="394"/>
      <c r="AG931" s="394"/>
      <c r="AH931" s="394"/>
      <c r="AI931" s="394"/>
      <c r="AJ931" s="394"/>
      <c r="AK931" s="381"/>
      <c r="AL931" s="408"/>
      <c r="AM931" s="385"/>
      <c r="AN931" s="475"/>
      <c r="AO931" s="395"/>
      <c r="AP931" s="395" t="e">
        <f t="shared" si="850"/>
        <v>#DIV/0!</v>
      </c>
      <c r="AQ931" s="393"/>
      <c r="AR931" s="523"/>
      <c r="AS931" s="393"/>
      <c r="AT931" s="544"/>
      <c r="AU931" s="394"/>
      <c r="AV931" s="394"/>
      <c r="AW931" s="394"/>
      <c r="AX931" s="394"/>
      <c r="AY931" s="394"/>
      <c r="AZ931" s="394"/>
      <c r="BA931" s="394"/>
      <c r="BB931" s="394"/>
      <c r="BC931" s="394"/>
      <c r="BD931" s="381"/>
      <c r="BE931" s="408"/>
      <c r="BF931" s="385"/>
      <c r="BG931" s="475"/>
      <c r="BH931" s="395"/>
      <c r="BI931" s="395" t="e">
        <f t="shared" si="848"/>
        <v>#DIV/0!</v>
      </c>
    </row>
    <row r="932" spans="1:61" s="358" customFormat="1" ht="19.2" x14ac:dyDescent="0.3">
      <c r="A932" s="359" t="s">
        <v>1938</v>
      </c>
      <c r="B932" s="537" t="s">
        <v>1416</v>
      </c>
      <c r="C932" s="546" t="s">
        <v>811</v>
      </c>
      <c r="D932" s="360">
        <v>0.22</v>
      </c>
      <c r="E932" s="393"/>
      <c r="F932" s="523">
        <v>1</v>
      </c>
      <c r="G932" s="393"/>
      <c r="H932" s="544">
        <v>8.7274200000000004</v>
      </c>
      <c r="I932" s="394">
        <v>6.5924100000000001</v>
      </c>
      <c r="J932" s="394">
        <v>5.2083399999999997</v>
      </c>
      <c r="K932" s="394"/>
      <c r="L932" s="394"/>
      <c r="M932" s="394">
        <v>0</v>
      </c>
      <c r="N932" s="394">
        <v>0</v>
      </c>
      <c r="O932" s="394">
        <v>0.49773000000000001</v>
      </c>
      <c r="P932" s="394">
        <v>5.2083399999999997</v>
      </c>
      <c r="Q932" s="394"/>
      <c r="R932" s="381" t="s">
        <v>167</v>
      </c>
      <c r="S932" s="408" t="s">
        <v>175</v>
      </c>
      <c r="T932" s="385"/>
      <c r="U932" s="475">
        <v>510</v>
      </c>
      <c r="V932" s="395"/>
      <c r="W932" s="395">
        <f t="shared" si="849"/>
        <v>8.7274200000000004</v>
      </c>
      <c r="X932" s="393"/>
      <c r="Y932" s="523"/>
      <c r="Z932" s="393"/>
      <c r="AA932" s="544"/>
      <c r="AB932" s="394"/>
      <c r="AC932" s="394"/>
      <c r="AD932" s="394"/>
      <c r="AE932" s="394"/>
      <c r="AF932" s="394"/>
      <c r="AG932" s="394"/>
      <c r="AH932" s="394"/>
      <c r="AI932" s="394"/>
      <c r="AJ932" s="394"/>
      <c r="AK932" s="381"/>
      <c r="AL932" s="408"/>
      <c r="AM932" s="385"/>
      <c r="AN932" s="475"/>
      <c r="AO932" s="395"/>
      <c r="AP932" s="395" t="e">
        <f t="shared" si="850"/>
        <v>#DIV/0!</v>
      </c>
      <c r="AQ932" s="393"/>
      <c r="AR932" s="523"/>
      <c r="AS932" s="393"/>
      <c r="AT932" s="544"/>
      <c r="AU932" s="394"/>
      <c r="AV932" s="394"/>
      <c r="AW932" s="394"/>
      <c r="AX932" s="394"/>
      <c r="AY932" s="394"/>
      <c r="AZ932" s="394"/>
      <c r="BA932" s="394"/>
      <c r="BB932" s="394"/>
      <c r="BC932" s="394"/>
      <c r="BD932" s="381"/>
      <c r="BE932" s="408"/>
      <c r="BF932" s="385"/>
      <c r="BG932" s="475"/>
      <c r="BH932" s="395"/>
      <c r="BI932" s="395" t="e">
        <f t="shared" si="848"/>
        <v>#DIV/0!</v>
      </c>
    </row>
    <row r="933" spans="1:61" s="358" customFormat="1" ht="19.2" x14ac:dyDescent="0.3">
      <c r="A933" s="359" t="s">
        <v>1923</v>
      </c>
      <c r="B933" s="537" t="s">
        <v>1417</v>
      </c>
      <c r="C933" s="546" t="s">
        <v>535</v>
      </c>
      <c r="D933" s="360">
        <v>0.22</v>
      </c>
      <c r="E933" s="393"/>
      <c r="F933" s="523">
        <v>1</v>
      </c>
      <c r="G933" s="393"/>
      <c r="H933" s="544">
        <v>8.72743</v>
      </c>
      <c r="I933" s="394">
        <v>6.5924100000000001</v>
      </c>
      <c r="J933" s="394">
        <v>5.2083399999999997</v>
      </c>
      <c r="K933" s="394"/>
      <c r="L933" s="394"/>
      <c r="M933" s="394">
        <v>0</v>
      </c>
      <c r="N933" s="394">
        <v>0</v>
      </c>
      <c r="O933" s="394">
        <v>0.49773000000000001</v>
      </c>
      <c r="P933" s="394">
        <v>5.2083399999999997</v>
      </c>
      <c r="Q933" s="394"/>
      <c r="R933" s="381" t="s">
        <v>167</v>
      </c>
      <c r="S933" s="408" t="s">
        <v>175</v>
      </c>
      <c r="T933" s="385"/>
      <c r="U933" s="475">
        <v>511</v>
      </c>
      <c r="V933" s="395"/>
      <c r="W933" s="395">
        <f t="shared" si="849"/>
        <v>8.72743</v>
      </c>
      <c r="X933" s="393"/>
      <c r="Y933" s="523"/>
      <c r="Z933" s="393"/>
      <c r="AA933" s="544"/>
      <c r="AB933" s="394"/>
      <c r="AC933" s="394"/>
      <c r="AD933" s="394"/>
      <c r="AE933" s="394"/>
      <c r="AF933" s="394"/>
      <c r="AG933" s="394"/>
      <c r="AH933" s="394"/>
      <c r="AI933" s="394"/>
      <c r="AJ933" s="394"/>
      <c r="AK933" s="381"/>
      <c r="AL933" s="408"/>
      <c r="AM933" s="385"/>
      <c r="AN933" s="475"/>
      <c r="AO933" s="395"/>
      <c r="AP933" s="395" t="e">
        <f t="shared" si="850"/>
        <v>#DIV/0!</v>
      </c>
      <c r="AQ933" s="393"/>
      <c r="AR933" s="523"/>
      <c r="AS933" s="393"/>
      <c r="AT933" s="544"/>
      <c r="AU933" s="394"/>
      <c r="AV933" s="394"/>
      <c r="AW933" s="394"/>
      <c r="AX933" s="394"/>
      <c r="AY933" s="394"/>
      <c r="AZ933" s="394"/>
      <c r="BA933" s="394"/>
      <c r="BB933" s="394"/>
      <c r="BC933" s="394"/>
      <c r="BD933" s="381"/>
      <c r="BE933" s="408"/>
      <c r="BF933" s="385"/>
      <c r="BG933" s="475"/>
      <c r="BH933" s="395"/>
      <c r="BI933" s="395" t="e">
        <f t="shared" si="848"/>
        <v>#DIV/0!</v>
      </c>
    </row>
    <row r="934" spans="1:61" s="358" customFormat="1" ht="19.2" x14ac:dyDescent="0.3">
      <c r="A934" s="359" t="s">
        <v>1924</v>
      </c>
      <c r="B934" s="537" t="s">
        <v>1418</v>
      </c>
      <c r="C934" s="546" t="s">
        <v>812</v>
      </c>
      <c r="D934" s="360">
        <v>0.22</v>
      </c>
      <c r="E934" s="393"/>
      <c r="F934" s="523">
        <v>1</v>
      </c>
      <c r="G934" s="393"/>
      <c r="H934" s="544">
        <v>8.7274200000000004</v>
      </c>
      <c r="I934" s="394">
        <v>6.5924100000000001</v>
      </c>
      <c r="J934" s="394">
        <v>5.2083399999999997</v>
      </c>
      <c r="K934" s="394"/>
      <c r="L934" s="394"/>
      <c r="M934" s="394">
        <v>0</v>
      </c>
      <c r="N934" s="394">
        <v>0</v>
      </c>
      <c r="O934" s="394">
        <v>0.49773000000000001</v>
      </c>
      <c r="P934" s="394">
        <v>5.2083399999999997</v>
      </c>
      <c r="Q934" s="394"/>
      <c r="R934" s="381" t="s">
        <v>167</v>
      </c>
      <c r="S934" s="408" t="s">
        <v>175</v>
      </c>
      <c r="T934" s="385"/>
      <c r="U934" s="475">
        <v>512</v>
      </c>
      <c r="V934" s="395"/>
      <c r="W934" s="395">
        <f t="shared" si="846"/>
        <v>8.7274200000000004</v>
      </c>
      <c r="X934" s="393"/>
      <c r="Y934" s="523"/>
      <c r="Z934" s="393"/>
      <c r="AA934" s="544"/>
      <c r="AB934" s="394"/>
      <c r="AC934" s="394"/>
      <c r="AD934" s="394"/>
      <c r="AE934" s="394"/>
      <c r="AF934" s="394"/>
      <c r="AG934" s="394"/>
      <c r="AH934" s="394"/>
      <c r="AI934" s="394"/>
      <c r="AJ934" s="394"/>
      <c r="AK934" s="381"/>
      <c r="AL934" s="408"/>
      <c r="AM934" s="385"/>
      <c r="AN934" s="475"/>
      <c r="AO934" s="395"/>
      <c r="AP934" s="395" t="e">
        <f t="shared" si="850"/>
        <v>#DIV/0!</v>
      </c>
      <c r="AQ934" s="393"/>
      <c r="AR934" s="523"/>
      <c r="AS934" s="393"/>
      <c r="AT934" s="544"/>
      <c r="AU934" s="394"/>
      <c r="AV934" s="394"/>
      <c r="AW934" s="394"/>
      <c r="AX934" s="394"/>
      <c r="AY934" s="394"/>
      <c r="AZ934" s="394"/>
      <c r="BA934" s="394"/>
      <c r="BB934" s="394"/>
      <c r="BC934" s="394"/>
      <c r="BD934" s="381"/>
      <c r="BE934" s="408"/>
      <c r="BF934" s="385"/>
      <c r="BG934" s="475"/>
      <c r="BH934" s="395"/>
      <c r="BI934" s="395" t="e">
        <f t="shared" si="848"/>
        <v>#DIV/0!</v>
      </c>
    </row>
    <row r="935" spans="1:61" s="358" customFormat="1" ht="19.2" x14ac:dyDescent="0.3">
      <c r="A935" s="359" t="s">
        <v>1925</v>
      </c>
      <c r="B935" s="537" t="s">
        <v>1419</v>
      </c>
      <c r="C935" s="546" t="s">
        <v>813</v>
      </c>
      <c r="D935" s="360">
        <v>0.22</v>
      </c>
      <c r="E935" s="393"/>
      <c r="F935" s="523">
        <v>1</v>
      </c>
      <c r="G935" s="393"/>
      <c r="H935" s="544">
        <v>8.72743</v>
      </c>
      <c r="I935" s="394">
        <v>6.5924100000000001</v>
      </c>
      <c r="J935" s="394">
        <v>5.2083399999999997</v>
      </c>
      <c r="K935" s="394"/>
      <c r="L935" s="394"/>
      <c r="M935" s="394">
        <v>0</v>
      </c>
      <c r="N935" s="394">
        <v>0</v>
      </c>
      <c r="O935" s="394">
        <v>0.49773000000000001</v>
      </c>
      <c r="P935" s="394">
        <v>5.2083399999999997</v>
      </c>
      <c r="Q935" s="394"/>
      <c r="R935" s="381" t="s">
        <v>167</v>
      </c>
      <c r="S935" s="408" t="s">
        <v>175</v>
      </c>
      <c r="T935" s="385"/>
      <c r="U935" s="475">
        <v>513</v>
      </c>
      <c r="V935" s="395"/>
      <c r="W935" s="395">
        <f t="shared" ref="W935:W961" si="851">H935/F935</f>
        <v>8.72743</v>
      </c>
      <c r="X935" s="393"/>
      <c r="Y935" s="523"/>
      <c r="Z935" s="393"/>
      <c r="AA935" s="544"/>
      <c r="AB935" s="394"/>
      <c r="AC935" s="394"/>
      <c r="AD935" s="394"/>
      <c r="AE935" s="394"/>
      <c r="AF935" s="394"/>
      <c r="AG935" s="394"/>
      <c r="AH935" s="394"/>
      <c r="AI935" s="394"/>
      <c r="AJ935" s="394"/>
      <c r="AK935" s="381"/>
      <c r="AL935" s="408"/>
      <c r="AM935" s="385"/>
      <c r="AN935" s="475"/>
      <c r="AO935" s="395"/>
      <c r="AP935" s="395" t="e">
        <f t="shared" si="850"/>
        <v>#DIV/0!</v>
      </c>
      <c r="AQ935" s="393"/>
      <c r="AR935" s="523"/>
      <c r="AS935" s="393"/>
      <c r="AT935" s="544"/>
      <c r="AU935" s="394"/>
      <c r="AV935" s="394"/>
      <c r="AW935" s="394"/>
      <c r="AX935" s="394"/>
      <c r="AY935" s="394"/>
      <c r="AZ935" s="394"/>
      <c r="BA935" s="394"/>
      <c r="BB935" s="394"/>
      <c r="BC935" s="394"/>
      <c r="BD935" s="381"/>
      <c r="BE935" s="408"/>
      <c r="BF935" s="385"/>
      <c r="BG935" s="475"/>
      <c r="BH935" s="395"/>
      <c r="BI935" s="395" t="e">
        <f t="shared" si="848"/>
        <v>#DIV/0!</v>
      </c>
    </row>
    <row r="936" spans="1:61" s="358" customFormat="1" ht="19.2" x14ac:dyDescent="0.3">
      <c r="A936" s="359" t="s">
        <v>1926</v>
      </c>
      <c r="B936" s="537" t="s">
        <v>1420</v>
      </c>
      <c r="C936" s="546" t="s">
        <v>814</v>
      </c>
      <c r="D936" s="360">
        <v>0.22</v>
      </c>
      <c r="E936" s="393"/>
      <c r="F936" s="523">
        <v>1</v>
      </c>
      <c r="G936" s="393"/>
      <c r="H936" s="544">
        <v>5.4819199999999997</v>
      </c>
      <c r="I936" s="394">
        <v>5.2126599999999996</v>
      </c>
      <c r="J936" s="394">
        <v>5.2083399999999997</v>
      </c>
      <c r="K936" s="394"/>
      <c r="L936" s="394"/>
      <c r="M936" s="394">
        <v>0</v>
      </c>
      <c r="N936" s="394">
        <v>0</v>
      </c>
      <c r="O936" s="394">
        <v>6.2770000000000006E-2</v>
      </c>
      <c r="P936" s="394">
        <v>5.2083399999999997</v>
      </c>
      <c r="Q936" s="394"/>
      <c r="R936" s="381" t="s">
        <v>167</v>
      </c>
      <c r="S936" s="408" t="s">
        <v>175</v>
      </c>
      <c r="T936" s="385"/>
      <c r="U936" s="475">
        <v>514</v>
      </c>
      <c r="V936" s="395"/>
      <c r="W936" s="395">
        <f t="shared" si="851"/>
        <v>5.4819199999999997</v>
      </c>
      <c r="X936" s="393"/>
      <c r="Y936" s="523"/>
      <c r="Z936" s="393"/>
      <c r="AA936" s="544"/>
      <c r="AB936" s="394"/>
      <c r="AC936" s="394"/>
      <c r="AD936" s="394"/>
      <c r="AE936" s="394"/>
      <c r="AF936" s="394"/>
      <c r="AG936" s="394"/>
      <c r="AH936" s="394"/>
      <c r="AI936" s="394"/>
      <c r="AJ936" s="394"/>
      <c r="AK936" s="381"/>
      <c r="AL936" s="408"/>
      <c r="AM936" s="385"/>
      <c r="AN936" s="475"/>
      <c r="AO936" s="395"/>
      <c r="AP936" s="395" t="e">
        <f t="shared" si="850"/>
        <v>#DIV/0!</v>
      </c>
      <c r="AQ936" s="393"/>
      <c r="AR936" s="523"/>
      <c r="AS936" s="393"/>
      <c r="AT936" s="544"/>
      <c r="AU936" s="394"/>
      <c r="AV936" s="394"/>
      <c r="AW936" s="394"/>
      <c r="AX936" s="394"/>
      <c r="AY936" s="394"/>
      <c r="AZ936" s="394"/>
      <c r="BA936" s="394"/>
      <c r="BB936" s="394"/>
      <c r="BC936" s="394"/>
      <c r="BD936" s="381"/>
      <c r="BE936" s="408"/>
      <c r="BF936" s="385"/>
      <c r="BG936" s="475"/>
      <c r="BH936" s="395"/>
      <c r="BI936" s="395" t="e">
        <f t="shared" si="848"/>
        <v>#DIV/0!</v>
      </c>
    </row>
    <row r="937" spans="1:61" s="358" customFormat="1" ht="19.2" x14ac:dyDescent="0.3">
      <c r="A937" s="359" t="s">
        <v>1927</v>
      </c>
      <c r="B937" s="537" t="s">
        <v>1421</v>
      </c>
      <c r="C937" s="546" t="s">
        <v>815</v>
      </c>
      <c r="D937" s="360">
        <v>0.22</v>
      </c>
      <c r="E937" s="393"/>
      <c r="F937" s="523">
        <v>1</v>
      </c>
      <c r="G937" s="393"/>
      <c r="H937" s="544">
        <v>5.4819199999999997</v>
      </c>
      <c r="I937" s="394">
        <v>5.2126599999999996</v>
      </c>
      <c r="J937" s="394">
        <v>5.2083399999999997</v>
      </c>
      <c r="K937" s="394"/>
      <c r="L937" s="394"/>
      <c r="M937" s="394">
        <v>0</v>
      </c>
      <c r="N937" s="394">
        <v>0</v>
      </c>
      <c r="O937" s="394">
        <v>6.2770000000000006E-2</v>
      </c>
      <c r="P937" s="394">
        <v>5.2083399999999997</v>
      </c>
      <c r="Q937" s="394"/>
      <c r="R937" s="381" t="s">
        <v>167</v>
      </c>
      <c r="S937" s="408" t="s">
        <v>175</v>
      </c>
      <c r="T937" s="385"/>
      <c r="U937" s="475">
        <v>515</v>
      </c>
      <c r="V937" s="395"/>
      <c r="W937" s="395">
        <f t="shared" si="851"/>
        <v>5.4819199999999997</v>
      </c>
      <c r="X937" s="393"/>
      <c r="Y937" s="523"/>
      <c r="Z937" s="393"/>
      <c r="AA937" s="544"/>
      <c r="AB937" s="394"/>
      <c r="AC937" s="394"/>
      <c r="AD937" s="394"/>
      <c r="AE937" s="394"/>
      <c r="AF937" s="394"/>
      <c r="AG937" s="394"/>
      <c r="AH937" s="394"/>
      <c r="AI937" s="394"/>
      <c r="AJ937" s="394"/>
      <c r="AK937" s="381"/>
      <c r="AL937" s="408"/>
      <c r="AM937" s="385"/>
      <c r="AN937" s="475"/>
      <c r="AO937" s="395"/>
      <c r="AP937" s="395" t="e">
        <f t="shared" si="850"/>
        <v>#DIV/0!</v>
      </c>
      <c r="AQ937" s="393"/>
      <c r="AR937" s="523"/>
      <c r="AS937" s="393"/>
      <c r="AT937" s="544"/>
      <c r="AU937" s="394"/>
      <c r="AV937" s="394"/>
      <c r="AW937" s="394"/>
      <c r="AX937" s="394"/>
      <c r="AY937" s="394"/>
      <c r="AZ937" s="394"/>
      <c r="BA937" s="394"/>
      <c r="BB937" s="394"/>
      <c r="BC937" s="394"/>
      <c r="BD937" s="381"/>
      <c r="BE937" s="408"/>
      <c r="BF937" s="385"/>
      <c r="BG937" s="475"/>
      <c r="BH937" s="395"/>
      <c r="BI937" s="395" t="e">
        <f t="shared" si="848"/>
        <v>#DIV/0!</v>
      </c>
    </row>
    <row r="938" spans="1:61" s="358" customFormat="1" ht="19.2" x14ac:dyDescent="0.3">
      <c r="A938" s="359" t="s">
        <v>1928</v>
      </c>
      <c r="B938" s="537" t="s">
        <v>1422</v>
      </c>
      <c r="C938" s="546" t="s">
        <v>816</v>
      </c>
      <c r="D938" s="360">
        <v>0.22</v>
      </c>
      <c r="E938" s="393"/>
      <c r="F938" s="523">
        <v>1</v>
      </c>
      <c r="G938" s="393"/>
      <c r="H938" s="544">
        <v>5.4819199999999997</v>
      </c>
      <c r="I938" s="394">
        <v>5.2126599999999996</v>
      </c>
      <c r="J938" s="394">
        <v>5.2083399999999997</v>
      </c>
      <c r="K938" s="394"/>
      <c r="L938" s="394"/>
      <c r="M938" s="394">
        <v>0</v>
      </c>
      <c r="N938" s="394">
        <v>0</v>
      </c>
      <c r="O938" s="394">
        <v>6.2770000000000006E-2</v>
      </c>
      <c r="P938" s="394">
        <v>5.2083399999999997</v>
      </c>
      <c r="Q938" s="394"/>
      <c r="R938" s="381" t="s">
        <v>167</v>
      </c>
      <c r="S938" s="408" t="s">
        <v>175</v>
      </c>
      <c r="T938" s="385"/>
      <c r="U938" s="475">
        <v>516</v>
      </c>
      <c r="V938" s="395"/>
      <c r="W938" s="395">
        <f t="shared" si="851"/>
        <v>5.4819199999999997</v>
      </c>
      <c r="X938" s="393"/>
      <c r="Y938" s="523"/>
      <c r="Z938" s="393"/>
      <c r="AA938" s="544"/>
      <c r="AB938" s="394"/>
      <c r="AC938" s="394"/>
      <c r="AD938" s="394"/>
      <c r="AE938" s="394"/>
      <c r="AF938" s="394"/>
      <c r="AG938" s="394"/>
      <c r="AH938" s="394"/>
      <c r="AI938" s="394"/>
      <c r="AJ938" s="394"/>
      <c r="AK938" s="381"/>
      <c r="AL938" s="408"/>
      <c r="AM938" s="385"/>
      <c r="AN938" s="475"/>
      <c r="AO938" s="395"/>
      <c r="AP938" s="395" t="e">
        <f t="shared" si="850"/>
        <v>#DIV/0!</v>
      </c>
      <c r="AQ938" s="393"/>
      <c r="AR938" s="523"/>
      <c r="AS938" s="393"/>
      <c r="AT938" s="544"/>
      <c r="AU938" s="394"/>
      <c r="AV938" s="394"/>
      <c r="AW938" s="394"/>
      <c r="AX938" s="394"/>
      <c r="AY938" s="394"/>
      <c r="AZ938" s="394"/>
      <c r="BA938" s="394"/>
      <c r="BB938" s="394"/>
      <c r="BC938" s="394"/>
      <c r="BD938" s="381"/>
      <c r="BE938" s="408"/>
      <c r="BF938" s="385"/>
      <c r="BG938" s="475"/>
      <c r="BH938" s="395"/>
      <c r="BI938" s="395" t="e">
        <f t="shared" si="848"/>
        <v>#DIV/0!</v>
      </c>
    </row>
    <row r="939" spans="1:61" s="358" customFormat="1" ht="19.2" x14ac:dyDescent="0.3">
      <c r="A939" s="359" t="s">
        <v>1929</v>
      </c>
      <c r="B939" s="537" t="s">
        <v>1423</v>
      </c>
      <c r="C939" s="546" t="s">
        <v>817</v>
      </c>
      <c r="D939" s="360">
        <v>0.22</v>
      </c>
      <c r="E939" s="393"/>
      <c r="F939" s="523">
        <v>1</v>
      </c>
      <c r="G939" s="393"/>
      <c r="H939" s="544">
        <v>5.4819300000000002</v>
      </c>
      <c r="I939" s="394">
        <v>5.2126599999999996</v>
      </c>
      <c r="J939" s="394">
        <v>5.2083399999999997</v>
      </c>
      <c r="K939" s="394"/>
      <c r="L939" s="394"/>
      <c r="M939" s="394">
        <v>0</v>
      </c>
      <c r="N939" s="394">
        <v>0</v>
      </c>
      <c r="O939" s="394">
        <v>6.2770000000000006E-2</v>
      </c>
      <c r="P939" s="394">
        <v>5.2083399999999997</v>
      </c>
      <c r="Q939" s="394"/>
      <c r="R939" s="381" t="s">
        <v>167</v>
      </c>
      <c r="S939" s="408" t="s">
        <v>175</v>
      </c>
      <c r="T939" s="385"/>
      <c r="U939" s="475">
        <v>517</v>
      </c>
      <c r="V939" s="395"/>
      <c r="W939" s="395">
        <f t="shared" si="851"/>
        <v>5.4819300000000002</v>
      </c>
      <c r="X939" s="393"/>
      <c r="Y939" s="523"/>
      <c r="Z939" s="393"/>
      <c r="AA939" s="544"/>
      <c r="AB939" s="394"/>
      <c r="AC939" s="394"/>
      <c r="AD939" s="394"/>
      <c r="AE939" s="394"/>
      <c r="AF939" s="394"/>
      <c r="AG939" s="394"/>
      <c r="AH939" s="394"/>
      <c r="AI939" s="394"/>
      <c r="AJ939" s="394"/>
      <c r="AK939" s="381"/>
      <c r="AL939" s="408"/>
      <c r="AM939" s="385"/>
      <c r="AN939" s="475"/>
      <c r="AO939" s="395"/>
      <c r="AP939" s="395" t="e">
        <f t="shared" si="850"/>
        <v>#DIV/0!</v>
      </c>
      <c r="AQ939" s="393"/>
      <c r="AR939" s="523"/>
      <c r="AS939" s="393"/>
      <c r="AT939" s="544"/>
      <c r="AU939" s="394"/>
      <c r="AV939" s="394"/>
      <c r="AW939" s="394"/>
      <c r="AX939" s="394"/>
      <c r="AY939" s="394"/>
      <c r="AZ939" s="394"/>
      <c r="BA939" s="394"/>
      <c r="BB939" s="394"/>
      <c r="BC939" s="394"/>
      <c r="BD939" s="381"/>
      <c r="BE939" s="408"/>
      <c r="BF939" s="385"/>
      <c r="BG939" s="475"/>
      <c r="BH939" s="395"/>
      <c r="BI939" s="395" t="e">
        <f t="shared" si="848"/>
        <v>#DIV/0!</v>
      </c>
    </row>
    <row r="940" spans="1:61" s="358" customFormat="1" ht="19.2" x14ac:dyDescent="0.3">
      <c r="A940" s="359" t="s">
        <v>1930</v>
      </c>
      <c r="B940" s="537" t="s">
        <v>1424</v>
      </c>
      <c r="C940" s="546" t="s">
        <v>818</v>
      </c>
      <c r="D940" s="360">
        <v>0.22</v>
      </c>
      <c r="E940" s="393"/>
      <c r="F940" s="523">
        <v>1</v>
      </c>
      <c r="G940" s="393"/>
      <c r="H940" s="544">
        <v>5.4819199999999997</v>
      </c>
      <c r="I940" s="394">
        <v>5.2126599999999996</v>
      </c>
      <c r="J940" s="394">
        <v>5.2083399999999997</v>
      </c>
      <c r="K940" s="394"/>
      <c r="L940" s="394"/>
      <c r="M940" s="394">
        <v>0</v>
      </c>
      <c r="N940" s="394">
        <v>0</v>
      </c>
      <c r="O940" s="394">
        <v>6.2770000000000006E-2</v>
      </c>
      <c r="P940" s="394">
        <v>5.2083399999999997</v>
      </c>
      <c r="Q940" s="394"/>
      <c r="R940" s="381" t="s">
        <v>167</v>
      </c>
      <c r="S940" s="408" t="s">
        <v>175</v>
      </c>
      <c r="T940" s="385"/>
      <c r="U940" s="475">
        <v>518</v>
      </c>
      <c r="V940" s="395"/>
      <c r="W940" s="395">
        <f t="shared" si="851"/>
        <v>5.4819199999999997</v>
      </c>
      <c r="X940" s="393"/>
      <c r="Y940" s="523"/>
      <c r="Z940" s="393"/>
      <c r="AA940" s="544"/>
      <c r="AB940" s="394"/>
      <c r="AC940" s="394"/>
      <c r="AD940" s="394"/>
      <c r="AE940" s="394"/>
      <c r="AF940" s="394"/>
      <c r="AG940" s="394"/>
      <c r="AH940" s="394"/>
      <c r="AI940" s="394"/>
      <c r="AJ940" s="394"/>
      <c r="AK940" s="381"/>
      <c r="AL940" s="408"/>
      <c r="AM940" s="385"/>
      <c r="AN940" s="475"/>
      <c r="AO940" s="395"/>
      <c r="AP940" s="395" t="e">
        <f t="shared" si="850"/>
        <v>#DIV/0!</v>
      </c>
      <c r="AQ940" s="393"/>
      <c r="AR940" s="523"/>
      <c r="AS940" s="393"/>
      <c r="AT940" s="544"/>
      <c r="AU940" s="394"/>
      <c r="AV940" s="394"/>
      <c r="AW940" s="394"/>
      <c r="AX940" s="394"/>
      <c r="AY940" s="394"/>
      <c r="AZ940" s="394"/>
      <c r="BA940" s="394"/>
      <c r="BB940" s="394"/>
      <c r="BC940" s="394"/>
      <c r="BD940" s="381"/>
      <c r="BE940" s="408"/>
      <c r="BF940" s="385"/>
      <c r="BG940" s="475"/>
      <c r="BH940" s="395"/>
      <c r="BI940" s="395" t="e">
        <f t="shared" ref="BI940:BI1003" si="852">AT940/AR940</f>
        <v>#DIV/0!</v>
      </c>
    </row>
    <row r="941" spans="1:61" s="358" customFormat="1" ht="19.2" x14ac:dyDescent="0.3">
      <c r="A941" s="359" t="s">
        <v>1931</v>
      </c>
      <c r="B941" s="537" t="s">
        <v>1425</v>
      </c>
      <c r="C941" s="546" t="s">
        <v>819</v>
      </c>
      <c r="D941" s="360">
        <v>0.22</v>
      </c>
      <c r="E941" s="393"/>
      <c r="F941" s="523">
        <v>1</v>
      </c>
      <c r="G941" s="393"/>
      <c r="H941" s="544">
        <v>6.9604799999999996</v>
      </c>
      <c r="I941" s="394">
        <v>6.0735700000000001</v>
      </c>
      <c r="J941" s="394">
        <v>5.2083399999999997</v>
      </c>
      <c r="K941" s="394"/>
      <c r="L941" s="394"/>
      <c r="M941" s="394">
        <v>0</v>
      </c>
      <c r="N941" s="394">
        <v>0</v>
      </c>
      <c r="O941" s="394">
        <v>0.20676</v>
      </c>
      <c r="P941" s="394">
        <v>5.2083399999999997</v>
      </c>
      <c r="Q941" s="394"/>
      <c r="R941" s="381" t="s">
        <v>167</v>
      </c>
      <c r="S941" s="408" t="s">
        <v>175</v>
      </c>
      <c r="T941" s="385"/>
      <c r="U941" s="475">
        <v>519</v>
      </c>
      <c r="V941" s="395"/>
      <c r="W941" s="395">
        <f t="shared" si="851"/>
        <v>6.9604799999999996</v>
      </c>
      <c r="X941" s="393"/>
      <c r="Y941" s="523"/>
      <c r="Z941" s="393"/>
      <c r="AA941" s="544"/>
      <c r="AB941" s="394"/>
      <c r="AC941" s="394"/>
      <c r="AD941" s="394"/>
      <c r="AE941" s="394"/>
      <c r="AF941" s="394"/>
      <c r="AG941" s="394"/>
      <c r="AH941" s="394"/>
      <c r="AI941" s="394"/>
      <c r="AJ941" s="394"/>
      <c r="AK941" s="381"/>
      <c r="AL941" s="408"/>
      <c r="AM941" s="385"/>
      <c r="AN941" s="475"/>
      <c r="AO941" s="395"/>
      <c r="AP941" s="395" t="e">
        <f t="shared" si="850"/>
        <v>#DIV/0!</v>
      </c>
      <c r="AQ941" s="393"/>
      <c r="AR941" s="523"/>
      <c r="AS941" s="393"/>
      <c r="AT941" s="544"/>
      <c r="AU941" s="394"/>
      <c r="AV941" s="394"/>
      <c r="AW941" s="394"/>
      <c r="AX941" s="394"/>
      <c r="AY941" s="394"/>
      <c r="AZ941" s="394"/>
      <c r="BA941" s="394"/>
      <c r="BB941" s="394"/>
      <c r="BC941" s="394"/>
      <c r="BD941" s="381"/>
      <c r="BE941" s="408"/>
      <c r="BF941" s="385"/>
      <c r="BG941" s="475"/>
      <c r="BH941" s="395"/>
      <c r="BI941" s="395" t="e">
        <f t="shared" si="852"/>
        <v>#DIV/0!</v>
      </c>
    </row>
    <row r="942" spans="1:61" s="358" customFormat="1" ht="19.2" x14ac:dyDescent="0.3">
      <c r="A942" s="359" t="s">
        <v>1932</v>
      </c>
      <c r="B942" s="537" t="s">
        <v>1426</v>
      </c>
      <c r="C942" s="546" t="s">
        <v>820</v>
      </c>
      <c r="D942" s="360">
        <v>0.22</v>
      </c>
      <c r="E942" s="393"/>
      <c r="F942" s="523">
        <v>1</v>
      </c>
      <c r="G942" s="393"/>
      <c r="H942" s="544">
        <v>7.0315599999999998</v>
      </c>
      <c r="I942" s="394">
        <v>6.1446500000000004</v>
      </c>
      <c r="J942" s="394">
        <v>5.2083399999999997</v>
      </c>
      <c r="K942" s="394"/>
      <c r="L942" s="394"/>
      <c r="M942" s="394">
        <v>0</v>
      </c>
      <c r="N942" s="394">
        <v>0</v>
      </c>
      <c r="O942" s="394">
        <v>0.20676</v>
      </c>
      <c r="P942" s="394">
        <v>5.2083399999999997</v>
      </c>
      <c r="Q942" s="394"/>
      <c r="R942" s="381" t="s">
        <v>167</v>
      </c>
      <c r="S942" s="408" t="s">
        <v>175</v>
      </c>
      <c r="T942" s="385"/>
      <c r="U942" s="475">
        <v>520</v>
      </c>
      <c r="V942" s="395"/>
      <c r="W942" s="395">
        <f t="shared" si="851"/>
        <v>7.0315599999999998</v>
      </c>
      <c r="X942" s="393"/>
      <c r="Y942" s="523"/>
      <c r="Z942" s="393"/>
      <c r="AA942" s="544"/>
      <c r="AB942" s="394"/>
      <c r="AC942" s="394"/>
      <c r="AD942" s="394"/>
      <c r="AE942" s="394"/>
      <c r="AF942" s="394"/>
      <c r="AG942" s="394"/>
      <c r="AH942" s="394"/>
      <c r="AI942" s="394"/>
      <c r="AJ942" s="394"/>
      <c r="AK942" s="381"/>
      <c r="AL942" s="408"/>
      <c r="AM942" s="385"/>
      <c r="AN942" s="475"/>
      <c r="AO942" s="395"/>
      <c r="AP942" s="395" t="e">
        <f t="shared" si="850"/>
        <v>#DIV/0!</v>
      </c>
      <c r="AQ942" s="393"/>
      <c r="AR942" s="523"/>
      <c r="AS942" s="393"/>
      <c r="AT942" s="544"/>
      <c r="AU942" s="394"/>
      <c r="AV942" s="394"/>
      <c r="AW942" s="394"/>
      <c r="AX942" s="394"/>
      <c r="AY942" s="394"/>
      <c r="AZ942" s="394"/>
      <c r="BA942" s="394"/>
      <c r="BB942" s="394"/>
      <c r="BC942" s="394"/>
      <c r="BD942" s="381"/>
      <c r="BE942" s="408"/>
      <c r="BF942" s="385"/>
      <c r="BG942" s="475"/>
      <c r="BH942" s="395"/>
      <c r="BI942" s="395" t="e">
        <f t="shared" si="852"/>
        <v>#DIV/0!</v>
      </c>
    </row>
    <row r="943" spans="1:61" s="358" customFormat="1" ht="19.2" x14ac:dyDescent="0.3">
      <c r="A943" s="359" t="s">
        <v>1933</v>
      </c>
      <c r="B943" s="537" t="s">
        <v>1427</v>
      </c>
      <c r="C943" s="546" t="s">
        <v>821</v>
      </c>
      <c r="D943" s="360">
        <v>0.22</v>
      </c>
      <c r="E943" s="393"/>
      <c r="F943" s="523">
        <v>1</v>
      </c>
      <c r="G943" s="393"/>
      <c r="H943" s="544">
        <v>6.9604900000000001</v>
      </c>
      <c r="I943" s="394">
        <v>6.0735799999999998</v>
      </c>
      <c r="J943" s="394">
        <v>5.2083500000000003</v>
      </c>
      <c r="K943" s="394"/>
      <c r="L943" s="394"/>
      <c r="M943" s="394">
        <v>0</v>
      </c>
      <c r="N943" s="394">
        <v>0</v>
      </c>
      <c r="O943" s="394">
        <v>0.20676</v>
      </c>
      <c r="P943" s="394">
        <v>5.2083500000000003</v>
      </c>
      <c r="Q943" s="394"/>
      <c r="R943" s="381" t="s">
        <v>167</v>
      </c>
      <c r="S943" s="408" t="s">
        <v>175</v>
      </c>
      <c r="T943" s="385"/>
      <c r="U943" s="475">
        <v>521</v>
      </c>
      <c r="V943" s="395"/>
      <c r="W943" s="395">
        <f t="shared" si="851"/>
        <v>6.9604900000000001</v>
      </c>
      <c r="X943" s="393"/>
      <c r="Y943" s="523"/>
      <c r="Z943" s="393"/>
      <c r="AA943" s="544"/>
      <c r="AB943" s="394"/>
      <c r="AC943" s="394"/>
      <c r="AD943" s="394"/>
      <c r="AE943" s="394"/>
      <c r="AF943" s="394"/>
      <c r="AG943" s="394"/>
      <c r="AH943" s="394"/>
      <c r="AI943" s="394"/>
      <c r="AJ943" s="394"/>
      <c r="AK943" s="381"/>
      <c r="AL943" s="408"/>
      <c r="AM943" s="385"/>
      <c r="AN943" s="475"/>
      <c r="AO943" s="395"/>
      <c r="AP943" s="395" t="e">
        <f t="shared" si="850"/>
        <v>#DIV/0!</v>
      </c>
      <c r="AQ943" s="393"/>
      <c r="AR943" s="523"/>
      <c r="AS943" s="393"/>
      <c r="AT943" s="544"/>
      <c r="AU943" s="394"/>
      <c r="AV943" s="394"/>
      <c r="AW943" s="394"/>
      <c r="AX943" s="394"/>
      <c r="AY943" s="394"/>
      <c r="AZ943" s="394"/>
      <c r="BA943" s="394"/>
      <c r="BB943" s="394"/>
      <c r="BC943" s="394"/>
      <c r="BD943" s="381"/>
      <c r="BE943" s="408"/>
      <c r="BF943" s="385"/>
      <c r="BG943" s="475"/>
      <c r="BH943" s="395"/>
      <c r="BI943" s="395" t="e">
        <f t="shared" si="852"/>
        <v>#DIV/0!</v>
      </c>
    </row>
    <row r="944" spans="1:61" s="358" customFormat="1" ht="19.2" x14ac:dyDescent="0.3">
      <c r="A944" s="359" t="s">
        <v>1950</v>
      </c>
      <c r="B944" s="537" t="s">
        <v>1428</v>
      </c>
      <c r="C944" s="546" t="s">
        <v>822</v>
      </c>
      <c r="D944" s="360">
        <v>0.22</v>
      </c>
      <c r="E944" s="393"/>
      <c r="F944" s="523">
        <v>1</v>
      </c>
      <c r="G944" s="393"/>
      <c r="H944" s="544">
        <v>5.4819199999999997</v>
      </c>
      <c r="I944" s="394">
        <v>5.2126599999999996</v>
      </c>
      <c r="J944" s="394">
        <v>5.2083399999999997</v>
      </c>
      <c r="K944" s="394"/>
      <c r="L944" s="394"/>
      <c r="M944" s="394">
        <v>0</v>
      </c>
      <c r="N944" s="394">
        <v>0</v>
      </c>
      <c r="O944" s="394">
        <v>6.2770000000000006E-2</v>
      </c>
      <c r="P944" s="394">
        <v>5.2083399999999997</v>
      </c>
      <c r="Q944" s="394"/>
      <c r="R944" s="381" t="s">
        <v>167</v>
      </c>
      <c r="S944" s="408" t="s">
        <v>175</v>
      </c>
      <c r="T944" s="385"/>
      <c r="U944" s="475">
        <v>522</v>
      </c>
      <c r="V944" s="395"/>
      <c r="W944" s="395">
        <f t="shared" si="851"/>
        <v>5.4819199999999997</v>
      </c>
      <c r="X944" s="393"/>
      <c r="Y944" s="523"/>
      <c r="Z944" s="393"/>
      <c r="AA944" s="544"/>
      <c r="AB944" s="394"/>
      <c r="AC944" s="394"/>
      <c r="AD944" s="394"/>
      <c r="AE944" s="394"/>
      <c r="AF944" s="394"/>
      <c r="AG944" s="394"/>
      <c r="AH944" s="394"/>
      <c r="AI944" s="394"/>
      <c r="AJ944" s="394"/>
      <c r="AK944" s="381"/>
      <c r="AL944" s="408"/>
      <c r="AM944" s="385"/>
      <c r="AN944" s="475"/>
      <c r="AO944" s="395"/>
      <c r="AP944" s="395" t="e">
        <f t="shared" si="850"/>
        <v>#DIV/0!</v>
      </c>
      <c r="AQ944" s="393"/>
      <c r="AR944" s="523"/>
      <c r="AS944" s="393"/>
      <c r="AT944" s="544"/>
      <c r="AU944" s="394"/>
      <c r="AV944" s="394"/>
      <c r="AW944" s="394"/>
      <c r="AX944" s="394"/>
      <c r="AY944" s="394"/>
      <c r="AZ944" s="394"/>
      <c r="BA944" s="394"/>
      <c r="BB944" s="394"/>
      <c r="BC944" s="394"/>
      <c r="BD944" s="381"/>
      <c r="BE944" s="408"/>
      <c r="BF944" s="385"/>
      <c r="BG944" s="475"/>
      <c r="BH944" s="395"/>
      <c r="BI944" s="395" t="e">
        <f t="shared" si="852"/>
        <v>#DIV/0!</v>
      </c>
    </row>
    <row r="945" spans="1:61" s="358" customFormat="1" ht="19.2" x14ac:dyDescent="0.3">
      <c r="A945" s="359" t="s">
        <v>1935</v>
      </c>
      <c r="B945" s="537" t="s">
        <v>1429</v>
      </c>
      <c r="C945" s="546" t="s">
        <v>823</v>
      </c>
      <c r="D945" s="360">
        <v>0.22</v>
      </c>
      <c r="E945" s="393"/>
      <c r="F945" s="523">
        <v>1</v>
      </c>
      <c r="G945" s="393"/>
      <c r="H945" s="544">
        <v>6.1706500000000002</v>
      </c>
      <c r="I945" s="394">
        <v>5.2837399999999999</v>
      </c>
      <c r="J945" s="394">
        <v>5.2083300000000001</v>
      </c>
      <c r="K945" s="394"/>
      <c r="L945" s="394"/>
      <c r="M945" s="394">
        <v>0</v>
      </c>
      <c r="N945" s="394">
        <v>0</v>
      </c>
      <c r="O945" s="394">
        <v>0.20676</v>
      </c>
      <c r="P945" s="394">
        <v>5.2083300000000001</v>
      </c>
      <c r="Q945" s="394"/>
      <c r="R945" s="381" t="s">
        <v>167</v>
      </c>
      <c r="S945" s="408" t="s">
        <v>175</v>
      </c>
      <c r="T945" s="385"/>
      <c r="U945" s="475">
        <v>523</v>
      </c>
      <c r="V945" s="395"/>
      <c r="W945" s="395">
        <f t="shared" si="851"/>
        <v>6.1706500000000002</v>
      </c>
      <c r="X945" s="393"/>
      <c r="Y945" s="523"/>
      <c r="Z945" s="393"/>
      <c r="AA945" s="544"/>
      <c r="AB945" s="394"/>
      <c r="AC945" s="394"/>
      <c r="AD945" s="394"/>
      <c r="AE945" s="394"/>
      <c r="AF945" s="394"/>
      <c r="AG945" s="394"/>
      <c r="AH945" s="394"/>
      <c r="AI945" s="394"/>
      <c r="AJ945" s="394"/>
      <c r="AK945" s="381"/>
      <c r="AL945" s="408"/>
      <c r="AM945" s="385"/>
      <c r="AN945" s="475"/>
      <c r="AO945" s="395"/>
      <c r="AP945" s="395" t="e">
        <f t="shared" si="850"/>
        <v>#DIV/0!</v>
      </c>
      <c r="AQ945" s="393"/>
      <c r="AR945" s="523"/>
      <c r="AS945" s="393"/>
      <c r="AT945" s="544"/>
      <c r="AU945" s="394"/>
      <c r="AV945" s="394"/>
      <c r="AW945" s="394"/>
      <c r="AX945" s="394"/>
      <c r="AY945" s="394"/>
      <c r="AZ945" s="394"/>
      <c r="BA945" s="394"/>
      <c r="BB945" s="394"/>
      <c r="BC945" s="394"/>
      <c r="BD945" s="381"/>
      <c r="BE945" s="408"/>
      <c r="BF945" s="385"/>
      <c r="BG945" s="475"/>
      <c r="BH945" s="395"/>
      <c r="BI945" s="395" t="e">
        <f t="shared" si="852"/>
        <v>#DIV/0!</v>
      </c>
    </row>
    <row r="946" spans="1:61" s="358" customFormat="1" ht="19.2" x14ac:dyDescent="0.3">
      <c r="A946" s="359" t="s">
        <v>1936</v>
      </c>
      <c r="B946" s="537" t="s">
        <v>658</v>
      </c>
      <c r="C946" s="546" t="s">
        <v>824</v>
      </c>
      <c r="D946" s="360">
        <v>0.22</v>
      </c>
      <c r="E946" s="393"/>
      <c r="F946" s="523">
        <v>1</v>
      </c>
      <c r="G946" s="393"/>
      <c r="H946" s="544">
        <v>5.4819199999999997</v>
      </c>
      <c r="I946" s="394">
        <v>5.2126599999999996</v>
      </c>
      <c r="J946" s="394">
        <v>5.2083399999999997</v>
      </c>
      <c r="K946" s="394"/>
      <c r="L946" s="394"/>
      <c r="M946" s="394">
        <v>0</v>
      </c>
      <c r="N946" s="394">
        <v>0</v>
      </c>
      <c r="O946" s="394">
        <v>6.2770000000000006E-2</v>
      </c>
      <c r="P946" s="394">
        <v>5.2083399999999997</v>
      </c>
      <c r="Q946" s="394"/>
      <c r="R946" s="381" t="s">
        <v>167</v>
      </c>
      <c r="S946" s="408" t="s">
        <v>175</v>
      </c>
      <c r="T946" s="385"/>
      <c r="U946" s="475">
        <v>524</v>
      </c>
      <c r="V946" s="395"/>
      <c r="W946" s="395">
        <f t="shared" si="851"/>
        <v>5.4819199999999997</v>
      </c>
      <c r="X946" s="393"/>
      <c r="Y946" s="523"/>
      <c r="Z946" s="393"/>
      <c r="AA946" s="544"/>
      <c r="AB946" s="394"/>
      <c r="AC946" s="394"/>
      <c r="AD946" s="394"/>
      <c r="AE946" s="394"/>
      <c r="AF946" s="394"/>
      <c r="AG946" s="394"/>
      <c r="AH946" s="394"/>
      <c r="AI946" s="394"/>
      <c r="AJ946" s="394"/>
      <c r="AK946" s="381"/>
      <c r="AL946" s="408"/>
      <c r="AM946" s="385"/>
      <c r="AN946" s="475"/>
      <c r="AO946" s="395"/>
      <c r="AP946" s="395" t="e">
        <f t="shared" si="850"/>
        <v>#DIV/0!</v>
      </c>
      <c r="AQ946" s="393"/>
      <c r="AR946" s="523"/>
      <c r="AS946" s="393"/>
      <c r="AT946" s="544"/>
      <c r="AU946" s="394"/>
      <c r="AV946" s="394"/>
      <c r="AW946" s="394"/>
      <c r="AX946" s="394"/>
      <c r="AY946" s="394"/>
      <c r="AZ946" s="394"/>
      <c r="BA946" s="394"/>
      <c r="BB946" s="394"/>
      <c r="BC946" s="394"/>
      <c r="BD946" s="381"/>
      <c r="BE946" s="408"/>
      <c r="BF946" s="385"/>
      <c r="BG946" s="475"/>
      <c r="BH946" s="395"/>
      <c r="BI946" s="395" t="e">
        <f t="shared" si="852"/>
        <v>#DIV/0!</v>
      </c>
    </row>
    <row r="947" spans="1:61" s="358" customFormat="1" ht="19.2" x14ac:dyDescent="0.3">
      <c r="A947" s="359" t="s">
        <v>1921</v>
      </c>
      <c r="B947" s="537" t="s">
        <v>658</v>
      </c>
      <c r="C947" s="546" t="s">
        <v>825</v>
      </c>
      <c r="D947" s="360">
        <v>0.22</v>
      </c>
      <c r="E947" s="393"/>
      <c r="F947" s="523">
        <v>1</v>
      </c>
      <c r="G947" s="393"/>
      <c r="H947" s="544">
        <v>6.1706399999999997</v>
      </c>
      <c r="I947" s="394">
        <v>5.2837399999999999</v>
      </c>
      <c r="J947" s="394">
        <v>5.2083300000000001</v>
      </c>
      <c r="K947" s="394"/>
      <c r="L947" s="394"/>
      <c r="M947" s="394">
        <v>0</v>
      </c>
      <c r="N947" s="394">
        <v>0</v>
      </c>
      <c r="O947" s="394">
        <v>0.20676</v>
      </c>
      <c r="P947" s="394">
        <v>5.2083300000000001</v>
      </c>
      <c r="Q947" s="394"/>
      <c r="R947" s="381" t="s">
        <v>167</v>
      </c>
      <c r="S947" s="408" t="s">
        <v>175</v>
      </c>
      <c r="T947" s="385"/>
      <c r="U947" s="475">
        <v>525</v>
      </c>
      <c r="V947" s="395"/>
      <c r="W947" s="395">
        <f t="shared" si="851"/>
        <v>6.1706399999999997</v>
      </c>
      <c r="X947" s="393"/>
      <c r="Y947" s="523"/>
      <c r="Z947" s="393"/>
      <c r="AA947" s="544"/>
      <c r="AB947" s="394"/>
      <c r="AC947" s="394"/>
      <c r="AD947" s="394"/>
      <c r="AE947" s="394"/>
      <c r="AF947" s="394"/>
      <c r="AG947" s="394"/>
      <c r="AH947" s="394"/>
      <c r="AI947" s="394"/>
      <c r="AJ947" s="394"/>
      <c r="AK947" s="381"/>
      <c r="AL947" s="408"/>
      <c r="AM947" s="385"/>
      <c r="AN947" s="475"/>
      <c r="AO947" s="395"/>
      <c r="AP947" s="395" t="e">
        <f t="shared" si="850"/>
        <v>#DIV/0!</v>
      </c>
      <c r="AQ947" s="393"/>
      <c r="AR947" s="523"/>
      <c r="AS947" s="393"/>
      <c r="AT947" s="544"/>
      <c r="AU947" s="394"/>
      <c r="AV947" s="394"/>
      <c r="AW947" s="394"/>
      <c r="AX947" s="394"/>
      <c r="AY947" s="394"/>
      <c r="AZ947" s="394"/>
      <c r="BA947" s="394"/>
      <c r="BB947" s="394"/>
      <c r="BC947" s="394"/>
      <c r="BD947" s="381"/>
      <c r="BE947" s="408"/>
      <c r="BF947" s="385"/>
      <c r="BG947" s="475"/>
      <c r="BH947" s="395"/>
      <c r="BI947" s="395" t="e">
        <f t="shared" si="852"/>
        <v>#DIV/0!</v>
      </c>
    </row>
    <row r="948" spans="1:61" s="358" customFormat="1" ht="19.2" x14ac:dyDescent="0.3">
      <c r="A948" s="359" t="s">
        <v>184</v>
      </c>
      <c r="B948" s="537" t="s">
        <v>658</v>
      </c>
      <c r="C948" s="546" t="s">
        <v>826</v>
      </c>
      <c r="D948" s="360">
        <v>0.22</v>
      </c>
      <c r="E948" s="393"/>
      <c r="F948" s="523">
        <v>1</v>
      </c>
      <c r="G948" s="393"/>
      <c r="H948" s="544">
        <v>6.1706399999999997</v>
      </c>
      <c r="I948" s="394">
        <v>5.2837399999999999</v>
      </c>
      <c r="J948" s="394">
        <v>5.2083300000000001</v>
      </c>
      <c r="K948" s="394"/>
      <c r="L948" s="394"/>
      <c r="M948" s="394">
        <v>0</v>
      </c>
      <c r="N948" s="394">
        <v>0</v>
      </c>
      <c r="O948" s="394">
        <v>0.20676</v>
      </c>
      <c r="P948" s="394">
        <v>5.2083300000000001</v>
      </c>
      <c r="Q948" s="394"/>
      <c r="R948" s="381" t="s">
        <v>167</v>
      </c>
      <c r="S948" s="408" t="s">
        <v>175</v>
      </c>
      <c r="T948" s="385"/>
      <c r="U948" s="475">
        <v>526</v>
      </c>
      <c r="V948" s="395"/>
      <c r="W948" s="395">
        <f t="shared" si="851"/>
        <v>6.1706399999999997</v>
      </c>
      <c r="X948" s="393"/>
      <c r="Y948" s="523"/>
      <c r="Z948" s="393"/>
      <c r="AA948" s="544"/>
      <c r="AB948" s="394"/>
      <c r="AC948" s="394"/>
      <c r="AD948" s="394"/>
      <c r="AE948" s="394"/>
      <c r="AF948" s="394"/>
      <c r="AG948" s="394"/>
      <c r="AH948" s="394"/>
      <c r="AI948" s="394"/>
      <c r="AJ948" s="394"/>
      <c r="AK948" s="381"/>
      <c r="AL948" s="408"/>
      <c r="AM948" s="385"/>
      <c r="AN948" s="475"/>
      <c r="AO948" s="395"/>
      <c r="AP948" s="395" t="e">
        <f t="shared" si="850"/>
        <v>#DIV/0!</v>
      </c>
      <c r="AQ948" s="393"/>
      <c r="AR948" s="523"/>
      <c r="AS948" s="393"/>
      <c r="AT948" s="544"/>
      <c r="AU948" s="394"/>
      <c r="AV948" s="394"/>
      <c r="AW948" s="394"/>
      <c r="AX948" s="394"/>
      <c r="AY948" s="394"/>
      <c r="AZ948" s="394"/>
      <c r="BA948" s="394"/>
      <c r="BB948" s="394"/>
      <c r="BC948" s="394"/>
      <c r="BD948" s="381"/>
      <c r="BE948" s="408"/>
      <c r="BF948" s="385"/>
      <c r="BG948" s="475"/>
      <c r="BH948" s="395"/>
      <c r="BI948" s="395" t="e">
        <f t="shared" si="852"/>
        <v>#DIV/0!</v>
      </c>
    </row>
    <row r="949" spans="1:61" s="358" customFormat="1" ht="19.2" x14ac:dyDescent="0.3">
      <c r="A949" s="359" t="s">
        <v>1939</v>
      </c>
      <c r="B949" s="537" t="s">
        <v>658</v>
      </c>
      <c r="C949" s="546" t="s">
        <v>827</v>
      </c>
      <c r="D949" s="360">
        <v>0.22</v>
      </c>
      <c r="E949" s="393"/>
      <c r="F949" s="523">
        <v>1</v>
      </c>
      <c r="G949" s="393"/>
      <c r="H949" s="544">
        <v>6.1706399999999997</v>
      </c>
      <c r="I949" s="394">
        <v>5.2837399999999999</v>
      </c>
      <c r="J949" s="394">
        <v>5.2083300000000001</v>
      </c>
      <c r="K949" s="394"/>
      <c r="L949" s="394"/>
      <c r="M949" s="394">
        <v>0</v>
      </c>
      <c r="N949" s="394">
        <v>0</v>
      </c>
      <c r="O949" s="394">
        <v>0.20676</v>
      </c>
      <c r="P949" s="394">
        <v>5.2083300000000001</v>
      </c>
      <c r="Q949" s="394"/>
      <c r="R949" s="381" t="s">
        <v>167</v>
      </c>
      <c r="S949" s="408" t="s">
        <v>175</v>
      </c>
      <c r="T949" s="385"/>
      <c r="U949" s="475">
        <v>527</v>
      </c>
      <c r="V949" s="395"/>
      <c r="W949" s="395">
        <f t="shared" si="851"/>
        <v>6.1706399999999997</v>
      </c>
      <c r="X949" s="393"/>
      <c r="Y949" s="523"/>
      <c r="Z949" s="393"/>
      <c r="AA949" s="544"/>
      <c r="AB949" s="394"/>
      <c r="AC949" s="394"/>
      <c r="AD949" s="394"/>
      <c r="AE949" s="394"/>
      <c r="AF949" s="394"/>
      <c r="AG949" s="394"/>
      <c r="AH949" s="394"/>
      <c r="AI949" s="394"/>
      <c r="AJ949" s="394"/>
      <c r="AK949" s="381"/>
      <c r="AL949" s="408"/>
      <c r="AM949" s="385"/>
      <c r="AN949" s="475"/>
      <c r="AO949" s="395"/>
      <c r="AP949" s="395" t="e">
        <f t="shared" si="850"/>
        <v>#DIV/0!</v>
      </c>
      <c r="AQ949" s="393"/>
      <c r="AR949" s="523"/>
      <c r="AS949" s="393"/>
      <c r="AT949" s="544"/>
      <c r="AU949" s="394"/>
      <c r="AV949" s="394"/>
      <c r="AW949" s="394"/>
      <c r="AX949" s="394"/>
      <c r="AY949" s="394"/>
      <c r="AZ949" s="394"/>
      <c r="BA949" s="394"/>
      <c r="BB949" s="394"/>
      <c r="BC949" s="394"/>
      <c r="BD949" s="381"/>
      <c r="BE949" s="408"/>
      <c r="BF949" s="385"/>
      <c r="BG949" s="475"/>
      <c r="BH949" s="395"/>
      <c r="BI949" s="395" t="e">
        <f t="shared" si="852"/>
        <v>#DIV/0!</v>
      </c>
    </row>
    <row r="950" spans="1:61" s="358" customFormat="1" ht="19.2" x14ac:dyDescent="0.3">
      <c r="A950" s="359" t="s">
        <v>1940</v>
      </c>
      <c r="B950" s="537" t="s">
        <v>1414</v>
      </c>
      <c r="C950" s="546" t="s">
        <v>828</v>
      </c>
      <c r="D950" s="360">
        <v>0.22</v>
      </c>
      <c r="E950" s="393"/>
      <c r="F950" s="523">
        <v>1</v>
      </c>
      <c r="G950" s="406"/>
      <c r="H950" s="544">
        <v>6.1706399999999997</v>
      </c>
      <c r="I950" s="394">
        <v>5.2837399999999999</v>
      </c>
      <c r="J950" s="394">
        <v>5.2083300000000001</v>
      </c>
      <c r="K950" s="394"/>
      <c r="L950" s="394"/>
      <c r="M950" s="394">
        <v>0</v>
      </c>
      <c r="N950" s="394">
        <v>0</v>
      </c>
      <c r="O950" s="394">
        <v>0.20676</v>
      </c>
      <c r="P950" s="394">
        <v>5.2083300000000001</v>
      </c>
      <c r="Q950" s="394"/>
      <c r="R950" s="381" t="s">
        <v>167</v>
      </c>
      <c r="S950" s="408" t="s">
        <v>175</v>
      </c>
      <c r="T950" s="385"/>
      <c r="U950" s="475">
        <v>528</v>
      </c>
      <c r="V950" s="395"/>
      <c r="W950" s="395">
        <f t="shared" si="851"/>
        <v>6.1706399999999997</v>
      </c>
      <c r="X950" s="393"/>
      <c r="Y950" s="523"/>
      <c r="Z950" s="406"/>
      <c r="AA950" s="544"/>
      <c r="AB950" s="394"/>
      <c r="AC950" s="394"/>
      <c r="AD950" s="394"/>
      <c r="AE950" s="394"/>
      <c r="AF950" s="394"/>
      <c r="AG950" s="394"/>
      <c r="AH950" s="394"/>
      <c r="AI950" s="394"/>
      <c r="AJ950" s="394"/>
      <c r="AK950" s="381"/>
      <c r="AL950" s="408"/>
      <c r="AM950" s="385"/>
      <c r="AN950" s="475"/>
      <c r="AO950" s="395"/>
      <c r="AP950" s="395" t="e">
        <f t="shared" si="850"/>
        <v>#DIV/0!</v>
      </c>
      <c r="AQ950" s="393"/>
      <c r="AR950" s="523"/>
      <c r="AS950" s="406"/>
      <c r="AT950" s="544"/>
      <c r="AU950" s="394"/>
      <c r="AV950" s="394"/>
      <c r="AW950" s="394"/>
      <c r="AX950" s="394"/>
      <c r="AY950" s="394"/>
      <c r="AZ950" s="394"/>
      <c r="BA950" s="394"/>
      <c r="BB950" s="394"/>
      <c r="BC950" s="394"/>
      <c r="BD950" s="381"/>
      <c r="BE950" s="408"/>
      <c r="BF950" s="385"/>
      <c r="BG950" s="475"/>
      <c r="BH950" s="395"/>
      <c r="BI950" s="395" t="e">
        <f t="shared" si="852"/>
        <v>#DIV/0!</v>
      </c>
    </row>
    <row r="951" spans="1:61" s="358" customFormat="1" ht="19.2" x14ac:dyDescent="0.3">
      <c r="A951" s="359" t="s">
        <v>1941</v>
      </c>
      <c r="B951" s="537" t="s">
        <v>1430</v>
      </c>
      <c r="C951" s="546" t="s">
        <v>829</v>
      </c>
      <c r="D951" s="360">
        <v>0.22</v>
      </c>
      <c r="E951" s="393"/>
      <c r="F951" s="523">
        <v>1</v>
      </c>
      <c r="G951" s="393"/>
      <c r="H951" s="544">
        <v>8.5760699999999996</v>
      </c>
      <c r="I951" s="394">
        <v>6.4410600000000002</v>
      </c>
      <c r="J951" s="394">
        <v>5.2083300000000001</v>
      </c>
      <c r="K951" s="394"/>
      <c r="L951" s="394"/>
      <c r="M951" s="394">
        <v>0</v>
      </c>
      <c r="N951" s="394">
        <v>0</v>
      </c>
      <c r="O951" s="394">
        <v>0.49773000000000001</v>
      </c>
      <c r="P951" s="394">
        <v>5.2083300000000001</v>
      </c>
      <c r="Q951" s="394"/>
      <c r="R951" s="381" t="s">
        <v>167</v>
      </c>
      <c r="S951" s="408" t="s">
        <v>175</v>
      </c>
      <c r="T951" s="385"/>
      <c r="U951" s="475">
        <v>529</v>
      </c>
      <c r="V951" s="395"/>
      <c r="W951" s="395">
        <f t="shared" ref="W951:W955" si="853">H951/F951</f>
        <v>8.5760699999999996</v>
      </c>
      <c r="X951" s="393"/>
      <c r="Y951" s="523"/>
      <c r="Z951" s="393"/>
      <c r="AA951" s="544"/>
      <c r="AB951" s="394"/>
      <c r="AC951" s="394"/>
      <c r="AD951" s="394"/>
      <c r="AE951" s="394"/>
      <c r="AF951" s="394"/>
      <c r="AG951" s="394"/>
      <c r="AH951" s="394"/>
      <c r="AI951" s="394"/>
      <c r="AJ951" s="394"/>
      <c r="AK951" s="381"/>
      <c r="AL951" s="408"/>
      <c r="AM951" s="385"/>
      <c r="AN951" s="475"/>
      <c r="AO951" s="395"/>
      <c r="AP951" s="395" t="e">
        <f t="shared" si="850"/>
        <v>#DIV/0!</v>
      </c>
      <c r="AQ951" s="393"/>
      <c r="AR951" s="523"/>
      <c r="AS951" s="393"/>
      <c r="AT951" s="544"/>
      <c r="AU951" s="394"/>
      <c r="AV951" s="394"/>
      <c r="AW951" s="394"/>
      <c r="AX951" s="394"/>
      <c r="AY951" s="394"/>
      <c r="AZ951" s="394"/>
      <c r="BA951" s="394"/>
      <c r="BB951" s="394"/>
      <c r="BC951" s="394"/>
      <c r="BD951" s="381"/>
      <c r="BE951" s="408"/>
      <c r="BF951" s="385"/>
      <c r="BG951" s="475"/>
      <c r="BH951" s="395"/>
      <c r="BI951" s="395" t="e">
        <f t="shared" si="852"/>
        <v>#DIV/0!</v>
      </c>
    </row>
    <row r="952" spans="1:61" s="358" customFormat="1" ht="19.2" x14ac:dyDescent="0.3">
      <c r="A952" s="359" t="s">
        <v>1942</v>
      </c>
      <c r="B952" s="537" t="s">
        <v>1431</v>
      </c>
      <c r="C952" s="546" t="s">
        <v>830</v>
      </c>
      <c r="D952" s="360">
        <v>0.22</v>
      </c>
      <c r="E952" s="393"/>
      <c r="F952" s="523">
        <v>1</v>
      </c>
      <c r="G952" s="393"/>
      <c r="H952" s="544">
        <v>6.9604900000000001</v>
      </c>
      <c r="I952" s="394">
        <v>6.0735799999999998</v>
      </c>
      <c r="J952" s="394">
        <v>5.2083500000000003</v>
      </c>
      <c r="K952" s="394"/>
      <c r="L952" s="394"/>
      <c r="M952" s="394">
        <v>0</v>
      </c>
      <c r="N952" s="394">
        <v>0</v>
      </c>
      <c r="O952" s="394">
        <v>0.20676</v>
      </c>
      <c r="P952" s="394">
        <v>5.2083500000000003</v>
      </c>
      <c r="Q952" s="394"/>
      <c r="R952" s="381" t="s">
        <v>167</v>
      </c>
      <c r="S952" s="408" t="s">
        <v>175</v>
      </c>
      <c r="T952" s="385"/>
      <c r="U952" s="475">
        <v>530</v>
      </c>
      <c r="V952" s="395"/>
      <c r="W952" s="395">
        <f t="shared" si="853"/>
        <v>6.9604900000000001</v>
      </c>
      <c r="X952" s="393"/>
      <c r="Y952" s="523"/>
      <c r="Z952" s="393"/>
      <c r="AA952" s="544"/>
      <c r="AB952" s="394"/>
      <c r="AC952" s="394"/>
      <c r="AD952" s="394"/>
      <c r="AE952" s="394"/>
      <c r="AF952" s="394"/>
      <c r="AG952" s="394"/>
      <c r="AH952" s="394"/>
      <c r="AI952" s="394"/>
      <c r="AJ952" s="394"/>
      <c r="AK952" s="381"/>
      <c r="AL952" s="408"/>
      <c r="AM952" s="385"/>
      <c r="AN952" s="475"/>
      <c r="AO952" s="395"/>
      <c r="AP952" s="395" t="e">
        <f t="shared" si="850"/>
        <v>#DIV/0!</v>
      </c>
      <c r="AQ952" s="393"/>
      <c r="AR952" s="523"/>
      <c r="AS952" s="393"/>
      <c r="AT952" s="544"/>
      <c r="AU952" s="394"/>
      <c r="AV952" s="394"/>
      <c r="AW952" s="394"/>
      <c r="AX952" s="394"/>
      <c r="AY952" s="394"/>
      <c r="AZ952" s="394"/>
      <c r="BA952" s="394"/>
      <c r="BB952" s="394"/>
      <c r="BC952" s="394"/>
      <c r="BD952" s="381"/>
      <c r="BE952" s="408"/>
      <c r="BF952" s="385"/>
      <c r="BG952" s="475"/>
      <c r="BH952" s="395"/>
      <c r="BI952" s="395" t="e">
        <f t="shared" si="852"/>
        <v>#DIV/0!</v>
      </c>
    </row>
    <row r="953" spans="1:61" s="358" customFormat="1" ht="19.2" x14ac:dyDescent="0.3">
      <c r="A953" s="359" t="s">
        <v>1943</v>
      </c>
      <c r="B953" s="537" t="s">
        <v>656</v>
      </c>
      <c r="C953" s="546" t="s">
        <v>536</v>
      </c>
      <c r="D953" s="360">
        <v>0.22</v>
      </c>
      <c r="E953" s="393"/>
      <c r="F953" s="523">
        <v>1</v>
      </c>
      <c r="G953" s="393"/>
      <c r="H953" s="544">
        <v>6.8894399999999996</v>
      </c>
      <c r="I953" s="394">
        <v>6.0024899999999999</v>
      </c>
      <c r="J953" s="394">
        <v>5.2083500000000003</v>
      </c>
      <c r="K953" s="394"/>
      <c r="L953" s="394"/>
      <c r="M953" s="394">
        <v>0</v>
      </c>
      <c r="N953" s="394">
        <v>0</v>
      </c>
      <c r="O953" s="394">
        <v>0.20676</v>
      </c>
      <c r="P953" s="394">
        <v>5.2083500000000003</v>
      </c>
      <c r="Q953" s="394"/>
      <c r="R953" s="381" t="s">
        <v>167</v>
      </c>
      <c r="S953" s="408" t="s">
        <v>175</v>
      </c>
      <c r="T953" s="385"/>
      <c r="U953" s="475">
        <v>531</v>
      </c>
      <c r="V953" s="395"/>
      <c r="W953" s="395">
        <f t="shared" si="853"/>
        <v>6.8894399999999996</v>
      </c>
      <c r="X953" s="393"/>
      <c r="Y953" s="523"/>
      <c r="Z953" s="393"/>
      <c r="AA953" s="544"/>
      <c r="AB953" s="394"/>
      <c r="AC953" s="394"/>
      <c r="AD953" s="394"/>
      <c r="AE953" s="394"/>
      <c r="AF953" s="394"/>
      <c r="AG953" s="394"/>
      <c r="AH953" s="394"/>
      <c r="AI953" s="394"/>
      <c r="AJ953" s="394"/>
      <c r="AK953" s="381"/>
      <c r="AL953" s="408"/>
      <c r="AM953" s="385"/>
      <c r="AN953" s="475"/>
      <c r="AO953" s="395"/>
      <c r="AP953" s="395" t="e">
        <f t="shared" si="850"/>
        <v>#DIV/0!</v>
      </c>
      <c r="AQ953" s="393"/>
      <c r="AR953" s="523"/>
      <c r="AS953" s="393"/>
      <c r="AT953" s="544"/>
      <c r="AU953" s="394"/>
      <c r="AV953" s="394"/>
      <c r="AW953" s="394"/>
      <c r="AX953" s="394"/>
      <c r="AY953" s="394"/>
      <c r="AZ953" s="394"/>
      <c r="BA953" s="394"/>
      <c r="BB953" s="394"/>
      <c r="BC953" s="394"/>
      <c r="BD953" s="381"/>
      <c r="BE953" s="408"/>
      <c r="BF953" s="385"/>
      <c r="BG953" s="475"/>
      <c r="BH953" s="395"/>
      <c r="BI953" s="395" t="e">
        <f t="shared" si="852"/>
        <v>#DIV/0!</v>
      </c>
    </row>
    <row r="954" spans="1:61" s="358" customFormat="1" ht="19.2" x14ac:dyDescent="0.3">
      <c r="A954" s="359" t="s">
        <v>1944</v>
      </c>
      <c r="B954" s="537" t="s">
        <v>1432</v>
      </c>
      <c r="C954" s="546" t="s">
        <v>831</v>
      </c>
      <c r="D954" s="360">
        <v>0.22</v>
      </c>
      <c r="E954" s="393"/>
      <c r="F954" s="523">
        <v>1</v>
      </c>
      <c r="G954" s="393"/>
      <c r="H954" s="544">
        <v>6.8894000000000002</v>
      </c>
      <c r="I954" s="394">
        <v>6.0024899999999999</v>
      </c>
      <c r="J954" s="394">
        <v>5.2083300000000001</v>
      </c>
      <c r="K954" s="394"/>
      <c r="L954" s="394"/>
      <c r="M954" s="394">
        <v>0</v>
      </c>
      <c r="N954" s="394">
        <v>0</v>
      </c>
      <c r="O954" s="394">
        <v>0.20676</v>
      </c>
      <c r="P954" s="394">
        <v>5.2083300000000001</v>
      </c>
      <c r="Q954" s="394"/>
      <c r="R954" s="381" t="s">
        <v>167</v>
      </c>
      <c r="S954" s="408" t="s">
        <v>175</v>
      </c>
      <c r="T954" s="385"/>
      <c r="U954" s="475">
        <v>532</v>
      </c>
      <c r="V954" s="395"/>
      <c r="W954" s="395">
        <f t="shared" si="853"/>
        <v>6.8894000000000002</v>
      </c>
      <c r="X954" s="393"/>
      <c r="Y954" s="523"/>
      <c r="Z954" s="393"/>
      <c r="AA954" s="544"/>
      <c r="AB954" s="394"/>
      <c r="AC954" s="394"/>
      <c r="AD954" s="394"/>
      <c r="AE954" s="394"/>
      <c r="AF954" s="394"/>
      <c r="AG954" s="394"/>
      <c r="AH954" s="394"/>
      <c r="AI954" s="394"/>
      <c r="AJ954" s="394"/>
      <c r="AK954" s="381"/>
      <c r="AL954" s="408"/>
      <c r="AM954" s="385"/>
      <c r="AN954" s="475"/>
      <c r="AO954" s="395"/>
      <c r="AP954" s="395" t="e">
        <f t="shared" si="850"/>
        <v>#DIV/0!</v>
      </c>
      <c r="AQ954" s="393"/>
      <c r="AR954" s="523"/>
      <c r="AS954" s="393"/>
      <c r="AT954" s="544"/>
      <c r="AU954" s="394"/>
      <c r="AV954" s="394"/>
      <c r="AW954" s="394"/>
      <c r="AX954" s="394"/>
      <c r="AY954" s="394"/>
      <c r="AZ954" s="394"/>
      <c r="BA954" s="394"/>
      <c r="BB954" s="394"/>
      <c r="BC954" s="394"/>
      <c r="BD954" s="381"/>
      <c r="BE954" s="408"/>
      <c r="BF954" s="385"/>
      <c r="BG954" s="475"/>
      <c r="BH954" s="395"/>
      <c r="BI954" s="395" t="e">
        <f t="shared" si="852"/>
        <v>#DIV/0!</v>
      </c>
    </row>
    <row r="955" spans="1:61" s="358" customFormat="1" ht="19.2" x14ac:dyDescent="0.3">
      <c r="A955" s="359" t="s">
        <v>1945</v>
      </c>
      <c r="B955" s="537" t="s">
        <v>1433</v>
      </c>
      <c r="C955" s="546" t="s">
        <v>832</v>
      </c>
      <c r="D955" s="360">
        <v>0.22</v>
      </c>
      <c r="E955" s="393"/>
      <c r="F955" s="523">
        <v>1</v>
      </c>
      <c r="G955" s="393"/>
      <c r="H955" s="544">
        <v>6.8894399999999996</v>
      </c>
      <c r="I955" s="394">
        <v>6.0024899999999999</v>
      </c>
      <c r="J955" s="394">
        <v>5.2083300000000001</v>
      </c>
      <c r="K955" s="394"/>
      <c r="L955" s="394"/>
      <c r="M955" s="394">
        <v>0</v>
      </c>
      <c r="N955" s="394">
        <v>0</v>
      </c>
      <c r="O955" s="394">
        <v>0.20676</v>
      </c>
      <c r="P955" s="394">
        <v>5.2083300000000001</v>
      </c>
      <c r="Q955" s="394"/>
      <c r="R955" s="381" t="s">
        <v>167</v>
      </c>
      <c r="S955" s="408" t="s">
        <v>175</v>
      </c>
      <c r="T955" s="385"/>
      <c r="U955" s="475">
        <v>533</v>
      </c>
      <c r="V955" s="395"/>
      <c r="W955" s="395">
        <f t="shared" si="853"/>
        <v>6.8894399999999996</v>
      </c>
      <c r="X955" s="393"/>
      <c r="Y955" s="523"/>
      <c r="Z955" s="393"/>
      <c r="AA955" s="544"/>
      <c r="AB955" s="394"/>
      <c r="AC955" s="394"/>
      <c r="AD955" s="394"/>
      <c r="AE955" s="394"/>
      <c r="AF955" s="394"/>
      <c r="AG955" s="394"/>
      <c r="AH955" s="394"/>
      <c r="AI955" s="394"/>
      <c r="AJ955" s="394"/>
      <c r="AK955" s="381"/>
      <c r="AL955" s="408"/>
      <c r="AM955" s="385"/>
      <c r="AN955" s="475"/>
      <c r="AO955" s="395"/>
      <c r="AP955" s="395" t="e">
        <f t="shared" si="850"/>
        <v>#DIV/0!</v>
      </c>
      <c r="AQ955" s="393"/>
      <c r="AR955" s="523"/>
      <c r="AS955" s="393"/>
      <c r="AT955" s="544"/>
      <c r="AU955" s="394"/>
      <c r="AV955" s="394"/>
      <c r="AW955" s="394"/>
      <c r="AX955" s="394"/>
      <c r="AY955" s="394"/>
      <c r="AZ955" s="394"/>
      <c r="BA955" s="394"/>
      <c r="BB955" s="394"/>
      <c r="BC955" s="394"/>
      <c r="BD955" s="381"/>
      <c r="BE955" s="408"/>
      <c r="BF955" s="385"/>
      <c r="BG955" s="475"/>
      <c r="BH955" s="395"/>
      <c r="BI955" s="395" t="e">
        <f t="shared" si="852"/>
        <v>#DIV/0!</v>
      </c>
    </row>
    <row r="956" spans="1:61" s="358" customFormat="1" ht="19.2" x14ac:dyDescent="0.3">
      <c r="A956" s="359" t="s">
        <v>1946</v>
      </c>
      <c r="B956" s="537" t="s">
        <v>657</v>
      </c>
      <c r="C956" s="546" t="s">
        <v>537</v>
      </c>
      <c r="D956" s="360">
        <v>0.22</v>
      </c>
      <c r="E956" s="393"/>
      <c r="F956" s="523">
        <v>1</v>
      </c>
      <c r="G956" s="393"/>
      <c r="H956" s="544">
        <v>6.8894000000000002</v>
      </c>
      <c r="I956" s="394">
        <v>6.0024899999999999</v>
      </c>
      <c r="J956" s="394">
        <v>5.2083300000000001</v>
      </c>
      <c r="K956" s="394"/>
      <c r="L956" s="394"/>
      <c r="M956" s="394">
        <v>0</v>
      </c>
      <c r="N956" s="394">
        <v>0</v>
      </c>
      <c r="O956" s="394">
        <v>0.20676</v>
      </c>
      <c r="P956" s="394">
        <v>5.2083300000000001</v>
      </c>
      <c r="Q956" s="394"/>
      <c r="R956" s="381" t="s">
        <v>167</v>
      </c>
      <c r="S956" s="408" t="s">
        <v>175</v>
      </c>
      <c r="T956" s="385"/>
      <c r="U956" s="475">
        <v>534</v>
      </c>
      <c r="V956" s="395"/>
      <c r="W956" s="395">
        <f t="shared" si="851"/>
        <v>6.8894000000000002</v>
      </c>
      <c r="X956" s="393"/>
      <c r="Y956" s="523"/>
      <c r="Z956" s="393"/>
      <c r="AA956" s="544"/>
      <c r="AB956" s="394"/>
      <c r="AC956" s="394"/>
      <c r="AD956" s="394"/>
      <c r="AE956" s="394"/>
      <c r="AF956" s="394"/>
      <c r="AG956" s="394"/>
      <c r="AH956" s="394"/>
      <c r="AI956" s="394"/>
      <c r="AJ956" s="394"/>
      <c r="AK956" s="381"/>
      <c r="AL956" s="408"/>
      <c r="AM956" s="385"/>
      <c r="AN956" s="475"/>
      <c r="AO956" s="395"/>
      <c r="AP956" s="395" t="e">
        <f t="shared" si="850"/>
        <v>#DIV/0!</v>
      </c>
      <c r="AQ956" s="393"/>
      <c r="AR956" s="523"/>
      <c r="AS956" s="393"/>
      <c r="AT956" s="544"/>
      <c r="AU956" s="394"/>
      <c r="AV956" s="394"/>
      <c r="AW956" s="394"/>
      <c r="AX956" s="394"/>
      <c r="AY956" s="394"/>
      <c r="AZ956" s="394"/>
      <c r="BA956" s="394"/>
      <c r="BB956" s="394"/>
      <c r="BC956" s="394"/>
      <c r="BD956" s="381"/>
      <c r="BE956" s="408"/>
      <c r="BF956" s="385"/>
      <c r="BG956" s="475"/>
      <c r="BH956" s="395"/>
      <c r="BI956" s="395" t="e">
        <f t="shared" si="852"/>
        <v>#DIV/0!</v>
      </c>
    </row>
    <row r="957" spans="1:61" s="358" customFormat="1" ht="19.2" x14ac:dyDescent="0.3">
      <c r="A957" s="359" t="s">
        <v>1947</v>
      </c>
      <c r="B957" s="537" t="s">
        <v>1434</v>
      </c>
      <c r="C957" s="546" t="s">
        <v>833</v>
      </c>
      <c r="D957" s="360">
        <v>0.22</v>
      </c>
      <c r="E957" s="393"/>
      <c r="F957" s="523">
        <v>1</v>
      </c>
      <c r="G957" s="393"/>
      <c r="H957" s="544">
        <v>6.8894399999999996</v>
      </c>
      <c r="I957" s="394">
        <v>6.0024899999999999</v>
      </c>
      <c r="J957" s="394">
        <v>5.2083300000000001</v>
      </c>
      <c r="K957" s="394"/>
      <c r="L957" s="394"/>
      <c r="M957" s="394">
        <v>0</v>
      </c>
      <c r="N957" s="394">
        <v>0</v>
      </c>
      <c r="O957" s="394">
        <v>0.20676</v>
      </c>
      <c r="P957" s="394">
        <v>5.2083300000000001</v>
      </c>
      <c r="Q957" s="394"/>
      <c r="R957" s="381" t="s">
        <v>167</v>
      </c>
      <c r="S957" s="408" t="s">
        <v>175</v>
      </c>
      <c r="T957" s="385"/>
      <c r="U957" s="475">
        <v>535</v>
      </c>
      <c r="V957" s="395"/>
      <c r="W957" s="395">
        <f t="shared" si="851"/>
        <v>6.8894399999999996</v>
      </c>
      <c r="X957" s="393"/>
      <c r="Y957" s="523"/>
      <c r="Z957" s="393"/>
      <c r="AA957" s="544"/>
      <c r="AB957" s="394"/>
      <c r="AC957" s="394"/>
      <c r="AD957" s="394"/>
      <c r="AE957" s="394"/>
      <c r="AF957" s="394"/>
      <c r="AG957" s="394"/>
      <c r="AH957" s="394"/>
      <c r="AI957" s="394"/>
      <c r="AJ957" s="394"/>
      <c r="AK957" s="381"/>
      <c r="AL957" s="408"/>
      <c r="AM957" s="385"/>
      <c r="AN957" s="475"/>
      <c r="AO957" s="395"/>
      <c r="AP957" s="395" t="e">
        <f t="shared" si="850"/>
        <v>#DIV/0!</v>
      </c>
      <c r="AQ957" s="393"/>
      <c r="AR957" s="523"/>
      <c r="AS957" s="393"/>
      <c r="AT957" s="544"/>
      <c r="AU957" s="394"/>
      <c r="AV957" s="394"/>
      <c r="AW957" s="394"/>
      <c r="AX957" s="394"/>
      <c r="AY957" s="394"/>
      <c r="AZ957" s="394"/>
      <c r="BA957" s="394"/>
      <c r="BB957" s="394"/>
      <c r="BC957" s="394"/>
      <c r="BD957" s="381"/>
      <c r="BE957" s="408"/>
      <c r="BF957" s="385"/>
      <c r="BG957" s="475"/>
      <c r="BH957" s="395"/>
      <c r="BI957" s="395" t="e">
        <f t="shared" si="852"/>
        <v>#DIV/0!</v>
      </c>
    </row>
    <row r="958" spans="1:61" s="358" customFormat="1" ht="19.2" x14ac:dyDescent="0.3">
      <c r="A958" s="359" t="s">
        <v>1948</v>
      </c>
      <c r="B958" s="537" t="s">
        <v>1435</v>
      </c>
      <c r="C958" s="546" t="s">
        <v>834</v>
      </c>
      <c r="D958" s="360">
        <v>0.22</v>
      </c>
      <c r="E958" s="393"/>
      <c r="F958" s="523">
        <v>1</v>
      </c>
      <c r="G958" s="393"/>
      <c r="H958" s="544">
        <v>6.8894000000000002</v>
      </c>
      <c r="I958" s="394">
        <v>6.0024899999999999</v>
      </c>
      <c r="J958" s="394">
        <v>5.2083300000000001</v>
      </c>
      <c r="K958" s="394"/>
      <c r="L958" s="394"/>
      <c r="M958" s="394">
        <v>0</v>
      </c>
      <c r="N958" s="394">
        <v>0</v>
      </c>
      <c r="O958" s="394">
        <v>0.20676</v>
      </c>
      <c r="P958" s="394">
        <v>5.2083300000000001</v>
      </c>
      <c r="Q958" s="394"/>
      <c r="R958" s="381" t="s">
        <v>167</v>
      </c>
      <c r="S958" s="408" t="s">
        <v>175</v>
      </c>
      <c r="T958" s="385"/>
      <c r="U958" s="475">
        <v>536</v>
      </c>
      <c r="V958" s="395"/>
      <c r="W958" s="395">
        <f t="shared" si="851"/>
        <v>6.8894000000000002</v>
      </c>
      <c r="X958" s="393"/>
      <c r="Y958" s="523"/>
      <c r="Z958" s="393"/>
      <c r="AA958" s="544"/>
      <c r="AB958" s="394"/>
      <c r="AC958" s="394"/>
      <c r="AD958" s="394"/>
      <c r="AE958" s="394"/>
      <c r="AF958" s="394"/>
      <c r="AG958" s="394"/>
      <c r="AH958" s="394"/>
      <c r="AI958" s="394"/>
      <c r="AJ958" s="394"/>
      <c r="AK958" s="381"/>
      <c r="AL958" s="408"/>
      <c r="AM958" s="385"/>
      <c r="AN958" s="475"/>
      <c r="AO958" s="395"/>
      <c r="AP958" s="395" t="e">
        <f t="shared" si="850"/>
        <v>#DIV/0!</v>
      </c>
      <c r="AQ958" s="393"/>
      <c r="AR958" s="523"/>
      <c r="AS958" s="393"/>
      <c r="AT958" s="544"/>
      <c r="AU958" s="394"/>
      <c r="AV958" s="394"/>
      <c r="AW958" s="394"/>
      <c r="AX958" s="394"/>
      <c r="AY958" s="394"/>
      <c r="AZ958" s="394"/>
      <c r="BA958" s="394"/>
      <c r="BB958" s="394"/>
      <c r="BC958" s="394"/>
      <c r="BD958" s="381"/>
      <c r="BE958" s="408"/>
      <c r="BF958" s="385"/>
      <c r="BG958" s="475"/>
      <c r="BH958" s="395"/>
      <c r="BI958" s="395" t="e">
        <f t="shared" si="852"/>
        <v>#DIV/0!</v>
      </c>
    </row>
    <row r="959" spans="1:61" s="358" customFormat="1" ht="19.2" x14ac:dyDescent="0.3">
      <c r="A959" s="359" t="s">
        <v>1949</v>
      </c>
      <c r="B959" s="537" t="s">
        <v>1856</v>
      </c>
      <c r="C959" s="546" t="s">
        <v>835</v>
      </c>
      <c r="D959" s="360">
        <v>0.22</v>
      </c>
      <c r="E959" s="393"/>
      <c r="F959" s="523">
        <v>1</v>
      </c>
      <c r="G959" s="393"/>
      <c r="H959" s="544">
        <v>6.8894399999999996</v>
      </c>
      <c r="I959" s="394">
        <v>6.0024899999999999</v>
      </c>
      <c r="J959" s="394">
        <v>5.2083300000000001</v>
      </c>
      <c r="K959" s="394"/>
      <c r="L959" s="394"/>
      <c r="M959" s="394">
        <v>0</v>
      </c>
      <c r="N959" s="394">
        <v>0</v>
      </c>
      <c r="O959" s="394">
        <v>0.20676</v>
      </c>
      <c r="P959" s="394">
        <v>5.2083300000000001</v>
      </c>
      <c r="Q959" s="394"/>
      <c r="R959" s="381" t="s">
        <v>167</v>
      </c>
      <c r="S959" s="408" t="s">
        <v>175</v>
      </c>
      <c r="T959" s="385"/>
      <c r="U959" s="475">
        <v>537</v>
      </c>
      <c r="V959" s="395"/>
      <c r="W959" s="395">
        <f t="shared" si="851"/>
        <v>6.8894399999999996</v>
      </c>
      <c r="X959" s="393"/>
      <c r="Y959" s="523"/>
      <c r="Z959" s="393"/>
      <c r="AA959" s="544"/>
      <c r="AB959" s="394"/>
      <c r="AC959" s="394"/>
      <c r="AD959" s="394"/>
      <c r="AE959" s="394"/>
      <c r="AF959" s="394"/>
      <c r="AG959" s="394"/>
      <c r="AH959" s="394"/>
      <c r="AI959" s="394"/>
      <c r="AJ959" s="394"/>
      <c r="AK959" s="381"/>
      <c r="AL959" s="408"/>
      <c r="AM959" s="385"/>
      <c r="AN959" s="475"/>
      <c r="AO959" s="395"/>
      <c r="AP959" s="395" t="e">
        <f t="shared" si="850"/>
        <v>#DIV/0!</v>
      </c>
      <c r="AQ959" s="393"/>
      <c r="AR959" s="523"/>
      <c r="AS959" s="393"/>
      <c r="AT959" s="544"/>
      <c r="AU959" s="394"/>
      <c r="AV959" s="394"/>
      <c r="AW959" s="394"/>
      <c r="AX959" s="394"/>
      <c r="AY959" s="394"/>
      <c r="AZ959" s="394"/>
      <c r="BA959" s="394"/>
      <c r="BB959" s="394"/>
      <c r="BC959" s="394"/>
      <c r="BD959" s="381"/>
      <c r="BE959" s="408"/>
      <c r="BF959" s="385"/>
      <c r="BG959" s="475"/>
      <c r="BH959" s="395"/>
      <c r="BI959" s="395" t="e">
        <f t="shared" si="852"/>
        <v>#DIV/0!</v>
      </c>
    </row>
    <row r="960" spans="1:61" s="358" customFormat="1" ht="19.2" x14ac:dyDescent="0.3">
      <c r="A960" s="359" t="s">
        <v>276</v>
      </c>
      <c r="B960" s="537" t="s">
        <v>1436</v>
      </c>
      <c r="C960" s="546" t="s">
        <v>836</v>
      </c>
      <c r="D960" s="360">
        <v>0.22</v>
      </c>
      <c r="E960" s="393"/>
      <c r="F960" s="523">
        <v>1</v>
      </c>
      <c r="G960" s="393"/>
      <c r="H960" s="544">
        <v>6.8894000000000002</v>
      </c>
      <c r="I960" s="394">
        <v>6.0024899999999999</v>
      </c>
      <c r="J960" s="394">
        <v>5.2083300000000001</v>
      </c>
      <c r="K960" s="394"/>
      <c r="L960" s="394"/>
      <c r="M960" s="394">
        <v>0</v>
      </c>
      <c r="N960" s="394">
        <v>0</v>
      </c>
      <c r="O960" s="394">
        <v>0.20676</v>
      </c>
      <c r="P960" s="394">
        <v>5.2083300000000001</v>
      </c>
      <c r="Q960" s="394"/>
      <c r="R960" s="381" t="s">
        <v>167</v>
      </c>
      <c r="S960" s="408" t="s">
        <v>175</v>
      </c>
      <c r="T960" s="385"/>
      <c r="U960" s="475">
        <v>538</v>
      </c>
      <c r="V960" s="395"/>
      <c r="W960" s="395">
        <f t="shared" si="851"/>
        <v>6.8894000000000002</v>
      </c>
      <c r="X960" s="393"/>
      <c r="Y960" s="523"/>
      <c r="Z960" s="393"/>
      <c r="AA960" s="544"/>
      <c r="AB960" s="394"/>
      <c r="AC960" s="394"/>
      <c r="AD960" s="394"/>
      <c r="AE960" s="394"/>
      <c r="AF960" s="394"/>
      <c r="AG960" s="394"/>
      <c r="AH960" s="394"/>
      <c r="AI960" s="394"/>
      <c r="AJ960" s="394"/>
      <c r="AK960" s="381"/>
      <c r="AL960" s="408"/>
      <c r="AM960" s="385"/>
      <c r="AN960" s="475"/>
      <c r="AO960" s="395"/>
      <c r="AP960" s="395" t="e">
        <f t="shared" si="850"/>
        <v>#DIV/0!</v>
      </c>
      <c r="AQ960" s="393"/>
      <c r="AR960" s="523"/>
      <c r="AS960" s="393"/>
      <c r="AT960" s="544"/>
      <c r="AU960" s="394"/>
      <c r="AV960" s="394"/>
      <c r="AW960" s="394"/>
      <c r="AX960" s="394"/>
      <c r="AY960" s="394"/>
      <c r="AZ960" s="394"/>
      <c r="BA960" s="394"/>
      <c r="BB960" s="394"/>
      <c r="BC960" s="394"/>
      <c r="BD960" s="381"/>
      <c r="BE960" s="408"/>
      <c r="BF960" s="385"/>
      <c r="BG960" s="475"/>
      <c r="BH960" s="395"/>
      <c r="BI960" s="395" t="e">
        <f t="shared" si="852"/>
        <v>#DIV/0!</v>
      </c>
    </row>
    <row r="961" spans="1:61" s="358" customFormat="1" ht="19.2" x14ac:dyDescent="0.3">
      <c r="A961" s="359" t="s">
        <v>1953</v>
      </c>
      <c r="B961" s="537" t="s">
        <v>1437</v>
      </c>
      <c r="C961" s="546" t="s">
        <v>837</v>
      </c>
      <c r="D961" s="360">
        <v>0.22</v>
      </c>
      <c r="E961" s="393"/>
      <c r="F961" s="523">
        <v>1</v>
      </c>
      <c r="G961" s="393"/>
      <c r="H961" s="544">
        <v>6.8894399999999996</v>
      </c>
      <c r="I961" s="394">
        <v>6.0024899999999999</v>
      </c>
      <c r="J961" s="394">
        <v>5.2083300000000001</v>
      </c>
      <c r="K961" s="394"/>
      <c r="L961" s="394"/>
      <c r="M961" s="394">
        <v>0</v>
      </c>
      <c r="N961" s="394">
        <v>0</v>
      </c>
      <c r="O961" s="394">
        <v>0.20676</v>
      </c>
      <c r="P961" s="394">
        <v>5.2083300000000001</v>
      </c>
      <c r="Q961" s="394"/>
      <c r="R961" s="381" t="s">
        <v>167</v>
      </c>
      <c r="S961" s="408" t="s">
        <v>175</v>
      </c>
      <c r="T961" s="385"/>
      <c r="U961" s="475">
        <v>539</v>
      </c>
      <c r="V961" s="395"/>
      <c r="W961" s="395">
        <f t="shared" si="851"/>
        <v>6.8894399999999996</v>
      </c>
      <c r="X961" s="393"/>
      <c r="Y961" s="523"/>
      <c r="Z961" s="393"/>
      <c r="AA961" s="544"/>
      <c r="AB961" s="394"/>
      <c r="AC961" s="394"/>
      <c r="AD961" s="394"/>
      <c r="AE961" s="394"/>
      <c r="AF961" s="394"/>
      <c r="AG961" s="394"/>
      <c r="AH961" s="394"/>
      <c r="AI961" s="394"/>
      <c r="AJ961" s="394"/>
      <c r="AK961" s="381"/>
      <c r="AL961" s="408"/>
      <c r="AM961" s="385"/>
      <c r="AN961" s="475"/>
      <c r="AO961" s="395"/>
      <c r="AP961" s="395" t="e">
        <f t="shared" si="850"/>
        <v>#DIV/0!</v>
      </c>
      <c r="AQ961" s="393"/>
      <c r="AR961" s="523"/>
      <c r="AS961" s="393"/>
      <c r="AT961" s="544"/>
      <c r="AU961" s="394"/>
      <c r="AV961" s="394"/>
      <c r="AW961" s="394"/>
      <c r="AX961" s="394"/>
      <c r="AY961" s="394"/>
      <c r="AZ961" s="394"/>
      <c r="BA961" s="394"/>
      <c r="BB961" s="394"/>
      <c r="BC961" s="394"/>
      <c r="BD961" s="381"/>
      <c r="BE961" s="408"/>
      <c r="BF961" s="385"/>
      <c r="BG961" s="475"/>
      <c r="BH961" s="395"/>
      <c r="BI961" s="395" t="e">
        <f t="shared" si="852"/>
        <v>#DIV/0!</v>
      </c>
    </row>
    <row r="962" spans="1:61" s="358" customFormat="1" ht="19.2" x14ac:dyDescent="0.3">
      <c r="A962" s="359" t="s">
        <v>178</v>
      </c>
      <c r="B962" s="572" t="s">
        <v>3558</v>
      </c>
      <c r="C962" s="546" t="s">
        <v>2617</v>
      </c>
      <c r="D962" s="360">
        <v>0.22</v>
      </c>
      <c r="E962" s="393"/>
      <c r="F962" s="523"/>
      <c r="G962" s="393"/>
      <c r="H962" s="573"/>
      <c r="I962" s="394"/>
      <c r="J962" s="394"/>
      <c r="K962" s="394"/>
      <c r="L962" s="394"/>
      <c r="M962" s="394"/>
      <c r="N962" s="394"/>
      <c r="O962" s="394"/>
      <c r="P962" s="394"/>
      <c r="Q962" s="394"/>
      <c r="R962" s="381"/>
      <c r="S962" s="408"/>
      <c r="T962" s="385"/>
      <c r="U962" s="475"/>
      <c r="V962" s="395"/>
      <c r="W962" s="395"/>
      <c r="X962" s="393"/>
      <c r="Y962" s="523">
        <v>1</v>
      </c>
      <c r="Z962" s="393"/>
      <c r="AA962" s="573">
        <v>21.140409999999999</v>
      </c>
      <c r="AB962" s="394">
        <v>17.341529999999999</v>
      </c>
      <c r="AC962" s="394">
        <v>5.20831</v>
      </c>
      <c r="AD962" s="394"/>
      <c r="AE962" s="394"/>
      <c r="AF962" s="394">
        <v>0</v>
      </c>
      <c r="AG962" s="394">
        <v>0</v>
      </c>
      <c r="AH962" s="394">
        <v>0.88563000000000003</v>
      </c>
      <c r="AI962" s="394">
        <v>5.20831</v>
      </c>
      <c r="AJ962" s="394"/>
      <c r="AK962" s="381" t="s">
        <v>167</v>
      </c>
      <c r="AL962" s="408" t="s">
        <v>175</v>
      </c>
      <c r="AM962" s="385"/>
      <c r="AN962" s="475">
        <v>509</v>
      </c>
      <c r="AO962" s="395"/>
      <c r="AP962" s="395">
        <f t="shared" si="850"/>
        <v>21.140409999999999</v>
      </c>
      <c r="AQ962" s="393"/>
      <c r="AR962" s="523"/>
      <c r="AS962" s="393"/>
      <c r="AT962" s="573"/>
      <c r="AU962" s="394"/>
      <c r="AV962" s="394"/>
      <c r="AW962" s="394"/>
      <c r="AX962" s="394"/>
      <c r="AY962" s="394"/>
      <c r="AZ962" s="394"/>
      <c r="BA962" s="394"/>
      <c r="BB962" s="394"/>
      <c r="BC962" s="394"/>
      <c r="BD962" s="381"/>
      <c r="BE962" s="408"/>
      <c r="BF962" s="385"/>
      <c r="BG962" s="475"/>
      <c r="BH962" s="395"/>
      <c r="BI962" s="395" t="e">
        <f t="shared" si="852"/>
        <v>#DIV/0!</v>
      </c>
    </row>
    <row r="963" spans="1:61" s="358" customFormat="1" ht="19.2" x14ac:dyDescent="0.3">
      <c r="A963" s="359" t="s">
        <v>1937</v>
      </c>
      <c r="B963" s="572" t="s">
        <v>3559</v>
      </c>
      <c r="C963" s="546" t="s">
        <v>2618</v>
      </c>
      <c r="D963" s="360">
        <v>0.22</v>
      </c>
      <c r="E963" s="393"/>
      <c r="F963" s="523"/>
      <c r="G963" s="393"/>
      <c r="H963" s="573"/>
      <c r="I963" s="394"/>
      <c r="J963" s="394"/>
      <c r="K963" s="394"/>
      <c r="L963" s="394"/>
      <c r="M963" s="394"/>
      <c r="N963" s="394"/>
      <c r="O963" s="394"/>
      <c r="P963" s="394"/>
      <c r="Q963" s="394"/>
      <c r="R963" s="381"/>
      <c r="S963" s="408"/>
      <c r="T963" s="385"/>
      <c r="U963" s="475"/>
      <c r="V963" s="395"/>
      <c r="W963" s="395"/>
      <c r="X963" s="393"/>
      <c r="Y963" s="523">
        <v>1</v>
      </c>
      <c r="Z963" s="393"/>
      <c r="AA963" s="573">
        <v>9.0135199999999998</v>
      </c>
      <c r="AB963" s="394">
        <v>6.59049</v>
      </c>
      <c r="AC963" s="394">
        <v>5.2083199999999996</v>
      </c>
      <c r="AD963" s="394"/>
      <c r="AE963" s="394"/>
      <c r="AF963" s="394">
        <v>0</v>
      </c>
      <c r="AG963" s="394">
        <v>0</v>
      </c>
      <c r="AH963" s="394">
        <v>0.56488000000000005</v>
      </c>
      <c r="AI963" s="394">
        <v>5.2083199999999996</v>
      </c>
      <c r="AJ963" s="394"/>
      <c r="AK963" s="381" t="s">
        <v>167</v>
      </c>
      <c r="AL963" s="408" t="s">
        <v>175</v>
      </c>
      <c r="AM963" s="385"/>
      <c r="AN963" s="475">
        <v>511</v>
      </c>
      <c r="AO963" s="395"/>
      <c r="AP963" s="395">
        <f t="shared" si="850"/>
        <v>9.0135199999999998</v>
      </c>
      <c r="AQ963" s="393"/>
      <c r="AR963" s="523"/>
      <c r="AS963" s="393"/>
      <c r="AT963" s="573"/>
      <c r="AU963" s="394"/>
      <c r="AV963" s="394"/>
      <c r="AW963" s="394"/>
      <c r="AX963" s="394"/>
      <c r="AY963" s="394"/>
      <c r="AZ963" s="394"/>
      <c r="BA963" s="394"/>
      <c r="BB963" s="394"/>
      <c r="BC963" s="394"/>
      <c r="BD963" s="381"/>
      <c r="BE963" s="408"/>
      <c r="BF963" s="385"/>
      <c r="BG963" s="475"/>
      <c r="BH963" s="395"/>
      <c r="BI963" s="395" t="e">
        <f t="shared" si="852"/>
        <v>#DIV/0!</v>
      </c>
    </row>
    <row r="964" spans="1:61" s="358" customFormat="1" ht="19.2" x14ac:dyDescent="0.3">
      <c r="A964" s="359" t="s">
        <v>328</v>
      </c>
      <c r="B964" s="572" t="s">
        <v>3560</v>
      </c>
      <c r="C964" s="546" t="s">
        <v>2619</v>
      </c>
      <c r="D964" s="360">
        <v>0.22</v>
      </c>
      <c r="E964" s="393"/>
      <c r="F964" s="523"/>
      <c r="G964" s="393"/>
      <c r="H964" s="573"/>
      <c r="I964" s="394"/>
      <c r="J964" s="394"/>
      <c r="K964" s="394"/>
      <c r="L964" s="394"/>
      <c r="M964" s="394"/>
      <c r="N964" s="394"/>
      <c r="O964" s="394"/>
      <c r="P964" s="394"/>
      <c r="Q964" s="394"/>
      <c r="R964" s="381"/>
      <c r="S964" s="408"/>
      <c r="T964" s="385"/>
      <c r="U964" s="475"/>
      <c r="V964" s="395"/>
      <c r="W964" s="395"/>
      <c r="X964" s="393"/>
      <c r="Y964" s="523">
        <v>1</v>
      </c>
      <c r="Z964" s="393"/>
      <c r="AA964" s="573">
        <v>9.0135199999999998</v>
      </c>
      <c r="AB964" s="394">
        <v>6.59049</v>
      </c>
      <c r="AC964" s="394">
        <v>5.2083199999999996</v>
      </c>
      <c r="AD964" s="394"/>
      <c r="AE964" s="394"/>
      <c r="AF964" s="394">
        <v>0</v>
      </c>
      <c r="AG964" s="394">
        <v>0</v>
      </c>
      <c r="AH964" s="394">
        <v>0.56488000000000005</v>
      </c>
      <c r="AI964" s="394">
        <v>5.2083199999999996</v>
      </c>
      <c r="AJ964" s="394"/>
      <c r="AK964" s="381" t="s">
        <v>167</v>
      </c>
      <c r="AL964" s="408" t="s">
        <v>175</v>
      </c>
      <c r="AM964" s="385"/>
      <c r="AN964" s="475">
        <v>512</v>
      </c>
      <c r="AO964" s="395"/>
      <c r="AP964" s="395">
        <f t="shared" si="850"/>
        <v>9.0135199999999998</v>
      </c>
      <c r="AQ964" s="393"/>
      <c r="AR964" s="523"/>
      <c r="AS964" s="393"/>
      <c r="AT964" s="573"/>
      <c r="AU964" s="394"/>
      <c r="AV964" s="394"/>
      <c r="AW964" s="394"/>
      <c r="AX964" s="394"/>
      <c r="AY964" s="394"/>
      <c r="AZ964" s="394"/>
      <c r="BA964" s="394"/>
      <c r="BB964" s="394"/>
      <c r="BC964" s="394"/>
      <c r="BD964" s="381"/>
      <c r="BE964" s="408"/>
      <c r="BF964" s="385"/>
      <c r="BG964" s="475"/>
      <c r="BH964" s="395"/>
      <c r="BI964" s="395" t="e">
        <f t="shared" si="852"/>
        <v>#DIV/0!</v>
      </c>
    </row>
    <row r="965" spans="1:61" s="358" customFormat="1" ht="19.2" x14ac:dyDescent="0.3">
      <c r="A965" s="359" t="s">
        <v>186</v>
      </c>
      <c r="B965" s="572" t="s">
        <v>3561</v>
      </c>
      <c r="C965" s="546" t="s">
        <v>2620</v>
      </c>
      <c r="D965" s="360">
        <v>0.22</v>
      </c>
      <c r="E965" s="393"/>
      <c r="F965" s="523"/>
      <c r="G965" s="393"/>
      <c r="H965" s="573"/>
      <c r="I965" s="394"/>
      <c r="J965" s="394"/>
      <c r="K965" s="394"/>
      <c r="L965" s="394"/>
      <c r="M965" s="394"/>
      <c r="N965" s="394"/>
      <c r="O965" s="394"/>
      <c r="P965" s="394"/>
      <c r="Q965" s="394"/>
      <c r="R965" s="381"/>
      <c r="S965" s="408"/>
      <c r="T965" s="385"/>
      <c r="U965" s="475"/>
      <c r="V965" s="395"/>
      <c r="W965" s="395"/>
      <c r="X965" s="393"/>
      <c r="Y965" s="523">
        <v>1</v>
      </c>
      <c r="Z965" s="393"/>
      <c r="AA965" s="573">
        <v>8.9424700000000001</v>
      </c>
      <c r="AB965" s="394">
        <v>6.5194400000000003</v>
      </c>
      <c r="AC965" s="394">
        <v>5.20831</v>
      </c>
      <c r="AD965" s="394"/>
      <c r="AE965" s="394"/>
      <c r="AF965" s="394">
        <v>0</v>
      </c>
      <c r="AG965" s="394">
        <v>0</v>
      </c>
      <c r="AH965" s="394">
        <v>0.56488000000000005</v>
      </c>
      <c r="AI965" s="394">
        <v>5.20831</v>
      </c>
      <c r="AJ965" s="394"/>
      <c r="AK965" s="381" t="s">
        <v>167</v>
      </c>
      <c r="AL965" s="408" t="s">
        <v>175</v>
      </c>
      <c r="AM965" s="385"/>
      <c r="AN965" s="475">
        <v>513</v>
      </c>
      <c r="AO965" s="395"/>
      <c r="AP965" s="395">
        <f t="shared" si="850"/>
        <v>8.9424700000000001</v>
      </c>
      <c r="AQ965" s="393"/>
      <c r="AR965" s="523"/>
      <c r="AS965" s="393"/>
      <c r="AT965" s="573"/>
      <c r="AU965" s="394"/>
      <c r="AV965" s="394"/>
      <c r="AW965" s="394"/>
      <c r="AX965" s="394"/>
      <c r="AY965" s="394"/>
      <c r="AZ965" s="394"/>
      <c r="BA965" s="394"/>
      <c r="BB965" s="394"/>
      <c r="BC965" s="394"/>
      <c r="BD965" s="381"/>
      <c r="BE965" s="408"/>
      <c r="BF965" s="385"/>
      <c r="BG965" s="475"/>
      <c r="BH965" s="395"/>
      <c r="BI965" s="395" t="e">
        <f t="shared" si="852"/>
        <v>#DIV/0!</v>
      </c>
    </row>
    <row r="966" spans="1:61" s="358" customFormat="1" ht="19.2" x14ac:dyDescent="0.3">
      <c r="A966" s="359" t="s">
        <v>189</v>
      </c>
      <c r="B966" s="572" t="s">
        <v>661</v>
      </c>
      <c r="C966" s="546" t="s">
        <v>544</v>
      </c>
      <c r="D966" s="360">
        <v>0.22</v>
      </c>
      <c r="E966" s="393"/>
      <c r="F966" s="523"/>
      <c r="G966" s="393"/>
      <c r="H966" s="573"/>
      <c r="I966" s="394"/>
      <c r="J966" s="394"/>
      <c r="K966" s="394"/>
      <c r="L966" s="394"/>
      <c r="M966" s="394"/>
      <c r="N966" s="394"/>
      <c r="O966" s="394"/>
      <c r="P966" s="394"/>
      <c r="Q966" s="394"/>
      <c r="R966" s="381"/>
      <c r="S966" s="408"/>
      <c r="T966" s="385"/>
      <c r="U966" s="475"/>
      <c r="V966" s="395"/>
      <c r="W966" s="395"/>
      <c r="X966" s="393"/>
      <c r="Y966" s="523">
        <v>1</v>
      </c>
      <c r="Z966" s="393"/>
      <c r="AA966" s="573">
        <v>8.9424600000000005</v>
      </c>
      <c r="AB966" s="394">
        <v>6.5194299999999998</v>
      </c>
      <c r="AC966" s="394">
        <v>5.20831</v>
      </c>
      <c r="AD966" s="394"/>
      <c r="AE966" s="394"/>
      <c r="AF966" s="394">
        <v>0</v>
      </c>
      <c r="AG966" s="394">
        <v>0</v>
      </c>
      <c r="AH966" s="394">
        <v>0.56488000000000005</v>
      </c>
      <c r="AI966" s="394">
        <v>5.20831</v>
      </c>
      <c r="AJ966" s="394"/>
      <c r="AK966" s="381" t="s">
        <v>167</v>
      </c>
      <c r="AL966" s="408" t="s">
        <v>175</v>
      </c>
      <c r="AM966" s="385"/>
      <c r="AN966" s="475">
        <v>514</v>
      </c>
      <c r="AO966" s="395"/>
      <c r="AP966" s="395">
        <f t="shared" si="850"/>
        <v>8.9424600000000005</v>
      </c>
      <c r="AQ966" s="393"/>
      <c r="AR966" s="523"/>
      <c r="AS966" s="393"/>
      <c r="AT966" s="573"/>
      <c r="AU966" s="394"/>
      <c r="AV966" s="394"/>
      <c r="AW966" s="394"/>
      <c r="AX966" s="394"/>
      <c r="AY966" s="394"/>
      <c r="AZ966" s="394"/>
      <c r="BA966" s="394"/>
      <c r="BB966" s="394"/>
      <c r="BC966" s="394"/>
      <c r="BD966" s="381"/>
      <c r="BE966" s="408"/>
      <c r="BF966" s="385"/>
      <c r="BG966" s="475"/>
      <c r="BH966" s="395"/>
      <c r="BI966" s="395" t="e">
        <f t="shared" si="852"/>
        <v>#DIV/0!</v>
      </c>
    </row>
    <row r="967" spans="1:61" s="358" customFormat="1" ht="19.2" x14ac:dyDescent="0.3">
      <c r="A967" s="359" t="s">
        <v>267</v>
      </c>
      <c r="B967" s="572" t="s">
        <v>3562</v>
      </c>
      <c r="C967" s="546" t="s">
        <v>2621</v>
      </c>
      <c r="D967" s="360">
        <v>0.22</v>
      </c>
      <c r="E967" s="393"/>
      <c r="F967" s="523"/>
      <c r="G967" s="393"/>
      <c r="H967" s="573"/>
      <c r="I967" s="394"/>
      <c r="J967" s="394"/>
      <c r="K967" s="394"/>
      <c r="L967" s="394"/>
      <c r="M967" s="394"/>
      <c r="N967" s="394"/>
      <c r="O967" s="394"/>
      <c r="P967" s="394"/>
      <c r="Q967" s="394"/>
      <c r="R967" s="381"/>
      <c r="S967" s="408"/>
      <c r="T967" s="385"/>
      <c r="U967" s="475"/>
      <c r="V967" s="395"/>
      <c r="W967" s="395"/>
      <c r="X967" s="393"/>
      <c r="Y967" s="523">
        <v>1</v>
      </c>
      <c r="Z967" s="393"/>
      <c r="AA967" s="573">
        <v>8.9424600000000005</v>
      </c>
      <c r="AB967" s="394">
        <v>6.5194299999999998</v>
      </c>
      <c r="AC967" s="394">
        <v>5.20831</v>
      </c>
      <c r="AD967" s="394"/>
      <c r="AE967" s="394"/>
      <c r="AF967" s="394">
        <v>0</v>
      </c>
      <c r="AG967" s="394">
        <v>0</v>
      </c>
      <c r="AH967" s="394">
        <v>0.56488000000000005</v>
      </c>
      <c r="AI967" s="394">
        <v>5.20831</v>
      </c>
      <c r="AJ967" s="394"/>
      <c r="AK967" s="381" t="s">
        <v>167</v>
      </c>
      <c r="AL967" s="408" t="s">
        <v>175</v>
      </c>
      <c r="AM967" s="385"/>
      <c r="AN967" s="475">
        <v>515</v>
      </c>
      <c r="AO967" s="395"/>
      <c r="AP967" s="395">
        <f t="shared" si="850"/>
        <v>8.9424600000000005</v>
      </c>
      <c r="AQ967" s="393"/>
      <c r="AR967" s="523"/>
      <c r="AS967" s="393"/>
      <c r="AT967" s="573"/>
      <c r="AU967" s="394"/>
      <c r="AV967" s="394"/>
      <c r="AW967" s="394"/>
      <c r="AX967" s="394"/>
      <c r="AY967" s="394"/>
      <c r="AZ967" s="394"/>
      <c r="BA967" s="394"/>
      <c r="BB967" s="394"/>
      <c r="BC967" s="394"/>
      <c r="BD967" s="381"/>
      <c r="BE967" s="408"/>
      <c r="BF967" s="385"/>
      <c r="BG967" s="475"/>
      <c r="BH967" s="395"/>
      <c r="BI967" s="395" t="e">
        <f t="shared" si="852"/>
        <v>#DIV/0!</v>
      </c>
    </row>
    <row r="968" spans="1:61" s="358" customFormat="1" ht="19.2" x14ac:dyDescent="0.3">
      <c r="A968" s="359" t="s">
        <v>268</v>
      </c>
      <c r="B968" s="572" t="s">
        <v>3563</v>
      </c>
      <c r="C968" s="546" t="s">
        <v>2622</v>
      </c>
      <c r="D968" s="360">
        <v>0.22</v>
      </c>
      <c r="E968" s="393"/>
      <c r="F968" s="523"/>
      <c r="G968" s="393"/>
      <c r="H968" s="573"/>
      <c r="I968" s="394"/>
      <c r="J968" s="394"/>
      <c r="K968" s="394"/>
      <c r="L968" s="394"/>
      <c r="M968" s="394"/>
      <c r="N968" s="394"/>
      <c r="O968" s="394"/>
      <c r="P968" s="394"/>
      <c r="Q968" s="394"/>
      <c r="R968" s="381"/>
      <c r="S968" s="408"/>
      <c r="T968" s="385"/>
      <c r="U968" s="475"/>
      <c r="V968" s="395"/>
      <c r="W968" s="395"/>
      <c r="X968" s="393"/>
      <c r="Y968" s="523">
        <v>1</v>
      </c>
      <c r="Z968" s="393"/>
      <c r="AA968" s="573">
        <v>9.0135299999999994</v>
      </c>
      <c r="AB968" s="394">
        <v>6.5904999999999996</v>
      </c>
      <c r="AC968" s="394">
        <v>5.2083199999999996</v>
      </c>
      <c r="AD968" s="394"/>
      <c r="AE968" s="394"/>
      <c r="AF968" s="394">
        <v>0</v>
      </c>
      <c r="AG968" s="394">
        <v>0</v>
      </c>
      <c r="AH968" s="394">
        <v>0.56488000000000005</v>
      </c>
      <c r="AI968" s="394">
        <v>5.2083199999999996</v>
      </c>
      <c r="AJ968" s="394"/>
      <c r="AK968" s="381" t="s">
        <v>167</v>
      </c>
      <c r="AL968" s="408" t="s">
        <v>175</v>
      </c>
      <c r="AM968" s="385"/>
      <c r="AN968" s="475">
        <v>516</v>
      </c>
      <c r="AO968" s="395"/>
      <c r="AP968" s="395">
        <f t="shared" si="850"/>
        <v>9.0135299999999994</v>
      </c>
      <c r="AQ968" s="393"/>
      <c r="AR968" s="523"/>
      <c r="AS968" s="393"/>
      <c r="AT968" s="573"/>
      <c r="AU968" s="394"/>
      <c r="AV968" s="394"/>
      <c r="AW968" s="394"/>
      <c r="AX968" s="394"/>
      <c r="AY968" s="394"/>
      <c r="AZ968" s="394"/>
      <c r="BA968" s="394"/>
      <c r="BB968" s="394"/>
      <c r="BC968" s="394"/>
      <c r="BD968" s="381"/>
      <c r="BE968" s="408"/>
      <c r="BF968" s="385"/>
      <c r="BG968" s="475"/>
      <c r="BH968" s="395"/>
      <c r="BI968" s="395" t="e">
        <f t="shared" si="852"/>
        <v>#DIV/0!</v>
      </c>
    </row>
    <row r="969" spans="1:61" s="358" customFormat="1" ht="19.2" x14ac:dyDescent="0.3">
      <c r="A969" s="359" t="s">
        <v>269</v>
      </c>
      <c r="B969" s="572" t="s">
        <v>3564</v>
      </c>
      <c r="C969" s="546" t="s">
        <v>2623</v>
      </c>
      <c r="D969" s="360">
        <v>0.22</v>
      </c>
      <c r="E969" s="393"/>
      <c r="F969" s="523"/>
      <c r="G969" s="393"/>
      <c r="H969" s="573"/>
      <c r="I969" s="394"/>
      <c r="J969" s="394"/>
      <c r="K969" s="394"/>
      <c r="L969" s="394"/>
      <c r="M969" s="394"/>
      <c r="N969" s="394"/>
      <c r="O969" s="394"/>
      <c r="P969" s="394"/>
      <c r="Q969" s="394"/>
      <c r="R969" s="381"/>
      <c r="S969" s="408"/>
      <c r="T969" s="385"/>
      <c r="U969" s="475"/>
      <c r="V969" s="395"/>
      <c r="W969" s="395"/>
      <c r="X969" s="393"/>
      <c r="Y969" s="523">
        <v>1</v>
      </c>
      <c r="Z969" s="393"/>
      <c r="AA969" s="573">
        <v>9.0135199999999998</v>
      </c>
      <c r="AB969" s="394">
        <v>6.59049</v>
      </c>
      <c r="AC969" s="394">
        <v>5.2083199999999996</v>
      </c>
      <c r="AD969" s="394"/>
      <c r="AE969" s="394"/>
      <c r="AF969" s="394">
        <v>0</v>
      </c>
      <c r="AG969" s="394">
        <v>0</v>
      </c>
      <c r="AH969" s="394">
        <v>0.56488000000000005</v>
      </c>
      <c r="AI969" s="394">
        <v>5.2083199999999996</v>
      </c>
      <c r="AJ969" s="394"/>
      <c r="AK969" s="381" t="s">
        <v>167</v>
      </c>
      <c r="AL969" s="408" t="s">
        <v>175</v>
      </c>
      <c r="AM969" s="385"/>
      <c r="AN969" s="475">
        <v>517</v>
      </c>
      <c r="AO969" s="395"/>
      <c r="AP969" s="395">
        <f t="shared" si="850"/>
        <v>9.0135199999999998</v>
      </c>
      <c r="AQ969" s="393"/>
      <c r="AR969" s="523"/>
      <c r="AS969" s="393"/>
      <c r="AT969" s="573"/>
      <c r="AU969" s="394"/>
      <c r="AV969" s="394"/>
      <c r="AW969" s="394"/>
      <c r="AX969" s="394"/>
      <c r="AY969" s="394"/>
      <c r="AZ969" s="394"/>
      <c r="BA969" s="394"/>
      <c r="BB969" s="394"/>
      <c r="BC969" s="394"/>
      <c r="BD969" s="381"/>
      <c r="BE969" s="408"/>
      <c r="BF969" s="385"/>
      <c r="BG969" s="475"/>
      <c r="BH969" s="395"/>
      <c r="BI969" s="395" t="e">
        <f t="shared" si="852"/>
        <v>#DIV/0!</v>
      </c>
    </row>
    <row r="970" spans="1:61" s="358" customFormat="1" ht="19.2" x14ac:dyDescent="0.3">
      <c r="A970" s="359" t="s">
        <v>270</v>
      </c>
      <c r="B970" s="572" t="s">
        <v>658</v>
      </c>
      <c r="C970" s="546" t="s">
        <v>541</v>
      </c>
      <c r="D970" s="360">
        <v>0.22</v>
      </c>
      <c r="E970" s="393"/>
      <c r="F970" s="523"/>
      <c r="G970" s="393"/>
      <c r="H970" s="573"/>
      <c r="I970" s="394"/>
      <c r="J970" s="394"/>
      <c r="K970" s="394"/>
      <c r="L970" s="394"/>
      <c r="M970" s="394"/>
      <c r="N970" s="394"/>
      <c r="O970" s="394"/>
      <c r="P970" s="394"/>
      <c r="Q970" s="394"/>
      <c r="R970" s="381"/>
      <c r="S970" s="408"/>
      <c r="T970" s="385"/>
      <c r="U970" s="475"/>
      <c r="V970" s="395"/>
      <c r="W970" s="395"/>
      <c r="X970" s="393"/>
      <c r="Y970" s="523">
        <v>1</v>
      </c>
      <c r="Z970" s="393"/>
      <c r="AA970" s="573">
        <v>9.0135199999999998</v>
      </c>
      <c r="AB970" s="394">
        <v>6.59049</v>
      </c>
      <c r="AC970" s="394">
        <v>5.2083199999999996</v>
      </c>
      <c r="AD970" s="394"/>
      <c r="AE970" s="394"/>
      <c r="AF970" s="394">
        <v>0</v>
      </c>
      <c r="AG970" s="394">
        <v>0</v>
      </c>
      <c r="AH970" s="394">
        <v>0.56488000000000005</v>
      </c>
      <c r="AI970" s="394">
        <v>5.2083199999999996</v>
      </c>
      <c r="AJ970" s="394"/>
      <c r="AK970" s="381" t="s">
        <v>167</v>
      </c>
      <c r="AL970" s="408" t="s">
        <v>175</v>
      </c>
      <c r="AM970" s="385"/>
      <c r="AN970" s="475">
        <v>518</v>
      </c>
      <c r="AO970" s="395"/>
      <c r="AP970" s="395">
        <f t="shared" si="850"/>
        <v>9.0135199999999998</v>
      </c>
      <c r="AQ970" s="393"/>
      <c r="AR970" s="523"/>
      <c r="AS970" s="393"/>
      <c r="AT970" s="573"/>
      <c r="AU970" s="394"/>
      <c r="AV970" s="394"/>
      <c r="AW970" s="394"/>
      <c r="AX970" s="394"/>
      <c r="AY970" s="394"/>
      <c r="AZ970" s="394"/>
      <c r="BA970" s="394"/>
      <c r="BB970" s="394"/>
      <c r="BC970" s="394"/>
      <c r="BD970" s="381"/>
      <c r="BE970" s="408"/>
      <c r="BF970" s="385"/>
      <c r="BG970" s="475"/>
      <c r="BH970" s="395"/>
      <c r="BI970" s="395" t="e">
        <f t="shared" si="852"/>
        <v>#DIV/0!</v>
      </c>
    </row>
    <row r="971" spans="1:61" s="358" customFormat="1" ht="19.2" x14ac:dyDescent="0.3">
      <c r="A971" s="359" t="s">
        <v>271</v>
      </c>
      <c r="B971" s="572" t="s">
        <v>658</v>
      </c>
      <c r="C971" s="546" t="s">
        <v>540</v>
      </c>
      <c r="D971" s="360">
        <v>0.22</v>
      </c>
      <c r="E971" s="393"/>
      <c r="F971" s="523"/>
      <c r="G971" s="393"/>
      <c r="H971" s="573"/>
      <c r="I971" s="394"/>
      <c r="J971" s="394"/>
      <c r="K971" s="394"/>
      <c r="L971" s="394"/>
      <c r="M971" s="394"/>
      <c r="N971" s="394"/>
      <c r="O971" s="394"/>
      <c r="P971" s="394"/>
      <c r="Q971" s="394"/>
      <c r="R971" s="381"/>
      <c r="S971" s="408"/>
      <c r="T971" s="385"/>
      <c r="U971" s="475"/>
      <c r="V971" s="395"/>
      <c r="W971" s="395"/>
      <c r="X971" s="393"/>
      <c r="Y971" s="523">
        <v>1</v>
      </c>
      <c r="Z971" s="393"/>
      <c r="AA971" s="573">
        <v>9.0135199999999998</v>
      </c>
      <c r="AB971" s="394">
        <v>6.59049</v>
      </c>
      <c r="AC971" s="394">
        <v>5.2083199999999996</v>
      </c>
      <c r="AD971" s="394"/>
      <c r="AE971" s="394"/>
      <c r="AF971" s="394">
        <v>0</v>
      </c>
      <c r="AG971" s="394">
        <v>0</v>
      </c>
      <c r="AH971" s="394">
        <v>0.56488000000000005</v>
      </c>
      <c r="AI971" s="394">
        <v>5.2083199999999996</v>
      </c>
      <c r="AJ971" s="394"/>
      <c r="AK971" s="381" t="s">
        <v>167</v>
      </c>
      <c r="AL971" s="408" t="s">
        <v>175</v>
      </c>
      <c r="AM971" s="385"/>
      <c r="AN971" s="475">
        <v>519</v>
      </c>
      <c r="AO971" s="395"/>
      <c r="AP971" s="395">
        <f t="shared" si="850"/>
        <v>9.0135199999999998</v>
      </c>
      <c r="AQ971" s="393"/>
      <c r="AR971" s="523"/>
      <c r="AS971" s="393"/>
      <c r="AT971" s="573"/>
      <c r="AU971" s="394"/>
      <c r="AV971" s="394"/>
      <c r="AW971" s="394"/>
      <c r="AX971" s="394"/>
      <c r="AY971" s="394"/>
      <c r="AZ971" s="394"/>
      <c r="BA971" s="394"/>
      <c r="BB971" s="394"/>
      <c r="BC971" s="394"/>
      <c r="BD971" s="381"/>
      <c r="BE971" s="408"/>
      <c r="BF971" s="385"/>
      <c r="BG971" s="475"/>
      <c r="BH971" s="395"/>
      <c r="BI971" s="395" t="e">
        <f t="shared" si="852"/>
        <v>#DIV/0!</v>
      </c>
    </row>
    <row r="972" spans="1:61" s="358" customFormat="1" ht="19.2" x14ac:dyDescent="0.3">
      <c r="A972" s="359" t="s">
        <v>272</v>
      </c>
      <c r="B972" s="572" t="s">
        <v>658</v>
      </c>
      <c r="C972" s="546" t="s">
        <v>538</v>
      </c>
      <c r="D972" s="360">
        <v>0.22</v>
      </c>
      <c r="E972" s="393"/>
      <c r="F972" s="523"/>
      <c r="G972" s="393"/>
      <c r="H972" s="573"/>
      <c r="I972" s="394"/>
      <c r="J972" s="394"/>
      <c r="K972" s="394"/>
      <c r="L972" s="394"/>
      <c r="M972" s="394"/>
      <c r="N972" s="394"/>
      <c r="O972" s="394"/>
      <c r="P972" s="394"/>
      <c r="Q972" s="394"/>
      <c r="R972" s="381"/>
      <c r="S972" s="408"/>
      <c r="T972" s="385"/>
      <c r="U972" s="475"/>
      <c r="V972" s="395"/>
      <c r="W972" s="395"/>
      <c r="X972" s="393"/>
      <c r="Y972" s="523">
        <v>1</v>
      </c>
      <c r="Z972" s="393"/>
      <c r="AA972" s="573">
        <v>8.5933600000000006</v>
      </c>
      <c r="AB972" s="394">
        <v>6.1703299999999999</v>
      </c>
      <c r="AC972" s="394">
        <v>5.20831</v>
      </c>
      <c r="AD972" s="394"/>
      <c r="AE972" s="394"/>
      <c r="AF972" s="394">
        <v>0</v>
      </c>
      <c r="AG972" s="394">
        <v>0</v>
      </c>
      <c r="AH972" s="394">
        <v>0.56488000000000005</v>
      </c>
      <c r="AI972" s="394">
        <v>5.20831</v>
      </c>
      <c r="AJ972" s="394"/>
      <c r="AK972" s="381" t="s">
        <v>167</v>
      </c>
      <c r="AL972" s="408" t="s">
        <v>175</v>
      </c>
      <c r="AM972" s="385"/>
      <c r="AN972" s="475">
        <v>520</v>
      </c>
      <c r="AO972" s="395"/>
      <c r="AP972" s="395">
        <f t="shared" si="850"/>
        <v>8.5933600000000006</v>
      </c>
      <c r="AQ972" s="393"/>
      <c r="AR972" s="523"/>
      <c r="AS972" s="393"/>
      <c r="AT972" s="573"/>
      <c r="AU972" s="394"/>
      <c r="AV972" s="394"/>
      <c r="AW972" s="394"/>
      <c r="AX972" s="394"/>
      <c r="AY972" s="394"/>
      <c r="AZ972" s="394"/>
      <c r="BA972" s="394"/>
      <c r="BB972" s="394"/>
      <c r="BC972" s="394"/>
      <c r="BD972" s="381"/>
      <c r="BE972" s="408"/>
      <c r="BF972" s="385"/>
      <c r="BG972" s="475"/>
      <c r="BH972" s="395"/>
      <c r="BI972" s="395" t="e">
        <f t="shared" si="852"/>
        <v>#DIV/0!</v>
      </c>
    </row>
    <row r="973" spans="1:61" s="358" customFormat="1" ht="19.2" x14ac:dyDescent="0.3">
      <c r="A973" s="359" t="s">
        <v>273</v>
      </c>
      <c r="B973" s="572" t="s">
        <v>658</v>
      </c>
      <c r="C973" s="546" t="s">
        <v>539</v>
      </c>
      <c r="D973" s="360">
        <v>0.22</v>
      </c>
      <c r="E973" s="393"/>
      <c r="F973" s="523"/>
      <c r="G973" s="393"/>
      <c r="H973" s="573"/>
      <c r="I973" s="394"/>
      <c r="J973" s="394"/>
      <c r="K973" s="394"/>
      <c r="L973" s="394"/>
      <c r="M973" s="394"/>
      <c r="N973" s="394"/>
      <c r="O973" s="394"/>
      <c r="P973" s="394"/>
      <c r="Q973" s="394"/>
      <c r="R973" s="381"/>
      <c r="S973" s="408"/>
      <c r="T973" s="385"/>
      <c r="U973" s="475"/>
      <c r="V973" s="395"/>
      <c r="W973" s="395"/>
      <c r="X973" s="393"/>
      <c r="Y973" s="523">
        <v>1</v>
      </c>
      <c r="Z973" s="393"/>
      <c r="AA973" s="573">
        <v>9.0135400000000008</v>
      </c>
      <c r="AB973" s="394">
        <v>6.5905100000000001</v>
      </c>
      <c r="AC973" s="394">
        <v>5.20831</v>
      </c>
      <c r="AD973" s="394"/>
      <c r="AE973" s="394"/>
      <c r="AF973" s="394">
        <v>0</v>
      </c>
      <c r="AG973" s="394">
        <v>0</v>
      </c>
      <c r="AH973" s="394">
        <v>0.56488000000000005</v>
      </c>
      <c r="AI973" s="394">
        <v>5.20831</v>
      </c>
      <c r="AJ973" s="394"/>
      <c r="AK973" s="381" t="s">
        <v>167</v>
      </c>
      <c r="AL973" s="408" t="s">
        <v>175</v>
      </c>
      <c r="AM973" s="385"/>
      <c r="AN973" s="475">
        <v>521</v>
      </c>
      <c r="AO973" s="395"/>
      <c r="AP973" s="395">
        <f t="shared" si="850"/>
        <v>9.0135400000000008</v>
      </c>
      <c r="AQ973" s="393"/>
      <c r="AR973" s="523"/>
      <c r="AS973" s="393"/>
      <c r="AT973" s="573"/>
      <c r="AU973" s="394"/>
      <c r="AV973" s="394"/>
      <c r="AW973" s="394"/>
      <c r="AX973" s="394"/>
      <c r="AY973" s="394"/>
      <c r="AZ973" s="394"/>
      <c r="BA973" s="394"/>
      <c r="BB973" s="394"/>
      <c r="BC973" s="394"/>
      <c r="BD973" s="381"/>
      <c r="BE973" s="408"/>
      <c r="BF973" s="385"/>
      <c r="BG973" s="475"/>
      <c r="BH973" s="395"/>
      <c r="BI973" s="395" t="e">
        <f t="shared" si="852"/>
        <v>#DIV/0!</v>
      </c>
    </row>
    <row r="974" spans="1:61" s="358" customFormat="1" ht="19.2" x14ac:dyDescent="0.3">
      <c r="A974" s="359" t="s">
        <v>274</v>
      </c>
      <c r="B974" s="572" t="s">
        <v>1414</v>
      </c>
      <c r="C974" s="546" t="s">
        <v>2624</v>
      </c>
      <c r="D974" s="360">
        <v>0.22</v>
      </c>
      <c r="E974" s="393"/>
      <c r="F974" s="523"/>
      <c r="G974" s="393"/>
      <c r="H974" s="573"/>
      <c r="I974" s="394"/>
      <c r="J974" s="394"/>
      <c r="K974" s="394"/>
      <c r="L974" s="394"/>
      <c r="M974" s="394"/>
      <c r="N974" s="394"/>
      <c r="O974" s="394"/>
      <c r="P974" s="394"/>
      <c r="Q974" s="394"/>
      <c r="R974" s="381"/>
      <c r="S974" s="408"/>
      <c r="T974" s="385"/>
      <c r="U974" s="475"/>
      <c r="V974" s="395"/>
      <c r="W974" s="395"/>
      <c r="X974" s="393"/>
      <c r="Y974" s="523">
        <v>1</v>
      </c>
      <c r="Z974" s="393"/>
      <c r="AA974" s="573">
        <v>8.6187199999999997</v>
      </c>
      <c r="AB974" s="394">
        <v>6.1956899999999999</v>
      </c>
      <c r="AC974" s="394">
        <v>5.20831</v>
      </c>
      <c r="AD974" s="394"/>
      <c r="AE974" s="394"/>
      <c r="AF974" s="394">
        <v>0</v>
      </c>
      <c r="AG974" s="394">
        <v>0</v>
      </c>
      <c r="AH974" s="394">
        <v>0.56488000000000005</v>
      </c>
      <c r="AI974" s="394">
        <v>5.20831</v>
      </c>
      <c r="AJ974" s="394"/>
      <c r="AK974" s="381" t="s">
        <v>167</v>
      </c>
      <c r="AL974" s="408" t="s">
        <v>175</v>
      </c>
      <c r="AM974" s="385"/>
      <c r="AN974" s="475">
        <v>522</v>
      </c>
      <c r="AO974" s="395"/>
      <c r="AP974" s="395">
        <f t="shared" si="850"/>
        <v>8.6187199999999997</v>
      </c>
      <c r="AQ974" s="393"/>
      <c r="AR974" s="523"/>
      <c r="AS974" s="393"/>
      <c r="AT974" s="573"/>
      <c r="AU974" s="394"/>
      <c r="AV974" s="394"/>
      <c r="AW974" s="394"/>
      <c r="AX974" s="394"/>
      <c r="AY974" s="394"/>
      <c r="AZ974" s="394"/>
      <c r="BA974" s="394"/>
      <c r="BB974" s="394"/>
      <c r="BC974" s="394"/>
      <c r="BD974" s="381"/>
      <c r="BE974" s="408"/>
      <c r="BF974" s="385"/>
      <c r="BG974" s="475"/>
      <c r="BH974" s="395"/>
      <c r="BI974" s="395" t="e">
        <f t="shared" si="852"/>
        <v>#DIV/0!</v>
      </c>
    </row>
    <row r="975" spans="1:61" s="358" customFormat="1" ht="19.2" x14ac:dyDescent="0.3">
      <c r="A975" s="359" t="s">
        <v>275</v>
      </c>
      <c r="B975" s="572" t="s">
        <v>1414</v>
      </c>
      <c r="C975" s="546" t="s">
        <v>2625</v>
      </c>
      <c r="D975" s="360">
        <v>0.22</v>
      </c>
      <c r="E975" s="393"/>
      <c r="F975" s="523"/>
      <c r="G975" s="393"/>
      <c r="H975" s="573"/>
      <c r="I975" s="394"/>
      <c r="J975" s="394"/>
      <c r="K975" s="394"/>
      <c r="L975" s="394"/>
      <c r="M975" s="394"/>
      <c r="N975" s="394"/>
      <c r="O975" s="394"/>
      <c r="P975" s="394"/>
      <c r="Q975" s="394"/>
      <c r="R975" s="381"/>
      <c r="S975" s="408"/>
      <c r="T975" s="385"/>
      <c r="U975" s="475"/>
      <c r="V975" s="395"/>
      <c r="W975" s="395"/>
      <c r="X975" s="393"/>
      <c r="Y975" s="523">
        <v>1</v>
      </c>
      <c r="Z975" s="393"/>
      <c r="AA975" s="573">
        <v>9.0135199999999998</v>
      </c>
      <c r="AB975" s="394">
        <v>6.59049</v>
      </c>
      <c r="AC975" s="394">
        <v>5.2083199999999996</v>
      </c>
      <c r="AD975" s="394"/>
      <c r="AE975" s="394"/>
      <c r="AF975" s="394">
        <v>0</v>
      </c>
      <c r="AG975" s="394">
        <v>0</v>
      </c>
      <c r="AH975" s="394">
        <v>0.56488000000000005</v>
      </c>
      <c r="AI975" s="394">
        <v>5.2083199999999996</v>
      </c>
      <c r="AJ975" s="394"/>
      <c r="AK975" s="381" t="s">
        <v>167</v>
      </c>
      <c r="AL975" s="408" t="s">
        <v>175</v>
      </c>
      <c r="AM975" s="385"/>
      <c r="AN975" s="475">
        <v>523</v>
      </c>
      <c r="AO975" s="395"/>
      <c r="AP975" s="395">
        <f t="shared" si="850"/>
        <v>9.0135199999999998</v>
      </c>
      <c r="AQ975" s="393"/>
      <c r="AR975" s="523"/>
      <c r="AS975" s="393"/>
      <c r="AT975" s="573"/>
      <c r="AU975" s="394"/>
      <c r="AV975" s="394"/>
      <c r="AW975" s="394"/>
      <c r="AX975" s="394"/>
      <c r="AY975" s="394"/>
      <c r="AZ975" s="394"/>
      <c r="BA975" s="394"/>
      <c r="BB975" s="394"/>
      <c r="BC975" s="394"/>
      <c r="BD975" s="381"/>
      <c r="BE975" s="408"/>
      <c r="BF975" s="385"/>
      <c r="BG975" s="475"/>
      <c r="BH975" s="395"/>
      <c r="BI975" s="395" t="e">
        <f t="shared" si="852"/>
        <v>#DIV/0!</v>
      </c>
    </row>
    <row r="976" spans="1:61" s="358" customFormat="1" ht="19.2" x14ac:dyDescent="0.3">
      <c r="A976" s="359" t="s">
        <v>340</v>
      </c>
      <c r="B976" s="572" t="s">
        <v>658</v>
      </c>
      <c r="C976" s="546" t="s">
        <v>2626</v>
      </c>
      <c r="D976" s="360">
        <v>0.22</v>
      </c>
      <c r="E976" s="393"/>
      <c r="F976" s="523"/>
      <c r="G976" s="393"/>
      <c r="H976" s="573"/>
      <c r="I976" s="394"/>
      <c r="J976" s="394"/>
      <c r="K976" s="394"/>
      <c r="L976" s="394"/>
      <c r="M976" s="394"/>
      <c r="N976" s="394"/>
      <c r="O976" s="394"/>
      <c r="P976" s="394"/>
      <c r="Q976" s="394"/>
      <c r="R976" s="381"/>
      <c r="S976" s="408"/>
      <c r="T976" s="385"/>
      <c r="U976" s="475"/>
      <c r="V976" s="395"/>
      <c r="W976" s="395"/>
      <c r="X976" s="393"/>
      <c r="Y976" s="523">
        <v>1</v>
      </c>
      <c r="Z976" s="393"/>
      <c r="AA976" s="573">
        <v>8.5933700000000002</v>
      </c>
      <c r="AB976" s="394">
        <v>6.1703400000000004</v>
      </c>
      <c r="AC976" s="394">
        <v>5.2083199999999996</v>
      </c>
      <c r="AD976" s="394"/>
      <c r="AE976" s="394"/>
      <c r="AF976" s="394">
        <v>0</v>
      </c>
      <c r="AG976" s="394">
        <v>0</v>
      </c>
      <c r="AH976" s="394">
        <v>0.56488000000000005</v>
      </c>
      <c r="AI976" s="394">
        <v>5.2083199999999996</v>
      </c>
      <c r="AJ976" s="394"/>
      <c r="AK976" s="381" t="s">
        <v>167</v>
      </c>
      <c r="AL976" s="408" t="s">
        <v>175</v>
      </c>
      <c r="AM976" s="385"/>
      <c r="AN976" s="475">
        <v>524</v>
      </c>
      <c r="AO976" s="395"/>
      <c r="AP976" s="395">
        <f t="shared" si="850"/>
        <v>8.5933700000000002</v>
      </c>
      <c r="AQ976" s="393"/>
      <c r="AR976" s="523"/>
      <c r="AS976" s="393"/>
      <c r="AT976" s="573"/>
      <c r="AU976" s="394"/>
      <c r="AV976" s="394"/>
      <c r="AW976" s="394"/>
      <c r="AX976" s="394"/>
      <c r="AY976" s="394"/>
      <c r="AZ976" s="394"/>
      <c r="BA976" s="394"/>
      <c r="BB976" s="394"/>
      <c r="BC976" s="394"/>
      <c r="BD976" s="381"/>
      <c r="BE976" s="408"/>
      <c r="BF976" s="385"/>
      <c r="BG976" s="475"/>
      <c r="BH976" s="395"/>
      <c r="BI976" s="395" t="e">
        <f t="shared" si="852"/>
        <v>#DIV/0!</v>
      </c>
    </row>
    <row r="977" spans="1:61" s="358" customFormat="1" ht="19.2" x14ac:dyDescent="0.3">
      <c r="A977" s="359" t="s">
        <v>277</v>
      </c>
      <c r="B977" s="572" t="s">
        <v>3565</v>
      </c>
      <c r="C977" s="546" t="s">
        <v>2627</v>
      </c>
      <c r="D977" s="360">
        <v>0.22</v>
      </c>
      <c r="E977" s="393"/>
      <c r="F977" s="523"/>
      <c r="G977" s="393"/>
      <c r="H977" s="573"/>
      <c r="I977" s="394"/>
      <c r="J977" s="394"/>
      <c r="K977" s="394"/>
      <c r="L977" s="394"/>
      <c r="M977" s="394"/>
      <c r="N977" s="394"/>
      <c r="O977" s="394"/>
      <c r="P977" s="394"/>
      <c r="Q977" s="394"/>
      <c r="R977" s="381"/>
      <c r="S977" s="408"/>
      <c r="T977" s="385"/>
      <c r="U977" s="475"/>
      <c r="V977" s="395"/>
      <c r="W977" s="395"/>
      <c r="X977" s="393"/>
      <c r="Y977" s="523">
        <v>1</v>
      </c>
      <c r="Z977" s="393"/>
      <c r="AA977" s="573">
        <v>8.9424600000000005</v>
      </c>
      <c r="AB977" s="394">
        <v>6.5194299999999998</v>
      </c>
      <c r="AC977" s="394">
        <v>5.20831</v>
      </c>
      <c r="AD977" s="394"/>
      <c r="AE977" s="394"/>
      <c r="AF977" s="394">
        <v>0</v>
      </c>
      <c r="AG977" s="394">
        <v>0</v>
      </c>
      <c r="AH977" s="394">
        <v>0.56488000000000005</v>
      </c>
      <c r="AI977" s="394">
        <v>5.20831</v>
      </c>
      <c r="AJ977" s="394"/>
      <c r="AK977" s="381" t="s">
        <v>167</v>
      </c>
      <c r="AL977" s="408" t="s">
        <v>175</v>
      </c>
      <c r="AM977" s="385"/>
      <c r="AN977" s="475">
        <v>525</v>
      </c>
      <c r="AO977" s="395"/>
      <c r="AP977" s="395">
        <f t="shared" si="850"/>
        <v>8.9424600000000005</v>
      </c>
      <c r="AQ977" s="393"/>
      <c r="AR977" s="523"/>
      <c r="AS977" s="393"/>
      <c r="AT977" s="573"/>
      <c r="AU977" s="394"/>
      <c r="AV977" s="394"/>
      <c r="AW977" s="394"/>
      <c r="AX977" s="394"/>
      <c r="AY977" s="394"/>
      <c r="AZ977" s="394"/>
      <c r="BA977" s="394"/>
      <c r="BB977" s="394"/>
      <c r="BC977" s="394"/>
      <c r="BD977" s="381"/>
      <c r="BE977" s="408"/>
      <c r="BF977" s="385"/>
      <c r="BG977" s="475"/>
      <c r="BH977" s="395"/>
      <c r="BI977" s="395" t="e">
        <f t="shared" si="852"/>
        <v>#DIV/0!</v>
      </c>
    </row>
    <row r="978" spans="1:61" s="358" customFormat="1" ht="19.2" x14ac:dyDescent="0.3">
      <c r="A978" s="359" t="s">
        <v>326</v>
      </c>
      <c r="B978" s="572" t="s">
        <v>1414</v>
      </c>
      <c r="C978" s="546" t="s">
        <v>2628</v>
      </c>
      <c r="D978" s="360">
        <v>0.22</v>
      </c>
      <c r="E978" s="393"/>
      <c r="F978" s="523"/>
      <c r="G978" s="393"/>
      <c r="H978" s="573"/>
      <c r="I978" s="394"/>
      <c r="J978" s="394"/>
      <c r="K978" s="394"/>
      <c r="L978" s="394"/>
      <c r="M978" s="394"/>
      <c r="N978" s="394"/>
      <c r="O978" s="394"/>
      <c r="P978" s="394"/>
      <c r="Q978" s="394"/>
      <c r="R978" s="381"/>
      <c r="S978" s="408"/>
      <c r="T978" s="385"/>
      <c r="U978" s="475"/>
      <c r="V978" s="395"/>
      <c r="W978" s="395"/>
      <c r="X978" s="393"/>
      <c r="Y978" s="523">
        <v>1</v>
      </c>
      <c r="Z978" s="393"/>
      <c r="AA978" s="573">
        <v>8.5933600000000006</v>
      </c>
      <c r="AB978" s="394">
        <v>6.1703299999999999</v>
      </c>
      <c r="AC978" s="394">
        <v>5.20831</v>
      </c>
      <c r="AD978" s="394"/>
      <c r="AE978" s="394"/>
      <c r="AF978" s="394">
        <v>0</v>
      </c>
      <c r="AG978" s="394">
        <v>0</v>
      </c>
      <c r="AH978" s="394">
        <v>0.56488000000000005</v>
      </c>
      <c r="AI978" s="394">
        <v>5.20831</v>
      </c>
      <c r="AJ978" s="394"/>
      <c r="AK978" s="381" t="s">
        <v>167</v>
      </c>
      <c r="AL978" s="408" t="s">
        <v>175</v>
      </c>
      <c r="AM978" s="385"/>
      <c r="AN978" s="475">
        <v>526</v>
      </c>
      <c r="AO978" s="395"/>
      <c r="AP978" s="395">
        <f t="shared" si="850"/>
        <v>8.5933600000000006</v>
      </c>
      <c r="AQ978" s="393"/>
      <c r="AR978" s="523"/>
      <c r="AS978" s="393"/>
      <c r="AT978" s="573"/>
      <c r="AU978" s="394"/>
      <c r="AV978" s="394"/>
      <c r="AW978" s="394"/>
      <c r="AX978" s="394"/>
      <c r="AY978" s="394"/>
      <c r="AZ978" s="394"/>
      <c r="BA978" s="394"/>
      <c r="BB978" s="394"/>
      <c r="BC978" s="394"/>
      <c r="BD978" s="381"/>
      <c r="BE978" s="408"/>
      <c r="BF978" s="385"/>
      <c r="BG978" s="475"/>
      <c r="BH978" s="395"/>
      <c r="BI978" s="395" t="e">
        <f t="shared" si="852"/>
        <v>#DIV/0!</v>
      </c>
    </row>
    <row r="979" spans="1:61" s="358" customFormat="1" ht="19.2" x14ac:dyDescent="0.3">
      <c r="A979" s="359" t="s">
        <v>182</v>
      </c>
      <c r="B979" s="572" t="s">
        <v>1414</v>
      </c>
      <c r="C979" s="546" t="s">
        <v>2629</v>
      </c>
      <c r="D979" s="360">
        <v>0.22</v>
      </c>
      <c r="E979" s="393"/>
      <c r="F979" s="523"/>
      <c r="G979" s="393"/>
      <c r="H979" s="573"/>
      <c r="I979" s="394"/>
      <c r="J979" s="394"/>
      <c r="K979" s="394"/>
      <c r="L979" s="394"/>
      <c r="M979" s="394"/>
      <c r="N979" s="394"/>
      <c r="O979" s="394"/>
      <c r="P979" s="394"/>
      <c r="Q979" s="394"/>
      <c r="R979" s="381"/>
      <c r="S979" s="408"/>
      <c r="T979" s="385"/>
      <c r="U979" s="475"/>
      <c r="V979" s="395"/>
      <c r="W979" s="395"/>
      <c r="X979" s="393"/>
      <c r="Y979" s="523">
        <v>1</v>
      </c>
      <c r="Z979" s="393"/>
      <c r="AA979" s="573">
        <v>8.5933600000000006</v>
      </c>
      <c r="AB979" s="394">
        <v>6.1703299999999999</v>
      </c>
      <c r="AC979" s="394">
        <v>5.20831</v>
      </c>
      <c r="AD979" s="394"/>
      <c r="AE979" s="394"/>
      <c r="AF979" s="394">
        <v>0</v>
      </c>
      <c r="AG979" s="394">
        <v>0</v>
      </c>
      <c r="AH979" s="394">
        <v>0.56488000000000005</v>
      </c>
      <c r="AI979" s="394">
        <v>5.20831</v>
      </c>
      <c r="AJ979" s="394"/>
      <c r="AK979" s="381" t="s">
        <v>167</v>
      </c>
      <c r="AL979" s="408" t="s">
        <v>175</v>
      </c>
      <c r="AM979" s="385"/>
      <c r="AN979" s="475">
        <v>527</v>
      </c>
      <c r="AO979" s="395"/>
      <c r="AP979" s="395">
        <f t="shared" si="850"/>
        <v>8.5933600000000006</v>
      </c>
      <c r="AQ979" s="393"/>
      <c r="AR979" s="523"/>
      <c r="AS979" s="393"/>
      <c r="AT979" s="573"/>
      <c r="AU979" s="394"/>
      <c r="AV979" s="394"/>
      <c r="AW979" s="394"/>
      <c r="AX979" s="394"/>
      <c r="AY979" s="394"/>
      <c r="AZ979" s="394"/>
      <c r="BA979" s="394"/>
      <c r="BB979" s="394"/>
      <c r="BC979" s="394"/>
      <c r="BD979" s="381"/>
      <c r="BE979" s="408"/>
      <c r="BF979" s="385"/>
      <c r="BG979" s="475"/>
      <c r="BH979" s="395"/>
      <c r="BI979" s="395" t="e">
        <f t="shared" si="852"/>
        <v>#DIV/0!</v>
      </c>
    </row>
    <row r="980" spans="1:61" s="358" customFormat="1" ht="19.2" x14ac:dyDescent="0.3">
      <c r="A980" s="359" t="s">
        <v>344</v>
      </c>
      <c r="B980" s="572" t="s">
        <v>1414</v>
      </c>
      <c r="C980" s="546" t="s">
        <v>2630</v>
      </c>
      <c r="D980" s="360">
        <v>0.22</v>
      </c>
      <c r="E980" s="393"/>
      <c r="F980" s="523"/>
      <c r="G980" s="393"/>
      <c r="H980" s="573"/>
      <c r="I980" s="394"/>
      <c r="J980" s="394"/>
      <c r="K980" s="394"/>
      <c r="L980" s="394"/>
      <c r="M980" s="394"/>
      <c r="N980" s="394"/>
      <c r="O980" s="394"/>
      <c r="P980" s="394"/>
      <c r="Q980" s="394"/>
      <c r="R980" s="381"/>
      <c r="S980" s="408"/>
      <c r="T980" s="385"/>
      <c r="U980" s="475"/>
      <c r="V980" s="395"/>
      <c r="W980" s="395"/>
      <c r="X980" s="393"/>
      <c r="Y980" s="523">
        <v>1</v>
      </c>
      <c r="Z980" s="393"/>
      <c r="AA980" s="573">
        <v>8.5933700000000002</v>
      </c>
      <c r="AB980" s="394">
        <v>6.1703400000000004</v>
      </c>
      <c r="AC980" s="394">
        <v>5.2083199999999996</v>
      </c>
      <c r="AD980" s="394"/>
      <c r="AE980" s="394"/>
      <c r="AF980" s="394">
        <v>0</v>
      </c>
      <c r="AG980" s="394">
        <v>0</v>
      </c>
      <c r="AH980" s="394">
        <v>0.56488000000000005</v>
      </c>
      <c r="AI980" s="394">
        <v>5.2083199999999996</v>
      </c>
      <c r="AJ980" s="394"/>
      <c r="AK980" s="381" t="s">
        <v>167</v>
      </c>
      <c r="AL980" s="408" t="s">
        <v>175</v>
      </c>
      <c r="AM980" s="385"/>
      <c r="AN980" s="475">
        <v>528</v>
      </c>
      <c r="AO980" s="395"/>
      <c r="AP980" s="395">
        <f t="shared" si="850"/>
        <v>8.5933700000000002</v>
      </c>
      <c r="AQ980" s="393"/>
      <c r="AR980" s="523"/>
      <c r="AS980" s="393"/>
      <c r="AT980" s="573"/>
      <c r="AU980" s="394"/>
      <c r="AV980" s="394"/>
      <c r="AW980" s="394"/>
      <c r="AX980" s="394"/>
      <c r="AY980" s="394"/>
      <c r="AZ980" s="394"/>
      <c r="BA980" s="394"/>
      <c r="BB980" s="394"/>
      <c r="BC980" s="394"/>
      <c r="BD980" s="381"/>
      <c r="BE980" s="408"/>
      <c r="BF980" s="385"/>
      <c r="BG980" s="475"/>
      <c r="BH980" s="395"/>
      <c r="BI980" s="395" t="e">
        <f t="shared" si="852"/>
        <v>#DIV/0!</v>
      </c>
    </row>
    <row r="981" spans="1:61" s="358" customFormat="1" ht="19.2" x14ac:dyDescent="0.3">
      <c r="A981" s="359" t="s">
        <v>329</v>
      </c>
      <c r="B981" s="572" t="s">
        <v>1414</v>
      </c>
      <c r="C981" s="546" t="s">
        <v>2631</v>
      </c>
      <c r="D981" s="360">
        <v>0.22</v>
      </c>
      <c r="E981" s="393"/>
      <c r="F981" s="523"/>
      <c r="G981" s="393"/>
      <c r="H981" s="573"/>
      <c r="I981" s="394"/>
      <c r="J981" s="394"/>
      <c r="K981" s="394"/>
      <c r="L981" s="394"/>
      <c r="M981" s="394"/>
      <c r="N981" s="394"/>
      <c r="O981" s="394"/>
      <c r="P981" s="394"/>
      <c r="Q981" s="394"/>
      <c r="R981" s="381"/>
      <c r="S981" s="408"/>
      <c r="T981" s="385"/>
      <c r="U981" s="475"/>
      <c r="V981" s="395"/>
      <c r="W981" s="395"/>
      <c r="X981" s="393"/>
      <c r="Y981" s="523">
        <v>1</v>
      </c>
      <c r="Z981" s="393"/>
      <c r="AA981" s="573">
        <v>8.5933600000000006</v>
      </c>
      <c r="AB981" s="394">
        <v>6.1703299999999999</v>
      </c>
      <c r="AC981" s="394">
        <v>5.20831</v>
      </c>
      <c r="AD981" s="394"/>
      <c r="AE981" s="394"/>
      <c r="AF981" s="394">
        <v>0</v>
      </c>
      <c r="AG981" s="394">
        <v>0</v>
      </c>
      <c r="AH981" s="394">
        <v>0.56488000000000005</v>
      </c>
      <c r="AI981" s="394">
        <v>5.20831</v>
      </c>
      <c r="AJ981" s="394"/>
      <c r="AK981" s="381" t="s">
        <v>167</v>
      </c>
      <c r="AL981" s="408" t="s">
        <v>175</v>
      </c>
      <c r="AM981" s="385"/>
      <c r="AN981" s="475">
        <v>529</v>
      </c>
      <c r="AO981" s="395"/>
      <c r="AP981" s="395">
        <f t="shared" si="850"/>
        <v>8.5933600000000006</v>
      </c>
      <c r="AQ981" s="393"/>
      <c r="AR981" s="523"/>
      <c r="AS981" s="393"/>
      <c r="AT981" s="573"/>
      <c r="AU981" s="394"/>
      <c r="AV981" s="394"/>
      <c r="AW981" s="394"/>
      <c r="AX981" s="394"/>
      <c r="AY981" s="394"/>
      <c r="AZ981" s="394"/>
      <c r="BA981" s="394"/>
      <c r="BB981" s="394"/>
      <c r="BC981" s="394"/>
      <c r="BD981" s="381"/>
      <c r="BE981" s="408"/>
      <c r="BF981" s="385"/>
      <c r="BG981" s="475"/>
      <c r="BH981" s="395"/>
      <c r="BI981" s="395" t="e">
        <f t="shared" si="852"/>
        <v>#DIV/0!</v>
      </c>
    </row>
    <row r="982" spans="1:61" s="358" customFormat="1" ht="19.2" x14ac:dyDescent="0.3">
      <c r="A982" s="359" t="s">
        <v>330</v>
      </c>
      <c r="B982" s="572" t="s">
        <v>1414</v>
      </c>
      <c r="C982" s="546" t="s">
        <v>2632</v>
      </c>
      <c r="D982" s="360">
        <v>0.22</v>
      </c>
      <c r="E982" s="393"/>
      <c r="F982" s="523"/>
      <c r="G982" s="393"/>
      <c r="H982" s="573"/>
      <c r="I982" s="394"/>
      <c r="J982" s="394"/>
      <c r="K982" s="394"/>
      <c r="L982" s="394"/>
      <c r="M982" s="394"/>
      <c r="N982" s="394"/>
      <c r="O982" s="394"/>
      <c r="P982" s="394"/>
      <c r="Q982" s="394"/>
      <c r="R982" s="381"/>
      <c r="S982" s="408"/>
      <c r="T982" s="385"/>
      <c r="U982" s="475"/>
      <c r="V982" s="395"/>
      <c r="W982" s="395"/>
      <c r="X982" s="393"/>
      <c r="Y982" s="523">
        <v>1</v>
      </c>
      <c r="Z982" s="393"/>
      <c r="AA982" s="573">
        <v>8.5933600000000006</v>
      </c>
      <c r="AB982" s="394">
        <v>6.1703299999999999</v>
      </c>
      <c r="AC982" s="394">
        <v>5.20831</v>
      </c>
      <c r="AD982" s="394"/>
      <c r="AE982" s="394"/>
      <c r="AF982" s="394">
        <v>0</v>
      </c>
      <c r="AG982" s="394">
        <v>0</v>
      </c>
      <c r="AH982" s="394">
        <v>0.56488000000000005</v>
      </c>
      <c r="AI982" s="394">
        <v>5.20831</v>
      </c>
      <c r="AJ982" s="394"/>
      <c r="AK982" s="381" t="s">
        <v>167</v>
      </c>
      <c r="AL982" s="408" t="s">
        <v>175</v>
      </c>
      <c r="AM982" s="385"/>
      <c r="AN982" s="475">
        <v>530</v>
      </c>
      <c r="AO982" s="395"/>
      <c r="AP982" s="395">
        <f t="shared" si="850"/>
        <v>8.5933600000000006</v>
      </c>
      <c r="AQ982" s="393"/>
      <c r="AR982" s="523"/>
      <c r="AS982" s="393"/>
      <c r="AT982" s="573"/>
      <c r="AU982" s="394"/>
      <c r="AV982" s="394"/>
      <c r="AW982" s="394"/>
      <c r="AX982" s="394"/>
      <c r="AY982" s="394"/>
      <c r="AZ982" s="394"/>
      <c r="BA982" s="394"/>
      <c r="BB982" s="394"/>
      <c r="BC982" s="394"/>
      <c r="BD982" s="381"/>
      <c r="BE982" s="408"/>
      <c r="BF982" s="385"/>
      <c r="BG982" s="475"/>
      <c r="BH982" s="395"/>
      <c r="BI982" s="395" t="e">
        <f t="shared" si="852"/>
        <v>#DIV/0!</v>
      </c>
    </row>
    <row r="983" spans="1:61" s="358" customFormat="1" ht="19.2" x14ac:dyDescent="0.3">
      <c r="A983" s="359" t="s">
        <v>331</v>
      </c>
      <c r="B983" s="572" t="s">
        <v>1414</v>
      </c>
      <c r="C983" s="546" t="s">
        <v>2633</v>
      </c>
      <c r="D983" s="360">
        <v>0.22</v>
      </c>
      <c r="E983" s="393"/>
      <c r="F983" s="523"/>
      <c r="G983" s="393"/>
      <c r="H983" s="573"/>
      <c r="I983" s="394"/>
      <c r="J983" s="394"/>
      <c r="K983" s="394"/>
      <c r="L983" s="394"/>
      <c r="M983" s="394"/>
      <c r="N983" s="394"/>
      <c r="O983" s="394"/>
      <c r="P983" s="394"/>
      <c r="Q983" s="394"/>
      <c r="R983" s="381"/>
      <c r="S983" s="408"/>
      <c r="T983" s="385"/>
      <c r="U983" s="475"/>
      <c r="V983" s="395"/>
      <c r="W983" s="395"/>
      <c r="X983" s="393"/>
      <c r="Y983" s="523">
        <v>1</v>
      </c>
      <c r="Z983" s="393"/>
      <c r="AA983" s="573">
        <v>8.5933700000000002</v>
      </c>
      <c r="AB983" s="394">
        <v>6.1703400000000004</v>
      </c>
      <c r="AC983" s="394">
        <v>5.2083199999999996</v>
      </c>
      <c r="AD983" s="394"/>
      <c r="AE983" s="394"/>
      <c r="AF983" s="394">
        <v>0</v>
      </c>
      <c r="AG983" s="394">
        <v>0</v>
      </c>
      <c r="AH983" s="394">
        <v>0.56488000000000005</v>
      </c>
      <c r="AI983" s="394">
        <v>5.2083199999999996</v>
      </c>
      <c r="AJ983" s="394"/>
      <c r="AK983" s="381" t="s">
        <v>167</v>
      </c>
      <c r="AL983" s="408" t="s">
        <v>175</v>
      </c>
      <c r="AM983" s="385"/>
      <c r="AN983" s="475">
        <v>531</v>
      </c>
      <c r="AO983" s="395"/>
      <c r="AP983" s="395">
        <f t="shared" si="850"/>
        <v>8.5933700000000002</v>
      </c>
      <c r="AQ983" s="393"/>
      <c r="AR983" s="523"/>
      <c r="AS983" s="393"/>
      <c r="AT983" s="573"/>
      <c r="AU983" s="394"/>
      <c r="AV983" s="394"/>
      <c r="AW983" s="394"/>
      <c r="AX983" s="394"/>
      <c r="AY983" s="394"/>
      <c r="AZ983" s="394"/>
      <c r="BA983" s="394"/>
      <c r="BB983" s="394"/>
      <c r="BC983" s="394"/>
      <c r="BD983" s="381"/>
      <c r="BE983" s="408"/>
      <c r="BF983" s="385"/>
      <c r="BG983" s="475"/>
      <c r="BH983" s="395"/>
      <c r="BI983" s="395" t="e">
        <f t="shared" si="852"/>
        <v>#DIV/0!</v>
      </c>
    </row>
    <row r="984" spans="1:61" s="358" customFormat="1" ht="19.2" x14ac:dyDescent="0.3">
      <c r="A984" s="359" t="s">
        <v>332</v>
      </c>
      <c r="B984" s="572" t="s">
        <v>1414</v>
      </c>
      <c r="C984" s="546" t="s">
        <v>2634</v>
      </c>
      <c r="D984" s="360">
        <v>0.22</v>
      </c>
      <c r="E984" s="393"/>
      <c r="F984" s="523"/>
      <c r="G984" s="393"/>
      <c r="H984" s="573"/>
      <c r="I984" s="394"/>
      <c r="J984" s="394"/>
      <c r="K984" s="394"/>
      <c r="L984" s="394"/>
      <c r="M984" s="394"/>
      <c r="N984" s="394"/>
      <c r="O984" s="394"/>
      <c r="P984" s="394"/>
      <c r="Q984" s="394"/>
      <c r="R984" s="381"/>
      <c r="S984" s="408"/>
      <c r="T984" s="385"/>
      <c r="U984" s="475"/>
      <c r="V984" s="395"/>
      <c r="W984" s="395"/>
      <c r="X984" s="393"/>
      <c r="Y984" s="523">
        <v>1</v>
      </c>
      <c r="Z984" s="393"/>
      <c r="AA984" s="573">
        <v>9.0135199999999998</v>
      </c>
      <c r="AB984" s="394">
        <v>6.59049</v>
      </c>
      <c r="AC984" s="394">
        <v>5.2083199999999996</v>
      </c>
      <c r="AD984" s="394"/>
      <c r="AE984" s="394"/>
      <c r="AF984" s="394">
        <v>0</v>
      </c>
      <c r="AG984" s="394">
        <v>0</v>
      </c>
      <c r="AH984" s="394">
        <v>0.56488000000000005</v>
      </c>
      <c r="AI984" s="394">
        <v>5.2083199999999996</v>
      </c>
      <c r="AJ984" s="394"/>
      <c r="AK984" s="381" t="s">
        <v>167</v>
      </c>
      <c r="AL984" s="408" t="s">
        <v>175</v>
      </c>
      <c r="AM984" s="385"/>
      <c r="AN984" s="475">
        <v>532</v>
      </c>
      <c r="AO984" s="395"/>
      <c r="AP984" s="395">
        <f t="shared" si="850"/>
        <v>9.0135199999999998</v>
      </c>
      <c r="AQ984" s="393"/>
      <c r="AR984" s="523"/>
      <c r="AS984" s="393"/>
      <c r="AT984" s="573"/>
      <c r="AU984" s="394"/>
      <c r="AV984" s="394"/>
      <c r="AW984" s="394"/>
      <c r="AX984" s="394"/>
      <c r="AY984" s="394"/>
      <c r="AZ984" s="394"/>
      <c r="BA984" s="394"/>
      <c r="BB984" s="394"/>
      <c r="BC984" s="394"/>
      <c r="BD984" s="381"/>
      <c r="BE984" s="408"/>
      <c r="BF984" s="385"/>
      <c r="BG984" s="475"/>
      <c r="BH984" s="395"/>
      <c r="BI984" s="395" t="e">
        <f t="shared" si="852"/>
        <v>#DIV/0!</v>
      </c>
    </row>
    <row r="985" spans="1:61" s="358" customFormat="1" ht="19.2" x14ac:dyDescent="0.3">
      <c r="A985" s="359" t="s">
        <v>333</v>
      </c>
      <c r="B985" s="572" t="s">
        <v>1414</v>
      </c>
      <c r="C985" s="546" t="s">
        <v>2635</v>
      </c>
      <c r="D985" s="360">
        <v>0.22</v>
      </c>
      <c r="E985" s="393"/>
      <c r="F985" s="523"/>
      <c r="G985" s="393"/>
      <c r="H985" s="573"/>
      <c r="I985" s="394"/>
      <c r="J985" s="394"/>
      <c r="K985" s="394"/>
      <c r="L985" s="394"/>
      <c r="M985" s="394"/>
      <c r="N985" s="394"/>
      <c r="O985" s="394"/>
      <c r="P985" s="394"/>
      <c r="Q985" s="394"/>
      <c r="R985" s="381"/>
      <c r="S985" s="408"/>
      <c r="T985" s="385"/>
      <c r="U985" s="475"/>
      <c r="V985" s="395"/>
      <c r="W985" s="395"/>
      <c r="X985" s="393"/>
      <c r="Y985" s="523">
        <v>1</v>
      </c>
      <c r="Z985" s="393"/>
      <c r="AA985" s="573">
        <v>8.5933700000000002</v>
      </c>
      <c r="AB985" s="394">
        <v>6.1703400000000004</v>
      </c>
      <c r="AC985" s="394">
        <v>5.2083199999999996</v>
      </c>
      <c r="AD985" s="394"/>
      <c r="AE985" s="394"/>
      <c r="AF985" s="394">
        <v>0</v>
      </c>
      <c r="AG985" s="394">
        <v>0</v>
      </c>
      <c r="AH985" s="394">
        <v>0.56488000000000005</v>
      </c>
      <c r="AI985" s="394">
        <v>5.2083199999999996</v>
      </c>
      <c r="AJ985" s="394"/>
      <c r="AK985" s="381" t="s">
        <v>167</v>
      </c>
      <c r="AL985" s="408" t="s">
        <v>175</v>
      </c>
      <c r="AM985" s="385"/>
      <c r="AN985" s="475">
        <v>533</v>
      </c>
      <c r="AO985" s="395"/>
      <c r="AP985" s="395">
        <f t="shared" si="850"/>
        <v>8.5933700000000002</v>
      </c>
      <c r="AQ985" s="393"/>
      <c r="AR985" s="523"/>
      <c r="AS985" s="393"/>
      <c r="AT985" s="573"/>
      <c r="AU985" s="394"/>
      <c r="AV985" s="394"/>
      <c r="AW985" s="394"/>
      <c r="AX985" s="394"/>
      <c r="AY985" s="394"/>
      <c r="AZ985" s="394"/>
      <c r="BA985" s="394"/>
      <c r="BB985" s="394"/>
      <c r="BC985" s="394"/>
      <c r="BD985" s="381"/>
      <c r="BE985" s="408"/>
      <c r="BF985" s="385"/>
      <c r="BG985" s="475"/>
      <c r="BH985" s="395"/>
      <c r="BI985" s="395" t="e">
        <f t="shared" si="852"/>
        <v>#DIV/0!</v>
      </c>
    </row>
    <row r="986" spans="1:61" s="358" customFormat="1" ht="19.2" x14ac:dyDescent="0.3">
      <c r="A986" s="359" t="s">
        <v>334</v>
      </c>
      <c r="B986" s="572" t="s">
        <v>1414</v>
      </c>
      <c r="C986" s="546" t="s">
        <v>2636</v>
      </c>
      <c r="D986" s="360">
        <v>0.22</v>
      </c>
      <c r="E986" s="393"/>
      <c r="F986" s="523"/>
      <c r="G986" s="393"/>
      <c r="H986" s="573"/>
      <c r="I986" s="394"/>
      <c r="J986" s="394"/>
      <c r="K986" s="394"/>
      <c r="L986" s="394"/>
      <c r="M986" s="394"/>
      <c r="N986" s="394"/>
      <c r="O986" s="394"/>
      <c r="P986" s="394"/>
      <c r="Q986" s="394"/>
      <c r="R986" s="381"/>
      <c r="S986" s="408"/>
      <c r="T986" s="385"/>
      <c r="U986" s="475"/>
      <c r="V986" s="395"/>
      <c r="W986" s="395"/>
      <c r="X986" s="393"/>
      <c r="Y986" s="523">
        <v>1</v>
      </c>
      <c r="Z986" s="393"/>
      <c r="AA986" s="573">
        <v>8.5933700000000002</v>
      </c>
      <c r="AB986" s="394">
        <v>6.1703400000000004</v>
      </c>
      <c r="AC986" s="394">
        <v>5.2083199999999996</v>
      </c>
      <c r="AD986" s="394"/>
      <c r="AE986" s="394"/>
      <c r="AF986" s="394">
        <v>0</v>
      </c>
      <c r="AG986" s="394">
        <v>0</v>
      </c>
      <c r="AH986" s="394">
        <v>0.56488000000000005</v>
      </c>
      <c r="AI986" s="394">
        <v>5.2083199999999996</v>
      </c>
      <c r="AJ986" s="394"/>
      <c r="AK986" s="381" t="s">
        <v>167</v>
      </c>
      <c r="AL986" s="408" t="s">
        <v>175</v>
      </c>
      <c r="AM986" s="385"/>
      <c r="AN986" s="475">
        <v>534</v>
      </c>
      <c r="AO986" s="395"/>
      <c r="AP986" s="395">
        <f t="shared" si="850"/>
        <v>8.5933700000000002</v>
      </c>
      <c r="AQ986" s="393"/>
      <c r="AR986" s="523"/>
      <c r="AS986" s="393"/>
      <c r="AT986" s="573"/>
      <c r="AU986" s="394"/>
      <c r="AV986" s="394"/>
      <c r="AW986" s="394"/>
      <c r="AX986" s="394"/>
      <c r="AY986" s="394"/>
      <c r="AZ986" s="394"/>
      <c r="BA986" s="394"/>
      <c r="BB986" s="394"/>
      <c r="BC986" s="394"/>
      <c r="BD986" s="381"/>
      <c r="BE986" s="408"/>
      <c r="BF986" s="385"/>
      <c r="BG986" s="475"/>
      <c r="BH986" s="395"/>
      <c r="BI986" s="395" t="e">
        <f t="shared" si="852"/>
        <v>#DIV/0!</v>
      </c>
    </row>
    <row r="987" spans="1:61" s="358" customFormat="1" ht="19.2" x14ac:dyDescent="0.3">
      <c r="A987" s="359" t="s">
        <v>335</v>
      </c>
      <c r="B987" s="572" t="s">
        <v>1414</v>
      </c>
      <c r="C987" s="546" t="s">
        <v>2637</v>
      </c>
      <c r="D987" s="360">
        <v>0.22</v>
      </c>
      <c r="E987" s="393"/>
      <c r="F987" s="523"/>
      <c r="G987" s="393"/>
      <c r="H987" s="573"/>
      <c r="I987" s="394"/>
      <c r="J987" s="394"/>
      <c r="K987" s="394"/>
      <c r="L987" s="394"/>
      <c r="M987" s="394"/>
      <c r="N987" s="394"/>
      <c r="O987" s="394"/>
      <c r="P987" s="394"/>
      <c r="Q987" s="394"/>
      <c r="R987" s="381"/>
      <c r="S987" s="408"/>
      <c r="T987" s="385"/>
      <c r="U987" s="475"/>
      <c r="V987" s="395"/>
      <c r="W987" s="395"/>
      <c r="X987" s="393"/>
      <c r="Y987" s="523">
        <v>1</v>
      </c>
      <c r="Z987" s="393"/>
      <c r="AA987" s="573">
        <v>8.5933700000000002</v>
      </c>
      <c r="AB987" s="394">
        <v>6.1703400000000004</v>
      </c>
      <c r="AC987" s="394">
        <v>5.2083199999999996</v>
      </c>
      <c r="AD987" s="394"/>
      <c r="AE987" s="394"/>
      <c r="AF987" s="394">
        <v>0</v>
      </c>
      <c r="AG987" s="394">
        <v>0</v>
      </c>
      <c r="AH987" s="394">
        <v>0.56488000000000005</v>
      </c>
      <c r="AI987" s="394">
        <v>5.2083199999999996</v>
      </c>
      <c r="AJ987" s="394"/>
      <c r="AK987" s="381" t="s">
        <v>167</v>
      </c>
      <c r="AL987" s="408" t="s">
        <v>175</v>
      </c>
      <c r="AM987" s="385"/>
      <c r="AN987" s="475">
        <v>535</v>
      </c>
      <c r="AO987" s="395"/>
      <c r="AP987" s="395">
        <f t="shared" si="850"/>
        <v>8.5933700000000002</v>
      </c>
      <c r="AQ987" s="393"/>
      <c r="AR987" s="523"/>
      <c r="AS987" s="393"/>
      <c r="AT987" s="573"/>
      <c r="AU987" s="394"/>
      <c r="AV987" s="394"/>
      <c r="AW987" s="394"/>
      <c r="AX987" s="394"/>
      <c r="AY987" s="394"/>
      <c r="AZ987" s="394"/>
      <c r="BA987" s="394"/>
      <c r="BB987" s="394"/>
      <c r="BC987" s="394"/>
      <c r="BD987" s="381"/>
      <c r="BE987" s="408"/>
      <c r="BF987" s="385"/>
      <c r="BG987" s="475"/>
      <c r="BH987" s="395"/>
      <c r="BI987" s="395" t="e">
        <f t="shared" si="852"/>
        <v>#DIV/0!</v>
      </c>
    </row>
    <row r="988" spans="1:61" s="358" customFormat="1" ht="19.2" x14ac:dyDescent="0.3">
      <c r="A988" s="359" t="s">
        <v>336</v>
      </c>
      <c r="B988" s="572" t="s">
        <v>1414</v>
      </c>
      <c r="C988" s="546" t="s">
        <v>2638</v>
      </c>
      <c r="D988" s="360">
        <v>0.22</v>
      </c>
      <c r="E988" s="393"/>
      <c r="F988" s="523"/>
      <c r="G988" s="393"/>
      <c r="H988" s="573"/>
      <c r="I988" s="394"/>
      <c r="J988" s="394"/>
      <c r="K988" s="394"/>
      <c r="L988" s="394"/>
      <c r="M988" s="394"/>
      <c r="N988" s="394"/>
      <c r="O988" s="394"/>
      <c r="P988" s="394"/>
      <c r="Q988" s="394"/>
      <c r="R988" s="381"/>
      <c r="S988" s="408"/>
      <c r="T988" s="385"/>
      <c r="U988" s="475"/>
      <c r="V988" s="395"/>
      <c r="W988" s="395"/>
      <c r="X988" s="393"/>
      <c r="Y988" s="523">
        <v>1</v>
      </c>
      <c r="Z988" s="393"/>
      <c r="AA988" s="573">
        <v>8.5933700000000002</v>
      </c>
      <c r="AB988" s="394">
        <v>6.1703400000000004</v>
      </c>
      <c r="AC988" s="394">
        <v>5.2083199999999996</v>
      </c>
      <c r="AD988" s="394"/>
      <c r="AE988" s="394"/>
      <c r="AF988" s="394">
        <v>0</v>
      </c>
      <c r="AG988" s="394">
        <v>0</v>
      </c>
      <c r="AH988" s="394">
        <v>0.56488000000000005</v>
      </c>
      <c r="AI988" s="394">
        <v>5.2083199999999996</v>
      </c>
      <c r="AJ988" s="394"/>
      <c r="AK988" s="381" t="s">
        <v>167</v>
      </c>
      <c r="AL988" s="408" t="s">
        <v>175</v>
      </c>
      <c r="AM988" s="385"/>
      <c r="AN988" s="475">
        <v>536</v>
      </c>
      <c r="AO988" s="395"/>
      <c r="AP988" s="395">
        <f t="shared" si="850"/>
        <v>8.5933700000000002</v>
      </c>
      <c r="AQ988" s="393"/>
      <c r="AR988" s="523"/>
      <c r="AS988" s="393"/>
      <c r="AT988" s="573"/>
      <c r="AU988" s="394"/>
      <c r="AV988" s="394"/>
      <c r="AW988" s="394"/>
      <c r="AX988" s="394"/>
      <c r="AY988" s="394"/>
      <c r="AZ988" s="394"/>
      <c r="BA988" s="394"/>
      <c r="BB988" s="394"/>
      <c r="BC988" s="394"/>
      <c r="BD988" s="381"/>
      <c r="BE988" s="408"/>
      <c r="BF988" s="385"/>
      <c r="BG988" s="475"/>
      <c r="BH988" s="395"/>
      <c r="BI988" s="395" t="e">
        <f t="shared" si="852"/>
        <v>#DIV/0!</v>
      </c>
    </row>
    <row r="989" spans="1:61" s="358" customFormat="1" ht="19.2" x14ac:dyDescent="0.3">
      <c r="A989" s="359" t="s">
        <v>337</v>
      </c>
      <c r="B989" s="572" t="s">
        <v>1414</v>
      </c>
      <c r="C989" s="546" t="s">
        <v>2639</v>
      </c>
      <c r="D989" s="360">
        <v>0.22</v>
      </c>
      <c r="E989" s="393"/>
      <c r="F989" s="523"/>
      <c r="G989" s="393"/>
      <c r="H989" s="573"/>
      <c r="I989" s="394"/>
      <c r="J989" s="394"/>
      <c r="K989" s="394"/>
      <c r="L989" s="394"/>
      <c r="M989" s="394"/>
      <c r="N989" s="394"/>
      <c r="O989" s="394"/>
      <c r="P989" s="394"/>
      <c r="Q989" s="394"/>
      <c r="R989" s="381"/>
      <c r="S989" s="408"/>
      <c r="T989" s="385"/>
      <c r="U989" s="475"/>
      <c r="V989" s="395"/>
      <c r="W989" s="395"/>
      <c r="X989" s="393"/>
      <c r="Y989" s="523">
        <v>1</v>
      </c>
      <c r="Z989" s="393"/>
      <c r="AA989" s="573">
        <v>8.5933600000000006</v>
      </c>
      <c r="AB989" s="394">
        <v>6.1703299999999999</v>
      </c>
      <c r="AC989" s="394">
        <v>5.20831</v>
      </c>
      <c r="AD989" s="394"/>
      <c r="AE989" s="394"/>
      <c r="AF989" s="394">
        <v>0</v>
      </c>
      <c r="AG989" s="394">
        <v>0</v>
      </c>
      <c r="AH989" s="394">
        <v>0.56488000000000005</v>
      </c>
      <c r="AI989" s="394">
        <v>5.20831</v>
      </c>
      <c r="AJ989" s="394"/>
      <c r="AK989" s="381" t="s">
        <v>167</v>
      </c>
      <c r="AL989" s="408" t="s">
        <v>175</v>
      </c>
      <c r="AM989" s="385"/>
      <c r="AN989" s="475">
        <v>537</v>
      </c>
      <c r="AO989" s="395"/>
      <c r="AP989" s="395">
        <f t="shared" si="850"/>
        <v>8.5933600000000006</v>
      </c>
      <c r="AQ989" s="393"/>
      <c r="AR989" s="523"/>
      <c r="AS989" s="393"/>
      <c r="AT989" s="573"/>
      <c r="AU989" s="394"/>
      <c r="AV989" s="394"/>
      <c r="AW989" s="394"/>
      <c r="AX989" s="394"/>
      <c r="AY989" s="394"/>
      <c r="AZ989" s="394"/>
      <c r="BA989" s="394"/>
      <c r="BB989" s="394"/>
      <c r="BC989" s="394"/>
      <c r="BD989" s="381"/>
      <c r="BE989" s="408"/>
      <c r="BF989" s="385"/>
      <c r="BG989" s="475"/>
      <c r="BH989" s="395"/>
      <c r="BI989" s="395" t="e">
        <f t="shared" si="852"/>
        <v>#DIV/0!</v>
      </c>
    </row>
    <row r="990" spans="1:61" s="358" customFormat="1" ht="19.2" x14ac:dyDescent="0.3">
      <c r="A990" s="359" t="s">
        <v>338</v>
      </c>
      <c r="B990" s="572" t="s">
        <v>1414</v>
      </c>
      <c r="C990" s="546" t="s">
        <v>2640</v>
      </c>
      <c r="D990" s="360">
        <v>0.22</v>
      </c>
      <c r="E990" s="393"/>
      <c r="F990" s="523"/>
      <c r="G990" s="393"/>
      <c r="H990" s="573"/>
      <c r="I990" s="394"/>
      <c r="J990" s="394"/>
      <c r="K990" s="394"/>
      <c r="L990" s="394"/>
      <c r="M990" s="394"/>
      <c r="N990" s="394"/>
      <c r="O990" s="394"/>
      <c r="P990" s="394"/>
      <c r="Q990" s="394"/>
      <c r="R990" s="381"/>
      <c r="S990" s="408"/>
      <c r="T990" s="385"/>
      <c r="U990" s="475"/>
      <c r="V990" s="395"/>
      <c r="W990" s="395"/>
      <c r="X990" s="393"/>
      <c r="Y990" s="523">
        <v>1</v>
      </c>
      <c r="Z990" s="393"/>
      <c r="AA990" s="573">
        <v>9.0135299999999994</v>
      </c>
      <c r="AB990" s="394">
        <v>6.5904999999999996</v>
      </c>
      <c r="AC990" s="394">
        <v>5.2083199999999996</v>
      </c>
      <c r="AD990" s="394"/>
      <c r="AE990" s="394"/>
      <c r="AF990" s="394">
        <v>0</v>
      </c>
      <c r="AG990" s="394">
        <v>0</v>
      </c>
      <c r="AH990" s="394">
        <v>0.56488000000000005</v>
      </c>
      <c r="AI990" s="394">
        <v>5.2083199999999996</v>
      </c>
      <c r="AJ990" s="394"/>
      <c r="AK990" s="381" t="s">
        <v>167</v>
      </c>
      <c r="AL990" s="408" t="s">
        <v>175</v>
      </c>
      <c r="AM990" s="385"/>
      <c r="AN990" s="475">
        <v>538</v>
      </c>
      <c r="AO990" s="395"/>
      <c r="AP990" s="395">
        <f t="shared" si="850"/>
        <v>9.0135299999999994</v>
      </c>
      <c r="AQ990" s="393"/>
      <c r="AR990" s="523"/>
      <c r="AS990" s="393"/>
      <c r="AT990" s="573"/>
      <c r="AU990" s="394"/>
      <c r="AV990" s="394"/>
      <c r="AW990" s="394"/>
      <c r="AX990" s="394"/>
      <c r="AY990" s="394"/>
      <c r="AZ990" s="394"/>
      <c r="BA990" s="394"/>
      <c r="BB990" s="394"/>
      <c r="BC990" s="394"/>
      <c r="BD990" s="381"/>
      <c r="BE990" s="408"/>
      <c r="BF990" s="385"/>
      <c r="BG990" s="475"/>
      <c r="BH990" s="395"/>
      <c r="BI990" s="395" t="e">
        <f t="shared" si="852"/>
        <v>#DIV/0!</v>
      </c>
    </row>
    <row r="991" spans="1:61" s="358" customFormat="1" ht="19.2" x14ac:dyDescent="0.3">
      <c r="A991" s="359" t="s">
        <v>339</v>
      </c>
      <c r="B991" s="572" t="s">
        <v>1414</v>
      </c>
      <c r="C991" s="546" t="s">
        <v>2641</v>
      </c>
      <c r="D991" s="360">
        <v>0.22</v>
      </c>
      <c r="E991" s="393"/>
      <c r="F991" s="523"/>
      <c r="G991" s="393"/>
      <c r="H991" s="573"/>
      <c r="I991" s="394"/>
      <c r="J991" s="394"/>
      <c r="K991" s="394"/>
      <c r="L991" s="394"/>
      <c r="M991" s="394"/>
      <c r="N991" s="394"/>
      <c r="O991" s="394"/>
      <c r="P991" s="394"/>
      <c r="Q991" s="394"/>
      <c r="R991" s="381"/>
      <c r="S991" s="408"/>
      <c r="T991" s="385"/>
      <c r="U991" s="475"/>
      <c r="V991" s="395"/>
      <c r="W991" s="395"/>
      <c r="X991" s="393"/>
      <c r="Y991" s="523">
        <v>1</v>
      </c>
      <c r="Z991" s="393"/>
      <c r="AA991" s="573">
        <v>9.0135400000000008</v>
      </c>
      <c r="AB991" s="394">
        <v>6.5905100000000001</v>
      </c>
      <c r="AC991" s="394">
        <v>5.2083199999999996</v>
      </c>
      <c r="AD991" s="394"/>
      <c r="AE991" s="394"/>
      <c r="AF991" s="394">
        <v>0</v>
      </c>
      <c r="AG991" s="394">
        <v>0</v>
      </c>
      <c r="AH991" s="394">
        <v>0.56488000000000005</v>
      </c>
      <c r="AI991" s="394">
        <v>5.2083199999999996</v>
      </c>
      <c r="AJ991" s="394"/>
      <c r="AK991" s="381" t="s">
        <v>167</v>
      </c>
      <c r="AL991" s="408" t="s">
        <v>175</v>
      </c>
      <c r="AM991" s="385"/>
      <c r="AN991" s="475">
        <v>539</v>
      </c>
      <c r="AO991" s="395"/>
      <c r="AP991" s="395">
        <f t="shared" si="850"/>
        <v>9.0135400000000008</v>
      </c>
      <c r="AQ991" s="393"/>
      <c r="AR991" s="523"/>
      <c r="AS991" s="393"/>
      <c r="AT991" s="573"/>
      <c r="AU991" s="394"/>
      <c r="AV991" s="394"/>
      <c r="AW991" s="394"/>
      <c r="AX991" s="394"/>
      <c r="AY991" s="394"/>
      <c r="AZ991" s="394"/>
      <c r="BA991" s="394"/>
      <c r="BB991" s="394"/>
      <c r="BC991" s="394"/>
      <c r="BD991" s="381"/>
      <c r="BE991" s="408"/>
      <c r="BF991" s="385"/>
      <c r="BG991" s="475"/>
      <c r="BH991" s="395"/>
      <c r="BI991" s="395" t="e">
        <f t="shared" si="852"/>
        <v>#DIV/0!</v>
      </c>
    </row>
    <row r="992" spans="1:61" s="358" customFormat="1" ht="19.2" x14ac:dyDescent="0.3">
      <c r="A992" s="359" t="s">
        <v>356</v>
      </c>
      <c r="B992" s="572" t="s">
        <v>3566</v>
      </c>
      <c r="C992" s="546" t="s">
        <v>2642</v>
      </c>
      <c r="D992" s="360">
        <v>0.22</v>
      </c>
      <c r="E992" s="393"/>
      <c r="F992" s="523"/>
      <c r="G992" s="393"/>
      <c r="H992" s="573"/>
      <c r="I992" s="394"/>
      <c r="J992" s="394"/>
      <c r="K992" s="394"/>
      <c r="L992" s="394"/>
      <c r="M992" s="394"/>
      <c r="N992" s="394"/>
      <c r="O992" s="394"/>
      <c r="P992" s="394"/>
      <c r="Q992" s="394"/>
      <c r="R992" s="381"/>
      <c r="S992" s="408"/>
      <c r="T992" s="385"/>
      <c r="U992" s="475"/>
      <c r="V992" s="395"/>
      <c r="W992" s="395"/>
      <c r="X992" s="393"/>
      <c r="Y992" s="523">
        <v>1</v>
      </c>
      <c r="Z992" s="393"/>
      <c r="AA992" s="573">
        <v>9.2469800000000006</v>
      </c>
      <c r="AB992" s="394">
        <v>6.82395</v>
      </c>
      <c r="AC992" s="394">
        <v>5.4598800000000001</v>
      </c>
      <c r="AD992" s="394"/>
      <c r="AE992" s="394"/>
      <c r="AF992" s="394">
        <v>0</v>
      </c>
      <c r="AG992" s="394">
        <v>0</v>
      </c>
      <c r="AH992" s="394">
        <v>0.56488000000000005</v>
      </c>
      <c r="AI992" s="394">
        <v>5.4598800000000001</v>
      </c>
      <c r="AJ992" s="394"/>
      <c r="AK992" s="381" t="s">
        <v>167</v>
      </c>
      <c r="AL992" s="408" t="s">
        <v>175</v>
      </c>
      <c r="AM992" s="385"/>
      <c r="AN992" s="475">
        <v>540</v>
      </c>
      <c r="AO992" s="395"/>
      <c r="AP992" s="395">
        <f t="shared" si="850"/>
        <v>9.2469800000000006</v>
      </c>
      <c r="AQ992" s="393"/>
      <c r="AR992" s="523"/>
      <c r="AS992" s="393"/>
      <c r="AT992" s="573"/>
      <c r="AU992" s="394"/>
      <c r="AV992" s="394"/>
      <c r="AW992" s="394"/>
      <c r="AX992" s="394"/>
      <c r="AY992" s="394"/>
      <c r="AZ992" s="394"/>
      <c r="BA992" s="394"/>
      <c r="BB992" s="394"/>
      <c r="BC992" s="394"/>
      <c r="BD992" s="381"/>
      <c r="BE992" s="408"/>
      <c r="BF992" s="385"/>
      <c r="BG992" s="475"/>
      <c r="BH992" s="395"/>
      <c r="BI992" s="395" t="e">
        <f t="shared" si="852"/>
        <v>#DIV/0!</v>
      </c>
    </row>
    <row r="993" spans="1:61" s="358" customFormat="1" ht="19.2" x14ac:dyDescent="0.3">
      <c r="A993" s="359" t="s">
        <v>341</v>
      </c>
      <c r="B993" s="572" t="s">
        <v>3567</v>
      </c>
      <c r="C993" s="546" t="s">
        <v>2643</v>
      </c>
      <c r="D993" s="360">
        <v>0.22</v>
      </c>
      <c r="E993" s="393"/>
      <c r="F993" s="523"/>
      <c r="G993" s="393"/>
      <c r="H993" s="573"/>
      <c r="I993" s="394"/>
      <c r="J993" s="394"/>
      <c r="K993" s="394"/>
      <c r="L993" s="394"/>
      <c r="M993" s="394"/>
      <c r="N993" s="394"/>
      <c r="O993" s="394"/>
      <c r="P993" s="394"/>
      <c r="Q993" s="394"/>
      <c r="R993" s="381"/>
      <c r="S993" s="408"/>
      <c r="T993" s="385"/>
      <c r="U993" s="475"/>
      <c r="V993" s="395"/>
      <c r="W993" s="395"/>
      <c r="X993" s="393"/>
      <c r="Y993" s="523">
        <v>1</v>
      </c>
      <c r="Z993" s="393"/>
      <c r="AA993" s="573">
        <v>9.2469900000000003</v>
      </c>
      <c r="AB993" s="394">
        <v>6.8239599999999996</v>
      </c>
      <c r="AC993" s="394">
        <v>5.4598800000000001</v>
      </c>
      <c r="AD993" s="394"/>
      <c r="AE993" s="394"/>
      <c r="AF993" s="394">
        <v>0</v>
      </c>
      <c r="AG993" s="394">
        <v>0</v>
      </c>
      <c r="AH993" s="394">
        <v>0.56488000000000005</v>
      </c>
      <c r="AI993" s="394">
        <v>5.4598800000000001</v>
      </c>
      <c r="AJ993" s="394"/>
      <c r="AK993" s="381" t="s">
        <v>167</v>
      </c>
      <c r="AL993" s="408" t="s">
        <v>175</v>
      </c>
      <c r="AM993" s="385"/>
      <c r="AN993" s="475">
        <v>541</v>
      </c>
      <c r="AO993" s="395"/>
      <c r="AP993" s="395">
        <f t="shared" ref="AP993:AP1056" si="854">AA993/Y993</f>
        <v>9.2469900000000003</v>
      </c>
      <c r="AQ993" s="393"/>
      <c r="AR993" s="523"/>
      <c r="AS993" s="393"/>
      <c r="AT993" s="573"/>
      <c r="AU993" s="394"/>
      <c r="AV993" s="394"/>
      <c r="AW993" s="394"/>
      <c r="AX993" s="394"/>
      <c r="AY993" s="394"/>
      <c r="AZ993" s="394"/>
      <c r="BA993" s="394"/>
      <c r="BB993" s="394"/>
      <c r="BC993" s="394"/>
      <c r="BD993" s="381"/>
      <c r="BE993" s="408"/>
      <c r="BF993" s="385"/>
      <c r="BG993" s="475"/>
      <c r="BH993" s="395"/>
      <c r="BI993" s="395" t="e">
        <f t="shared" si="852"/>
        <v>#DIV/0!</v>
      </c>
    </row>
    <row r="994" spans="1:61" s="358" customFormat="1" ht="19.2" x14ac:dyDescent="0.3">
      <c r="A994" s="359" t="s">
        <v>342</v>
      </c>
      <c r="B994" s="572" t="s">
        <v>3568</v>
      </c>
      <c r="C994" s="546" t="s">
        <v>2644</v>
      </c>
      <c r="D994" s="360">
        <v>0.22</v>
      </c>
      <c r="E994" s="393"/>
      <c r="F994" s="523"/>
      <c r="G994" s="393"/>
      <c r="H994" s="573"/>
      <c r="I994" s="394"/>
      <c r="J994" s="394"/>
      <c r="K994" s="394"/>
      <c r="L994" s="394"/>
      <c r="M994" s="394"/>
      <c r="N994" s="394"/>
      <c r="O994" s="394"/>
      <c r="P994" s="394"/>
      <c r="Q994" s="394"/>
      <c r="R994" s="381"/>
      <c r="S994" s="408"/>
      <c r="T994" s="385"/>
      <c r="U994" s="475"/>
      <c r="V994" s="395"/>
      <c r="W994" s="395"/>
      <c r="X994" s="393"/>
      <c r="Y994" s="523">
        <v>1</v>
      </c>
      <c r="Z994" s="393"/>
      <c r="AA994" s="573">
        <v>9.01492</v>
      </c>
      <c r="AB994" s="394">
        <v>6.5918900000000002</v>
      </c>
      <c r="AC994" s="394">
        <v>5.2278599999999997</v>
      </c>
      <c r="AD994" s="394"/>
      <c r="AE994" s="394"/>
      <c r="AF994" s="394">
        <v>0</v>
      </c>
      <c r="AG994" s="394">
        <v>0</v>
      </c>
      <c r="AH994" s="394">
        <v>0.56488000000000005</v>
      </c>
      <c r="AI994" s="394">
        <v>5.2278599999999997</v>
      </c>
      <c r="AJ994" s="394"/>
      <c r="AK994" s="381" t="s">
        <v>167</v>
      </c>
      <c r="AL994" s="408" t="s">
        <v>175</v>
      </c>
      <c r="AM994" s="385"/>
      <c r="AN994" s="475">
        <v>542</v>
      </c>
      <c r="AO994" s="395"/>
      <c r="AP994" s="395">
        <f t="shared" si="854"/>
        <v>9.01492</v>
      </c>
      <c r="AQ994" s="393"/>
      <c r="AR994" s="523"/>
      <c r="AS994" s="393"/>
      <c r="AT994" s="573"/>
      <c r="AU994" s="394"/>
      <c r="AV994" s="394"/>
      <c r="AW994" s="394"/>
      <c r="AX994" s="394"/>
      <c r="AY994" s="394"/>
      <c r="AZ994" s="394"/>
      <c r="BA994" s="394"/>
      <c r="BB994" s="394"/>
      <c r="BC994" s="394"/>
      <c r="BD994" s="381"/>
      <c r="BE994" s="408"/>
      <c r="BF994" s="385"/>
      <c r="BG994" s="475"/>
      <c r="BH994" s="395"/>
      <c r="BI994" s="395" t="e">
        <f t="shared" si="852"/>
        <v>#DIV/0!</v>
      </c>
    </row>
    <row r="995" spans="1:61" s="358" customFormat="1" ht="19.2" x14ac:dyDescent="0.3">
      <c r="A995" s="359" t="s">
        <v>327</v>
      </c>
      <c r="B995" s="572" t="s">
        <v>3569</v>
      </c>
      <c r="C995" s="546" t="s">
        <v>2645</v>
      </c>
      <c r="D995" s="360">
        <v>0.22</v>
      </c>
      <c r="E995" s="393"/>
      <c r="F995" s="523"/>
      <c r="G995" s="393"/>
      <c r="H995" s="573"/>
      <c r="I995" s="394"/>
      <c r="J995" s="394"/>
      <c r="K995" s="394"/>
      <c r="L995" s="394"/>
      <c r="M995" s="394"/>
      <c r="N995" s="394"/>
      <c r="O995" s="394"/>
      <c r="P995" s="394"/>
      <c r="Q995" s="394"/>
      <c r="R995" s="381"/>
      <c r="S995" s="408"/>
      <c r="T995" s="385"/>
      <c r="U995" s="475"/>
      <c r="V995" s="395"/>
      <c r="W995" s="395"/>
      <c r="X995" s="393"/>
      <c r="Y995" s="523">
        <v>1</v>
      </c>
      <c r="Z995" s="393"/>
      <c r="AA995" s="573">
        <v>9.01492</v>
      </c>
      <c r="AB995" s="394">
        <v>6.5918900000000002</v>
      </c>
      <c r="AC995" s="394">
        <v>5.2278599999999997</v>
      </c>
      <c r="AD995" s="394"/>
      <c r="AE995" s="394"/>
      <c r="AF995" s="394">
        <v>0</v>
      </c>
      <c r="AG995" s="394">
        <v>0</v>
      </c>
      <c r="AH995" s="394">
        <v>0.56488000000000005</v>
      </c>
      <c r="AI995" s="394">
        <v>5.2278599999999997</v>
      </c>
      <c r="AJ995" s="394"/>
      <c r="AK995" s="381" t="s">
        <v>167</v>
      </c>
      <c r="AL995" s="408" t="s">
        <v>175</v>
      </c>
      <c r="AM995" s="385"/>
      <c r="AN995" s="475">
        <v>543</v>
      </c>
      <c r="AO995" s="395"/>
      <c r="AP995" s="395">
        <f t="shared" si="854"/>
        <v>9.01492</v>
      </c>
      <c r="AQ995" s="393"/>
      <c r="AR995" s="523"/>
      <c r="AS995" s="393"/>
      <c r="AT995" s="573"/>
      <c r="AU995" s="394"/>
      <c r="AV995" s="394"/>
      <c r="AW995" s="394"/>
      <c r="AX995" s="394"/>
      <c r="AY995" s="394"/>
      <c r="AZ995" s="394"/>
      <c r="BA995" s="394"/>
      <c r="BB995" s="394"/>
      <c r="BC995" s="394"/>
      <c r="BD995" s="381"/>
      <c r="BE995" s="408"/>
      <c r="BF995" s="385"/>
      <c r="BG995" s="475"/>
      <c r="BH995" s="395"/>
      <c r="BI995" s="395" t="e">
        <f t="shared" si="852"/>
        <v>#DIV/0!</v>
      </c>
    </row>
    <row r="996" spans="1:61" s="358" customFormat="1" ht="19.2" x14ac:dyDescent="0.3">
      <c r="A996" s="359" t="s">
        <v>360</v>
      </c>
      <c r="B996" s="572" t="s">
        <v>2421</v>
      </c>
      <c r="C996" s="546" t="s">
        <v>2420</v>
      </c>
      <c r="D996" s="360">
        <v>0.22</v>
      </c>
      <c r="E996" s="393"/>
      <c r="F996" s="523"/>
      <c r="G996" s="393"/>
      <c r="H996" s="573"/>
      <c r="I996" s="394"/>
      <c r="J996" s="394"/>
      <c r="K996" s="394"/>
      <c r="L996" s="394"/>
      <c r="M996" s="394"/>
      <c r="N996" s="394"/>
      <c r="O996" s="394"/>
      <c r="P996" s="394"/>
      <c r="Q996" s="394"/>
      <c r="R996" s="381"/>
      <c r="S996" s="408"/>
      <c r="T996" s="385"/>
      <c r="U996" s="475"/>
      <c r="V996" s="395"/>
      <c r="W996" s="395"/>
      <c r="X996" s="393"/>
      <c r="Y996" s="523">
        <v>1</v>
      </c>
      <c r="Z996" s="393"/>
      <c r="AA996" s="573">
        <v>9.0149299999999997</v>
      </c>
      <c r="AB996" s="394">
        <v>6.5918999999999999</v>
      </c>
      <c r="AC996" s="394">
        <v>5.2278599999999997</v>
      </c>
      <c r="AD996" s="394"/>
      <c r="AE996" s="394"/>
      <c r="AF996" s="394">
        <v>0</v>
      </c>
      <c r="AG996" s="394">
        <v>0</v>
      </c>
      <c r="AH996" s="394">
        <v>0.56488000000000005</v>
      </c>
      <c r="AI996" s="394">
        <v>5.2278599999999997</v>
      </c>
      <c r="AJ996" s="394"/>
      <c r="AK996" s="381" t="s">
        <v>167</v>
      </c>
      <c r="AL996" s="408" t="s">
        <v>175</v>
      </c>
      <c r="AM996" s="385"/>
      <c r="AN996" s="475">
        <v>544</v>
      </c>
      <c r="AO996" s="395"/>
      <c r="AP996" s="395">
        <f t="shared" si="854"/>
        <v>9.0149299999999997</v>
      </c>
      <c r="AQ996" s="393"/>
      <c r="AR996" s="523"/>
      <c r="AS996" s="393"/>
      <c r="AT996" s="573"/>
      <c r="AU996" s="394"/>
      <c r="AV996" s="394"/>
      <c r="AW996" s="394"/>
      <c r="AX996" s="394"/>
      <c r="AY996" s="394"/>
      <c r="AZ996" s="394"/>
      <c r="BA996" s="394"/>
      <c r="BB996" s="394"/>
      <c r="BC996" s="394"/>
      <c r="BD996" s="381"/>
      <c r="BE996" s="408"/>
      <c r="BF996" s="385"/>
      <c r="BG996" s="475"/>
      <c r="BH996" s="395"/>
      <c r="BI996" s="395" t="e">
        <f t="shared" si="852"/>
        <v>#DIV/0!</v>
      </c>
    </row>
    <row r="997" spans="1:61" s="358" customFormat="1" ht="19.2" x14ac:dyDescent="0.3">
      <c r="A997" s="359" t="s">
        <v>345</v>
      </c>
      <c r="B997" s="572" t="s">
        <v>3570</v>
      </c>
      <c r="C997" s="546" t="s">
        <v>2646</v>
      </c>
      <c r="D997" s="360">
        <v>0.22</v>
      </c>
      <c r="E997" s="393"/>
      <c r="F997" s="523"/>
      <c r="G997" s="393"/>
      <c r="H997" s="573"/>
      <c r="I997" s="394"/>
      <c r="J997" s="394"/>
      <c r="K997" s="394"/>
      <c r="L997" s="394"/>
      <c r="M997" s="394"/>
      <c r="N997" s="394"/>
      <c r="O997" s="394"/>
      <c r="P997" s="394"/>
      <c r="Q997" s="394"/>
      <c r="R997" s="381"/>
      <c r="S997" s="408"/>
      <c r="T997" s="385"/>
      <c r="U997" s="475"/>
      <c r="V997" s="395"/>
      <c r="W997" s="395"/>
      <c r="X997" s="393"/>
      <c r="Y997" s="523">
        <v>1</v>
      </c>
      <c r="Z997" s="393"/>
      <c r="AA997" s="573">
        <v>6.5156700000000001</v>
      </c>
      <c r="AB997" s="394">
        <v>5.6287599999999998</v>
      </c>
      <c r="AC997" s="394">
        <v>5.4403800000000002</v>
      </c>
      <c r="AD997" s="394"/>
      <c r="AE997" s="394"/>
      <c r="AF997" s="394">
        <v>0</v>
      </c>
      <c r="AG997" s="394">
        <v>0</v>
      </c>
      <c r="AH997" s="394">
        <v>0.20676</v>
      </c>
      <c r="AI997" s="394">
        <v>5.4403800000000002</v>
      </c>
      <c r="AJ997" s="394"/>
      <c r="AK997" s="381" t="s">
        <v>167</v>
      </c>
      <c r="AL997" s="408" t="s">
        <v>175</v>
      </c>
      <c r="AM997" s="385"/>
      <c r="AN997" s="475">
        <v>545</v>
      </c>
      <c r="AO997" s="395"/>
      <c r="AP997" s="395">
        <f t="shared" si="854"/>
        <v>6.5156700000000001</v>
      </c>
      <c r="AQ997" s="393"/>
      <c r="AR997" s="523"/>
      <c r="AS997" s="393"/>
      <c r="AT997" s="573"/>
      <c r="AU997" s="394"/>
      <c r="AV997" s="394"/>
      <c r="AW997" s="394"/>
      <c r="AX997" s="394"/>
      <c r="AY997" s="394"/>
      <c r="AZ997" s="394"/>
      <c r="BA997" s="394"/>
      <c r="BB997" s="394"/>
      <c r="BC997" s="394"/>
      <c r="BD997" s="381"/>
      <c r="BE997" s="408"/>
      <c r="BF997" s="385"/>
      <c r="BG997" s="475"/>
      <c r="BH997" s="395"/>
      <c r="BI997" s="395" t="e">
        <f t="shared" si="852"/>
        <v>#DIV/0!</v>
      </c>
    </row>
    <row r="998" spans="1:61" s="358" customFormat="1" ht="19.2" x14ac:dyDescent="0.3">
      <c r="A998" s="359" t="s">
        <v>346</v>
      </c>
      <c r="B998" s="572" t="s">
        <v>3571</v>
      </c>
      <c r="C998" s="546" t="s">
        <v>2647</v>
      </c>
      <c r="D998" s="360">
        <v>0.22</v>
      </c>
      <c r="E998" s="393"/>
      <c r="F998" s="523"/>
      <c r="G998" s="393"/>
      <c r="H998" s="573"/>
      <c r="I998" s="394"/>
      <c r="J998" s="394"/>
      <c r="K998" s="394"/>
      <c r="L998" s="394"/>
      <c r="M998" s="394"/>
      <c r="N998" s="394"/>
      <c r="O998" s="394"/>
      <c r="P998" s="394"/>
      <c r="Q998" s="394"/>
      <c r="R998" s="381"/>
      <c r="S998" s="408"/>
      <c r="T998" s="385"/>
      <c r="U998" s="475"/>
      <c r="V998" s="395"/>
      <c r="W998" s="395"/>
      <c r="X998" s="393"/>
      <c r="Y998" s="523">
        <v>1</v>
      </c>
      <c r="Z998" s="393"/>
      <c r="AA998" s="573">
        <v>6.5156700000000001</v>
      </c>
      <c r="AB998" s="394">
        <v>5.6287599999999998</v>
      </c>
      <c r="AC998" s="394">
        <v>5.4402799999999996</v>
      </c>
      <c r="AD998" s="394"/>
      <c r="AE998" s="394"/>
      <c r="AF998" s="394">
        <v>0</v>
      </c>
      <c r="AG998" s="394">
        <v>0</v>
      </c>
      <c r="AH998" s="394">
        <v>0.20676</v>
      </c>
      <c r="AI998" s="394">
        <v>5.4402799999999996</v>
      </c>
      <c r="AJ998" s="394"/>
      <c r="AK998" s="381" t="s">
        <v>167</v>
      </c>
      <c r="AL998" s="408" t="s">
        <v>175</v>
      </c>
      <c r="AM998" s="385"/>
      <c r="AN998" s="475">
        <v>546</v>
      </c>
      <c r="AO998" s="395"/>
      <c r="AP998" s="395">
        <f t="shared" si="854"/>
        <v>6.5156700000000001</v>
      </c>
      <c r="AQ998" s="393"/>
      <c r="AR998" s="523"/>
      <c r="AS998" s="393"/>
      <c r="AT998" s="573"/>
      <c r="AU998" s="394"/>
      <c r="AV998" s="394"/>
      <c r="AW998" s="394"/>
      <c r="AX998" s="394"/>
      <c r="AY998" s="394"/>
      <c r="AZ998" s="394"/>
      <c r="BA998" s="394"/>
      <c r="BB998" s="394"/>
      <c r="BC998" s="394"/>
      <c r="BD998" s="381"/>
      <c r="BE998" s="408"/>
      <c r="BF998" s="385"/>
      <c r="BG998" s="475"/>
      <c r="BH998" s="395"/>
      <c r="BI998" s="395" t="e">
        <f t="shared" si="852"/>
        <v>#DIV/0!</v>
      </c>
    </row>
    <row r="999" spans="1:61" s="358" customFormat="1" ht="19.2" x14ac:dyDescent="0.3">
      <c r="A999" s="359" t="s">
        <v>347</v>
      </c>
      <c r="B999" s="572" t="s">
        <v>3572</v>
      </c>
      <c r="C999" s="546" t="s">
        <v>2648</v>
      </c>
      <c r="D999" s="360">
        <v>0.22</v>
      </c>
      <c r="E999" s="393"/>
      <c r="F999" s="523"/>
      <c r="G999" s="393"/>
      <c r="H999" s="573"/>
      <c r="I999" s="394"/>
      <c r="J999" s="394"/>
      <c r="K999" s="394"/>
      <c r="L999" s="394"/>
      <c r="M999" s="394"/>
      <c r="N999" s="394"/>
      <c r="O999" s="394"/>
      <c r="P999" s="394"/>
      <c r="Q999" s="394"/>
      <c r="R999" s="381"/>
      <c r="S999" s="408"/>
      <c r="T999" s="385"/>
      <c r="U999" s="475"/>
      <c r="V999" s="395"/>
      <c r="W999" s="395"/>
      <c r="X999" s="393"/>
      <c r="Y999" s="523">
        <v>1</v>
      </c>
      <c r="Z999" s="393"/>
      <c r="AA999" s="573">
        <v>9.2469800000000006</v>
      </c>
      <c r="AB999" s="394">
        <v>6.82395</v>
      </c>
      <c r="AC999" s="394">
        <v>5.4598800000000001</v>
      </c>
      <c r="AD999" s="394"/>
      <c r="AE999" s="394"/>
      <c r="AF999" s="394">
        <v>0</v>
      </c>
      <c r="AG999" s="394">
        <v>0</v>
      </c>
      <c r="AH999" s="394">
        <v>0.56488000000000005</v>
      </c>
      <c r="AI999" s="394">
        <v>5.4598800000000001</v>
      </c>
      <c r="AJ999" s="394"/>
      <c r="AK999" s="381" t="s">
        <v>167</v>
      </c>
      <c r="AL999" s="408" t="s">
        <v>175</v>
      </c>
      <c r="AM999" s="385"/>
      <c r="AN999" s="475">
        <v>547</v>
      </c>
      <c r="AO999" s="395"/>
      <c r="AP999" s="395">
        <f t="shared" si="854"/>
        <v>9.2469800000000006</v>
      </c>
      <c r="AQ999" s="393"/>
      <c r="AR999" s="523"/>
      <c r="AS999" s="393"/>
      <c r="AT999" s="573"/>
      <c r="AU999" s="394"/>
      <c r="AV999" s="394"/>
      <c r="AW999" s="394"/>
      <c r="AX999" s="394"/>
      <c r="AY999" s="394"/>
      <c r="AZ999" s="394"/>
      <c r="BA999" s="394"/>
      <c r="BB999" s="394"/>
      <c r="BC999" s="394"/>
      <c r="BD999" s="381"/>
      <c r="BE999" s="408"/>
      <c r="BF999" s="385"/>
      <c r="BG999" s="475"/>
      <c r="BH999" s="395"/>
      <c r="BI999" s="395" t="e">
        <f t="shared" si="852"/>
        <v>#DIV/0!</v>
      </c>
    </row>
    <row r="1000" spans="1:61" s="358" customFormat="1" ht="19.2" x14ac:dyDescent="0.3">
      <c r="A1000" s="359" t="s">
        <v>348</v>
      </c>
      <c r="B1000" s="572" t="s">
        <v>3573</v>
      </c>
      <c r="C1000" s="546" t="s">
        <v>2649</v>
      </c>
      <c r="D1000" s="360">
        <v>0.22</v>
      </c>
      <c r="E1000" s="393"/>
      <c r="F1000" s="523"/>
      <c r="G1000" s="393"/>
      <c r="H1000" s="573"/>
      <c r="I1000" s="394"/>
      <c r="J1000" s="394"/>
      <c r="K1000" s="394"/>
      <c r="L1000" s="394"/>
      <c r="M1000" s="394"/>
      <c r="N1000" s="394"/>
      <c r="O1000" s="394"/>
      <c r="P1000" s="394"/>
      <c r="Q1000" s="394"/>
      <c r="R1000" s="381"/>
      <c r="S1000" s="408"/>
      <c r="T1000" s="385"/>
      <c r="U1000" s="475"/>
      <c r="V1000" s="395"/>
      <c r="W1000" s="395"/>
      <c r="X1000" s="393"/>
      <c r="Y1000" s="523">
        <v>1</v>
      </c>
      <c r="Z1000" s="393"/>
      <c r="AA1000" s="573">
        <v>6.5156700000000001</v>
      </c>
      <c r="AB1000" s="394">
        <v>5.6287599999999998</v>
      </c>
      <c r="AC1000" s="394">
        <v>5.4403800000000002</v>
      </c>
      <c r="AD1000" s="394"/>
      <c r="AE1000" s="394"/>
      <c r="AF1000" s="394">
        <v>0</v>
      </c>
      <c r="AG1000" s="394">
        <v>0</v>
      </c>
      <c r="AH1000" s="394">
        <v>0.20676</v>
      </c>
      <c r="AI1000" s="394">
        <v>5.4403800000000002</v>
      </c>
      <c r="AJ1000" s="394"/>
      <c r="AK1000" s="381" t="s">
        <v>167</v>
      </c>
      <c r="AL1000" s="408" t="s">
        <v>175</v>
      </c>
      <c r="AM1000" s="385"/>
      <c r="AN1000" s="475">
        <v>548</v>
      </c>
      <c r="AO1000" s="395"/>
      <c r="AP1000" s="395">
        <f t="shared" si="854"/>
        <v>6.5156700000000001</v>
      </c>
      <c r="AQ1000" s="393"/>
      <c r="AR1000" s="523"/>
      <c r="AS1000" s="393"/>
      <c r="AT1000" s="573"/>
      <c r="AU1000" s="394"/>
      <c r="AV1000" s="394"/>
      <c r="AW1000" s="394"/>
      <c r="AX1000" s="394"/>
      <c r="AY1000" s="394"/>
      <c r="AZ1000" s="394"/>
      <c r="BA1000" s="394"/>
      <c r="BB1000" s="394"/>
      <c r="BC1000" s="394"/>
      <c r="BD1000" s="381"/>
      <c r="BE1000" s="408"/>
      <c r="BF1000" s="385"/>
      <c r="BG1000" s="475"/>
      <c r="BH1000" s="395"/>
      <c r="BI1000" s="395" t="e">
        <f t="shared" si="852"/>
        <v>#DIV/0!</v>
      </c>
    </row>
    <row r="1001" spans="1:61" s="358" customFormat="1" ht="19.2" x14ac:dyDescent="0.3">
      <c r="A1001" s="359" t="s">
        <v>349</v>
      </c>
      <c r="B1001" s="572" t="s">
        <v>3574</v>
      </c>
      <c r="C1001" s="546" t="s">
        <v>2650</v>
      </c>
      <c r="D1001" s="360">
        <v>0.22</v>
      </c>
      <c r="E1001" s="393"/>
      <c r="F1001" s="523"/>
      <c r="G1001" s="393"/>
      <c r="H1001" s="573"/>
      <c r="I1001" s="394"/>
      <c r="J1001" s="394"/>
      <c r="K1001" s="394"/>
      <c r="L1001" s="394"/>
      <c r="M1001" s="394"/>
      <c r="N1001" s="394"/>
      <c r="O1001" s="394"/>
      <c r="P1001" s="394"/>
      <c r="Q1001" s="394"/>
      <c r="R1001" s="381"/>
      <c r="S1001" s="408"/>
      <c r="T1001" s="385"/>
      <c r="U1001" s="475"/>
      <c r="V1001" s="395"/>
      <c r="W1001" s="395"/>
      <c r="X1001" s="393"/>
      <c r="Y1001" s="523">
        <v>1</v>
      </c>
      <c r="Z1001" s="393"/>
      <c r="AA1001" s="573">
        <v>6.5156700000000001</v>
      </c>
      <c r="AB1001" s="394">
        <v>5.6287599999999998</v>
      </c>
      <c r="AC1001" s="394">
        <v>5.4403800000000002</v>
      </c>
      <c r="AD1001" s="394"/>
      <c r="AE1001" s="394"/>
      <c r="AF1001" s="394">
        <v>0</v>
      </c>
      <c r="AG1001" s="394">
        <v>0</v>
      </c>
      <c r="AH1001" s="394">
        <v>0.20676</v>
      </c>
      <c r="AI1001" s="394">
        <v>5.4403800000000002</v>
      </c>
      <c r="AJ1001" s="394"/>
      <c r="AK1001" s="381" t="s">
        <v>167</v>
      </c>
      <c r="AL1001" s="408" t="s">
        <v>175</v>
      </c>
      <c r="AM1001" s="385"/>
      <c r="AN1001" s="475">
        <v>549</v>
      </c>
      <c r="AO1001" s="395"/>
      <c r="AP1001" s="395">
        <f t="shared" si="854"/>
        <v>6.5156700000000001</v>
      </c>
      <c r="AQ1001" s="393"/>
      <c r="AR1001" s="523"/>
      <c r="AS1001" s="393"/>
      <c r="AT1001" s="573"/>
      <c r="AU1001" s="394"/>
      <c r="AV1001" s="394"/>
      <c r="AW1001" s="394"/>
      <c r="AX1001" s="394"/>
      <c r="AY1001" s="394"/>
      <c r="AZ1001" s="394"/>
      <c r="BA1001" s="394"/>
      <c r="BB1001" s="394"/>
      <c r="BC1001" s="394"/>
      <c r="BD1001" s="381"/>
      <c r="BE1001" s="408"/>
      <c r="BF1001" s="385"/>
      <c r="BG1001" s="475"/>
      <c r="BH1001" s="395"/>
      <c r="BI1001" s="395" t="e">
        <f t="shared" si="852"/>
        <v>#DIV/0!</v>
      </c>
    </row>
    <row r="1002" spans="1:61" s="358" customFormat="1" ht="19.2" x14ac:dyDescent="0.3">
      <c r="A1002" s="359" t="s">
        <v>350</v>
      </c>
      <c r="B1002" s="572" t="s">
        <v>3575</v>
      </c>
      <c r="C1002" s="546" t="s">
        <v>2651</v>
      </c>
      <c r="D1002" s="360">
        <v>0.22</v>
      </c>
      <c r="E1002" s="393"/>
      <c r="F1002" s="523"/>
      <c r="G1002" s="393"/>
      <c r="H1002" s="573"/>
      <c r="I1002" s="394"/>
      <c r="J1002" s="394"/>
      <c r="K1002" s="394"/>
      <c r="L1002" s="394"/>
      <c r="M1002" s="394"/>
      <c r="N1002" s="394"/>
      <c r="O1002" s="394"/>
      <c r="P1002" s="394"/>
      <c r="Q1002" s="394"/>
      <c r="R1002" s="381"/>
      <c r="S1002" s="408"/>
      <c r="T1002" s="385"/>
      <c r="U1002" s="475"/>
      <c r="V1002" s="395"/>
      <c r="W1002" s="395"/>
      <c r="X1002" s="393"/>
      <c r="Y1002" s="523">
        <v>1</v>
      </c>
      <c r="Z1002" s="393"/>
      <c r="AA1002" s="573">
        <v>6.5156700000000001</v>
      </c>
      <c r="AB1002" s="394">
        <v>5.6287599999999998</v>
      </c>
      <c r="AC1002" s="394">
        <v>5.4403800000000002</v>
      </c>
      <c r="AD1002" s="394"/>
      <c r="AE1002" s="394"/>
      <c r="AF1002" s="394">
        <v>0</v>
      </c>
      <c r="AG1002" s="394">
        <v>0</v>
      </c>
      <c r="AH1002" s="394">
        <v>0.20676</v>
      </c>
      <c r="AI1002" s="394">
        <v>5.4403800000000002</v>
      </c>
      <c r="AJ1002" s="394"/>
      <c r="AK1002" s="381" t="s">
        <v>167</v>
      </c>
      <c r="AL1002" s="408" t="s">
        <v>175</v>
      </c>
      <c r="AM1002" s="385"/>
      <c r="AN1002" s="475">
        <v>550</v>
      </c>
      <c r="AO1002" s="395"/>
      <c r="AP1002" s="395">
        <f t="shared" si="854"/>
        <v>6.5156700000000001</v>
      </c>
      <c r="AQ1002" s="393"/>
      <c r="AR1002" s="523"/>
      <c r="AS1002" s="393"/>
      <c r="AT1002" s="573"/>
      <c r="AU1002" s="394"/>
      <c r="AV1002" s="394"/>
      <c r="AW1002" s="394"/>
      <c r="AX1002" s="394"/>
      <c r="AY1002" s="394"/>
      <c r="AZ1002" s="394"/>
      <c r="BA1002" s="394"/>
      <c r="BB1002" s="394"/>
      <c r="BC1002" s="394"/>
      <c r="BD1002" s="381"/>
      <c r="BE1002" s="408"/>
      <c r="BF1002" s="385"/>
      <c r="BG1002" s="475"/>
      <c r="BH1002" s="395"/>
      <c r="BI1002" s="395" t="e">
        <f t="shared" si="852"/>
        <v>#DIV/0!</v>
      </c>
    </row>
    <row r="1003" spans="1:61" s="358" customFormat="1" ht="19.2" x14ac:dyDescent="0.3">
      <c r="A1003" s="359" t="s">
        <v>351</v>
      </c>
      <c r="B1003" s="572" t="s">
        <v>3576</v>
      </c>
      <c r="C1003" s="546" t="s">
        <v>2652</v>
      </c>
      <c r="D1003" s="360">
        <v>0.22</v>
      </c>
      <c r="E1003" s="393"/>
      <c r="F1003" s="523"/>
      <c r="G1003" s="393"/>
      <c r="H1003" s="573"/>
      <c r="I1003" s="394"/>
      <c r="J1003" s="394"/>
      <c r="K1003" s="394"/>
      <c r="L1003" s="394"/>
      <c r="M1003" s="394"/>
      <c r="N1003" s="394"/>
      <c r="O1003" s="394"/>
      <c r="P1003" s="394"/>
      <c r="Q1003" s="394"/>
      <c r="R1003" s="381"/>
      <c r="S1003" s="408"/>
      <c r="T1003" s="385"/>
      <c r="U1003" s="475"/>
      <c r="V1003" s="395"/>
      <c r="W1003" s="395"/>
      <c r="X1003" s="393"/>
      <c r="Y1003" s="523">
        <v>1</v>
      </c>
      <c r="Z1003" s="393"/>
      <c r="AA1003" s="573">
        <v>6.5156599999999996</v>
      </c>
      <c r="AB1003" s="394">
        <v>5.6287500000000001</v>
      </c>
      <c r="AC1003" s="394">
        <v>5.4403699999999997</v>
      </c>
      <c r="AD1003" s="394"/>
      <c r="AE1003" s="394"/>
      <c r="AF1003" s="394">
        <v>0</v>
      </c>
      <c r="AG1003" s="394">
        <v>0</v>
      </c>
      <c r="AH1003" s="394">
        <v>0.20676</v>
      </c>
      <c r="AI1003" s="394">
        <v>5.4403699999999997</v>
      </c>
      <c r="AJ1003" s="394"/>
      <c r="AK1003" s="381" t="s">
        <v>167</v>
      </c>
      <c r="AL1003" s="408" t="s">
        <v>175</v>
      </c>
      <c r="AM1003" s="385"/>
      <c r="AN1003" s="475">
        <v>551</v>
      </c>
      <c r="AO1003" s="395"/>
      <c r="AP1003" s="395">
        <f t="shared" si="854"/>
        <v>6.5156599999999996</v>
      </c>
      <c r="AQ1003" s="393"/>
      <c r="AR1003" s="523"/>
      <c r="AS1003" s="393"/>
      <c r="AT1003" s="573"/>
      <c r="AU1003" s="394"/>
      <c r="AV1003" s="394"/>
      <c r="AW1003" s="394"/>
      <c r="AX1003" s="394"/>
      <c r="AY1003" s="394"/>
      <c r="AZ1003" s="394"/>
      <c r="BA1003" s="394"/>
      <c r="BB1003" s="394"/>
      <c r="BC1003" s="394"/>
      <c r="BD1003" s="381"/>
      <c r="BE1003" s="408"/>
      <c r="BF1003" s="385"/>
      <c r="BG1003" s="475"/>
      <c r="BH1003" s="395"/>
      <c r="BI1003" s="395" t="e">
        <f t="shared" si="852"/>
        <v>#DIV/0!</v>
      </c>
    </row>
    <row r="1004" spans="1:61" s="358" customFormat="1" ht="19.2" x14ac:dyDescent="0.3">
      <c r="A1004" s="359" t="s">
        <v>352</v>
      </c>
      <c r="B1004" s="572" t="s">
        <v>2273</v>
      </c>
      <c r="C1004" s="546" t="s">
        <v>2272</v>
      </c>
      <c r="D1004" s="360">
        <v>0.22</v>
      </c>
      <c r="E1004" s="393"/>
      <c r="F1004" s="523"/>
      <c r="G1004" s="393"/>
      <c r="H1004" s="573"/>
      <c r="I1004" s="394"/>
      <c r="J1004" s="394"/>
      <c r="K1004" s="394"/>
      <c r="L1004" s="394"/>
      <c r="M1004" s="394"/>
      <c r="N1004" s="394"/>
      <c r="O1004" s="394"/>
      <c r="P1004" s="394"/>
      <c r="Q1004" s="394"/>
      <c r="R1004" s="381"/>
      <c r="S1004" s="408"/>
      <c r="T1004" s="385"/>
      <c r="U1004" s="475"/>
      <c r="V1004" s="395"/>
      <c r="W1004" s="395"/>
      <c r="X1004" s="393"/>
      <c r="Y1004" s="523">
        <v>1</v>
      </c>
      <c r="Z1004" s="393"/>
      <c r="AA1004" s="573">
        <v>9.2469800000000006</v>
      </c>
      <c r="AB1004" s="394">
        <v>6.82395</v>
      </c>
      <c r="AC1004" s="394">
        <v>5.4598800000000001</v>
      </c>
      <c r="AD1004" s="394"/>
      <c r="AE1004" s="394"/>
      <c r="AF1004" s="394">
        <v>0</v>
      </c>
      <c r="AG1004" s="394">
        <v>0</v>
      </c>
      <c r="AH1004" s="394">
        <v>0.56488000000000005</v>
      </c>
      <c r="AI1004" s="394">
        <v>5.4598800000000001</v>
      </c>
      <c r="AJ1004" s="394"/>
      <c r="AK1004" s="381" t="s">
        <v>167</v>
      </c>
      <c r="AL1004" s="408" t="s">
        <v>175</v>
      </c>
      <c r="AM1004" s="385"/>
      <c r="AN1004" s="475">
        <v>552</v>
      </c>
      <c r="AO1004" s="395"/>
      <c r="AP1004" s="395">
        <f t="shared" si="854"/>
        <v>9.2469800000000006</v>
      </c>
      <c r="AQ1004" s="393"/>
      <c r="AR1004" s="523"/>
      <c r="AS1004" s="393"/>
      <c r="AT1004" s="573"/>
      <c r="AU1004" s="394"/>
      <c r="AV1004" s="394"/>
      <c r="AW1004" s="394"/>
      <c r="AX1004" s="394"/>
      <c r="AY1004" s="394"/>
      <c r="AZ1004" s="394"/>
      <c r="BA1004" s="394"/>
      <c r="BB1004" s="394"/>
      <c r="BC1004" s="394"/>
      <c r="BD1004" s="381"/>
      <c r="BE1004" s="408"/>
      <c r="BF1004" s="385"/>
      <c r="BG1004" s="475"/>
      <c r="BH1004" s="395"/>
      <c r="BI1004" s="395" t="e">
        <f t="shared" ref="BI1004:BI1067" si="855">AT1004/AR1004</f>
        <v>#DIV/0!</v>
      </c>
    </row>
    <row r="1005" spans="1:61" s="358" customFormat="1" ht="19.2" x14ac:dyDescent="0.3">
      <c r="A1005" s="359" t="s">
        <v>353</v>
      </c>
      <c r="B1005" s="572" t="s">
        <v>3577</v>
      </c>
      <c r="C1005" s="546" t="s">
        <v>2653</v>
      </c>
      <c r="D1005" s="360">
        <v>0.22</v>
      </c>
      <c r="E1005" s="393"/>
      <c r="F1005" s="523"/>
      <c r="G1005" s="393"/>
      <c r="H1005" s="573"/>
      <c r="I1005" s="394"/>
      <c r="J1005" s="394"/>
      <c r="K1005" s="394"/>
      <c r="L1005" s="394"/>
      <c r="M1005" s="394"/>
      <c r="N1005" s="394"/>
      <c r="O1005" s="394"/>
      <c r="P1005" s="394"/>
      <c r="Q1005" s="394"/>
      <c r="R1005" s="381"/>
      <c r="S1005" s="408"/>
      <c r="T1005" s="385"/>
      <c r="U1005" s="475"/>
      <c r="V1005" s="395"/>
      <c r="W1005" s="395"/>
      <c r="X1005" s="393"/>
      <c r="Y1005" s="523">
        <v>1</v>
      </c>
      <c r="Z1005" s="393"/>
      <c r="AA1005" s="573">
        <v>9.2469800000000006</v>
      </c>
      <c r="AB1005" s="394">
        <v>6.82395</v>
      </c>
      <c r="AC1005" s="394">
        <v>5.4598800000000001</v>
      </c>
      <c r="AD1005" s="394"/>
      <c r="AE1005" s="394"/>
      <c r="AF1005" s="394">
        <v>0</v>
      </c>
      <c r="AG1005" s="394">
        <v>0</v>
      </c>
      <c r="AH1005" s="394">
        <v>0.56488000000000005</v>
      </c>
      <c r="AI1005" s="394">
        <v>5.4598800000000001</v>
      </c>
      <c r="AJ1005" s="394"/>
      <c r="AK1005" s="381" t="s">
        <v>167</v>
      </c>
      <c r="AL1005" s="408" t="s">
        <v>175</v>
      </c>
      <c r="AM1005" s="385"/>
      <c r="AN1005" s="475">
        <v>553</v>
      </c>
      <c r="AO1005" s="395"/>
      <c r="AP1005" s="395">
        <f t="shared" si="854"/>
        <v>9.2469800000000006</v>
      </c>
      <c r="AQ1005" s="393"/>
      <c r="AR1005" s="523"/>
      <c r="AS1005" s="393"/>
      <c r="AT1005" s="573"/>
      <c r="AU1005" s="394"/>
      <c r="AV1005" s="394"/>
      <c r="AW1005" s="394"/>
      <c r="AX1005" s="394"/>
      <c r="AY1005" s="394"/>
      <c r="AZ1005" s="394"/>
      <c r="BA1005" s="394"/>
      <c r="BB1005" s="394"/>
      <c r="BC1005" s="394"/>
      <c r="BD1005" s="381"/>
      <c r="BE1005" s="408"/>
      <c r="BF1005" s="385"/>
      <c r="BG1005" s="475"/>
      <c r="BH1005" s="395"/>
      <c r="BI1005" s="395" t="e">
        <f t="shared" si="855"/>
        <v>#DIV/0!</v>
      </c>
    </row>
    <row r="1006" spans="1:61" s="358" customFormat="1" ht="19.2" x14ac:dyDescent="0.3">
      <c r="A1006" s="359" t="s">
        <v>354</v>
      </c>
      <c r="B1006" s="572" t="s">
        <v>3578</v>
      </c>
      <c r="C1006" s="546" t="s">
        <v>2654</v>
      </c>
      <c r="D1006" s="360">
        <v>0.22</v>
      </c>
      <c r="E1006" s="393"/>
      <c r="F1006" s="523"/>
      <c r="G1006" s="393"/>
      <c r="H1006" s="573"/>
      <c r="I1006" s="394"/>
      <c r="J1006" s="394"/>
      <c r="K1006" s="394"/>
      <c r="L1006" s="394"/>
      <c r="M1006" s="394"/>
      <c r="N1006" s="394"/>
      <c r="O1006" s="394"/>
      <c r="P1006" s="394"/>
      <c r="Q1006" s="394"/>
      <c r="R1006" s="381"/>
      <c r="S1006" s="408"/>
      <c r="T1006" s="385"/>
      <c r="U1006" s="475"/>
      <c r="V1006" s="395"/>
      <c r="W1006" s="395"/>
      <c r="X1006" s="393"/>
      <c r="Y1006" s="523">
        <v>1</v>
      </c>
      <c r="Z1006" s="393"/>
      <c r="AA1006" s="573">
        <v>6.5156700000000001</v>
      </c>
      <c r="AB1006" s="394">
        <v>5.6287599999999998</v>
      </c>
      <c r="AC1006" s="394">
        <v>5.4403800000000002</v>
      </c>
      <c r="AD1006" s="394"/>
      <c r="AE1006" s="394"/>
      <c r="AF1006" s="394">
        <v>0</v>
      </c>
      <c r="AG1006" s="394">
        <v>0</v>
      </c>
      <c r="AH1006" s="394">
        <v>0.20676</v>
      </c>
      <c r="AI1006" s="394">
        <v>5.4403800000000002</v>
      </c>
      <c r="AJ1006" s="394"/>
      <c r="AK1006" s="381" t="s">
        <v>167</v>
      </c>
      <c r="AL1006" s="408" t="s">
        <v>175</v>
      </c>
      <c r="AM1006" s="385"/>
      <c r="AN1006" s="475">
        <v>554</v>
      </c>
      <c r="AO1006" s="395"/>
      <c r="AP1006" s="395">
        <f t="shared" si="854"/>
        <v>6.5156700000000001</v>
      </c>
      <c r="AQ1006" s="393"/>
      <c r="AR1006" s="523"/>
      <c r="AS1006" s="393"/>
      <c r="AT1006" s="573"/>
      <c r="AU1006" s="394"/>
      <c r="AV1006" s="394"/>
      <c r="AW1006" s="394"/>
      <c r="AX1006" s="394"/>
      <c r="AY1006" s="394"/>
      <c r="AZ1006" s="394"/>
      <c r="BA1006" s="394"/>
      <c r="BB1006" s="394"/>
      <c r="BC1006" s="394"/>
      <c r="BD1006" s="381"/>
      <c r="BE1006" s="408"/>
      <c r="BF1006" s="385"/>
      <c r="BG1006" s="475"/>
      <c r="BH1006" s="395"/>
      <c r="BI1006" s="395" t="e">
        <f t="shared" si="855"/>
        <v>#DIV/0!</v>
      </c>
    </row>
    <row r="1007" spans="1:61" s="358" customFormat="1" ht="19.2" x14ac:dyDescent="0.3">
      <c r="A1007" s="359" t="s">
        <v>355</v>
      </c>
      <c r="B1007" s="572" t="s">
        <v>3579</v>
      </c>
      <c r="C1007" s="546" t="s">
        <v>2655</v>
      </c>
      <c r="D1007" s="360">
        <v>0.22</v>
      </c>
      <c r="E1007" s="393"/>
      <c r="F1007" s="523"/>
      <c r="G1007" s="393"/>
      <c r="H1007" s="573"/>
      <c r="I1007" s="394"/>
      <c r="J1007" s="394"/>
      <c r="K1007" s="394"/>
      <c r="L1007" s="394"/>
      <c r="M1007" s="394"/>
      <c r="N1007" s="394"/>
      <c r="O1007" s="394"/>
      <c r="P1007" s="394"/>
      <c r="Q1007" s="394"/>
      <c r="R1007" s="381"/>
      <c r="S1007" s="408"/>
      <c r="T1007" s="385"/>
      <c r="U1007" s="475"/>
      <c r="V1007" s="395"/>
      <c r="W1007" s="395"/>
      <c r="X1007" s="393"/>
      <c r="Y1007" s="523">
        <v>1</v>
      </c>
      <c r="Z1007" s="393"/>
      <c r="AA1007" s="573">
        <v>6.5156700000000001</v>
      </c>
      <c r="AB1007" s="394">
        <v>5.6287599999999998</v>
      </c>
      <c r="AC1007" s="394">
        <v>5.4403699999999997</v>
      </c>
      <c r="AD1007" s="394"/>
      <c r="AE1007" s="394"/>
      <c r="AF1007" s="394">
        <v>0</v>
      </c>
      <c r="AG1007" s="394">
        <v>0</v>
      </c>
      <c r="AH1007" s="394">
        <v>0.20676</v>
      </c>
      <c r="AI1007" s="394">
        <v>5.4403699999999997</v>
      </c>
      <c r="AJ1007" s="394"/>
      <c r="AK1007" s="381" t="s">
        <v>167</v>
      </c>
      <c r="AL1007" s="408" t="s">
        <v>175</v>
      </c>
      <c r="AM1007" s="385"/>
      <c r="AN1007" s="475">
        <v>555</v>
      </c>
      <c r="AO1007" s="395"/>
      <c r="AP1007" s="395">
        <f t="shared" si="854"/>
        <v>6.5156700000000001</v>
      </c>
      <c r="AQ1007" s="393"/>
      <c r="AR1007" s="523"/>
      <c r="AS1007" s="393"/>
      <c r="AT1007" s="573"/>
      <c r="AU1007" s="394"/>
      <c r="AV1007" s="394"/>
      <c r="AW1007" s="394"/>
      <c r="AX1007" s="394"/>
      <c r="AY1007" s="394"/>
      <c r="AZ1007" s="394"/>
      <c r="BA1007" s="394"/>
      <c r="BB1007" s="394"/>
      <c r="BC1007" s="394"/>
      <c r="BD1007" s="381"/>
      <c r="BE1007" s="408"/>
      <c r="BF1007" s="385"/>
      <c r="BG1007" s="475"/>
      <c r="BH1007" s="395"/>
      <c r="BI1007" s="395" t="e">
        <f t="shared" si="855"/>
        <v>#DIV/0!</v>
      </c>
    </row>
    <row r="1008" spans="1:61" s="358" customFormat="1" ht="19.2" x14ac:dyDescent="0.3">
      <c r="A1008" s="359" t="s">
        <v>372</v>
      </c>
      <c r="B1008" s="572" t="s">
        <v>1414</v>
      </c>
      <c r="C1008" s="546" t="s">
        <v>2656</v>
      </c>
      <c r="D1008" s="360">
        <v>0.22</v>
      </c>
      <c r="E1008" s="393"/>
      <c r="F1008" s="523"/>
      <c r="G1008" s="393"/>
      <c r="H1008" s="573"/>
      <c r="I1008" s="394"/>
      <c r="J1008" s="394"/>
      <c r="K1008" s="394"/>
      <c r="L1008" s="394"/>
      <c r="M1008" s="394"/>
      <c r="N1008" s="394"/>
      <c r="O1008" s="394"/>
      <c r="P1008" s="394"/>
      <c r="Q1008" s="394"/>
      <c r="R1008" s="381"/>
      <c r="S1008" s="408"/>
      <c r="T1008" s="385"/>
      <c r="U1008" s="475"/>
      <c r="V1008" s="395"/>
      <c r="W1008" s="395"/>
      <c r="X1008" s="393"/>
      <c r="Y1008" s="523">
        <v>1</v>
      </c>
      <c r="Z1008" s="393"/>
      <c r="AA1008" s="573">
        <v>9.0149600000000003</v>
      </c>
      <c r="AB1008" s="394">
        <v>6.5919299999999996</v>
      </c>
      <c r="AC1008" s="394">
        <v>5.2278599999999997</v>
      </c>
      <c r="AD1008" s="394"/>
      <c r="AE1008" s="394"/>
      <c r="AF1008" s="394">
        <v>0</v>
      </c>
      <c r="AG1008" s="394">
        <v>0</v>
      </c>
      <c r="AH1008" s="394">
        <v>0.56488000000000005</v>
      </c>
      <c r="AI1008" s="394">
        <v>5.2278599999999997</v>
      </c>
      <c r="AJ1008" s="394"/>
      <c r="AK1008" s="381" t="s">
        <v>167</v>
      </c>
      <c r="AL1008" s="408" t="s">
        <v>175</v>
      </c>
      <c r="AM1008" s="385"/>
      <c r="AN1008" s="475">
        <v>556</v>
      </c>
      <c r="AO1008" s="395"/>
      <c r="AP1008" s="395">
        <f t="shared" si="854"/>
        <v>9.0149600000000003</v>
      </c>
      <c r="AQ1008" s="393"/>
      <c r="AR1008" s="523"/>
      <c r="AS1008" s="393"/>
      <c r="AT1008" s="573"/>
      <c r="AU1008" s="394"/>
      <c r="AV1008" s="394"/>
      <c r="AW1008" s="394"/>
      <c r="AX1008" s="394"/>
      <c r="AY1008" s="394"/>
      <c r="AZ1008" s="394"/>
      <c r="BA1008" s="394"/>
      <c r="BB1008" s="394"/>
      <c r="BC1008" s="394"/>
      <c r="BD1008" s="381"/>
      <c r="BE1008" s="408"/>
      <c r="BF1008" s="385"/>
      <c r="BG1008" s="475"/>
      <c r="BH1008" s="395"/>
      <c r="BI1008" s="395" t="e">
        <f t="shared" si="855"/>
        <v>#DIV/0!</v>
      </c>
    </row>
    <row r="1009" spans="1:61" s="358" customFormat="1" ht="19.2" x14ac:dyDescent="0.3">
      <c r="A1009" s="359" t="s">
        <v>357</v>
      </c>
      <c r="B1009" s="572" t="s">
        <v>3580</v>
      </c>
      <c r="C1009" s="546" t="s">
        <v>2657</v>
      </c>
      <c r="D1009" s="360">
        <v>0.22</v>
      </c>
      <c r="E1009" s="393"/>
      <c r="F1009" s="523"/>
      <c r="G1009" s="393"/>
      <c r="H1009" s="573"/>
      <c r="I1009" s="394"/>
      <c r="J1009" s="394"/>
      <c r="K1009" s="394"/>
      <c r="L1009" s="394"/>
      <c r="M1009" s="394"/>
      <c r="N1009" s="394"/>
      <c r="O1009" s="394"/>
      <c r="P1009" s="394"/>
      <c r="Q1009" s="394"/>
      <c r="R1009" s="381"/>
      <c r="S1009" s="408"/>
      <c r="T1009" s="385"/>
      <c r="U1009" s="475"/>
      <c r="V1009" s="395"/>
      <c r="W1009" s="395"/>
      <c r="X1009" s="393"/>
      <c r="Y1009" s="523">
        <v>1</v>
      </c>
      <c r="Z1009" s="393"/>
      <c r="AA1009" s="573">
        <v>9.2469999999999999</v>
      </c>
      <c r="AB1009" s="394">
        <v>6.8239700000000001</v>
      </c>
      <c r="AC1009" s="394">
        <v>5.4598800000000001</v>
      </c>
      <c r="AD1009" s="394"/>
      <c r="AE1009" s="394"/>
      <c r="AF1009" s="394">
        <v>0</v>
      </c>
      <c r="AG1009" s="394">
        <v>0</v>
      </c>
      <c r="AH1009" s="394">
        <v>0.56488000000000005</v>
      </c>
      <c r="AI1009" s="394">
        <v>5.4598800000000001</v>
      </c>
      <c r="AJ1009" s="394"/>
      <c r="AK1009" s="381" t="s">
        <v>167</v>
      </c>
      <c r="AL1009" s="408" t="s">
        <v>175</v>
      </c>
      <c r="AM1009" s="385"/>
      <c r="AN1009" s="475">
        <v>557</v>
      </c>
      <c r="AO1009" s="395"/>
      <c r="AP1009" s="395">
        <f t="shared" si="854"/>
        <v>9.2469999999999999</v>
      </c>
      <c r="AQ1009" s="393"/>
      <c r="AR1009" s="523"/>
      <c r="AS1009" s="393"/>
      <c r="AT1009" s="573"/>
      <c r="AU1009" s="394"/>
      <c r="AV1009" s="394"/>
      <c r="AW1009" s="394"/>
      <c r="AX1009" s="394"/>
      <c r="AY1009" s="394"/>
      <c r="AZ1009" s="394"/>
      <c r="BA1009" s="394"/>
      <c r="BB1009" s="394"/>
      <c r="BC1009" s="394"/>
      <c r="BD1009" s="381"/>
      <c r="BE1009" s="408"/>
      <c r="BF1009" s="385"/>
      <c r="BG1009" s="475"/>
      <c r="BH1009" s="395"/>
      <c r="BI1009" s="395" t="e">
        <f t="shared" si="855"/>
        <v>#DIV/0!</v>
      </c>
    </row>
    <row r="1010" spans="1:61" s="358" customFormat="1" ht="19.2" x14ac:dyDescent="0.3">
      <c r="A1010" s="359" t="s">
        <v>358</v>
      </c>
      <c r="B1010" s="572" t="s">
        <v>1414</v>
      </c>
      <c r="C1010" s="546" t="s">
        <v>2658</v>
      </c>
      <c r="D1010" s="360">
        <v>0.22</v>
      </c>
      <c r="E1010" s="393"/>
      <c r="F1010" s="523"/>
      <c r="G1010" s="393"/>
      <c r="H1010" s="573"/>
      <c r="I1010" s="394"/>
      <c r="J1010" s="394"/>
      <c r="K1010" s="394"/>
      <c r="L1010" s="394"/>
      <c r="M1010" s="394"/>
      <c r="N1010" s="394"/>
      <c r="O1010" s="394"/>
      <c r="P1010" s="394"/>
      <c r="Q1010" s="394"/>
      <c r="R1010" s="381"/>
      <c r="S1010" s="408"/>
      <c r="T1010" s="385"/>
      <c r="U1010" s="475"/>
      <c r="V1010" s="395"/>
      <c r="W1010" s="395"/>
      <c r="X1010" s="393"/>
      <c r="Y1010" s="523">
        <v>1</v>
      </c>
      <c r="Z1010" s="393"/>
      <c r="AA1010" s="573">
        <v>9.9319000000000006</v>
      </c>
      <c r="AB1010" s="394">
        <v>7.5088699999999999</v>
      </c>
      <c r="AC1010" s="394">
        <v>5.2278599999999997</v>
      </c>
      <c r="AD1010" s="394"/>
      <c r="AE1010" s="394"/>
      <c r="AF1010" s="394">
        <v>0</v>
      </c>
      <c r="AG1010" s="394">
        <v>0</v>
      </c>
      <c r="AH1010" s="394">
        <v>0.56488000000000005</v>
      </c>
      <c r="AI1010" s="394">
        <v>5.2278599999999997</v>
      </c>
      <c r="AJ1010" s="394"/>
      <c r="AK1010" s="381" t="s">
        <v>167</v>
      </c>
      <c r="AL1010" s="408" t="s">
        <v>175</v>
      </c>
      <c r="AM1010" s="385"/>
      <c r="AN1010" s="475">
        <v>558</v>
      </c>
      <c r="AO1010" s="395"/>
      <c r="AP1010" s="395">
        <f t="shared" si="854"/>
        <v>9.9319000000000006</v>
      </c>
      <c r="AQ1010" s="393"/>
      <c r="AR1010" s="523"/>
      <c r="AS1010" s="393"/>
      <c r="AT1010" s="573"/>
      <c r="AU1010" s="394"/>
      <c r="AV1010" s="394"/>
      <c r="AW1010" s="394"/>
      <c r="AX1010" s="394"/>
      <c r="AY1010" s="394"/>
      <c r="AZ1010" s="394"/>
      <c r="BA1010" s="394"/>
      <c r="BB1010" s="394"/>
      <c r="BC1010" s="394"/>
      <c r="BD1010" s="381"/>
      <c r="BE1010" s="408"/>
      <c r="BF1010" s="385"/>
      <c r="BG1010" s="475"/>
      <c r="BH1010" s="395"/>
      <c r="BI1010" s="395" t="e">
        <f t="shared" si="855"/>
        <v>#DIV/0!</v>
      </c>
    </row>
    <row r="1011" spans="1:61" s="358" customFormat="1" ht="19.2" x14ac:dyDescent="0.3">
      <c r="A1011" s="359" t="s">
        <v>343</v>
      </c>
      <c r="B1011" s="572" t="s">
        <v>1414</v>
      </c>
      <c r="C1011" s="546" t="s">
        <v>2659</v>
      </c>
      <c r="D1011" s="360">
        <v>0.22</v>
      </c>
      <c r="E1011" s="393"/>
      <c r="F1011" s="523"/>
      <c r="G1011" s="393"/>
      <c r="H1011" s="573"/>
      <c r="I1011" s="394"/>
      <c r="J1011" s="394"/>
      <c r="K1011" s="394"/>
      <c r="L1011" s="394"/>
      <c r="M1011" s="394"/>
      <c r="N1011" s="394"/>
      <c r="O1011" s="394"/>
      <c r="P1011" s="394"/>
      <c r="Q1011" s="394"/>
      <c r="R1011" s="381"/>
      <c r="S1011" s="408"/>
      <c r="T1011" s="385"/>
      <c r="U1011" s="475"/>
      <c r="V1011" s="395"/>
      <c r="W1011" s="395"/>
      <c r="X1011" s="393"/>
      <c r="Y1011" s="523">
        <v>1</v>
      </c>
      <c r="Z1011" s="393"/>
      <c r="AA1011" s="573">
        <v>9.9319000000000006</v>
      </c>
      <c r="AB1011" s="394">
        <v>7.5088699999999999</v>
      </c>
      <c r="AC1011" s="394">
        <v>5.2278599999999997</v>
      </c>
      <c r="AD1011" s="394"/>
      <c r="AE1011" s="394"/>
      <c r="AF1011" s="394">
        <v>0</v>
      </c>
      <c r="AG1011" s="394">
        <v>0</v>
      </c>
      <c r="AH1011" s="394">
        <v>0.56488000000000005</v>
      </c>
      <c r="AI1011" s="394">
        <v>5.2278599999999997</v>
      </c>
      <c r="AJ1011" s="394"/>
      <c r="AK1011" s="381" t="s">
        <v>167</v>
      </c>
      <c r="AL1011" s="408" t="s">
        <v>175</v>
      </c>
      <c r="AM1011" s="385"/>
      <c r="AN1011" s="475">
        <v>559</v>
      </c>
      <c r="AO1011" s="395"/>
      <c r="AP1011" s="395">
        <f t="shared" si="854"/>
        <v>9.9319000000000006</v>
      </c>
      <c r="AQ1011" s="393"/>
      <c r="AR1011" s="523"/>
      <c r="AS1011" s="393"/>
      <c r="AT1011" s="573"/>
      <c r="AU1011" s="394"/>
      <c r="AV1011" s="394"/>
      <c r="AW1011" s="394"/>
      <c r="AX1011" s="394"/>
      <c r="AY1011" s="394"/>
      <c r="AZ1011" s="394"/>
      <c r="BA1011" s="394"/>
      <c r="BB1011" s="394"/>
      <c r="BC1011" s="394"/>
      <c r="BD1011" s="381"/>
      <c r="BE1011" s="408"/>
      <c r="BF1011" s="385"/>
      <c r="BG1011" s="475"/>
      <c r="BH1011" s="395"/>
      <c r="BI1011" s="395" t="e">
        <f t="shared" si="855"/>
        <v>#DIV/0!</v>
      </c>
    </row>
    <row r="1012" spans="1:61" s="358" customFormat="1" ht="19.2" x14ac:dyDescent="0.3">
      <c r="A1012" s="359" t="s">
        <v>376</v>
      </c>
      <c r="B1012" s="572" t="s">
        <v>3581</v>
      </c>
      <c r="C1012" s="546" t="s">
        <v>2660</v>
      </c>
      <c r="D1012" s="360">
        <v>0.22</v>
      </c>
      <c r="E1012" s="393"/>
      <c r="F1012" s="523"/>
      <c r="G1012" s="393"/>
      <c r="H1012" s="573"/>
      <c r="I1012" s="394"/>
      <c r="J1012" s="394"/>
      <c r="K1012" s="394"/>
      <c r="L1012" s="394"/>
      <c r="M1012" s="394"/>
      <c r="N1012" s="394"/>
      <c r="O1012" s="394"/>
      <c r="P1012" s="394"/>
      <c r="Q1012" s="394"/>
      <c r="R1012" s="381"/>
      <c r="S1012" s="408"/>
      <c r="T1012" s="385"/>
      <c r="U1012" s="475"/>
      <c r="V1012" s="395"/>
      <c r="W1012" s="395"/>
      <c r="X1012" s="393"/>
      <c r="Y1012" s="523">
        <v>1</v>
      </c>
      <c r="Z1012" s="393"/>
      <c r="AA1012" s="573">
        <v>9.2469800000000006</v>
      </c>
      <c r="AB1012" s="394">
        <v>6.82395</v>
      </c>
      <c r="AC1012" s="394">
        <v>5.4598800000000001</v>
      </c>
      <c r="AD1012" s="394"/>
      <c r="AE1012" s="394"/>
      <c r="AF1012" s="394">
        <v>0</v>
      </c>
      <c r="AG1012" s="394">
        <v>0</v>
      </c>
      <c r="AH1012" s="394">
        <v>0.56488000000000005</v>
      </c>
      <c r="AI1012" s="394">
        <v>5.4598800000000001</v>
      </c>
      <c r="AJ1012" s="394"/>
      <c r="AK1012" s="381" t="s">
        <v>167</v>
      </c>
      <c r="AL1012" s="408" t="s">
        <v>175</v>
      </c>
      <c r="AM1012" s="385"/>
      <c r="AN1012" s="475">
        <v>560</v>
      </c>
      <c r="AO1012" s="395"/>
      <c r="AP1012" s="395">
        <f t="shared" si="854"/>
        <v>9.2469800000000006</v>
      </c>
      <c r="AQ1012" s="393"/>
      <c r="AR1012" s="523"/>
      <c r="AS1012" s="393"/>
      <c r="AT1012" s="573"/>
      <c r="AU1012" s="394"/>
      <c r="AV1012" s="394"/>
      <c r="AW1012" s="394"/>
      <c r="AX1012" s="394"/>
      <c r="AY1012" s="394"/>
      <c r="AZ1012" s="394"/>
      <c r="BA1012" s="394"/>
      <c r="BB1012" s="394"/>
      <c r="BC1012" s="394"/>
      <c r="BD1012" s="381"/>
      <c r="BE1012" s="408"/>
      <c r="BF1012" s="385"/>
      <c r="BG1012" s="475"/>
      <c r="BH1012" s="395"/>
      <c r="BI1012" s="395" t="e">
        <f t="shared" si="855"/>
        <v>#DIV/0!</v>
      </c>
    </row>
    <row r="1013" spans="1:61" s="358" customFormat="1" ht="19.2" x14ac:dyDescent="0.3">
      <c r="A1013" s="359" t="s">
        <v>361</v>
      </c>
      <c r="B1013" s="572" t="s">
        <v>3582</v>
      </c>
      <c r="C1013" s="546" t="s">
        <v>2661</v>
      </c>
      <c r="D1013" s="360">
        <v>0.22</v>
      </c>
      <c r="E1013" s="393"/>
      <c r="F1013" s="523"/>
      <c r="G1013" s="393"/>
      <c r="H1013" s="573"/>
      <c r="I1013" s="394"/>
      <c r="J1013" s="394"/>
      <c r="K1013" s="394"/>
      <c r="L1013" s="394"/>
      <c r="M1013" s="394"/>
      <c r="N1013" s="394"/>
      <c r="O1013" s="394"/>
      <c r="P1013" s="394"/>
      <c r="Q1013" s="394"/>
      <c r="R1013" s="381"/>
      <c r="S1013" s="408"/>
      <c r="T1013" s="385"/>
      <c r="U1013" s="475"/>
      <c r="V1013" s="395"/>
      <c r="W1013" s="395"/>
      <c r="X1013" s="393"/>
      <c r="Y1013" s="523">
        <v>1</v>
      </c>
      <c r="Z1013" s="393"/>
      <c r="AA1013" s="573">
        <v>6.5156700000000001</v>
      </c>
      <c r="AB1013" s="394">
        <v>5.6287599999999998</v>
      </c>
      <c r="AC1013" s="394">
        <v>5.4403800000000002</v>
      </c>
      <c r="AD1013" s="394"/>
      <c r="AE1013" s="394"/>
      <c r="AF1013" s="394">
        <v>0</v>
      </c>
      <c r="AG1013" s="394">
        <v>0</v>
      </c>
      <c r="AH1013" s="394">
        <v>0.20676</v>
      </c>
      <c r="AI1013" s="394">
        <v>5.4403800000000002</v>
      </c>
      <c r="AJ1013" s="394"/>
      <c r="AK1013" s="381" t="s">
        <v>167</v>
      </c>
      <c r="AL1013" s="408" t="s">
        <v>175</v>
      </c>
      <c r="AM1013" s="385"/>
      <c r="AN1013" s="475">
        <v>561</v>
      </c>
      <c r="AO1013" s="395"/>
      <c r="AP1013" s="395">
        <f t="shared" si="854"/>
        <v>6.5156700000000001</v>
      </c>
      <c r="AQ1013" s="393"/>
      <c r="AR1013" s="523"/>
      <c r="AS1013" s="393"/>
      <c r="AT1013" s="573"/>
      <c r="AU1013" s="394"/>
      <c r="AV1013" s="394"/>
      <c r="AW1013" s="394"/>
      <c r="AX1013" s="394"/>
      <c r="AY1013" s="394"/>
      <c r="AZ1013" s="394"/>
      <c r="BA1013" s="394"/>
      <c r="BB1013" s="394"/>
      <c r="BC1013" s="394"/>
      <c r="BD1013" s="381"/>
      <c r="BE1013" s="408"/>
      <c r="BF1013" s="385"/>
      <c r="BG1013" s="475"/>
      <c r="BH1013" s="395"/>
      <c r="BI1013" s="395" t="e">
        <f t="shared" si="855"/>
        <v>#DIV/0!</v>
      </c>
    </row>
    <row r="1014" spans="1:61" s="358" customFormat="1" ht="19.2" x14ac:dyDescent="0.3">
      <c r="A1014" s="359" t="s">
        <v>362</v>
      </c>
      <c r="B1014" s="572" t="s">
        <v>3583</v>
      </c>
      <c r="C1014" s="546" t="s">
        <v>2662</v>
      </c>
      <c r="D1014" s="360">
        <v>0.22</v>
      </c>
      <c r="E1014" s="393"/>
      <c r="F1014" s="523"/>
      <c r="G1014" s="393"/>
      <c r="H1014" s="573"/>
      <c r="I1014" s="394"/>
      <c r="J1014" s="394"/>
      <c r="K1014" s="394"/>
      <c r="L1014" s="394"/>
      <c r="M1014" s="394"/>
      <c r="N1014" s="394"/>
      <c r="O1014" s="394"/>
      <c r="P1014" s="394"/>
      <c r="Q1014" s="394"/>
      <c r="R1014" s="381"/>
      <c r="S1014" s="408"/>
      <c r="T1014" s="385"/>
      <c r="U1014" s="475"/>
      <c r="V1014" s="395"/>
      <c r="W1014" s="395"/>
      <c r="X1014" s="393"/>
      <c r="Y1014" s="523">
        <v>1</v>
      </c>
      <c r="Z1014" s="393"/>
      <c r="AA1014" s="573">
        <v>6.7040699999999998</v>
      </c>
      <c r="AB1014" s="394">
        <v>5.8171600000000003</v>
      </c>
      <c r="AC1014" s="394">
        <v>5.4403800000000002</v>
      </c>
      <c r="AD1014" s="394"/>
      <c r="AE1014" s="394"/>
      <c r="AF1014" s="394">
        <v>0</v>
      </c>
      <c r="AG1014" s="394">
        <v>0</v>
      </c>
      <c r="AH1014" s="394">
        <v>0.20676</v>
      </c>
      <c r="AI1014" s="394">
        <v>5.4403800000000002</v>
      </c>
      <c r="AJ1014" s="394"/>
      <c r="AK1014" s="381" t="s">
        <v>167</v>
      </c>
      <c r="AL1014" s="408" t="s">
        <v>175</v>
      </c>
      <c r="AM1014" s="385"/>
      <c r="AN1014" s="475">
        <v>562</v>
      </c>
      <c r="AO1014" s="395"/>
      <c r="AP1014" s="395">
        <f t="shared" si="854"/>
        <v>6.7040699999999998</v>
      </c>
      <c r="AQ1014" s="393"/>
      <c r="AR1014" s="523"/>
      <c r="AS1014" s="393"/>
      <c r="AT1014" s="573"/>
      <c r="AU1014" s="394"/>
      <c r="AV1014" s="394"/>
      <c r="AW1014" s="394"/>
      <c r="AX1014" s="394"/>
      <c r="AY1014" s="394"/>
      <c r="AZ1014" s="394"/>
      <c r="BA1014" s="394"/>
      <c r="BB1014" s="394"/>
      <c r="BC1014" s="394"/>
      <c r="BD1014" s="381"/>
      <c r="BE1014" s="408"/>
      <c r="BF1014" s="385"/>
      <c r="BG1014" s="475"/>
      <c r="BH1014" s="395"/>
      <c r="BI1014" s="395" t="e">
        <f t="shared" si="855"/>
        <v>#DIV/0!</v>
      </c>
    </row>
    <row r="1015" spans="1:61" s="358" customFormat="1" ht="19.2" x14ac:dyDescent="0.3">
      <c r="A1015" s="359" t="s">
        <v>363</v>
      </c>
      <c r="B1015" s="572" t="s">
        <v>3584</v>
      </c>
      <c r="C1015" s="546" t="s">
        <v>2258</v>
      </c>
      <c r="D1015" s="360">
        <v>0.22</v>
      </c>
      <c r="E1015" s="393"/>
      <c r="F1015" s="523"/>
      <c r="G1015" s="393"/>
      <c r="H1015" s="573"/>
      <c r="I1015" s="394"/>
      <c r="J1015" s="394"/>
      <c r="K1015" s="394"/>
      <c r="L1015" s="394"/>
      <c r="M1015" s="394"/>
      <c r="N1015" s="394"/>
      <c r="O1015" s="394"/>
      <c r="P1015" s="394"/>
      <c r="Q1015" s="394"/>
      <c r="R1015" s="381"/>
      <c r="S1015" s="408"/>
      <c r="T1015" s="385"/>
      <c r="U1015" s="475"/>
      <c r="V1015" s="395"/>
      <c r="W1015" s="395"/>
      <c r="X1015" s="393"/>
      <c r="Y1015" s="523">
        <v>1</v>
      </c>
      <c r="Z1015" s="393"/>
      <c r="AA1015" s="573">
        <v>6.5156700000000001</v>
      </c>
      <c r="AB1015" s="394">
        <v>5.6287599999999998</v>
      </c>
      <c r="AC1015" s="394">
        <v>5.4403800000000002</v>
      </c>
      <c r="AD1015" s="394"/>
      <c r="AE1015" s="394"/>
      <c r="AF1015" s="394">
        <v>0</v>
      </c>
      <c r="AG1015" s="394">
        <v>0</v>
      </c>
      <c r="AH1015" s="394">
        <v>0.20676</v>
      </c>
      <c r="AI1015" s="394">
        <v>5.4403800000000002</v>
      </c>
      <c r="AJ1015" s="394"/>
      <c r="AK1015" s="381" t="s">
        <v>167</v>
      </c>
      <c r="AL1015" s="408" t="s">
        <v>175</v>
      </c>
      <c r="AM1015" s="385"/>
      <c r="AN1015" s="475">
        <v>563</v>
      </c>
      <c r="AO1015" s="395"/>
      <c r="AP1015" s="395">
        <f t="shared" si="854"/>
        <v>6.5156700000000001</v>
      </c>
      <c r="AQ1015" s="393"/>
      <c r="AR1015" s="523"/>
      <c r="AS1015" s="393"/>
      <c r="AT1015" s="573"/>
      <c r="AU1015" s="394"/>
      <c r="AV1015" s="394"/>
      <c r="AW1015" s="394"/>
      <c r="AX1015" s="394"/>
      <c r="AY1015" s="394"/>
      <c r="AZ1015" s="394"/>
      <c r="BA1015" s="394"/>
      <c r="BB1015" s="394"/>
      <c r="BC1015" s="394"/>
      <c r="BD1015" s="381"/>
      <c r="BE1015" s="408"/>
      <c r="BF1015" s="385"/>
      <c r="BG1015" s="475"/>
      <c r="BH1015" s="395"/>
      <c r="BI1015" s="395" t="e">
        <f t="shared" si="855"/>
        <v>#DIV/0!</v>
      </c>
    </row>
    <row r="1016" spans="1:61" s="358" customFormat="1" ht="19.2" x14ac:dyDescent="0.3">
      <c r="A1016" s="359" t="s">
        <v>364</v>
      </c>
      <c r="B1016" s="572" t="s">
        <v>3585</v>
      </c>
      <c r="C1016" s="546" t="s">
        <v>2663</v>
      </c>
      <c r="D1016" s="360">
        <v>0.22</v>
      </c>
      <c r="E1016" s="393"/>
      <c r="F1016" s="523"/>
      <c r="G1016" s="393"/>
      <c r="H1016" s="573"/>
      <c r="I1016" s="394"/>
      <c r="J1016" s="394"/>
      <c r="K1016" s="394"/>
      <c r="L1016" s="394"/>
      <c r="M1016" s="394"/>
      <c r="N1016" s="394"/>
      <c r="O1016" s="394"/>
      <c r="P1016" s="394"/>
      <c r="Q1016" s="394"/>
      <c r="R1016" s="381"/>
      <c r="S1016" s="408"/>
      <c r="T1016" s="385"/>
      <c r="U1016" s="475"/>
      <c r="V1016" s="395"/>
      <c r="W1016" s="395"/>
      <c r="X1016" s="393"/>
      <c r="Y1016" s="523">
        <v>1</v>
      </c>
      <c r="Z1016" s="393"/>
      <c r="AA1016" s="573">
        <v>6.5156599999999996</v>
      </c>
      <c r="AB1016" s="394">
        <v>5.6287500000000001</v>
      </c>
      <c r="AC1016" s="394">
        <v>5.4403800000000002</v>
      </c>
      <c r="AD1016" s="394"/>
      <c r="AE1016" s="394"/>
      <c r="AF1016" s="394">
        <v>0</v>
      </c>
      <c r="AG1016" s="394">
        <v>0</v>
      </c>
      <c r="AH1016" s="394">
        <v>0.20676</v>
      </c>
      <c r="AI1016" s="394">
        <v>5.4403800000000002</v>
      </c>
      <c r="AJ1016" s="394"/>
      <c r="AK1016" s="381" t="s">
        <v>167</v>
      </c>
      <c r="AL1016" s="408" t="s">
        <v>175</v>
      </c>
      <c r="AM1016" s="385"/>
      <c r="AN1016" s="475">
        <v>564</v>
      </c>
      <c r="AO1016" s="395"/>
      <c r="AP1016" s="395">
        <f t="shared" si="854"/>
        <v>6.5156599999999996</v>
      </c>
      <c r="AQ1016" s="393"/>
      <c r="AR1016" s="523"/>
      <c r="AS1016" s="393"/>
      <c r="AT1016" s="573"/>
      <c r="AU1016" s="394"/>
      <c r="AV1016" s="394"/>
      <c r="AW1016" s="394"/>
      <c r="AX1016" s="394"/>
      <c r="AY1016" s="394"/>
      <c r="AZ1016" s="394"/>
      <c r="BA1016" s="394"/>
      <c r="BB1016" s="394"/>
      <c r="BC1016" s="394"/>
      <c r="BD1016" s="381"/>
      <c r="BE1016" s="408"/>
      <c r="BF1016" s="385"/>
      <c r="BG1016" s="475"/>
      <c r="BH1016" s="395"/>
      <c r="BI1016" s="395" t="e">
        <f t="shared" si="855"/>
        <v>#DIV/0!</v>
      </c>
    </row>
    <row r="1017" spans="1:61" s="358" customFormat="1" ht="19.2" x14ac:dyDescent="0.3">
      <c r="A1017" s="359" t="s">
        <v>365</v>
      </c>
      <c r="B1017" s="572" t="s">
        <v>1414</v>
      </c>
      <c r="C1017" s="546" t="s">
        <v>2664</v>
      </c>
      <c r="D1017" s="360">
        <v>0.22</v>
      </c>
      <c r="E1017" s="393"/>
      <c r="F1017" s="523"/>
      <c r="G1017" s="393"/>
      <c r="H1017" s="573"/>
      <c r="I1017" s="394"/>
      <c r="J1017" s="394"/>
      <c r="K1017" s="394"/>
      <c r="L1017" s="394"/>
      <c r="M1017" s="394"/>
      <c r="N1017" s="394"/>
      <c r="O1017" s="394"/>
      <c r="P1017" s="394"/>
      <c r="Q1017" s="394"/>
      <c r="R1017" s="381"/>
      <c r="S1017" s="408"/>
      <c r="T1017" s="385"/>
      <c r="U1017" s="475"/>
      <c r="V1017" s="395"/>
      <c r="W1017" s="395"/>
      <c r="X1017" s="393"/>
      <c r="Y1017" s="523">
        <v>1</v>
      </c>
      <c r="Z1017" s="393"/>
      <c r="AA1017" s="573">
        <v>9.0149600000000003</v>
      </c>
      <c r="AB1017" s="394">
        <v>6.5919299999999996</v>
      </c>
      <c r="AC1017" s="394">
        <v>5.2278599999999997</v>
      </c>
      <c r="AD1017" s="394"/>
      <c r="AE1017" s="394"/>
      <c r="AF1017" s="394">
        <v>0</v>
      </c>
      <c r="AG1017" s="394">
        <v>0</v>
      </c>
      <c r="AH1017" s="394">
        <v>0.56488000000000005</v>
      </c>
      <c r="AI1017" s="394">
        <v>5.2278599999999997</v>
      </c>
      <c r="AJ1017" s="394"/>
      <c r="AK1017" s="381" t="s">
        <v>167</v>
      </c>
      <c r="AL1017" s="408" t="s">
        <v>175</v>
      </c>
      <c r="AM1017" s="385"/>
      <c r="AN1017" s="475">
        <v>565</v>
      </c>
      <c r="AO1017" s="395"/>
      <c r="AP1017" s="395">
        <f t="shared" si="854"/>
        <v>9.0149600000000003</v>
      </c>
      <c r="AQ1017" s="393"/>
      <c r="AR1017" s="523"/>
      <c r="AS1017" s="393"/>
      <c r="AT1017" s="573"/>
      <c r="AU1017" s="394"/>
      <c r="AV1017" s="394"/>
      <c r="AW1017" s="394"/>
      <c r="AX1017" s="394"/>
      <c r="AY1017" s="394"/>
      <c r="AZ1017" s="394"/>
      <c r="BA1017" s="394"/>
      <c r="BB1017" s="394"/>
      <c r="BC1017" s="394"/>
      <c r="BD1017" s="381"/>
      <c r="BE1017" s="408"/>
      <c r="BF1017" s="385"/>
      <c r="BG1017" s="475"/>
      <c r="BH1017" s="395"/>
      <c r="BI1017" s="395" t="e">
        <f t="shared" si="855"/>
        <v>#DIV/0!</v>
      </c>
    </row>
    <row r="1018" spans="1:61" s="358" customFormat="1" ht="19.2" x14ac:dyDescent="0.3">
      <c r="A1018" s="359" t="s">
        <v>366</v>
      </c>
      <c r="B1018" s="572" t="s">
        <v>3586</v>
      </c>
      <c r="C1018" s="550" t="s">
        <v>2665</v>
      </c>
      <c r="D1018" s="360">
        <v>0.22</v>
      </c>
      <c r="E1018" s="393"/>
      <c r="F1018" s="523"/>
      <c r="G1018" s="393"/>
      <c r="H1018" s="573"/>
      <c r="I1018" s="394"/>
      <c r="J1018" s="394"/>
      <c r="K1018" s="394"/>
      <c r="L1018" s="394"/>
      <c r="M1018" s="394"/>
      <c r="N1018" s="394"/>
      <c r="O1018" s="394"/>
      <c r="P1018" s="394"/>
      <c r="Q1018" s="394"/>
      <c r="R1018" s="381"/>
      <c r="S1018" s="408"/>
      <c r="T1018" s="385"/>
      <c r="U1018" s="475"/>
      <c r="V1018" s="395"/>
      <c r="W1018" s="395"/>
      <c r="X1018" s="393"/>
      <c r="Y1018" s="523">
        <v>1</v>
      </c>
      <c r="Z1018" s="393"/>
      <c r="AA1018" s="573">
        <v>6.84457</v>
      </c>
      <c r="AB1018" s="394">
        <v>5.9576599999999997</v>
      </c>
      <c r="AC1018" s="394">
        <v>5.8152799999999996</v>
      </c>
      <c r="AD1018" s="394"/>
      <c r="AE1018" s="394"/>
      <c r="AF1018" s="394">
        <v>0</v>
      </c>
      <c r="AG1018" s="394">
        <v>0</v>
      </c>
      <c r="AH1018" s="394">
        <v>0.20676</v>
      </c>
      <c r="AI1018" s="394">
        <v>5.8152799999999996</v>
      </c>
      <c r="AJ1018" s="394"/>
      <c r="AK1018" s="381" t="s">
        <v>167</v>
      </c>
      <c r="AL1018" s="408" t="s">
        <v>175</v>
      </c>
      <c r="AM1018" s="385"/>
      <c r="AN1018" s="475">
        <v>566</v>
      </c>
      <c r="AO1018" s="395"/>
      <c r="AP1018" s="395">
        <f t="shared" si="854"/>
        <v>6.84457</v>
      </c>
      <c r="AQ1018" s="393"/>
      <c r="AR1018" s="523"/>
      <c r="AS1018" s="393"/>
      <c r="AT1018" s="573"/>
      <c r="AU1018" s="394"/>
      <c r="AV1018" s="394"/>
      <c r="AW1018" s="394"/>
      <c r="AX1018" s="394"/>
      <c r="AY1018" s="394"/>
      <c r="AZ1018" s="394"/>
      <c r="BA1018" s="394"/>
      <c r="BB1018" s="394"/>
      <c r="BC1018" s="394"/>
      <c r="BD1018" s="381"/>
      <c r="BE1018" s="408"/>
      <c r="BF1018" s="385"/>
      <c r="BG1018" s="475"/>
      <c r="BH1018" s="395"/>
      <c r="BI1018" s="395" t="e">
        <f t="shared" si="855"/>
        <v>#DIV/0!</v>
      </c>
    </row>
    <row r="1019" spans="1:61" s="358" customFormat="1" ht="19.2" x14ac:dyDescent="0.3">
      <c r="A1019" s="359" t="s">
        <v>367</v>
      </c>
      <c r="B1019" s="572" t="s">
        <v>3587</v>
      </c>
      <c r="C1019" s="550" t="s">
        <v>2666</v>
      </c>
      <c r="D1019" s="360">
        <v>0.22</v>
      </c>
      <c r="E1019" s="393"/>
      <c r="F1019" s="523"/>
      <c r="G1019" s="393"/>
      <c r="H1019" s="573"/>
      <c r="I1019" s="394"/>
      <c r="J1019" s="394"/>
      <c r="K1019" s="394"/>
      <c r="L1019" s="394"/>
      <c r="M1019" s="394"/>
      <c r="N1019" s="394"/>
      <c r="O1019" s="394"/>
      <c r="P1019" s="394"/>
      <c r="Q1019" s="394"/>
      <c r="R1019" s="381"/>
      <c r="S1019" s="408"/>
      <c r="T1019" s="385"/>
      <c r="U1019" s="475"/>
      <c r="V1019" s="395"/>
      <c r="W1019" s="395"/>
      <c r="X1019" s="393"/>
      <c r="Y1019" s="523">
        <v>1</v>
      </c>
      <c r="Z1019" s="393"/>
      <c r="AA1019" s="573">
        <v>6.84457</v>
      </c>
      <c r="AB1019" s="394">
        <v>5.9576599999999997</v>
      </c>
      <c r="AC1019" s="394">
        <v>5.8152799999999996</v>
      </c>
      <c r="AD1019" s="394"/>
      <c r="AE1019" s="394"/>
      <c r="AF1019" s="394">
        <v>0</v>
      </c>
      <c r="AG1019" s="394">
        <v>0</v>
      </c>
      <c r="AH1019" s="394">
        <v>0.20676</v>
      </c>
      <c r="AI1019" s="394">
        <v>5.8152799999999996</v>
      </c>
      <c r="AJ1019" s="394"/>
      <c r="AK1019" s="381" t="s">
        <v>167</v>
      </c>
      <c r="AL1019" s="408" t="s">
        <v>175</v>
      </c>
      <c r="AM1019" s="385"/>
      <c r="AN1019" s="475">
        <v>567</v>
      </c>
      <c r="AO1019" s="395"/>
      <c r="AP1019" s="395">
        <f t="shared" si="854"/>
        <v>6.84457</v>
      </c>
      <c r="AQ1019" s="393"/>
      <c r="AR1019" s="523"/>
      <c r="AS1019" s="393"/>
      <c r="AT1019" s="573"/>
      <c r="AU1019" s="394"/>
      <c r="AV1019" s="394"/>
      <c r="AW1019" s="394"/>
      <c r="AX1019" s="394"/>
      <c r="AY1019" s="394"/>
      <c r="AZ1019" s="394"/>
      <c r="BA1019" s="394"/>
      <c r="BB1019" s="394"/>
      <c r="BC1019" s="394"/>
      <c r="BD1019" s="381"/>
      <c r="BE1019" s="408"/>
      <c r="BF1019" s="385"/>
      <c r="BG1019" s="475"/>
      <c r="BH1019" s="395"/>
      <c r="BI1019" s="395" t="e">
        <f t="shared" si="855"/>
        <v>#DIV/0!</v>
      </c>
    </row>
    <row r="1020" spans="1:61" s="358" customFormat="1" ht="19.2" x14ac:dyDescent="0.3">
      <c r="A1020" s="359" t="s">
        <v>368</v>
      </c>
      <c r="B1020" s="572" t="s">
        <v>3588</v>
      </c>
      <c r="C1020" s="550" t="s">
        <v>2667</v>
      </c>
      <c r="D1020" s="360">
        <v>0.22</v>
      </c>
      <c r="E1020" s="393"/>
      <c r="F1020" s="523"/>
      <c r="G1020" s="393"/>
      <c r="H1020" s="573"/>
      <c r="I1020" s="394"/>
      <c r="J1020" s="394"/>
      <c r="K1020" s="394"/>
      <c r="L1020" s="394"/>
      <c r="M1020" s="394"/>
      <c r="N1020" s="394"/>
      <c r="O1020" s="394"/>
      <c r="P1020" s="394"/>
      <c r="Q1020" s="394"/>
      <c r="R1020" s="381"/>
      <c r="S1020" s="408"/>
      <c r="T1020" s="385"/>
      <c r="U1020" s="475"/>
      <c r="V1020" s="395"/>
      <c r="W1020" s="395"/>
      <c r="X1020" s="393"/>
      <c r="Y1020" s="523">
        <v>1</v>
      </c>
      <c r="Z1020" s="393"/>
      <c r="AA1020" s="573">
        <v>6.84457</v>
      </c>
      <c r="AB1020" s="394">
        <v>5.9576599999999997</v>
      </c>
      <c r="AC1020" s="394">
        <v>5.8152799999999996</v>
      </c>
      <c r="AD1020" s="394"/>
      <c r="AE1020" s="394"/>
      <c r="AF1020" s="394">
        <v>0</v>
      </c>
      <c r="AG1020" s="394">
        <v>0</v>
      </c>
      <c r="AH1020" s="394">
        <v>0.20676</v>
      </c>
      <c r="AI1020" s="394">
        <v>5.8152799999999996</v>
      </c>
      <c r="AJ1020" s="394"/>
      <c r="AK1020" s="381" t="s">
        <v>167</v>
      </c>
      <c r="AL1020" s="408" t="s">
        <v>175</v>
      </c>
      <c r="AM1020" s="385"/>
      <c r="AN1020" s="475">
        <v>568</v>
      </c>
      <c r="AO1020" s="395"/>
      <c r="AP1020" s="395">
        <f t="shared" si="854"/>
        <v>6.84457</v>
      </c>
      <c r="AQ1020" s="393"/>
      <c r="AR1020" s="523"/>
      <c r="AS1020" s="393"/>
      <c r="AT1020" s="573"/>
      <c r="AU1020" s="394"/>
      <c r="AV1020" s="394"/>
      <c r="AW1020" s="394"/>
      <c r="AX1020" s="394"/>
      <c r="AY1020" s="394"/>
      <c r="AZ1020" s="394"/>
      <c r="BA1020" s="394"/>
      <c r="BB1020" s="394"/>
      <c r="BC1020" s="394"/>
      <c r="BD1020" s="381"/>
      <c r="BE1020" s="408"/>
      <c r="BF1020" s="385"/>
      <c r="BG1020" s="475"/>
      <c r="BH1020" s="395"/>
      <c r="BI1020" s="395" t="e">
        <f t="shared" si="855"/>
        <v>#DIV/0!</v>
      </c>
    </row>
    <row r="1021" spans="1:61" s="358" customFormat="1" ht="19.2" x14ac:dyDescent="0.3">
      <c r="A1021" s="359" t="s">
        <v>369</v>
      </c>
      <c r="B1021" s="572" t="s">
        <v>3589</v>
      </c>
      <c r="C1021" s="550" t="s">
        <v>2668</v>
      </c>
      <c r="D1021" s="360">
        <v>0.22</v>
      </c>
      <c r="E1021" s="393"/>
      <c r="F1021" s="523"/>
      <c r="G1021" s="393"/>
      <c r="H1021" s="573"/>
      <c r="I1021" s="394"/>
      <c r="J1021" s="394"/>
      <c r="K1021" s="394"/>
      <c r="L1021" s="394"/>
      <c r="M1021" s="394"/>
      <c r="N1021" s="394"/>
      <c r="O1021" s="394"/>
      <c r="P1021" s="394"/>
      <c r="Q1021" s="394"/>
      <c r="R1021" s="381"/>
      <c r="S1021" s="408"/>
      <c r="T1021" s="385"/>
      <c r="U1021" s="475"/>
      <c r="V1021" s="395"/>
      <c r="W1021" s="395"/>
      <c r="X1021" s="393"/>
      <c r="Y1021" s="523">
        <v>1</v>
      </c>
      <c r="Z1021" s="393"/>
      <c r="AA1021" s="573">
        <v>6.84457</v>
      </c>
      <c r="AB1021" s="394">
        <v>5.9576599999999997</v>
      </c>
      <c r="AC1021" s="394">
        <v>5.8152799999999996</v>
      </c>
      <c r="AD1021" s="394"/>
      <c r="AE1021" s="394"/>
      <c r="AF1021" s="394">
        <v>0</v>
      </c>
      <c r="AG1021" s="394">
        <v>0</v>
      </c>
      <c r="AH1021" s="394">
        <v>0.20676</v>
      </c>
      <c r="AI1021" s="394">
        <v>5.8152799999999996</v>
      </c>
      <c r="AJ1021" s="394"/>
      <c r="AK1021" s="381" t="s">
        <v>167</v>
      </c>
      <c r="AL1021" s="408" t="s">
        <v>175</v>
      </c>
      <c r="AM1021" s="385"/>
      <c r="AN1021" s="475">
        <v>569</v>
      </c>
      <c r="AO1021" s="395"/>
      <c r="AP1021" s="395">
        <f t="shared" si="854"/>
        <v>6.84457</v>
      </c>
      <c r="AQ1021" s="393"/>
      <c r="AR1021" s="523"/>
      <c r="AS1021" s="393"/>
      <c r="AT1021" s="573"/>
      <c r="AU1021" s="394"/>
      <c r="AV1021" s="394"/>
      <c r="AW1021" s="394"/>
      <c r="AX1021" s="394"/>
      <c r="AY1021" s="394"/>
      <c r="AZ1021" s="394"/>
      <c r="BA1021" s="394"/>
      <c r="BB1021" s="394"/>
      <c r="BC1021" s="394"/>
      <c r="BD1021" s="381"/>
      <c r="BE1021" s="408"/>
      <c r="BF1021" s="385"/>
      <c r="BG1021" s="475"/>
      <c r="BH1021" s="395"/>
      <c r="BI1021" s="395" t="e">
        <f t="shared" si="855"/>
        <v>#DIV/0!</v>
      </c>
    </row>
    <row r="1022" spans="1:61" s="358" customFormat="1" ht="19.2" x14ac:dyDescent="0.3">
      <c r="A1022" s="359" t="s">
        <v>370</v>
      </c>
      <c r="B1022" s="572" t="s">
        <v>3590</v>
      </c>
      <c r="C1022" s="546" t="s">
        <v>2669</v>
      </c>
      <c r="D1022" s="360">
        <v>0.22</v>
      </c>
      <c r="E1022" s="393"/>
      <c r="F1022" s="523"/>
      <c r="G1022" s="393"/>
      <c r="H1022" s="573"/>
      <c r="I1022" s="394"/>
      <c r="J1022" s="394"/>
      <c r="K1022" s="394"/>
      <c r="L1022" s="394"/>
      <c r="M1022" s="394"/>
      <c r="N1022" s="394"/>
      <c r="O1022" s="394"/>
      <c r="P1022" s="394"/>
      <c r="Q1022" s="394"/>
      <c r="R1022" s="381"/>
      <c r="S1022" s="408"/>
      <c r="T1022" s="385"/>
      <c r="U1022" s="475"/>
      <c r="V1022" s="395"/>
      <c r="W1022" s="395"/>
      <c r="X1022" s="393"/>
      <c r="Y1022" s="523">
        <v>1</v>
      </c>
      <c r="Z1022" s="393"/>
      <c r="AA1022" s="573">
        <v>6.84457</v>
      </c>
      <c r="AB1022" s="394">
        <v>5.9576599999999997</v>
      </c>
      <c r="AC1022" s="394">
        <v>5.8152799999999996</v>
      </c>
      <c r="AD1022" s="394"/>
      <c r="AE1022" s="394"/>
      <c r="AF1022" s="394">
        <v>0</v>
      </c>
      <c r="AG1022" s="394">
        <v>0</v>
      </c>
      <c r="AH1022" s="394">
        <v>0.20676</v>
      </c>
      <c r="AI1022" s="394">
        <v>5.8152799999999996</v>
      </c>
      <c r="AJ1022" s="394"/>
      <c r="AK1022" s="381" t="s">
        <v>167</v>
      </c>
      <c r="AL1022" s="408" t="s">
        <v>175</v>
      </c>
      <c r="AM1022" s="385"/>
      <c r="AN1022" s="475">
        <v>570</v>
      </c>
      <c r="AO1022" s="395"/>
      <c r="AP1022" s="395">
        <f t="shared" si="854"/>
        <v>6.84457</v>
      </c>
      <c r="AQ1022" s="393"/>
      <c r="AR1022" s="523"/>
      <c r="AS1022" s="393"/>
      <c r="AT1022" s="573"/>
      <c r="AU1022" s="394"/>
      <c r="AV1022" s="394"/>
      <c r="AW1022" s="394"/>
      <c r="AX1022" s="394"/>
      <c r="AY1022" s="394"/>
      <c r="AZ1022" s="394"/>
      <c r="BA1022" s="394"/>
      <c r="BB1022" s="394"/>
      <c r="BC1022" s="394"/>
      <c r="BD1022" s="381"/>
      <c r="BE1022" s="408"/>
      <c r="BF1022" s="385"/>
      <c r="BG1022" s="475"/>
      <c r="BH1022" s="395"/>
      <c r="BI1022" s="395" t="e">
        <f t="shared" si="855"/>
        <v>#DIV/0!</v>
      </c>
    </row>
    <row r="1023" spans="1:61" s="358" customFormat="1" ht="19.2" x14ac:dyDescent="0.3">
      <c r="A1023" s="359" t="s">
        <v>371</v>
      </c>
      <c r="B1023" s="572" t="s">
        <v>3591</v>
      </c>
      <c r="C1023" s="546" t="s">
        <v>2670</v>
      </c>
      <c r="D1023" s="360">
        <v>0.22</v>
      </c>
      <c r="E1023" s="393"/>
      <c r="F1023" s="523"/>
      <c r="G1023" s="393"/>
      <c r="H1023" s="573"/>
      <c r="I1023" s="394"/>
      <c r="J1023" s="394"/>
      <c r="K1023" s="394"/>
      <c r="L1023" s="394"/>
      <c r="M1023" s="394"/>
      <c r="N1023" s="394"/>
      <c r="O1023" s="394"/>
      <c r="P1023" s="394"/>
      <c r="Q1023" s="394"/>
      <c r="R1023" s="381"/>
      <c r="S1023" s="408"/>
      <c r="T1023" s="385"/>
      <c r="U1023" s="475"/>
      <c r="V1023" s="395"/>
      <c r="W1023" s="395"/>
      <c r="X1023" s="393"/>
      <c r="Y1023" s="523">
        <v>1</v>
      </c>
      <c r="Z1023" s="393"/>
      <c r="AA1023" s="573">
        <v>6.84457</v>
      </c>
      <c r="AB1023" s="394">
        <v>5.9576599999999997</v>
      </c>
      <c r="AC1023" s="394">
        <v>5.8152799999999996</v>
      </c>
      <c r="AD1023" s="394"/>
      <c r="AE1023" s="394"/>
      <c r="AF1023" s="394">
        <v>0</v>
      </c>
      <c r="AG1023" s="394">
        <v>0</v>
      </c>
      <c r="AH1023" s="394">
        <v>0.20676</v>
      </c>
      <c r="AI1023" s="394">
        <v>5.8152799999999996</v>
      </c>
      <c r="AJ1023" s="394"/>
      <c r="AK1023" s="381" t="s">
        <v>167</v>
      </c>
      <c r="AL1023" s="408" t="s">
        <v>175</v>
      </c>
      <c r="AM1023" s="385"/>
      <c r="AN1023" s="475">
        <v>571</v>
      </c>
      <c r="AO1023" s="395"/>
      <c r="AP1023" s="395">
        <f t="shared" si="854"/>
        <v>6.84457</v>
      </c>
      <c r="AQ1023" s="393"/>
      <c r="AR1023" s="523"/>
      <c r="AS1023" s="393"/>
      <c r="AT1023" s="573"/>
      <c r="AU1023" s="394"/>
      <c r="AV1023" s="394"/>
      <c r="AW1023" s="394"/>
      <c r="AX1023" s="394"/>
      <c r="AY1023" s="394"/>
      <c r="AZ1023" s="394"/>
      <c r="BA1023" s="394"/>
      <c r="BB1023" s="394"/>
      <c r="BC1023" s="394"/>
      <c r="BD1023" s="381"/>
      <c r="BE1023" s="408"/>
      <c r="BF1023" s="385"/>
      <c r="BG1023" s="475"/>
      <c r="BH1023" s="395"/>
      <c r="BI1023" s="395" t="e">
        <f t="shared" si="855"/>
        <v>#DIV/0!</v>
      </c>
    </row>
    <row r="1024" spans="1:61" s="358" customFormat="1" ht="19.2" x14ac:dyDescent="0.3">
      <c r="A1024" s="359" t="s">
        <v>388</v>
      </c>
      <c r="B1024" s="572" t="s">
        <v>3592</v>
      </c>
      <c r="C1024" s="546" t="s">
        <v>2671</v>
      </c>
      <c r="D1024" s="360">
        <v>0.22</v>
      </c>
      <c r="E1024" s="393"/>
      <c r="F1024" s="523"/>
      <c r="G1024" s="393"/>
      <c r="H1024" s="573"/>
      <c r="I1024" s="394"/>
      <c r="J1024" s="394"/>
      <c r="K1024" s="394"/>
      <c r="L1024" s="394"/>
      <c r="M1024" s="394"/>
      <c r="N1024" s="394"/>
      <c r="O1024" s="394"/>
      <c r="P1024" s="394"/>
      <c r="Q1024" s="394"/>
      <c r="R1024" s="381"/>
      <c r="S1024" s="408"/>
      <c r="T1024" s="385"/>
      <c r="U1024" s="475"/>
      <c r="V1024" s="395"/>
      <c r="W1024" s="395"/>
      <c r="X1024" s="393"/>
      <c r="Y1024" s="523">
        <v>1</v>
      </c>
      <c r="Z1024" s="393"/>
      <c r="AA1024" s="573">
        <v>6.84457</v>
      </c>
      <c r="AB1024" s="394">
        <v>5.9576599999999997</v>
      </c>
      <c r="AC1024" s="394">
        <v>5.8152799999999996</v>
      </c>
      <c r="AD1024" s="394"/>
      <c r="AE1024" s="394"/>
      <c r="AF1024" s="394">
        <v>0</v>
      </c>
      <c r="AG1024" s="394">
        <v>0</v>
      </c>
      <c r="AH1024" s="394">
        <v>0.20676</v>
      </c>
      <c r="AI1024" s="394">
        <v>5.8152799999999996</v>
      </c>
      <c r="AJ1024" s="394"/>
      <c r="AK1024" s="381" t="s">
        <v>167</v>
      </c>
      <c r="AL1024" s="408" t="s">
        <v>175</v>
      </c>
      <c r="AM1024" s="385"/>
      <c r="AN1024" s="475">
        <v>572</v>
      </c>
      <c r="AO1024" s="395"/>
      <c r="AP1024" s="395">
        <f t="shared" si="854"/>
        <v>6.84457</v>
      </c>
      <c r="AQ1024" s="393"/>
      <c r="AR1024" s="523"/>
      <c r="AS1024" s="393"/>
      <c r="AT1024" s="573"/>
      <c r="AU1024" s="394"/>
      <c r="AV1024" s="394"/>
      <c r="AW1024" s="394"/>
      <c r="AX1024" s="394"/>
      <c r="AY1024" s="394"/>
      <c r="AZ1024" s="394"/>
      <c r="BA1024" s="394"/>
      <c r="BB1024" s="394"/>
      <c r="BC1024" s="394"/>
      <c r="BD1024" s="381"/>
      <c r="BE1024" s="408"/>
      <c r="BF1024" s="385"/>
      <c r="BG1024" s="475"/>
      <c r="BH1024" s="395"/>
      <c r="BI1024" s="395" t="e">
        <f t="shared" si="855"/>
        <v>#DIV/0!</v>
      </c>
    </row>
    <row r="1025" spans="1:61" s="358" customFormat="1" ht="19.2" x14ac:dyDescent="0.3">
      <c r="A1025" s="359" t="s">
        <v>373</v>
      </c>
      <c r="B1025" s="572" t="s">
        <v>3593</v>
      </c>
      <c r="C1025" s="546" t="s">
        <v>2672</v>
      </c>
      <c r="D1025" s="360">
        <v>0.22</v>
      </c>
      <c r="E1025" s="393"/>
      <c r="F1025" s="523"/>
      <c r="G1025" s="393"/>
      <c r="H1025" s="573"/>
      <c r="I1025" s="394"/>
      <c r="J1025" s="394"/>
      <c r="K1025" s="394"/>
      <c r="L1025" s="394"/>
      <c r="M1025" s="394"/>
      <c r="N1025" s="394"/>
      <c r="O1025" s="394"/>
      <c r="P1025" s="394"/>
      <c r="Q1025" s="394"/>
      <c r="R1025" s="381"/>
      <c r="S1025" s="408"/>
      <c r="T1025" s="385"/>
      <c r="U1025" s="475"/>
      <c r="V1025" s="395"/>
      <c r="W1025" s="395"/>
      <c r="X1025" s="393"/>
      <c r="Y1025" s="523">
        <v>1</v>
      </c>
      <c r="Z1025" s="393"/>
      <c r="AA1025" s="573">
        <v>26.399439999999998</v>
      </c>
      <c r="AB1025" s="394">
        <v>21.64404</v>
      </c>
      <c r="AC1025" s="394">
        <v>5.8153499999999996</v>
      </c>
      <c r="AD1025" s="394"/>
      <c r="AE1025" s="394"/>
      <c r="AF1025" s="394">
        <v>0</v>
      </c>
      <c r="AG1025" s="394">
        <v>0</v>
      </c>
      <c r="AH1025" s="394">
        <v>0.10861999999999999</v>
      </c>
      <c r="AI1025" s="394">
        <v>5.8153499999999996</v>
      </c>
      <c r="AJ1025" s="394"/>
      <c r="AK1025" s="381" t="s">
        <v>167</v>
      </c>
      <c r="AL1025" s="408" t="s">
        <v>175</v>
      </c>
      <c r="AM1025" s="385"/>
      <c r="AN1025" s="475">
        <v>573</v>
      </c>
      <c r="AO1025" s="395"/>
      <c r="AP1025" s="395">
        <f t="shared" si="854"/>
        <v>26.399439999999998</v>
      </c>
      <c r="AQ1025" s="393"/>
      <c r="AR1025" s="523"/>
      <c r="AS1025" s="393"/>
      <c r="AT1025" s="573"/>
      <c r="AU1025" s="394"/>
      <c r="AV1025" s="394"/>
      <c r="AW1025" s="394"/>
      <c r="AX1025" s="394"/>
      <c r="AY1025" s="394"/>
      <c r="AZ1025" s="394"/>
      <c r="BA1025" s="394"/>
      <c r="BB1025" s="394"/>
      <c r="BC1025" s="394"/>
      <c r="BD1025" s="381"/>
      <c r="BE1025" s="408"/>
      <c r="BF1025" s="385"/>
      <c r="BG1025" s="475"/>
      <c r="BH1025" s="395"/>
      <c r="BI1025" s="395" t="e">
        <f t="shared" si="855"/>
        <v>#DIV/0!</v>
      </c>
    </row>
    <row r="1026" spans="1:61" s="358" customFormat="1" ht="19.2" x14ac:dyDescent="0.3">
      <c r="A1026" s="359" t="s">
        <v>374</v>
      </c>
      <c r="B1026" s="572" t="s">
        <v>3594</v>
      </c>
      <c r="C1026" s="546" t="s">
        <v>2673</v>
      </c>
      <c r="D1026" s="360">
        <v>0.22</v>
      </c>
      <c r="E1026" s="393"/>
      <c r="F1026" s="523"/>
      <c r="G1026" s="393"/>
      <c r="H1026" s="573"/>
      <c r="I1026" s="394"/>
      <c r="J1026" s="394"/>
      <c r="K1026" s="394"/>
      <c r="L1026" s="394"/>
      <c r="M1026" s="394"/>
      <c r="N1026" s="394"/>
      <c r="O1026" s="394"/>
      <c r="P1026" s="394"/>
      <c r="Q1026" s="394"/>
      <c r="R1026" s="381"/>
      <c r="S1026" s="408"/>
      <c r="T1026" s="385"/>
      <c r="U1026" s="475"/>
      <c r="V1026" s="395"/>
      <c r="W1026" s="395"/>
      <c r="X1026" s="393"/>
      <c r="Y1026" s="523">
        <v>1</v>
      </c>
      <c r="Z1026" s="393"/>
      <c r="AA1026" s="573">
        <v>9.1547699999999992</v>
      </c>
      <c r="AB1026" s="394">
        <v>9.1547699999999992</v>
      </c>
      <c r="AC1026" s="394">
        <v>5.8153199999999998</v>
      </c>
      <c r="AD1026" s="394"/>
      <c r="AE1026" s="394"/>
      <c r="AF1026" s="394">
        <v>0</v>
      </c>
      <c r="AG1026" s="394">
        <v>0</v>
      </c>
      <c r="AH1026" s="394">
        <v>0.56488000000000005</v>
      </c>
      <c r="AI1026" s="394">
        <v>5.8153199999999998</v>
      </c>
      <c r="AJ1026" s="394"/>
      <c r="AK1026" s="381" t="s">
        <v>167</v>
      </c>
      <c r="AL1026" s="408" t="s">
        <v>175</v>
      </c>
      <c r="AM1026" s="385"/>
      <c r="AN1026" s="475">
        <v>575</v>
      </c>
      <c r="AO1026" s="395"/>
      <c r="AP1026" s="395">
        <f t="shared" si="854"/>
        <v>9.1547699999999992</v>
      </c>
      <c r="AQ1026" s="393"/>
      <c r="AR1026" s="523"/>
      <c r="AS1026" s="393"/>
      <c r="AT1026" s="573"/>
      <c r="AU1026" s="394"/>
      <c r="AV1026" s="394"/>
      <c r="AW1026" s="394"/>
      <c r="AX1026" s="394"/>
      <c r="AY1026" s="394"/>
      <c r="AZ1026" s="394"/>
      <c r="BA1026" s="394"/>
      <c r="BB1026" s="394"/>
      <c r="BC1026" s="394"/>
      <c r="BD1026" s="381"/>
      <c r="BE1026" s="408"/>
      <c r="BF1026" s="385"/>
      <c r="BG1026" s="475"/>
      <c r="BH1026" s="395"/>
      <c r="BI1026" s="395" t="e">
        <f t="shared" si="855"/>
        <v>#DIV/0!</v>
      </c>
    </row>
    <row r="1027" spans="1:61" s="358" customFormat="1" ht="19.2" x14ac:dyDescent="0.3">
      <c r="A1027" s="359" t="s">
        <v>359</v>
      </c>
      <c r="B1027" s="572" t="s">
        <v>658</v>
      </c>
      <c r="C1027" s="546" t="s">
        <v>2674</v>
      </c>
      <c r="D1027" s="360">
        <v>0.22</v>
      </c>
      <c r="E1027" s="393"/>
      <c r="F1027" s="523"/>
      <c r="G1027" s="393"/>
      <c r="H1027" s="573"/>
      <c r="I1027" s="394"/>
      <c r="J1027" s="394"/>
      <c r="K1027" s="394"/>
      <c r="L1027" s="394"/>
      <c r="M1027" s="394"/>
      <c r="N1027" s="394"/>
      <c r="O1027" s="394"/>
      <c r="P1027" s="394"/>
      <c r="Q1027" s="394"/>
      <c r="R1027" s="381"/>
      <c r="S1027" s="408"/>
      <c r="T1027" s="385"/>
      <c r="U1027" s="475"/>
      <c r="V1027" s="395"/>
      <c r="W1027" s="395"/>
      <c r="X1027" s="393"/>
      <c r="Y1027" s="523">
        <v>1</v>
      </c>
      <c r="Z1027" s="393"/>
      <c r="AA1027" s="573">
        <v>8.6379099999999998</v>
      </c>
      <c r="AB1027" s="394">
        <v>6.21488</v>
      </c>
      <c r="AC1027" s="394">
        <v>5.2083399999999997</v>
      </c>
      <c r="AD1027" s="394"/>
      <c r="AE1027" s="394"/>
      <c r="AF1027" s="394">
        <v>0</v>
      </c>
      <c r="AG1027" s="394">
        <v>0</v>
      </c>
      <c r="AH1027" s="394">
        <v>0.56488000000000005</v>
      </c>
      <c r="AI1027" s="394">
        <v>5.2083399999999997</v>
      </c>
      <c r="AJ1027" s="394"/>
      <c r="AK1027" s="381" t="s">
        <v>167</v>
      </c>
      <c r="AL1027" s="408" t="s">
        <v>175</v>
      </c>
      <c r="AM1027" s="385"/>
      <c r="AN1027" s="475">
        <v>576</v>
      </c>
      <c r="AO1027" s="395"/>
      <c r="AP1027" s="395">
        <f t="shared" si="854"/>
        <v>8.6379099999999998</v>
      </c>
      <c r="AQ1027" s="393"/>
      <c r="AR1027" s="523"/>
      <c r="AS1027" s="393"/>
      <c r="AT1027" s="573"/>
      <c r="AU1027" s="394"/>
      <c r="AV1027" s="394"/>
      <c r="AW1027" s="394"/>
      <c r="AX1027" s="394"/>
      <c r="AY1027" s="394"/>
      <c r="AZ1027" s="394"/>
      <c r="BA1027" s="394"/>
      <c r="BB1027" s="394"/>
      <c r="BC1027" s="394"/>
      <c r="BD1027" s="381"/>
      <c r="BE1027" s="408"/>
      <c r="BF1027" s="385"/>
      <c r="BG1027" s="475"/>
      <c r="BH1027" s="395"/>
      <c r="BI1027" s="395" t="e">
        <f t="shared" si="855"/>
        <v>#DIV/0!</v>
      </c>
    </row>
    <row r="1028" spans="1:61" s="358" customFormat="1" ht="19.2" x14ac:dyDescent="0.3">
      <c r="A1028" s="359" t="s">
        <v>392</v>
      </c>
      <c r="B1028" s="572" t="s">
        <v>3595</v>
      </c>
      <c r="C1028" s="546" t="s">
        <v>2276</v>
      </c>
      <c r="D1028" s="360">
        <v>0.22</v>
      </c>
      <c r="E1028" s="393"/>
      <c r="F1028" s="523"/>
      <c r="G1028" s="393"/>
      <c r="H1028" s="573"/>
      <c r="I1028" s="394"/>
      <c r="J1028" s="394"/>
      <c r="K1028" s="394"/>
      <c r="L1028" s="394"/>
      <c r="M1028" s="394"/>
      <c r="N1028" s="394"/>
      <c r="O1028" s="394"/>
      <c r="P1028" s="394"/>
      <c r="Q1028" s="394"/>
      <c r="R1028" s="381"/>
      <c r="S1028" s="408"/>
      <c r="T1028" s="385"/>
      <c r="U1028" s="475"/>
      <c r="V1028" s="395"/>
      <c r="W1028" s="395"/>
      <c r="X1028" s="393"/>
      <c r="Y1028" s="523">
        <v>1</v>
      </c>
      <c r="Z1028" s="393"/>
      <c r="AA1028" s="573">
        <v>9.2448399999999999</v>
      </c>
      <c r="AB1028" s="394">
        <v>6.8218100000000002</v>
      </c>
      <c r="AC1028" s="394">
        <v>5.8152799999999996</v>
      </c>
      <c r="AD1028" s="394"/>
      <c r="AE1028" s="394"/>
      <c r="AF1028" s="394">
        <v>0</v>
      </c>
      <c r="AG1028" s="394">
        <v>0</v>
      </c>
      <c r="AH1028" s="394">
        <v>0.56488000000000005</v>
      </c>
      <c r="AI1028" s="394">
        <v>5.8152799999999996</v>
      </c>
      <c r="AJ1028" s="394"/>
      <c r="AK1028" s="381" t="s">
        <v>167</v>
      </c>
      <c r="AL1028" s="408" t="s">
        <v>175</v>
      </c>
      <c r="AM1028" s="385"/>
      <c r="AN1028" s="475">
        <v>577</v>
      </c>
      <c r="AO1028" s="395"/>
      <c r="AP1028" s="395">
        <f t="shared" si="854"/>
        <v>9.2448399999999999</v>
      </c>
      <c r="AQ1028" s="393"/>
      <c r="AR1028" s="523"/>
      <c r="AS1028" s="393"/>
      <c r="AT1028" s="573"/>
      <c r="AU1028" s="394"/>
      <c r="AV1028" s="394"/>
      <c r="AW1028" s="394"/>
      <c r="AX1028" s="394"/>
      <c r="AY1028" s="394"/>
      <c r="AZ1028" s="394"/>
      <c r="BA1028" s="394"/>
      <c r="BB1028" s="394"/>
      <c r="BC1028" s="394"/>
      <c r="BD1028" s="381"/>
      <c r="BE1028" s="408"/>
      <c r="BF1028" s="385"/>
      <c r="BG1028" s="475"/>
      <c r="BH1028" s="395"/>
      <c r="BI1028" s="395" t="e">
        <f t="shared" si="855"/>
        <v>#DIV/0!</v>
      </c>
    </row>
    <row r="1029" spans="1:61" s="358" customFormat="1" ht="19.2" x14ac:dyDescent="0.3">
      <c r="A1029" s="359" t="s">
        <v>377</v>
      </c>
      <c r="B1029" s="572" t="s">
        <v>658</v>
      </c>
      <c r="C1029" s="546" t="s">
        <v>2675</v>
      </c>
      <c r="D1029" s="360">
        <v>0.22</v>
      </c>
      <c r="E1029" s="393"/>
      <c r="F1029" s="523"/>
      <c r="G1029" s="393"/>
      <c r="H1029" s="573"/>
      <c r="I1029" s="394"/>
      <c r="J1029" s="394"/>
      <c r="K1029" s="394"/>
      <c r="L1029" s="394"/>
      <c r="M1029" s="394"/>
      <c r="N1029" s="394"/>
      <c r="O1029" s="394"/>
      <c r="P1029" s="394"/>
      <c r="Q1029" s="394"/>
      <c r="R1029" s="381"/>
      <c r="S1029" s="408"/>
      <c r="T1029" s="385"/>
      <c r="U1029" s="475"/>
      <c r="V1029" s="395"/>
      <c r="W1029" s="395"/>
      <c r="X1029" s="393"/>
      <c r="Y1029" s="523">
        <v>1</v>
      </c>
      <c r="Z1029" s="393"/>
      <c r="AA1029" s="573">
        <v>9.1547400000000003</v>
      </c>
      <c r="AB1029" s="394">
        <v>6.7317099999999996</v>
      </c>
      <c r="AC1029" s="394">
        <v>5.8152799999999996</v>
      </c>
      <c r="AD1029" s="394"/>
      <c r="AE1029" s="394"/>
      <c r="AF1029" s="394">
        <v>0</v>
      </c>
      <c r="AG1029" s="394">
        <v>0</v>
      </c>
      <c r="AH1029" s="394">
        <v>0.56488000000000005</v>
      </c>
      <c r="AI1029" s="394">
        <v>5.8152799999999996</v>
      </c>
      <c r="AJ1029" s="394"/>
      <c r="AK1029" s="381" t="s">
        <v>167</v>
      </c>
      <c r="AL1029" s="408" t="s">
        <v>175</v>
      </c>
      <c r="AM1029" s="385"/>
      <c r="AN1029" s="475">
        <v>578</v>
      </c>
      <c r="AO1029" s="395"/>
      <c r="AP1029" s="395">
        <f t="shared" si="854"/>
        <v>9.1547400000000003</v>
      </c>
      <c r="AQ1029" s="393"/>
      <c r="AR1029" s="523"/>
      <c r="AS1029" s="393"/>
      <c r="AT1029" s="573"/>
      <c r="AU1029" s="394"/>
      <c r="AV1029" s="394"/>
      <c r="AW1029" s="394"/>
      <c r="AX1029" s="394"/>
      <c r="AY1029" s="394"/>
      <c r="AZ1029" s="394"/>
      <c r="BA1029" s="394"/>
      <c r="BB1029" s="394"/>
      <c r="BC1029" s="394"/>
      <c r="BD1029" s="381"/>
      <c r="BE1029" s="408"/>
      <c r="BF1029" s="385"/>
      <c r="BG1029" s="475"/>
      <c r="BH1029" s="395"/>
      <c r="BI1029" s="395" t="e">
        <f t="shared" si="855"/>
        <v>#DIV/0!</v>
      </c>
    </row>
    <row r="1030" spans="1:61" s="358" customFormat="1" ht="19.2" x14ac:dyDescent="0.3">
      <c r="A1030" s="359" t="s">
        <v>378</v>
      </c>
      <c r="B1030" s="572" t="s">
        <v>3596</v>
      </c>
      <c r="C1030" s="546" t="s">
        <v>2676</v>
      </c>
      <c r="D1030" s="360">
        <v>0.22</v>
      </c>
      <c r="E1030" s="393"/>
      <c r="F1030" s="523"/>
      <c r="G1030" s="393"/>
      <c r="H1030" s="573"/>
      <c r="I1030" s="394"/>
      <c r="J1030" s="394"/>
      <c r="K1030" s="394"/>
      <c r="L1030" s="394"/>
      <c r="M1030" s="394"/>
      <c r="N1030" s="394"/>
      <c r="O1030" s="394"/>
      <c r="P1030" s="394"/>
      <c r="Q1030" s="394"/>
      <c r="R1030" s="381"/>
      <c r="S1030" s="408"/>
      <c r="T1030" s="385"/>
      <c r="U1030" s="475"/>
      <c r="V1030" s="395"/>
      <c r="W1030" s="395"/>
      <c r="X1030" s="393"/>
      <c r="Y1030" s="523">
        <v>1</v>
      </c>
      <c r="Z1030" s="393"/>
      <c r="AA1030" s="573">
        <v>9.1989199999999993</v>
      </c>
      <c r="AB1030" s="394">
        <v>6.7758900000000004</v>
      </c>
      <c r="AC1030" s="394">
        <v>5.8152799999999996</v>
      </c>
      <c r="AD1030" s="394"/>
      <c r="AE1030" s="394"/>
      <c r="AF1030" s="394">
        <v>0</v>
      </c>
      <c r="AG1030" s="394">
        <v>0</v>
      </c>
      <c r="AH1030" s="394">
        <v>0.56488000000000005</v>
      </c>
      <c r="AI1030" s="394">
        <v>5.8152799999999996</v>
      </c>
      <c r="AJ1030" s="394"/>
      <c r="AK1030" s="381" t="s">
        <v>167</v>
      </c>
      <c r="AL1030" s="408" t="s">
        <v>175</v>
      </c>
      <c r="AM1030" s="385"/>
      <c r="AN1030" s="475">
        <v>579</v>
      </c>
      <c r="AO1030" s="395"/>
      <c r="AP1030" s="395">
        <f t="shared" si="854"/>
        <v>9.1989199999999993</v>
      </c>
      <c r="AQ1030" s="393"/>
      <c r="AR1030" s="523"/>
      <c r="AS1030" s="393"/>
      <c r="AT1030" s="573"/>
      <c r="AU1030" s="394"/>
      <c r="AV1030" s="394"/>
      <c r="AW1030" s="394"/>
      <c r="AX1030" s="394"/>
      <c r="AY1030" s="394"/>
      <c r="AZ1030" s="394"/>
      <c r="BA1030" s="394"/>
      <c r="BB1030" s="394"/>
      <c r="BC1030" s="394"/>
      <c r="BD1030" s="381"/>
      <c r="BE1030" s="408"/>
      <c r="BF1030" s="385"/>
      <c r="BG1030" s="475"/>
      <c r="BH1030" s="395"/>
      <c r="BI1030" s="395" t="e">
        <f t="shared" si="855"/>
        <v>#DIV/0!</v>
      </c>
    </row>
    <row r="1031" spans="1:61" s="358" customFormat="1" ht="19.2" x14ac:dyDescent="0.3">
      <c r="A1031" s="359" t="s">
        <v>379</v>
      </c>
      <c r="B1031" s="572" t="s">
        <v>2393</v>
      </c>
      <c r="C1031" s="546" t="s">
        <v>2392</v>
      </c>
      <c r="D1031" s="360">
        <v>0.22</v>
      </c>
      <c r="E1031" s="393"/>
      <c r="F1031" s="523"/>
      <c r="G1031" s="393"/>
      <c r="H1031" s="573"/>
      <c r="I1031" s="394"/>
      <c r="J1031" s="394"/>
      <c r="K1031" s="394"/>
      <c r="L1031" s="394"/>
      <c r="M1031" s="394"/>
      <c r="N1031" s="394"/>
      <c r="O1031" s="394"/>
      <c r="P1031" s="394"/>
      <c r="Q1031" s="394"/>
      <c r="R1031" s="381"/>
      <c r="S1031" s="408"/>
      <c r="T1031" s="385"/>
      <c r="U1031" s="475"/>
      <c r="V1031" s="395"/>
      <c r="W1031" s="395"/>
      <c r="X1031" s="393"/>
      <c r="Y1031" s="523">
        <v>1</v>
      </c>
      <c r="Z1031" s="393"/>
      <c r="AA1031" s="573">
        <v>9.5244400000000002</v>
      </c>
      <c r="AB1031" s="394">
        <v>7.1014099999999996</v>
      </c>
      <c r="AC1031" s="394">
        <v>5.8152600000000003</v>
      </c>
      <c r="AD1031" s="394"/>
      <c r="AE1031" s="394"/>
      <c r="AF1031" s="394">
        <v>0</v>
      </c>
      <c r="AG1031" s="394">
        <v>0</v>
      </c>
      <c r="AH1031" s="394">
        <v>0.56488000000000005</v>
      </c>
      <c r="AI1031" s="394">
        <v>5.8152600000000003</v>
      </c>
      <c r="AJ1031" s="394"/>
      <c r="AK1031" s="381" t="s">
        <v>167</v>
      </c>
      <c r="AL1031" s="408" t="s">
        <v>175</v>
      </c>
      <c r="AM1031" s="385"/>
      <c r="AN1031" s="475">
        <v>580</v>
      </c>
      <c r="AO1031" s="395"/>
      <c r="AP1031" s="395">
        <f t="shared" si="854"/>
        <v>9.5244400000000002</v>
      </c>
      <c r="AQ1031" s="393"/>
      <c r="AR1031" s="523"/>
      <c r="AS1031" s="393"/>
      <c r="AT1031" s="573"/>
      <c r="AU1031" s="394"/>
      <c r="AV1031" s="394"/>
      <c r="AW1031" s="394"/>
      <c r="AX1031" s="394"/>
      <c r="AY1031" s="394"/>
      <c r="AZ1031" s="394"/>
      <c r="BA1031" s="394"/>
      <c r="BB1031" s="394"/>
      <c r="BC1031" s="394"/>
      <c r="BD1031" s="381"/>
      <c r="BE1031" s="408"/>
      <c r="BF1031" s="385"/>
      <c r="BG1031" s="475"/>
      <c r="BH1031" s="395"/>
      <c r="BI1031" s="395" t="e">
        <f t="shared" si="855"/>
        <v>#DIV/0!</v>
      </c>
    </row>
    <row r="1032" spans="1:61" s="358" customFormat="1" ht="19.2" x14ac:dyDescent="0.3">
      <c r="A1032" s="359" t="s">
        <v>380</v>
      </c>
      <c r="B1032" s="572" t="s">
        <v>3597</v>
      </c>
      <c r="C1032" s="546" t="s">
        <v>2677</v>
      </c>
      <c r="D1032" s="360">
        <v>0.22</v>
      </c>
      <c r="E1032" s="393"/>
      <c r="F1032" s="523"/>
      <c r="G1032" s="393"/>
      <c r="H1032" s="573"/>
      <c r="I1032" s="394"/>
      <c r="J1032" s="394"/>
      <c r="K1032" s="394"/>
      <c r="L1032" s="394"/>
      <c r="M1032" s="394"/>
      <c r="N1032" s="394"/>
      <c r="O1032" s="394"/>
      <c r="P1032" s="394"/>
      <c r="Q1032" s="394"/>
      <c r="R1032" s="381"/>
      <c r="S1032" s="408"/>
      <c r="T1032" s="385"/>
      <c r="U1032" s="475"/>
      <c r="V1032" s="395"/>
      <c r="W1032" s="395"/>
      <c r="X1032" s="393"/>
      <c r="Y1032" s="523">
        <v>1</v>
      </c>
      <c r="Z1032" s="393"/>
      <c r="AA1032" s="573">
        <v>9.5244199999999992</v>
      </c>
      <c r="AB1032" s="394">
        <v>7.1013900000000003</v>
      </c>
      <c r="AC1032" s="394">
        <v>5.8152600000000003</v>
      </c>
      <c r="AD1032" s="394"/>
      <c r="AE1032" s="394"/>
      <c r="AF1032" s="394">
        <v>0</v>
      </c>
      <c r="AG1032" s="394">
        <v>0</v>
      </c>
      <c r="AH1032" s="394">
        <v>0.56488000000000005</v>
      </c>
      <c r="AI1032" s="394">
        <v>5.8152600000000003</v>
      </c>
      <c r="AJ1032" s="394"/>
      <c r="AK1032" s="381" t="s">
        <v>167</v>
      </c>
      <c r="AL1032" s="408" t="s">
        <v>175</v>
      </c>
      <c r="AM1032" s="385"/>
      <c r="AN1032" s="475">
        <v>581</v>
      </c>
      <c r="AO1032" s="395"/>
      <c r="AP1032" s="395">
        <f t="shared" si="854"/>
        <v>9.5244199999999992</v>
      </c>
      <c r="AQ1032" s="393"/>
      <c r="AR1032" s="523"/>
      <c r="AS1032" s="393"/>
      <c r="AT1032" s="573"/>
      <c r="AU1032" s="394"/>
      <c r="AV1032" s="394"/>
      <c r="AW1032" s="394"/>
      <c r="AX1032" s="394"/>
      <c r="AY1032" s="394"/>
      <c r="AZ1032" s="394"/>
      <c r="BA1032" s="394"/>
      <c r="BB1032" s="394"/>
      <c r="BC1032" s="394"/>
      <c r="BD1032" s="381"/>
      <c r="BE1032" s="408"/>
      <c r="BF1032" s="385"/>
      <c r="BG1032" s="475"/>
      <c r="BH1032" s="395"/>
      <c r="BI1032" s="395" t="e">
        <f t="shared" si="855"/>
        <v>#DIV/0!</v>
      </c>
    </row>
    <row r="1033" spans="1:61" s="358" customFormat="1" ht="19.2" x14ac:dyDescent="0.3">
      <c r="A1033" s="359" t="s">
        <v>381</v>
      </c>
      <c r="B1033" s="572" t="s">
        <v>2391</v>
      </c>
      <c r="C1033" s="546" t="s">
        <v>2390</v>
      </c>
      <c r="D1033" s="360">
        <v>0.22</v>
      </c>
      <c r="E1033" s="393"/>
      <c r="F1033" s="523"/>
      <c r="G1033" s="393"/>
      <c r="H1033" s="573"/>
      <c r="I1033" s="394"/>
      <c r="J1033" s="394"/>
      <c r="K1033" s="394"/>
      <c r="L1033" s="394"/>
      <c r="M1033" s="394"/>
      <c r="N1033" s="394"/>
      <c r="O1033" s="394"/>
      <c r="P1033" s="394"/>
      <c r="Q1033" s="394"/>
      <c r="R1033" s="381"/>
      <c r="S1033" s="408"/>
      <c r="T1033" s="385"/>
      <c r="U1033" s="475"/>
      <c r="V1033" s="395"/>
      <c r="W1033" s="395"/>
      <c r="X1033" s="393"/>
      <c r="Y1033" s="523">
        <v>1</v>
      </c>
      <c r="Z1033" s="393"/>
      <c r="AA1033" s="573">
        <v>9.5244499999999999</v>
      </c>
      <c r="AB1033" s="394">
        <v>7.1014200000000001</v>
      </c>
      <c r="AC1033" s="394">
        <v>5.8152600000000003</v>
      </c>
      <c r="AD1033" s="394"/>
      <c r="AE1033" s="394"/>
      <c r="AF1033" s="394">
        <v>0</v>
      </c>
      <c r="AG1033" s="394">
        <v>0</v>
      </c>
      <c r="AH1033" s="394">
        <v>0.56488000000000005</v>
      </c>
      <c r="AI1033" s="394">
        <v>5.8152600000000003</v>
      </c>
      <c r="AJ1033" s="394"/>
      <c r="AK1033" s="381" t="s">
        <v>167</v>
      </c>
      <c r="AL1033" s="408" t="s">
        <v>175</v>
      </c>
      <c r="AM1033" s="385"/>
      <c r="AN1033" s="475">
        <v>582</v>
      </c>
      <c r="AO1033" s="395"/>
      <c r="AP1033" s="395">
        <f t="shared" si="854"/>
        <v>9.5244499999999999</v>
      </c>
      <c r="AQ1033" s="393"/>
      <c r="AR1033" s="523"/>
      <c r="AS1033" s="393"/>
      <c r="AT1033" s="573"/>
      <c r="AU1033" s="394"/>
      <c r="AV1033" s="394"/>
      <c r="AW1033" s="394"/>
      <c r="AX1033" s="394"/>
      <c r="AY1033" s="394"/>
      <c r="AZ1033" s="394"/>
      <c r="BA1033" s="394"/>
      <c r="BB1033" s="394"/>
      <c r="BC1033" s="394"/>
      <c r="BD1033" s="381"/>
      <c r="BE1033" s="408"/>
      <c r="BF1033" s="385"/>
      <c r="BG1033" s="475"/>
      <c r="BH1033" s="395"/>
      <c r="BI1033" s="395" t="e">
        <f t="shared" si="855"/>
        <v>#DIV/0!</v>
      </c>
    </row>
    <row r="1034" spans="1:61" s="358" customFormat="1" ht="19.2" x14ac:dyDescent="0.3">
      <c r="A1034" s="359" t="s">
        <v>382</v>
      </c>
      <c r="B1034" s="572" t="s">
        <v>3598</v>
      </c>
      <c r="C1034" s="546" t="s">
        <v>2678</v>
      </c>
      <c r="D1034" s="360">
        <v>0.22</v>
      </c>
      <c r="E1034" s="393"/>
      <c r="F1034" s="523"/>
      <c r="G1034" s="393"/>
      <c r="H1034" s="573"/>
      <c r="I1034" s="394"/>
      <c r="J1034" s="394"/>
      <c r="K1034" s="394"/>
      <c r="L1034" s="394"/>
      <c r="M1034" s="394"/>
      <c r="N1034" s="394"/>
      <c r="O1034" s="394"/>
      <c r="P1034" s="394"/>
      <c r="Q1034" s="394"/>
      <c r="R1034" s="381"/>
      <c r="S1034" s="408"/>
      <c r="T1034" s="385"/>
      <c r="U1034" s="475"/>
      <c r="V1034" s="395"/>
      <c r="W1034" s="395"/>
      <c r="X1034" s="393"/>
      <c r="Y1034" s="523">
        <v>1</v>
      </c>
      <c r="Z1034" s="393"/>
      <c r="AA1034" s="573">
        <v>9.1547400000000003</v>
      </c>
      <c r="AB1034" s="394">
        <v>6.7317099999999996</v>
      </c>
      <c r="AC1034" s="394">
        <v>5.8152799999999996</v>
      </c>
      <c r="AD1034" s="394"/>
      <c r="AE1034" s="394"/>
      <c r="AF1034" s="394">
        <v>0</v>
      </c>
      <c r="AG1034" s="394">
        <v>0</v>
      </c>
      <c r="AH1034" s="394">
        <v>0.56488000000000005</v>
      </c>
      <c r="AI1034" s="394">
        <v>5.8152799999999996</v>
      </c>
      <c r="AJ1034" s="394"/>
      <c r="AK1034" s="381" t="s">
        <v>167</v>
      </c>
      <c r="AL1034" s="408" t="s">
        <v>175</v>
      </c>
      <c r="AM1034" s="385"/>
      <c r="AN1034" s="475">
        <v>583</v>
      </c>
      <c r="AO1034" s="395"/>
      <c r="AP1034" s="395">
        <f t="shared" si="854"/>
        <v>9.1547400000000003</v>
      </c>
      <c r="AQ1034" s="393"/>
      <c r="AR1034" s="523"/>
      <c r="AS1034" s="393"/>
      <c r="AT1034" s="573"/>
      <c r="AU1034" s="394"/>
      <c r="AV1034" s="394"/>
      <c r="AW1034" s="394"/>
      <c r="AX1034" s="394"/>
      <c r="AY1034" s="394"/>
      <c r="AZ1034" s="394"/>
      <c r="BA1034" s="394"/>
      <c r="BB1034" s="394"/>
      <c r="BC1034" s="394"/>
      <c r="BD1034" s="381"/>
      <c r="BE1034" s="408"/>
      <c r="BF1034" s="385"/>
      <c r="BG1034" s="475"/>
      <c r="BH1034" s="395"/>
      <c r="BI1034" s="395" t="e">
        <f t="shared" si="855"/>
        <v>#DIV/0!</v>
      </c>
    </row>
    <row r="1035" spans="1:61" s="358" customFormat="1" ht="19.2" x14ac:dyDescent="0.3">
      <c r="A1035" s="359" t="s">
        <v>383</v>
      </c>
      <c r="B1035" s="572" t="s">
        <v>3599</v>
      </c>
      <c r="C1035" s="546" t="s">
        <v>2679</v>
      </c>
      <c r="D1035" s="360">
        <v>0.22</v>
      </c>
      <c r="E1035" s="393"/>
      <c r="F1035" s="523"/>
      <c r="G1035" s="393"/>
      <c r="H1035" s="573"/>
      <c r="I1035" s="394"/>
      <c r="J1035" s="394"/>
      <c r="K1035" s="394"/>
      <c r="L1035" s="394"/>
      <c r="M1035" s="394"/>
      <c r="N1035" s="394"/>
      <c r="O1035" s="394"/>
      <c r="P1035" s="394"/>
      <c r="Q1035" s="394"/>
      <c r="R1035" s="381"/>
      <c r="S1035" s="408"/>
      <c r="T1035" s="385"/>
      <c r="U1035" s="475"/>
      <c r="V1035" s="395"/>
      <c r="W1035" s="395"/>
      <c r="X1035" s="393"/>
      <c r="Y1035" s="523">
        <v>1</v>
      </c>
      <c r="Z1035" s="393"/>
      <c r="AA1035" s="573">
        <v>9.7098499999999994</v>
      </c>
      <c r="AB1035" s="394">
        <v>7.1455500000000001</v>
      </c>
      <c r="AC1035" s="394">
        <v>5.8152699999999999</v>
      </c>
      <c r="AD1035" s="394"/>
      <c r="AE1035" s="394"/>
      <c r="AF1035" s="394">
        <v>0</v>
      </c>
      <c r="AG1035" s="394">
        <v>0</v>
      </c>
      <c r="AH1035" s="394">
        <v>0.59780999999999995</v>
      </c>
      <c r="AI1035" s="394">
        <v>5.8152699999999999</v>
      </c>
      <c r="AJ1035" s="394"/>
      <c r="AK1035" s="381" t="s">
        <v>167</v>
      </c>
      <c r="AL1035" s="408" t="s">
        <v>175</v>
      </c>
      <c r="AM1035" s="385"/>
      <c r="AN1035" s="475">
        <v>584</v>
      </c>
      <c r="AO1035" s="395"/>
      <c r="AP1035" s="395">
        <f t="shared" si="854"/>
        <v>9.7098499999999994</v>
      </c>
      <c r="AQ1035" s="393"/>
      <c r="AR1035" s="523"/>
      <c r="AS1035" s="393"/>
      <c r="AT1035" s="573"/>
      <c r="AU1035" s="394"/>
      <c r="AV1035" s="394"/>
      <c r="AW1035" s="394"/>
      <c r="AX1035" s="394"/>
      <c r="AY1035" s="394"/>
      <c r="AZ1035" s="394"/>
      <c r="BA1035" s="394"/>
      <c r="BB1035" s="394"/>
      <c r="BC1035" s="394"/>
      <c r="BD1035" s="381"/>
      <c r="BE1035" s="408"/>
      <c r="BF1035" s="385"/>
      <c r="BG1035" s="475"/>
      <c r="BH1035" s="395"/>
      <c r="BI1035" s="395" t="e">
        <f t="shared" si="855"/>
        <v>#DIV/0!</v>
      </c>
    </row>
    <row r="1036" spans="1:61" s="358" customFormat="1" ht="19.2" x14ac:dyDescent="0.3">
      <c r="A1036" s="359" t="s">
        <v>384</v>
      </c>
      <c r="B1036" s="572" t="s">
        <v>3600</v>
      </c>
      <c r="C1036" s="546" t="s">
        <v>2680</v>
      </c>
      <c r="D1036" s="360">
        <v>0.22</v>
      </c>
      <c r="E1036" s="393"/>
      <c r="F1036" s="523"/>
      <c r="G1036" s="393"/>
      <c r="H1036" s="573"/>
      <c r="I1036" s="394"/>
      <c r="J1036" s="394"/>
      <c r="K1036" s="394"/>
      <c r="L1036" s="394"/>
      <c r="M1036" s="394"/>
      <c r="N1036" s="394"/>
      <c r="O1036" s="394"/>
      <c r="P1036" s="394"/>
      <c r="Q1036" s="394"/>
      <c r="R1036" s="381"/>
      <c r="S1036" s="408"/>
      <c r="T1036" s="385"/>
      <c r="U1036" s="475"/>
      <c r="V1036" s="395"/>
      <c r="W1036" s="395"/>
      <c r="X1036" s="393"/>
      <c r="Y1036" s="523">
        <v>1</v>
      </c>
      <c r="Z1036" s="393"/>
      <c r="AA1036" s="573">
        <v>9.5244400000000002</v>
      </c>
      <c r="AB1036" s="394">
        <v>7.1014099999999996</v>
      </c>
      <c r="AC1036" s="394">
        <v>5.8152600000000003</v>
      </c>
      <c r="AD1036" s="394"/>
      <c r="AE1036" s="394"/>
      <c r="AF1036" s="394">
        <v>0</v>
      </c>
      <c r="AG1036" s="394">
        <v>0</v>
      </c>
      <c r="AH1036" s="394">
        <v>0.56488000000000005</v>
      </c>
      <c r="AI1036" s="394">
        <v>5.8152600000000003</v>
      </c>
      <c r="AJ1036" s="394"/>
      <c r="AK1036" s="381" t="s">
        <v>167</v>
      </c>
      <c r="AL1036" s="408" t="s">
        <v>175</v>
      </c>
      <c r="AM1036" s="385"/>
      <c r="AN1036" s="475">
        <v>585</v>
      </c>
      <c r="AO1036" s="395"/>
      <c r="AP1036" s="395">
        <f t="shared" si="854"/>
        <v>9.5244400000000002</v>
      </c>
      <c r="AQ1036" s="393"/>
      <c r="AR1036" s="523"/>
      <c r="AS1036" s="393"/>
      <c r="AT1036" s="573"/>
      <c r="AU1036" s="394"/>
      <c r="AV1036" s="394"/>
      <c r="AW1036" s="394"/>
      <c r="AX1036" s="394"/>
      <c r="AY1036" s="394"/>
      <c r="AZ1036" s="394"/>
      <c r="BA1036" s="394"/>
      <c r="BB1036" s="394"/>
      <c r="BC1036" s="394"/>
      <c r="BD1036" s="381"/>
      <c r="BE1036" s="408"/>
      <c r="BF1036" s="385"/>
      <c r="BG1036" s="475"/>
      <c r="BH1036" s="395"/>
      <c r="BI1036" s="395" t="e">
        <f t="shared" si="855"/>
        <v>#DIV/0!</v>
      </c>
    </row>
    <row r="1037" spans="1:61" s="358" customFormat="1" ht="19.2" x14ac:dyDescent="0.3">
      <c r="A1037" s="359" t="s">
        <v>385</v>
      </c>
      <c r="B1037" s="572" t="s">
        <v>3601</v>
      </c>
      <c r="C1037" s="546" t="s">
        <v>2681</v>
      </c>
      <c r="D1037" s="360">
        <v>0.22</v>
      </c>
      <c r="E1037" s="393"/>
      <c r="F1037" s="523"/>
      <c r="G1037" s="393"/>
      <c r="H1037" s="573"/>
      <c r="I1037" s="394"/>
      <c r="J1037" s="394"/>
      <c r="K1037" s="394"/>
      <c r="L1037" s="394"/>
      <c r="M1037" s="394"/>
      <c r="N1037" s="394"/>
      <c r="O1037" s="394"/>
      <c r="P1037" s="394"/>
      <c r="Q1037" s="394"/>
      <c r="R1037" s="381"/>
      <c r="S1037" s="408"/>
      <c r="T1037" s="385"/>
      <c r="U1037" s="475"/>
      <c r="V1037" s="395"/>
      <c r="W1037" s="395"/>
      <c r="X1037" s="393"/>
      <c r="Y1037" s="523">
        <v>1</v>
      </c>
      <c r="Z1037" s="393"/>
      <c r="AA1037" s="573">
        <v>8.6378799999999991</v>
      </c>
      <c r="AB1037" s="394">
        <v>6.2148500000000002</v>
      </c>
      <c r="AC1037" s="394">
        <v>5.20831</v>
      </c>
      <c r="AD1037" s="394"/>
      <c r="AE1037" s="394"/>
      <c r="AF1037" s="394">
        <v>0</v>
      </c>
      <c r="AG1037" s="394">
        <v>0</v>
      </c>
      <c r="AH1037" s="394">
        <v>0.56488000000000005</v>
      </c>
      <c r="AI1037" s="394">
        <v>5.20831</v>
      </c>
      <c r="AJ1037" s="394"/>
      <c r="AK1037" s="381" t="s">
        <v>167</v>
      </c>
      <c r="AL1037" s="408" t="s">
        <v>175</v>
      </c>
      <c r="AM1037" s="385"/>
      <c r="AN1037" s="475">
        <v>586</v>
      </c>
      <c r="AO1037" s="395"/>
      <c r="AP1037" s="395">
        <f t="shared" si="854"/>
        <v>8.6378799999999991</v>
      </c>
      <c r="AQ1037" s="393"/>
      <c r="AR1037" s="523"/>
      <c r="AS1037" s="393"/>
      <c r="AT1037" s="573"/>
      <c r="AU1037" s="394"/>
      <c r="AV1037" s="394"/>
      <c r="AW1037" s="394"/>
      <c r="AX1037" s="394"/>
      <c r="AY1037" s="394"/>
      <c r="AZ1037" s="394"/>
      <c r="BA1037" s="394"/>
      <c r="BB1037" s="394"/>
      <c r="BC1037" s="394"/>
      <c r="BD1037" s="381"/>
      <c r="BE1037" s="408"/>
      <c r="BF1037" s="385"/>
      <c r="BG1037" s="475"/>
      <c r="BH1037" s="395"/>
      <c r="BI1037" s="395" t="e">
        <f t="shared" si="855"/>
        <v>#DIV/0!</v>
      </c>
    </row>
    <row r="1038" spans="1:61" s="358" customFormat="1" ht="19.2" x14ac:dyDescent="0.3">
      <c r="A1038" s="359" t="s">
        <v>386</v>
      </c>
      <c r="B1038" s="572" t="s">
        <v>3602</v>
      </c>
      <c r="C1038" s="546" t="s">
        <v>2682</v>
      </c>
      <c r="D1038" s="360">
        <v>0.22</v>
      </c>
      <c r="E1038" s="393"/>
      <c r="F1038" s="523"/>
      <c r="G1038" s="393"/>
      <c r="H1038" s="573"/>
      <c r="I1038" s="394"/>
      <c r="J1038" s="394"/>
      <c r="K1038" s="394"/>
      <c r="L1038" s="394"/>
      <c r="M1038" s="394"/>
      <c r="N1038" s="394"/>
      <c r="O1038" s="394"/>
      <c r="P1038" s="394"/>
      <c r="Q1038" s="394"/>
      <c r="R1038" s="381"/>
      <c r="S1038" s="408"/>
      <c r="T1038" s="385"/>
      <c r="U1038" s="475"/>
      <c r="V1038" s="395"/>
      <c r="W1038" s="395"/>
      <c r="X1038" s="393"/>
      <c r="Y1038" s="523">
        <v>1</v>
      </c>
      <c r="Z1038" s="393"/>
      <c r="AA1038" s="573">
        <v>9.7098800000000001</v>
      </c>
      <c r="AB1038" s="394">
        <v>7.1455799999999998</v>
      </c>
      <c r="AC1038" s="394">
        <v>5.8152999999999997</v>
      </c>
      <c r="AD1038" s="394"/>
      <c r="AE1038" s="394"/>
      <c r="AF1038" s="394">
        <v>0</v>
      </c>
      <c r="AG1038" s="394">
        <v>0</v>
      </c>
      <c r="AH1038" s="394">
        <v>0.59780999999999995</v>
      </c>
      <c r="AI1038" s="394">
        <v>5.8152999999999997</v>
      </c>
      <c r="AJ1038" s="394"/>
      <c r="AK1038" s="381" t="s">
        <v>167</v>
      </c>
      <c r="AL1038" s="408" t="s">
        <v>175</v>
      </c>
      <c r="AM1038" s="385"/>
      <c r="AN1038" s="475">
        <v>587</v>
      </c>
      <c r="AO1038" s="395"/>
      <c r="AP1038" s="395">
        <f t="shared" si="854"/>
        <v>9.7098800000000001</v>
      </c>
      <c r="AQ1038" s="393"/>
      <c r="AR1038" s="523"/>
      <c r="AS1038" s="393"/>
      <c r="AT1038" s="573"/>
      <c r="AU1038" s="394"/>
      <c r="AV1038" s="394"/>
      <c r="AW1038" s="394"/>
      <c r="AX1038" s="394"/>
      <c r="AY1038" s="394"/>
      <c r="AZ1038" s="394"/>
      <c r="BA1038" s="394"/>
      <c r="BB1038" s="394"/>
      <c r="BC1038" s="394"/>
      <c r="BD1038" s="381"/>
      <c r="BE1038" s="408"/>
      <c r="BF1038" s="385"/>
      <c r="BG1038" s="475"/>
      <c r="BH1038" s="395"/>
      <c r="BI1038" s="395" t="e">
        <f t="shared" si="855"/>
        <v>#DIV/0!</v>
      </c>
    </row>
    <row r="1039" spans="1:61" s="358" customFormat="1" ht="19.2" x14ac:dyDescent="0.3">
      <c r="A1039" s="359" t="s">
        <v>387</v>
      </c>
      <c r="B1039" s="572" t="s">
        <v>3603</v>
      </c>
      <c r="C1039" s="546" t="s">
        <v>2683</v>
      </c>
      <c r="D1039" s="360">
        <v>0.22</v>
      </c>
      <c r="E1039" s="393"/>
      <c r="F1039" s="523"/>
      <c r="G1039" s="393"/>
      <c r="H1039" s="573"/>
      <c r="I1039" s="394"/>
      <c r="J1039" s="394"/>
      <c r="K1039" s="394"/>
      <c r="L1039" s="394"/>
      <c r="M1039" s="394"/>
      <c r="N1039" s="394"/>
      <c r="O1039" s="394"/>
      <c r="P1039" s="394"/>
      <c r="Q1039" s="394"/>
      <c r="R1039" s="381"/>
      <c r="S1039" s="408"/>
      <c r="T1039" s="385"/>
      <c r="U1039" s="475"/>
      <c r="V1039" s="395"/>
      <c r="W1039" s="395"/>
      <c r="X1039" s="393"/>
      <c r="Y1039" s="523">
        <v>1</v>
      </c>
      <c r="Z1039" s="393"/>
      <c r="AA1039" s="573">
        <v>9.5244199999999992</v>
      </c>
      <c r="AB1039" s="394">
        <v>7.1013900000000003</v>
      </c>
      <c r="AC1039" s="394">
        <v>5.8152600000000003</v>
      </c>
      <c r="AD1039" s="394"/>
      <c r="AE1039" s="394"/>
      <c r="AF1039" s="394">
        <v>0</v>
      </c>
      <c r="AG1039" s="394">
        <v>0</v>
      </c>
      <c r="AH1039" s="394">
        <v>0.56488000000000005</v>
      </c>
      <c r="AI1039" s="394">
        <v>5.8152600000000003</v>
      </c>
      <c r="AJ1039" s="394"/>
      <c r="AK1039" s="381" t="s">
        <v>167</v>
      </c>
      <c r="AL1039" s="408" t="s">
        <v>175</v>
      </c>
      <c r="AM1039" s="385"/>
      <c r="AN1039" s="475">
        <v>588</v>
      </c>
      <c r="AO1039" s="395"/>
      <c r="AP1039" s="395">
        <f t="shared" si="854"/>
        <v>9.5244199999999992</v>
      </c>
      <c r="AQ1039" s="393"/>
      <c r="AR1039" s="523"/>
      <c r="AS1039" s="393"/>
      <c r="AT1039" s="573"/>
      <c r="AU1039" s="394"/>
      <c r="AV1039" s="394"/>
      <c r="AW1039" s="394"/>
      <c r="AX1039" s="394"/>
      <c r="AY1039" s="394"/>
      <c r="AZ1039" s="394"/>
      <c r="BA1039" s="394"/>
      <c r="BB1039" s="394"/>
      <c r="BC1039" s="394"/>
      <c r="BD1039" s="381"/>
      <c r="BE1039" s="408"/>
      <c r="BF1039" s="385"/>
      <c r="BG1039" s="475"/>
      <c r="BH1039" s="395"/>
      <c r="BI1039" s="395" t="e">
        <f t="shared" si="855"/>
        <v>#DIV/0!</v>
      </c>
    </row>
    <row r="1040" spans="1:61" s="358" customFormat="1" ht="19.2" x14ac:dyDescent="0.3">
      <c r="A1040" s="359" t="s">
        <v>404</v>
      </c>
      <c r="B1040" s="572" t="s">
        <v>3604</v>
      </c>
      <c r="C1040" s="546" t="s">
        <v>2684</v>
      </c>
      <c r="D1040" s="360">
        <v>0.22</v>
      </c>
      <c r="E1040" s="393"/>
      <c r="F1040" s="523"/>
      <c r="G1040" s="393"/>
      <c r="H1040" s="573"/>
      <c r="I1040" s="394"/>
      <c r="J1040" s="394"/>
      <c r="K1040" s="394"/>
      <c r="L1040" s="394"/>
      <c r="M1040" s="394"/>
      <c r="N1040" s="394"/>
      <c r="O1040" s="394"/>
      <c r="P1040" s="394"/>
      <c r="Q1040" s="394"/>
      <c r="R1040" s="381"/>
      <c r="S1040" s="408"/>
      <c r="T1040" s="385"/>
      <c r="U1040" s="475"/>
      <c r="V1040" s="395"/>
      <c r="W1040" s="395"/>
      <c r="X1040" s="393"/>
      <c r="Y1040" s="523">
        <v>1</v>
      </c>
      <c r="Z1040" s="393"/>
      <c r="AA1040" s="573">
        <v>9.7098499999999994</v>
      </c>
      <c r="AB1040" s="394">
        <v>7.1455500000000001</v>
      </c>
      <c r="AC1040" s="394">
        <v>5.8152699999999999</v>
      </c>
      <c r="AD1040" s="394"/>
      <c r="AE1040" s="394"/>
      <c r="AF1040" s="394">
        <v>0</v>
      </c>
      <c r="AG1040" s="394">
        <v>0</v>
      </c>
      <c r="AH1040" s="394">
        <v>0.59780999999999995</v>
      </c>
      <c r="AI1040" s="394">
        <v>5.8152699999999999</v>
      </c>
      <c r="AJ1040" s="394"/>
      <c r="AK1040" s="381" t="s">
        <v>167</v>
      </c>
      <c r="AL1040" s="408" t="s">
        <v>175</v>
      </c>
      <c r="AM1040" s="385"/>
      <c r="AN1040" s="475">
        <v>589</v>
      </c>
      <c r="AO1040" s="395"/>
      <c r="AP1040" s="395">
        <f t="shared" si="854"/>
        <v>9.7098499999999994</v>
      </c>
      <c r="AQ1040" s="393"/>
      <c r="AR1040" s="523"/>
      <c r="AS1040" s="393"/>
      <c r="AT1040" s="573"/>
      <c r="AU1040" s="394"/>
      <c r="AV1040" s="394"/>
      <c r="AW1040" s="394"/>
      <c r="AX1040" s="394"/>
      <c r="AY1040" s="394"/>
      <c r="AZ1040" s="394"/>
      <c r="BA1040" s="394"/>
      <c r="BB1040" s="394"/>
      <c r="BC1040" s="394"/>
      <c r="BD1040" s="381"/>
      <c r="BE1040" s="408"/>
      <c r="BF1040" s="385"/>
      <c r="BG1040" s="475"/>
      <c r="BH1040" s="395"/>
      <c r="BI1040" s="395" t="e">
        <f t="shared" si="855"/>
        <v>#DIV/0!</v>
      </c>
    </row>
    <row r="1041" spans="1:61" s="358" customFormat="1" ht="19.2" x14ac:dyDescent="0.3">
      <c r="A1041" s="359" t="s">
        <v>389</v>
      </c>
      <c r="B1041" s="572" t="s">
        <v>3605</v>
      </c>
      <c r="C1041" s="546" t="s">
        <v>2685</v>
      </c>
      <c r="D1041" s="360">
        <v>0.22</v>
      </c>
      <c r="E1041" s="393"/>
      <c r="F1041" s="523"/>
      <c r="G1041" s="393"/>
      <c r="H1041" s="573"/>
      <c r="I1041" s="394"/>
      <c r="J1041" s="394"/>
      <c r="K1041" s="394"/>
      <c r="L1041" s="394"/>
      <c r="M1041" s="394"/>
      <c r="N1041" s="394"/>
      <c r="O1041" s="394"/>
      <c r="P1041" s="394"/>
      <c r="Q1041" s="394"/>
      <c r="R1041" s="381"/>
      <c r="S1041" s="408"/>
      <c r="T1041" s="385"/>
      <c r="U1041" s="475"/>
      <c r="V1041" s="395"/>
      <c r="W1041" s="395"/>
      <c r="X1041" s="393"/>
      <c r="Y1041" s="523">
        <v>1</v>
      </c>
      <c r="Z1041" s="393"/>
      <c r="AA1041" s="573">
        <v>9.7098499999999994</v>
      </c>
      <c r="AB1041" s="394">
        <v>7.1455500000000001</v>
      </c>
      <c r="AC1041" s="394">
        <v>5.8152699999999999</v>
      </c>
      <c r="AD1041" s="394"/>
      <c r="AE1041" s="394"/>
      <c r="AF1041" s="394">
        <v>0</v>
      </c>
      <c r="AG1041" s="394">
        <v>0</v>
      </c>
      <c r="AH1041" s="394">
        <v>0.59780999999999995</v>
      </c>
      <c r="AI1041" s="394">
        <v>5.8152699999999999</v>
      </c>
      <c r="AJ1041" s="394"/>
      <c r="AK1041" s="381" t="s">
        <v>167</v>
      </c>
      <c r="AL1041" s="408" t="s">
        <v>175</v>
      </c>
      <c r="AM1041" s="385"/>
      <c r="AN1041" s="475">
        <v>590</v>
      </c>
      <c r="AO1041" s="395"/>
      <c r="AP1041" s="395">
        <f t="shared" si="854"/>
        <v>9.7098499999999994</v>
      </c>
      <c r="AQ1041" s="393"/>
      <c r="AR1041" s="523"/>
      <c r="AS1041" s="393"/>
      <c r="AT1041" s="573"/>
      <c r="AU1041" s="394"/>
      <c r="AV1041" s="394"/>
      <c r="AW1041" s="394"/>
      <c r="AX1041" s="394"/>
      <c r="AY1041" s="394"/>
      <c r="AZ1041" s="394"/>
      <c r="BA1041" s="394"/>
      <c r="BB1041" s="394"/>
      <c r="BC1041" s="394"/>
      <c r="BD1041" s="381"/>
      <c r="BE1041" s="408"/>
      <c r="BF1041" s="385"/>
      <c r="BG1041" s="475"/>
      <c r="BH1041" s="395"/>
      <c r="BI1041" s="395" t="e">
        <f t="shared" si="855"/>
        <v>#DIV/0!</v>
      </c>
    </row>
    <row r="1042" spans="1:61" s="358" customFormat="1" ht="19.2" x14ac:dyDescent="0.3">
      <c r="A1042" s="359" t="s">
        <v>390</v>
      </c>
      <c r="B1042" s="572" t="s">
        <v>2395</v>
      </c>
      <c r="C1042" s="546" t="s">
        <v>2394</v>
      </c>
      <c r="D1042" s="360">
        <v>0.22</v>
      </c>
      <c r="E1042" s="393"/>
      <c r="F1042" s="523"/>
      <c r="G1042" s="393"/>
      <c r="H1042" s="573"/>
      <c r="I1042" s="394"/>
      <c r="J1042" s="394"/>
      <c r="K1042" s="394"/>
      <c r="L1042" s="394"/>
      <c r="M1042" s="394"/>
      <c r="N1042" s="394"/>
      <c r="O1042" s="394"/>
      <c r="P1042" s="394"/>
      <c r="Q1042" s="394"/>
      <c r="R1042" s="381"/>
      <c r="S1042" s="408"/>
      <c r="T1042" s="385"/>
      <c r="U1042" s="475"/>
      <c r="V1042" s="395"/>
      <c r="W1042" s="395"/>
      <c r="X1042" s="393"/>
      <c r="Y1042" s="523">
        <v>1</v>
      </c>
      <c r="Z1042" s="393"/>
      <c r="AA1042" s="573">
        <v>9.7098800000000001</v>
      </c>
      <c r="AB1042" s="394">
        <v>7.1455799999999998</v>
      </c>
      <c r="AC1042" s="394">
        <v>5.8152999999999997</v>
      </c>
      <c r="AD1042" s="394"/>
      <c r="AE1042" s="394"/>
      <c r="AF1042" s="394">
        <v>0</v>
      </c>
      <c r="AG1042" s="394">
        <v>0</v>
      </c>
      <c r="AH1042" s="394">
        <v>0.59780999999999995</v>
      </c>
      <c r="AI1042" s="394">
        <v>5.8152999999999997</v>
      </c>
      <c r="AJ1042" s="394"/>
      <c r="AK1042" s="381" t="s">
        <v>167</v>
      </c>
      <c r="AL1042" s="408" t="s">
        <v>175</v>
      </c>
      <c r="AM1042" s="385"/>
      <c r="AN1042" s="475">
        <v>591</v>
      </c>
      <c r="AO1042" s="395"/>
      <c r="AP1042" s="395">
        <f t="shared" si="854"/>
        <v>9.7098800000000001</v>
      </c>
      <c r="AQ1042" s="393"/>
      <c r="AR1042" s="523"/>
      <c r="AS1042" s="393"/>
      <c r="AT1042" s="573"/>
      <c r="AU1042" s="394"/>
      <c r="AV1042" s="394"/>
      <c r="AW1042" s="394"/>
      <c r="AX1042" s="394"/>
      <c r="AY1042" s="394"/>
      <c r="AZ1042" s="394"/>
      <c r="BA1042" s="394"/>
      <c r="BB1042" s="394"/>
      <c r="BC1042" s="394"/>
      <c r="BD1042" s="381"/>
      <c r="BE1042" s="408"/>
      <c r="BF1042" s="385"/>
      <c r="BG1042" s="475"/>
      <c r="BH1042" s="395"/>
      <c r="BI1042" s="395" t="e">
        <f t="shared" si="855"/>
        <v>#DIV/0!</v>
      </c>
    </row>
    <row r="1043" spans="1:61" s="358" customFormat="1" ht="19.2" x14ac:dyDescent="0.3">
      <c r="A1043" s="359" t="s">
        <v>375</v>
      </c>
      <c r="B1043" s="572" t="s">
        <v>3606</v>
      </c>
      <c r="C1043" s="546" t="s">
        <v>2686</v>
      </c>
      <c r="D1043" s="360">
        <v>0.22</v>
      </c>
      <c r="E1043" s="393"/>
      <c r="F1043" s="523"/>
      <c r="G1043" s="393"/>
      <c r="H1043" s="573"/>
      <c r="I1043" s="394"/>
      <c r="J1043" s="394"/>
      <c r="K1043" s="394"/>
      <c r="L1043" s="394"/>
      <c r="M1043" s="394"/>
      <c r="N1043" s="394"/>
      <c r="O1043" s="394"/>
      <c r="P1043" s="394"/>
      <c r="Q1043" s="394"/>
      <c r="R1043" s="381"/>
      <c r="S1043" s="408"/>
      <c r="T1043" s="385"/>
      <c r="U1043" s="475"/>
      <c r="V1043" s="395"/>
      <c r="W1043" s="395"/>
      <c r="X1043" s="393"/>
      <c r="Y1043" s="523">
        <v>1</v>
      </c>
      <c r="Z1043" s="393"/>
      <c r="AA1043" s="573">
        <v>9.5244199999999992</v>
      </c>
      <c r="AB1043" s="394">
        <v>7.1013900000000003</v>
      </c>
      <c r="AC1043" s="394">
        <v>5.8152600000000003</v>
      </c>
      <c r="AD1043" s="394"/>
      <c r="AE1043" s="394"/>
      <c r="AF1043" s="394">
        <v>0</v>
      </c>
      <c r="AG1043" s="394">
        <v>0</v>
      </c>
      <c r="AH1043" s="394">
        <v>0.56488000000000005</v>
      </c>
      <c r="AI1043" s="394">
        <v>5.8152600000000003</v>
      </c>
      <c r="AJ1043" s="394"/>
      <c r="AK1043" s="381" t="s">
        <v>167</v>
      </c>
      <c r="AL1043" s="408" t="s">
        <v>175</v>
      </c>
      <c r="AM1043" s="385"/>
      <c r="AN1043" s="475">
        <v>592</v>
      </c>
      <c r="AO1043" s="395"/>
      <c r="AP1043" s="395">
        <f t="shared" si="854"/>
        <v>9.5244199999999992</v>
      </c>
      <c r="AQ1043" s="393"/>
      <c r="AR1043" s="523"/>
      <c r="AS1043" s="393"/>
      <c r="AT1043" s="573"/>
      <c r="AU1043" s="394"/>
      <c r="AV1043" s="394"/>
      <c r="AW1043" s="394"/>
      <c r="AX1043" s="394"/>
      <c r="AY1043" s="394"/>
      <c r="AZ1043" s="394"/>
      <c r="BA1043" s="394"/>
      <c r="BB1043" s="394"/>
      <c r="BC1043" s="394"/>
      <c r="BD1043" s="381"/>
      <c r="BE1043" s="408"/>
      <c r="BF1043" s="385"/>
      <c r="BG1043" s="475"/>
      <c r="BH1043" s="395"/>
      <c r="BI1043" s="395" t="e">
        <f t="shared" si="855"/>
        <v>#DIV/0!</v>
      </c>
    </row>
    <row r="1044" spans="1:61" s="358" customFormat="1" ht="19.2" x14ac:dyDescent="0.3">
      <c r="A1044" s="359" t="s">
        <v>408</v>
      </c>
      <c r="B1044" s="572" t="s">
        <v>662</v>
      </c>
      <c r="C1044" s="546" t="s">
        <v>545</v>
      </c>
      <c r="D1044" s="360">
        <v>0.22</v>
      </c>
      <c r="E1044" s="393"/>
      <c r="F1044" s="523"/>
      <c r="G1044" s="393"/>
      <c r="H1044" s="573"/>
      <c r="I1044" s="394"/>
      <c r="J1044" s="394"/>
      <c r="K1044" s="394"/>
      <c r="L1044" s="394"/>
      <c r="M1044" s="394"/>
      <c r="N1044" s="394"/>
      <c r="O1044" s="394"/>
      <c r="P1044" s="394"/>
      <c r="Q1044" s="394"/>
      <c r="R1044" s="381"/>
      <c r="S1044" s="408"/>
      <c r="T1044" s="385"/>
      <c r="U1044" s="475"/>
      <c r="V1044" s="395"/>
      <c r="W1044" s="395"/>
      <c r="X1044" s="393"/>
      <c r="Y1044" s="523">
        <v>1</v>
      </c>
      <c r="Z1044" s="393"/>
      <c r="AA1044" s="573">
        <v>21.264769999999999</v>
      </c>
      <c r="AB1044" s="394">
        <v>17.828690000000002</v>
      </c>
      <c r="AC1044" s="394">
        <v>5.81534</v>
      </c>
      <c r="AD1044" s="394"/>
      <c r="AE1044" s="394"/>
      <c r="AF1044" s="394">
        <v>0</v>
      </c>
      <c r="AG1044" s="394">
        <v>0</v>
      </c>
      <c r="AH1044" s="394">
        <v>0.80105000000000004</v>
      </c>
      <c r="AI1044" s="394">
        <v>5.81534</v>
      </c>
      <c r="AJ1044" s="394"/>
      <c r="AK1044" s="381" t="s">
        <v>167</v>
      </c>
      <c r="AL1044" s="408" t="s">
        <v>175</v>
      </c>
      <c r="AM1044" s="385"/>
      <c r="AN1044" s="475">
        <v>593</v>
      </c>
      <c r="AO1044" s="395"/>
      <c r="AP1044" s="395">
        <f t="shared" si="854"/>
        <v>21.264769999999999</v>
      </c>
      <c r="AQ1044" s="393"/>
      <c r="AR1044" s="523"/>
      <c r="AS1044" s="393"/>
      <c r="AT1044" s="573"/>
      <c r="AU1044" s="394"/>
      <c r="AV1044" s="394"/>
      <c r="AW1044" s="394"/>
      <c r="AX1044" s="394"/>
      <c r="AY1044" s="394"/>
      <c r="AZ1044" s="394"/>
      <c r="BA1044" s="394"/>
      <c r="BB1044" s="394"/>
      <c r="BC1044" s="394"/>
      <c r="BD1044" s="381"/>
      <c r="BE1044" s="408"/>
      <c r="BF1044" s="385"/>
      <c r="BG1044" s="475"/>
      <c r="BH1044" s="395"/>
      <c r="BI1044" s="395" t="e">
        <f t="shared" si="855"/>
        <v>#DIV/0!</v>
      </c>
    </row>
    <row r="1045" spans="1:61" s="358" customFormat="1" ht="19.2" x14ac:dyDescent="0.3">
      <c r="A1045" s="359" t="s">
        <v>393</v>
      </c>
      <c r="B1045" s="572" t="s">
        <v>3607</v>
      </c>
      <c r="C1045" s="546" t="s">
        <v>2687</v>
      </c>
      <c r="D1045" s="360">
        <v>0.22</v>
      </c>
      <c r="E1045" s="393"/>
      <c r="F1045" s="523"/>
      <c r="G1045" s="393"/>
      <c r="H1045" s="573"/>
      <c r="I1045" s="394"/>
      <c r="J1045" s="394"/>
      <c r="K1045" s="394"/>
      <c r="L1045" s="394"/>
      <c r="M1045" s="394"/>
      <c r="N1045" s="394"/>
      <c r="O1045" s="394"/>
      <c r="P1045" s="394"/>
      <c r="Q1045" s="394"/>
      <c r="R1045" s="381"/>
      <c r="S1045" s="408"/>
      <c r="T1045" s="385"/>
      <c r="U1045" s="475"/>
      <c r="V1045" s="395"/>
      <c r="W1045" s="395"/>
      <c r="X1045" s="393"/>
      <c r="Y1045" s="523">
        <v>1</v>
      </c>
      <c r="Z1045" s="393"/>
      <c r="AA1045" s="573">
        <v>9.1547800000000006</v>
      </c>
      <c r="AB1045" s="394">
        <v>6.7317499999999999</v>
      </c>
      <c r="AC1045" s="394">
        <v>5.8153199999999998</v>
      </c>
      <c r="AD1045" s="394"/>
      <c r="AE1045" s="394"/>
      <c r="AF1045" s="394">
        <v>0</v>
      </c>
      <c r="AG1045" s="394">
        <v>0</v>
      </c>
      <c r="AH1045" s="394">
        <v>0.56488000000000005</v>
      </c>
      <c r="AI1045" s="394">
        <v>5.8153199999999998</v>
      </c>
      <c r="AJ1045" s="394"/>
      <c r="AK1045" s="381" t="s">
        <v>167</v>
      </c>
      <c r="AL1045" s="408" t="s">
        <v>175</v>
      </c>
      <c r="AM1045" s="385"/>
      <c r="AN1045" s="475">
        <v>595</v>
      </c>
      <c r="AO1045" s="395"/>
      <c r="AP1045" s="395">
        <f t="shared" si="854"/>
        <v>9.1547800000000006</v>
      </c>
      <c r="AQ1045" s="393"/>
      <c r="AR1045" s="523"/>
      <c r="AS1045" s="393"/>
      <c r="AT1045" s="573"/>
      <c r="AU1045" s="394"/>
      <c r="AV1045" s="394"/>
      <c r="AW1045" s="394"/>
      <c r="AX1045" s="394"/>
      <c r="AY1045" s="394"/>
      <c r="AZ1045" s="394"/>
      <c r="BA1045" s="394"/>
      <c r="BB1045" s="394"/>
      <c r="BC1045" s="394"/>
      <c r="BD1045" s="381"/>
      <c r="BE1045" s="408"/>
      <c r="BF1045" s="385"/>
      <c r="BG1045" s="475"/>
      <c r="BH1045" s="395"/>
      <c r="BI1045" s="395" t="e">
        <f t="shared" si="855"/>
        <v>#DIV/0!</v>
      </c>
    </row>
    <row r="1046" spans="1:61" s="358" customFormat="1" ht="19.2" x14ac:dyDescent="0.3">
      <c r="A1046" s="359" t="s">
        <v>394</v>
      </c>
      <c r="B1046" s="572" t="s">
        <v>3608</v>
      </c>
      <c r="C1046" s="546" t="s">
        <v>2688</v>
      </c>
      <c r="D1046" s="360">
        <v>0.22</v>
      </c>
      <c r="E1046" s="393"/>
      <c r="F1046" s="523"/>
      <c r="G1046" s="393"/>
      <c r="H1046" s="573"/>
      <c r="I1046" s="394"/>
      <c r="J1046" s="394"/>
      <c r="K1046" s="394"/>
      <c r="L1046" s="394"/>
      <c r="M1046" s="394"/>
      <c r="N1046" s="394"/>
      <c r="O1046" s="394"/>
      <c r="P1046" s="394"/>
      <c r="Q1046" s="394"/>
      <c r="R1046" s="381"/>
      <c r="S1046" s="408"/>
      <c r="T1046" s="385"/>
      <c r="U1046" s="475"/>
      <c r="V1046" s="395"/>
      <c r="W1046" s="395"/>
      <c r="X1046" s="393"/>
      <c r="Y1046" s="523">
        <v>1</v>
      </c>
      <c r="Z1046" s="393"/>
      <c r="AA1046" s="573">
        <v>9.5244400000000002</v>
      </c>
      <c r="AB1046" s="394">
        <v>7.1014099999999996</v>
      </c>
      <c r="AC1046" s="394">
        <v>5.8152600000000003</v>
      </c>
      <c r="AD1046" s="394"/>
      <c r="AE1046" s="394"/>
      <c r="AF1046" s="394">
        <v>0</v>
      </c>
      <c r="AG1046" s="394">
        <v>0</v>
      </c>
      <c r="AH1046" s="394">
        <v>0.56488000000000005</v>
      </c>
      <c r="AI1046" s="394">
        <v>5.8152600000000003</v>
      </c>
      <c r="AJ1046" s="394"/>
      <c r="AK1046" s="381" t="s">
        <v>167</v>
      </c>
      <c r="AL1046" s="408" t="s">
        <v>175</v>
      </c>
      <c r="AM1046" s="385"/>
      <c r="AN1046" s="475">
        <v>596</v>
      </c>
      <c r="AO1046" s="395"/>
      <c r="AP1046" s="395">
        <f t="shared" si="854"/>
        <v>9.5244400000000002</v>
      </c>
      <c r="AQ1046" s="393"/>
      <c r="AR1046" s="523"/>
      <c r="AS1046" s="393"/>
      <c r="AT1046" s="573"/>
      <c r="AU1046" s="394"/>
      <c r="AV1046" s="394"/>
      <c r="AW1046" s="394"/>
      <c r="AX1046" s="394"/>
      <c r="AY1046" s="394"/>
      <c r="AZ1046" s="394"/>
      <c r="BA1046" s="394"/>
      <c r="BB1046" s="394"/>
      <c r="BC1046" s="394"/>
      <c r="BD1046" s="381"/>
      <c r="BE1046" s="408"/>
      <c r="BF1046" s="385"/>
      <c r="BG1046" s="475"/>
      <c r="BH1046" s="395"/>
      <c r="BI1046" s="395" t="e">
        <f t="shared" si="855"/>
        <v>#DIV/0!</v>
      </c>
    </row>
    <row r="1047" spans="1:61" s="358" customFormat="1" ht="19.2" x14ac:dyDescent="0.3">
      <c r="A1047" s="359" t="s">
        <v>395</v>
      </c>
      <c r="B1047" s="572" t="s">
        <v>3609</v>
      </c>
      <c r="C1047" s="546" t="s">
        <v>2689</v>
      </c>
      <c r="D1047" s="360">
        <v>0.22</v>
      </c>
      <c r="E1047" s="393"/>
      <c r="F1047" s="523"/>
      <c r="G1047" s="393"/>
      <c r="H1047" s="573"/>
      <c r="I1047" s="394"/>
      <c r="J1047" s="394"/>
      <c r="K1047" s="394"/>
      <c r="L1047" s="394"/>
      <c r="M1047" s="394"/>
      <c r="N1047" s="394"/>
      <c r="O1047" s="394"/>
      <c r="P1047" s="394"/>
      <c r="Q1047" s="394"/>
      <c r="R1047" s="381"/>
      <c r="S1047" s="408"/>
      <c r="T1047" s="385"/>
      <c r="U1047" s="475"/>
      <c r="V1047" s="395"/>
      <c r="W1047" s="395"/>
      <c r="X1047" s="393"/>
      <c r="Y1047" s="523">
        <v>1</v>
      </c>
      <c r="Z1047" s="393"/>
      <c r="AA1047" s="573">
        <v>9.5244400000000002</v>
      </c>
      <c r="AB1047" s="394">
        <v>7.1014099999999996</v>
      </c>
      <c r="AC1047" s="394">
        <v>5.8152600000000003</v>
      </c>
      <c r="AD1047" s="394"/>
      <c r="AE1047" s="394"/>
      <c r="AF1047" s="394">
        <v>0</v>
      </c>
      <c r="AG1047" s="394">
        <v>0</v>
      </c>
      <c r="AH1047" s="394">
        <v>0.56488000000000005</v>
      </c>
      <c r="AI1047" s="394">
        <v>5.8152600000000003</v>
      </c>
      <c r="AJ1047" s="394"/>
      <c r="AK1047" s="381" t="s">
        <v>167</v>
      </c>
      <c r="AL1047" s="408" t="s">
        <v>175</v>
      </c>
      <c r="AM1047" s="385"/>
      <c r="AN1047" s="475">
        <v>597</v>
      </c>
      <c r="AO1047" s="395"/>
      <c r="AP1047" s="395">
        <f t="shared" si="854"/>
        <v>9.5244400000000002</v>
      </c>
      <c r="AQ1047" s="393"/>
      <c r="AR1047" s="523"/>
      <c r="AS1047" s="393"/>
      <c r="AT1047" s="573"/>
      <c r="AU1047" s="394"/>
      <c r="AV1047" s="394"/>
      <c r="AW1047" s="394"/>
      <c r="AX1047" s="394"/>
      <c r="AY1047" s="394"/>
      <c r="AZ1047" s="394"/>
      <c r="BA1047" s="394"/>
      <c r="BB1047" s="394"/>
      <c r="BC1047" s="394"/>
      <c r="BD1047" s="381"/>
      <c r="BE1047" s="408"/>
      <c r="BF1047" s="385"/>
      <c r="BG1047" s="475"/>
      <c r="BH1047" s="395"/>
      <c r="BI1047" s="395" t="e">
        <f t="shared" si="855"/>
        <v>#DIV/0!</v>
      </c>
    </row>
    <row r="1048" spans="1:61" s="358" customFormat="1" ht="19.2" x14ac:dyDescent="0.3">
      <c r="A1048" s="359" t="s">
        <v>396</v>
      </c>
      <c r="B1048" s="572" t="s">
        <v>3610</v>
      </c>
      <c r="C1048" s="546" t="s">
        <v>2690</v>
      </c>
      <c r="D1048" s="360">
        <v>0.22</v>
      </c>
      <c r="E1048" s="393"/>
      <c r="F1048" s="523"/>
      <c r="G1048" s="393"/>
      <c r="H1048" s="573"/>
      <c r="I1048" s="394"/>
      <c r="J1048" s="394"/>
      <c r="K1048" s="394"/>
      <c r="L1048" s="394"/>
      <c r="M1048" s="394"/>
      <c r="N1048" s="394"/>
      <c r="O1048" s="394"/>
      <c r="P1048" s="394"/>
      <c r="Q1048" s="394"/>
      <c r="R1048" s="381"/>
      <c r="S1048" s="408"/>
      <c r="T1048" s="385"/>
      <c r="U1048" s="475"/>
      <c r="V1048" s="395"/>
      <c r="W1048" s="395"/>
      <c r="X1048" s="393"/>
      <c r="Y1048" s="523">
        <v>1</v>
      </c>
      <c r="Z1048" s="393"/>
      <c r="AA1048" s="573">
        <v>8.6379199999999994</v>
      </c>
      <c r="AB1048" s="394">
        <v>6.2148899999999996</v>
      </c>
      <c r="AC1048" s="394">
        <v>5.2083399999999997</v>
      </c>
      <c r="AD1048" s="394"/>
      <c r="AE1048" s="394"/>
      <c r="AF1048" s="394">
        <v>0</v>
      </c>
      <c r="AG1048" s="394">
        <v>0</v>
      </c>
      <c r="AH1048" s="394">
        <v>0.56488000000000005</v>
      </c>
      <c r="AI1048" s="394">
        <v>5.2083399999999997</v>
      </c>
      <c r="AJ1048" s="394"/>
      <c r="AK1048" s="381" t="s">
        <v>167</v>
      </c>
      <c r="AL1048" s="408" t="s">
        <v>175</v>
      </c>
      <c r="AM1048" s="385"/>
      <c r="AN1048" s="475">
        <v>598</v>
      </c>
      <c r="AO1048" s="395"/>
      <c r="AP1048" s="395">
        <f t="shared" si="854"/>
        <v>8.6379199999999994</v>
      </c>
      <c r="AQ1048" s="393"/>
      <c r="AR1048" s="523"/>
      <c r="AS1048" s="393"/>
      <c r="AT1048" s="573"/>
      <c r="AU1048" s="394"/>
      <c r="AV1048" s="394"/>
      <c r="AW1048" s="394"/>
      <c r="AX1048" s="394"/>
      <c r="AY1048" s="394"/>
      <c r="AZ1048" s="394"/>
      <c r="BA1048" s="394"/>
      <c r="BB1048" s="394"/>
      <c r="BC1048" s="394"/>
      <c r="BD1048" s="381"/>
      <c r="BE1048" s="408"/>
      <c r="BF1048" s="385"/>
      <c r="BG1048" s="475"/>
      <c r="BH1048" s="395"/>
      <c r="BI1048" s="395" t="e">
        <f t="shared" si="855"/>
        <v>#DIV/0!</v>
      </c>
    </row>
    <row r="1049" spans="1:61" s="358" customFormat="1" ht="19.2" x14ac:dyDescent="0.3">
      <c r="A1049" s="359" t="s">
        <v>397</v>
      </c>
      <c r="B1049" s="572" t="s">
        <v>3611</v>
      </c>
      <c r="C1049" s="546" t="s">
        <v>2691</v>
      </c>
      <c r="D1049" s="360">
        <v>0.22</v>
      </c>
      <c r="E1049" s="393"/>
      <c r="F1049" s="523"/>
      <c r="G1049" s="393"/>
      <c r="H1049" s="573"/>
      <c r="I1049" s="394"/>
      <c r="J1049" s="394"/>
      <c r="K1049" s="394"/>
      <c r="L1049" s="394"/>
      <c r="M1049" s="394"/>
      <c r="N1049" s="394"/>
      <c r="O1049" s="394"/>
      <c r="P1049" s="394"/>
      <c r="Q1049" s="394"/>
      <c r="R1049" s="381"/>
      <c r="S1049" s="408"/>
      <c r="T1049" s="385"/>
      <c r="U1049" s="475"/>
      <c r="V1049" s="395"/>
      <c r="W1049" s="395"/>
      <c r="X1049" s="393"/>
      <c r="Y1049" s="523">
        <v>1</v>
      </c>
      <c r="Z1049" s="393"/>
      <c r="AA1049" s="573">
        <v>8.6378799999999991</v>
      </c>
      <c r="AB1049" s="394">
        <v>6.2148500000000002</v>
      </c>
      <c r="AC1049" s="394">
        <v>5.20831</v>
      </c>
      <c r="AD1049" s="394"/>
      <c r="AE1049" s="394"/>
      <c r="AF1049" s="394">
        <v>0</v>
      </c>
      <c r="AG1049" s="394">
        <v>0</v>
      </c>
      <c r="AH1049" s="394">
        <v>0.56488000000000005</v>
      </c>
      <c r="AI1049" s="394">
        <v>5.20831</v>
      </c>
      <c r="AJ1049" s="394"/>
      <c r="AK1049" s="381" t="s">
        <v>167</v>
      </c>
      <c r="AL1049" s="408" t="s">
        <v>175</v>
      </c>
      <c r="AM1049" s="385"/>
      <c r="AN1049" s="475">
        <v>599</v>
      </c>
      <c r="AO1049" s="395"/>
      <c r="AP1049" s="395">
        <f t="shared" si="854"/>
        <v>8.6378799999999991</v>
      </c>
      <c r="AQ1049" s="393"/>
      <c r="AR1049" s="523"/>
      <c r="AS1049" s="393"/>
      <c r="AT1049" s="573"/>
      <c r="AU1049" s="394"/>
      <c r="AV1049" s="394"/>
      <c r="AW1049" s="394"/>
      <c r="AX1049" s="394"/>
      <c r="AY1049" s="394"/>
      <c r="AZ1049" s="394"/>
      <c r="BA1049" s="394"/>
      <c r="BB1049" s="394"/>
      <c r="BC1049" s="394"/>
      <c r="BD1049" s="381"/>
      <c r="BE1049" s="408"/>
      <c r="BF1049" s="385"/>
      <c r="BG1049" s="475"/>
      <c r="BH1049" s="395"/>
      <c r="BI1049" s="395" t="e">
        <f t="shared" si="855"/>
        <v>#DIV/0!</v>
      </c>
    </row>
    <row r="1050" spans="1:61" s="358" customFormat="1" ht="19.2" x14ac:dyDescent="0.3">
      <c r="A1050" s="359" t="s">
        <v>398</v>
      </c>
      <c r="B1050" s="572" t="s">
        <v>3612</v>
      </c>
      <c r="C1050" s="546" t="s">
        <v>2692</v>
      </c>
      <c r="D1050" s="360">
        <v>0.22</v>
      </c>
      <c r="E1050" s="393"/>
      <c r="F1050" s="523"/>
      <c r="G1050" s="393"/>
      <c r="H1050" s="573"/>
      <c r="I1050" s="394"/>
      <c r="J1050" s="394"/>
      <c r="K1050" s="394"/>
      <c r="L1050" s="394"/>
      <c r="M1050" s="394"/>
      <c r="N1050" s="394"/>
      <c r="O1050" s="394"/>
      <c r="P1050" s="394"/>
      <c r="Q1050" s="394"/>
      <c r="R1050" s="381"/>
      <c r="S1050" s="408"/>
      <c r="T1050" s="385"/>
      <c r="U1050" s="475"/>
      <c r="V1050" s="395"/>
      <c r="W1050" s="395"/>
      <c r="X1050" s="393"/>
      <c r="Y1050" s="523">
        <v>1</v>
      </c>
      <c r="Z1050" s="393"/>
      <c r="AA1050" s="573">
        <v>9.5244199999999992</v>
      </c>
      <c r="AB1050" s="394">
        <v>7.1013900000000003</v>
      </c>
      <c r="AC1050" s="394">
        <v>5.8152600000000003</v>
      </c>
      <c r="AD1050" s="394"/>
      <c r="AE1050" s="394"/>
      <c r="AF1050" s="394">
        <v>0</v>
      </c>
      <c r="AG1050" s="394">
        <v>0</v>
      </c>
      <c r="AH1050" s="394">
        <v>0.56488000000000005</v>
      </c>
      <c r="AI1050" s="394">
        <v>5.8152600000000003</v>
      </c>
      <c r="AJ1050" s="394"/>
      <c r="AK1050" s="381" t="s">
        <v>167</v>
      </c>
      <c r="AL1050" s="408" t="s">
        <v>175</v>
      </c>
      <c r="AM1050" s="385"/>
      <c r="AN1050" s="475">
        <v>600</v>
      </c>
      <c r="AO1050" s="395"/>
      <c r="AP1050" s="395">
        <f t="shared" si="854"/>
        <v>9.5244199999999992</v>
      </c>
      <c r="AQ1050" s="393"/>
      <c r="AR1050" s="523"/>
      <c r="AS1050" s="393"/>
      <c r="AT1050" s="573"/>
      <c r="AU1050" s="394"/>
      <c r="AV1050" s="394"/>
      <c r="AW1050" s="394"/>
      <c r="AX1050" s="394"/>
      <c r="AY1050" s="394"/>
      <c r="AZ1050" s="394"/>
      <c r="BA1050" s="394"/>
      <c r="BB1050" s="394"/>
      <c r="BC1050" s="394"/>
      <c r="BD1050" s="381"/>
      <c r="BE1050" s="408"/>
      <c r="BF1050" s="385"/>
      <c r="BG1050" s="475"/>
      <c r="BH1050" s="395"/>
      <c r="BI1050" s="395" t="e">
        <f t="shared" si="855"/>
        <v>#DIV/0!</v>
      </c>
    </row>
    <row r="1051" spans="1:61" s="358" customFormat="1" ht="19.2" x14ac:dyDescent="0.3">
      <c r="A1051" s="359" t="s">
        <v>399</v>
      </c>
      <c r="B1051" s="572" t="s">
        <v>3613</v>
      </c>
      <c r="C1051" s="546" t="s">
        <v>2693</v>
      </c>
      <c r="D1051" s="360">
        <v>0.22</v>
      </c>
      <c r="E1051" s="393"/>
      <c r="F1051" s="523"/>
      <c r="G1051" s="393"/>
      <c r="H1051" s="573"/>
      <c r="I1051" s="394"/>
      <c r="J1051" s="394"/>
      <c r="K1051" s="394"/>
      <c r="L1051" s="394"/>
      <c r="M1051" s="394"/>
      <c r="N1051" s="394"/>
      <c r="O1051" s="394"/>
      <c r="P1051" s="394"/>
      <c r="Q1051" s="394"/>
      <c r="R1051" s="381"/>
      <c r="S1051" s="408"/>
      <c r="T1051" s="385"/>
      <c r="U1051" s="475"/>
      <c r="V1051" s="395"/>
      <c r="W1051" s="395"/>
      <c r="X1051" s="393"/>
      <c r="Y1051" s="523">
        <v>1</v>
      </c>
      <c r="Z1051" s="393"/>
      <c r="AA1051" s="573">
        <v>8.6378799999999991</v>
      </c>
      <c r="AB1051" s="394">
        <v>6.2148500000000002</v>
      </c>
      <c r="AC1051" s="394">
        <v>5.20831</v>
      </c>
      <c r="AD1051" s="394"/>
      <c r="AE1051" s="394"/>
      <c r="AF1051" s="394">
        <v>0</v>
      </c>
      <c r="AG1051" s="394">
        <v>0</v>
      </c>
      <c r="AH1051" s="394">
        <v>0.56488000000000005</v>
      </c>
      <c r="AI1051" s="394">
        <v>5.20831</v>
      </c>
      <c r="AJ1051" s="394"/>
      <c r="AK1051" s="381" t="s">
        <v>167</v>
      </c>
      <c r="AL1051" s="408" t="s">
        <v>175</v>
      </c>
      <c r="AM1051" s="385"/>
      <c r="AN1051" s="475">
        <v>601</v>
      </c>
      <c r="AO1051" s="395"/>
      <c r="AP1051" s="395">
        <f t="shared" si="854"/>
        <v>8.6378799999999991</v>
      </c>
      <c r="AQ1051" s="393"/>
      <c r="AR1051" s="523"/>
      <c r="AS1051" s="393"/>
      <c r="AT1051" s="573"/>
      <c r="AU1051" s="394"/>
      <c r="AV1051" s="394"/>
      <c r="AW1051" s="394"/>
      <c r="AX1051" s="394"/>
      <c r="AY1051" s="394"/>
      <c r="AZ1051" s="394"/>
      <c r="BA1051" s="394"/>
      <c r="BB1051" s="394"/>
      <c r="BC1051" s="394"/>
      <c r="BD1051" s="381"/>
      <c r="BE1051" s="408"/>
      <c r="BF1051" s="385"/>
      <c r="BG1051" s="475"/>
      <c r="BH1051" s="395"/>
      <c r="BI1051" s="395" t="e">
        <f t="shared" si="855"/>
        <v>#DIV/0!</v>
      </c>
    </row>
    <row r="1052" spans="1:61" s="358" customFormat="1" ht="19.2" x14ac:dyDescent="0.3">
      <c r="A1052" s="359" t="s">
        <v>400</v>
      </c>
      <c r="B1052" s="572" t="s">
        <v>3614</v>
      </c>
      <c r="C1052" s="546" t="s">
        <v>2694</v>
      </c>
      <c r="D1052" s="360">
        <v>0.22</v>
      </c>
      <c r="E1052" s="393"/>
      <c r="F1052" s="523"/>
      <c r="G1052" s="393"/>
      <c r="H1052" s="573"/>
      <c r="I1052" s="394"/>
      <c r="J1052" s="394"/>
      <c r="K1052" s="394"/>
      <c r="L1052" s="394"/>
      <c r="M1052" s="394"/>
      <c r="N1052" s="394"/>
      <c r="O1052" s="394"/>
      <c r="P1052" s="394"/>
      <c r="Q1052" s="394"/>
      <c r="R1052" s="381"/>
      <c r="S1052" s="408"/>
      <c r="T1052" s="385"/>
      <c r="U1052" s="475"/>
      <c r="V1052" s="395"/>
      <c r="W1052" s="395"/>
      <c r="X1052" s="393"/>
      <c r="Y1052" s="523">
        <v>1</v>
      </c>
      <c r="Z1052" s="393"/>
      <c r="AA1052" s="573">
        <v>9.5244199999999992</v>
      </c>
      <c r="AB1052" s="394">
        <v>7.1013900000000003</v>
      </c>
      <c r="AC1052" s="394">
        <v>5.8152600000000003</v>
      </c>
      <c r="AD1052" s="394"/>
      <c r="AE1052" s="394"/>
      <c r="AF1052" s="394">
        <v>0</v>
      </c>
      <c r="AG1052" s="394">
        <v>0</v>
      </c>
      <c r="AH1052" s="394">
        <v>0.56488000000000005</v>
      </c>
      <c r="AI1052" s="394">
        <v>5.8152600000000003</v>
      </c>
      <c r="AJ1052" s="394"/>
      <c r="AK1052" s="381" t="s">
        <v>167</v>
      </c>
      <c r="AL1052" s="408" t="s">
        <v>175</v>
      </c>
      <c r="AM1052" s="385"/>
      <c r="AN1052" s="475">
        <v>602</v>
      </c>
      <c r="AO1052" s="395"/>
      <c r="AP1052" s="395">
        <f t="shared" si="854"/>
        <v>9.5244199999999992</v>
      </c>
      <c r="AQ1052" s="393"/>
      <c r="AR1052" s="523"/>
      <c r="AS1052" s="393"/>
      <c r="AT1052" s="573"/>
      <c r="AU1052" s="394"/>
      <c r="AV1052" s="394"/>
      <c r="AW1052" s="394"/>
      <c r="AX1052" s="394"/>
      <c r="AY1052" s="394"/>
      <c r="AZ1052" s="394"/>
      <c r="BA1052" s="394"/>
      <c r="BB1052" s="394"/>
      <c r="BC1052" s="394"/>
      <c r="BD1052" s="381"/>
      <c r="BE1052" s="408"/>
      <c r="BF1052" s="385"/>
      <c r="BG1052" s="475"/>
      <c r="BH1052" s="395"/>
      <c r="BI1052" s="395" t="e">
        <f t="shared" si="855"/>
        <v>#DIV/0!</v>
      </c>
    </row>
    <row r="1053" spans="1:61" s="358" customFormat="1" ht="19.2" x14ac:dyDescent="0.3">
      <c r="A1053" s="359" t="s">
        <v>401</v>
      </c>
      <c r="B1053" s="572" t="s">
        <v>3615</v>
      </c>
      <c r="C1053" s="546" t="s">
        <v>2695</v>
      </c>
      <c r="D1053" s="360">
        <v>0.22</v>
      </c>
      <c r="E1053" s="393"/>
      <c r="F1053" s="523"/>
      <c r="G1053" s="393"/>
      <c r="H1053" s="573"/>
      <c r="I1053" s="394"/>
      <c r="J1053" s="394"/>
      <c r="K1053" s="394"/>
      <c r="L1053" s="394"/>
      <c r="M1053" s="394"/>
      <c r="N1053" s="394"/>
      <c r="O1053" s="394"/>
      <c r="P1053" s="394"/>
      <c r="Q1053" s="394"/>
      <c r="R1053" s="381"/>
      <c r="S1053" s="408"/>
      <c r="T1053" s="385"/>
      <c r="U1053" s="475"/>
      <c r="V1053" s="395"/>
      <c r="W1053" s="395"/>
      <c r="X1053" s="393"/>
      <c r="Y1053" s="523">
        <v>1</v>
      </c>
      <c r="Z1053" s="393"/>
      <c r="AA1053" s="573">
        <v>9.5244400000000002</v>
      </c>
      <c r="AB1053" s="394">
        <v>7.1014099999999996</v>
      </c>
      <c r="AC1053" s="394">
        <v>5.8152799999999996</v>
      </c>
      <c r="AD1053" s="394"/>
      <c r="AE1053" s="394"/>
      <c r="AF1053" s="394">
        <v>0</v>
      </c>
      <c r="AG1053" s="394">
        <v>0</v>
      </c>
      <c r="AH1053" s="394">
        <v>0.56488000000000005</v>
      </c>
      <c r="AI1053" s="394">
        <v>5.8152799999999996</v>
      </c>
      <c r="AJ1053" s="394"/>
      <c r="AK1053" s="381" t="s">
        <v>167</v>
      </c>
      <c r="AL1053" s="408" t="s">
        <v>175</v>
      </c>
      <c r="AM1053" s="385"/>
      <c r="AN1053" s="475">
        <v>603</v>
      </c>
      <c r="AO1053" s="395"/>
      <c r="AP1053" s="395">
        <f t="shared" si="854"/>
        <v>9.5244400000000002</v>
      </c>
      <c r="AQ1053" s="393"/>
      <c r="AR1053" s="523"/>
      <c r="AS1053" s="393"/>
      <c r="AT1053" s="573"/>
      <c r="AU1053" s="394"/>
      <c r="AV1053" s="394"/>
      <c r="AW1053" s="394"/>
      <c r="AX1053" s="394"/>
      <c r="AY1053" s="394"/>
      <c r="AZ1053" s="394"/>
      <c r="BA1053" s="394"/>
      <c r="BB1053" s="394"/>
      <c r="BC1053" s="394"/>
      <c r="BD1053" s="381"/>
      <c r="BE1053" s="408"/>
      <c r="BF1053" s="385"/>
      <c r="BG1053" s="475"/>
      <c r="BH1053" s="395"/>
      <c r="BI1053" s="395" t="e">
        <f t="shared" si="855"/>
        <v>#DIV/0!</v>
      </c>
    </row>
    <row r="1054" spans="1:61" s="358" customFormat="1" ht="19.2" x14ac:dyDescent="0.3">
      <c r="A1054" s="359" t="s">
        <v>402</v>
      </c>
      <c r="B1054" s="572" t="s">
        <v>3616</v>
      </c>
      <c r="C1054" s="546" t="s">
        <v>2696</v>
      </c>
      <c r="D1054" s="360">
        <v>0.22</v>
      </c>
      <c r="E1054" s="393"/>
      <c r="F1054" s="523"/>
      <c r="G1054" s="393"/>
      <c r="H1054" s="573"/>
      <c r="I1054" s="394"/>
      <c r="J1054" s="394"/>
      <c r="K1054" s="394"/>
      <c r="L1054" s="394"/>
      <c r="M1054" s="394"/>
      <c r="N1054" s="394"/>
      <c r="O1054" s="394"/>
      <c r="P1054" s="394"/>
      <c r="Q1054" s="394"/>
      <c r="R1054" s="381"/>
      <c r="S1054" s="408"/>
      <c r="T1054" s="385"/>
      <c r="U1054" s="475"/>
      <c r="V1054" s="395"/>
      <c r="W1054" s="395"/>
      <c r="X1054" s="393"/>
      <c r="Y1054" s="523">
        <v>1</v>
      </c>
      <c r="Z1054" s="393"/>
      <c r="AA1054" s="573">
        <v>9.7098800000000001</v>
      </c>
      <c r="AB1054" s="394">
        <v>7.1455799999999998</v>
      </c>
      <c r="AC1054" s="394">
        <v>5.8152999999999997</v>
      </c>
      <c r="AD1054" s="394"/>
      <c r="AE1054" s="394"/>
      <c r="AF1054" s="394">
        <v>0</v>
      </c>
      <c r="AG1054" s="394">
        <v>0</v>
      </c>
      <c r="AH1054" s="394">
        <v>0.59780999999999995</v>
      </c>
      <c r="AI1054" s="394">
        <v>5.8152999999999997</v>
      </c>
      <c r="AJ1054" s="394"/>
      <c r="AK1054" s="381" t="s">
        <v>167</v>
      </c>
      <c r="AL1054" s="408" t="s">
        <v>175</v>
      </c>
      <c r="AM1054" s="385"/>
      <c r="AN1054" s="475">
        <v>604</v>
      </c>
      <c r="AO1054" s="395"/>
      <c r="AP1054" s="395">
        <f t="shared" si="854"/>
        <v>9.7098800000000001</v>
      </c>
      <c r="AQ1054" s="393"/>
      <c r="AR1054" s="523"/>
      <c r="AS1054" s="393"/>
      <c r="AT1054" s="573"/>
      <c r="AU1054" s="394"/>
      <c r="AV1054" s="394"/>
      <c r="AW1054" s="394"/>
      <c r="AX1054" s="394"/>
      <c r="AY1054" s="394"/>
      <c r="AZ1054" s="394"/>
      <c r="BA1054" s="394"/>
      <c r="BB1054" s="394"/>
      <c r="BC1054" s="394"/>
      <c r="BD1054" s="381"/>
      <c r="BE1054" s="408"/>
      <c r="BF1054" s="385"/>
      <c r="BG1054" s="475"/>
      <c r="BH1054" s="395"/>
      <c r="BI1054" s="395" t="e">
        <f t="shared" si="855"/>
        <v>#DIV/0!</v>
      </c>
    </row>
    <row r="1055" spans="1:61" s="358" customFormat="1" ht="19.2" x14ac:dyDescent="0.3">
      <c r="A1055" s="359" t="s">
        <v>403</v>
      </c>
      <c r="B1055" s="572" t="s">
        <v>3617</v>
      </c>
      <c r="C1055" s="546" t="s">
        <v>2697</v>
      </c>
      <c r="D1055" s="360">
        <v>0.22</v>
      </c>
      <c r="E1055" s="393"/>
      <c r="F1055" s="523"/>
      <c r="G1055" s="393"/>
      <c r="H1055" s="573"/>
      <c r="I1055" s="394"/>
      <c r="J1055" s="394"/>
      <c r="K1055" s="394"/>
      <c r="L1055" s="394"/>
      <c r="M1055" s="394"/>
      <c r="N1055" s="394"/>
      <c r="O1055" s="394"/>
      <c r="P1055" s="394"/>
      <c r="Q1055" s="394"/>
      <c r="R1055" s="381"/>
      <c r="S1055" s="408"/>
      <c r="T1055" s="385"/>
      <c r="U1055" s="475"/>
      <c r="V1055" s="395"/>
      <c r="W1055" s="395"/>
      <c r="X1055" s="393"/>
      <c r="Y1055" s="523">
        <v>1</v>
      </c>
      <c r="Z1055" s="393"/>
      <c r="AA1055" s="573">
        <v>8.6379199999999994</v>
      </c>
      <c r="AB1055" s="394">
        <v>6.2148899999999996</v>
      </c>
      <c r="AC1055" s="394">
        <v>5.2083399999999997</v>
      </c>
      <c r="AD1055" s="394"/>
      <c r="AE1055" s="394"/>
      <c r="AF1055" s="394">
        <v>0</v>
      </c>
      <c r="AG1055" s="394">
        <v>0</v>
      </c>
      <c r="AH1055" s="394">
        <v>0.56488000000000005</v>
      </c>
      <c r="AI1055" s="394">
        <v>5.2083399999999997</v>
      </c>
      <c r="AJ1055" s="394"/>
      <c r="AK1055" s="381" t="s">
        <v>167</v>
      </c>
      <c r="AL1055" s="408" t="s">
        <v>175</v>
      </c>
      <c r="AM1055" s="385"/>
      <c r="AN1055" s="475">
        <v>605</v>
      </c>
      <c r="AO1055" s="395"/>
      <c r="AP1055" s="395">
        <f t="shared" si="854"/>
        <v>8.6379199999999994</v>
      </c>
      <c r="AQ1055" s="393"/>
      <c r="AR1055" s="523"/>
      <c r="AS1055" s="393"/>
      <c r="AT1055" s="573"/>
      <c r="AU1055" s="394"/>
      <c r="AV1055" s="394"/>
      <c r="AW1055" s="394"/>
      <c r="AX1055" s="394"/>
      <c r="AY1055" s="394"/>
      <c r="AZ1055" s="394"/>
      <c r="BA1055" s="394"/>
      <c r="BB1055" s="394"/>
      <c r="BC1055" s="394"/>
      <c r="BD1055" s="381"/>
      <c r="BE1055" s="408"/>
      <c r="BF1055" s="385"/>
      <c r="BG1055" s="475"/>
      <c r="BH1055" s="395"/>
      <c r="BI1055" s="395" t="e">
        <f t="shared" si="855"/>
        <v>#DIV/0!</v>
      </c>
    </row>
    <row r="1056" spans="1:61" s="358" customFormat="1" ht="19.2" x14ac:dyDescent="0.3">
      <c r="A1056" s="359" t="s">
        <v>1869</v>
      </c>
      <c r="B1056" s="572" t="s">
        <v>3618</v>
      </c>
      <c r="C1056" s="546" t="s">
        <v>2698</v>
      </c>
      <c r="D1056" s="360">
        <v>0.22</v>
      </c>
      <c r="E1056" s="393"/>
      <c r="F1056" s="523"/>
      <c r="G1056" s="393"/>
      <c r="H1056" s="573"/>
      <c r="I1056" s="394"/>
      <c r="J1056" s="394"/>
      <c r="K1056" s="394"/>
      <c r="L1056" s="394"/>
      <c r="M1056" s="394"/>
      <c r="N1056" s="394"/>
      <c r="O1056" s="394"/>
      <c r="P1056" s="394"/>
      <c r="Q1056" s="394"/>
      <c r="R1056" s="381"/>
      <c r="S1056" s="408"/>
      <c r="T1056" s="385"/>
      <c r="U1056" s="475"/>
      <c r="V1056" s="395"/>
      <c r="W1056" s="395"/>
      <c r="X1056" s="393"/>
      <c r="Y1056" s="523">
        <v>1</v>
      </c>
      <c r="Z1056" s="393"/>
      <c r="AA1056" s="573">
        <v>8.6379099999999998</v>
      </c>
      <c r="AB1056" s="394">
        <v>6.21488</v>
      </c>
      <c r="AC1056" s="394">
        <v>5.2083399999999997</v>
      </c>
      <c r="AD1056" s="394"/>
      <c r="AE1056" s="394"/>
      <c r="AF1056" s="394">
        <v>0</v>
      </c>
      <c r="AG1056" s="394">
        <v>0</v>
      </c>
      <c r="AH1056" s="394">
        <v>0.56488000000000005</v>
      </c>
      <c r="AI1056" s="394">
        <v>5.2083399999999997</v>
      </c>
      <c r="AJ1056" s="394"/>
      <c r="AK1056" s="381" t="s">
        <v>167</v>
      </c>
      <c r="AL1056" s="408" t="s">
        <v>175</v>
      </c>
      <c r="AM1056" s="385"/>
      <c r="AN1056" s="475">
        <v>606</v>
      </c>
      <c r="AO1056" s="395"/>
      <c r="AP1056" s="395">
        <f t="shared" si="854"/>
        <v>8.6379099999999998</v>
      </c>
      <c r="AQ1056" s="393"/>
      <c r="AR1056" s="523"/>
      <c r="AS1056" s="393"/>
      <c r="AT1056" s="573"/>
      <c r="AU1056" s="394"/>
      <c r="AV1056" s="394"/>
      <c r="AW1056" s="394"/>
      <c r="AX1056" s="394"/>
      <c r="AY1056" s="394"/>
      <c r="AZ1056" s="394"/>
      <c r="BA1056" s="394"/>
      <c r="BB1056" s="394"/>
      <c r="BC1056" s="394"/>
      <c r="BD1056" s="381"/>
      <c r="BE1056" s="408"/>
      <c r="BF1056" s="385"/>
      <c r="BG1056" s="475"/>
      <c r="BH1056" s="395"/>
      <c r="BI1056" s="395" t="e">
        <f t="shared" si="855"/>
        <v>#DIV/0!</v>
      </c>
    </row>
    <row r="1057" spans="1:61" s="358" customFormat="1" ht="19.2" x14ac:dyDescent="0.3">
      <c r="A1057" s="359" t="s">
        <v>405</v>
      </c>
      <c r="B1057" s="572" t="s">
        <v>3619</v>
      </c>
      <c r="C1057" s="546" t="s">
        <v>2699</v>
      </c>
      <c r="D1057" s="360">
        <v>0.22</v>
      </c>
      <c r="E1057" s="393"/>
      <c r="F1057" s="523"/>
      <c r="G1057" s="393"/>
      <c r="H1057" s="573"/>
      <c r="I1057" s="394"/>
      <c r="J1057" s="394"/>
      <c r="K1057" s="394"/>
      <c r="L1057" s="394"/>
      <c r="M1057" s="394"/>
      <c r="N1057" s="394"/>
      <c r="O1057" s="394"/>
      <c r="P1057" s="394"/>
      <c r="Q1057" s="394"/>
      <c r="R1057" s="381"/>
      <c r="S1057" s="408"/>
      <c r="T1057" s="385"/>
      <c r="U1057" s="475"/>
      <c r="V1057" s="395"/>
      <c r="W1057" s="395"/>
      <c r="X1057" s="393"/>
      <c r="Y1057" s="523">
        <v>1</v>
      </c>
      <c r="Z1057" s="393"/>
      <c r="AA1057" s="573">
        <v>9.7098499999999994</v>
      </c>
      <c r="AB1057" s="394">
        <v>7.1455500000000001</v>
      </c>
      <c r="AC1057" s="394">
        <v>5.8152799999999996</v>
      </c>
      <c r="AD1057" s="394"/>
      <c r="AE1057" s="394"/>
      <c r="AF1057" s="394">
        <v>0</v>
      </c>
      <c r="AG1057" s="394">
        <v>0</v>
      </c>
      <c r="AH1057" s="394">
        <v>0.59780999999999995</v>
      </c>
      <c r="AI1057" s="394">
        <v>5.8152699999999999</v>
      </c>
      <c r="AJ1057" s="394"/>
      <c r="AK1057" s="381" t="s">
        <v>167</v>
      </c>
      <c r="AL1057" s="408" t="s">
        <v>175</v>
      </c>
      <c r="AM1057" s="385"/>
      <c r="AN1057" s="475">
        <v>607</v>
      </c>
      <c r="AO1057" s="395"/>
      <c r="AP1057" s="395">
        <f t="shared" ref="AP1057:AP1120" si="856">AA1057/Y1057</f>
        <v>9.7098499999999994</v>
      </c>
      <c r="AQ1057" s="393"/>
      <c r="AR1057" s="523"/>
      <c r="AS1057" s="393"/>
      <c r="AT1057" s="573"/>
      <c r="AU1057" s="394"/>
      <c r="AV1057" s="394"/>
      <c r="AW1057" s="394"/>
      <c r="AX1057" s="394"/>
      <c r="AY1057" s="394"/>
      <c r="AZ1057" s="394"/>
      <c r="BA1057" s="394"/>
      <c r="BB1057" s="394"/>
      <c r="BC1057" s="394"/>
      <c r="BD1057" s="381"/>
      <c r="BE1057" s="408"/>
      <c r="BF1057" s="385"/>
      <c r="BG1057" s="475"/>
      <c r="BH1057" s="395"/>
      <c r="BI1057" s="395" t="e">
        <f t="shared" si="855"/>
        <v>#DIV/0!</v>
      </c>
    </row>
    <row r="1058" spans="1:61" s="358" customFormat="1" ht="19.2" x14ac:dyDescent="0.3">
      <c r="A1058" s="359" t="s">
        <v>406</v>
      </c>
      <c r="B1058" s="572" t="s">
        <v>3620</v>
      </c>
      <c r="C1058" s="546" t="s">
        <v>2700</v>
      </c>
      <c r="D1058" s="360">
        <v>0.22</v>
      </c>
      <c r="E1058" s="393"/>
      <c r="F1058" s="523"/>
      <c r="G1058" s="393"/>
      <c r="H1058" s="573"/>
      <c r="I1058" s="394"/>
      <c r="J1058" s="394"/>
      <c r="K1058" s="394"/>
      <c r="L1058" s="394"/>
      <c r="M1058" s="394"/>
      <c r="N1058" s="394"/>
      <c r="O1058" s="394"/>
      <c r="P1058" s="394"/>
      <c r="Q1058" s="394"/>
      <c r="R1058" s="381"/>
      <c r="S1058" s="408"/>
      <c r="T1058" s="385"/>
      <c r="U1058" s="475"/>
      <c r="V1058" s="395"/>
      <c r="W1058" s="395"/>
      <c r="X1058" s="393"/>
      <c r="Y1058" s="523">
        <v>1</v>
      </c>
      <c r="Z1058" s="393"/>
      <c r="AA1058" s="573">
        <v>9.5244300000000006</v>
      </c>
      <c r="AB1058" s="394">
        <v>7.1013999999999999</v>
      </c>
      <c r="AC1058" s="394">
        <v>5.8152600000000003</v>
      </c>
      <c r="AD1058" s="394"/>
      <c r="AE1058" s="394"/>
      <c r="AF1058" s="394">
        <v>0</v>
      </c>
      <c r="AG1058" s="394">
        <v>0</v>
      </c>
      <c r="AH1058" s="394">
        <v>0.56488000000000005</v>
      </c>
      <c r="AI1058" s="394">
        <v>5.8152600000000003</v>
      </c>
      <c r="AJ1058" s="394"/>
      <c r="AK1058" s="381" t="s">
        <v>167</v>
      </c>
      <c r="AL1058" s="408" t="s">
        <v>175</v>
      </c>
      <c r="AM1058" s="385"/>
      <c r="AN1058" s="475">
        <v>608</v>
      </c>
      <c r="AO1058" s="395"/>
      <c r="AP1058" s="395">
        <f t="shared" si="856"/>
        <v>9.5244300000000006</v>
      </c>
      <c r="AQ1058" s="393"/>
      <c r="AR1058" s="523"/>
      <c r="AS1058" s="393"/>
      <c r="AT1058" s="573"/>
      <c r="AU1058" s="394"/>
      <c r="AV1058" s="394"/>
      <c r="AW1058" s="394"/>
      <c r="AX1058" s="394"/>
      <c r="AY1058" s="394"/>
      <c r="AZ1058" s="394"/>
      <c r="BA1058" s="394"/>
      <c r="BB1058" s="394"/>
      <c r="BC1058" s="394"/>
      <c r="BD1058" s="381"/>
      <c r="BE1058" s="408"/>
      <c r="BF1058" s="385"/>
      <c r="BG1058" s="475"/>
      <c r="BH1058" s="395"/>
      <c r="BI1058" s="395" t="e">
        <f t="shared" si="855"/>
        <v>#DIV/0!</v>
      </c>
    </row>
    <row r="1059" spans="1:61" s="358" customFormat="1" ht="19.2" x14ac:dyDescent="0.3">
      <c r="A1059" s="359" t="s">
        <v>391</v>
      </c>
      <c r="B1059" s="572" t="s">
        <v>3621</v>
      </c>
      <c r="C1059" s="546" t="s">
        <v>2701</v>
      </c>
      <c r="D1059" s="360">
        <v>0.22</v>
      </c>
      <c r="E1059" s="393"/>
      <c r="F1059" s="523"/>
      <c r="G1059" s="393"/>
      <c r="H1059" s="573"/>
      <c r="I1059" s="394"/>
      <c r="J1059" s="394"/>
      <c r="K1059" s="394"/>
      <c r="L1059" s="394"/>
      <c r="M1059" s="394"/>
      <c r="N1059" s="394"/>
      <c r="O1059" s="394"/>
      <c r="P1059" s="394"/>
      <c r="Q1059" s="394"/>
      <c r="R1059" s="381"/>
      <c r="S1059" s="408"/>
      <c r="T1059" s="385"/>
      <c r="U1059" s="475"/>
      <c r="V1059" s="395"/>
      <c r="W1059" s="395"/>
      <c r="X1059" s="393"/>
      <c r="Y1059" s="523">
        <v>1</v>
      </c>
      <c r="Z1059" s="393"/>
      <c r="AA1059" s="573">
        <v>9.19895</v>
      </c>
      <c r="AB1059" s="394">
        <v>6.7759200000000002</v>
      </c>
      <c r="AC1059" s="394">
        <v>5.8152799999999996</v>
      </c>
      <c r="AD1059" s="394"/>
      <c r="AE1059" s="394"/>
      <c r="AF1059" s="394">
        <v>0</v>
      </c>
      <c r="AG1059" s="394">
        <v>0</v>
      </c>
      <c r="AH1059" s="394">
        <v>0.56488000000000005</v>
      </c>
      <c r="AI1059" s="394">
        <v>5.8152799999999996</v>
      </c>
      <c r="AJ1059" s="394"/>
      <c r="AK1059" s="381" t="s">
        <v>167</v>
      </c>
      <c r="AL1059" s="408" t="s">
        <v>175</v>
      </c>
      <c r="AM1059" s="385"/>
      <c r="AN1059" s="475">
        <v>609</v>
      </c>
      <c r="AO1059" s="395"/>
      <c r="AP1059" s="395">
        <f t="shared" si="856"/>
        <v>9.19895</v>
      </c>
      <c r="AQ1059" s="393"/>
      <c r="AR1059" s="523"/>
      <c r="AS1059" s="393"/>
      <c r="AT1059" s="573"/>
      <c r="AU1059" s="394"/>
      <c r="AV1059" s="394"/>
      <c r="AW1059" s="394"/>
      <c r="AX1059" s="394"/>
      <c r="AY1059" s="394"/>
      <c r="AZ1059" s="394"/>
      <c r="BA1059" s="394"/>
      <c r="BB1059" s="394"/>
      <c r="BC1059" s="394"/>
      <c r="BD1059" s="381"/>
      <c r="BE1059" s="408"/>
      <c r="BF1059" s="385"/>
      <c r="BG1059" s="475"/>
      <c r="BH1059" s="395"/>
      <c r="BI1059" s="395" t="e">
        <f t="shared" si="855"/>
        <v>#DIV/0!</v>
      </c>
    </row>
    <row r="1060" spans="1:61" s="358" customFormat="1" ht="19.2" x14ac:dyDescent="0.3">
      <c r="A1060" s="359" t="s">
        <v>1873</v>
      </c>
      <c r="B1060" s="572" t="s">
        <v>3622</v>
      </c>
      <c r="C1060" s="546" t="s">
        <v>2702</v>
      </c>
      <c r="D1060" s="360">
        <v>0.22</v>
      </c>
      <c r="E1060" s="393"/>
      <c r="F1060" s="523"/>
      <c r="G1060" s="393"/>
      <c r="H1060" s="573"/>
      <c r="I1060" s="394"/>
      <c r="J1060" s="394"/>
      <c r="K1060" s="394"/>
      <c r="L1060" s="394"/>
      <c r="M1060" s="394"/>
      <c r="N1060" s="394"/>
      <c r="O1060" s="394"/>
      <c r="P1060" s="394"/>
      <c r="Q1060" s="394"/>
      <c r="R1060" s="381"/>
      <c r="S1060" s="408"/>
      <c r="T1060" s="385"/>
      <c r="U1060" s="475"/>
      <c r="V1060" s="395"/>
      <c r="W1060" s="395"/>
      <c r="X1060" s="393"/>
      <c r="Y1060" s="523">
        <v>1</v>
      </c>
      <c r="Z1060" s="393"/>
      <c r="AA1060" s="573">
        <v>9.7098499999999994</v>
      </c>
      <c r="AB1060" s="394">
        <v>7.1455500000000001</v>
      </c>
      <c r="AC1060" s="394">
        <v>5.8152699999999999</v>
      </c>
      <c r="AD1060" s="394"/>
      <c r="AE1060" s="394"/>
      <c r="AF1060" s="394">
        <v>0</v>
      </c>
      <c r="AG1060" s="394">
        <v>0</v>
      </c>
      <c r="AH1060" s="394">
        <v>0.59780999999999995</v>
      </c>
      <c r="AI1060" s="394">
        <v>5.8152699999999999</v>
      </c>
      <c r="AJ1060" s="394"/>
      <c r="AK1060" s="381" t="s">
        <v>167</v>
      </c>
      <c r="AL1060" s="408" t="s">
        <v>175</v>
      </c>
      <c r="AM1060" s="385"/>
      <c r="AN1060" s="475">
        <v>610</v>
      </c>
      <c r="AO1060" s="395"/>
      <c r="AP1060" s="395">
        <f t="shared" si="856"/>
        <v>9.7098499999999994</v>
      </c>
      <c r="AQ1060" s="393"/>
      <c r="AR1060" s="523"/>
      <c r="AS1060" s="393"/>
      <c r="AT1060" s="573"/>
      <c r="AU1060" s="394"/>
      <c r="AV1060" s="394"/>
      <c r="AW1060" s="394"/>
      <c r="AX1060" s="394"/>
      <c r="AY1060" s="394"/>
      <c r="AZ1060" s="394"/>
      <c r="BA1060" s="394"/>
      <c r="BB1060" s="394"/>
      <c r="BC1060" s="394"/>
      <c r="BD1060" s="381"/>
      <c r="BE1060" s="408"/>
      <c r="BF1060" s="385"/>
      <c r="BG1060" s="475"/>
      <c r="BH1060" s="395"/>
      <c r="BI1060" s="395" t="e">
        <f t="shared" si="855"/>
        <v>#DIV/0!</v>
      </c>
    </row>
    <row r="1061" spans="1:61" s="358" customFormat="1" ht="19.2" x14ac:dyDescent="0.3">
      <c r="A1061" s="359" t="s">
        <v>1858</v>
      </c>
      <c r="B1061" s="572" t="s">
        <v>3623</v>
      </c>
      <c r="C1061" s="546" t="s">
        <v>2703</v>
      </c>
      <c r="D1061" s="360">
        <v>0.22</v>
      </c>
      <c r="E1061" s="393"/>
      <c r="F1061" s="523"/>
      <c r="G1061" s="393"/>
      <c r="H1061" s="573"/>
      <c r="I1061" s="394"/>
      <c r="J1061" s="394"/>
      <c r="K1061" s="394"/>
      <c r="L1061" s="394"/>
      <c r="M1061" s="394"/>
      <c r="N1061" s="394"/>
      <c r="O1061" s="394"/>
      <c r="P1061" s="394"/>
      <c r="Q1061" s="394"/>
      <c r="R1061" s="381"/>
      <c r="S1061" s="408"/>
      <c r="T1061" s="385"/>
      <c r="U1061" s="475"/>
      <c r="V1061" s="395"/>
      <c r="W1061" s="395"/>
      <c r="X1061" s="393"/>
      <c r="Y1061" s="523">
        <v>1</v>
      </c>
      <c r="Z1061" s="393"/>
      <c r="AA1061" s="573">
        <v>9.5244099999999996</v>
      </c>
      <c r="AB1061" s="394">
        <v>7.1013799999999998</v>
      </c>
      <c r="AC1061" s="394">
        <v>5.8152600000000003</v>
      </c>
      <c r="AD1061" s="394"/>
      <c r="AE1061" s="394"/>
      <c r="AF1061" s="394">
        <v>0</v>
      </c>
      <c r="AG1061" s="394">
        <v>0</v>
      </c>
      <c r="AH1061" s="394">
        <v>0.56488000000000005</v>
      </c>
      <c r="AI1061" s="394">
        <v>5.8152600000000003</v>
      </c>
      <c r="AJ1061" s="394"/>
      <c r="AK1061" s="381" t="s">
        <v>167</v>
      </c>
      <c r="AL1061" s="408" t="s">
        <v>175</v>
      </c>
      <c r="AM1061" s="385"/>
      <c r="AN1061" s="475">
        <v>611</v>
      </c>
      <c r="AO1061" s="395"/>
      <c r="AP1061" s="395">
        <f t="shared" si="856"/>
        <v>9.5244099999999996</v>
      </c>
      <c r="AQ1061" s="393"/>
      <c r="AR1061" s="523"/>
      <c r="AS1061" s="393"/>
      <c r="AT1061" s="573"/>
      <c r="AU1061" s="394"/>
      <c r="AV1061" s="394"/>
      <c r="AW1061" s="394"/>
      <c r="AX1061" s="394"/>
      <c r="AY1061" s="394"/>
      <c r="AZ1061" s="394"/>
      <c r="BA1061" s="394"/>
      <c r="BB1061" s="394"/>
      <c r="BC1061" s="394"/>
      <c r="BD1061" s="381"/>
      <c r="BE1061" s="408"/>
      <c r="BF1061" s="385"/>
      <c r="BG1061" s="475"/>
      <c r="BH1061" s="395"/>
      <c r="BI1061" s="395" t="e">
        <f t="shared" si="855"/>
        <v>#DIV/0!</v>
      </c>
    </row>
    <row r="1062" spans="1:61" s="358" customFormat="1" ht="19.2" x14ac:dyDescent="0.3">
      <c r="A1062" s="359" t="s">
        <v>1859</v>
      </c>
      <c r="B1062" s="572" t="s">
        <v>3624</v>
      </c>
      <c r="C1062" s="546" t="s">
        <v>2704</v>
      </c>
      <c r="D1062" s="360">
        <v>0.22</v>
      </c>
      <c r="E1062" s="393"/>
      <c r="F1062" s="523"/>
      <c r="G1062" s="393"/>
      <c r="H1062" s="573"/>
      <c r="I1062" s="394"/>
      <c r="J1062" s="394"/>
      <c r="K1062" s="394"/>
      <c r="L1062" s="394"/>
      <c r="M1062" s="394"/>
      <c r="N1062" s="394"/>
      <c r="O1062" s="394"/>
      <c r="P1062" s="394"/>
      <c r="Q1062" s="394"/>
      <c r="R1062" s="381"/>
      <c r="S1062" s="408"/>
      <c r="T1062" s="385"/>
      <c r="U1062" s="475"/>
      <c r="V1062" s="395"/>
      <c r="W1062" s="395"/>
      <c r="X1062" s="393"/>
      <c r="Y1062" s="523">
        <v>1</v>
      </c>
      <c r="Z1062" s="393"/>
      <c r="AA1062" s="573">
        <v>9.1989300000000007</v>
      </c>
      <c r="AB1062" s="394">
        <v>6.7759</v>
      </c>
      <c r="AC1062" s="394">
        <v>5.8152799999999996</v>
      </c>
      <c r="AD1062" s="394"/>
      <c r="AE1062" s="394"/>
      <c r="AF1062" s="394">
        <v>0</v>
      </c>
      <c r="AG1062" s="394">
        <v>0</v>
      </c>
      <c r="AH1062" s="394">
        <v>0.56488000000000005</v>
      </c>
      <c r="AI1062" s="394">
        <v>5.8152799999999996</v>
      </c>
      <c r="AJ1062" s="394"/>
      <c r="AK1062" s="381" t="s">
        <v>167</v>
      </c>
      <c r="AL1062" s="408" t="s">
        <v>175</v>
      </c>
      <c r="AM1062" s="385"/>
      <c r="AN1062" s="475">
        <v>612</v>
      </c>
      <c r="AO1062" s="395"/>
      <c r="AP1062" s="395">
        <f t="shared" si="856"/>
        <v>9.1989300000000007</v>
      </c>
      <c r="AQ1062" s="393"/>
      <c r="AR1062" s="523"/>
      <c r="AS1062" s="393"/>
      <c r="AT1062" s="573"/>
      <c r="AU1062" s="394"/>
      <c r="AV1062" s="394"/>
      <c r="AW1062" s="394"/>
      <c r="AX1062" s="394"/>
      <c r="AY1062" s="394"/>
      <c r="AZ1062" s="394"/>
      <c r="BA1062" s="394"/>
      <c r="BB1062" s="394"/>
      <c r="BC1062" s="394"/>
      <c r="BD1062" s="381"/>
      <c r="BE1062" s="408"/>
      <c r="BF1062" s="385"/>
      <c r="BG1062" s="475"/>
      <c r="BH1062" s="395"/>
      <c r="BI1062" s="395" t="e">
        <f t="shared" si="855"/>
        <v>#DIV/0!</v>
      </c>
    </row>
    <row r="1063" spans="1:61" s="358" customFormat="1" ht="19.2" x14ac:dyDescent="0.3">
      <c r="A1063" s="359" t="s">
        <v>1860</v>
      </c>
      <c r="B1063" s="572" t="s">
        <v>3625</v>
      </c>
      <c r="C1063" s="546" t="s">
        <v>2705</v>
      </c>
      <c r="D1063" s="360">
        <v>0.22</v>
      </c>
      <c r="E1063" s="393"/>
      <c r="F1063" s="523"/>
      <c r="G1063" s="393"/>
      <c r="H1063" s="573"/>
      <c r="I1063" s="394"/>
      <c r="J1063" s="394"/>
      <c r="K1063" s="394"/>
      <c r="L1063" s="394"/>
      <c r="M1063" s="394"/>
      <c r="N1063" s="394"/>
      <c r="O1063" s="394"/>
      <c r="P1063" s="394"/>
      <c r="Q1063" s="394"/>
      <c r="R1063" s="381"/>
      <c r="S1063" s="408"/>
      <c r="T1063" s="385"/>
      <c r="U1063" s="475"/>
      <c r="V1063" s="395"/>
      <c r="W1063" s="395"/>
      <c r="X1063" s="393"/>
      <c r="Y1063" s="523">
        <v>1</v>
      </c>
      <c r="Z1063" s="393"/>
      <c r="AA1063" s="573">
        <v>9.5244300000000006</v>
      </c>
      <c r="AB1063" s="394">
        <v>7.1013999999999999</v>
      </c>
      <c r="AC1063" s="394">
        <v>5.8152600000000003</v>
      </c>
      <c r="AD1063" s="394"/>
      <c r="AE1063" s="394"/>
      <c r="AF1063" s="394">
        <v>0</v>
      </c>
      <c r="AG1063" s="394">
        <v>0</v>
      </c>
      <c r="AH1063" s="394">
        <v>0.56488000000000005</v>
      </c>
      <c r="AI1063" s="394">
        <v>5.8152600000000003</v>
      </c>
      <c r="AJ1063" s="394"/>
      <c r="AK1063" s="381" t="s">
        <v>167</v>
      </c>
      <c r="AL1063" s="408" t="s">
        <v>175</v>
      </c>
      <c r="AM1063" s="385"/>
      <c r="AN1063" s="475">
        <v>613</v>
      </c>
      <c r="AO1063" s="395"/>
      <c r="AP1063" s="395">
        <f t="shared" si="856"/>
        <v>9.5244300000000006</v>
      </c>
      <c r="AQ1063" s="393"/>
      <c r="AR1063" s="523"/>
      <c r="AS1063" s="393"/>
      <c r="AT1063" s="573"/>
      <c r="AU1063" s="394"/>
      <c r="AV1063" s="394"/>
      <c r="AW1063" s="394"/>
      <c r="AX1063" s="394"/>
      <c r="AY1063" s="394"/>
      <c r="AZ1063" s="394"/>
      <c r="BA1063" s="394"/>
      <c r="BB1063" s="394"/>
      <c r="BC1063" s="394"/>
      <c r="BD1063" s="381"/>
      <c r="BE1063" s="408"/>
      <c r="BF1063" s="385"/>
      <c r="BG1063" s="475"/>
      <c r="BH1063" s="395"/>
      <c r="BI1063" s="395" t="e">
        <f t="shared" si="855"/>
        <v>#DIV/0!</v>
      </c>
    </row>
    <row r="1064" spans="1:61" s="358" customFormat="1" ht="19.2" x14ac:dyDescent="0.3">
      <c r="A1064" s="359" t="s">
        <v>1861</v>
      </c>
      <c r="B1064" s="572" t="s">
        <v>3626</v>
      </c>
      <c r="C1064" s="546" t="s">
        <v>2706</v>
      </c>
      <c r="D1064" s="360">
        <v>0.22</v>
      </c>
      <c r="E1064" s="393"/>
      <c r="F1064" s="523"/>
      <c r="G1064" s="393"/>
      <c r="H1064" s="573"/>
      <c r="I1064" s="394"/>
      <c r="J1064" s="394"/>
      <c r="K1064" s="394"/>
      <c r="L1064" s="394"/>
      <c r="M1064" s="394"/>
      <c r="N1064" s="394"/>
      <c r="O1064" s="394"/>
      <c r="P1064" s="394"/>
      <c r="Q1064" s="394"/>
      <c r="R1064" s="381"/>
      <c r="S1064" s="408"/>
      <c r="T1064" s="385"/>
      <c r="U1064" s="475"/>
      <c r="V1064" s="395"/>
      <c r="W1064" s="395"/>
      <c r="X1064" s="393"/>
      <c r="Y1064" s="523">
        <v>1</v>
      </c>
      <c r="Z1064" s="393"/>
      <c r="AA1064" s="573">
        <v>9.1547400000000003</v>
      </c>
      <c r="AB1064" s="394">
        <v>6.7317099999999996</v>
      </c>
      <c r="AC1064" s="394">
        <v>5.8152799999999996</v>
      </c>
      <c r="AD1064" s="394"/>
      <c r="AE1064" s="394"/>
      <c r="AF1064" s="394">
        <v>0</v>
      </c>
      <c r="AG1064" s="394">
        <v>0</v>
      </c>
      <c r="AH1064" s="394">
        <v>0.56488000000000005</v>
      </c>
      <c r="AI1064" s="394">
        <v>5.8152799999999996</v>
      </c>
      <c r="AJ1064" s="394"/>
      <c r="AK1064" s="381" t="s">
        <v>167</v>
      </c>
      <c r="AL1064" s="408" t="s">
        <v>175</v>
      </c>
      <c r="AM1064" s="385"/>
      <c r="AN1064" s="475">
        <v>614</v>
      </c>
      <c r="AO1064" s="395"/>
      <c r="AP1064" s="395">
        <f t="shared" si="856"/>
        <v>9.1547400000000003</v>
      </c>
      <c r="AQ1064" s="393"/>
      <c r="AR1064" s="523"/>
      <c r="AS1064" s="393"/>
      <c r="AT1064" s="573"/>
      <c r="AU1064" s="394"/>
      <c r="AV1064" s="394"/>
      <c r="AW1064" s="394"/>
      <c r="AX1064" s="394"/>
      <c r="AY1064" s="394"/>
      <c r="AZ1064" s="394"/>
      <c r="BA1064" s="394"/>
      <c r="BB1064" s="394"/>
      <c r="BC1064" s="394"/>
      <c r="BD1064" s="381"/>
      <c r="BE1064" s="408"/>
      <c r="BF1064" s="385"/>
      <c r="BG1064" s="475"/>
      <c r="BH1064" s="395"/>
      <c r="BI1064" s="395" t="e">
        <f t="shared" si="855"/>
        <v>#DIV/0!</v>
      </c>
    </row>
    <row r="1065" spans="1:61" s="358" customFormat="1" ht="19.2" x14ac:dyDescent="0.3">
      <c r="A1065" s="359" t="s">
        <v>1862</v>
      </c>
      <c r="B1065" s="572" t="s">
        <v>3627</v>
      </c>
      <c r="C1065" s="546" t="s">
        <v>2707</v>
      </c>
      <c r="D1065" s="360">
        <v>0.22</v>
      </c>
      <c r="E1065" s="393"/>
      <c r="F1065" s="523"/>
      <c r="G1065" s="393"/>
      <c r="H1065" s="573"/>
      <c r="I1065" s="394"/>
      <c r="J1065" s="394"/>
      <c r="K1065" s="394"/>
      <c r="L1065" s="394"/>
      <c r="M1065" s="394"/>
      <c r="N1065" s="394"/>
      <c r="O1065" s="394"/>
      <c r="P1065" s="394"/>
      <c r="Q1065" s="394"/>
      <c r="R1065" s="381"/>
      <c r="S1065" s="408"/>
      <c r="T1065" s="385"/>
      <c r="U1065" s="475"/>
      <c r="V1065" s="395"/>
      <c r="W1065" s="395"/>
      <c r="X1065" s="393"/>
      <c r="Y1065" s="523">
        <v>1</v>
      </c>
      <c r="Z1065" s="393"/>
      <c r="AA1065" s="573">
        <v>9.1547900000000002</v>
      </c>
      <c r="AB1065" s="394">
        <v>6.7317600000000004</v>
      </c>
      <c r="AC1065" s="394">
        <v>5.8153300000000003</v>
      </c>
      <c r="AD1065" s="394"/>
      <c r="AE1065" s="394"/>
      <c r="AF1065" s="394">
        <v>0</v>
      </c>
      <c r="AG1065" s="394">
        <v>0</v>
      </c>
      <c r="AH1065" s="394">
        <v>0.56488000000000005</v>
      </c>
      <c r="AI1065" s="394">
        <v>5.8153300000000003</v>
      </c>
      <c r="AJ1065" s="394"/>
      <c r="AK1065" s="381" t="s">
        <v>167</v>
      </c>
      <c r="AL1065" s="408" t="s">
        <v>175</v>
      </c>
      <c r="AM1065" s="385"/>
      <c r="AN1065" s="475">
        <v>615</v>
      </c>
      <c r="AO1065" s="395"/>
      <c r="AP1065" s="395">
        <f t="shared" si="856"/>
        <v>9.1547900000000002</v>
      </c>
      <c r="AQ1065" s="393"/>
      <c r="AR1065" s="523"/>
      <c r="AS1065" s="393"/>
      <c r="AT1065" s="573"/>
      <c r="AU1065" s="394"/>
      <c r="AV1065" s="394"/>
      <c r="AW1065" s="394"/>
      <c r="AX1065" s="394"/>
      <c r="AY1065" s="394"/>
      <c r="AZ1065" s="394"/>
      <c r="BA1065" s="394"/>
      <c r="BB1065" s="394"/>
      <c r="BC1065" s="394"/>
      <c r="BD1065" s="381"/>
      <c r="BE1065" s="408"/>
      <c r="BF1065" s="385"/>
      <c r="BG1065" s="475"/>
      <c r="BH1065" s="395"/>
      <c r="BI1065" s="395" t="e">
        <f t="shared" si="855"/>
        <v>#DIV/0!</v>
      </c>
    </row>
    <row r="1066" spans="1:61" s="358" customFormat="1" ht="19.2" x14ac:dyDescent="0.3">
      <c r="A1066" s="359" t="s">
        <v>1863</v>
      </c>
      <c r="B1066" s="572" t="s">
        <v>3628</v>
      </c>
      <c r="C1066" s="546" t="s">
        <v>2708</v>
      </c>
      <c r="D1066" s="360">
        <v>0.22</v>
      </c>
      <c r="E1066" s="393"/>
      <c r="F1066" s="523"/>
      <c r="G1066" s="393"/>
      <c r="H1066" s="573"/>
      <c r="I1066" s="394"/>
      <c r="J1066" s="394"/>
      <c r="K1066" s="394"/>
      <c r="L1066" s="394"/>
      <c r="M1066" s="394"/>
      <c r="N1066" s="394"/>
      <c r="O1066" s="394"/>
      <c r="P1066" s="394"/>
      <c r="Q1066" s="394"/>
      <c r="R1066" s="381"/>
      <c r="S1066" s="408"/>
      <c r="T1066" s="385"/>
      <c r="U1066" s="475"/>
      <c r="V1066" s="395"/>
      <c r="W1066" s="395"/>
      <c r="X1066" s="393"/>
      <c r="Y1066" s="523">
        <v>1</v>
      </c>
      <c r="Z1066" s="393"/>
      <c r="AA1066" s="573">
        <v>6.8445600000000004</v>
      </c>
      <c r="AB1066" s="394">
        <v>5.9576500000000001</v>
      </c>
      <c r="AC1066" s="394">
        <v>5.8152799999999996</v>
      </c>
      <c r="AD1066" s="394"/>
      <c r="AE1066" s="394"/>
      <c r="AF1066" s="394">
        <v>0</v>
      </c>
      <c r="AG1066" s="394">
        <v>0</v>
      </c>
      <c r="AH1066" s="394">
        <v>0.20676</v>
      </c>
      <c r="AI1066" s="394">
        <v>5.8152799999999996</v>
      </c>
      <c r="AJ1066" s="394"/>
      <c r="AK1066" s="381" t="s">
        <v>167</v>
      </c>
      <c r="AL1066" s="408" t="s">
        <v>175</v>
      </c>
      <c r="AM1066" s="385"/>
      <c r="AN1066" s="475">
        <v>616</v>
      </c>
      <c r="AO1066" s="395"/>
      <c r="AP1066" s="395">
        <f t="shared" si="856"/>
        <v>6.8445600000000004</v>
      </c>
      <c r="AQ1066" s="393"/>
      <c r="AR1066" s="523"/>
      <c r="AS1066" s="393"/>
      <c r="AT1066" s="573"/>
      <c r="AU1066" s="394"/>
      <c r="AV1066" s="394"/>
      <c r="AW1066" s="394"/>
      <c r="AX1066" s="394"/>
      <c r="AY1066" s="394"/>
      <c r="AZ1066" s="394"/>
      <c r="BA1066" s="394"/>
      <c r="BB1066" s="394"/>
      <c r="BC1066" s="394"/>
      <c r="BD1066" s="381"/>
      <c r="BE1066" s="408"/>
      <c r="BF1066" s="385"/>
      <c r="BG1066" s="475"/>
      <c r="BH1066" s="395"/>
      <c r="BI1066" s="395" t="e">
        <f t="shared" si="855"/>
        <v>#DIV/0!</v>
      </c>
    </row>
    <row r="1067" spans="1:61" s="358" customFormat="1" ht="19.2" x14ac:dyDescent="0.3">
      <c r="A1067" s="359" t="s">
        <v>1864</v>
      </c>
      <c r="B1067" s="572" t="s">
        <v>3629</v>
      </c>
      <c r="C1067" s="546" t="s">
        <v>2709</v>
      </c>
      <c r="D1067" s="360">
        <v>0.22</v>
      </c>
      <c r="E1067" s="393"/>
      <c r="F1067" s="523"/>
      <c r="G1067" s="393"/>
      <c r="H1067" s="573"/>
      <c r="I1067" s="394"/>
      <c r="J1067" s="394"/>
      <c r="K1067" s="394"/>
      <c r="L1067" s="394"/>
      <c r="M1067" s="394"/>
      <c r="N1067" s="394"/>
      <c r="O1067" s="394"/>
      <c r="P1067" s="394"/>
      <c r="Q1067" s="394"/>
      <c r="R1067" s="381"/>
      <c r="S1067" s="408"/>
      <c r="T1067" s="385"/>
      <c r="U1067" s="475"/>
      <c r="V1067" s="395"/>
      <c r="W1067" s="395"/>
      <c r="X1067" s="393"/>
      <c r="Y1067" s="523">
        <v>1</v>
      </c>
      <c r="Z1067" s="393"/>
      <c r="AA1067" s="573">
        <v>6.84457</v>
      </c>
      <c r="AB1067" s="394">
        <v>5.9576599999999997</v>
      </c>
      <c r="AC1067" s="394">
        <v>5.8152799999999996</v>
      </c>
      <c r="AD1067" s="394"/>
      <c r="AE1067" s="394"/>
      <c r="AF1067" s="394">
        <v>0</v>
      </c>
      <c r="AG1067" s="394">
        <v>0</v>
      </c>
      <c r="AH1067" s="394">
        <v>0.20676</v>
      </c>
      <c r="AI1067" s="394">
        <v>5.8152799999999996</v>
      </c>
      <c r="AJ1067" s="394"/>
      <c r="AK1067" s="381" t="s">
        <v>167</v>
      </c>
      <c r="AL1067" s="408" t="s">
        <v>175</v>
      </c>
      <c r="AM1067" s="385"/>
      <c r="AN1067" s="475">
        <v>617</v>
      </c>
      <c r="AO1067" s="395"/>
      <c r="AP1067" s="395">
        <f t="shared" si="856"/>
        <v>6.84457</v>
      </c>
      <c r="AQ1067" s="393"/>
      <c r="AR1067" s="523"/>
      <c r="AS1067" s="393"/>
      <c r="AT1067" s="573"/>
      <c r="AU1067" s="394"/>
      <c r="AV1067" s="394"/>
      <c r="AW1067" s="394"/>
      <c r="AX1067" s="394"/>
      <c r="AY1067" s="394"/>
      <c r="AZ1067" s="394"/>
      <c r="BA1067" s="394"/>
      <c r="BB1067" s="394"/>
      <c r="BC1067" s="394"/>
      <c r="BD1067" s="381"/>
      <c r="BE1067" s="408"/>
      <c r="BF1067" s="385"/>
      <c r="BG1067" s="475"/>
      <c r="BH1067" s="395"/>
      <c r="BI1067" s="395" t="e">
        <f t="shared" si="855"/>
        <v>#DIV/0!</v>
      </c>
    </row>
    <row r="1068" spans="1:61" s="358" customFormat="1" ht="19.2" x14ac:dyDescent="0.3">
      <c r="A1068" s="359" t="s">
        <v>1865</v>
      </c>
      <c r="B1068" s="572" t="s">
        <v>3630</v>
      </c>
      <c r="C1068" s="546" t="s">
        <v>2710</v>
      </c>
      <c r="D1068" s="360">
        <v>0.22</v>
      </c>
      <c r="E1068" s="393"/>
      <c r="F1068" s="523"/>
      <c r="G1068" s="393"/>
      <c r="H1068" s="573"/>
      <c r="I1068" s="394"/>
      <c r="J1068" s="394"/>
      <c r="K1068" s="394"/>
      <c r="L1068" s="394"/>
      <c r="M1068" s="394"/>
      <c r="N1068" s="394"/>
      <c r="O1068" s="394"/>
      <c r="P1068" s="394"/>
      <c r="Q1068" s="394"/>
      <c r="R1068" s="381"/>
      <c r="S1068" s="408"/>
      <c r="T1068" s="385"/>
      <c r="U1068" s="475"/>
      <c r="V1068" s="395"/>
      <c r="W1068" s="395"/>
      <c r="X1068" s="393"/>
      <c r="Y1068" s="523">
        <v>1</v>
      </c>
      <c r="Z1068" s="393"/>
      <c r="AA1068" s="573">
        <v>8.6379000000000001</v>
      </c>
      <c r="AB1068" s="394">
        <v>6.2148700000000003</v>
      </c>
      <c r="AC1068" s="394">
        <v>5.2083300000000001</v>
      </c>
      <c r="AD1068" s="394"/>
      <c r="AE1068" s="394"/>
      <c r="AF1068" s="394">
        <v>0</v>
      </c>
      <c r="AG1068" s="394">
        <v>0</v>
      </c>
      <c r="AH1068" s="394">
        <v>0.56488000000000005</v>
      </c>
      <c r="AI1068" s="394">
        <v>5.2083300000000001</v>
      </c>
      <c r="AJ1068" s="394"/>
      <c r="AK1068" s="381" t="s">
        <v>167</v>
      </c>
      <c r="AL1068" s="408" t="s">
        <v>175</v>
      </c>
      <c r="AM1068" s="385"/>
      <c r="AN1068" s="475">
        <v>618</v>
      </c>
      <c r="AO1068" s="395"/>
      <c r="AP1068" s="395">
        <f t="shared" si="856"/>
        <v>8.6379000000000001</v>
      </c>
      <c r="AQ1068" s="393"/>
      <c r="AR1068" s="523"/>
      <c r="AS1068" s="393"/>
      <c r="AT1068" s="573"/>
      <c r="AU1068" s="394"/>
      <c r="AV1068" s="394"/>
      <c r="AW1068" s="394"/>
      <c r="AX1068" s="394"/>
      <c r="AY1068" s="394"/>
      <c r="AZ1068" s="394"/>
      <c r="BA1068" s="394"/>
      <c r="BB1068" s="394"/>
      <c r="BC1068" s="394"/>
      <c r="BD1068" s="381"/>
      <c r="BE1068" s="408"/>
      <c r="BF1068" s="385"/>
      <c r="BG1068" s="475"/>
      <c r="BH1068" s="395"/>
      <c r="BI1068" s="395" t="e">
        <f t="shared" ref="BI1068:BI1131" si="857">AT1068/AR1068</f>
        <v>#DIV/0!</v>
      </c>
    </row>
    <row r="1069" spans="1:61" s="358" customFormat="1" ht="19.2" x14ac:dyDescent="0.3">
      <c r="A1069" s="359" t="s">
        <v>1866</v>
      </c>
      <c r="B1069" s="572" t="s">
        <v>3631</v>
      </c>
      <c r="C1069" s="546" t="s">
        <v>2711</v>
      </c>
      <c r="D1069" s="360">
        <v>0.22</v>
      </c>
      <c r="E1069" s="393"/>
      <c r="F1069" s="523"/>
      <c r="G1069" s="393"/>
      <c r="H1069" s="573"/>
      <c r="I1069" s="394"/>
      <c r="J1069" s="394"/>
      <c r="K1069" s="394"/>
      <c r="L1069" s="394"/>
      <c r="M1069" s="394"/>
      <c r="N1069" s="394"/>
      <c r="O1069" s="394"/>
      <c r="P1069" s="394"/>
      <c r="Q1069" s="394"/>
      <c r="R1069" s="381"/>
      <c r="S1069" s="408"/>
      <c r="T1069" s="385"/>
      <c r="U1069" s="475"/>
      <c r="V1069" s="395"/>
      <c r="W1069" s="395"/>
      <c r="X1069" s="393"/>
      <c r="Y1069" s="523">
        <v>1</v>
      </c>
      <c r="Z1069" s="393"/>
      <c r="AA1069" s="573">
        <v>9.2448800000000002</v>
      </c>
      <c r="AB1069" s="394">
        <v>6.8218500000000004</v>
      </c>
      <c r="AC1069" s="394">
        <v>5.8152799999999996</v>
      </c>
      <c r="AD1069" s="394"/>
      <c r="AE1069" s="394"/>
      <c r="AF1069" s="394">
        <v>0</v>
      </c>
      <c r="AG1069" s="394">
        <v>0</v>
      </c>
      <c r="AH1069" s="394">
        <v>0.56488000000000005</v>
      </c>
      <c r="AI1069" s="394">
        <v>5.8152799999999996</v>
      </c>
      <c r="AJ1069" s="394"/>
      <c r="AK1069" s="381" t="s">
        <v>167</v>
      </c>
      <c r="AL1069" s="408" t="s">
        <v>175</v>
      </c>
      <c r="AM1069" s="385"/>
      <c r="AN1069" s="475">
        <v>619</v>
      </c>
      <c r="AO1069" s="395"/>
      <c r="AP1069" s="395">
        <f t="shared" si="856"/>
        <v>9.2448800000000002</v>
      </c>
      <c r="AQ1069" s="393"/>
      <c r="AR1069" s="523"/>
      <c r="AS1069" s="393"/>
      <c r="AT1069" s="573"/>
      <c r="AU1069" s="394"/>
      <c r="AV1069" s="394"/>
      <c r="AW1069" s="394"/>
      <c r="AX1069" s="394"/>
      <c r="AY1069" s="394"/>
      <c r="AZ1069" s="394"/>
      <c r="BA1069" s="394"/>
      <c r="BB1069" s="394"/>
      <c r="BC1069" s="394"/>
      <c r="BD1069" s="381"/>
      <c r="BE1069" s="408"/>
      <c r="BF1069" s="385"/>
      <c r="BG1069" s="475"/>
      <c r="BH1069" s="395"/>
      <c r="BI1069" s="395" t="e">
        <f t="shared" si="857"/>
        <v>#DIV/0!</v>
      </c>
    </row>
    <row r="1070" spans="1:61" s="358" customFormat="1" ht="19.2" x14ac:dyDescent="0.3">
      <c r="A1070" s="359" t="s">
        <v>1867</v>
      </c>
      <c r="B1070" s="572" t="s">
        <v>3632</v>
      </c>
      <c r="C1070" s="546" t="s">
        <v>2712</v>
      </c>
      <c r="D1070" s="360">
        <v>0.22</v>
      </c>
      <c r="E1070" s="393"/>
      <c r="F1070" s="523"/>
      <c r="G1070" s="393"/>
      <c r="H1070" s="573"/>
      <c r="I1070" s="394"/>
      <c r="J1070" s="394"/>
      <c r="K1070" s="394"/>
      <c r="L1070" s="394"/>
      <c r="M1070" s="394"/>
      <c r="N1070" s="394"/>
      <c r="O1070" s="394"/>
      <c r="P1070" s="394"/>
      <c r="Q1070" s="394"/>
      <c r="R1070" s="381"/>
      <c r="S1070" s="408"/>
      <c r="T1070" s="385"/>
      <c r="U1070" s="475"/>
      <c r="V1070" s="395"/>
      <c r="W1070" s="395"/>
      <c r="X1070" s="393"/>
      <c r="Y1070" s="523">
        <v>1</v>
      </c>
      <c r="Z1070" s="393"/>
      <c r="AA1070" s="573">
        <v>9.1547400000000003</v>
      </c>
      <c r="AB1070" s="394">
        <v>6.7317099999999996</v>
      </c>
      <c r="AC1070" s="394">
        <v>5.8152799999999996</v>
      </c>
      <c r="AD1070" s="394"/>
      <c r="AE1070" s="394"/>
      <c r="AF1070" s="394">
        <v>0</v>
      </c>
      <c r="AG1070" s="394">
        <v>0</v>
      </c>
      <c r="AH1070" s="394">
        <v>0.56488000000000005</v>
      </c>
      <c r="AI1070" s="394">
        <v>5.8152799999999996</v>
      </c>
      <c r="AJ1070" s="394"/>
      <c r="AK1070" s="381" t="s">
        <v>167</v>
      </c>
      <c r="AL1070" s="408" t="s">
        <v>175</v>
      </c>
      <c r="AM1070" s="385"/>
      <c r="AN1070" s="475">
        <v>620</v>
      </c>
      <c r="AO1070" s="395"/>
      <c r="AP1070" s="395">
        <f t="shared" si="856"/>
        <v>9.1547400000000003</v>
      </c>
      <c r="AQ1070" s="393"/>
      <c r="AR1070" s="523"/>
      <c r="AS1070" s="393"/>
      <c r="AT1070" s="573"/>
      <c r="AU1070" s="394"/>
      <c r="AV1070" s="394"/>
      <c r="AW1070" s="394"/>
      <c r="AX1070" s="394"/>
      <c r="AY1070" s="394"/>
      <c r="AZ1070" s="394"/>
      <c r="BA1070" s="394"/>
      <c r="BB1070" s="394"/>
      <c r="BC1070" s="394"/>
      <c r="BD1070" s="381"/>
      <c r="BE1070" s="408"/>
      <c r="BF1070" s="385"/>
      <c r="BG1070" s="475"/>
      <c r="BH1070" s="395"/>
      <c r="BI1070" s="395" t="e">
        <f t="shared" si="857"/>
        <v>#DIV/0!</v>
      </c>
    </row>
    <row r="1071" spans="1:61" s="358" customFormat="1" ht="19.2" x14ac:dyDescent="0.3">
      <c r="A1071" s="359" t="s">
        <v>1868</v>
      </c>
      <c r="B1071" s="572" t="s">
        <v>3633</v>
      </c>
      <c r="C1071" s="546" t="s">
        <v>2713</v>
      </c>
      <c r="D1071" s="360">
        <v>0.22</v>
      </c>
      <c r="E1071" s="393"/>
      <c r="F1071" s="523"/>
      <c r="G1071" s="393"/>
      <c r="H1071" s="573"/>
      <c r="I1071" s="394"/>
      <c r="J1071" s="394"/>
      <c r="K1071" s="394"/>
      <c r="L1071" s="394"/>
      <c r="M1071" s="394"/>
      <c r="N1071" s="394"/>
      <c r="O1071" s="394"/>
      <c r="P1071" s="394"/>
      <c r="Q1071" s="394"/>
      <c r="R1071" s="381"/>
      <c r="S1071" s="408"/>
      <c r="T1071" s="385"/>
      <c r="U1071" s="475"/>
      <c r="V1071" s="395"/>
      <c r="W1071" s="395"/>
      <c r="X1071" s="393"/>
      <c r="Y1071" s="523">
        <v>1</v>
      </c>
      <c r="Z1071" s="393"/>
      <c r="AA1071" s="573">
        <v>6.84457</v>
      </c>
      <c r="AB1071" s="394">
        <v>5.9576599999999997</v>
      </c>
      <c r="AC1071" s="394">
        <v>5.8152799999999996</v>
      </c>
      <c r="AD1071" s="394"/>
      <c r="AE1071" s="394"/>
      <c r="AF1071" s="394">
        <v>0</v>
      </c>
      <c r="AG1071" s="394">
        <v>0</v>
      </c>
      <c r="AH1071" s="394">
        <v>0.20676</v>
      </c>
      <c r="AI1071" s="394">
        <v>5.8152799999999996</v>
      </c>
      <c r="AJ1071" s="394"/>
      <c r="AK1071" s="381" t="s">
        <v>167</v>
      </c>
      <c r="AL1071" s="408" t="s">
        <v>175</v>
      </c>
      <c r="AM1071" s="385"/>
      <c r="AN1071" s="475">
        <v>621</v>
      </c>
      <c r="AO1071" s="395"/>
      <c r="AP1071" s="395">
        <f t="shared" si="856"/>
        <v>6.84457</v>
      </c>
      <c r="AQ1071" s="393"/>
      <c r="AR1071" s="523"/>
      <c r="AS1071" s="393"/>
      <c r="AT1071" s="573"/>
      <c r="AU1071" s="394"/>
      <c r="AV1071" s="394"/>
      <c r="AW1071" s="394"/>
      <c r="AX1071" s="394"/>
      <c r="AY1071" s="394"/>
      <c r="AZ1071" s="394"/>
      <c r="BA1071" s="394"/>
      <c r="BB1071" s="394"/>
      <c r="BC1071" s="394"/>
      <c r="BD1071" s="381"/>
      <c r="BE1071" s="408"/>
      <c r="BF1071" s="385"/>
      <c r="BG1071" s="475"/>
      <c r="BH1071" s="395"/>
      <c r="BI1071" s="395" t="e">
        <f t="shared" si="857"/>
        <v>#DIV/0!</v>
      </c>
    </row>
    <row r="1072" spans="1:61" s="358" customFormat="1" ht="19.2" x14ac:dyDescent="0.3">
      <c r="A1072" s="359" t="s">
        <v>1885</v>
      </c>
      <c r="B1072" s="572" t="s">
        <v>3634</v>
      </c>
      <c r="C1072" s="546" t="s">
        <v>2714</v>
      </c>
      <c r="D1072" s="360">
        <v>0.22</v>
      </c>
      <c r="E1072" s="393"/>
      <c r="F1072" s="523"/>
      <c r="G1072" s="393"/>
      <c r="H1072" s="573"/>
      <c r="I1072" s="394"/>
      <c r="J1072" s="394"/>
      <c r="K1072" s="394"/>
      <c r="L1072" s="394"/>
      <c r="M1072" s="394"/>
      <c r="N1072" s="394"/>
      <c r="O1072" s="394"/>
      <c r="P1072" s="394"/>
      <c r="Q1072" s="394"/>
      <c r="R1072" s="381"/>
      <c r="S1072" s="408"/>
      <c r="T1072" s="385"/>
      <c r="U1072" s="475"/>
      <c r="V1072" s="395"/>
      <c r="W1072" s="395"/>
      <c r="X1072" s="393"/>
      <c r="Y1072" s="523">
        <v>1</v>
      </c>
      <c r="Z1072" s="393"/>
      <c r="AA1072" s="573">
        <v>14.04612</v>
      </c>
      <c r="AB1072" s="394">
        <v>11.54518</v>
      </c>
      <c r="AC1072" s="394">
        <v>5.8152699999999999</v>
      </c>
      <c r="AD1072" s="394"/>
      <c r="AE1072" s="394"/>
      <c r="AF1072" s="394">
        <v>0</v>
      </c>
      <c r="AG1072" s="394">
        <v>0</v>
      </c>
      <c r="AH1072" s="394">
        <v>0.58304</v>
      </c>
      <c r="AI1072" s="394">
        <v>5.8152699999999999</v>
      </c>
      <c r="AJ1072" s="394"/>
      <c r="AK1072" s="381" t="s">
        <v>167</v>
      </c>
      <c r="AL1072" s="408" t="s">
        <v>175</v>
      </c>
      <c r="AM1072" s="385"/>
      <c r="AN1072" s="475">
        <v>622</v>
      </c>
      <c r="AO1072" s="395"/>
      <c r="AP1072" s="395">
        <f t="shared" si="856"/>
        <v>14.04612</v>
      </c>
      <c r="AQ1072" s="393"/>
      <c r="AR1072" s="523"/>
      <c r="AS1072" s="393"/>
      <c r="AT1072" s="573"/>
      <c r="AU1072" s="394"/>
      <c r="AV1072" s="394"/>
      <c r="AW1072" s="394"/>
      <c r="AX1072" s="394"/>
      <c r="AY1072" s="394"/>
      <c r="AZ1072" s="394"/>
      <c r="BA1072" s="394"/>
      <c r="BB1072" s="394"/>
      <c r="BC1072" s="394"/>
      <c r="BD1072" s="381"/>
      <c r="BE1072" s="408"/>
      <c r="BF1072" s="385"/>
      <c r="BG1072" s="475"/>
      <c r="BH1072" s="395"/>
      <c r="BI1072" s="395" t="e">
        <f t="shared" si="857"/>
        <v>#DIV/0!</v>
      </c>
    </row>
    <row r="1073" spans="1:61" s="358" customFormat="1" ht="19.2" x14ac:dyDescent="0.3">
      <c r="A1073" s="359" t="s">
        <v>1870</v>
      </c>
      <c r="B1073" s="572" t="s">
        <v>658</v>
      </c>
      <c r="C1073" s="546" t="s">
        <v>2715</v>
      </c>
      <c r="D1073" s="360">
        <v>0.22</v>
      </c>
      <c r="E1073" s="393"/>
      <c r="F1073" s="523"/>
      <c r="G1073" s="393"/>
      <c r="H1073" s="573"/>
      <c r="I1073" s="394"/>
      <c r="J1073" s="394"/>
      <c r="K1073" s="394"/>
      <c r="L1073" s="394"/>
      <c r="M1073" s="394"/>
      <c r="N1073" s="394"/>
      <c r="O1073" s="394"/>
      <c r="P1073" s="394"/>
      <c r="Q1073" s="394"/>
      <c r="R1073" s="381"/>
      <c r="S1073" s="408"/>
      <c r="T1073" s="385"/>
      <c r="U1073" s="475"/>
      <c r="V1073" s="395"/>
      <c r="W1073" s="395"/>
      <c r="X1073" s="393"/>
      <c r="Y1073" s="523">
        <v>1</v>
      </c>
      <c r="Z1073" s="393"/>
      <c r="AA1073" s="573">
        <v>8.6378799999999991</v>
      </c>
      <c r="AB1073" s="394">
        <v>6.2148500000000002</v>
      </c>
      <c r="AC1073" s="394">
        <v>5.20831</v>
      </c>
      <c r="AD1073" s="394"/>
      <c r="AE1073" s="394"/>
      <c r="AF1073" s="394">
        <v>0</v>
      </c>
      <c r="AG1073" s="394">
        <v>0</v>
      </c>
      <c r="AH1073" s="394">
        <v>0.56488000000000005</v>
      </c>
      <c r="AI1073" s="394">
        <v>5.20831</v>
      </c>
      <c r="AJ1073" s="394"/>
      <c r="AK1073" s="381" t="s">
        <v>167</v>
      </c>
      <c r="AL1073" s="408" t="s">
        <v>175</v>
      </c>
      <c r="AM1073" s="385"/>
      <c r="AN1073" s="475">
        <v>623</v>
      </c>
      <c r="AO1073" s="395"/>
      <c r="AP1073" s="395">
        <f t="shared" si="856"/>
        <v>8.6378799999999991</v>
      </c>
      <c r="AQ1073" s="393"/>
      <c r="AR1073" s="523"/>
      <c r="AS1073" s="393"/>
      <c r="AT1073" s="573"/>
      <c r="AU1073" s="394"/>
      <c r="AV1073" s="394"/>
      <c r="AW1073" s="394"/>
      <c r="AX1073" s="394"/>
      <c r="AY1073" s="394"/>
      <c r="AZ1073" s="394"/>
      <c r="BA1073" s="394"/>
      <c r="BB1073" s="394"/>
      <c r="BC1073" s="394"/>
      <c r="BD1073" s="381"/>
      <c r="BE1073" s="408"/>
      <c r="BF1073" s="385"/>
      <c r="BG1073" s="475"/>
      <c r="BH1073" s="395"/>
      <c r="BI1073" s="395" t="e">
        <f t="shared" si="857"/>
        <v>#DIV/0!</v>
      </c>
    </row>
    <row r="1074" spans="1:61" s="358" customFormat="1" ht="19.2" x14ac:dyDescent="0.3">
      <c r="A1074" s="359" t="s">
        <v>1871</v>
      </c>
      <c r="B1074" s="572" t="s">
        <v>658</v>
      </c>
      <c r="C1074" s="546" t="s">
        <v>2716</v>
      </c>
      <c r="D1074" s="360">
        <v>0.22</v>
      </c>
      <c r="E1074" s="393"/>
      <c r="F1074" s="523"/>
      <c r="G1074" s="393"/>
      <c r="H1074" s="573"/>
      <c r="I1074" s="394"/>
      <c r="J1074" s="394"/>
      <c r="K1074" s="394"/>
      <c r="L1074" s="394"/>
      <c r="M1074" s="394"/>
      <c r="N1074" s="394"/>
      <c r="O1074" s="394"/>
      <c r="P1074" s="394"/>
      <c r="Q1074" s="394"/>
      <c r="R1074" s="381"/>
      <c r="S1074" s="408"/>
      <c r="T1074" s="385"/>
      <c r="U1074" s="475"/>
      <c r="V1074" s="395"/>
      <c r="W1074" s="395"/>
      <c r="X1074" s="393"/>
      <c r="Y1074" s="523">
        <v>1</v>
      </c>
      <c r="Z1074" s="393"/>
      <c r="AA1074" s="573">
        <v>8.6378799999999991</v>
      </c>
      <c r="AB1074" s="394">
        <v>6.2148500000000002</v>
      </c>
      <c r="AC1074" s="394">
        <v>5.20831</v>
      </c>
      <c r="AD1074" s="394"/>
      <c r="AE1074" s="394"/>
      <c r="AF1074" s="394">
        <v>0</v>
      </c>
      <c r="AG1074" s="394">
        <v>0</v>
      </c>
      <c r="AH1074" s="394">
        <v>0.56488000000000005</v>
      </c>
      <c r="AI1074" s="394">
        <v>5.20831</v>
      </c>
      <c r="AJ1074" s="394"/>
      <c r="AK1074" s="381" t="s">
        <v>167</v>
      </c>
      <c r="AL1074" s="408" t="s">
        <v>175</v>
      </c>
      <c r="AM1074" s="385"/>
      <c r="AN1074" s="475">
        <v>624</v>
      </c>
      <c r="AO1074" s="395"/>
      <c r="AP1074" s="395">
        <f t="shared" si="856"/>
        <v>8.6378799999999991</v>
      </c>
      <c r="AQ1074" s="393"/>
      <c r="AR1074" s="523"/>
      <c r="AS1074" s="393"/>
      <c r="AT1074" s="573"/>
      <c r="AU1074" s="394"/>
      <c r="AV1074" s="394"/>
      <c r="AW1074" s="394"/>
      <c r="AX1074" s="394"/>
      <c r="AY1074" s="394"/>
      <c r="AZ1074" s="394"/>
      <c r="BA1074" s="394"/>
      <c r="BB1074" s="394"/>
      <c r="BC1074" s="394"/>
      <c r="BD1074" s="381"/>
      <c r="BE1074" s="408"/>
      <c r="BF1074" s="385"/>
      <c r="BG1074" s="475"/>
      <c r="BH1074" s="395"/>
      <c r="BI1074" s="395" t="e">
        <f t="shared" si="857"/>
        <v>#DIV/0!</v>
      </c>
    </row>
    <row r="1075" spans="1:61" s="358" customFormat="1" ht="19.2" x14ac:dyDescent="0.3">
      <c r="A1075" s="359" t="s">
        <v>407</v>
      </c>
      <c r="B1075" s="572" t="s">
        <v>3635</v>
      </c>
      <c r="C1075" s="546" t="s">
        <v>2717</v>
      </c>
      <c r="D1075" s="360">
        <v>0.22</v>
      </c>
      <c r="E1075" s="393"/>
      <c r="F1075" s="523"/>
      <c r="G1075" s="393"/>
      <c r="H1075" s="573"/>
      <c r="I1075" s="394"/>
      <c r="J1075" s="394"/>
      <c r="K1075" s="394"/>
      <c r="L1075" s="394"/>
      <c r="M1075" s="394"/>
      <c r="N1075" s="394"/>
      <c r="O1075" s="394"/>
      <c r="P1075" s="394"/>
      <c r="Q1075" s="394"/>
      <c r="R1075" s="381"/>
      <c r="S1075" s="408"/>
      <c r="T1075" s="385"/>
      <c r="U1075" s="475"/>
      <c r="V1075" s="395"/>
      <c r="W1075" s="395"/>
      <c r="X1075" s="393"/>
      <c r="Y1075" s="523">
        <v>1</v>
      </c>
      <c r="Z1075" s="393"/>
      <c r="AA1075" s="573">
        <v>6.84457</v>
      </c>
      <c r="AB1075" s="394">
        <v>5.9576599999999997</v>
      </c>
      <c r="AC1075" s="394">
        <v>5.8152799999999996</v>
      </c>
      <c r="AD1075" s="394"/>
      <c r="AE1075" s="394"/>
      <c r="AF1075" s="394">
        <v>0</v>
      </c>
      <c r="AG1075" s="394">
        <v>0</v>
      </c>
      <c r="AH1075" s="394">
        <v>0.20676</v>
      </c>
      <c r="AI1075" s="394">
        <v>5.8152799999999996</v>
      </c>
      <c r="AJ1075" s="394"/>
      <c r="AK1075" s="381" t="s">
        <v>167</v>
      </c>
      <c r="AL1075" s="408" t="s">
        <v>175</v>
      </c>
      <c r="AM1075" s="385"/>
      <c r="AN1075" s="475">
        <v>625</v>
      </c>
      <c r="AO1075" s="395"/>
      <c r="AP1075" s="395">
        <f t="shared" si="856"/>
        <v>6.84457</v>
      </c>
      <c r="AQ1075" s="393"/>
      <c r="AR1075" s="523"/>
      <c r="AS1075" s="393"/>
      <c r="AT1075" s="573"/>
      <c r="AU1075" s="394"/>
      <c r="AV1075" s="394"/>
      <c r="AW1075" s="394"/>
      <c r="AX1075" s="394"/>
      <c r="AY1075" s="394"/>
      <c r="AZ1075" s="394"/>
      <c r="BA1075" s="394"/>
      <c r="BB1075" s="394"/>
      <c r="BC1075" s="394"/>
      <c r="BD1075" s="381"/>
      <c r="BE1075" s="408"/>
      <c r="BF1075" s="385"/>
      <c r="BG1075" s="475"/>
      <c r="BH1075" s="395"/>
      <c r="BI1075" s="395" t="e">
        <f t="shared" si="857"/>
        <v>#DIV/0!</v>
      </c>
    </row>
    <row r="1076" spans="1:61" s="358" customFormat="1" ht="19.2" x14ac:dyDescent="0.3">
      <c r="A1076" s="359" t="s">
        <v>1889</v>
      </c>
      <c r="B1076" s="572" t="s">
        <v>3636</v>
      </c>
      <c r="C1076" s="546" t="s">
        <v>2718</v>
      </c>
      <c r="D1076" s="360">
        <v>0.22</v>
      </c>
      <c r="E1076" s="393"/>
      <c r="F1076" s="523"/>
      <c r="G1076" s="393"/>
      <c r="H1076" s="573"/>
      <c r="I1076" s="394"/>
      <c r="J1076" s="394"/>
      <c r="K1076" s="394"/>
      <c r="L1076" s="394"/>
      <c r="M1076" s="394"/>
      <c r="N1076" s="394"/>
      <c r="O1076" s="394"/>
      <c r="P1076" s="394"/>
      <c r="Q1076" s="394"/>
      <c r="R1076" s="381"/>
      <c r="S1076" s="408"/>
      <c r="T1076" s="385"/>
      <c r="U1076" s="475"/>
      <c r="V1076" s="395"/>
      <c r="W1076" s="395"/>
      <c r="X1076" s="393"/>
      <c r="Y1076" s="523">
        <v>1</v>
      </c>
      <c r="Z1076" s="393"/>
      <c r="AA1076" s="573">
        <v>6.84457</v>
      </c>
      <c r="AB1076" s="394">
        <v>5.9576599999999997</v>
      </c>
      <c r="AC1076" s="394">
        <v>5.8152799999999996</v>
      </c>
      <c r="AD1076" s="394"/>
      <c r="AE1076" s="394"/>
      <c r="AF1076" s="394">
        <v>0</v>
      </c>
      <c r="AG1076" s="394">
        <v>0</v>
      </c>
      <c r="AH1076" s="394">
        <v>0.20676</v>
      </c>
      <c r="AI1076" s="394">
        <v>5.8152799999999996</v>
      </c>
      <c r="AJ1076" s="394"/>
      <c r="AK1076" s="381" t="s">
        <v>167</v>
      </c>
      <c r="AL1076" s="408" t="s">
        <v>175</v>
      </c>
      <c r="AM1076" s="385"/>
      <c r="AN1076" s="475">
        <v>626</v>
      </c>
      <c r="AO1076" s="395"/>
      <c r="AP1076" s="395">
        <f t="shared" si="856"/>
        <v>6.84457</v>
      </c>
      <c r="AQ1076" s="393"/>
      <c r="AR1076" s="523"/>
      <c r="AS1076" s="393"/>
      <c r="AT1076" s="573"/>
      <c r="AU1076" s="394"/>
      <c r="AV1076" s="394"/>
      <c r="AW1076" s="394"/>
      <c r="AX1076" s="394"/>
      <c r="AY1076" s="394"/>
      <c r="AZ1076" s="394"/>
      <c r="BA1076" s="394"/>
      <c r="BB1076" s="394"/>
      <c r="BC1076" s="394"/>
      <c r="BD1076" s="381"/>
      <c r="BE1076" s="408"/>
      <c r="BF1076" s="385"/>
      <c r="BG1076" s="475"/>
      <c r="BH1076" s="395"/>
      <c r="BI1076" s="395" t="e">
        <f t="shared" si="857"/>
        <v>#DIV/0!</v>
      </c>
    </row>
    <row r="1077" spans="1:61" s="358" customFormat="1" ht="19.2" x14ac:dyDescent="0.3">
      <c r="A1077" s="359" t="s">
        <v>1874</v>
      </c>
      <c r="B1077" s="572" t="s">
        <v>3637</v>
      </c>
      <c r="C1077" s="546" t="s">
        <v>2719</v>
      </c>
      <c r="D1077" s="360">
        <v>0.22</v>
      </c>
      <c r="E1077" s="393"/>
      <c r="F1077" s="523"/>
      <c r="G1077" s="393"/>
      <c r="H1077" s="573"/>
      <c r="I1077" s="394"/>
      <c r="J1077" s="394"/>
      <c r="K1077" s="394"/>
      <c r="L1077" s="394"/>
      <c r="M1077" s="394"/>
      <c r="N1077" s="394"/>
      <c r="O1077" s="394"/>
      <c r="P1077" s="394"/>
      <c r="Q1077" s="394"/>
      <c r="R1077" s="381"/>
      <c r="S1077" s="408"/>
      <c r="T1077" s="385"/>
      <c r="U1077" s="475"/>
      <c r="V1077" s="395"/>
      <c r="W1077" s="395"/>
      <c r="X1077" s="393"/>
      <c r="Y1077" s="523">
        <v>1</v>
      </c>
      <c r="Z1077" s="393"/>
      <c r="AA1077" s="573">
        <v>6.84457</v>
      </c>
      <c r="AB1077" s="394">
        <v>5.9576599999999997</v>
      </c>
      <c r="AC1077" s="394">
        <v>5.8152799999999996</v>
      </c>
      <c r="AD1077" s="394"/>
      <c r="AE1077" s="394"/>
      <c r="AF1077" s="394">
        <v>0</v>
      </c>
      <c r="AG1077" s="394">
        <v>0</v>
      </c>
      <c r="AH1077" s="394">
        <v>0.20676</v>
      </c>
      <c r="AI1077" s="394">
        <v>5.8152799999999996</v>
      </c>
      <c r="AJ1077" s="394"/>
      <c r="AK1077" s="381" t="s">
        <v>167</v>
      </c>
      <c r="AL1077" s="408" t="s">
        <v>175</v>
      </c>
      <c r="AM1077" s="385"/>
      <c r="AN1077" s="475">
        <v>627</v>
      </c>
      <c r="AO1077" s="395"/>
      <c r="AP1077" s="395">
        <f t="shared" si="856"/>
        <v>6.84457</v>
      </c>
      <c r="AQ1077" s="393"/>
      <c r="AR1077" s="523"/>
      <c r="AS1077" s="393"/>
      <c r="AT1077" s="573"/>
      <c r="AU1077" s="394"/>
      <c r="AV1077" s="394"/>
      <c r="AW1077" s="394"/>
      <c r="AX1077" s="394"/>
      <c r="AY1077" s="394"/>
      <c r="AZ1077" s="394"/>
      <c r="BA1077" s="394"/>
      <c r="BB1077" s="394"/>
      <c r="BC1077" s="394"/>
      <c r="BD1077" s="381"/>
      <c r="BE1077" s="408"/>
      <c r="BF1077" s="385"/>
      <c r="BG1077" s="475"/>
      <c r="BH1077" s="395"/>
      <c r="BI1077" s="395" t="e">
        <f t="shared" si="857"/>
        <v>#DIV/0!</v>
      </c>
    </row>
    <row r="1078" spans="1:61" s="358" customFormat="1" ht="19.2" x14ac:dyDescent="0.3">
      <c r="A1078" s="359" t="s">
        <v>1875</v>
      </c>
      <c r="B1078" s="572" t="s">
        <v>3638</v>
      </c>
      <c r="C1078" s="546" t="s">
        <v>2720</v>
      </c>
      <c r="D1078" s="360">
        <v>0.22</v>
      </c>
      <c r="E1078" s="393"/>
      <c r="F1078" s="523"/>
      <c r="G1078" s="393"/>
      <c r="H1078" s="573"/>
      <c r="I1078" s="394"/>
      <c r="J1078" s="394"/>
      <c r="K1078" s="394"/>
      <c r="L1078" s="394"/>
      <c r="M1078" s="394"/>
      <c r="N1078" s="394"/>
      <c r="O1078" s="394"/>
      <c r="P1078" s="394"/>
      <c r="Q1078" s="394"/>
      <c r="R1078" s="381"/>
      <c r="S1078" s="408"/>
      <c r="T1078" s="385"/>
      <c r="U1078" s="475"/>
      <c r="V1078" s="395"/>
      <c r="W1078" s="395"/>
      <c r="X1078" s="393"/>
      <c r="Y1078" s="523">
        <v>1</v>
      </c>
      <c r="Z1078" s="393"/>
      <c r="AA1078" s="573">
        <v>6.84457</v>
      </c>
      <c r="AB1078" s="394">
        <v>5.9576599999999997</v>
      </c>
      <c r="AC1078" s="394">
        <v>5.8152799999999996</v>
      </c>
      <c r="AD1078" s="394"/>
      <c r="AE1078" s="394"/>
      <c r="AF1078" s="394">
        <v>0</v>
      </c>
      <c r="AG1078" s="394">
        <v>0</v>
      </c>
      <c r="AH1078" s="394">
        <v>0.20676</v>
      </c>
      <c r="AI1078" s="394">
        <v>5.8152799999999996</v>
      </c>
      <c r="AJ1078" s="394"/>
      <c r="AK1078" s="381" t="s">
        <v>167</v>
      </c>
      <c r="AL1078" s="408" t="s">
        <v>175</v>
      </c>
      <c r="AM1078" s="385"/>
      <c r="AN1078" s="475">
        <v>628</v>
      </c>
      <c r="AO1078" s="395"/>
      <c r="AP1078" s="395">
        <f t="shared" si="856"/>
        <v>6.84457</v>
      </c>
      <c r="AQ1078" s="393"/>
      <c r="AR1078" s="523"/>
      <c r="AS1078" s="393"/>
      <c r="AT1078" s="573"/>
      <c r="AU1078" s="394"/>
      <c r="AV1078" s="394"/>
      <c r="AW1078" s="394"/>
      <c r="AX1078" s="394"/>
      <c r="AY1078" s="394"/>
      <c r="AZ1078" s="394"/>
      <c r="BA1078" s="394"/>
      <c r="BB1078" s="394"/>
      <c r="BC1078" s="394"/>
      <c r="BD1078" s="381"/>
      <c r="BE1078" s="408"/>
      <c r="BF1078" s="385"/>
      <c r="BG1078" s="475"/>
      <c r="BH1078" s="395"/>
      <c r="BI1078" s="395" t="e">
        <f t="shared" si="857"/>
        <v>#DIV/0!</v>
      </c>
    </row>
    <row r="1079" spans="1:61" s="358" customFormat="1" ht="19.2" x14ac:dyDescent="0.3">
      <c r="A1079" s="359" t="s">
        <v>1876</v>
      </c>
      <c r="B1079" s="572" t="s">
        <v>3639</v>
      </c>
      <c r="C1079" s="546" t="s">
        <v>2721</v>
      </c>
      <c r="D1079" s="360">
        <v>0.22</v>
      </c>
      <c r="E1079" s="393"/>
      <c r="F1079" s="523"/>
      <c r="G1079" s="393"/>
      <c r="H1079" s="573"/>
      <c r="I1079" s="394"/>
      <c r="J1079" s="394"/>
      <c r="K1079" s="394"/>
      <c r="L1079" s="394"/>
      <c r="M1079" s="394"/>
      <c r="N1079" s="394"/>
      <c r="O1079" s="394"/>
      <c r="P1079" s="394"/>
      <c r="Q1079" s="394"/>
      <c r="R1079" s="381"/>
      <c r="S1079" s="408"/>
      <c r="T1079" s="385"/>
      <c r="U1079" s="475"/>
      <c r="V1079" s="395"/>
      <c r="W1079" s="395"/>
      <c r="X1079" s="393"/>
      <c r="Y1079" s="523">
        <v>1</v>
      </c>
      <c r="Z1079" s="393"/>
      <c r="AA1079" s="573">
        <v>6.84457</v>
      </c>
      <c r="AB1079" s="394">
        <v>5.9576599999999997</v>
      </c>
      <c r="AC1079" s="394">
        <v>5.8152799999999996</v>
      </c>
      <c r="AD1079" s="394"/>
      <c r="AE1079" s="394"/>
      <c r="AF1079" s="394">
        <v>0</v>
      </c>
      <c r="AG1079" s="394">
        <v>0</v>
      </c>
      <c r="AH1079" s="394">
        <v>0.20676</v>
      </c>
      <c r="AI1079" s="394">
        <v>5.8152799999999996</v>
      </c>
      <c r="AJ1079" s="394"/>
      <c r="AK1079" s="381" t="s">
        <v>167</v>
      </c>
      <c r="AL1079" s="408" t="s">
        <v>175</v>
      </c>
      <c r="AM1079" s="385"/>
      <c r="AN1079" s="475">
        <v>629</v>
      </c>
      <c r="AO1079" s="395"/>
      <c r="AP1079" s="395">
        <f t="shared" si="856"/>
        <v>6.84457</v>
      </c>
      <c r="AQ1079" s="393"/>
      <c r="AR1079" s="523"/>
      <c r="AS1079" s="393"/>
      <c r="AT1079" s="573"/>
      <c r="AU1079" s="394"/>
      <c r="AV1079" s="394"/>
      <c r="AW1079" s="394"/>
      <c r="AX1079" s="394"/>
      <c r="AY1079" s="394"/>
      <c r="AZ1079" s="394"/>
      <c r="BA1079" s="394"/>
      <c r="BB1079" s="394"/>
      <c r="BC1079" s="394"/>
      <c r="BD1079" s="381"/>
      <c r="BE1079" s="408"/>
      <c r="BF1079" s="385"/>
      <c r="BG1079" s="475"/>
      <c r="BH1079" s="395"/>
      <c r="BI1079" s="395" t="e">
        <f t="shared" si="857"/>
        <v>#DIV/0!</v>
      </c>
    </row>
    <row r="1080" spans="1:61" s="358" customFormat="1" ht="19.2" x14ac:dyDescent="0.3">
      <c r="A1080" s="359" t="s">
        <v>1877</v>
      </c>
      <c r="B1080" s="572" t="s">
        <v>3640</v>
      </c>
      <c r="C1080" s="546" t="s">
        <v>2722</v>
      </c>
      <c r="D1080" s="360">
        <v>0.22</v>
      </c>
      <c r="E1080" s="393"/>
      <c r="F1080" s="523"/>
      <c r="G1080" s="393"/>
      <c r="H1080" s="573"/>
      <c r="I1080" s="394"/>
      <c r="J1080" s="394"/>
      <c r="K1080" s="394"/>
      <c r="L1080" s="394"/>
      <c r="M1080" s="394"/>
      <c r="N1080" s="394"/>
      <c r="O1080" s="394"/>
      <c r="P1080" s="394"/>
      <c r="Q1080" s="394"/>
      <c r="R1080" s="381"/>
      <c r="S1080" s="408"/>
      <c r="T1080" s="385"/>
      <c r="U1080" s="475"/>
      <c r="V1080" s="395"/>
      <c r="W1080" s="395"/>
      <c r="X1080" s="393"/>
      <c r="Y1080" s="523">
        <v>1</v>
      </c>
      <c r="Z1080" s="393"/>
      <c r="AA1080" s="573">
        <v>6.7109500000000004</v>
      </c>
      <c r="AB1080" s="394">
        <v>6.2652900000000002</v>
      </c>
      <c r="AC1080" s="394">
        <v>5.8928399999999996</v>
      </c>
      <c r="AD1080" s="394"/>
      <c r="AE1080" s="394"/>
      <c r="AF1080" s="394">
        <v>0</v>
      </c>
      <c r="AG1080" s="394">
        <v>0</v>
      </c>
      <c r="AH1080" s="394">
        <v>0.10390000000000001</v>
      </c>
      <c r="AI1080" s="394">
        <v>5.8928399999999996</v>
      </c>
      <c r="AJ1080" s="394"/>
      <c r="AK1080" s="381" t="s">
        <v>167</v>
      </c>
      <c r="AL1080" s="408" t="s">
        <v>175</v>
      </c>
      <c r="AM1080" s="385"/>
      <c r="AN1080" s="475">
        <v>630</v>
      </c>
      <c r="AO1080" s="395"/>
      <c r="AP1080" s="395">
        <f t="shared" si="856"/>
        <v>6.7109500000000004</v>
      </c>
      <c r="AQ1080" s="393"/>
      <c r="AR1080" s="523"/>
      <c r="AS1080" s="393"/>
      <c r="AT1080" s="573"/>
      <c r="AU1080" s="394"/>
      <c r="AV1080" s="394"/>
      <c r="AW1080" s="394"/>
      <c r="AX1080" s="394"/>
      <c r="AY1080" s="394"/>
      <c r="AZ1080" s="394"/>
      <c r="BA1080" s="394"/>
      <c r="BB1080" s="394"/>
      <c r="BC1080" s="394"/>
      <c r="BD1080" s="381"/>
      <c r="BE1080" s="408"/>
      <c r="BF1080" s="385"/>
      <c r="BG1080" s="475"/>
      <c r="BH1080" s="395"/>
      <c r="BI1080" s="395" t="e">
        <f t="shared" si="857"/>
        <v>#DIV/0!</v>
      </c>
    </row>
    <row r="1081" spans="1:61" s="358" customFormat="1" ht="19.2" x14ac:dyDescent="0.3">
      <c r="A1081" s="359" t="s">
        <v>1878</v>
      </c>
      <c r="B1081" s="572" t="s">
        <v>3641</v>
      </c>
      <c r="C1081" s="546" t="s">
        <v>2723</v>
      </c>
      <c r="D1081" s="360">
        <v>0.22</v>
      </c>
      <c r="E1081" s="393"/>
      <c r="F1081" s="523"/>
      <c r="G1081" s="393"/>
      <c r="H1081" s="573"/>
      <c r="I1081" s="394"/>
      <c r="J1081" s="394"/>
      <c r="K1081" s="394"/>
      <c r="L1081" s="394"/>
      <c r="M1081" s="394"/>
      <c r="N1081" s="394"/>
      <c r="O1081" s="394"/>
      <c r="P1081" s="394"/>
      <c r="Q1081" s="394"/>
      <c r="R1081" s="381"/>
      <c r="S1081" s="408"/>
      <c r="T1081" s="385"/>
      <c r="U1081" s="475"/>
      <c r="V1081" s="395"/>
      <c r="W1081" s="395"/>
      <c r="X1081" s="393"/>
      <c r="Y1081" s="523">
        <v>1</v>
      </c>
      <c r="Z1081" s="393"/>
      <c r="AA1081" s="573">
        <v>6.7109500000000004</v>
      </c>
      <c r="AB1081" s="394">
        <v>6.2652900000000002</v>
      </c>
      <c r="AC1081" s="394">
        <v>5.8928399999999996</v>
      </c>
      <c r="AD1081" s="394"/>
      <c r="AE1081" s="394"/>
      <c r="AF1081" s="394">
        <v>0</v>
      </c>
      <c r="AG1081" s="394">
        <v>0</v>
      </c>
      <c r="AH1081" s="394">
        <v>0.10390000000000001</v>
      </c>
      <c r="AI1081" s="394">
        <v>5.8928399999999996</v>
      </c>
      <c r="AJ1081" s="394"/>
      <c r="AK1081" s="381" t="s">
        <v>167</v>
      </c>
      <c r="AL1081" s="408" t="s">
        <v>175</v>
      </c>
      <c r="AM1081" s="385"/>
      <c r="AN1081" s="475">
        <v>631</v>
      </c>
      <c r="AO1081" s="395"/>
      <c r="AP1081" s="395">
        <f t="shared" si="856"/>
        <v>6.7109500000000004</v>
      </c>
      <c r="AQ1081" s="393"/>
      <c r="AR1081" s="523"/>
      <c r="AS1081" s="393"/>
      <c r="AT1081" s="573"/>
      <c r="AU1081" s="394"/>
      <c r="AV1081" s="394"/>
      <c r="AW1081" s="394"/>
      <c r="AX1081" s="394"/>
      <c r="AY1081" s="394"/>
      <c r="AZ1081" s="394"/>
      <c r="BA1081" s="394"/>
      <c r="BB1081" s="394"/>
      <c r="BC1081" s="394"/>
      <c r="BD1081" s="381"/>
      <c r="BE1081" s="408"/>
      <c r="BF1081" s="385"/>
      <c r="BG1081" s="475"/>
      <c r="BH1081" s="395"/>
      <c r="BI1081" s="395" t="e">
        <f t="shared" si="857"/>
        <v>#DIV/0!</v>
      </c>
    </row>
    <row r="1082" spans="1:61" s="358" customFormat="1" ht="19.2" x14ac:dyDescent="0.3">
      <c r="A1082" s="359" t="s">
        <v>1879</v>
      </c>
      <c r="B1082" s="572" t="s">
        <v>3642</v>
      </c>
      <c r="C1082" s="546" t="s">
        <v>2724</v>
      </c>
      <c r="D1082" s="360">
        <v>0.22</v>
      </c>
      <c r="E1082" s="393"/>
      <c r="F1082" s="523"/>
      <c r="G1082" s="393"/>
      <c r="H1082" s="573"/>
      <c r="I1082" s="394"/>
      <c r="J1082" s="394"/>
      <c r="K1082" s="394"/>
      <c r="L1082" s="394"/>
      <c r="M1082" s="394"/>
      <c r="N1082" s="394"/>
      <c r="O1082" s="394"/>
      <c r="P1082" s="394"/>
      <c r="Q1082" s="394"/>
      <c r="R1082" s="381"/>
      <c r="S1082" s="408"/>
      <c r="T1082" s="385"/>
      <c r="U1082" s="475"/>
      <c r="V1082" s="395"/>
      <c r="W1082" s="395"/>
      <c r="X1082" s="393"/>
      <c r="Y1082" s="523">
        <v>1</v>
      </c>
      <c r="Z1082" s="393"/>
      <c r="AA1082" s="573">
        <v>8.94984</v>
      </c>
      <c r="AB1082" s="394">
        <v>6.1880499999999996</v>
      </c>
      <c r="AC1082" s="394">
        <v>5.20831</v>
      </c>
      <c r="AD1082" s="394"/>
      <c r="AE1082" s="394"/>
      <c r="AF1082" s="394">
        <v>0</v>
      </c>
      <c r="AG1082" s="394">
        <v>0</v>
      </c>
      <c r="AH1082" s="394">
        <v>0.64385000000000003</v>
      </c>
      <c r="AI1082" s="394">
        <v>5.20831</v>
      </c>
      <c r="AJ1082" s="394"/>
      <c r="AK1082" s="381" t="s">
        <v>167</v>
      </c>
      <c r="AL1082" s="408" t="s">
        <v>175</v>
      </c>
      <c r="AM1082" s="385"/>
      <c r="AN1082" s="475">
        <v>632</v>
      </c>
      <c r="AO1082" s="395"/>
      <c r="AP1082" s="395">
        <f t="shared" si="856"/>
        <v>8.94984</v>
      </c>
      <c r="AQ1082" s="393"/>
      <c r="AR1082" s="523"/>
      <c r="AS1082" s="393"/>
      <c r="AT1082" s="573"/>
      <c r="AU1082" s="394"/>
      <c r="AV1082" s="394"/>
      <c r="AW1082" s="394"/>
      <c r="AX1082" s="394"/>
      <c r="AY1082" s="394"/>
      <c r="AZ1082" s="394"/>
      <c r="BA1082" s="394"/>
      <c r="BB1082" s="394"/>
      <c r="BC1082" s="394"/>
      <c r="BD1082" s="381"/>
      <c r="BE1082" s="408"/>
      <c r="BF1082" s="385"/>
      <c r="BG1082" s="475"/>
      <c r="BH1082" s="395"/>
      <c r="BI1082" s="395" t="e">
        <f t="shared" si="857"/>
        <v>#DIV/0!</v>
      </c>
    </row>
    <row r="1083" spans="1:61" s="358" customFormat="1" ht="19.2" x14ac:dyDescent="0.3">
      <c r="A1083" s="359" t="s">
        <v>1880</v>
      </c>
      <c r="B1083" s="572" t="s">
        <v>3643</v>
      </c>
      <c r="C1083" s="546" t="s">
        <v>2725</v>
      </c>
      <c r="D1083" s="360">
        <v>0.22</v>
      </c>
      <c r="E1083" s="393"/>
      <c r="F1083" s="523"/>
      <c r="G1083" s="393"/>
      <c r="H1083" s="573"/>
      <c r="I1083" s="394"/>
      <c r="J1083" s="394"/>
      <c r="K1083" s="394"/>
      <c r="L1083" s="394"/>
      <c r="M1083" s="394"/>
      <c r="N1083" s="394"/>
      <c r="O1083" s="394"/>
      <c r="P1083" s="394"/>
      <c r="Q1083" s="394"/>
      <c r="R1083" s="381"/>
      <c r="S1083" s="408"/>
      <c r="T1083" s="385"/>
      <c r="U1083" s="475"/>
      <c r="V1083" s="395"/>
      <c r="W1083" s="395"/>
      <c r="X1083" s="393"/>
      <c r="Y1083" s="523">
        <v>1</v>
      </c>
      <c r="Z1083" s="393"/>
      <c r="AA1083" s="573">
        <v>8.94984</v>
      </c>
      <c r="AB1083" s="394">
        <v>6.1880499999999996</v>
      </c>
      <c r="AC1083" s="394">
        <v>5.20831</v>
      </c>
      <c r="AD1083" s="394"/>
      <c r="AE1083" s="394"/>
      <c r="AF1083" s="394">
        <v>0</v>
      </c>
      <c r="AG1083" s="394">
        <v>0</v>
      </c>
      <c r="AH1083" s="394">
        <v>0.64385000000000003</v>
      </c>
      <c r="AI1083" s="394">
        <v>5.20831</v>
      </c>
      <c r="AJ1083" s="394"/>
      <c r="AK1083" s="381" t="s">
        <v>167</v>
      </c>
      <c r="AL1083" s="408" t="s">
        <v>175</v>
      </c>
      <c r="AM1083" s="385"/>
      <c r="AN1083" s="475">
        <v>633</v>
      </c>
      <c r="AO1083" s="395"/>
      <c r="AP1083" s="395">
        <f t="shared" si="856"/>
        <v>8.94984</v>
      </c>
      <c r="AQ1083" s="393"/>
      <c r="AR1083" s="523"/>
      <c r="AS1083" s="393"/>
      <c r="AT1083" s="573"/>
      <c r="AU1083" s="394"/>
      <c r="AV1083" s="394"/>
      <c r="AW1083" s="394"/>
      <c r="AX1083" s="394"/>
      <c r="AY1083" s="394"/>
      <c r="AZ1083" s="394"/>
      <c r="BA1083" s="394"/>
      <c r="BB1083" s="394"/>
      <c r="BC1083" s="394"/>
      <c r="BD1083" s="381"/>
      <c r="BE1083" s="408"/>
      <c r="BF1083" s="385"/>
      <c r="BG1083" s="475"/>
      <c r="BH1083" s="395"/>
      <c r="BI1083" s="395" t="e">
        <f t="shared" si="857"/>
        <v>#DIV/0!</v>
      </c>
    </row>
    <row r="1084" spans="1:61" s="358" customFormat="1" ht="19.2" x14ac:dyDescent="0.3">
      <c r="A1084" s="359" t="s">
        <v>1881</v>
      </c>
      <c r="B1084" s="572" t="s">
        <v>3644</v>
      </c>
      <c r="C1084" s="546" t="s">
        <v>2726</v>
      </c>
      <c r="D1084" s="360">
        <v>0.22</v>
      </c>
      <c r="E1084" s="393"/>
      <c r="F1084" s="523"/>
      <c r="G1084" s="393"/>
      <c r="H1084" s="573"/>
      <c r="I1084" s="394"/>
      <c r="J1084" s="394"/>
      <c r="K1084" s="394"/>
      <c r="L1084" s="394"/>
      <c r="M1084" s="394"/>
      <c r="N1084" s="394"/>
      <c r="O1084" s="394"/>
      <c r="P1084" s="394"/>
      <c r="Q1084" s="394"/>
      <c r="R1084" s="381"/>
      <c r="S1084" s="408"/>
      <c r="T1084" s="385"/>
      <c r="U1084" s="475"/>
      <c r="V1084" s="395"/>
      <c r="W1084" s="395"/>
      <c r="X1084" s="393"/>
      <c r="Y1084" s="523">
        <v>1</v>
      </c>
      <c r="Z1084" s="393"/>
      <c r="AA1084" s="573">
        <v>8.9498599999999993</v>
      </c>
      <c r="AB1084" s="394">
        <v>6.1880699999999997</v>
      </c>
      <c r="AC1084" s="394">
        <v>5.2083399999999997</v>
      </c>
      <c r="AD1084" s="394"/>
      <c r="AE1084" s="394"/>
      <c r="AF1084" s="394">
        <v>0</v>
      </c>
      <c r="AG1084" s="394">
        <v>0</v>
      </c>
      <c r="AH1084" s="394">
        <v>0.64385000000000003</v>
      </c>
      <c r="AI1084" s="394">
        <v>5.2083399999999997</v>
      </c>
      <c r="AJ1084" s="394"/>
      <c r="AK1084" s="381" t="s">
        <v>167</v>
      </c>
      <c r="AL1084" s="408" t="s">
        <v>175</v>
      </c>
      <c r="AM1084" s="385"/>
      <c r="AN1084" s="475">
        <v>634</v>
      </c>
      <c r="AO1084" s="395"/>
      <c r="AP1084" s="395">
        <f t="shared" si="856"/>
        <v>8.9498599999999993</v>
      </c>
      <c r="AQ1084" s="393"/>
      <c r="AR1084" s="523"/>
      <c r="AS1084" s="393"/>
      <c r="AT1084" s="573"/>
      <c r="AU1084" s="394"/>
      <c r="AV1084" s="394"/>
      <c r="AW1084" s="394"/>
      <c r="AX1084" s="394"/>
      <c r="AY1084" s="394"/>
      <c r="AZ1084" s="394"/>
      <c r="BA1084" s="394"/>
      <c r="BB1084" s="394"/>
      <c r="BC1084" s="394"/>
      <c r="BD1084" s="381"/>
      <c r="BE1084" s="408"/>
      <c r="BF1084" s="385"/>
      <c r="BG1084" s="475"/>
      <c r="BH1084" s="395"/>
      <c r="BI1084" s="395" t="e">
        <f t="shared" si="857"/>
        <v>#DIV/0!</v>
      </c>
    </row>
    <row r="1085" spans="1:61" s="358" customFormat="1" ht="19.2" x14ac:dyDescent="0.3">
      <c r="A1085" s="359" t="s">
        <v>1882</v>
      </c>
      <c r="B1085" s="572" t="s">
        <v>3645</v>
      </c>
      <c r="C1085" s="546" t="s">
        <v>2727</v>
      </c>
      <c r="D1085" s="360">
        <v>0.22</v>
      </c>
      <c r="E1085" s="393"/>
      <c r="F1085" s="523"/>
      <c r="G1085" s="393"/>
      <c r="H1085" s="573"/>
      <c r="I1085" s="394"/>
      <c r="J1085" s="394"/>
      <c r="K1085" s="394"/>
      <c r="L1085" s="394"/>
      <c r="M1085" s="394"/>
      <c r="N1085" s="394"/>
      <c r="O1085" s="394"/>
      <c r="P1085" s="394"/>
      <c r="Q1085" s="394"/>
      <c r="R1085" s="381"/>
      <c r="S1085" s="408"/>
      <c r="T1085" s="385"/>
      <c r="U1085" s="475"/>
      <c r="V1085" s="395"/>
      <c r="W1085" s="395"/>
      <c r="X1085" s="393"/>
      <c r="Y1085" s="523">
        <v>1</v>
      </c>
      <c r="Z1085" s="393"/>
      <c r="AA1085" s="573">
        <v>8.9704200000000007</v>
      </c>
      <c r="AB1085" s="394">
        <v>6.2086300000000003</v>
      </c>
      <c r="AC1085" s="394">
        <v>5.20831</v>
      </c>
      <c r="AD1085" s="394"/>
      <c r="AE1085" s="394"/>
      <c r="AF1085" s="394">
        <v>0</v>
      </c>
      <c r="AG1085" s="394">
        <v>0</v>
      </c>
      <c r="AH1085" s="394">
        <v>0.64385000000000003</v>
      </c>
      <c r="AI1085" s="394">
        <v>5.20831</v>
      </c>
      <c r="AJ1085" s="394"/>
      <c r="AK1085" s="381" t="s">
        <v>167</v>
      </c>
      <c r="AL1085" s="408" t="s">
        <v>175</v>
      </c>
      <c r="AM1085" s="385"/>
      <c r="AN1085" s="475">
        <v>635</v>
      </c>
      <c r="AO1085" s="395"/>
      <c r="AP1085" s="395">
        <f t="shared" si="856"/>
        <v>8.9704200000000007</v>
      </c>
      <c r="AQ1085" s="393"/>
      <c r="AR1085" s="523"/>
      <c r="AS1085" s="393"/>
      <c r="AT1085" s="573"/>
      <c r="AU1085" s="394"/>
      <c r="AV1085" s="394"/>
      <c r="AW1085" s="394"/>
      <c r="AX1085" s="394"/>
      <c r="AY1085" s="394"/>
      <c r="AZ1085" s="394"/>
      <c r="BA1085" s="394"/>
      <c r="BB1085" s="394"/>
      <c r="BC1085" s="394"/>
      <c r="BD1085" s="381"/>
      <c r="BE1085" s="408"/>
      <c r="BF1085" s="385"/>
      <c r="BG1085" s="475"/>
      <c r="BH1085" s="395"/>
      <c r="BI1085" s="395" t="e">
        <f t="shared" si="857"/>
        <v>#DIV/0!</v>
      </c>
    </row>
    <row r="1086" spans="1:61" s="358" customFormat="1" ht="19.2" x14ac:dyDescent="0.3">
      <c r="A1086" s="359" t="s">
        <v>1883</v>
      </c>
      <c r="B1086" s="572" t="s">
        <v>2308</v>
      </c>
      <c r="C1086" s="546" t="s">
        <v>2307</v>
      </c>
      <c r="D1086" s="360">
        <v>0.22</v>
      </c>
      <c r="E1086" s="393"/>
      <c r="F1086" s="523"/>
      <c r="G1086" s="393"/>
      <c r="H1086" s="573"/>
      <c r="I1086" s="394"/>
      <c r="J1086" s="394"/>
      <c r="K1086" s="394"/>
      <c r="L1086" s="394"/>
      <c r="M1086" s="394"/>
      <c r="N1086" s="394"/>
      <c r="O1086" s="394"/>
      <c r="P1086" s="394"/>
      <c r="Q1086" s="394"/>
      <c r="R1086" s="381"/>
      <c r="S1086" s="408"/>
      <c r="T1086" s="385"/>
      <c r="U1086" s="475"/>
      <c r="V1086" s="395"/>
      <c r="W1086" s="395"/>
      <c r="X1086" s="393"/>
      <c r="Y1086" s="523">
        <v>1</v>
      </c>
      <c r="Z1086" s="393"/>
      <c r="AA1086" s="573">
        <v>8.94984</v>
      </c>
      <c r="AB1086" s="394">
        <v>6.1880499999999996</v>
      </c>
      <c r="AC1086" s="394">
        <v>5.20831</v>
      </c>
      <c r="AD1086" s="394"/>
      <c r="AE1086" s="394"/>
      <c r="AF1086" s="394">
        <v>0</v>
      </c>
      <c r="AG1086" s="394">
        <v>0</v>
      </c>
      <c r="AH1086" s="394">
        <v>0.64385000000000003</v>
      </c>
      <c r="AI1086" s="394">
        <v>5.20831</v>
      </c>
      <c r="AJ1086" s="394"/>
      <c r="AK1086" s="381" t="s">
        <v>167</v>
      </c>
      <c r="AL1086" s="408" t="s">
        <v>175</v>
      </c>
      <c r="AM1086" s="385"/>
      <c r="AN1086" s="475">
        <v>636</v>
      </c>
      <c r="AO1086" s="395"/>
      <c r="AP1086" s="395">
        <f t="shared" si="856"/>
        <v>8.94984</v>
      </c>
      <c r="AQ1086" s="393"/>
      <c r="AR1086" s="523"/>
      <c r="AS1086" s="393"/>
      <c r="AT1086" s="573"/>
      <c r="AU1086" s="394"/>
      <c r="AV1086" s="394"/>
      <c r="AW1086" s="394"/>
      <c r="AX1086" s="394"/>
      <c r="AY1086" s="394"/>
      <c r="AZ1086" s="394"/>
      <c r="BA1086" s="394"/>
      <c r="BB1086" s="394"/>
      <c r="BC1086" s="394"/>
      <c r="BD1086" s="381"/>
      <c r="BE1086" s="408"/>
      <c r="BF1086" s="385"/>
      <c r="BG1086" s="475"/>
      <c r="BH1086" s="395"/>
      <c r="BI1086" s="395" t="e">
        <f t="shared" si="857"/>
        <v>#DIV/0!</v>
      </c>
    </row>
    <row r="1087" spans="1:61" s="358" customFormat="1" ht="19.2" x14ac:dyDescent="0.3">
      <c r="A1087" s="359" t="s">
        <v>1884</v>
      </c>
      <c r="B1087" s="572" t="s">
        <v>3646</v>
      </c>
      <c r="C1087" s="546" t="s">
        <v>2728</v>
      </c>
      <c r="D1087" s="360">
        <v>0.22</v>
      </c>
      <c r="E1087" s="393"/>
      <c r="F1087" s="523"/>
      <c r="G1087" s="393"/>
      <c r="H1087" s="573"/>
      <c r="I1087" s="394"/>
      <c r="J1087" s="394"/>
      <c r="K1087" s="394"/>
      <c r="L1087" s="394"/>
      <c r="M1087" s="394"/>
      <c r="N1087" s="394"/>
      <c r="O1087" s="394"/>
      <c r="P1087" s="394"/>
      <c r="Q1087" s="394"/>
      <c r="R1087" s="381"/>
      <c r="S1087" s="408"/>
      <c r="T1087" s="385"/>
      <c r="U1087" s="475"/>
      <c r="V1087" s="395"/>
      <c r="W1087" s="395"/>
      <c r="X1087" s="393"/>
      <c r="Y1087" s="523">
        <v>1</v>
      </c>
      <c r="Z1087" s="393"/>
      <c r="AA1087" s="573">
        <v>8.9498300000000004</v>
      </c>
      <c r="AB1087" s="394">
        <v>6.18804</v>
      </c>
      <c r="AC1087" s="394">
        <v>5.20831</v>
      </c>
      <c r="AD1087" s="394"/>
      <c r="AE1087" s="394"/>
      <c r="AF1087" s="394">
        <v>0</v>
      </c>
      <c r="AG1087" s="394">
        <v>0</v>
      </c>
      <c r="AH1087" s="394">
        <v>0.64385000000000003</v>
      </c>
      <c r="AI1087" s="394">
        <v>5.20831</v>
      </c>
      <c r="AJ1087" s="394"/>
      <c r="AK1087" s="381" t="s">
        <v>167</v>
      </c>
      <c r="AL1087" s="408" t="s">
        <v>175</v>
      </c>
      <c r="AM1087" s="385"/>
      <c r="AN1087" s="475">
        <v>637</v>
      </c>
      <c r="AO1087" s="395"/>
      <c r="AP1087" s="395">
        <f t="shared" si="856"/>
        <v>8.9498300000000004</v>
      </c>
      <c r="AQ1087" s="393"/>
      <c r="AR1087" s="523"/>
      <c r="AS1087" s="393"/>
      <c r="AT1087" s="573"/>
      <c r="AU1087" s="394"/>
      <c r="AV1087" s="394"/>
      <c r="AW1087" s="394"/>
      <c r="AX1087" s="394"/>
      <c r="AY1087" s="394"/>
      <c r="AZ1087" s="394"/>
      <c r="BA1087" s="394"/>
      <c r="BB1087" s="394"/>
      <c r="BC1087" s="394"/>
      <c r="BD1087" s="381"/>
      <c r="BE1087" s="408"/>
      <c r="BF1087" s="385"/>
      <c r="BG1087" s="475"/>
      <c r="BH1087" s="395"/>
      <c r="BI1087" s="395" t="e">
        <f t="shared" si="857"/>
        <v>#DIV/0!</v>
      </c>
    </row>
    <row r="1088" spans="1:61" s="358" customFormat="1" ht="19.2" x14ac:dyDescent="0.3">
      <c r="A1088" s="359" t="s">
        <v>1901</v>
      </c>
      <c r="B1088" s="572" t="s">
        <v>2404</v>
      </c>
      <c r="C1088" s="546" t="s">
        <v>2403</v>
      </c>
      <c r="D1088" s="360">
        <v>0.22</v>
      </c>
      <c r="E1088" s="393"/>
      <c r="F1088" s="523"/>
      <c r="G1088" s="393"/>
      <c r="H1088" s="573"/>
      <c r="I1088" s="394"/>
      <c r="J1088" s="394"/>
      <c r="K1088" s="394"/>
      <c r="L1088" s="394"/>
      <c r="M1088" s="394"/>
      <c r="N1088" s="394"/>
      <c r="O1088" s="394"/>
      <c r="P1088" s="394"/>
      <c r="Q1088" s="394"/>
      <c r="R1088" s="381"/>
      <c r="S1088" s="408"/>
      <c r="T1088" s="385"/>
      <c r="U1088" s="475"/>
      <c r="V1088" s="395"/>
      <c r="W1088" s="395"/>
      <c r="X1088" s="393"/>
      <c r="Y1088" s="523">
        <v>1</v>
      </c>
      <c r="Z1088" s="393"/>
      <c r="AA1088" s="573">
        <v>8.9498599999999993</v>
      </c>
      <c r="AB1088" s="394">
        <v>6.1880699999999997</v>
      </c>
      <c r="AC1088" s="394">
        <v>5.2083399999999997</v>
      </c>
      <c r="AD1088" s="394"/>
      <c r="AE1088" s="394"/>
      <c r="AF1088" s="394">
        <v>0</v>
      </c>
      <c r="AG1088" s="394">
        <v>0</v>
      </c>
      <c r="AH1088" s="394">
        <v>0.64385000000000003</v>
      </c>
      <c r="AI1088" s="394">
        <v>5.2083399999999997</v>
      </c>
      <c r="AJ1088" s="394"/>
      <c r="AK1088" s="381" t="s">
        <v>167</v>
      </c>
      <c r="AL1088" s="408" t="s">
        <v>175</v>
      </c>
      <c r="AM1088" s="385"/>
      <c r="AN1088" s="475">
        <v>638</v>
      </c>
      <c r="AO1088" s="395"/>
      <c r="AP1088" s="395">
        <f t="shared" si="856"/>
        <v>8.9498599999999993</v>
      </c>
      <c r="AQ1088" s="393"/>
      <c r="AR1088" s="523"/>
      <c r="AS1088" s="393"/>
      <c r="AT1088" s="573"/>
      <c r="AU1088" s="394"/>
      <c r="AV1088" s="394"/>
      <c r="AW1088" s="394"/>
      <c r="AX1088" s="394"/>
      <c r="AY1088" s="394"/>
      <c r="AZ1088" s="394"/>
      <c r="BA1088" s="394"/>
      <c r="BB1088" s="394"/>
      <c r="BC1088" s="394"/>
      <c r="BD1088" s="381"/>
      <c r="BE1088" s="408"/>
      <c r="BF1088" s="385"/>
      <c r="BG1088" s="475"/>
      <c r="BH1088" s="395"/>
      <c r="BI1088" s="395" t="e">
        <f t="shared" si="857"/>
        <v>#DIV/0!</v>
      </c>
    </row>
    <row r="1089" spans="1:61" s="358" customFormat="1" ht="19.2" x14ac:dyDescent="0.3">
      <c r="A1089" s="359" t="s">
        <v>1886</v>
      </c>
      <c r="B1089" s="572" t="s">
        <v>3645</v>
      </c>
      <c r="C1089" s="546" t="s">
        <v>2729</v>
      </c>
      <c r="D1089" s="360">
        <v>0.22</v>
      </c>
      <c r="E1089" s="393"/>
      <c r="F1089" s="523"/>
      <c r="G1089" s="393"/>
      <c r="H1089" s="573"/>
      <c r="I1089" s="394"/>
      <c r="J1089" s="394"/>
      <c r="K1089" s="394"/>
      <c r="L1089" s="394"/>
      <c r="M1089" s="394"/>
      <c r="N1089" s="394"/>
      <c r="O1089" s="394"/>
      <c r="P1089" s="394"/>
      <c r="Q1089" s="394"/>
      <c r="R1089" s="381"/>
      <c r="S1089" s="408"/>
      <c r="T1089" s="385"/>
      <c r="U1089" s="475"/>
      <c r="V1089" s="395"/>
      <c r="W1089" s="395"/>
      <c r="X1089" s="393"/>
      <c r="Y1089" s="523">
        <v>1</v>
      </c>
      <c r="Z1089" s="393"/>
      <c r="AA1089" s="573">
        <v>8.9498599999999993</v>
      </c>
      <c r="AB1089" s="394">
        <v>6.1880699999999997</v>
      </c>
      <c r="AC1089" s="394">
        <v>5.2083399999999997</v>
      </c>
      <c r="AD1089" s="394"/>
      <c r="AE1089" s="394"/>
      <c r="AF1089" s="394">
        <v>0</v>
      </c>
      <c r="AG1089" s="394">
        <v>0</v>
      </c>
      <c r="AH1089" s="394">
        <v>0.64385000000000003</v>
      </c>
      <c r="AI1089" s="394">
        <v>5.2083399999999997</v>
      </c>
      <c r="AJ1089" s="394"/>
      <c r="AK1089" s="381" t="s">
        <v>167</v>
      </c>
      <c r="AL1089" s="408" t="s">
        <v>175</v>
      </c>
      <c r="AM1089" s="385"/>
      <c r="AN1089" s="475">
        <v>639</v>
      </c>
      <c r="AO1089" s="395"/>
      <c r="AP1089" s="395">
        <f t="shared" si="856"/>
        <v>8.9498599999999993</v>
      </c>
      <c r="AQ1089" s="393"/>
      <c r="AR1089" s="523"/>
      <c r="AS1089" s="393"/>
      <c r="AT1089" s="573"/>
      <c r="AU1089" s="394"/>
      <c r="AV1089" s="394"/>
      <c r="AW1089" s="394"/>
      <c r="AX1089" s="394"/>
      <c r="AY1089" s="394"/>
      <c r="AZ1089" s="394"/>
      <c r="BA1089" s="394"/>
      <c r="BB1089" s="394"/>
      <c r="BC1089" s="394"/>
      <c r="BD1089" s="381"/>
      <c r="BE1089" s="408"/>
      <c r="BF1089" s="385"/>
      <c r="BG1089" s="475"/>
      <c r="BH1089" s="395"/>
      <c r="BI1089" s="395" t="e">
        <f t="shared" si="857"/>
        <v>#DIV/0!</v>
      </c>
    </row>
    <row r="1090" spans="1:61" s="358" customFormat="1" ht="19.2" x14ac:dyDescent="0.3">
      <c r="A1090" s="359" t="s">
        <v>1887</v>
      </c>
      <c r="B1090" s="572" t="s">
        <v>1742</v>
      </c>
      <c r="C1090" s="546" t="s">
        <v>1176</v>
      </c>
      <c r="D1090" s="360">
        <v>0.22</v>
      </c>
      <c r="E1090" s="393"/>
      <c r="F1090" s="523"/>
      <c r="G1090" s="393"/>
      <c r="H1090" s="573"/>
      <c r="I1090" s="394"/>
      <c r="J1090" s="394"/>
      <c r="K1090" s="394"/>
      <c r="L1090" s="394"/>
      <c r="M1090" s="394"/>
      <c r="N1090" s="394"/>
      <c r="O1090" s="394"/>
      <c r="P1090" s="394"/>
      <c r="Q1090" s="394"/>
      <c r="R1090" s="381"/>
      <c r="S1090" s="408"/>
      <c r="T1090" s="385"/>
      <c r="U1090" s="475"/>
      <c r="V1090" s="395"/>
      <c r="W1090" s="395"/>
      <c r="X1090" s="393"/>
      <c r="Y1090" s="523">
        <v>1</v>
      </c>
      <c r="Z1090" s="393"/>
      <c r="AA1090" s="573">
        <v>8.9498300000000004</v>
      </c>
      <c r="AB1090" s="394">
        <v>6.18804</v>
      </c>
      <c r="AC1090" s="394">
        <v>5.20831</v>
      </c>
      <c r="AD1090" s="394"/>
      <c r="AE1090" s="394"/>
      <c r="AF1090" s="394">
        <v>0</v>
      </c>
      <c r="AG1090" s="394">
        <v>0</v>
      </c>
      <c r="AH1090" s="394">
        <v>0.64385000000000003</v>
      </c>
      <c r="AI1090" s="394">
        <v>5.20831</v>
      </c>
      <c r="AJ1090" s="394"/>
      <c r="AK1090" s="381" t="s">
        <v>167</v>
      </c>
      <c r="AL1090" s="408" t="s">
        <v>175</v>
      </c>
      <c r="AM1090" s="385"/>
      <c r="AN1090" s="475">
        <v>640</v>
      </c>
      <c r="AO1090" s="395"/>
      <c r="AP1090" s="395">
        <f t="shared" si="856"/>
        <v>8.9498300000000004</v>
      </c>
      <c r="AQ1090" s="393"/>
      <c r="AR1090" s="523"/>
      <c r="AS1090" s="393"/>
      <c r="AT1090" s="573"/>
      <c r="AU1090" s="394"/>
      <c r="AV1090" s="394"/>
      <c r="AW1090" s="394"/>
      <c r="AX1090" s="394"/>
      <c r="AY1090" s="394"/>
      <c r="AZ1090" s="394"/>
      <c r="BA1090" s="394"/>
      <c r="BB1090" s="394"/>
      <c r="BC1090" s="394"/>
      <c r="BD1090" s="381"/>
      <c r="BE1090" s="408"/>
      <c r="BF1090" s="385"/>
      <c r="BG1090" s="475"/>
      <c r="BH1090" s="395"/>
      <c r="BI1090" s="395" t="e">
        <f t="shared" si="857"/>
        <v>#DIV/0!</v>
      </c>
    </row>
    <row r="1091" spans="1:61" s="358" customFormat="1" ht="19.2" x14ac:dyDescent="0.3">
      <c r="A1091" s="359" t="s">
        <v>1872</v>
      </c>
      <c r="B1091" s="572" t="s">
        <v>3647</v>
      </c>
      <c r="C1091" s="546" t="s">
        <v>2730</v>
      </c>
      <c r="D1091" s="360">
        <v>0.22</v>
      </c>
      <c r="E1091" s="393"/>
      <c r="F1091" s="523"/>
      <c r="G1091" s="393"/>
      <c r="H1091" s="573"/>
      <c r="I1091" s="394"/>
      <c r="J1091" s="394"/>
      <c r="K1091" s="394"/>
      <c r="L1091" s="394"/>
      <c r="M1091" s="394"/>
      <c r="N1091" s="394"/>
      <c r="O1091" s="394"/>
      <c r="P1091" s="394"/>
      <c r="Q1091" s="394"/>
      <c r="R1091" s="381"/>
      <c r="S1091" s="408"/>
      <c r="T1091" s="385"/>
      <c r="U1091" s="475"/>
      <c r="V1091" s="395"/>
      <c r="W1091" s="395"/>
      <c r="X1091" s="393"/>
      <c r="Y1091" s="523">
        <v>1</v>
      </c>
      <c r="Z1091" s="393"/>
      <c r="AA1091" s="573">
        <v>8.9498300000000004</v>
      </c>
      <c r="AB1091" s="394">
        <v>6.18804</v>
      </c>
      <c r="AC1091" s="394">
        <v>5.20831</v>
      </c>
      <c r="AD1091" s="394"/>
      <c r="AE1091" s="394"/>
      <c r="AF1091" s="394">
        <v>0</v>
      </c>
      <c r="AG1091" s="394">
        <v>0</v>
      </c>
      <c r="AH1091" s="394">
        <v>0.64385000000000003</v>
      </c>
      <c r="AI1091" s="394">
        <v>5.20831</v>
      </c>
      <c r="AJ1091" s="394"/>
      <c r="AK1091" s="381" t="s">
        <v>167</v>
      </c>
      <c r="AL1091" s="408" t="s">
        <v>175</v>
      </c>
      <c r="AM1091" s="385"/>
      <c r="AN1091" s="475">
        <v>641</v>
      </c>
      <c r="AO1091" s="395"/>
      <c r="AP1091" s="395">
        <f t="shared" si="856"/>
        <v>8.9498300000000004</v>
      </c>
      <c r="AQ1091" s="393"/>
      <c r="AR1091" s="523"/>
      <c r="AS1091" s="393"/>
      <c r="AT1091" s="573"/>
      <c r="AU1091" s="394"/>
      <c r="AV1091" s="394"/>
      <c r="AW1091" s="394"/>
      <c r="AX1091" s="394"/>
      <c r="AY1091" s="394"/>
      <c r="AZ1091" s="394"/>
      <c r="BA1091" s="394"/>
      <c r="BB1091" s="394"/>
      <c r="BC1091" s="394"/>
      <c r="BD1091" s="381"/>
      <c r="BE1091" s="408"/>
      <c r="BF1091" s="385"/>
      <c r="BG1091" s="475"/>
      <c r="BH1091" s="395"/>
      <c r="BI1091" s="395" t="e">
        <f t="shared" si="857"/>
        <v>#DIV/0!</v>
      </c>
    </row>
    <row r="1092" spans="1:61" s="358" customFormat="1" ht="19.2" x14ac:dyDescent="0.3">
      <c r="A1092" s="359" t="s">
        <v>1905</v>
      </c>
      <c r="B1092" s="572" t="s">
        <v>3648</v>
      </c>
      <c r="C1092" s="546" t="s">
        <v>2731</v>
      </c>
      <c r="D1092" s="360">
        <v>0.22</v>
      </c>
      <c r="E1092" s="393"/>
      <c r="F1092" s="523"/>
      <c r="G1092" s="393"/>
      <c r="H1092" s="573"/>
      <c r="I1092" s="394"/>
      <c r="J1092" s="394"/>
      <c r="K1092" s="394"/>
      <c r="L1092" s="394"/>
      <c r="M1092" s="394"/>
      <c r="N1092" s="394"/>
      <c r="O1092" s="394"/>
      <c r="P1092" s="394"/>
      <c r="Q1092" s="394"/>
      <c r="R1092" s="381"/>
      <c r="S1092" s="408"/>
      <c r="T1092" s="385"/>
      <c r="U1092" s="475"/>
      <c r="V1092" s="395"/>
      <c r="W1092" s="395"/>
      <c r="X1092" s="393"/>
      <c r="Y1092" s="523">
        <v>1</v>
      </c>
      <c r="Z1092" s="393"/>
      <c r="AA1092" s="573">
        <v>8.9498300000000004</v>
      </c>
      <c r="AB1092" s="394">
        <v>6.18804</v>
      </c>
      <c r="AC1092" s="394">
        <v>5.20831</v>
      </c>
      <c r="AD1092" s="394"/>
      <c r="AE1092" s="394"/>
      <c r="AF1092" s="394">
        <v>0</v>
      </c>
      <c r="AG1092" s="394">
        <v>0</v>
      </c>
      <c r="AH1092" s="394">
        <v>0.64385000000000003</v>
      </c>
      <c r="AI1092" s="394">
        <v>5.20831</v>
      </c>
      <c r="AJ1092" s="394"/>
      <c r="AK1092" s="381" t="s">
        <v>167</v>
      </c>
      <c r="AL1092" s="408" t="s">
        <v>175</v>
      </c>
      <c r="AM1092" s="385"/>
      <c r="AN1092" s="475">
        <v>642</v>
      </c>
      <c r="AO1092" s="395"/>
      <c r="AP1092" s="395">
        <f t="shared" si="856"/>
        <v>8.9498300000000004</v>
      </c>
      <c r="AQ1092" s="393"/>
      <c r="AR1092" s="523"/>
      <c r="AS1092" s="393"/>
      <c r="AT1092" s="573"/>
      <c r="AU1092" s="394"/>
      <c r="AV1092" s="394"/>
      <c r="AW1092" s="394"/>
      <c r="AX1092" s="394"/>
      <c r="AY1092" s="394"/>
      <c r="AZ1092" s="394"/>
      <c r="BA1092" s="394"/>
      <c r="BB1092" s="394"/>
      <c r="BC1092" s="394"/>
      <c r="BD1092" s="381"/>
      <c r="BE1092" s="408"/>
      <c r="BF1092" s="385"/>
      <c r="BG1092" s="475"/>
      <c r="BH1092" s="395"/>
      <c r="BI1092" s="395" t="e">
        <f t="shared" si="857"/>
        <v>#DIV/0!</v>
      </c>
    </row>
    <row r="1093" spans="1:61" s="358" customFormat="1" ht="19.2" x14ac:dyDescent="0.3">
      <c r="A1093" s="359" t="s">
        <v>1890</v>
      </c>
      <c r="B1093" s="572" t="s">
        <v>3649</v>
      </c>
      <c r="C1093" s="546" t="s">
        <v>2732</v>
      </c>
      <c r="D1093" s="360">
        <v>0.22</v>
      </c>
      <c r="E1093" s="393"/>
      <c r="F1093" s="523"/>
      <c r="G1093" s="393"/>
      <c r="H1093" s="573"/>
      <c r="I1093" s="394"/>
      <c r="J1093" s="394"/>
      <c r="K1093" s="394"/>
      <c r="L1093" s="394"/>
      <c r="M1093" s="394"/>
      <c r="N1093" s="394"/>
      <c r="O1093" s="394"/>
      <c r="P1093" s="394"/>
      <c r="Q1093" s="394"/>
      <c r="R1093" s="381"/>
      <c r="S1093" s="408"/>
      <c r="T1093" s="385"/>
      <c r="U1093" s="475"/>
      <c r="V1093" s="395"/>
      <c r="W1093" s="395"/>
      <c r="X1093" s="393"/>
      <c r="Y1093" s="523">
        <v>1</v>
      </c>
      <c r="Z1093" s="393"/>
      <c r="AA1093" s="573">
        <v>8.9498700000000007</v>
      </c>
      <c r="AB1093" s="394">
        <v>6.1880800000000002</v>
      </c>
      <c r="AC1093" s="394">
        <v>5.2083399999999997</v>
      </c>
      <c r="AD1093" s="394"/>
      <c r="AE1093" s="394"/>
      <c r="AF1093" s="394">
        <v>0</v>
      </c>
      <c r="AG1093" s="394">
        <v>0</v>
      </c>
      <c r="AH1093" s="394">
        <v>0.64385000000000003</v>
      </c>
      <c r="AI1093" s="394">
        <v>5.2083399999999997</v>
      </c>
      <c r="AJ1093" s="394"/>
      <c r="AK1093" s="381" t="s">
        <v>167</v>
      </c>
      <c r="AL1093" s="408" t="s">
        <v>175</v>
      </c>
      <c r="AM1093" s="385"/>
      <c r="AN1093" s="475">
        <v>643</v>
      </c>
      <c r="AO1093" s="395"/>
      <c r="AP1093" s="395">
        <f t="shared" si="856"/>
        <v>8.9498700000000007</v>
      </c>
      <c r="AQ1093" s="393"/>
      <c r="AR1093" s="523"/>
      <c r="AS1093" s="393"/>
      <c r="AT1093" s="573"/>
      <c r="AU1093" s="394"/>
      <c r="AV1093" s="394"/>
      <c r="AW1093" s="394"/>
      <c r="AX1093" s="394"/>
      <c r="AY1093" s="394"/>
      <c r="AZ1093" s="394"/>
      <c r="BA1093" s="394"/>
      <c r="BB1093" s="394"/>
      <c r="BC1093" s="394"/>
      <c r="BD1093" s="381"/>
      <c r="BE1093" s="408"/>
      <c r="BF1093" s="385"/>
      <c r="BG1093" s="475"/>
      <c r="BH1093" s="395"/>
      <c r="BI1093" s="395" t="e">
        <f t="shared" si="857"/>
        <v>#DIV/0!</v>
      </c>
    </row>
    <row r="1094" spans="1:61" s="358" customFormat="1" ht="19.2" x14ac:dyDescent="0.3">
      <c r="A1094" s="359" t="s">
        <v>1891</v>
      </c>
      <c r="B1094" s="572" t="s">
        <v>3650</v>
      </c>
      <c r="C1094" s="546" t="s">
        <v>2733</v>
      </c>
      <c r="D1094" s="360">
        <v>0.22</v>
      </c>
      <c r="E1094" s="393"/>
      <c r="F1094" s="523"/>
      <c r="G1094" s="393"/>
      <c r="H1094" s="573"/>
      <c r="I1094" s="394"/>
      <c r="J1094" s="394"/>
      <c r="K1094" s="394"/>
      <c r="L1094" s="394"/>
      <c r="M1094" s="394"/>
      <c r="N1094" s="394"/>
      <c r="O1094" s="394"/>
      <c r="P1094" s="394"/>
      <c r="Q1094" s="394"/>
      <c r="R1094" s="381"/>
      <c r="S1094" s="408"/>
      <c r="T1094" s="385"/>
      <c r="U1094" s="475"/>
      <c r="V1094" s="395"/>
      <c r="W1094" s="395"/>
      <c r="X1094" s="393"/>
      <c r="Y1094" s="523">
        <v>1</v>
      </c>
      <c r="Z1094" s="393"/>
      <c r="AA1094" s="573">
        <v>8.9498300000000004</v>
      </c>
      <c r="AB1094" s="394">
        <v>6.18804</v>
      </c>
      <c r="AC1094" s="394">
        <v>5.20831</v>
      </c>
      <c r="AD1094" s="394"/>
      <c r="AE1094" s="394"/>
      <c r="AF1094" s="394">
        <v>0</v>
      </c>
      <c r="AG1094" s="394">
        <v>0</v>
      </c>
      <c r="AH1094" s="394">
        <v>0.64385000000000003</v>
      </c>
      <c r="AI1094" s="394">
        <v>5.20831</v>
      </c>
      <c r="AJ1094" s="394"/>
      <c r="AK1094" s="381" t="s">
        <v>167</v>
      </c>
      <c r="AL1094" s="408" t="s">
        <v>175</v>
      </c>
      <c r="AM1094" s="385"/>
      <c r="AN1094" s="475">
        <v>644</v>
      </c>
      <c r="AO1094" s="395"/>
      <c r="AP1094" s="395">
        <f t="shared" si="856"/>
        <v>8.9498300000000004</v>
      </c>
      <c r="AQ1094" s="393"/>
      <c r="AR1094" s="523"/>
      <c r="AS1094" s="393"/>
      <c r="AT1094" s="573"/>
      <c r="AU1094" s="394"/>
      <c r="AV1094" s="394"/>
      <c r="AW1094" s="394"/>
      <c r="AX1094" s="394"/>
      <c r="AY1094" s="394"/>
      <c r="AZ1094" s="394"/>
      <c r="BA1094" s="394"/>
      <c r="BB1094" s="394"/>
      <c r="BC1094" s="394"/>
      <c r="BD1094" s="381"/>
      <c r="BE1094" s="408"/>
      <c r="BF1094" s="385"/>
      <c r="BG1094" s="475"/>
      <c r="BH1094" s="395"/>
      <c r="BI1094" s="395" t="e">
        <f t="shared" si="857"/>
        <v>#DIV/0!</v>
      </c>
    </row>
    <row r="1095" spans="1:61" s="358" customFormat="1" ht="19.2" x14ac:dyDescent="0.3">
      <c r="A1095" s="359" t="s">
        <v>1892</v>
      </c>
      <c r="B1095" s="572" t="s">
        <v>3651</v>
      </c>
      <c r="C1095" s="546" t="s">
        <v>2734</v>
      </c>
      <c r="D1095" s="360">
        <v>0.22</v>
      </c>
      <c r="E1095" s="393"/>
      <c r="F1095" s="523"/>
      <c r="G1095" s="393"/>
      <c r="H1095" s="573"/>
      <c r="I1095" s="394"/>
      <c r="J1095" s="394"/>
      <c r="K1095" s="394"/>
      <c r="L1095" s="394"/>
      <c r="M1095" s="394"/>
      <c r="N1095" s="394"/>
      <c r="O1095" s="394"/>
      <c r="P1095" s="394"/>
      <c r="Q1095" s="394"/>
      <c r="R1095" s="381"/>
      <c r="S1095" s="408"/>
      <c r="T1095" s="385"/>
      <c r="U1095" s="475"/>
      <c r="V1095" s="395"/>
      <c r="W1095" s="395"/>
      <c r="X1095" s="393"/>
      <c r="Y1095" s="523">
        <v>1</v>
      </c>
      <c r="Z1095" s="393"/>
      <c r="AA1095" s="573">
        <v>8.9498599999999993</v>
      </c>
      <c r="AB1095" s="394">
        <v>6.1880699999999997</v>
      </c>
      <c r="AC1095" s="394">
        <v>5.2083399999999997</v>
      </c>
      <c r="AD1095" s="394"/>
      <c r="AE1095" s="394"/>
      <c r="AF1095" s="394">
        <v>0</v>
      </c>
      <c r="AG1095" s="394">
        <v>0</v>
      </c>
      <c r="AH1095" s="394">
        <v>0.64385000000000003</v>
      </c>
      <c r="AI1095" s="394">
        <v>5.2083399999999997</v>
      </c>
      <c r="AJ1095" s="394"/>
      <c r="AK1095" s="381" t="s">
        <v>167</v>
      </c>
      <c r="AL1095" s="408" t="s">
        <v>175</v>
      </c>
      <c r="AM1095" s="385"/>
      <c r="AN1095" s="475">
        <v>645</v>
      </c>
      <c r="AO1095" s="395"/>
      <c r="AP1095" s="395">
        <f t="shared" si="856"/>
        <v>8.9498599999999993</v>
      </c>
      <c r="AQ1095" s="393"/>
      <c r="AR1095" s="523"/>
      <c r="AS1095" s="393"/>
      <c r="AT1095" s="573"/>
      <c r="AU1095" s="394"/>
      <c r="AV1095" s="394"/>
      <c r="AW1095" s="394"/>
      <c r="AX1095" s="394"/>
      <c r="AY1095" s="394"/>
      <c r="AZ1095" s="394"/>
      <c r="BA1095" s="394"/>
      <c r="BB1095" s="394"/>
      <c r="BC1095" s="394"/>
      <c r="BD1095" s="381"/>
      <c r="BE1095" s="408"/>
      <c r="BF1095" s="385"/>
      <c r="BG1095" s="475"/>
      <c r="BH1095" s="395"/>
      <c r="BI1095" s="395" t="e">
        <f t="shared" si="857"/>
        <v>#DIV/0!</v>
      </c>
    </row>
    <row r="1096" spans="1:61" s="358" customFormat="1" ht="19.2" x14ac:dyDescent="0.3">
      <c r="A1096" s="359" t="s">
        <v>1893</v>
      </c>
      <c r="B1096" s="572" t="s">
        <v>3652</v>
      </c>
      <c r="C1096" s="546" t="s">
        <v>2735</v>
      </c>
      <c r="D1096" s="360">
        <v>0.22</v>
      </c>
      <c r="E1096" s="393"/>
      <c r="F1096" s="523"/>
      <c r="G1096" s="393"/>
      <c r="H1096" s="573"/>
      <c r="I1096" s="394"/>
      <c r="J1096" s="394"/>
      <c r="K1096" s="394"/>
      <c r="L1096" s="394"/>
      <c r="M1096" s="394"/>
      <c r="N1096" s="394"/>
      <c r="O1096" s="394"/>
      <c r="P1096" s="394"/>
      <c r="Q1096" s="394"/>
      <c r="R1096" s="381"/>
      <c r="S1096" s="408"/>
      <c r="T1096" s="385"/>
      <c r="U1096" s="475"/>
      <c r="V1096" s="395"/>
      <c r="W1096" s="395"/>
      <c r="X1096" s="393"/>
      <c r="Y1096" s="523">
        <v>1</v>
      </c>
      <c r="Z1096" s="393"/>
      <c r="AA1096" s="573">
        <v>8.9498599999999993</v>
      </c>
      <c r="AB1096" s="394">
        <v>6.1880699999999997</v>
      </c>
      <c r="AC1096" s="394">
        <v>5.2083399999999997</v>
      </c>
      <c r="AD1096" s="394"/>
      <c r="AE1096" s="394"/>
      <c r="AF1096" s="394">
        <v>0</v>
      </c>
      <c r="AG1096" s="394">
        <v>0</v>
      </c>
      <c r="AH1096" s="394">
        <v>0.64385000000000003</v>
      </c>
      <c r="AI1096" s="394">
        <v>5.2083399999999997</v>
      </c>
      <c r="AJ1096" s="394"/>
      <c r="AK1096" s="381" t="s">
        <v>167</v>
      </c>
      <c r="AL1096" s="408" t="s">
        <v>175</v>
      </c>
      <c r="AM1096" s="385"/>
      <c r="AN1096" s="475">
        <v>646</v>
      </c>
      <c r="AO1096" s="395"/>
      <c r="AP1096" s="395">
        <f t="shared" si="856"/>
        <v>8.9498599999999993</v>
      </c>
      <c r="AQ1096" s="393"/>
      <c r="AR1096" s="523"/>
      <c r="AS1096" s="393"/>
      <c r="AT1096" s="573"/>
      <c r="AU1096" s="394"/>
      <c r="AV1096" s="394"/>
      <c r="AW1096" s="394"/>
      <c r="AX1096" s="394"/>
      <c r="AY1096" s="394"/>
      <c r="AZ1096" s="394"/>
      <c r="BA1096" s="394"/>
      <c r="BB1096" s="394"/>
      <c r="BC1096" s="394"/>
      <c r="BD1096" s="381"/>
      <c r="BE1096" s="408"/>
      <c r="BF1096" s="385"/>
      <c r="BG1096" s="475"/>
      <c r="BH1096" s="395"/>
      <c r="BI1096" s="395" t="e">
        <f t="shared" si="857"/>
        <v>#DIV/0!</v>
      </c>
    </row>
    <row r="1097" spans="1:61" s="358" customFormat="1" ht="19.2" x14ac:dyDescent="0.3">
      <c r="A1097" s="359" t="s">
        <v>1894</v>
      </c>
      <c r="B1097" s="572" t="s">
        <v>3653</v>
      </c>
      <c r="C1097" s="546" t="s">
        <v>2736</v>
      </c>
      <c r="D1097" s="360">
        <v>0.22</v>
      </c>
      <c r="E1097" s="393"/>
      <c r="F1097" s="523"/>
      <c r="G1097" s="393"/>
      <c r="H1097" s="573"/>
      <c r="I1097" s="394"/>
      <c r="J1097" s="394"/>
      <c r="K1097" s="394"/>
      <c r="L1097" s="394"/>
      <c r="M1097" s="394"/>
      <c r="N1097" s="394"/>
      <c r="O1097" s="394"/>
      <c r="P1097" s="394"/>
      <c r="Q1097" s="394"/>
      <c r="R1097" s="381"/>
      <c r="S1097" s="408"/>
      <c r="T1097" s="385"/>
      <c r="U1097" s="475"/>
      <c r="V1097" s="395"/>
      <c r="W1097" s="395"/>
      <c r="X1097" s="393"/>
      <c r="Y1097" s="523">
        <v>1</v>
      </c>
      <c r="Z1097" s="393"/>
      <c r="AA1097" s="573">
        <v>6.7109500000000004</v>
      </c>
      <c r="AB1097" s="394">
        <v>6.2652900000000002</v>
      </c>
      <c r="AC1097" s="394">
        <v>5.8928399999999996</v>
      </c>
      <c r="AD1097" s="394"/>
      <c r="AE1097" s="394"/>
      <c r="AF1097" s="394">
        <v>0</v>
      </c>
      <c r="AG1097" s="394">
        <v>0</v>
      </c>
      <c r="AH1097" s="394">
        <v>0.10390000000000001</v>
      </c>
      <c r="AI1097" s="394">
        <v>5.8928399999999996</v>
      </c>
      <c r="AJ1097" s="394"/>
      <c r="AK1097" s="381" t="s">
        <v>167</v>
      </c>
      <c r="AL1097" s="408" t="s">
        <v>175</v>
      </c>
      <c r="AM1097" s="385"/>
      <c r="AN1097" s="475">
        <v>647</v>
      </c>
      <c r="AO1097" s="395"/>
      <c r="AP1097" s="395">
        <f t="shared" si="856"/>
        <v>6.7109500000000004</v>
      </c>
      <c r="AQ1097" s="393"/>
      <c r="AR1097" s="523"/>
      <c r="AS1097" s="393"/>
      <c r="AT1097" s="573"/>
      <c r="AU1097" s="394"/>
      <c r="AV1097" s="394"/>
      <c r="AW1097" s="394"/>
      <c r="AX1097" s="394"/>
      <c r="AY1097" s="394"/>
      <c r="AZ1097" s="394"/>
      <c r="BA1097" s="394"/>
      <c r="BB1097" s="394"/>
      <c r="BC1097" s="394"/>
      <c r="BD1097" s="381"/>
      <c r="BE1097" s="408"/>
      <c r="BF1097" s="385"/>
      <c r="BG1097" s="475"/>
      <c r="BH1097" s="395"/>
      <c r="BI1097" s="395" t="e">
        <f t="shared" si="857"/>
        <v>#DIV/0!</v>
      </c>
    </row>
    <row r="1098" spans="1:61" s="358" customFormat="1" ht="19.2" x14ac:dyDescent="0.3">
      <c r="A1098" s="359" t="s">
        <v>1895</v>
      </c>
      <c r="B1098" s="572" t="s">
        <v>3654</v>
      </c>
      <c r="C1098" s="546" t="s">
        <v>2737</v>
      </c>
      <c r="D1098" s="360">
        <v>0.22</v>
      </c>
      <c r="E1098" s="393"/>
      <c r="F1098" s="523"/>
      <c r="G1098" s="393"/>
      <c r="H1098" s="573"/>
      <c r="I1098" s="394"/>
      <c r="J1098" s="394"/>
      <c r="K1098" s="394"/>
      <c r="L1098" s="394"/>
      <c r="M1098" s="394"/>
      <c r="N1098" s="394"/>
      <c r="O1098" s="394"/>
      <c r="P1098" s="394"/>
      <c r="Q1098" s="394"/>
      <c r="R1098" s="381"/>
      <c r="S1098" s="408"/>
      <c r="T1098" s="385"/>
      <c r="U1098" s="475"/>
      <c r="V1098" s="395"/>
      <c r="W1098" s="395"/>
      <c r="X1098" s="393"/>
      <c r="Y1098" s="523">
        <v>1</v>
      </c>
      <c r="Z1098" s="393"/>
      <c r="AA1098" s="573">
        <v>8.9498499999999996</v>
      </c>
      <c r="AB1098" s="394">
        <v>6.1880600000000001</v>
      </c>
      <c r="AC1098" s="394">
        <v>5.20831</v>
      </c>
      <c r="AD1098" s="394"/>
      <c r="AE1098" s="394"/>
      <c r="AF1098" s="394">
        <v>0</v>
      </c>
      <c r="AG1098" s="394">
        <v>0</v>
      </c>
      <c r="AH1098" s="394">
        <v>0.64385000000000003</v>
      </c>
      <c r="AI1098" s="394">
        <v>5.20831</v>
      </c>
      <c r="AJ1098" s="394"/>
      <c r="AK1098" s="381" t="s">
        <v>167</v>
      </c>
      <c r="AL1098" s="408" t="s">
        <v>175</v>
      </c>
      <c r="AM1098" s="385"/>
      <c r="AN1098" s="475">
        <v>648</v>
      </c>
      <c r="AO1098" s="395"/>
      <c r="AP1098" s="395">
        <f t="shared" si="856"/>
        <v>8.9498499999999996</v>
      </c>
      <c r="AQ1098" s="393"/>
      <c r="AR1098" s="523"/>
      <c r="AS1098" s="393"/>
      <c r="AT1098" s="573"/>
      <c r="AU1098" s="394"/>
      <c r="AV1098" s="394"/>
      <c r="AW1098" s="394"/>
      <c r="AX1098" s="394"/>
      <c r="AY1098" s="394"/>
      <c r="AZ1098" s="394"/>
      <c r="BA1098" s="394"/>
      <c r="BB1098" s="394"/>
      <c r="BC1098" s="394"/>
      <c r="BD1098" s="381"/>
      <c r="BE1098" s="408"/>
      <c r="BF1098" s="385"/>
      <c r="BG1098" s="475"/>
      <c r="BH1098" s="395"/>
      <c r="BI1098" s="395" t="e">
        <f t="shared" si="857"/>
        <v>#DIV/0!</v>
      </c>
    </row>
    <row r="1099" spans="1:61" s="358" customFormat="1" ht="19.2" x14ac:dyDescent="0.3">
      <c r="A1099" s="359" t="s">
        <v>1896</v>
      </c>
      <c r="B1099" s="572" t="s">
        <v>2402</v>
      </c>
      <c r="C1099" s="546" t="s">
        <v>2401</v>
      </c>
      <c r="D1099" s="360">
        <v>0.22</v>
      </c>
      <c r="E1099" s="393"/>
      <c r="F1099" s="523"/>
      <c r="G1099" s="393"/>
      <c r="H1099" s="573"/>
      <c r="I1099" s="394"/>
      <c r="J1099" s="394"/>
      <c r="K1099" s="394"/>
      <c r="L1099" s="394"/>
      <c r="M1099" s="394"/>
      <c r="N1099" s="394"/>
      <c r="O1099" s="394"/>
      <c r="P1099" s="394"/>
      <c r="Q1099" s="394"/>
      <c r="R1099" s="381"/>
      <c r="S1099" s="408"/>
      <c r="T1099" s="385"/>
      <c r="U1099" s="475"/>
      <c r="V1099" s="395"/>
      <c r="W1099" s="395"/>
      <c r="X1099" s="393"/>
      <c r="Y1099" s="523">
        <v>1</v>
      </c>
      <c r="Z1099" s="393"/>
      <c r="AA1099" s="573">
        <v>8.9498700000000007</v>
      </c>
      <c r="AB1099" s="394">
        <v>6.1880800000000002</v>
      </c>
      <c r="AC1099" s="394">
        <v>5.2083399999999997</v>
      </c>
      <c r="AD1099" s="394"/>
      <c r="AE1099" s="394"/>
      <c r="AF1099" s="394">
        <v>0</v>
      </c>
      <c r="AG1099" s="394">
        <v>0</v>
      </c>
      <c r="AH1099" s="394">
        <v>0.64385000000000003</v>
      </c>
      <c r="AI1099" s="394">
        <v>5.2083399999999997</v>
      </c>
      <c r="AJ1099" s="394"/>
      <c r="AK1099" s="381" t="s">
        <v>167</v>
      </c>
      <c r="AL1099" s="408" t="s">
        <v>175</v>
      </c>
      <c r="AM1099" s="385"/>
      <c r="AN1099" s="475">
        <v>649</v>
      </c>
      <c r="AO1099" s="395"/>
      <c r="AP1099" s="395">
        <f t="shared" si="856"/>
        <v>8.9498700000000007</v>
      </c>
      <c r="AQ1099" s="393"/>
      <c r="AR1099" s="523"/>
      <c r="AS1099" s="393"/>
      <c r="AT1099" s="573"/>
      <c r="AU1099" s="394"/>
      <c r="AV1099" s="394"/>
      <c r="AW1099" s="394"/>
      <c r="AX1099" s="394"/>
      <c r="AY1099" s="394"/>
      <c r="AZ1099" s="394"/>
      <c r="BA1099" s="394"/>
      <c r="BB1099" s="394"/>
      <c r="BC1099" s="394"/>
      <c r="BD1099" s="381"/>
      <c r="BE1099" s="408"/>
      <c r="BF1099" s="385"/>
      <c r="BG1099" s="475"/>
      <c r="BH1099" s="395"/>
      <c r="BI1099" s="395" t="e">
        <f t="shared" si="857"/>
        <v>#DIV/0!</v>
      </c>
    </row>
    <row r="1100" spans="1:61" s="358" customFormat="1" ht="19.2" x14ac:dyDescent="0.3">
      <c r="A1100" s="359" t="s">
        <v>1897</v>
      </c>
      <c r="B1100" s="572" t="s">
        <v>3655</v>
      </c>
      <c r="C1100" s="546" t="s">
        <v>2738</v>
      </c>
      <c r="D1100" s="360">
        <v>0.22</v>
      </c>
      <c r="E1100" s="393"/>
      <c r="F1100" s="523"/>
      <c r="G1100" s="393"/>
      <c r="H1100" s="573"/>
      <c r="I1100" s="394"/>
      <c r="J1100" s="394"/>
      <c r="K1100" s="394"/>
      <c r="L1100" s="394"/>
      <c r="M1100" s="394"/>
      <c r="N1100" s="394"/>
      <c r="O1100" s="394"/>
      <c r="P1100" s="394"/>
      <c r="Q1100" s="394"/>
      <c r="R1100" s="381"/>
      <c r="S1100" s="408"/>
      <c r="T1100" s="385"/>
      <c r="U1100" s="475"/>
      <c r="V1100" s="395"/>
      <c r="W1100" s="395"/>
      <c r="X1100" s="393"/>
      <c r="Y1100" s="523">
        <v>1</v>
      </c>
      <c r="Z1100" s="393"/>
      <c r="AA1100" s="573">
        <v>8.9498599999999993</v>
      </c>
      <c r="AB1100" s="394">
        <v>6.1880699999999997</v>
      </c>
      <c r="AC1100" s="394">
        <v>5.2083399999999997</v>
      </c>
      <c r="AD1100" s="394"/>
      <c r="AE1100" s="394"/>
      <c r="AF1100" s="394">
        <v>0</v>
      </c>
      <c r="AG1100" s="394">
        <v>0</v>
      </c>
      <c r="AH1100" s="394">
        <v>0.64385000000000003</v>
      </c>
      <c r="AI1100" s="394">
        <v>5.2083399999999997</v>
      </c>
      <c r="AJ1100" s="394"/>
      <c r="AK1100" s="381" t="s">
        <v>167</v>
      </c>
      <c r="AL1100" s="408" t="s">
        <v>175</v>
      </c>
      <c r="AM1100" s="385"/>
      <c r="AN1100" s="475">
        <v>650</v>
      </c>
      <c r="AO1100" s="395"/>
      <c r="AP1100" s="395">
        <f t="shared" si="856"/>
        <v>8.9498599999999993</v>
      </c>
      <c r="AQ1100" s="393"/>
      <c r="AR1100" s="523"/>
      <c r="AS1100" s="393"/>
      <c r="AT1100" s="573"/>
      <c r="AU1100" s="394"/>
      <c r="AV1100" s="394"/>
      <c r="AW1100" s="394"/>
      <c r="AX1100" s="394"/>
      <c r="AY1100" s="394"/>
      <c r="AZ1100" s="394"/>
      <c r="BA1100" s="394"/>
      <c r="BB1100" s="394"/>
      <c r="BC1100" s="394"/>
      <c r="BD1100" s="381"/>
      <c r="BE1100" s="408"/>
      <c r="BF1100" s="385"/>
      <c r="BG1100" s="475"/>
      <c r="BH1100" s="395"/>
      <c r="BI1100" s="395" t="e">
        <f t="shared" si="857"/>
        <v>#DIV/0!</v>
      </c>
    </row>
    <row r="1101" spans="1:61" s="358" customFormat="1" ht="19.2" x14ac:dyDescent="0.3">
      <c r="A1101" s="359" t="s">
        <v>1898</v>
      </c>
      <c r="B1101" s="572" t="s">
        <v>3656</v>
      </c>
      <c r="C1101" s="546" t="s">
        <v>2739</v>
      </c>
      <c r="D1101" s="360">
        <v>0.22</v>
      </c>
      <c r="E1101" s="393"/>
      <c r="F1101" s="523"/>
      <c r="G1101" s="393"/>
      <c r="H1101" s="573"/>
      <c r="I1101" s="394"/>
      <c r="J1101" s="394"/>
      <c r="K1101" s="394"/>
      <c r="L1101" s="394"/>
      <c r="M1101" s="394"/>
      <c r="N1101" s="394"/>
      <c r="O1101" s="394"/>
      <c r="P1101" s="394"/>
      <c r="Q1101" s="394"/>
      <c r="R1101" s="381"/>
      <c r="S1101" s="408"/>
      <c r="T1101" s="385"/>
      <c r="U1101" s="475"/>
      <c r="V1101" s="395"/>
      <c r="W1101" s="395"/>
      <c r="X1101" s="393"/>
      <c r="Y1101" s="523">
        <v>1</v>
      </c>
      <c r="Z1101" s="393"/>
      <c r="AA1101" s="573">
        <v>8.94984</v>
      </c>
      <c r="AB1101" s="394">
        <v>6.1880499999999996</v>
      </c>
      <c r="AC1101" s="394">
        <v>5.20831</v>
      </c>
      <c r="AD1101" s="394"/>
      <c r="AE1101" s="394"/>
      <c r="AF1101" s="394">
        <v>0</v>
      </c>
      <c r="AG1101" s="394">
        <v>0</v>
      </c>
      <c r="AH1101" s="394">
        <v>0.64385000000000003</v>
      </c>
      <c r="AI1101" s="394">
        <v>5.20831</v>
      </c>
      <c r="AJ1101" s="394"/>
      <c r="AK1101" s="381" t="s">
        <v>167</v>
      </c>
      <c r="AL1101" s="408" t="s">
        <v>175</v>
      </c>
      <c r="AM1101" s="385"/>
      <c r="AN1101" s="475">
        <v>651</v>
      </c>
      <c r="AO1101" s="395"/>
      <c r="AP1101" s="395">
        <f t="shared" si="856"/>
        <v>8.94984</v>
      </c>
      <c r="AQ1101" s="393"/>
      <c r="AR1101" s="523"/>
      <c r="AS1101" s="393"/>
      <c r="AT1101" s="573"/>
      <c r="AU1101" s="394"/>
      <c r="AV1101" s="394"/>
      <c r="AW1101" s="394"/>
      <c r="AX1101" s="394"/>
      <c r="AY1101" s="394"/>
      <c r="AZ1101" s="394"/>
      <c r="BA1101" s="394"/>
      <c r="BB1101" s="394"/>
      <c r="BC1101" s="394"/>
      <c r="BD1101" s="381"/>
      <c r="BE1101" s="408"/>
      <c r="BF1101" s="385"/>
      <c r="BG1101" s="475"/>
      <c r="BH1101" s="395"/>
      <c r="BI1101" s="395" t="e">
        <f t="shared" si="857"/>
        <v>#DIV/0!</v>
      </c>
    </row>
    <row r="1102" spans="1:61" s="358" customFormat="1" ht="19.2" x14ac:dyDescent="0.3">
      <c r="A1102" s="359" t="s">
        <v>1899</v>
      </c>
      <c r="B1102" s="572" t="s">
        <v>3657</v>
      </c>
      <c r="C1102" s="546" t="s">
        <v>2740</v>
      </c>
      <c r="D1102" s="360">
        <v>0.22</v>
      </c>
      <c r="E1102" s="393"/>
      <c r="F1102" s="523"/>
      <c r="G1102" s="393"/>
      <c r="H1102" s="573"/>
      <c r="I1102" s="394"/>
      <c r="J1102" s="394"/>
      <c r="K1102" s="394"/>
      <c r="L1102" s="394"/>
      <c r="M1102" s="394"/>
      <c r="N1102" s="394"/>
      <c r="O1102" s="394"/>
      <c r="P1102" s="394"/>
      <c r="Q1102" s="394"/>
      <c r="R1102" s="381"/>
      <c r="S1102" s="408"/>
      <c r="T1102" s="385"/>
      <c r="U1102" s="475"/>
      <c r="V1102" s="395"/>
      <c r="W1102" s="395"/>
      <c r="X1102" s="393"/>
      <c r="Y1102" s="523">
        <v>1</v>
      </c>
      <c r="Z1102" s="393"/>
      <c r="AA1102" s="573">
        <v>6.7109500000000004</v>
      </c>
      <c r="AB1102" s="394">
        <v>6.2652900000000002</v>
      </c>
      <c r="AC1102" s="394">
        <v>5.8928399999999996</v>
      </c>
      <c r="AD1102" s="394"/>
      <c r="AE1102" s="394"/>
      <c r="AF1102" s="394">
        <v>0</v>
      </c>
      <c r="AG1102" s="394">
        <v>0</v>
      </c>
      <c r="AH1102" s="394">
        <v>0.10390000000000001</v>
      </c>
      <c r="AI1102" s="394">
        <v>5.8928399999999996</v>
      </c>
      <c r="AJ1102" s="394"/>
      <c r="AK1102" s="381" t="s">
        <v>167</v>
      </c>
      <c r="AL1102" s="408" t="s">
        <v>175</v>
      </c>
      <c r="AM1102" s="385"/>
      <c r="AN1102" s="475">
        <v>652</v>
      </c>
      <c r="AO1102" s="395"/>
      <c r="AP1102" s="395">
        <f t="shared" si="856"/>
        <v>6.7109500000000004</v>
      </c>
      <c r="AQ1102" s="393"/>
      <c r="AR1102" s="523"/>
      <c r="AS1102" s="393"/>
      <c r="AT1102" s="573"/>
      <c r="AU1102" s="394"/>
      <c r="AV1102" s="394"/>
      <c r="AW1102" s="394"/>
      <c r="AX1102" s="394"/>
      <c r="AY1102" s="394"/>
      <c r="AZ1102" s="394"/>
      <c r="BA1102" s="394"/>
      <c r="BB1102" s="394"/>
      <c r="BC1102" s="394"/>
      <c r="BD1102" s="381"/>
      <c r="BE1102" s="408"/>
      <c r="BF1102" s="385"/>
      <c r="BG1102" s="475"/>
      <c r="BH1102" s="395"/>
      <c r="BI1102" s="395" t="e">
        <f t="shared" si="857"/>
        <v>#DIV/0!</v>
      </c>
    </row>
    <row r="1103" spans="1:61" s="358" customFormat="1" ht="19.2" x14ac:dyDescent="0.3">
      <c r="A1103" s="359" t="s">
        <v>1900</v>
      </c>
      <c r="B1103" s="572" t="s">
        <v>1636</v>
      </c>
      <c r="C1103" s="546" t="s">
        <v>2741</v>
      </c>
      <c r="D1103" s="360">
        <v>0.22</v>
      </c>
      <c r="E1103" s="393"/>
      <c r="F1103" s="523"/>
      <c r="G1103" s="393"/>
      <c r="H1103" s="573"/>
      <c r="I1103" s="394"/>
      <c r="J1103" s="394"/>
      <c r="K1103" s="394"/>
      <c r="L1103" s="394"/>
      <c r="M1103" s="394"/>
      <c r="N1103" s="394"/>
      <c r="O1103" s="394"/>
      <c r="P1103" s="394"/>
      <c r="Q1103" s="394"/>
      <c r="R1103" s="381"/>
      <c r="S1103" s="408"/>
      <c r="T1103" s="385"/>
      <c r="U1103" s="475"/>
      <c r="V1103" s="395"/>
      <c r="W1103" s="395"/>
      <c r="X1103" s="393"/>
      <c r="Y1103" s="523">
        <v>1</v>
      </c>
      <c r="Z1103" s="393"/>
      <c r="AA1103" s="573">
        <v>8.94984</v>
      </c>
      <c r="AB1103" s="394">
        <v>6.1880499999999996</v>
      </c>
      <c r="AC1103" s="394">
        <v>5.20831</v>
      </c>
      <c r="AD1103" s="394"/>
      <c r="AE1103" s="394"/>
      <c r="AF1103" s="394">
        <v>0</v>
      </c>
      <c r="AG1103" s="394">
        <v>0</v>
      </c>
      <c r="AH1103" s="394">
        <v>0.64385000000000003</v>
      </c>
      <c r="AI1103" s="394">
        <v>5.20831</v>
      </c>
      <c r="AJ1103" s="394"/>
      <c r="AK1103" s="381" t="s">
        <v>167</v>
      </c>
      <c r="AL1103" s="408" t="s">
        <v>175</v>
      </c>
      <c r="AM1103" s="385"/>
      <c r="AN1103" s="475">
        <v>653</v>
      </c>
      <c r="AO1103" s="395"/>
      <c r="AP1103" s="395">
        <f t="shared" si="856"/>
        <v>8.94984</v>
      </c>
      <c r="AQ1103" s="393"/>
      <c r="AR1103" s="523"/>
      <c r="AS1103" s="393"/>
      <c r="AT1103" s="573"/>
      <c r="AU1103" s="394"/>
      <c r="AV1103" s="394"/>
      <c r="AW1103" s="394"/>
      <c r="AX1103" s="394"/>
      <c r="AY1103" s="394"/>
      <c r="AZ1103" s="394"/>
      <c r="BA1103" s="394"/>
      <c r="BB1103" s="394"/>
      <c r="BC1103" s="394"/>
      <c r="BD1103" s="381"/>
      <c r="BE1103" s="408"/>
      <c r="BF1103" s="385"/>
      <c r="BG1103" s="475"/>
      <c r="BH1103" s="395"/>
      <c r="BI1103" s="395" t="e">
        <f t="shared" si="857"/>
        <v>#DIV/0!</v>
      </c>
    </row>
    <row r="1104" spans="1:61" s="358" customFormat="1" ht="19.2" x14ac:dyDescent="0.3">
      <c r="A1104" s="359" t="s">
        <v>1917</v>
      </c>
      <c r="B1104" s="572" t="s">
        <v>3658</v>
      </c>
      <c r="C1104" s="546" t="s">
        <v>2742</v>
      </c>
      <c r="D1104" s="360">
        <v>0.22</v>
      </c>
      <c r="E1104" s="393"/>
      <c r="F1104" s="523"/>
      <c r="G1104" s="393"/>
      <c r="H1104" s="573"/>
      <c r="I1104" s="394"/>
      <c r="J1104" s="394"/>
      <c r="K1104" s="394"/>
      <c r="L1104" s="394"/>
      <c r="M1104" s="394"/>
      <c r="N1104" s="394"/>
      <c r="O1104" s="394"/>
      <c r="P1104" s="394"/>
      <c r="Q1104" s="394"/>
      <c r="R1104" s="381"/>
      <c r="S1104" s="408"/>
      <c r="T1104" s="385"/>
      <c r="U1104" s="475"/>
      <c r="V1104" s="395"/>
      <c r="W1104" s="395"/>
      <c r="X1104" s="393"/>
      <c r="Y1104" s="523">
        <v>1</v>
      </c>
      <c r="Z1104" s="393"/>
      <c r="AA1104" s="573">
        <v>9.6803100000000004</v>
      </c>
      <c r="AB1104" s="394">
        <v>6.91852</v>
      </c>
      <c r="AC1104" s="394">
        <v>5.8928399999999996</v>
      </c>
      <c r="AD1104" s="394"/>
      <c r="AE1104" s="394"/>
      <c r="AF1104" s="394">
        <v>0</v>
      </c>
      <c r="AG1104" s="394">
        <v>0</v>
      </c>
      <c r="AH1104" s="394">
        <v>0.64385000000000003</v>
      </c>
      <c r="AI1104" s="394">
        <v>5.8928399999999996</v>
      </c>
      <c r="AJ1104" s="394"/>
      <c r="AK1104" s="381" t="s">
        <v>167</v>
      </c>
      <c r="AL1104" s="408" t="s">
        <v>175</v>
      </c>
      <c r="AM1104" s="385"/>
      <c r="AN1104" s="475">
        <v>654</v>
      </c>
      <c r="AO1104" s="395"/>
      <c r="AP1104" s="395">
        <f t="shared" si="856"/>
        <v>9.6803100000000004</v>
      </c>
      <c r="AQ1104" s="393"/>
      <c r="AR1104" s="523"/>
      <c r="AS1104" s="393"/>
      <c r="AT1104" s="573"/>
      <c r="AU1104" s="394"/>
      <c r="AV1104" s="394"/>
      <c r="AW1104" s="394"/>
      <c r="AX1104" s="394"/>
      <c r="AY1104" s="394"/>
      <c r="AZ1104" s="394"/>
      <c r="BA1104" s="394"/>
      <c r="BB1104" s="394"/>
      <c r="BC1104" s="394"/>
      <c r="BD1104" s="381"/>
      <c r="BE1104" s="408"/>
      <c r="BF1104" s="385"/>
      <c r="BG1104" s="475"/>
      <c r="BH1104" s="395"/>
      <c r="BI1104" s="395" t="e">
        <f t="shared" si="857"/>
        <v>#DIV/0!</v>
      </c>
    </row>
    <row r="1105" spans="1:61" s="358" customFormat="1" ht="19.2" x14ac:dyDescent="0.3">
      <c r="A1105" s="359" t="s">
        <v>1902</v>
      </c>
      <c r="B1105" s="572" t="s">
        <v>3659</v>
      </c>
      <c r="C1105" s="546" t="s">
        <v>2743</v>
      </c>
      <c r="D1105" s="360">
        <v>0.22</v>
      </c>
      <c r="E1105" s="393"/>
      <c r="F1105" s="523"/>
      <c r="G1105" s="393"/>
      <c r="H1105" s="573"/>
      <c r="I1105" s="394"/>
      <c r="J1105" s="394"/>
      <c r="K1105" s="394"/>
      <c r="L1105" s="394"/>
      <c r="M1105" s="394"/>
      <c r="N1105" s="394"/>
      <c r="O1105" s="394"/>
      <c r="P1105" s="394"/>
      <c r="Q1105" s="394"/>
      <c r="R1105" s="381"/>
      <c r="S1105" s="408"/>
      <c r="T1105" s="385"/>
      <c r="U1105" s="475"/>
      <c r="V1105" s="395"/>
      <c r="W1105" s="395"/>
      <c r="X1105" s="393"/>
      <c r="Y1105" s="523">
        <v>1</v>
      </c>
      <c r="Z1105" s="393"/>
      <c r="AA1105" s="573">
        <v>6.7109500000000004</v>
      </c>
      <c r="AB1105" s="394">
        <v>6.2652900000000002</v>
      </c>
      <c r="AC1105" s="394">
        <v>5.8928399999999996</v>
      </c>
      <c r="AD1105" s="394"/>
      <c r="AE1105" s="394"/>
      <c r="AF1105" s="394">
        <v>0</v>
      </c>
      <c r="AG1105" s="394">
        <v>0</v>
      </c>
      <c r="AH1105" s="394">
        <v>0.10390000000000001</v>
      </c>
      <c r="AI1105" s="394">
        <v>5.8928399999999996</v>
      </c>
      <c r="AJ1105" s="394"/>
      <c r="AK1105" s="381" t="s">
        <v>167</v>
      </c>
      <c r="AL1105" s="408" t="s">
        <v>175</v>
      </c>
      <c r="AM1105" s="385"/>
      <c r="AN1105" s="475">
        <v>655</v>
      </c>
      <c r="AO1105" s="395"/>
      <c r="AP1105" s="395">
        <f t="shared" si="856"/>
        <v>6.7109500000000004</v>
      </c>
      <c r="AQ1105" s="393"/>
      <c r="AR1105" s="523"/>
      <c r="AS1105" s="393"/>
      <c r="AT1105" s="573"/>
      <c r="AU1105" s="394"/>
      <c r="AV1105" s="394"/>
      <c r="AW1105" s="394"/>
      <c r="AX1105" s="394"/>
      <c r="AY1105" s="394"/>
      <c r="AZ1105" s="394"/>
      <c r="BA1105" s="394"/>
      <c r="BB1105" s="394"/>
      <c r="BC1105" s="394"/>
      <c r="BD1105" s="381"/>
      <c r="BE1105" s="408"/>
      <c r="BF1105" s="385"/>
      <c r="BG1105" s="475"/>
      <c r="BH1105" s="395"/>
      <c r="BI1105" s="395" t="e">
        <f t="shared" si="857"/>
        <v>#DIV/0!</v>
      </c>
    </row>
    <row r="1106" spans="1:61" s="358" customFormat="1" ht="19.2" x14ac:dyDescent="0.3">
      <c r="A1106" s="359" t="s">
        <v>1903</v>
      </c>
      <c r="B1106" s="572" t="s">
        <v>3660</v>
      </c>
      <c r="C1106" s="546" t="s">
        <v>2744</v>
      </c>
      <c r="D1106" s="360">
        <v>0.22</v>
      </c>
      <c r="E1106" s="393"/>
      <c r="F1106" s="523"/>
      <c r="G1106" s="393"/>
      <c r="H1106" s="573"/>
      <c r="I1106" s="394"/>
      <c r="J1106" s="394"/>
      <c r="K1106" s="394"/>
      <c r="L1106" s="394"/>
      <c r="M1106" s="394"/>
      <c r="N1106" s="394"/>
      <c r="O1106" s="394"/>
      <c r="P1106" s="394"/>
      <c r="Q1106" s="394"/>
      <c r="R1106" s="381"/>
      <c r="S1106" s="408"/>
      <c r="T1106" s="385"/>
      <c r="U1106" s="475"/>
      <c r="V1106" s="395"/>
      <c r="W1106" s="395"/>
      <c r="X1106" s="393"/>
      <c r="Y1106" s="523">
        <v>1</v>
      </c>
      <c r="Z1106" s="393"/>
      <c r="AA1106" s="573">
        <v>6.71096</v>
      </c>
      <c r="AB1106" s="394">
        <v>6.2652999999999999</v>
      </c>
      <c r="AC1106" s="394">
        <v>5.8928500000000001</v>
      </c>
      <c r="AD1106" s="394"/>
      <c r="AE1106" s="394"/>
      <c r="AF1106" s="394">
        <v>0</v>
      </c>
      <c r="AG1106" s="394">
        <v>0</v>
      </c>
      <c r="AH1106" s="394">
        <v>0.10390000000000001</v>
      </c>
      <c r="AI1106" s="394">
        <v>5.8928500000000001</v>
      </c>
      <c r="AJ1106" s="394"/>
      <c r="AK1106" s="381" t="s">
        <v>167</v>
      </c>
      <c r="AL1106" s="408" t="s">
        <v>175</v>
      </c>
      <c r="AM1106" s="385"/>
      <c r="AN1106" s="475">
        <v>656</v>
      </c>
      <c r="AO1106" s="395"/>
      <c r="AP1106" s="395">
        <f t="shared" si="856"/>
        <v>6.71096</v>
      </c>
      <c r="AQ1106" s="393"/>
      <c r="AR1106" s="523"/>
      <c r="AS1106" s="393"/>
      <c r="AT1106" s="573"/>
      <c r="AU1106" s="394"/>
      <c r="AV1106" s="394"/>
      <c r="AW1106" s="394"/>
      <c r="AX1106" s="394"/>
      <c r="AY1106" s="394"/>
      <c r="AZ1106" s="394"/>
      <c r="BA1106" s="394"/>
      <c r="BB1106" s="394"/>
      <c r="BC1106" s="394"/>
      <c r="BD1106" s="381"/>
      <c r="BE1106" s="408"/>
      <c r="BF1106" s="385"/>
      <c r="BG1106" s="475"/>
      <c r="BH1106" s="395"/>
      <c r="BI1106" s="395" t="e">
        <f t="shared" si="857"/>
        <v>#DIV/0!</v>
      </c>
    </row>
    <row r="1107" spans="1:61" s="358" customFormat="1" ht="19.2" x14ac:dyDescent="0.3">
      <c r="A1107" s="359" t="s">
        <v>1888</v>
      </c>
      <c r="B1107" s="572" t="s">
        <v>3661</v>
      </c>
      <c r="C1107" s="546" t="s">
        <v>2745</v>
      </c>
      <c r="D1107" s="360">
        <v>0.22</v>
      </c>
      <c r="E1107" s="393"/>
      <c r="F1107" s="523"/>
      <c r="G1107" s="393"/>
      <c r="H1107" s="573"/>
      <c r="I1107" s="394"/>
      <c r="J1107" s="394"/>
      <c r="K1107" s="394"/>
      <c r="L1107" s="394"/>
      <c r="M1107" s="394"/>
      <c r="N1107" s="394"/>
      <c r="O1107" s="394"/>
      <c r="P1107" s="394"/>
      <c r="Q1107" s="394"/>
      <c r="R1107" s="381"/>
      <c r="S1107" s="408"/>
      <c r="T1107" s="385"/>
      <c r="U1107" s="475"/>
      <c r="V1107" s="395"/>
      <c r="W1107" s="395"/>
      <c r="X1107" s="393"/>
      <c r="Y1107" s="523">
        <v>1</v>
      </c>
      <c r="Z1107" s="393"/>
      <c r="AA1107" s="573">
        <v>6.02644</v>
      </c>
      <c r="AB1107" s="394">
        <v>5.5807799999999999</v>
      </c>
      <c r="AC1107" s="394">
        <v>5.2083300000000001</v>
      </c>
      <c r="AD1107" s="394"/>
      <c r="AE1107" s="394"/>
      <c r="AF1107" s="394">
        <v>0</v>
      </c>
      <c r="AG1107" s="394">
        <v>0</v>
      </c>
      <c r="AH1107" s="394">
        <v>0.10390000000000001</v>
      </c>
      <c r="AI1107" s="394">
        <v>5.2083300000000001</v>
      </c>
      <c r="AJ1107" s="394"/>
      <c r="AK1107" s="381" t="s">
        <v>167</v>
      </c>
      <c r="AL1107" s="408" t="s">
        <v>175</v>
      </c>
      <c r="AM1107" s="385"/>
      <c r="AN1107" s="475">
        <v>657</v>
      </c>
      <c r="AO1107" s="395"/>
      <c r="AP1107" s="395">
        <f t="shared" si="856"/>
        <v>6.02644</v>
      </c>
      <c r="AQ1107" s="393"/>
      <c r="AR1107" s="523"/>
      <c r="AS1107" s="393"/>
      <c r="AT1107" s="573"/>
      <c r="AU1107" s="394"/>
      <c r="AV1107" s="394"/>
      <c r="AW1107" s="394"/>
      <c r="AX1107" s="394"/>
      <c r="AY1107" s="394"/>
      <c r="AZ1107" s="394"/>
      <c r="BA1107" s="394"/>
      <c r="BB1107" s="394"/>
      <c r="BC1107" s="394"/>
      <c r="BD1107" s="381"/>
      <c r="BE1107" s="408"/>
      <c r="BF1107" s="385"/>
      <c r="BG1107" s="475"/>
      <c r="BH1107" s="395"/>
      <c r="BI1107" s="395" t="e">
        <f t="shared" si="857"/>
        <v>#DIV/0!</v>
      </c>
    </row>
    <row r="1108" spans="1:61" s="358" customFormat="1" ht="19.2" x14ac:dyDescent="0.3">
      <c r="A1108" s="359" t="s">
        <v>1921</v>
      </c>
      <c r="B1108" s="572" t="s">
        <v>3662</v>
      </c>
      <c r="C1108" s="546" t="s">
        <v>2746</v>
      </c>
      <c r="D1108" s="360">
        <v>0.22</v>
      </c>
      <c r="E1108" s="393"/>
      <c r="F1108" s="523"/>
      <c r="G1108" s="393"/>
      <c r="H1108" s="573"/>
      <c r="I1108" s="394"/>
      <c r="J1108" s="394"/>
      <c r="K1108" s="394"/>
      <c r="L1108" s="394"/>
      <c r="M1108" s="394"/>
      <c r="N1108" s="394"/>
      <c r="O1108" s="394"/>
      <c r="P1108" s="394"/>
      <c r="Q1108" s="394"/>
      <c r="R1108" s="381"/>
      <c r="S1108" s="408"/>
      <c r="T1108" s="385"/>
      <c r="U1108" s="475"/>
      <c r="V1108" s="395"/>
      <c r="W1108" s="395"/>
      <c r="X1108" s="393"/>
      <c r="Y1108" s="523">
        <v>1</v>
      </c>
      <c r="Z1108" s="393"/>
      <c r="AA1108" s="573">
        <v>9.6803100000000004</v>
      </c>
      <c r="AB1108" s="394">
        <v>6.91852</v>
      </c>
      <c r="AC1108" s="394">
        <v>5.8928399999999996</v>
      </c>
      <c r="AD1108" s="394"/>
      <c r="AE1108" s="394"/>
      <c r="AF1108" s="394">
        <v>0</v>
      </c>
      <c r="AG1108" s="394">
        <v>0</v>
      </c>
      <c r="AH1108" s="394">
        <v>0.64385000000000003</v>
      </c>
      <c r="AI1108" s="394">
        <v>5.8928399999999996</v>
      </c>
      <c r="AJ1108" s="394"/>
      <c r="AK1108" s="381" t="s">
        <v>167</v>
      </c>
      <c r="AL1108" s="408" t="s">
        <v>175</v>
      </c>
      <c r="AM1108" s="385"/>
      <c r="AN1108" s="475">
        <v>658</v>
      </c>
      <c r="AO1108" s="395"/>
      <c r="AP1108" s="395">
        <f t="shared" si="856"/>
        <v>9.6803100000000004</v>
      </c>
      <c r="AQ1108" s="393"/>
      <c r="AR1108" s="523"/>
      <c r="AS1108" s="393"/>
      <c r="AT1108" s="573"/>
      <c r="AU1108" s="394"/>
      <c r="AV1108" s="394"/>
      <c r="AW1108" s="394"/>
      <c r="AX1108" s="394"/>
      <c r="AY1108" s="394"/>
      <c r="AZ1108" s="394"/>
      <c r="BA1108" s="394"/>
      <c r="BB1108" s="394"/>
      <c r="BC1108" s="394"/>
      <c r="BD1108" s="381"/>
      <c r="BE1108" s="408"/>
      <c r="BF1108" s="385"/>
      <c r="BG1108" s="475"/>
      <c r="BH1108" s="395"/>
      <c r="BI1108" s="395" t="e">
        <f t="shared" si="857"/>
        <v>#DIV/0!</v>
      </c>
    </row>
    <row r="1109" spans="1:61" s="358" customFormat="1" ht="19.2" x14ac:dyDescent="0.3">
      <c r="A1109" s="359" t="s">
        <v>1906</v>
      </c>
      <c r="B1109" s="572" t="s">
        <v>3663</v>
      </c>
      <c r="C1109" s="546" t="s">
        <v>2747</v>
      </c>
      <c r="D1109" s="360">
        <v>0.22</v>
      </c>
      <c r="E1109" s="393"/>
      <c r="F1109" s="523"/>
      <c r="G1109" s="393"/>
      <c r="H1109" s="573"/>
      <c r="I1109" s="394"/>
      <c r="J1109" s="394"/>
      <c r="K1109" s="394"/>
      <c r="L1109" s="394"/>
      <c r="M1109" s="394"/>
      <c r="N1109" s="394"/>
      <c r="O1109" s="394"/>
      <c r="P1109" s="394"/>
      <c r="Q1109" s="394"/>
      <c r="R1109" s="381"/>
      <c r="S1109" s="408"/>
      <c r="T1109" s="385"/>
      <c r="U1109" s="475"/>
      <c r="V1109" s="395"/>
      <c r="W1109" s="395"/>
      <c r="X1109" s="393"/>
      <c r="Y1109" s="523">
        <v>1</v>
      </c>
      <c r="Z1109" s="393"/>
      <c r="AA1109" s="573">
        <v>9.6803000000000008</v>
      </c>
      <c r="AB1109" s="394">
        <v>6.9185100000000004</v>
      </c>
      <c r="AC1109" s="394">
        <v>5.8928399999999996</v>
      </c>
      <c r="AD1109" s="394"/>
      <c r="AE1109" s="394"/>
      <c r="AF1109" s="394">
        <v>0</v>
      </c>
      <c r="AG1109" s="394">
        <v>0</v>
      </c>
      <c r="AH1109" s="394">
        <v>0.64385000000000003</v>
      </c>
      <c r="AI1109" s="394">
        <v>5.8928399999999996</v>
      </c>
      <c r="AJ1109" s="394"/>
      <c r="AK1109" s="381" t="s">
        <v>167</v>
      </c>
      <c r="AL1109" s="408" t="s">
        <v>175</v>
      </c>
      <c r="AM1109" s="385"/>
      <c r="AN1109" s="475">
        <v>659</v>
      </c>
      <c r="AO1109" s="395"/>
      <c r="AP1109" s="395">
        <f t="shared" si="856"/>
        <v>9.6803000000000008</v>
      </c>
      <c r="AQ1109" s="393"/>
      <c r="AR1109" s="523"/>
      <c r="AS1109" s="393"/>
      <c r="AT1109" s="573"/>
      <c r="AU1109" s="394"/>
      <c r="AV1109" s="394"/>
      <c r="AW1109" s="394"/>
      <c r="AX1109" s="394"/>
      <c r="AY1109" s="394"/>
      <c r="AZ1109" s="394"/>
      <c r="BA1109" s="394"/>
      <c r="BB1109" s="394"/>
      <c r="BC1109" s="394"/>
      <c r="BD1109" s="381"/>
      <c r="BE1109" s="408"/>
      <c r="BF1109" s="385"/>
      <c r="BG1109" s="475"/>
      <c r="BH1109" s="395"/>
      <c r="BI1109" s="395" t="e">
        <f t="shared" si="857"/>
        <v>#DIV/0!</v>
      </c>
    </row>
    <row r="1110" spans="1:61" s="358" customFormat="1" ht="19.2" x14ac:dyDescent="0.3">
      <c r="A1110" s="359" t="s">
        <v>1907</v>
      </c>
      <c r="B1110" s="572" t="s">
        <v>3664</v>
      </c>
      <c r="C1110" s="546" t="s">
        <v>2748</v>
      </c>
      <c r="D1110" s="360">
        <v>0.22</v>
      </c>
      <c r="E1110" s="393"/>
      <c r="F1110" s="523"/>
      <c r="G1110" s="393"/>
      <c r="H1110" s="573"/>
      <c r="I1110" s="394"/>
      <c r="J1110" s="394"/>
      <c r="K1110" s="394"/>
      <c r="L1110" s="394"/>
      <c r="M1110" s="394"/>
      <c r="N1110" s="394"/>
      <c r="O1110" s="394"/>
      <c r="P1110" s="394"/>
      <c r="Q1110" s="394"/>
      <c r="R1110" s="381"/>
      <c r="S1110" s="408"/>
      <c r="T1110" s="385"/>
      <c r="U1110" s="475"/>
      <c r="V1110" s="395"/>
      <c r="W1110" s="395"/>
      <c r="X1110" s="393"/>
      <c r="Y1110" s="523">
        <v>1</v>
      </c>
      <c r="Z1110" s="393"/>
      <c r="AA1110" s="573">
        <v>6.7109500000000004</v>
      </c>
      <c r="AB1110" s="394">
        <v>6.2652900000000002</v>
      </c>
      <c r="AC1110" s="394">
        <v>5.8928399999999996</v>
      </c>
      <c r="AD1110" s="394"/>
      <c r="AE1110" s="394"/>
      <c r="AF1110" s="394">
        <v>0</v>
      </c>
      <c r="AG1110" s="394">
        <v>0</v>
      </c>
      <c r="AH1110" s="394">
        <v>0.10390000000000001</v>
      </c>
      <c r="AI1110" s="394">
        <v>5.8928399999999996</v>
      </c>
      <c r="AJ1110" s="394"/>
      <c r="AK1110" s="381" t="s">
        <v>167</v>
      </c>
      <c r="AL1110" s="408" t="s">
        <v>175</v>
      </c>
      <c r="AM1110" s="385"/>
      <c r="AN1110" s="475">
        <v>660</v>
      </c>
      <c r="AO1110" s="395"/>
      <c r="AP1110" s="395">
        <f t="shared" si="856"/>
        <v>6.7109500000000004</v>
      </c>
      <c r="AQ1110" s="393"/>
      <c r="AR1110" s="523"/>
      <c r="AS1110" s="393"/>
      <c r="AT1110" s="573"/>
      <c r="AU1110" s="394"/>
      <c r="AV1110" s="394"/>
      <c r="AW1110" s="394"/>
      <c r="AX1110" s="394"/>
      <c r="AY1110" s="394"/>
      <c r="AZ1110" s="394"/>
      <c r="BA1110" s="394"/>
      <c r="BB1110" s="394"/>
      <c r="BC1110" s="394"/>
      <c r="BD1110" s="381"/>
      <c r="BE1110" s="408"/>
      <c r="BF1110" s="385"/>
      <c r="BG1110" s="475"/>
      <c r="BH1110" s="395"/>
      <c r="BI1110" s="395" t="e">
        <f t="shared" si="857"/>
        <v>#DIV/0!</v>
      </c>
    </row>
    <row r="1111" spans="1:61" s="358" customFormat="1" ht="19.2" x14ac:dyDescent="0.3">
      <c r="A1111" s="359" t="s">
        <v>1908</v>
      </c>
      <c r="B1111" s="572" t="s">
        <v>3665</v>
      </c>
      <c r="C1111" s="546" t="s">
        <v>2749</v>
      </c>
      <c r="D1111" s="360">
        <v>0.22</v>
      </c>
      <c r="E1111" s="393"/>
      <c r="F1111" s="523"/>
      <c r="G1111" s="393"/>
      <c r="H1111" s="573"/>
      <c r="I1111" s="394"/>
      <c r="J1111" s="394"/>
      <c r="K1111" s="394"/>
      <c r="L1111" s="394"/>
      <c r="M1111" s="394"/>
      <c r="N1111" s="394"/>
      <c r="O1111" s="394"/>
      <c r="P1111" s="394"/>
      <c r="Q1111" s="394"/>
      <c r="R1111" s="381"/>
      <c r="S1111" s="408"/>
      <c r="T1111" s="385"/>
      <c r="U1111" s="475"/>
      <c r="V1111" s="395"/>
      <c r="W1111" s="395"/>
      <c r="X1111" s="393"/>
      <c r="Y1111" s="523">
        <v>1</v>
      </c>
      <c r="Z1111" s="393"/>
      <c r="AA1111" s="573">
        <v>6.71096</v>
      </c>
      <c r="AB1111" s="394">
        <v>6.2652999999999999</v>
      </c>
      <c r="AC1111" s="394">
        <v>5.8928399999999996</v>
      </c>
      <c r="AD1111" s="394"/>
      <c r="AE1111" s="394"/>
      <c r="AF1111" s="394">
        <v>0</v>
      </c>
      <c r="AG1111" s="394">
        <v>0</v>
      </c>
      <c r="AH1111" s="394">
        <v>0.10390000000000001</v>
      </c>
      <c r="AI1111" s="394">
        <v>5.8928399999999996</v>
      </c>
      <c r="AJ1111" s="394"/>
      <c r="AK1111" s="381" t="s">
        <v>167</v>
      </c>
      <c r="AL1111" s="408" t="s">
        <v>175</v>
      </c>
      <c r="AM1111" s="385"/>
      <c r="AN1111" s="475">
        <v>661</v>
      </c>
      <c r="AO1111" s="395"/>
      <c r="AP1111" s="395">
        <f t="shared" si="856"/>
        <v>6.71096</v>
      </c>
      <c r="AQ1111" s="393"/>
      <c r="AR1111" s="523"/>
      <c r="AS1111" s="393"/>
      <c r="AT1111" s="573"/>
      <c r="AU1111" s="394"/>
      <c r="AV1111" s="394"/>
      <c r="AW1111" s="394"/>
      <c r="AX1111" s="394"/>
      <c r="AY1111" s="394"/>
      <c r="AZ1111" s="394"/>
      <c r="BA1111" s="394"/>
      <c r="BB1111" s="394"/>
      <c r="BC1111" s="394"/>
      <c r="BD1111" s="381"/>
      <c r="BE1111" s="408"/>
      <c r="BF1111" s="385"/>
      <c r="BG1111" s="475"/>
      <c r="BH1111" s="395"/>
      <c r="BI1111" s="395" t="e">
        <f t="shared" si="857"/>
        <v>#DIV/0!</v>
      </c>
    </row>
    <row r="1112" spans="1:61" s="358" customFormat="1" ht="19.2" x14ac:dyDescent="0.3">
      <c r="A1112" s="359" t="s">
        <v>1909</v>
      </c>
      <c r="B1112" s="572" t="s">
        <v>3666</v>
      </c>
      <c r="C1112" s="546" t="s">
        <v>2750</v>
      </c>
      <c r="D1112" s="360">
        <v>0.22</v>
      </c>
      <c r="E1112" s="393"/>
      <c r="F1112" s="523"/>
      <c r="G1112" s="393"/>
      <c r="H1112" s="573"/>
      <c r="I1112" s="394"/>
      <c r="J1112" s="394"/>
      <c r="K1112" s="394"/>
      <c r="L1112" s="394"/>
      <c r="M1112" s="394"/>
      <c r="N1112" s="394"/>
      <c r="O1112" s="394"/>
      <c r="P1112" s="394"/>
      <c r="Q1112" s="394"/>
      <c r="R1112" s="381"/>
      <c r="S1112" s="408"/>
      <c r="T1112" s="385"/>
      <c r="U1112" s="475"/>
      <c r="V1112" s="395"/>
      <c r="W1112" s="395"/>
      <c r="X1112" s="393"/>
      <c r="Y1112" s="523">
        <v>1</v>
      </c>
      <c r="Z1112" s="393"/>
      <c r="AA1112" s="573">
        <v>5.9314099999999996</v>
      </c>
      <c r="AB1112" s="394">
        <v>5.46347</v>
      </c>
      <c r="AC1112" s="394">
        <v>5.2083300000000001</v>
      </c>
      <c r="AD1112" s="394"/>
      <c r="AE1112" s="394"/>
      <c r="AF1112" s="394">
        <v>0</v>
      </c>
      <c r="AG1112" s="394">
        <v>0</v>
      </c>
      <c r="AH1112" s="394">
        <v>0.10909000000000001</v>
      </c>
      <c r="AI1112" s="394">
        <v>5.2083300000000001</v>
      </c>
      <c r="AJ1112" s="394"/>
      <c r="AK1112" s="381" t="s">
        <v>167</v>
      </c>
      <c r="AL1112" s="408" t="s">
        <v>175</v>
      </c>
      <c r="AM1112" s="385"/>
      <c r="AN1112" s="475">
        <v>662</v>
      </c>
      <c r="AO1112" s="395"/>
      <c r="AP1112" s="395">
        <f t="shared" si="856"/>
        <v>5.9314099999999996</v>
      </c>
      <c r="AQ1112" s="393"/>
      <c r="AR1112" s="523"/>
      <c r="AS1112" s="393"/>
      <c r="AT1112" s="573"/>
      <c r="AU1112" s="394"/>
      <c r="AV1112" s="394"/>
      <c r="AW1112" s="394"/>
      <c r="AX1112" s="394"/>
      <c r="AY1112" s="394"/>
      <c r="AZ1112" s="394"/>
      <c r="BA1112" s="394"/>
      <c r="BB1112" s="394"/>
      <c r="BC1112" s="394"/>
      <c r="BD1112" s="381"/>
      <c r="BE1112" s="408"/>
      <c r="BF1112" s="385"/>
      <c r="BG1112" s="475"/>
      <c r="BH1112" s="395"/>
      <c r="BI1112" s="395" t="e">
        <f t="shared" si="857"/>
        <v>#DIV/0!</v>
      </c>
    </row>
    <row r="1113" spans="1:61" s="358" customFormat="1" ht="19.2" x14ac:dyDescent="0.3">
      <c r="A1113" s="359" t="s">
        <v>1910</v>
      </c>
      <c r="B1113" s="572" t="s">
        <v>3667</v>
      </c>
      <c r="C1113" s="546" t="s">
        <v>2751</v>
      </c>
      <c r="D1113" s="360">
        <v>0.22</v>
      </c>
      <c r="E1113" s="393"/>
      <c r="F1113" s="523"/>
      <c r="G1113" s="393"/>
      <c r="H1113" s="573"/>
      <c r="I1113" s="394"/>
      <c r="J1113" s="394"/>
      <c r="K1113" s="394"/>
      <c r="L1113" s="394"/>
      <c r="M1113" s="394"/>
      <c r="N1113" s="394"/>
      <c r="O1113" s="394"/>
      <c r="P1113" s="394"/>
      <c r="Q1113" s="394"/>
      <c r="R1113" s="381"/>
      <c r="S1113" s="408"/>
      <c r="T1113" s="385"/>
      <c r="U1113" s="475"/>
      <c r="V1113" s="395"/>
      <c r="W1113" s="395"/>
      <c r="X1113" s="393"/>
      <c r="Y1113" s="523">
        <v>1</v>
      </c>
      <c r="Z1113" s="393"/>
      <c r="AA1113" s="573">
        <v>5.9314099999999996</v>
      </c>
      <c r="AB1113" s="394">
        <v>5.46347</v>
      </c>
      <c r="AC1113" s="394">
        <v>5.2083300000000001</v>
      </c>
      <c r="AD1113" s="394"/>
      <c r="AE1113" s="394"/>
      <c r="AF1113" s="394">
        <v>0</v>
      </c>
      <c r="AG1113" s="394">
        <v>0</v>
      </c>
      <c r="AH1113" s="394">
        <v>0.10909000000000001</v>
      </c>
      <c r="AI1113" s="394">
        <v>5.2083300000000001</v>
      </c>
      <c r="AJ1113" s="394"/>
      <c r="AK1113" s="381" t="s">
        <v>167</v>
      </c>
      <c r="AL1113" s="408" t="s">
        <v>175</v>
      </c>
      <c r="AM1113" s="385"/>
      <c r="AN1113" s="475">
        <v>663</v>
      </c>
      <c r="AO1113" s="395"/>
      <c r="AP1113" s="395">
        <f t="shared" si="856"/>
        <v>5.9314099999999996</v>
      </c>
      <c r="AQ1113" s="393"/>
      <c r="AR1113" s="523"/>
      <c r="AS1113" s="393"/>
      <c r="AT1113" s="573"/>
      <c r="AU1113" s="394"/>
      <c r="AV1113" s="394"/>
      <c r="AW1113" s="394"/>
      <c r="AX1113" s="394"/>
      <c r="AY1113" s="394"/>
      <c r="AZ1113" s="394"/>
      <c r="BA1113" s="394"/>
      <c r="BB1113" s="394"/>
      <c r="BC1113" s="394"/>
      <c r="BD1113" s="381"/>
      <c r="BE1113" s="408"/>
      <c r="BF1113" s="385"/>
      <c r="BG1113" s="475"/>
      <c r="BH1113" s="395"/>
      <c r="BI1113" s="395" t="e">
        <f t="shared" si="857"/>
        <v>#DIV/0!</v>
      </c>
    </row>
    <row r="1114" spans="1:61" s="358" customFormat="1" ht="19.2" x14ac:dyDescent="0.3">
      <c r="A1114" s="359" t="s">
        <v>1911</v>
      </c>
      <c r="B1114" s="572" t="s">
        <v>3668</v>
      </c>
      <c r="C1114" s="546" t="s">
        <v>2752</v>
      </c>
      <c r="D1114" s="360">
        <v>0.22</v>
      </c>
      <c r="E1114" s="393"/>
      <c r="F1114" s="523"/>
      <c r="G1114" s="393"/>
      <c r="H1114" s="573"/>
      <c r="I1114" s="394"/>
      <c r="J1114" s="394"/>
      <c r="K1114" s="394"/>
      <c r="L1114" s="394"/>
      <c r="M1114" s="394"/>
      <c r="N1114" s="394"/>
      <c r="O1114" s="394"/>
      <c r="P1114" s="394"/>
      <c r="Q1114" s="394"/>
      <c r="R1114" s="381"/>
      <c r="S1114" s="408"/>
      <c r="T1114" s="385"/>
      <c r="U1114" s="475"/>
      <c r="V1114" s="395"/>
      <c r="W1114" s="395"/>
      <c r="X1114" s="393"/>
      <c r="Y1114" s="523">
        <v>1</v>
      </c>
      <c r="Z1114" s="393"/>
      <c r="AA1114" s="573">
        <v>9.5367300000000004</v>
      </c>
      <c r="AB1114" s="394">
        <v>6.6139200000000002</v>
      </c>
      <c r="AC1114" s="394">
        <v>5.2761500000000003</v>
      </c>
      <c r="AD1114" s="394"/>
      <c r="AE1114" s="394"/>
      <c r="AF1114" s="394">
        <v>0</v>
      </c>
      <c r="AG1114" s="394">
        <v>0</v>
      </c>
      <c r="AH1114" s="394">
        <v>0.68139000000000005</v>
      </c>
      <c r="AI1114" s="394">
        <v>5.2761500000000003</v>
      </c>
      <c r="AJ1114" s="394"/>
      <c r="AK1114" s="381" t="s">
        <v>167</v>
      </c>
      <c r="AL1114" s="408" t="s">
        <v>175</v>
      </c>
      <c r="AM1114" s="385"/>
      <c r="AN1114" s="475">
        <v>664</v>
      </c>
      <c r="AO1114" s="395"/>
      <c r="AP1114" s="395">
        <f t="shared" si="856"/>
        <v>9.5367300000000004</v>
      </c>
      <c r="AQ1114" s="393"/>
      <c r="AR1114" s="523"/>
      <c r="AS1114" s="393"/>
      <c r="AT1114" s="573"/>
      <c r="AU1114" s="394"/>
      <c r="AV1114" s="394"/>
      <c r="AW1114" s="394"/>
      <c r="AX1114" s="394"/>
      <c r="AY1114" s="394"/>
      <c r="AZ1114" s="394"/>
      <c r="BA1114" s="394"/>
      <c r="BB1114" s="394"/>
      <c r="BC1114" s="394"/>
      <c r="BD1114" s="381"/>
      <c r="BE1114" s="408"/>
      <c r="BF1114" s="385"/>
      <c r="BG1114" s="475"/>
      <c r="BH1114" s="395"/>
      <c r="BI1114" s="395" t="e">
        <f t="shared" si="857"/>
        <v>#DIV/0!</v>
      </c>
    </row>
    <row r="1115" spans="1:61" s="358" customFormat="1" ht="19.2" x14ac:dyDescent="0.3">
      <c r="A1115" s="359" t="s">
        <v>1912</v>
      </c>
      <c r="B1115" s="572" t="s">
        <v>3669</v>
      </c>
      <c r="C1115" s="546" t="s">
        <v>2753</v>
      </c>
      <c r="D1115" s="360">
        <v>0.22</v>
      </c>
      <c r="E1115" s="393"/>
      <c r="F1115" s="523"/>
      <c r="G1115" s="393"/>
      <c r="H1115" s="573"/>
      <c r="I1115" s="394"/>
      <c r="J1115" s="394"/>
      <c r="K1115" s="394"/>
      <c r="L1115" s="394"/>
      <c r="M1115" s="394"/>
      <c r="N1115" s="394"/>
      <c r="O1115" s="394"/>
      <c r="P1115" s="394"/>
      <c r="Q1115" s="394"/>
      <c r="R1115" s="381"/>
      <c r="S1115" s="408"/>
      <c r="T1115" s="385"/>
      <c r="U1115" s="475"/>
      <c r="V1115" s="395"/>
      <c r="W1115" s="395"/>
      <c r="X1115" s="393"/>
      <c r="Y1115" s="523">
        <v>1</v>
      </c>
      <c r="Z1115" s="393"/>
      <c r="AA1115" s="573">
        <v>9.5367599999999992</v>
      </c>
      <c r="AB1115" s="394">
        <v>6.61395</v>
      </c>
      <c r="AC1115" s="394">
        <v>5.2761500000000003</v>
      </c>
      <c r="AD1115" s="394"/>
      <c r="AE1115" s="394"/>
      <c r="AF1115" s="394">
        <v>0</v>
      </c>
      <c r="AG1115" s="394">
        <v>0</v>
      </c>
      <c r="AH1115" s="394">
        <v>0.68139000000000005</v>
      </c>
      <c r="AI1115" s="394">
        <v>5.2761500000000003</v>
      </c>
      <c r="AJ1115" s="394"/>
      <c r="AK1115" s="381" t="s">
        <v>167</v>
      </c>
      <c r="AL1115" s="408" t="s">
        <v>175</v>
      </c>
      <c r="AM1115" s="385"/>
      <c r="AN1115" s="475">
        <v>665</v>
      </c>
      <c r="AO1115" s="395"/>
      <c r="AP1115" s="395">
        <f t="shared" si="856"/>
        <v>9.5367599999999992</v>
      </c>
      <c r="AQ1115" s="393"/>
      <c r="AR1115" s="523"/>
      <c r="AS1115" s="393"/>
      <c r="AT1115" s="573"/>
      <c r="AU1115" s="394"/>
      <c r="AV1115" s="394"/>
      <c r="AW1115" s="394"/>
      <c r="AX1115" s="394"/>
      <c r="AY1115" s="394"/>
      <c r="AZ1115" s="394"/>
      <c r="BA1115" s="394"/>
      <c r="BB1115" s="394"/>
      <c r="BC1115" s="394"/>
      <c r="BD1115" s="381"/>
      <c r="BE1115" s="408"/>
      <c r="BF1115" s="385"/>
      <c r="BG1115" s="475"/>
      <c r="BH1115" s="395"/>
      <c r="BI1115" s="395" t="e">
        <f t="shared" si="857"/>
        <v>#DIV/0!</v>
      </c>
    </row>
    <row r="1116" spans="1:61" s="358" customFormat="1" ht="19.2" x14ac:dyDescent="0.3">
      <c r="A1116" s="359" t="s">
        <v>1913</v>
      </c>
      <c r="B1116" s="572" t="s">
        <v>3670</v>
      </c>
      <c r="C1116" s="546" t="s">
        <v>2754</v>
      </c>
      <c r="D1116" s="360">
        <v>0.22</v>
      </c>
      <c r="E1116" s="393"/>
      <c r="F1116" s="523"/>
      <c r="G1116" s="393"/>
      <c r="H1116" s="573"/>
      <c r="I1116" s="394"/>
      <c r="J1116" s="394"/>
      <c r="K1116" s="394"/>
      <c r="L1116" s="394"/>
      <c r="M1116" s="394"/>
      <c r="N1116" s="394"/>
      <c r="O1116" s="394"/>
      <c r="P1116" s="394"/>
      <c r="Q1116" s="394"/>
      <c r="R1116" s="381"/>
      <c r="S1116" s="408"/>
      <c r="T1116" s="385"/>
      <c r="U1116" s="475"/>
      <c r="V1116" s="395"/>
      <c r="W1116" s="395"/>
      <c r="X1116" s="393"/>
      <c r="Y1116" s="523">
        <v>1</v>
      </c>
      <c r="Z1116" s="393"/>
      <c r="AA1116" s="573">
        <v>9.5367300000000004</v>
      </c>
      <c r="AB1116" s="394">
        <v>6.6139200000000002</v>
      </c>
      <c r="AC1116" s="394">
        <v>5.2761500000000003</v>
      </c>
      <c r="AD1116" s="394"/>
      <c r="AE1116" s="394"/>
      <c r="AF1116" s="394">
        <v>0</v>
      </c>
      <c r="AG1116" s="394">
        <v>0</v>
      </c>
      <c r="AH1116" s="394">
        <v>0.68139000000000005</v>
      </c>
      <c r="AI1116" s="394">
        <v>5.2761500000000003</v>
      </c>
      <c r="AJ1116" s="394"/>
      <c r="AK1116" s="381" t="s">
        <v>167</v>
      </c>
      <c r="AL1116" s="408" t="s">
        <v>175</v>
      </c>
      <c r="AM1116" s="385"/>
      <c r="AN1116" s="475">
        <v>666</v>
      </c>
      <c r="AO1116" s="395"/>
      <c r="AP1116" s="395">
        <f t="shared" si="856"/>
        <v>9.5367300000000004</v>
      </c>
      <c r="AQ1116" s="393"/>
      <c r="AR1116" s="523"/>
      <c r="AS1116" s="393"/>
      <c r="AT1116" s="573"/>
      <c r="AU1116" s="394"/>
      <c r="AV1116" s="394"/>
      <c r="AW1116" s="394"/>
      <c r="AX1116" s="394"/>
      <c r="AY1116" s="394"/>
      <c r="AZ1116" s="394"/>
      <c r="BA1116" s="394"/>
      <c r="BB1116" s="394"/>
      <c r="BC1116" s="394"/>
      <c r="BD1116" s="381"/>
      <c r="BE1116" s="408"/>
      <c r="BF1116" s="385"/>
      <c r="BG1116" s="475"/>
      <c r="BH1116" s="395"/>
      <c r="BI1116" s="395" t="e">
        <f t="shared" si="857"/>
        <v>#DIV/0!</v>
      </c>
    </row>
    <row r="1117" spans="1:61" s="358" customFormat="1" ht="19.2" x14ac:dyDescent="0.3">
      <c r="A1117" s="359" t="s">
        <v>1914</v>
      </c>
      <c r="B1117" s="572" t="s">
        <v>3671</v>
      </c>
      <c r="C1117" s="546" t="s">
        <v>2755</v>
      </c>
      <c r="D1117" s="360">
        <v>0.22</v>
      </c>
      <c r="E1117" s="393"/>
      <c r="F1117" s="523"/>
      <c r="G1117" s="393"/>
      <c r="H1117" s="573"/>
      <c r="I1117" s="394"/>
      <c r="J1117" s="394"/>
      <c r="K1117" s="394"/>
      <c r="L1117" s="394"/>
      <c r="M1117" s="394"/>
      <c r="N1117" s="394"/>
      <c r="O1117" s="394"/>
      <c r="P1117" s="394"/>
      <c r="Q1117" s="394"/>
      <c r="R1117" s="381"/>
      <c r="S1117" s="408"/>
      <c r="T1117" s="385"/>
      <c r="U1117" s="475"/>
      <c r="V1117" s="395"/>
      <c r="W1117" s="395"/>
      <c r="X1117" s="393"/>
      <c r="Y1117" s="523">
        <v>1</v>
      </c>
      <c r="Z1117" s="393"/>
      <c r="AA1117" s="573">
        <v>9.5367300000000004</v>
      </c>
      <c r="AB1117" s="394">
        <v>6.6139200000000002</v>
      </c>
      <c r="AC1117" s="394">
        <v>5.2761500000000003</v>
      </c>
      <c r="AD1117" s="394"/>
      <c r="AE1117" s="394"/>
      <c r="AF1117" s="394">
        <v>0</v>
      </c>
      <c r="AG1117" s="394">
        <v>0</v>
      </c>
      <c r="AH1117" s="394">
        <v>0.68139000000000005</v>
      </c>
      <c r="AI1117" s="394">
        <v>5.2761500000000003</v>
      </c>
      <c r="AJ1117" s="394"/>
      <c r="AK1117" s="381" t="s">
        <v>167</v>
      </c>
      <c r="AL1117" s="408" t="s">
        <v>175</v>
      </c>
      <c r="AM1117" s="385"/>
      <c r="AN1117" s="475">
        <v>667</v>
      </c>
      <c r="AO1117" s="395"/>
      <c r="AP1117" s="395">
        <f t="shared" si="856"/>
        <v>9.5367300000000004</v>
      </c>
      <c r="AQ1117" s="393"/>
      <c r="AR1117" s="523"/>
      <c r="AS1117" s="393"/>
      <c r="AT1117" s="573"/>
      <c r="AU1117" s="394"/>
      <c r="AV1117" s="394"/>
      <c r="AW1117" s="394"/>
      <c r="AX1117" s="394"/>
      <c r="AY1117" s="394"/>
      <c r="AZ1117" s="394"/>
      <c r="BA1117" s="394"/>
      <c r="BB1117" s="394"/>
      <c r="BC1117" s="394"/>
      <c r="BD1117" s="381"/>
      <c r="BE1117" s="408"/>
      <c r="BF1117" s="385"/>
      <c r="BG1117" s="475"/>
      <c r="BH1117" s="395"/>
      <c r="BI1117" s="395" t="e">
        <f t="shared" si="857"/>
        <v>#DIV/0!</v>
      </c>
    </row>
    <row r="1118" spans="1:61" s="358" customFormat="1" ht="19.2" x14ac:dyDescent="0.3">
      <c r="A1118" s="359" t="s">
        <v>1915</v>
      </c>
      <c r="B1118" s="572" t="s">
        <v>2383</v>
      </c>
      <c r="C1118" s="546" t="s">
        <v>2382</v>
      </c>
      <c r="D1118" s="360">
        <v>0.22</v>
      </c>
      <c r="E1118" s="393"/>
      <c r="F1118" s="523"/>
      <c r="G1118" s="393"/>
      <c r="H1118" s="573"/>
      <c r="I1118" s="394"/>
      <c r="J1118" s="394"/>
      <c r="K1118" s="394"/>
      <c r="L1118" s="394"/>
      <c r="M1118" s="394"/>
      <c r="N1118" s="394"/>
      <c r="O1118" s="394"/>
      <c r="P1118" s="394"/>
      <c r="Q1118" s="394"/>
      <c r="R1118" s="381"/>
      <c r="S1118" s="408"/>
      <c r="T1118" s="385"/>
      <c r="U1118" s="475"/>
      <c r="V1118" s="395"/>
      <c r="W1118" s="395"/>
      <c r="X1118" s="393"/>
      <c r="Y1118" s="523">
        <v>1</v>
      </c>
      <c r="Z1118" s="393"/>
      <c r="AA1118" s="573">
        <v>9.5367200000000008</v>
      </c>
      <c r="AB1118" s="394">
        <v>6.6139099999999997</v>
      </c>
      <c r="AC1118" s="394">
        <v>5.2761500000000003</v>
      </c>
      <c r="AD1118" s="394"/>
      <c r="AE1118" s="394"/>
      <c r="AF1118" s="394">
        <v>0</v>
      </c>
      <c r="AG1118" s="394">
        <v>0</v>
      </c>
      <c r="AH1118" s="394">
        <v>0.68139000000000005</v>
      </c>
      <c r="AI1118" s="394">
        <v>5.2761500000000003</v>
      </c>
      <c r="AJ1118" s="394"/>
      <c r="AK1118" s="381" t="s">
        <v>167</v>
      </c>
      <c r="AL1118" s="408" t="s">
        <v>175</v>
      </c>
      <c r="AM1118" s="385"/>
      <c r="AN1118" s="475">
        <v>668</v>
      </c>
      <c r="AO1118" s="395"/>
      <c r="AP1118" s="395">
        <f t="shared" si="856"/>
        <v>9.5367200000000008</v>
      </c>
      <c r="AQ1118" s="393"/>
      <c r="AR1118" s="523"/>
      <c r="AS1118" s="393"/>
      <c r="AT1118" s="573"/>
      <c r="AU1118" s="394"/>
      <c r="AV1118" s="394"/>
      <c r="AW1118" s="394"/>
      <c r="AX1118" s="394"/>
      <c r="AY1118" s="394"/>
      <c r="AZ1118" s="394"/>
      <c r="BA1118" s="394"/>
      <c r="BB1118" s="394"/>
      <c r="BC1118" s="394"/>
      <c r="BD1118" s="381"/>
      <c r="BE1118" s="408"/>
      <c r="BF1118" s="385"/>
      <c r="BG1118" s="475"/>
      <c r="BH1118" s="395"/>
      <c r="BI1118" s="395" t="e">
        <f t="shared" si="857"/>
        <v>#DIV/0!</v>
      </c>
    </row>
    <row r="1119" spans="1:61" s="358" customFormat="1" ht="19.2" x14ac:dyDescent="0.3">
      <c r="A1119" s="359" t="s">
        <v>1916</v>
      </c>
      <c r="B1119" s="572" t="s">
        <v>1414</v>
      </c>
      <c r="C1119" s="546" t="s">
        <v>2756</v>
      </c>
      <c r="D1119" s="360">
        <v>0.22</v>
      </c>
      <c r="E1119" s="393"/>
      <c r="F1119" s="523"/>
      <c r="G1119" s="393"/>
      <c r="H1119" s="573"/>
      <c r="I1119" s="394"/>
      <c r="J1119" s="394"/>
      <c r="K1119" s="394"/>
      <c r="L1119" s="394"/>
      <c r="M1119" s="394"/>
      <c r="N1119" s="394"/>
      <c r="O1119" s="394"/>
      <c r="P1119" s="394"/>
      <c r="Q1119" s="394"/>
      <c r="R1119" s="381"/>
      <c r="S1119" s="408"/>
      <c r="T1119" s="385"/>
      <c r="U1119" s="475"/>
      <c r="V1119" s="395"/>
      <c r="W1119" s="395"/>
      <c r="X1119" s="393"/>
      <c r="Y1119" s="523">
        <v>1</v>
      </c>
      <c r="Z1119" s="393"/>
      <c r="AA1119" s="573">
        <v>9.5367599999999992</v>
      </c>
      <c r="AB1119" s="394">
        <v>6.61395</v>
      </c>
      <c r="AC1119" s="394">
        <v>5.2761500000000003</v>
      </c>
      <c r="AD1119" s="394"/>
      <c r="AE1119" s="394"/>
      <c r="AF1119" s="394">
        <v>0</v>
      </c>
      <c r="AG1119" s="394">
        <v>0</v>
      </c>
      <c r="AH1119" s="394">
        <v>0.68139000000000005</v>
      </c>
      <c r="AI1119" s="394">
        <v>5.2761500000000003</v>
      </c>
      <c r="AJ1119" s="394"/>
      <c r="AK1119" s="381" t="s">
        <v>167</v>
      </c>
      <c r="AL1119" s="408" t="s">
        <v>175</v>
      </c>
      <c r="AM1119" s="385"/>
      <c r="AN1119" s="475">
        <v>669</v>
      </c>
      <c r="AO1119" s="395"/>
      <c r="AP1119" s="395">
        <f t="shared" si="856"/>
        <v>9.5367599999999992</v>
      </c>
      <c r="AQ1119" s="393"/>
      <c r="AR1119" s="523"/>
      <c r="AS1119" s="393"/>
      <c r="AT1119" s="573"/>
      <c r="AU1119" s="394"/>
      <c r="AV1119" s="394"/>
      <c r="AW1119" s="394"/>
      <c r="AX1119" s="394"/>
      <c r="AY1119" s="394"/>
      <c r="AZ1119" s="394"/>
      <c r="BA1119" s="394"/>
      <c r="BB1119" s="394"/>
      <c r="BC1119" s="394"/>
      <c r="BD1119" s="381"/>
      <c r="BE1119" s="408"/>
      <c r="BF1119" s="385"/>
      <c r="BG1119" s="475"/>
      <c r="BH1119" s="395"/>
      <c r="BI1119" s="395" t="e">
        <f t="shared" si="857"/>
        <v>#DIV/0!</v>
      </c>
    </row>
    <row r="1120" spans="1:61" s="358" customFormat="1" ht="19.2" x14ac:dyDescent="0.3">
      <c r="A1120" s="359" t="s">
        <v>1933</v>
      </c>
      <c r="B1120" s="572" t="s">
        <v>2378</v>
      </c>
      <c r="C1120" s="546" t="s">
        <v>2377</v>
      </c>
      <c r="D1120" s="360">
        <v>0.22</v>
      </c>
      <c r="E1120" s="393"/>
      <c r="F1120" s="523"/>
      <c r="G1120" s="393"/>
      <c r="H1120" s="573"/>
      <c r="I1120" s="394"/>
      <c r="J1120" s="394"/>
      <c r="K1120" s="394"/>
      <c r="L1120" s="394"/>
      <c r="M1120" s="394"/>
      <c r="N1120" s="394"/>
      <c r="O1120" s="394"/>
      <c r="P1120" s="394"/>
      <c r="Q1120" s="394"/>
      <c r="R1120" s="381"/>
      <c r="S1120" s="408"/>
      <c r="T1120" s="385"/>
      <c r="U1120" s="475"/>
      <c r="V1120" s="395"/>
      <c r="W1120" s="395"/>
      <c r="X1120" s="393"/>
      <c r="Y1120" s="523">
        <v>1</v>
      </c>
      <c r="Z1120" s="393"/>
      <c r="AA1120" s="573">
        <v>9.5367700000000006</v>
      </c>
      <c r="AB1120" s="394">
        <v>6.6139599999999996</v>
      </c>
      <c r="AC1120" s="394">
        <v>5.2761500000000003</v>
      </c>
      <c r="AD1120" s="394"/>
      <c r="AE1120" s="394"/>
      <c r="AF1120" s="394">
        <v>0</v>
      </c>
      <c r="AG1120" s="394">
        <v>0</v>
      </c>
      <c r="AH1120" s="394">
        <v>0.68139000000000005</v>
      </c>
      <c r="AI1120" s="394">
        <v>5.2761500000000003</v>
      </c>
      <c r="AJ1120" s="394"/>
      <c r="AK1120" s="381" t="s">
        <v>167</v>
      </c>
      <c r="AL1120" s="408" t="s">
        <v>175</v>
      </c>
      <c r="AM1120" s="385"/>
      <c r="AN1120" s="475">
        <v>670</v>
      </c>
      <c r="AO1120" s="395"/>
      <c r="AP1120" s="395">
        <f t="shared" si="856"/>
        <v>9.5367700000000006</v>
      </c>
      <c r="AQ1120" s="393"/>
      <c r="AR1120" s="523"/>
      <c r="AS1120" s="393"/>
      <c r="AT1120" s="573"/>
      <c r="AU1120" s="394"/>
      <c r="AV1120" s="394"/>
      <c r="AW1120" s="394"/>
      <c r="AX1120" s="394"/>
      <c r="AY1120" s="394"/>
      <c r="AZ1120" s="394"/>
      <c r="BA1120" s="394"/>
      <c r="BB1120" s="394"/>
      <c r="BC1120" s="394"/>
      <c r="BD1120" s="381"/>
      <c r="BE1120" s="408"/>
      <c r="BF1120" s="385"/>
      <c r="BG1120" s="475"/>
      <c r="BH1120" s="395"/>
      <c r="BI1120" s="395" t="e">
        <f t="shared" si="857"/>
        <v>#DIV/0!</v>
      </c>
    </row>
    <row r="1121" spans="1:61" s="358" customFormat="1" ht="19.2" x14ac:dyDescent="0.3">
      <c r="A1121" s="359" t="s">
        <v>1918</v>
      </c>
      <c r="B1121" s="572" t="s">
        <v>3672</v>
      </c>
      <c r="C1121" s="546" t="s">
        <v>2757</v>
      </c>
      <c r="D1121" s="360">
        <v>0.22</v>
      </c>
      <c r="E1121" s="393"/>
      <c r="F1121" s="523"/>
      <c r="G1121" s="393"/>
      <c r="H1121" s="573"/>
      <c r="I1121" s="394"/>
      <c r="J1121" s="394"/>
      <c r="K1121" s="394"/>
      <c r="L1121" s="394"/>
      <c r="M1121" s="394"/>
      <c r="N1121" s="394"/>
      <c r="O1121" s="394"/>
      <c r="P1121" s="394"/>
      <c r="Q1121" s="394"/>
      <c r="R1121" s="381"/>
      <c r="S1121" s="408"/>
      <c r="T1121" s="385"/>
      <c r="U1121" s="475"/>
      <c r="V1121" s="395"/>
      <c r="W1121" s="395"/>
      <c r="X1121" s="393"/>
      <c r="Y1121" s="523">
        <v>1</v>
      </c>
      <c r="Z1121" s="393"/>
      <c r="AA1121" s="573">
        <v>9.5367200000000008</v>
      </c>
      <c r="AB1121" s="394">
        <v>6.6139099999999997</v>
      </c>
      <c r="AC1121" s="394">
        <v>5.2761500000000003</v>
      </c>
      <c r="AD1121" s="394"/>
      <c r="AE1121" s="394"/>
      <c r="AF1121" s="394">
        <v>0</v>
      </c>
      <c r="AG1121" s="394">
        <v>0</v>
      </c>
      <c r="AH1121" s="394">
        <v>0.68139000000000005</v>
      </c>
      <c r="AI1121" s="394">
        <v>5.2761500000000003</v>
      </c>
      <c r="AJ1121" s="394"/>
      <c r="AK1121" s="381" t="s">
        <v>167</v>
      </c>
      <c r="AL1121" s="408" t="s">
        <v>175</v>
      </c>
      <c r="AM1121" s="385"/>
      <c r="AN1121" s="475">
        <v>671</v>
      </c>
      <c r="AO1121" s="395"/>
      <c r="AP1121" s="395">
        <f t="shared" ref="AP1121:AP1184" si="858">AA1121/Y1121</f>
        <v>9.5367200000000008</v>
      </c>
      <c r="AQ1121" s="393"/>
      <c r="AR1121" s="523"/>
      <c r="AS1121" s="393"/>
      <c r="AT1121" s="573"/>
      <c r="AU1121" s="394"/>
      <c r="AV1121" s="394"/>
      <c r="AW1121" s="394"/>
      <c r="AX1121" s="394"/>
      <c r="AY1121" s="394"/>
      <c r="AZ1121" s="394"/>
      <c r="BA1121" s="394"/>
      <c r="BB1121" s="394"/>
      <c r="BC1121" s="394"/>
      <c r="BD1121" s="381"/>
      <c r="BE1121" s="408"/>
      <c r="BF1121" s="385"/>
      <c r="BG1121" s="475"/>
      <c r="BH1121" s="395"/>
      <c r="BI1121" s="395" t="e">
        <f t="shared" si="857"/>
        <v>#DIV/0!</v>
      </c>
    </row>
    <row r="1122" spans="1:61" s="358" customFormat="1" ht="19.2" x14ac:dyDescent="0.3">
      <c r="A1122" s="359" t="s">
        <v>1919</v>
      </c>
      <c r="B1122" s="572" t="s">
        <v>3673</v>
      </c>
      <c r="C1122" s="546" t="s">
        <v>2758</v>
      </c>
      <c r="D1122" s="360">
        <v>0.22</v>
      </c>
      <c r="E1122" s="393"/>
      <c r="F1122" s="523"/>
      <c r="G1122" s="393"/>
      <c r="H1122" s="573"/>
      <c r="I1122" s="394"/>
      <c r="J1122" s="394"/>
      <c r="K1122" s="394"/>
      <c r="L1122" s="394"/>
      <c r="M1122" s="394"/>
      <c r="N1122" s="394"/>
      <c r="O1122" s="394"/>
      <c r="P1122" s="394"/>
      <c r="Q1122" s="394"/>
      <c r="R1122" s="381"/>
      <c r="S1122" s="408"/>
      <c r="T1122" s="385"/>
      <c r="U1122" s="475"/>
      <c r="V1122" s="395"/>
      <c r="W1122" s="395"/>
      <c r="X1122" s="393"/>
      <c r="Y1122" s="523">
        <v>1</v>
      </c>
      <c r="Z1122" s="393"/>
      <c r="AA1122" s="573">
        <v>9.5367700000000006</v>
      </c>
      <c r="AB1122" s="394">
        <v>6.6139599999999996</v>
      </c>
      <c r="AC1122" s="394">
        <v>5.2761500000000003</v>
      </c>
      <c r="AD1122" s="394"/>
      <c r="AE1122" s="394"/>
      <c r="AF1122" s="394">
        <v>0</v>
      </c>
      <c r="AG1122" s="394">
        <v>0</v>
      </c>
      <c r="AH1122" s="394">
        <v>0.68139000000000005</v>
      </c>
      <c r="AI1122" s="394">
        <v>5.2761500000000003</v>
      </c>
      <c r="AJ1122" s="394"/>
      <c r="AK1122" s="381" t="s">
        <v>167</v>
      </c>
      <c r="AL1122" s="408" t="s">
        <v>175</v>
      </c>
      <c r="AM1122" s="385"/>
      <c r="AN1122" s="475">
        <v>672</v>
      </c>
      <c r="AO1122" s="395"/>
      <c r="AP1122" s="395">
        <f t="shared" si="858"/>
        <v>9.5367700000000006</v>
      </c>
      <c r="AQ1122" s="393"/>
      <c r="AR1122" s="523"/>
      <c r="AS1122" s="393"/>
      <c r="AT1122" s="573"/>
      <c r="AU1122" s="394"/>
      <c r="AV1122" s="394"/>
      <c r="AW1122" s="394"/>
      <c r="AX1122" s="394"/>
      <c r="AY1122" s="394"/>
      <c r="AZ1122" s="394"/>
      <c r="BA1122" s="394"/>
      <c r="BB1122" s="394"/>
      <c r="BC1122" s="394"/>
      <c r="BD1122" s="381"/>
      <c r="BE1122" s="408"/>
      <c r="BF1122" s="385"/>
      <c r="BG1122" s="475"/>
      <c r="BH1122" s="395"/>
      <c r="BI1122" s="395" t="e">
        <f t="shared" si="857"/>
        <v>#DIV/0!</v>
      </c>
    </row>
    <row r="1123" spans="1:61" s="358" customFormat="1" ht="19.2" x14ac:dyDescent="0.3">
      <c r="A1123" s="359" t="s">
        <v>1904</v>
      </c>
      <c r="B1123" s="572" t="s">
        <v>3674</v>
      </c>
      <c r="C1123" s="546" t="s">
        <v>2759</v>
      </c>
      <c r="D1123" s="360">
        <v>0.22</v>
      </c>
      <c r="E1123" s="393"/>
      <c r="F1123" s="523"/>
      <c r="G1123" s="393"/>
      <c r="H1123" s="573"/>
      <c r="I1123" s="394"/>
      <c r="J1123" s="394"/>
      <c r="K1123" s="394"/>
      <c r="L1123" s="394"/>
      <c r="M1123" s="394"/>
      <c r="N1123" s="394"/>
      <c r="O1123" s="394"/>
      <c r="P1123" s="394"/>
      <c r="Q1123" s="394"/>
      <c r="R1123" s="381"/>
      <c r="S1123" s="408"/>
      <c r="T1123" s="385"/>
      <c r="U1123" s="475"/>
      <c r="V1123" s="395"/>
      <c r="W1123" s="395"/>
      <c r="X1123" s="393"/>
      <c r="Y1123" s="523">
        <v>1</v>
      </c>
      <c r="Z1123" s="393"/>
      <c r="AA1123" s="573">
        <v>9.5367700000000006</v>
      </c>
      <c r="AB1123" s="394">
        <v>6.6139599999999996</v>
      </c>
      <c r="AC1123" s="394">
        <v>5.2761500000000003</v>
      </c>
      <c r="AD1123" s="394"/>
      <c r="AE1123" s="394"/>
      <c r="AF1123" s="394">
        <v>0</v>
      </c>
      <c r="AG1123" s="394">
        <v>0</v>
      </c>
      <c r="AH1123" s="394">
        <v>0.68139000000000005</v>
      </c>
      <c r="AI1123" s="394">
        <v>5.2761500000000003</v>
      </c>
      <c r="AJ1123" s="394"/>
      <c r="AK1123" s="381" t="s">
        <v>167</v>
      </c>
      <c r="AL1123" s="408" t="s">
        <v>175</v>
      </c>
      <c r="AM1123" s="385"/>
      <c r="AN1123" s="475">
        <v>673</v>
      </c>
      <c r="AO1123" s="395"/>
      <c r="AP1123" s="395">
        <f t="shared" si="858"/>
        <v>9.5367700000000006</v>
      </c>
      <c r="AQ1123" s="393"/>
      <c r="AR1123" s="523"/>
      <c r="AS1123" s="393"/>
      <c r="AT1123" s="573"/>
      <c r="AU1123" s="394"/>
      <c r="AV1123" s="394"/>
      <c r="AW1123" s="394"/>
      <c r="AX1123" s="394"/>
      <c r="AY1123" s="394"/>
      <c r="AZ1123" s="394"/>
      <c r="BA1123" s="394"/>
      <c r="BB1123" s="394"/>
      <c r="BC1123" s="394"/>
      <c r="BD1123" s="381"/>
      <c r="BE1123" s="408"/>
      <c r="BF1123" s="385"/>
      <c r="BG1123" s="475"/>
      <c r="BH1123" s="395"/>
      <c r="BI1123" s="395" t="e">
        <f t="shared" si="857"/>
        <v>#DIV/0!</v>
      </c>
    </row>
    <row r="1124" spans="1:61" s="358" customFormat="1" ht="19.2" x14ac:dyDescent="0.3">
      <c r="A1124" s="359" t="s">
        <v>1937</v>
      </c>
      <c r="B1124" s="572" t="s">
        <v>2325</v>
      </c>
      <c r="C1124" s="546" t="s">
        <v>2324</v>
      </c>
      <c r="D1124" s="360">
        <v>0.22</v>
      </c>
      <c r="E1124" s="393"/>
      <c r="F1124" s="523"/>
      <c r="G1124" s="393"/>
      <c r="H1124" s="573"/>
      <c r="I1124" s="394"/>
      <c r="J1124" s="394"/>
      <c r="K1124" s="394"/>
      <c r="L1124" s="394"/>
      <c r="M1124" s="394"/>
      <c r="N1124" s="394"/>
      <c r="O1124" s="394"/>
      <c r="P1124" s="394"/>
      <c r="Q1124" s="394"/>
      <c r="R1124" s="381"/>
      <c r="S1124" s="408"/>
      <c r="T1124" s="385"/>
      <c r="U1124" s="475"/>
      <c r="V1124" s="395"/>
      <c r="W1124" s="395"/>
      <c r="X1124" s="393"/>
      <c r="Y1124" s="523">
        <v>1</v>
      </c>
      <c r="Z1124" s="393"/>
      <c r="AA1124" s="573">
        <v>9.5367200000000008</v>
      </c>
      <c r="AB1124" s="394">
        <v>6.6139099999999997</v>
      </c>
      <c r="AC1124" s="394">
        <v>5.2761500000000003</v>
      </c>
      <c r="AD1124" s="394"/>
      <c r="AE1124" s="394"/>
      <c r="AF1124" s="394">
        <v>0</v>
      </c>
      <c r="AG1124" s="394">
        <v>0</v>
      </c>
      <c r="AH1124" s="394">
        <v>0.68139000000000005</v>
      </c>
      <c r="AI1124" s="394">
        <v>5.2761500000000003</v>
      </c>
      <c r="AJ1124" s="394"/>
      <c r="AK1124" s="381" t="s">
        <v>167</v>
      </c>
      <c r="AL1124" s="408" t="s">
        <v>175</v>
      </c>
      <c r="AM1124" s="385"/>
      <c r="AN1124" s="475">
        <v>674</v>
      </c>
      <c r="AO1124" s="395"/>
      <c r="AP1124" s="395">
        <f t="shared" si="858"/>
        <v>9.5367200000000008</v>
      </c>
      <c r="AQ1124" s="393"/>
      <c r="AR1124" s="523"/>
      <c r="AS1124" s="393"/>
      <c r="AT1124" s="573"/>
      <c r="AU1124" s="394"/>
      <c r="AV1124" s="394"/>
      <c r="AW1124" s="394"/>
      <c r="AX1124" s="394"/>
      <c r="AY1124" s="394"/>
      <c r="AZ1124" s="394"/>
      <c r="BA1124" s="394"/>
      <c r="BB1124" s="394"/>
      <c r="BC1124" s="394"/>
      <c r="BD1124" s="381"/>
      <c r="BE1124" s="408"/>
      <c r="BF1124" s="385"/>
      <c r="BG1124" s="475"/>
      <c r="BH1124" s="395"/>
      <c r="BI1124" s="395" t="e">
        <f t="shared" si="857"/>
        <v>#DIV/0!</v>
      </c>
    </row>
    <row r="1125" spans="1:61" s="358" customFormat="1" ht="19.2" x14ac:dyDescent="0.3">
      <c r="A1125" s="359" t="s">
        <v>1922</v>
      </c>
      <c r="B1125" s="572" t="s">
        <v>2370</v>
      </c>
      <c r="C1125" s="546" t="s">
        <v>2369</v>
      </c>
      <c r="D1125" s="360">
        <v>0.22</v>
      </c>
      <c r="E1125" s="393"/>
      <c r="F1125" s="523"/>
      <c r="G1125" s="393"/>
      <c r="H1125" s="573"/>
      <c r="I1125" s="394"/>
      <c r="J1125" s="394"/>
      <c r="K1125" s="394"/>
      <c r="L1125" s="394"/>
      <c r="M1125" s="394"/>
      <c r="N1125" s="394"/>
      <c r="O1125" s="394"/>
      <c r="P1125" s="394"/>
      <c r="Q1125" s="394"/>
      <c r="R1125" s="381"/>
      <c r="S1125" s="408"/>
      <c r="T1125" s="385"/>
      <c r="U1125" s="475"/>
      <c r="V1125" s="395"/>
      <c r="W1125" s="395"/>
      <c r="X1125" s="393"/>
      <c r="Y1125" s="523">
        <v>1</v>
      </c>
      <c r="Z1125" s="393"/>
      <c r="AA1125" s="573">
        <v>9.5367499999999996</v>
      </c>
      <c r="AB1125" s="394">
        <v>6.6139400000000004</v>
      </c>
      <c r="AC1125" s="394">
        <v>5.2761500000000003</v>
      </c>
      <c r="AD1125" s="394"/>
      <c r="AE1125" s="394"/>
      <c r="AF1125" s="394">
        <v>0</v>
      </c>
      <c r="AG1125" s="394">
        <v>0</v>
      </c>
      <c r="AH1125" s="394">
        <v>0.68139000000000005</v>
      </c>
      <c r="AI1125" s="394">
        <v>5.2761500000000003</v>
      </c>
      <c r="AJ1125" s="394"/>
      <c r="AK1125" s="381" t="s">
        <v>167</v>
      </c>
      <c r="AL1125" s="408" t="s">
        <v>175</v>
      </c>
      <c r="AM1125" s="385"/>
      <c r="AN1125" s="475">
        <v>675</v>
      </c>
      <c r="AO1125" s="395"/>
      <c r="AP1125" s="395">
        <f t="shared" si="858"/>
        <v>9.5367499999999996</v>
      </c>
      <c r="AQ1125" s="393"/>
      <c r="AR1125" s="523"/>
      <c r="AS1125" s="393"/>
      <c r="AT1125" s="573"/>
      <c r="AU1125" s="394"/>
      <c r="AV1125" s="394"/>
      <c r="AW1125" s="394"/>
      <c r="AX1125" s="394"/>
      <c r="AY1125" s="394"/>
      <c r="AZ1125" s="394"/>
      <c r="BA1125" s="394"/>
      <c r="BB1125" s="394"/>
      <c r="BC1125" s="394"/>
      <c r="BD1125" s="381"/>
      <c r="BE1125" s="408"/>
      <c r="BF1125" s="385"/>
      <c r="BG1125" s="475"/>
      <c r="BH1125" s="395"/>
      <c r="BI1125" s="395" t="e">
        <f t="shared" si="857"/>
        <v>#DIV/0!</v>
      </c>
    </row>
    <row r="1126" spans="1:61" s="358" customFormat="1" ht="19.2" x14ac:dyDescent="0.3">
      <c r="A1126" s="359" t="s">
        <v>1923</v>
      </c>
      <c r="B1126" s="572" t="s">
        <v>3675</v>
      </c>
      <c r="C1126" s="546" t="s">
        <v>2760</v>
      </c>
      <c r="D1126" s="360">
        <v>0.22</v>
      </c>
      <c r="E1126" s="393"/>
      <c r="F1126" s="523"/>
      <c r="G1126" s="393"/>
      <c r="H1126" s="573"/>
      <c r="I1126" s="394"/>
      <c r="J1126" s="394"/>
      <c r="K1126" s="394"/>
      <c r="L1126" s="394"/>
      <c r="M1126" s="394"/>
      <c r="N1126" s="394"/>
      <c r="O1126" s="394"/>
      <c r="P1126" s="394"/>
      <c r="Q1126" s="394"/>
      <c r="R1126" s="381"/>
      <c r="S1126" s="408"/>
      <c r="T1126" s="385"/>
      <c r="U1126" s="475"/>
      <c r="V1126" s="395"/>
      <c r="W1126" s="395"/>
      <c r="X1126" s="393"/>
      <c r="Y1126" s="523">
        <v>1</v>
      </c>
      <c r="Z1126" s="393"/>
      <c r="AA1126" s="573">
        <v>9.5367700000000006</v>
      </c>
      <c r="AB1126" s="394">
        <v>6.6139599999999996</v>
      </c>
      <c r="AC1126" s="394">
        <v>5.2761500000000003</v>
      </c>
      <c r="AD1126" s="394"/>
      <c r="AE1126" s="394"/>
      <c r="AF1126" s="394">
        <v>0</v>
      </c>
      <c r="AG1126" s="394">
        <v>0</v>
      </c>
      <c r="AH1126" s="394">
        <v>0.68139000000000005</v>
      </c>
      <c r="AI1126" s="394">
        <v>5.2761500000000003</v>
      </c>
      <c r="AJ1126" s="394"/>
      <c r="AK1126" s="381" t="s">
        <v>167</v>
      </c>
      <c r="AL1126" s="408" t="s">
        <v>175</v>
      </c>
      <c r="AM1126" s="385"/>
      <c r="AN1126" s="475">
        <v>676</v>
      </c>
      <c r="AO1126" s="395"/>
      <c r="AP1126" s="395">
        <f t="shared" si="858"/>
        <v>9.5367700000000006</v>
      </c>
      <c r="AQ1126" s="393"/>
      <c r="AR1126" s="523"/>
      <c r="AS1126" s="393"/>
      <c r="AT1126" s="573"/>
      <c r="AU1126" s="394"/>
      <c r="AV1126" s="394"/>
      <c r="AW1126" s="394"/>
      <c r="AX1126" s="394"/>
      <c r="AY1126" s="394"/>
      <c r="AZ1126" s="394"/>
      <c r="BA1126" s="394"/>
      <c r="BB1126" s="394"/>
      <c r="BC1126" s="394"/>
      <c r="BD1126" s="381"/>
      <c r="BE1126" s="408"/>
      <c r="BF1126" s="385"/>
      <c r="BG1126" s="475"/>
      <c r="BH1126" s="395"/>
      <c r="BI1126" s="395" t="e">
        <f t="shared" si="857"/>
        <v>#DIV/0!</v>
      </c>
    </row>
    <row r="1127" spans="1:61" s="358" customFormat="1" ht="19.2" x14ac:dyDescent="0.3">
      <c r="A1127" s="359" t="s">
        <v>1924</v>
      </c>
      <c r="B1127" s="572" t="s">
        <v>3676</v>
      </c>
      <c r="C1127" s="546" t="s">
        <v>2761</v>
      </c>
      <c r="D1127" s="360">
        <v>0.22</v>
      </c>
      <c r="E1127" s="393"/>
      <c r="F1127" s="523"/>
      <c r="G1127" s="393"/>
      <c r="H1127" s="573"/>
      <c r="I1127" s="394"/>
      <c r="J1127" s="394"/>
      <c r="K1127" s="394"/>
      <c r="L1127" s="394"/>
      <c r="M1127" s="394"/>
      <c r="N1127" s="394"/>
      <c r="O1127" s="394"/>
      <c r="P1127" s="394"/>
      <c r="Q1127" s="394"/>
      <c r="R1127" s="381"/>
      <c r="S1127" s="408"/>
      <c r="T1127" s="385"/>
      <c r="U1127" s="475"/>
      <c r="V1127" s="395"/>
      <c r="W1127" s="395"/>
      <c r="X1127" s="393"/>
      <c r="Y1127" s="523">
        <v>1</v>
      </c>
      <c r="Z1127" s="393"/>
      <c r="AA1127" s="573">
        <v>9.4443199999999994</v>
      </c>
      <c r="AB1127" s="394">
        <v>6.5215100000000001</v>
      </c>
      <c r="AC1127" s="394">
        <v>5.2083399999999997</v>
      </c>
      <c r="AD1127" s="394"/>
      <c r="AE1127" s="394"/>
      <c r="AF1127" s="394">
        <v>0</v>
      </c>
      <c r="AG1127" s="394">
        <v>0</v>
      </c>
      <c r="AH1127" s="394">
        <v>0.68139000000000005</v>
      </c>
      <c r="AI1127" s="394">
        <v>5.2083399999999997</v>
      </c>
      <c r="AJ1127" s="394"/>
      <c r="AK1127" s="381" t="s">
        <v>167</v>
      </c>
      <c r="AL1127" s="408" t="s">
        <v>175</v>
      </c>
      <c r="AM1127" s="385"/>
      <c r="AN1127" s="475">
        <v>677</v>
      </c>
      <c r="AO1127" s="395"/>
      <c r="AP1127" s="395">
        <f t="shared" si="858"/>
        <v>9.4443199999999994</v>
      </c>
      <c r="AQ1127" s="393"/>
      <c r="AR1127" s="523"/>
      <c r="AS1127" s="393"/>
      <c r="AT1127" s="573"/>
      <c r="AU1127" s="394"/>
      <c r="AV1127" s="394"/>
      <c r="AW1127" s="394"/>
      <c r="AX1127" s="394"/>
      <c r="AY1127" s="394"/>
      <c r="AZ1127" s="394"/>
      <c r="BA1127" s="394"/>
      <c r="BB1127" s="394"/>
      <c r="BC1127" s="394"/>
      <c r="BD1127" s="381"/>
      <c r="BE1127" s="408"/>
      <c r="BF1127" s="385"/>
      <c r="BG1127" s="475"/>
      <c r="BH1127" s="395"/>
      <c r="BI1127" s="395" t="e">
        <f t="shared" si="857"/>
        <v>#DIV/0!</v>
      </c>
    </row>
    <row r="1128" spans="1:61" s="358" customFormat="1" ht="19.2" x14ac:dyDescent="0.3">
      <c r="A1128" s="359" t="s">
        <v>1925</v>
      </c>
      <c r="B1128" s="572" t="s">
        <v>3677</v>
      </c>
      <c r="C1128" s="546" t="s">
        <v>2762</v>
      </c>
      <c r="D1128" s="360">
        <v>0.22</v>
      </c>
      <c r="E1128" s="393"/>
      <c r="F1128" s="523"/>
      <c r="G1128" s="393"/>
      <c r="H1128" s="573"/>
      <c r="I1128" s="394"/>
      <c r="J1128" s="394"/>
      <c r="K1128" s="394"/>
      <c r="L1128" s="394"/>
      <c r="M1128" s="394"/>
      <c r="N1128" s="394"/>
      <c r="O1128" s="394"/>
      <c r="P1128" s="394"/>
      <c r="Q1128" s="394"/>
      <c r="R1128" s="381"/>
      <c r="S1128" s="408"/>
      <c r="T1128" s="385"/>
      <c r="U1128" s="475"/>
      <c r="V1128" s="395"/>
      <c r="W1128" s="395"/>
      <c r="X1128" s="393"/>
      <c r="Y1128" s="523">
        <v>1</v>
      </c>
      <c r="Z1128" s="393"/>
      <c r="AA1128" s="573">
        <v>9.4443300000000008</v>
      </c>
      <c r="AB1128" s="394">
        <v>6.5215199999999998</v>
      </c>
      <c r="AC1128" s="394">
        <v>5.2083399999999997</v>
      </c>
      <c r="AD1128" s="394"/>
      <c r="AE1128" s="394"/>
      <c r="AF1128" s="394">
        <v>0</v>
      </c>
      <c r="AG1128" s="394">
        <v>0</v>
      </c>
      <c r="AH1128" s="394">
        <v>0.68139000000000005</v>
      </c>
      <c r="AI1128" s="394">
        <v>5.2083399999999997</v>
      </c>
      <c r="AJ1128" s="394"/>
      <c r="AK1128" s="381" t="s">
        <v>167</v>
      </c>
      <c r="AL1128" s="408" t="s">
        <v>175</v>
      </c>
      <c r="AM1128" s="385"/>
      <c r="AN1128" s="475">
        <v>678</v>
      </c>
      <c r="AO1128" s="395"/>
      <c r="AP1128" s="395">
        <f t="shared" si="858"/>
        <v>9.4443300000000008</v>
      </c>
      <c r="AQ1128" s="393"/>
      <c r="AR1128" s="523"/>
      <c r="AS1128" s="393"/>
      <c r="AT1128" s="573"/>
      <c r="AU1128" s="394"/>
      <c r="AV1128" s="394"/>
      <c r="AW1128" s="394"/>
      <c r="AX1128" s="394"/>
      <c r="AY1128" s="394"/>
      <c r="AZ1128" s="394"/>
      <c r="BA1128" s="394"/>
      <c r="BB1128" s="394"/>
      <c r="BC1128" s="394"/>
      <c r="BD1128" s="381"/>
      <c r="BE1128" s="408"/>
      <c r="BF1128" s="385"/>
      <c r="BG1128" s="475"/>
      <c r="BH1128" s="395"/>
      <c r="BI1128" s="395" t="e">
        <f t="shared" si="857"/>
        <v>#DIV/0!</v>
      </c>
    </row>
    <row r="1129" spans="1:61" s="358" customFormat="1" ht="19.2" x14ac:dyDescent="0.3">
      <c r="A1129" s="359" t="s">
        <v>1926</v>
      </c>
      <c r="B1129" s="572" t="s">
        <v>3678</v>
      </c>
      <c r="C1129" s="546" t="s">
        <v>2763</v>
      </c>
      <c r="D1129" s="360">
        <v>0.22</v>
      </c>
      <c r="E1129" s="393"/>
      <c r="F1129" s="523"/>
      <c r="G1129" s="393"/>
      <c r="H1129" s="573"/>
      <c r="I1129" s="394"/>
      <c r="J1129" s="394"/>
      <c r="K1129" s="394"/>
      <c r="L1129" s="394"/>
      <c r="M1129" s="394"/>
      <c r="N1129" s="394"/>
      <c r="O1129" s="394"/>
      <c r="P1129" s="394"/>
      <c r="Q1129" s="394"/>
      <c r="R1129" s="381"/>
      <c r="S1129" s="408"/>
      <c r="T1129" s="385"/>
      <c r="U1129" s="475"/>
      <c r="V1129" s="395"/>
      <c r="W1129" s="395"/>
      <c r="X1129" s="393"/>
      <c r="Y1129" s="523">
        <v>1</v>
      </c>
      <c r="Z1129" s="393"/>
      <c r="AA1129" s="573">
        <v>9.4443199999999994</v>
      </c>
      <c r="AB1129" s="394">
        <v>6.5215100000000001</v>
      </c>
      <c r="AC1129" s="394">
        <v>5.2083399999999997</v>
      </c>
      <c r="AD1129" s="394"/>
      <c r="AE1129" s="394"/>
      <c r="AF1129" s="394">
        <v>0</v>
      </c>
      <c r="AG1129" s="394">
        <v>0</v>
      </c>
      <c r="AH1129" s="394">
        <v>0.68139000000000005</v>
      </c>
      <c r="AI1129" s="394">
        <v>5.2083399999999997</v>
      </c>
      <c r="AJ1129" s="394"/>
      <c r="AK1129" s="381" t="s">
        <v>167</v>
      </c>
      <c r="AL1129" s="408" t="s">
        <v>175</v>
      </c>
      <c r="AM1129" s="385"/>
      <c r="AN1129" s="475">
        <v>679</v>
      </c>
      <c r="AO1129" s="395"/>
      <c r="AP1129" s="395">
        <f t="shared" si="858"/>
        <v>9.4443199999999994</v>
      </c>
      <c r="AQ1129" s="393"/>
      <c r="AR1129" s="523"/>
      <c r="AS1129" s="393"/>
      <c r="AT1129" s="573"/>
      <c r="AU1129" s="394"/>
      <c r="AV1129" s="394"/>
      <c r="AW1129" s="394"/>
      <c r="AX1129" s="394"/>
      <c r="AY1129" s="394"/>
      <c r="AZ1129" s="394"/>
      <c r="BA1129" s="394"/>
      <c r="BB1129" s="394"/>
      <c r="BC1129" s="394"/>
      <c r="BD1129" s="381"/>
      <c r="BE1129" s="408"/>
      <c r="BF1129" s="385"/>
      <c r="BG1129" s="475"/>
      <c r="BH1129" s="395"/>
      <c r="BI1129" s="395" t="e">
        <f t="shared" si="857"/>
        <v>#DIV/0!</v>
      </c>
    </row>
    <row r="1130" spans="1:61" s="358" customFormat="1" ht="19.2" x14ac:dyDescent="0.3">
      <c r="A1130" s="359" t="s">
        <v>1927</v>
      </c>
      <c r="B1130" s="572" t="s">
        <v>3679</v>
      </c>
      <c r="C1130" s="546" t="s">
        <v>2764</v>
      </c>
      <c r="D1130" s="360">
        <v>0.22</v>
      </c>
      <c r="E1130" s="393"/>
      <c r="F1130" s="523"/>
      <c r="G1130" s="393"/>
      <c r="H1130" s="573"/>
      <c r="I1130" s="394"/>
      <c r="J1130" s="394"/>
      <c r="K1130" s="394"/>
      <c r="L1130" s="394"/>
      <c r="M1130" s="394"/>
      <c r="N1130" s="394"/>
      <c r="O1130" s="394"/>
      <c r="P1130" s="394"/>
      <c r="Q1130" s="394"/>
      <c r="R1130" s="381"/>
      <c r="S1130" s="408"/>
      <c r="T1130" s="385"/>
      <c r="U1130" s="475"/>
      <c r="V1130" s="395"/>
      <c r="W1130" s="395"/>
      <c r="X1130" s="393"/>
      <c r="Y1130" s="523">
        <v>1</v>
      </c>
      <c r="Z1130" s="393"/>
      <c r="AA1130" s="573">
        <v>9.44435</v>
      </c>
      <c r="AB1130" s="394">
        <v>6.5215399999999999</v>
      </c>
      <c r="AC1130" s="394">
        <v>5.2083700000000004</v>
      </c>
      <c r="AD1130" s="394"/>
      <c r="AE1130" s="394"/>
      <c r="AF1130" s="394">
        <v>0</v>
      </c>
      <c r="AG1130" s="394">
        <v>0</v>
      </c>
      <c r="AH1130" s="394">
        <v>0.68139000000000005</v>
      </c>
      <c r="AI1130" s="394">
        <v>5.2083700000000004</v>
      </c>
      <c r="AJ1130" s="394"/>
      <c r="AK1130" s="381" t="s">
        <v>167</v>
      </c>
      <c r="AL1130" s="408" t="s">
        <v>175</v>
      </c>
      <c r="AM1130" s="385"/>
      <c r="AN1130" s="475">
        <v>680</v>
      </c>
      <c r="AO1130" s="395"/>
      <c r="AP1130" s="395">
        <f t="shared" si="858"/>
        <v>9.44435</v>
      </c>
      <c r="AQ1130" s="393"/>
      <c r="AR1130" s="523"/>
      <c r="AS1130" s="393"/>
      <c r="AT1130" s="573"/>
      <c r="AU1130" s="394"/>
      <c r="AV1130" s="394"/>
      <c r="AW1130" s="394"/>
      <c r="AX1130" s="394"/>
      <c r="AY1130" s="394"/>
      <c r="AZ1130" s="394"/>
      <c r="BA1130" s="394"/>
      <c r="BB1130" s="394"/>
      <c r="BC1130" s="394"/>
      <c r="BD1130" s="381"/>
      <c r="BE1130" s="408"/>
      <c r="BF1130" s="385"/>
      <c r="BG1130" s="475"/>
      <c r="BH1130" s="395"/>
      <c r="BI1130" s="395" t="e">
        <f t="shared" si="857"/>
        <v>#DIV/0!</v>
      </c>
    </row>
    <row r="1131" spans="1:61" s="358" customFormat="1" ht="19.2" x14ac:dyDescent="0.3">
      <c r="A1131" s="359" t="s">
        <v>1928</v>
      </c>
      <c r="B1131" s="572" t="s">
        <v>3680</v>
      </c>
      <c r="C1131" s="546" t="s">
        <v>2765</v>
      </c>
      <c r="D1131" s="360">
        <v>0.22</v>
      </c>
      <c r="E1131" s="393"/>
      <c r="F1131" s="523"/>
      <c r="G1131" s="393"/>
      <c r="H1131" s="573"/>
      <c r="I1131" s="394"/>
      <c r="J1131" s="394"/>
      <c r="K1131" s="394"/>
      <c r="L1131" s="394"/>
      <c r="M1131" s="394"/>
      <c r="N1131" s="394"/>
      <c r="O1131" s="394"/>
      <c r="P1131" s="394"/>
      <c r="Q1131" s="394"/>
      <c r="R1131" s="381"/>
      <c r="S1131" s="408"/>
      <c r="T1131" s="385"/>
      <c r="U1131" s="475"/>
      <c r="V1131" s="395"/>
      <c r="W1131" s="395"/>
      <c r="X1131" s="393"/>
      <c r="Y1131" s="523">
        <v>1</v>
      </c>
      <c r="Z1131" s="393"/>
      <c r="AA1131" s="573">
        <v>9.4443199999999994</v>
      </c>
      <c r="AB1131" s="394">
        <v>6.5215100000000001</v>
      </c>
      <c r="AC1131" s="394">
        <v>5.2083700000000004</v>
      </c>
      <c r="AD1131" s="394"/>
      <c r="AE1131" s="394"/>
      <c r="AF1131" s="394">
        <v>0</v>
      </c>
      <c r="AG1131" s="394">
        <v>0</v>
      </c>
      <c r="AH1131" s="394">
        <v>0.68139000000000005</v>
      </c>
      <c r="AI1131" s="394">
        <v>5.2083700000000004</v>
      </c>
      <c r="AJ1131" s="394"/>
      <c r="AK1131" s="381" t="s">
        <v>167</v>
      </c>
      <c r="AL1131" s="408" t="s">
        <v>175</v>
      </c>
      <c r="AM1131" s="385"/>
      <c r="AN1131" s="475">
        <v>681</v>
      </c>
      <c r="AO1131" s="395"/>
      <c r="AP1131" s="395">
        <f t="shared" si="858"/>
        <v>9.4443199999999994</v>
      </c>
      <c r="AQ1131" s="393"/>
      <c r="AR1131" s="523"/>
      <c r="AS1131" s="393"/>
      <c r="AT1131" s="573"/>
      <c r="AU1131" s="394"/>
      <c r="AV1131" s="394"/>
      <c r="AW1131" s="394"/>
      <c r="AX1131" s="394"/>
      <c r="AY1131" s="394"/>
      <c r="AZ1131" s="394"/>
      <c r="BA1131" s="394"/>
      <c r="BB1131" s="394"/>
      <c r="BC1131" s="394"/>
      <c r="BD1131" s="381"/>
      <c r="BE1131" s="408"/>
      <c r="BF1131" s="385"/>
      <c r="BG1131" s="475"/>
      <c r="BH1131" s="395"/>
      <c r="BI1131" s="395" t="e">
        <f t="shared" si="857"/>
        <v>#DIV/0!</v>
      </c>
    </row>
    <row r="1132" spans="1:61" s="358" customFormat="1" ht="19.2" x14ac:dyDescent="0.3">
      <c r="A1132" s="359" t="s">
        <v>1929</v>
      </c>
      <c r="B1132" s="572" t="s">
        <v>3681</v>
      </c>
      <c r="C1132" s="546" t="s">
        <v>2766</v>
      </c>
      <c r="D1132" s="360">
        <v>0.22</v>
      </c>
      <c r="E1132" s="393"/>
      <c r="F1132" s="523"/>
      <c r="G1132" s="393"/>
      <c r="H1132" s="573"/>
      <c r="I1132" s="394"/>
      <c r="J1132" s="394"/>
      <c r="K1132" s="394"/>
      <c r="L1132" s="394"/>
      <c r="M1132" s="394"/>
      <c r="N1132" s="394"/>
      <c r="O1132" s="394"/>
      <c r="P1132" s="394"/>
      <c r="Q1132" s="394"/>
      <c r="R1132" s="381"/>
      <c r="S1132" s="408"/>
      <c r="T1132" s="385"/>
      <c r="U1132" s="475"/>
      <c r="V1132" s="395"/>
      <c r="W1132" s="395"/>
      <c r="X1132" s="393"/>
      <c r="Y1132" s="523">
        <v>1</v>
      </c>
      <c r="Z1132" s="393"/>
      <c r="AA1132" s="573">
        <v>9.4443300000000008</v>
      </c>
      <c r="AB1132" s="394">
        <v>6.5215199999999998</v>
      </c>
      <c r="AC1132" s="394">
        <v>5.2083700000000004</v>
      </c>
      <c r="AD1132" s="394"/>
      <c r="AE1132" s="394"/>
      <c r="AF1132" s="394">
        <v>0</v>
      </c>
      <c r="AG1132" s="394">
        <v>0</v>
      </c>
      <c r="AH1132" s="394">
        <v>0.68139000000000005</v>
      </c>
      <c r="AI1132" s="394">
        <v>5.2083700000000004</v>
      </c>
      <c r="AJ1132" s="394"/>
      <c r="AK1132" s="381" t="s">
        <v>167</v>
      </c>
      <c r="AL1132" s="408" t="s">
        <v>175</v>
      </c>
      <c r="AM1132" s="385"/>
      <c r="AN1132" s="475">
        <v>682</v>
      </c>
      <c r="AO1132" s="395"/>
      <c r="AP1132" s="395">
        <f t="shared" si="858"/>
        <v>9.4443300000000008</v>
      </c>
      <c r="AQ1132" s="393"/>
      <c r="AR1132" s="523"/>
      <c r="AS1132" s="393"/>
      <c r="AT1132" s="573"/>
      <c r="AU1132" s="394"/>
      <c r="AV1132" s="394"/>
      <c r="AW1132" s="394"/>
      <c r="AX1132" s="394"/>
      <c r="AY1132" s="394"/>
      <c r="AZ1132" s="394"/>
      <c r="BA1132" s="394"/>
      <c r="BB1132" s="394"/>
      <c r="BC1132" s="394"/>
      <c r="BD1132" s="381"/>
      <c r="BE1132" s="408"/>
      <c r="BF1132" s="385"/>
      <c r="BG1132" s="475"/>
      <c r="BH1132" s="395"/>
      <c r="BI1132" s="395" t="e">
        <f t="shared" ref="BI1132:BI1195" si="859">AT1132/AR1132</f>
        <v>#DIV/0!</v>
      </c>
    </row>
    <row r="1133" spans="1:61" s="358" customFormat="1" ht="19.2" x14ac:dyDescent="0.3">
      <c r="A1133" s="359" t="s">
        <v>1930</v>
      </c>
      <c r="B1133" s="572" t="s">
        <v>3682</v>
      </c>
      <c r="C1133" s="546" t="s">
        <v>2767</v>
      </c>
      <c r="D1133" s="360">
        <v>0.22</v>
      </c>
      <c r="E1133" s="393"/>
      <c r="F1133" s="523"/>
      <c r="G1133" s="393"/>
      <c r="H1133" s="573"/>
      <c r="I1133" s="394"/>
      <c r="J1133" s="394"/>
      <c r="K1133" s="394"/>
      <c r="L1133" s="394"/>
      <c r="M1133" s="394"/>
      <c r="N1133" s="394"/>
      <c r="O1133" s="394"/>
      <c r="P1133" s="394"/>
      <c r="Q1133" s="394"/>
      <c r="R1133" s="381"/>
      <c r="S1133" s="408"/>
      <c r="T1133" s="385"/>
      <c r="U1133" s="475"/>
      <c r="V1133" s="395"/>
      <c r="W1133" s="395"/>
      <c r="X1133" s="393"/>
      <c r="Y1133" s="523">
        <v>1</v>
      </c>
      <c r="Z1133" s="393"/>
      <c r="AA1133" s="573">
        <v>9.4443199999999994</v>
      </c>
      <c r="AB1133" s="394">
        <v>6.5215100000000001</v>
      </c>
      <c r="AC1133" s="394">
        <v>5.2083700000000004</v>
      </c>
      <c r="AD1133" s="394"/>
      <c r="AE1133" s="394"/>
      <c r="AF1133" s="394">
        <v>0</v>
      </c>
      <c r="AG1133" s="394">
        <v>0</v>
      </c>
      <c r="AH1133" s="394">
        <v>0.68139000000000005</v>
      </c>
      <c r="AI1133" s="394">
        <v>5.2083700000000004</v>
      </c>
      <c r="AJ1133" s="394"/>
      <c r="AK1133" s="381" t="s">
        <v>167</v>
      </c>
      <c r="AL1133" s="408" t="s">
        <v>175</v>
      </c>
      <c r="AM1133" s="385"/>
      <c r="AN1133" s="475">
        <v>683</v>
      </c>
      <c r="AO1133" s="395"/>
      <c r="AP1133" s="395">
        <f t="shared" si="858"/>
        <v>9.4443199999999994</v>
      </c>
      <c r="AQ1133" s="393"/>
      <c r="AR1133" s="523"/>
      <c r="AS1133" s="393"/>
      <c r="AT1133" s="573"/>
      <c r="AU1133" s="394"/>
      <c r="AV1133" s="394"/>
      <c r="AW1133" s="394"/>
      <c r="AX1133" s="394"/>
      <c r="AY1133" s="394"/>
      <c r="AZ1133" s="394"/>
      <c r="BA1133" s="394"/>
      <c r="BB1133" s="394"/>
      <c r="BC1133" s="394"/>
      <c r="BD1133" s="381"/>
      <c r="BE1133" s="408"/>
      <c r="BF1133" s="385"/>
      <c r="BG1133" s="475"/>
      <c r="BH1133" s="395"/>
      <c r="BI1133" s="395" t="e">
        <f t="shared" si="859"/>
        <v>#DIV/0!</v>
      </c>
    </row>
    <row r="1134" spans="1:61" s="358" customFormat="1" ht="19.2" x14ac:dyDescent="0.3">
      <c r="A1134" s="359" t="s">
        <v>1931</v>
      </c>
      <c r="B1134" s="572" t="s">
        <v>3683</v>
      </c>
      <c r="C1134" s="546" t="s">
        <v>2768</v>
      </c>
      <c r="D1134" s="360">
        <v>0.22</v>
      </c>
      <c r="E1134" s="393"/>
      <c r="F1134" s="523"/>
      <c r="G1134" s="393"/>
      <c r="H1134" s="573"/>
      <c r="I1134" s="394"/>
      <c r="J1134" s="394"/>
      <c r="K1134" s="394"/>
      <c r="L1134" s="394"/>
      <c r="M1134" s="394"/>
      <c r="N1134" s="394"/>
      <c r="O1134" s="394"/>
      <c r="P1134" s="394"/>
      <c r="Q1134" s="394"/>
      <c r="R1134" s="381"/>
      <c r="S1134" s="408"/>
      <c r="T1134" s="385"/>
      <c r="U1134" s="475"/>
      <c r="V1134" s="395"/>
      <c r="W1134" s="395"/>
      <c r="X1134" s="393"/>
      <c r="Y1134" s="523">
        <v>1</v>
      </c>
      <c r="Z1134" s="393"/>
      <c r="AA1134" s="573">
        <v>9.4443300000000008</v>
      </c>
      <c r="AB1134" s="394">
        <v>6.5215199999999998</v>
      </c>
      <c r="AC1134" s="394">
        <v>5.2083399999999997</v>
      </c>
      <c r="AD1134" s="394"/>
      <c r="AE1134" s="394"/>
      <c r="AF1134" s="394">
        <v>0</v>
      </c>
      <c r="AG1134" s="394">
        <v>0</v>
      </c>
      <c r="AH1134" s="394">
        <v>0.68139000000000005</v>
      </c>
      <c r="AI1134" s="394">
        <v>5.2083399999999997</v>
      </c>
      <c r="AJ1134" s="394"/>
      <c r="AK1134" s="381" t="s">
        <v>167</v>
      </c>
      <c r="AL1134" s="408" t="s">
        <v>175</v>
      </c>
      <c r="AM1134" s="385"/>
      <c r="AN1134" s="475">
        <v>684</v>
      </c>
      <c r="AO1134" s="395"/>
      <c r="AP1134" s="395">
        <f t="shared" si="858"/>
        <v>9.4443300000000008</v>
      </c>
      <c r="AQ1134" s="393"/>
      <c r="AR1134" s="523"/>
      <c r="AS1134" s="393"/>
      <c r="AT1134" s="573"/>
      <c r="AU1134" s="394"/>
      <c r="AV1134" s="394"/>
      <c r="AW1134" s="394"/>
      <c r="AX1134" s="394"/>
      <c r="AY1134" s="394"/>
      <c r="AZ1134" s="394"/>
      <c r="BA1134" s="394"/>
      <c r="BB1134" s="394"/>
      <c r="BC1134" s="394"/>
      <c r="BD1134" s="381"/>
      <c r="BE1134" s="408"/>
      <c r="BF1134" s="385"/>
      <c r="BG1134" s="475"/>
      <c r="BH1134" s="395"/>
      <c r="BI1134" s="395" t="e">
        <f t="shared" si="859"/>
        <v>#DIV/0!</v>
      </c>
    </row>
    <row r="1135" spans="1:61" s="358" customFormat="1" ht="19.2" x14ac:dyDescent="0.3">
      <c r="A1135" s="359" t="s">
        <v>1932</v>
      </c>
      <c r="B1135" s="572" t="s">
        <v>1414</v>
      </c>
      <c r="C1135" s="546" t="s">
        <v>2769</v>
      </c>
      <c r="D1135" s="360">
        <v>0.22</v>
      </c>
      <c r="E1135" s="393"/>
      <c r="F1135" s="523"/>
      <c r="G1135" s="393"/>
      <c r="H1135" s="573"/>
      <c r="I1135" s="394"/>
      <c r="J1135" s="394"/>
      <c r="K1135" s="394"/>
      <c r="L1135" s="394"/>
      <c r="M1135" s="394"/>
      <c r="N1135" s="394"/>
      <c r="O1135" s="394"/>
      <c r="P1135" s="394"/>
      <c r="Q1135" s="394"/>
      <c r="R1135" s="381"/>
      <c r="S1135" s="408"/>
      <c r="T1135" s="385"/>
      <c r="U1135" s="475"/>
      <c r="V1135" s="395"/>
      <c r="W1135" s="395"/>
      <c r="X1135" s="393"/>
      <c r="Y1135" s="523">
        <v>1</v>
      </c>
      <c r="Z1135" s="393"/>
      <c r="AA1135" s="573">
        <v>9.4443300000000008</v>
      </c>
      <c r="AB1135" s="394">
        <v>6.5215199999999998</v>
      </c>
      <c r="AC1135" s="394">
        <v>5.2083399999999997</v>
      </c>
      <c r="AD1135" s="394"/>
      <c r="AE1135" s="394"/>
      <c r="AF1135" s="394">
        <v>0</v>
      </c>
      <c r="AG1135" s="394">
        <v>0</v>
      </c>
      <c r="AH1135" s="394">
        <v>0.68139000000000005</v>
      </c>
      <c r="AI1135" s="394">
        <v>5.2083399999999997</v>
      </c>
      <c r="AJ1135" s="394"/>
      <c r="AK1135" s="381" t="s">
        <v>167</v>
      </c>
      <c r="AL1135" s="408" t="s">
        <v>175</v>
      </c>
      <c r="AM1135" s="385"/>
      <c r="AN1135" s="475">
        <v>685</v>
      </c>
      <c r="AO1135" s="395"/>
      <c r="AP1135" s="395">
        <f t="shared" si="858"/>
        <v>9.4443300000000008</v>
      </c>
      <c r="AQ1135" s="393"/>
      <c r="AR1135" s="523"/>
      <c r="AS1135" s="393"/>
      <c r="AT1135" s="573"/>
      <c r="AU1135" s="394"/>
      <c r="AV1135" s="394"/>
      <c r="AW1135" s="394"/>
      <c r="AX1135" s="394"/>
      <c r="AY1135" s="394"/>
      <c r="AZ1135" s="394"/>
      <c r="BA1135" s="394"/>
      <c r="BB1135" s="394"/>
      <c r="BC1135" s="394"/>
      <c r="BD1135" s="381"/>
      <c r="BE1135" s="408"/>
      <c r="BF1135" s="385"/>
      <c r="BG1135" s="475"/>
      <c r="BH1135" s="395"/>
      <c r="BI1135" s="395" t="e">
        <f t="shared" si="859"/>
        <v>#DIV/0!</v>
      </c>
    </row>
    <row r="1136" spans="1:61" s="358" customFormat="1" ht="19.2" x14ac:dyDescent="0.3">
      <c r="A1136" s="359" t="s">
        <v>1949</v>
      </c>
      <c r="B1136" s="572" t="s">
        <v>2339</v>
      </c>
      <c r="C1136" s="546" t="s">
        <v>2338</v>
      </c>
      <c r="D1136" s="360">
        <v>0.22</v>
      </c>
      <c r="E1136" s="393"/>
      <c r="F1136" s="523"/>
      <c r="G1136" s="393"/>
      <c r="H1136" s="573"/>
      <c r="I1136" s="394"/>
      <c r="J1136" s="394"/>
      <c r="K1136" s="394"/>
      <c r="L1136" s="394"/>
      <c r="M1136" s="394"/>
      <c r="N1136" s="394"/>
      <c r="O1136" s="394"/>
      <c r="P1136" s="394"/>
      <c r="Q1136" s="394"/>
      <c r="R1136" s="381"/>
      <c r="S1136" s="408"/>
      <c r="T1136" s="385"/>
      <c r="U1136" s="475"/>
      <c r="V1136" s="395"/>
      <c r="W1136" s="395"/>
      <c r="X1136" s="393"/>
      <c r="Y1136" s="523">
        <v>1</v>
      </c>
      <c r="Z1136" s="393"/>
      <c r="AA1136" s="573">
        <v>9.4443199999999994</v>
      </c>
      <c r="AB1136" s="394">
        <v>6.5215100000000001</v>
      </c>
      <c r="AC1136" s="394">
        <v>5.2083399999999997</v>
      </c>
      <c r="AD1136" s="394"/>
      <c r="AE1136" s="394"/>
      <c r="AF1136" s="394">
        <v>0</v>
      </c>
      <c r="AG1136" s="394">
        <v>0</v>
      </c>
      <c r="AH1136" s="394">
        <v>0.68139000000000005</v>
      </c>
      <c r="AI1136" s="394">
        <v>5.2083399999999997</v>
      </c>
      <c r="AJ1136" s="394"/>
      <c r="AK1136" s="381" t="s">
        <v>167</v>
      </c>
      <c r="AL1136" s="408" t="s">
        <v>175</v>
      </c>
      <c r="AM1136" s="385"/>
      <c r="AN1136" s="475">
        <v>686</v>
      </c>
      <c r="AO1136" s="395"/>
      <c r="AP1136" s="395">
        <f t="shared" si="858"/>
        <v>9.4443199999999994</v>
      </c>
      <c r="AQ1136" s="393"/>
      <c r="AR1136" s="523"/>
      <c r="AS1136" s="393"/>
      <c r="AT1136" s="573"/>
      <c r="AU1136" s="394"/>
      <c r="AV1136" s="394"/>
      <c r="AW1136" s="394"/>
      <c r="AX1136" s="394"/>
      <c r="AY1136" s="394"/>
      <c r="AZ1136" s="394"/>
      <c r="BA1136" s="394"/>
      <c r="BB1136" s="394"/>
      <c r="BC1136" s="394"/>
      <c r="BD1136" s="381"/>
      <c r="BE1136" s="408"/>
      <c r="BF1136" s="385"/>
      <c r="BG1136" s="475"/>
      <c r="BH1136" s="395"/>
      <c r="BI1136" s="395" t="e">
        <f t="shared" si="859"/>
        <v>#DIV/0!</v>
      </c>
    </row>
    <row r="1137" spans="1:61" s="358" customFormat="1" ht="19.2" x14ac:dyDescent="0.3">
      <c r="A1137" s="359" t="s">
        <v>1934</v>
      </c>
      <c r="B1137" s="572" t="s">
        <v>3684</v>
      </c>
      <c r="C1137" s="546" t="s">
        <v>2770</v>
      </c>
      <c r="D1137" s="360">
        <v>0.22</v>
      </c>
      <c r="E1137" s="393"/>
      <c r="F1137" s="523"/>
      <c r="G1137" s="393"/>
      <c r="H1137" s="573"/>
      <c r="I1137" s="394"/>
      <c r="J1137" s="394"/>
      <c r="K1137" s="394"/>
      <c r="L1137" s="394"/>
      <c r="M1137" s="394"/>
      <c r="N1137" s="394"/>
      <c r="O1137" s="394"/>
      <c r="P1137" s="394"/>
      <c r="Q1137" s="394"/>
      <c r="R1137" s="381"/>
      <c r="S1137" s="408"/>
      <c r="T1137" s="385"/>
      <c r="U1137" s="475"/>
      <c r="V1137" s="395"/>
      <c r="W1137" s="395"/>
      <c r="X1137" s="393"/>
      <c r="Y1137" s="523">
        <v>1</v>
      </c>
      <c r="Z1137" s="393"/>
      <c r="AA1137" s="573">
        <v>9.4443199999999994</v>
      </c>
      <c r="AB1137" s="394">
        <v>6.5215100000000001</v>
      </c>
      <c r="AC1137" s="394">
        <v>5.2083399999999997</v>
      </c>
      <c r="AD1137" s="394"/>
      <c r="AE1137" s="394"/>
      <c r="AF1137" s="394">
        <v>0</v>
      </c>
      <c r="AG1137" s="394">
        <v>0</v>
      </c>
      <c r="AH1137" s="394">
        <v>0.68139000000000005</v>
      </c>
      <c r="AI1137" s="394">
        <v>5.2083399999999997</v>
      </c>
      <c r="AJ1137" s="394"/>
      <c r="AK1137" s="381" t="s">
        <v>167</v>
      </c>
      <c r="AL1137" s="408" t="s">
        <v>175</v>
      </c>
      <c r="AM1137" s="385"/>
      <c r="AN1137" s="475">
        <v>687</v>
      </c>
      <c r="AO1137" s="395"/>
      <c r="AP1137" s="395">
        <f t="shared" si="858"/>
        <v>9.4443199999999994</v>
      </c>
      <c r="AQ1137" s="393"/>
      <c r="AR1137" s="523"/>
      <c r="AS1137" s="393"/>
      <c r="AT1137" s="573"/>
      <c r="AU1137" s="394"/>
      <c r="AV1137" s="394"/>
      <c r="AW1137" s="394"/>
      <c r="AX1137" s="394"/>
      <c r="AY1137" s="394"/>
      <c r="AZ1137" s="394"/>
      <c r="BA1137" s="394"/>
      <c r="BB1137" s="394"/>
      <c r="BC1137" s="394"/>
      <c r="BD1137" s="381"/>
      <c r="BE1137" s="408"/>
      <c r="BF1137" s="385"/>
      <c r="BG1137" s="475"/>
      <c r="BH1137" s="395"/>
      <c r="BI1137" s="395" t="e">
        <f t="shared" si="859"/>
        <v>#DIV/0!</v>
      </c>
    </row>
    <row r="1138" spans="1:61" s="358" customFormat="1" ht="19.2" x14ac:dyDescent="0.3">
      <c r="A1138" s="359" t="s">
        <v>1935</v>
      </c>
      <c r="B1138" s="572" t="s">
        <v>2424</v>
      </c>
      <c r="C1138" s="546" t="s">
        <v>2423</v>
      </c>
      <c r="D1138" s="360">
        <v>0.22</v>
      </c>
      <c r="E1138" s="393"/>
      <c r="F1138" s="523"/>
      <c r="G1138" s="393"/>
      <c r="H1138" s="573"/>
      <c r="I1138" s="394"/>
      <c r="J1138" s="394"/>
      <c r="K1138" s="394"/>
      <c r="L1138" s="394"/>
      <c r="M1138" s="394"/>
      <c r="N1138" s="394"/>
      <c r="O1138" s="394"/>
      <c r="P1138" s="394"/>
      <c r="Q1138" s="394"/>
      <c r="R1138" s="381"/>
      <c r="S1138" s="408"/>
      <c r="T1138" s="385"/>
      <c r="U1138" s="475"/>
      <c r="V1138" s="395"/>
      <c r="W1138" s="395"/>
      <c r="X1138" s="393"/>
      <c r="Y1138" s="523">
        <v>1</v>
      </c>
      <c r="Z1138" s="393"/>
      <c r="AA1138" s="573">
        <v>9.4443199999999994</v>
      </c>
      <c r="AB1138" s="394">
        <v>6.5215100000000001</v>
      </c>
      <c r="AC1138" s="394">
        <v>5.2083399999999997</v>
      </c>
      <c r="AD1138" s="394"/>
      <c r="AE1138" s="394"/>
      <c r="AF1138" s="394">
        <v>0</v>
      </c>
      <c r="AG1138" s="394">
        <v>0</v>
      </c>
      <c r="AH1138" s="394">
        <v>0.68139000000000005</v>
      </c>
      <c r="AI1138" s="394">
        <v>5.2083399999999997</v>
      </c>
      <c r="AJ1138" s="394"/>
      <c r="AK1138" s="381" t="s">
        <v>167</v>
      </c>
      <c r="AL1138" s="408" t="s">
        <v>175</v>
      </c>
      <c r="AM1138" s="385"/>
      <c r="AN1138" s="475">
        <v>688</v>
      </c>
      <c r="AO1138" s="395"/>
      <c r="AP1138" s="395">
        <f t="shared" si="858"/>
        <v>9.4443199999999994</v>
      </c>
      <c r="AQ1138" s="393"/>
      <c r="AR1138" s="523"/>
      <c r="AS1138" s="393"/>
      <c r="AT1138" s="573"/>
      <c r="AU1138" s="394"/>
      <c r="AV1138" s="394"/>
      <c r="AW1138" s="394"/>
      <c r="AX1138" s="394"/>
      <c r="AY1138" s="394"/>
      <c r="AZ1138" s="394"/>
      <c r="BA1138" s="394"/>
      <c r="BB1138" s="394"/>
      <c r="BC1138" s="394"/>
      <c r="BD1138" s="381"/>
      <c r="BE1138" s="408"/>
      <c r="BF1138" s="385"/>
      <c r="BG1138" s="475"/>
      <c r="BH1138" s="395"/>
      <c r="BI1138" s="395" t="e">
        <f t="shared" si="859"/>
        <v>#DIV/0!</v>
      </c>
    </row>
    <row r="1139" spans="1:61" s="358" customFormat="1" ht="19.2" x14ac:dyDescent="0.3">
      <c r="A1139" s="359" t="s">
        <v>1920</v>
      </c>
      <c r="B1139" s="572" t="s">
        <v>3685</v>
      </c>
      <c r="C1139" s="546" t="s">
        <v>2771</v>
      </c>
      <c r="D1139" s="360">
        <v>0.22</v>
      </c>
      <c r="E1139" s="393"/>
      <c r="F1139" s="523"/>
      <c r="G1139" s="393"/>
      <c r="H1139" s="573"/>
      <c r="I1139" s="394"/>
      <c r="J1139" s="394"/>
      <c r="K1139" s="394"/>
      <c r="L1139" s="394"/>
      <c r="M1139" s="394"/>
      <c r="N1139" s="394"/>
      <c r="O1139" s="394"/>
      <c r="P1139" s="394"/>
      <c r="Q1139" s="394"/>
      <c r="R1139" s="381"/>
      <c r="S1139" s="408"/>
      <c r="T1139" s="385"/>
      <c r="U1139" s="475"/>
      <c r="V1139" s="395"/>
      <c r="W1139" s="395"/>
      <c r="X1139" s="393"/>
      <c r="Y1139" s="523">
        <v>1</v>
      </c>
      <c r="Z1139" s="393"/>
      <c r="AA1139" s="573">
        <v>9.4443300000000008</v>
      </c>
      <c r="AB1139" s="394">
        <v>6.5215199999999998</v>
      </c>
      <c r="AC1139" s="394">
        <v>5.2083399999999997</v>
      </c>
      <c r="AD1139" s="394"/>
      <c r="AE1139" s="394"/>
      <c r="AF1139" s="394">
        <v>0</v>
      </c>
      <c r="AG1139" s="394">
        <v>0</v>
      </c>
      <c r="AH1139" s="394">
        <v>0.68139000000000005</v>
      </c>
      <c r="AI1139" s="394">
        <v>5.2083399999999997</v>
      </c>
      <c r="AJ1139" s="394"/>
      <c r="AK1139" s="381" t="s">
        <v>167</v>
      </c>
      <c r="AL1139" s="408" t="s">
        <v>175</v>
      </c>
      <c r="AM1139" s="385"/>
      <c r="AN1139" s="475">
        <v>689</v>
      </c>
      <c r="AO1139" s="395"/>
      <c r="AP1139" s="395">
        <f t="shared" si="858"/>
        <v>9.4443300000000008</v>
      </c>
      <c r="AQ1139" s="393"/>
      <c r="AR1139" s="523"/>
      <c r="AS1139" s="393"/>
      <c r="AT1139" s="573"/>
      <c r="AU1139" s="394"/>
      <c r="AV1139" s="394"/>
      <c r="AW1139" s="394"/>
      <c r="AX1139" s="394"/>
      <c r="AY1139" s="394"/>
      <c r="AZ1139" s="394"/>
      <c r="BA1139" s="394"/>
      <c r="BB1139" s="394"/>
      <c r="BC1139" s="394"/>
      <c r="BD1139" s="381"/>
      <c r="BE1139" s="408"/>
      <c r="BF1139" s="385"/>
      <c r="BG1139" s="475"/>
      <c r="BH1139" s="395"/>
      <c r="BI1139" s="395" t="e">
        <f t="shared" si="859"/>
        <v>#DIV/0!</v>
      </c>
    </row>
    <row r="1140" spans="1:61" s="358" customFormat="1" ht="19.2" x14ac:dyDescent="0.3">
      <c r="A1140" s="359" t="s">
        <v>1955</v>
      </c>
      <c r="B1140" s="572" t="s">
        <v>2414</v>
      </c>
      <c r="C1140" s="546" t="s">
        <v>2413</v>
      </c>
      <c r="D1140" s="360">
        <v>0.22</v>
      </c>
      <c r="E1140" s="393"/>
      <c r="F1140" s="523"/>
      <c r="G1140" s="393"/>
      <c r="H1140" s="573"/>
      <c r="I1140" s="394"/>
      <c r="J1140" s="394"/>
      <c r="K1140" s="394"/>
      <c r="L1140" s="394"/>
      <c r="M1140" s="394"/>
      <c r="N1140" s="394"/>
      <c r="O1140" s="394"/>
      <c r="P1140" s="394"/>
      <c r="Q1140" s="394"/>
      <c r="R1140" s="381"/>
      <c r="S1140" s="408"/>
      <c r="T1140" s="385"/>
      <c r="U1140" s="475"/>
      <c r="V1140" s="395"/>
      <c r="W1140" s="395"/>
      <c r="X1140" s="393"/>
      <c r="Y1140" s="523">
        <v>1</v>
      </c>
      <c r="Z1140" s="393"/>
      <c r="AA1140" s="573">
        <v>9.44435</v>
      </c>
      <c r="AB1140" s="394">
        <v>6.5215399999999999</v>
      </c>
      <c r="AC1140" s="394">
        <v>5.2083700000000004</v>
      </c>
      <c r="AD1140" s="394"/>
      <c r="AE1140" s="394"/>
      <c r="AF1140" s="394">
        <v>0</v>
      </c>
      <c r="AG1140" s="394">
        <v>0</v>
      </c>
      <c r="AH1140" s="394">
        <v>0.68139000000000005</v>
      </c>
      <c r="AI1140" s="394">
        <v>5.2083700000000004</v>
      </c>
      <c r="AJ1140" s="394"/>
      <c r="AK1140" s="381" t="s">
        <v>167</v>
      </c>
      <c r="AL1140" s="408" t="s">
        <v>175</v>
      </c>
      <c r="AM1140" s="385"/>
      <c r="AN1140" s="475">
        <v>690</v>
      </c>
      <c r="AO1140" s="395"/>
      <c r="AP1140" s="395">
        <f t="shared" si="858"/>
        <v>9.44435</v>
      </c>
      <c r="AQ1140" s="393"/>
      <c r="AR1140" s="523"/>
      <c r="AS1140" s="393"/>
      <c r="AT1140" s="573"/>
      <c r="AU1140" s="394"/>
      <c r="AV1140" s="394"/>
      <c r="AW1140" s="394"/>
      <c r="AX1140" s="394"/>
      <c r="AY1140" s="394"/>
      <c r="AZ1140" s="394"/>
      <c r="BA1140" s="394"/>
      <c r="BB1140" s="394"/>
      <c r="BC1140" s="394"/>
      <c r="BD1140" s="381"/>
      <c r="BE1140" s="408"/>
      <c r="BF1140" s="385"/>
      <c r="BG1140" s="475"/>
      <c r="BH1140" s="395"/>
      <c r="BI1140" s="395" t="e">
        <f t="shared" si="859"/>
        <v>#DIV/0!</v>
      </c>
    </row>
    <row r="1141" spans="1:61" s="358" customFormat="1" ht="19.2" x14ac:dyDescent="0.3">
      <c r="A1141" s="359" t="s">
        <v>1938</v>
      </c>
      <c r="B1141" s="572" t="s">
        <v>3686</v>
      </c>
      <c r="C1141" s="546" t="s">
        <v>2772</v>
      </c>
      <c r="D1141" s="360">
        <v>0.22</v>
      </c>
      <c r="E1141" s="393"/>
      <c r="F1141" s="523"/>
      <c r="G1141" s="393"/>
      <c r="H1141" s="573"/>
      <c r="I1141" s="394"/>
      <c r="J1141" s="394"/>
      <c r="K1141" s="394"/>
      <c r="L1141" s="394"/>
      <c r="M1141" s="394"/>
      <c r="N1141" s="394"/>
      <c r="O1141" s="394"/>
      <c r="P1141" s="394"/>
      <c r="Q1141" s="394"/>
      <c r="R1141" s="381"/>
      <c r="S1141" s="408"/>
      <c r="T1141" s="385"/>
      <c r="U1141" s="475"/>
      <c r="V1141" s="395"/>
      <c r="W1141" s="395"/>
      <c r="X1141" s="393"/>
      <c r="Y1141" s="523">
        <v>1</v>
      </c>
      <c r="Z1141" s="393"/>
      <c r="AA1141" s="573">
        <v>9.4443199999999994</v>
      </c>
      <c r="AB1141" s="394">
        <v>6.5215100000000001</v>
      </c>
      <c r="AC1141" s="394">
        <v>5.2083399999999997</v>
      </c>
      <c r="AD1141" s="394"/>
      <c r="AE1141" s="394"/>
      <c r="AF1141" s="394">
        <v>0</v>
      </c>
      <c r="AG1141" s="394">
        <v>0</v>
      </c>
      <c r="AH1141" s="394">
        <v>0.68139000000000005</v>
      </c>
      <c r="AI1141" s="394">
        <v>5.2083399999999997</v>
      </c>
      <c r="AJ1141" s="394"/>
      <c r="AK1141" s="381" t="s">
        <v>167</v>
      </c>
      <c r="AL1141" s="408" t="s">
        <v>175</v>
      </c>
      <c r="AM1141" s="385"/>
      <c r="AN1141" s="475">
        <v>691</v>
      </c>
      <c r="AO1141" s="395"/>
      <c r="AP1141" s="395">
        <f t="shared" si="858"/>
        <v>9.4443199999999994</v>
      </c>
      <c r="AQ1141" s="393"/>
      <c r="AR1141" s="523"/>
      <c r="AS1141" s="393"/>
      <c r="AT1141" s="573"/>
      <c r="AU1141" s="394"/>
      <c r="AV1141" s="394"/>
      <c r="AW1141" s="394"/>
      <c r="AX1141" s="394"/>
      <c r="AY1141" s="394"/>
      <c r="AZ1141" s="394"/>
      <c r="BA1141" s="394"/>
      <c r="BB1141" s="394"/>
      <c r="BC1141" s="394"/>
      <c r="BD1141" s="381"/>
      <c r="BE1141" s="408"/>
      <c r="BF1141" s="385"/>
      <c r="BG1141" s="475"/>
      <c r="BH1141" s="395"/>
      <c r="BI1141" s="395" t="e">
        <f t="shared" si="859"/>
        <v>#DIV/0!</v>
      </c>
    </row>
    <row r="1142" spans="1:61" s="358" customFormat="1" ht="19.2" x14ac:dyDescent="0.3">
      <c r="A1142" s="359" t="s">
        <v>1939</v>
      </c>
      <c r="B1142" s="572" t="s">
        <v>3687</v>
      </c>
      <c r="C1142" s="546" t="s">
        <v>2773</v>
      </c>
      <c r="D1142" s="360">
        <v>0.22</v>
      </c>
      <c r="E1142" s="393"/>
      <c r="F1142" s="523"/>
      <c r="G1142" s="393"/>
      <c r="H1142" s="573"/>
      <c r="I1142" s="394"/>
      <c r="J1142" s="394"/>
      <c r="K1142" s="394"/>
      <c r="L1142" s="394"/>
      <c r="M1142" s="394"/>
      <c r="N1142" s="394"/>
      <c r="O1142" s="394"/>
      <c r="P1142" s="394"/>
      <c r="Q1142" s="394"/>
      <c r="R1142" s="381"/>
      <c r="S1142" s="408"/>
      <c r="T1142" s="385"/>
      <c r="U1142" s="475"/>
      <c r="V1142" s="395"/>
      <c r="W1142" s="395"/>
      <c r="X1142" s="393"/>
      <c r="Y1142" s="523">
        <v>1</v>
      </c>
      <c r="Z1142" s="393"/>
      <c r="AA1142" s="573">
        <v>9.44435</v>
      </c>
      <c r="AB1142" s="394">
        <v>6.5215399999999999</v>
      </c>
      <c r="AC1142" s="394">
        <v>5.2083700000000004</v>
      </c>
      <c r="AD1142" s="394"/>
      <c r="AE1142" s="394"/>
      <c r="AF1142" s="394">
        <v>0</v>
      </c>
      <c r="AG1142" s="394">
        <v>0</v>
      </c>
      <c r="AH1142" s="394">
        <v>0.68139000000000005</v>
      </c>
      <c r="AI1142" s="394">
        <v>5.2083700000000004</v>
      </c>
      <c r="AJ1142" s="394"/>
      <c r="AK1142" s="381" t="s">
        <v>167</v>
      </c>
      <c r="AL1142" s="408" t="s">
        <v>175</v>
      </c>
      <c r="AM1142" s="385"/>
      <c r="AN1142" s="475">
        <v>692</v>
      </c>
      <c r="AO1142" s="395"/>
      <c r="AP1142" s="395">
        <f t="shared" si="858"/>
        <v>9.44435</v>
      </c>
      <c r="AQ1142" s="393"/>
      <c r="AR1142" s="523"/>
      <c r="AS1142" s="393"/>
      <c r="AT1142" s="573"/>
      <c r="AU1142" s="394"/>
      <c r="AV1142" s="394"/>
      <c r="AW1142" s="394"/>
      <c r="AX1142" s="394"/>
      <c r="AY1142" s="394"/>
      <c r="AZ1142" s="394"/>
      <c r="BA1142" s="394"/>
      <c r="BB1142" s="394"/>
      <c r="BC1142" s="394"/>
      <c r="BD1142" s="381"/>
      <c r="BE1142" s="408"/>
      <c r="BF1142" s="385"/>
      <c r="BG1142" s="475"/>
      <c r="BH1142" s="395"/>
      <c r="BI1142" s="395" t="e">
        <f t="shared" si="859"/>
        <v>#DIV/0!</v>
      </c>
    </row>
    <row r="1143" spans="1:61" s="358" customFormat="1" ht="19.2" x14ac:dyDescent="0.3">
      <c r="A1143" s="359" t="s">
        <v>1940</v>
      </c>
      <c r="B1143" s="572" t="s">
        <v>2275</v>
      </c>
      <c r="C1143" s="546" t="s">
        <v>2274</v>
      </c>
      <c r="D1143" s="360">
        <v>0.22</v>
      </c>
      <c r="E1143" s="393"/>
      <c r="F1143" s="523"/>
      <c r="G1143" s="393"/>
      <c r="H1143" s="573"/>
      <c r="I1143" s="394"/>
      <c r="J1143" s="394"/>
      <c r="K1143" s="394"/>
      <c r="L1143" s="394"/>
      <c r="M1143" s="394"/>
      <c r="N1143" s="394"/>
      <c r="O1143" s="394"/>
      <c r="P1143" s="394"/>
      <c r="Q1143" s="394"/>
      <c r="R1143" s="381"/>
      <c r="S1143" s="408"/>
      <c r="T1143" s="385"/>
      <c r="U1143" s="475"/>
      <c r="V1143" s="395"/>
      <c r="W1143" s="395"/>
      <c r="X1143" s="393"/>
      <c r="Y1143" s="523">
        <v>1</v>
      </c>
      <c r="Z1143" s="393"/>
      <c r="AA1143" s="573">
        <v>9.44435</v>
      </c>
      <c r="AB1143" s="394">
        <v>6.5215399999999999</v>
      </c>
      <c r="AC1143" s="394">
        <v>5.2083700000000004</v>
      </c>
      <c r="AD1143" s="394"/>
      <c r="AE1143" s="394"/>
      <c r="AF1143" s="394">
        <v>0</v>
      </c>
      <c r="AG1143" s="394">
        <v>0</v>
      </c>
      <c r="AH1143" s="394">
        <v>0.68139000000000005</v>
      </c>
      <c r="AI1143" s="394">
        <v>5.2083700000000004</v>
      </c>
      <c r="AJ1143" s="394"/>
      <c r="AK1143" s="381" t="s">
        <v>167</v>
      </c>
      <c r="AL1143" s="408" t="s">
        <v>175</v>
      </c>
      <c r="AM1143" s="385"/>
      <c r="AN1143" s="475">
        <v>693</v>
      </c>
      <c r="AO1143" s="395"/>
      <c r="AP1143" s="395">
        <f t="shared" si="858"/>
        <v>9.44435</v>
      </c>
      <c r="AQ1143" s="393"/>
      <c r="AR1143" s="523"/>
      <c r="AS1143" s="393"/>
      <c r="AT1143" s="573"/>
      <c r="AU1143" s="394"/>
      <c r="AV1143" s="394"/>
      <c r="AW1143" s="394"/>
      <c r="AX1143" s="394"/>
      <c r="AY1143" s="394"/>
      <c r="AZ1143" s="394"/>
      <c r="BA1143" s="394"/>
      <c r="BB1143" s="394"/>
      <c r="BC1143" s="394"/>
      <c r="BD1143" s="381"/>
      <c r="BE1143" s="408"/>
      <c r="BF1143" s="385"/>
      <c r="BG1143" s="475"/>
      <c r="BH1143" s="395"/>
      <c r="BI1143" s="395" t="e">
        <f t="shared" si="859"/>
        <v>#DIV/0!</v>
      </c>
    </row>
    <row r="1144" spans="1:61" s="358" customFormat="1" ht="19.2" x14ac:dyDescent="0.3">
      <c r="A1144" s="359" t="s">
        <v>1941</v>
      </c>
      <c r="B1144" s="572" t="s">
        <v>3688</v>
      </c>
      <c r="C1144" s="546" t="s">
        <v>2774</v>
      </c>
      <c r="D1144" s="360">
        <v>0.22</v>
      </c>
      <c r="E1144" s="393"/>
      <c r="F1144" s="523"/>
      <c r="G1144" s="393"/>
      <c r="H1144" s="573"/>
      <c r="I1144" s="394"/>
      <c r="J1144" s="394"/>
      <c r="K1144" s="394"/>
      <c r="L1144" s="394"/>
      <c r="M1144" s="394"/>
      <c r="N1144" s="394"/>
      <c r="O1144" s="394"/>
      <c r="P1144" s="394"/>
      <c r="Q1144" s="394"/>
      <c r="R1144" s="381"/>
      <c r="S1144" s="408"/>
      <c r="T1144" s="385"/>
      <c r="U1144" s="475"/>
      <c r="V1144" s="395"/>
      <c r="W1144" s="395"/>
      <c r="X1144" s="393"/>
      <c r="Y1144" s="523">
        <v>1</v>
      </c>
      <c r="Z1144" s="393"/>
      <c r="AA1144" s="573">
        <v>9.4443400000000004</v>
      </c>
      <c r="AB1144" s="394">
        <v>6.5215300000000003</v>
      </c>
      <c r="AC1144" s="394">
        <v>5.2083599999999999</v>
      </c>
      <c r="AD1144" s="394"/>
      <c r="AE1144" s="394"/>
      <c r="AF1144" s="394">
        <v>0</v>
      </c>
      <c r="AG1144" s="394">
        <v>0</v>
      </c>
      <c r="AH1144" s="394">
        <v>0.68139000000000005</v>
      </c>
      <c r="AI1144" s="394">
        <v>5.2083599999999999</v>
      </c>
      <c r="AJ1144" s="394"/>
      <c r="AK1144" s="381" t="s">
        <v>167</v>
      </c>
      <c r="AL1144" s="408" t="s">
        <v>175</v>
      </c>
      <c r="AM1144" s="385"/>
      <c r="AN1144" s="475">
        <v>694</v>
      </c>
      <c r="AO1144" s="395"/>
      <c r="AP1144" s="395">
        <f t="shared" si="858"/>
        <v>9.4443400000000004</v>
      </c>
      <c r="AQ1144" s="393"/>
      <c r="AR1144" s="523"/>
      <c r="AS1144" s="393"/>
      <c r="AT1144" s="573"/>
      <c r="AU1144" s="394"/>
      <c r="AV1144" s="394"/>
      <c r="AW1144" s="394"/>
      <c r="AX1144" s="394"/>
      <c r="AY1144" s="394"/>
      <c r="AZ1144" s="394"/>
      <c r="BA1144" s="394"/>
      <c r="BB1144" s="394"/>
      <c r="BC1144" s="394"/>
      <c r="BD1144" s="381"/>
      <c r="BE1144" s="408"/>
      <c r="BF1144" s="385"/>
      <c r="BG1144" s="475"/>
      <c r="BH1144" s="395"/>
      <c r="BI1144" s="395" t="e">
        <f t="shared" si="859"/>
        <v>#DIV/0!</v>
      </c>
    </row>
    <row r="1145" spans="1:61" s="358" customFormat="1" ht="19.2" x14ac:dyDescent="0.3">
      <c r="A1145" s="359" t="s">
        <v>1942</v>
      </c>
      <c r="B1145" s="572" t="s">
        <v>3689</v>
      </c>
      <c r="C1145" s="546" t="s">
        <v>2775</v>
      </c>
      <c r="D1145" s="360">
        <v>0.22</v>
      </c>
      <c r="E1145" s="393"/>
      <c r="F1145" s="523"/>
      <c r="G1145" s="393"/>
      <c r="H1145" s="573"/>
      <c r="I1145" s="394"/>
      <c r="J1145" s="394"/>
      <c r="K1145" s="394"/>
      <c r="L1145" s="394"/>
      <c r="M1145" s="394"/>
      <c r="N1145" s="394"/>
      <c r="O1145" s="394"/>
      <c r="P1145" s="394"/>
      <c r="Q1145" s="394"/>
      <c r="R1145" s="381"/>
      <c r="S1145" s="408"/>
      <c r="T1145" s="385"/>
      <c r="U1145" s="475"/>
      <c r="V1145" s="395"/>
      <c r="W1145" s="395"/>
      <c r="X1145" s="393"/>
      <c r="Y1145" s="523">
        <v>1</v>
      </c>
      <c r="Z1145" s="393"/>
      <c r="AA1145" s="573">
        <v>5.8896100000000002</v>
      </c>
      <c r="AB1145" s="394">
        <v>5.4216699999999998</v>
      </c>
      <c r="AC1145" s="394">
        <v>5.2083399999999997</v>
      </c>
      <c r="AD1145" s="394"/>
      <c r="AE1145" s="394"/>
      <c r="AF1145" s="394">
        <v>0</v>
      </c>
      <c r="AG1145" s="394">
        <v>0</v>
      </c>
      <c r="AH1145" s="394">
        <v>0.10909000000000001</v>
      </c>
      <c r="AI1145" s="394">
        <v>5.2083399999999997</v>
      </c>
      <c r="AJ1145" s="394"/>
      <c r="AK1145" s="381" t="s">
        <v>167</v>
      </c>
      <c r="AL1145" s="408" t="s">
        <v>175</v>
      </c>
      <c r="AM1145" s="385"/>
      <c r="AN1145" s="475">
        <v>695</v>
      </c>
      <c r="AO1145" s="395"/>
      <c r="AP1145" s="395">
        <f t="shared" si="858"/>
        <v>5.8896100000000002</v>
      </c>
      <c r="AQ1145" s="393"/>
      <c r="AR1145" s="523"/>
      <c r="AS1145" s="393"/>
      <c r="AT1145" s="573"/>
      <c r="AU1145" s="394"/>
      <c r="AV1145" s="394"/>
      <c r="AW1145" s="394"/>
      <c r="AX1145" s="394"/>
      <c r="AY1145" s="394"/>
      <c r="AZ1145" s="394"/>
      <c r="BA1145" s="394"/>
      <c r="BB1145" s="394"/>
      <c r="BC1145" s="394"/>
      <c r="BD1145" s="381"/>
      <c r="BE1145" s="408"/>
      <c r="BF1145" s="385"/>
      <c r="BG1145" s="475"/>
      <c r="BH1145" s="395"/>
      <c r="BI1145" s="395" t="e">
        <f t="shared" si="859"/>
        <v>#DIV/0!</v>
      </c>
    </row>
    <row r="1146" spans="1:61" s="358" customFormat="1" ht="19.2" x14ac:dyDescent="0.3">
      <c r="A1146" s="359" t="s">
        <v>1943</v>
      </c>
      <c r="B1146" s="572" t="s">
        <v>3690</v>
      </c>
      <c r="C1146" s="546" t="s">
        <v>2776</v>
      </c>
      <c r="D1146" s="360">
        <v>0.22</v>
      </c>
      <c r="E1146" s="393"/>
      <c r="F1146" s="523"/>
      <c r="G1146" s="393"/>
      <c r="H1146" s="573"/>
      <c r="I1146" s="394"/>
      <c r="J1146" s="394"/>
      <c r="K1146" s="394"/>
      <c r="L1146" s="394"/>
      <c r="M1146" s="394"/>
      <c r="N1146" s="394"/>
      <c r="O1146" s="394"/>
      <c r="P1146" s="394"/>
      <c r="Q1146" s="394"/>
      <c r="R1146" s="381"/>
      <c r="S1146" s="408"/>
      <c r="T1146" s="385"/>
      <c r="U1146" s="475"/>
      <c r="V1146" s="395"/>
      <c r="W1146" s="395"/>
      <c r="X1146" s="393"/>
      <c r="Y1146" s="523">
        <v>1</v>
      </c>
      <c r="Z1146" s="393"/>
      <c r="AA1146" s="573">
        <v>5.8896199999999999</v>
      </c>
      <c r="AB1146" s="394">
        <v>5.4216800000000003</v>
      </c>
      <c r="AC1146" s="394">
        <v>5.2083399999999997</v>
      </c>
      <c r="AD1146" s="394"/>
      <c r="AE1146" s="394"/>
      <c r="AF1146" s="394">
        <v>0</v>
      </c>
      <c r="AG1146" s="394">
        <v>0</v>
      </c>
      <c r="AH1146" s="394">
        <v>0.10909000000000001</v>
      </c>
      <c r="AI1146" s="394">
        <v>5.2083399999999997</v>
      </c>
      <c r="AJ1146" s="394"/>
      <c r="AK1146" s="381" t="s">
        <v>167</v>
      </c>
      <c r="AL1146" s="408" t="s">
        <v>175</v>
      </c>
      <c r="AM1146" s="385"/>
      <c r="AN1146" s="475">
        <v>696</v>
      </c>
      <c r="AO1146" s="395"/>
      <c r="AP1146" s="395">
        <f t="shared" si="858"/>
        <v>5.8896199999999999</v>
      </c>
      <c r="AQ1146" s="393"/>
      <c r="AR1146" s="523"/>
      <c r="AS1146" s="393"/>
      <c r="AT1146" s="573"/>
      <c r="AU1146" s="394"/>
      <c r="AV1146" s="394"/>
      <c r="AW1146" s="394"/>
      <c r="AX1146" s="394"/>
      <c r="AY1146" s="394"/>
      <c r="AZ1146" s="394"/>
      <c r="BA1146" s="394"/>
      <c r="BB1146" s="394"/>
      <c r="BC1146" s="394"/>
      <c r="BD1146" s="381"/>
      <c r="BE1146" s="408"/>
      <c r="BF1146" s="385"/>
      <c r="BG1146" s="475"/>
      <c r="BH1146" s="395"/>
      <c r="BI1146" s="395" t="e">
        <f t="shared" si="859"/>
        <v>#DIV/0!</v>
      </c>
    </row>
    <row r="1147" spans="1:61" s="358" customFormat="1" ht="19.2" x14ac:dyDescent="0.3">
      <c r="A1147" s="359" t="s">
        <v>1944</v>
      </c>
      <c r="B1147" s="572" t="s">
        <v>3691</v>
      </c>
      <c r="C1147" s="546" t="s">
        <v>2777</v>
      </c>
      <c r="D1147" s="360">
        <v>0.22</v>
      </c>
      <c r="E1147" s="393"/>
      <c r="F1147" s="523"/>
      <c r="G1147" s="393"/>
      <c r="H1147" s="573"/>
      <c r="I1147" s="394"/>
      <c r="J1147" s="394"/>
      <c r="K1147" s="394"/>
      <c r="L1147" s="394"/>
      <c r="M1147" s="394"/>
      <c r="N1147" s="394"/>
      <c r="O1147" s="394"/>
      <c r="P1147" s="394"/>
      <c r="Q1147" s="394"/>
      <c r="R1147" s="381"/>
      <c r="S1147" s="408"/>
      <c r="T1147" s="385"/>
      <c r="U1147" s="475"/>
      <c r="V1147" s="395"/>
      <c r="W1147" s="395"/>
      <c r="X1147" s="393"/>
      <c r="Y1147" s="523">
        <v>1</v>
      </c>
      <c r="Z1147" s="393"/>
      <c r="AA1147" s="573">
        <v>5.8895999999999997</v>
      </c>
      <c r="AB1147" s="394">
        <v>5.4216600000000001</v>
      </c>
      <c r="AC1147" s="394">
        <v>5.2083399999999997</v>
      </c>
      <c r="AD1147" s="394"/>
      <c r="AE1147" s="394"/>
      <c r="AF1147" s="394">
        <v>0</v>
      </c>
      <c r="AG1147" s="394">
        <v>0</v>
      </c>
      <c r="AH1147" s="394">
        <v>0.10909000000000001</v>
      </c>
      <c r="AI1147" s="394">
        <v>5.2083399999999997</v>
      </c>
      <c r="AJ1147" s="394"/>
      <c r="AK1147" s="381" t="s">
        <v>167</v>
      </c>
      <c r="AL1147" s="408" t="s">
        <v>175</v>
      </c>
      <c r="AM1147" s="385"/>
      <c r="AN1147" s="475">
        <v>697</v>
      </c>
      <c r="AO1147" s="395"/>
      <c r="AP1147" s="395">
        <f t="shared" si="858"/>
        <v>5.8895999999999997</v>
      </c>
      <c r="AQ1147" s="393"/>
      <c r="AR1147" s="523"/>
      <c r="AS1147" s="393"/>
      <c r="AT1147" s="573"/>
      <c r="AU1147" s="394"/>
      <c r="AV1147" s="394"/>
      <c r="AW1147" s="394"/>
      <c r="AX1147" s="394"/>
      <c r="AY1147" s="394"/>
      <c r="AZ1147" s="394"/>
      <c r="BA1147" s="394"/>
      <c r="BB1147" s="394"/>
      <c r="BC1147" s="394"/>
      <c r="BD1147" s="381"/>
      <c r="BE1147" s="408"/>
      <c r="BF1147" s="385"/>
      <c r="BG1147" s="475"/>
      <c r="BH1147" s="395"/>
      <c r="BI1147" s="395" t="e">
        <f t="shared" si="859"/>
        <v>#DIV/0!</v>
      </c>
    </row>
    <row r="1148" spans="1:61" s="358" customFormat="1" ht="19.2" x14ac:dyDescent="0.3">
      <c r="A1148" s="359" t="s">
        <v>1945</v>
      </c>
      <c r="B1148" s="572" t="s">
        <v>3692</v>
      </c>
      <c r="C1148" s="546" t="s">
        <v>2778</v>
      </c>
      <c r="D1148" s="360">
        <v>0.22</v>
      </c>
      <c r="E1148" s="393"/>
      <c r="F1148" s="523"/>
      <c r="G1148" s="393"/>
      <c r="H1148" s="573"/>
      <c r="I1148" s="394"/>
      <c r="J1148" s="394"/>
      <c r="K1148" s="394"/>
      <c r="L1148" s="394"/>
      <c r="M1148" s="394"/>
      <c r="N1148" s="394"/>
      <c r="O1148" s="394"/>
      <c r="P1148" s="394"/>
      <c r="Q1148" s="394"/>
      <c r="R1148" s="381"/>
      <c r="S1148" s="408"/>
      <c r="T1148" s="385"/>
      <c r="U1148" s="475"/>
      <c r="V1148" s="395"/>
      <c r="W1148" s="395"/>
      <c r="X1148" s="393"/>
      <c r="Y1148" s="523">
        <v>1</v>
      </c>
      <c r="Z1148" s="393"/>
      <c r="AA1148" s="573">
        <v>10.078200000000001</v>
      </c>
      <c r="AB1148" s="394">
        <v>8.2777100000000008</v>
      </c>
      <c r="AC1148" s="394">
        <v>5.2083500000000003</v>
      </c>
      <c r="AD1148" s="394"/>
      <c r="AE1148" s="394"/>
      <c r="AF1148" s="394">
        <v>0</v>
      </c>
      <c r="AG1148" s="394">
        <v>0</v>
      </c>
      <c r="AH1148" s="394">
        <v>0.41975000000000001</v>
      </c>
      <c r="AI1148" s="394">
        <v>5.2083500000000003</v>
      </c>
      <c r="AJ1148" s="394"/>
      <c r="AK1148" s="381" t="s">
        <v>167</v>
      </c>
      <c r="AL1148" s="408" t="s">
        <v>175</v>
      </c>
      <c r="AM1148" s="385"/>
      <c r="AN1148" s="475">
        <v>698</v>
      </c>
      <c r="AO1148" s="395"/>
      <c r="AP1148" s="395">
        <f t="shared" si="858"/>
        <v>10.078200000000001</v>
      </c>
      <c r="AQ1148" s="393"/>
      <c r="AR1148" s="523"/>
      <c r="AS1148" s="393"/>
      <c r="AT1148" s="573"/>
      <c r="AU1148" s="394"/>
      <c r="AV1148" s="394"/>
      <c r="AW1148" s="394"/>
      <c r="AX1148" s="394"/>
      <c r="AY1148" s="394"/>
      <c r="AZ1148" s="394"/>
      <c r="BA1148" s="394"/>
      <c r="BB1148" s="394"/>
      <c r="BC1148" s="394"/>
      <c r="BD1148" s="381"/>
      <c r="BE1148" s="408"/>
      <c r="BF1148" s="385"/>
      <c r="BG1148" s="475"/>
      <c r="BH1148" s="395"/>
      <c r="BI1148" s="395" t="e">
        <f t="shared" si="859"/>
        <v>#DIV/0!</v>
      </c>
    </row>
    <row r="1149" spans="1:61" s="358" customFormat="1" ht="19.2" x14ac:dyDescent="0.3">
      <c r="A1149" s="359" t="s">
        <v>1946</v>
      </c>
      <c r="B1149" s="572" t="s">
        <v>3693</v>
      </c>
      <c r="C1149" s="546" t="s">
        <v>2779</v>
      </c>
      <c r="D1149" s="360">
        <v>0.22</v>
      </c>
      <c r="E1149" s="393"/>
      <c r="F1149" s="523"/>
      <c r="G1149" s="393"/>
      <c r="H1149" s="573"/>
      <c r="I1149" s="394"/>
      <c r="J1149" s="394"/>
      <c r="K1149" s="394"/>
      <c r="L1149" s="394"/>
      <c r="M1149" s="394"/>
      <c r="N1149" s="394"/>
      <c r="O1149" s="394"/>
      <c r="P1149" s="394"/>
      <c r="Q1149" s="394"/>
      <c r="R1149" s="381"/>
      <c r="S1149" s="408"/>
      <c r="T1149" s="385"/>
      <c r="U1149" s="475"/>
      <c r="V1149" s="395"/>
      <c r="W1149" s="395"/>
      <c r="X1149" s="393"/>
      <c r="Y1149" s="523">
        <v>1</v>
      </c>
      <c r="Z1149" s="393"/>
      <c r="AA1149" s="573">
        <v>5.8896300000000004</v>
      </c>
      <c r="AB1149" s="394">
        <v>5.4216899999999999</v>
      </c>
      <c r="AC1149" s="394">
        <v>5.2083399999999997</v>
      </c>
      <c r="AD1149" s="394"/>
      <c r="AE1149" s="394"/>
      <c r="AF1149" s="394">
        <v>0</v>
      </c>
      <c r="AG1149" s="394">
        <v>0</v>
      </c>
      <c r="AH1149" s="394">
        <v>0.10909000000000001</v>
      </c>
      <c r="AI1149" s="394">
        <v>5.2083399999999997</v>
      </c>
      <c r="AJ1149" s="394"/>
      <c r="AK1149" s="381" t="s">
        <v>167</v>
      </c>
      <c r="AL1149" s="408" t="s">
        <v>175</v>
      </c>
      <c r="AM1149" s="385"/>
      <c r="AN1149" s="475">
        <v>699</v>
      </c>
      <c r="AO1149" s="395"/>
      <c r="AP1149" s="395">
        <f t="shared" si="858"/>
        <v>5.8896300000000004</v>
      </c>
      <c r="AQ1149" s="393"/>
      <c r="AR1149" s="523"/>
      <c r="AS1149" s="393"/>
      <c r="AT1149" s="573"/>
      <c r="AU1149" s="394"/>
      <c r="AV1149" s="394"/>
      <c r="AW1149" s="394"/>
      <c r="AX1149" s="394"/>
      <c r="AY1149" s="394"/>
      <c r="AZ1149" s="394"/>
      <c r="BA1149" s="394"/>
      <c r="BB1149" s="394"/>
      <c r="BC1149" s="394"/>
      <c r="BD1149" s="381"/>
      <c r="BE1149" s="408"/>
      <c r="BF1149" s="385"/>
      <c r="BG1149" s="475"/>
      <c r="BH1149" s="395"/>
      <c r="BI1149" s="395" t="e">
        <f t="shared" si="859"/>
        <v>#DIV/0!</v>
      </c>
    </row>
    <row r="1150" spans="1:61" s="358" customFormat="1" ht="19.2" x14ac:dyDescent="0.3">
      <c r="A1150" s="359" t="s">
        <v>1947</v>
      </c>
      <c r="B1150" s="572" t="s">
        <v>3694</v>
      </c>
      <c r="C1150" s="546" t="s">
        <v>2780</v>
      </c>
      <c r="D1150" s="360">
        <v>0.22</v>
      </c>
      <c r="E1150" s="393"/>
      <c r="F1150" s="523"/>
      <c r="G1150" s="393"/>
      <c r="H1150" s="573"/>
      <c r="I1150" s="394"/>
      <c r="J1150" s="394"/>
      <c r="K1150" s="394"/>
      <c r="L1150" s="394"/>
      <c r="M1150" s="394"/>
      <c r="N1150" s="394"/>
      <c r="O1150" s="394"/>
      <c r="P1150" s="394"/>
      <c r="Q1150" s="394"/>
      <c r="R1150" s="381"/>
      <c r="S1150" s="408"/>
      <c r="T1150" s="385"/>
      <c r="U1150" s="475"/>
      <c r="V1150" s="395"/>
      <c r="W1150" s="395"/>
      <c r="X1150" s="393"/>
      <c r="Y1150" s="523">
        <v>1</v>
      </c>
      <c r="Z1150" s="393"/>
      <c r="AA1150" s="573">
        <v>5.8895999999999997</v>
      </c>
      <c r="AB1150" s="394">
        <v>5.4216600000000001</v>
      </c>
      <c r="AC1150" s="394">
        <v>5.2083399999999997</v>
      </c>
      <c r="AD1150" s="394"/>
      <c r="AE1150" s="394"/>
      <c r="AF1150" s="394">
        <v>0</v>
      </c>
      <c r="AG1150" s="394">
        <v>0</v>
      </c>
      <c r="AH1150" s="394">
        <v>0.10909000000000001</v>
      </c>
      <c r="AI1150" s="394">
        <v>5.2083399999999997</v>
      </c>
      <c r="AJ1150" s="394"/>
      <c r="AK1150" s="381" t="s">
        <v>167</v>
      </c>
      <c r="AL1150" s="408" t="s">
        <v>175</v>
      </c>
      <c r="AM1150" s="385"/>
      <c r="AN1150" s="475">
        <v>700</v>
      </c>
      <c r="AO1150" s="395"/>
      <c r="AP1150" s="395">
        <f t="shared" si="858"/>
        <v>5.8895999999999997</v>
      </c>
      <c r="AQ1150" s="393"/>
      <c r="AR1150" s="523"/>
      <c r="AS1150" s="393"/>
      <c r="AT1150" s="573"/>
      <c r="AU1150" s="394"/>
      <c r="AV1150" s="394"/>
      <c r="AW1150" s="394"/>
      <c r="AX1150" s="394"/>
      <c r="AY1150" s="394"/>
      <c r="AZ1150" s="394"/>
      <c r="BA1150" s="394"/>
      <c r="BB1150" s="394"/>
      <c r="BC1150" s="394"/>
      <c r="BD1150" s="381"/>
      <c r="BE1150" s="408"/>
      <c r="BF1150" s="385"/>
      <c r="BG1150" s="475"/>
      <c r="BH1150" s="395"/>
      <c r="BI1150" s="395" t="e">
        <f t="shared" si="859"/>
        <v>#DIV/0!</v>
      </c>
    </row>
    <row r="1151" spans="1:61" s="358" customFormat="1" ht="19.2" x14ac:dyDescent="0.3">
      <c r="A1151" s="359" t="s">
        <v>1948</v>
      </c>
      <c r="B1151" s="572" t="s">
        <v>3695</v>
      </c>
      <c r="C1151" s="546" t="s">
        <v>2781</v>
      </c>
      <c r="D1151" s="360">
        <v>0.22</v>
      </c>
      <c r="E1151" s="393"/>
      <c r="F1151" s="523"/>
      <c r="G1151" s="393"/>
      <c r="H1151" s="573"/>
      <c r="I1151" s="394"/>
      <c r="J1151" s="394"/>
      <c r="K1151" s="394"/>
      <c r="L1151" s="394"/>
      <c r="M1151" s="394"/>
      <c r="N1151" s="394"/>
      <c r="O1151" s="394"/>
      <c r="P1151" s="394"/>
      <c r="Q1151" s="394"/>
      <c r="R1151" s="381"/>
      <c r="S1151" s="408"/>
      <c r="T1151" s="385"/>
      <c r="U1151" s="475"/>
      <c r="V1151" s="395"/>
      <c r="W1151" s="395"/>
      <c r="X1151" s="393"/>
      <c r="Y1151" s="523">
        <v>1</v>
      </c>
      <c r="Z1151" s="393"/>
      <c r="AA1151" s="573">
        <v>5.8895999999999997</v>
      </c>
      <c r="AB1151" s="394">
        <v>5.4216600000000001</v>
      </c>
      <c r="AC1151" s="394">
        <v>5.2083399999999997</v>
      </c>
      <c r="AD1151" s="394"/>
      <c r="AE1151" s="394"/>
      <c r="AF1151" s="394">
        <v>0</v>
      </c>
      <c r="AG1151" s="394">
        <v>0</v>
      </c>
      <c r="AH1151" s="394">
        <v>0.10909000000000001</v>
      </c>
      <c r="AI1151" s="394">
        <v>5.2083399999999997</v>
      </c>
      <c r="AJ1151" s="394"/>
      <c r="AK1151" s="381" t="s">
        <v>167</v>
      </c>
      <c r="AL1151" s="408" t="s">
        <v>175</v>
      </c>
      <c r="AM1151" s="385"/>
      <c r="AN1151" s="475">
        <v>701</v>
      </c>
      <c r="AO1151" s="395"/>
      <c r="AP1151" s="395">
        <f t="shared" si="858"/>
        <v>5.8895999999999997</v>
      </c>
      <c r="AQ1151" s="393"/>
      <c r="AR1151" s="523"/>
      <c r="AS1151" s="393"/>
      <c r="AT1151" s="573"/>
      <c r="AU1151" s="394"/>
      <c r="AV1151" s="394"/>
      <c r="AW1151" s="394"/>
      <c r="AX1151" s="394"/>
      <c r="AY1151" s="394"/>
      <c r="AZ1151" s="394"/>
      <c r="BA1151" s="394"/>
      <c r="BB1151" s="394"/>
      <c r="BC1151" s="394"/>
      <c r="BD1151" s="381"/>
      <c r="BE1151" s="408"/>
      <c r="BF1151" s="385"/>
      <c r="BG1151" s="475"/>
      <c r="BH1151" s="395"/>
      <c r="BI1151" s="395" t="e">
        <f t="shared" si="859"/>
        <v>#DIV/0!</v>
      </c>
    </row>
    <row r="1152" spans="1:61" s="358" customFormat="1" ht="19.2" x14ac:dyDescent="0.3">
      <c r="A1152" s="359" t="s">
        <v>1967</v>
      </c>
      <c r="B1152" s="572" t="s">
        <v>3696</v>
      </c>
      <c r="C1152" s="546" t="s">
        <v>2782</v>
      </c>
      <c r="D1152" s="360">
        <v>0.22</v>
      </c>
      <c r="E1152" s="393"/>
      <c r="F1152" s="523"/>
      <c r="G1152" s="393"/>
      <c r="H1152" s="573"/>
      <c r="I1152" s="394"/>
      <c r="J1152" s="394"/>
      <c r="K1152" s="394"/>
      <c r="L1152" s="394"/>
      <c r="M1152" s="394"/>
      <c r="N1152" s="394"/>
      <c r="O1152" s="394"/>
      <c r="P1152" s="394"/>
      <c r="Q1152" s="394"/>
      <c r="R1152" s="381"/>
      <c r="S1152" s="408"/>
      <c r="T1152" s="385"/>
      <c r="U1152" s="475"/>
      <c r="V1152" s="395"/>
      <c r="W1152" s="395"/>
      <c r="X1152" s="393"/>
      <c r="Y1152" s="523">
        <v>1</v>
      </c>
      <c r="Z1152" s="393"/>
      <c r="AA1152" s="573">
        <v>6.7717700000000001</v>
      </c>
      <c r="AB1152" s="394">
        <v>6.3038299999999996</v>
      </c>
      <c r="AC1152" s="394">
        <v>6.2994899999999996</v>
      </c>
      <c r="AD1152" s="394"/>
      <c r="AE1152" s="394"/>
      <c r="AF1152" s="394">
        <v>0</v>
      </c>
      <c r="AG1152" s="394">
        <v>0</v>
      </c>
      <c r="AH1152" s="394">
        <v>0.10909000000000001</v>
      </c>
      <c r="AI1152" s="394">
        <v>6.2994899999999996</v>
      </c>
      <c r="AJ1152" s="394"/>
      <c r="AK1152" s="381" t="s">
        <v>167</v>
      </c>
      <c r="AL1152" s="408" t="s">
        <v>175</v>
      </c>
      <c r="AM1152" s="385"/>
      <c r="AN1152" s="475">
        <v>702</v>
      </c>
      <c r="AO1152" s="395"/>
      <c r="AP1152" s="395">
        <f t="shared" si="858"/>
        <v>6.7717700000000001</v>
      </c>
      <c r="AQ1152" s="393"/>
      <c r="AR1152" s="523"/>
      <c r="AS1152" s="393"/>
      <c r="AT1152" s="573"/>
      <c r="AU1152" s="394"/>
      <c r="AV1152" s="394"/>
      <c r="AW1152" s="394"/>
      <c r="AX1152" s="394"/>
      <c r="AY1152" s="394"/>
      <c r="AZ1152" s="394"/>
      <c r="BA1152" s="394"/>
      <c r="BB1152" s="394"/>
      <c r="BC1152" s="394"/>
      <c r="BD1152" s="381"/>
      <c r="BE1152" s="408"/>
      <c r="BF1152" s="385"/>
      <c r="BG1152" s="475"/>
      <c r="BH1152" s="395"/>
      <c r="BI1152" s="395" t="e">
        <f t="shared" si="859"/>
        <v>#DIV/0!</v>
      </c>
    </row>
    <row r="1153" spans="1:61" s="358" customFormat="1" ht="19.2" x14ac:dyDescent="0.3">
      <c r="A1153" s="359" t="s">
        <v>1950</v>
      </c>
      <c r="B1153" s="572" t="s">
        <v>2331</v>
      </c>
      <c r="C1153" s="546" t="s">
        <v>2330</v>
      </c>
      <c r="D1153" s="360">
        <v>0.22</v>
      </c>
      <c r="E1153" s="393"/>
      <c r="F1153" s="523"/>
      <c r="G1153" s="393"/>
      <c r="H1153" s="573"/>
      <c r="I1153" s="394"/>
      <c r="J1153" s="394"/>
      <c r="K1153" s="394"/>
      <c r="L1153" s="394"/>
      <c r="M1153" s="394"/>
      <c r="N1153" s="394"/>
      <c r="O1153" s="394"/>
      <c r="P1153" s="394"/>
      <c r="Q1153" s="394"/>
      <c r="R1153" s="381"/>
      <c r="S1153" s="408"/>
      <c r="T1153" s="385"/>
      <c r="U1153" s="475"/>
      <c r="V1153" s="395"/>
      <c r="W1153" s="395"/>
      <c r="X1153" s="393"/>
      <c r="Y1153" s="523">
        <v>1</v>
      </c>
      <c r="Z1153" s="393"/>
      <c r="AA1153" s="573">
        <v>10.219950000000001</v>
      </c>
      <c r="AB1153" s="394">
        <v>7.2971399999999997</v>
      </c>
      <c r="AC1153" s="394">
        <v>6.2995099999999997</v>
      </c>
      <c r="AD1153" s="394"/>
      <c r="AE1153" s="394"/>
      <c r="AF1153" s="394">
        <v>0</v>
      </c>
      <c r="AG1153" s="394">
        <v>0</v>
      </c>
      <c r="AH1153" s="394">
        <v>0.68139000000000005</v>
      </c>
      <c r="AI1153" s="394">
        <v>6.2995099999999997</v>
      </c>
      <c r="AJ1153" s="394"/>
      <c r="AK1153" s="381" t="s">
        <v>167</v>
      </c>
      <c r="AL1153" s="408" t="s">
        <v>175</v>
      </c>
      <c r="AM1153" s="385"/>
      <c r="AN1153" s="475">
        <v>703</v>
      </c>
      <c r="AO1153" s="395"/>
      <c r="AP1153" s="395">
        <f t="shared" si="858"/>
        <v>10.219950000000001</v>
      </c>
      <c r="AQ1153" s="393"/>
      <c r="AR1153" s="523"/>
      <c r="AS1153" s="393"/>
      <c r="AT1153" s="573"/>
      <c r="AU1153" s="394"/>
      <c r="AV1153" s="394"/>
      <c r="AW1153" s="394"/>
      <c r="AX1153" s="394"/>
      <c r="AY1153" s="394"/>
      <c r="AZ1153" s="394"/>
      <c r="BA1153" s="394"/>
      <c r="BB1153" s="394"/>
      <c r="BC1153" s="394"/>
      <c r="BD1153" s="381"/>
      <c r="BE1153" s="408"/>
      <c r="BF1153" s="385"/>
      <c r="BG1153" s="475"/>
      <c r="BH1153" s="395"/>
      <c r="BI1153" s="395" t="e">
        <f t="shared" si="859"/>
        <v>#DIV/0!</v>
      </c>
    </row>
    <row r="1154" spans="1:61" s="358" customFormat="1" ht="19.2" x14ac:dyDescent="0.3">
      <c r="A1154" s="359" t="s">
        <v>1953</v>
      </c>
      <c r="B1154" s="572" t="s">
        <v>3697</v>
      </c>
      <c r="C1154" s="546" t="s">
        <v>2783</v>
      </c>
      <c r="D1154" s="360">
        <v>0.22</v>
      </c>
      <c r="E1154" s="393"/>
      <c r="F1154" s="523"/>
      <c r="G1154" s="393"/>
      <c r="H1154" s="573"/>
      <c r="I1154" s="394"/>
      <c r="J1154" s="394"/>
      <c r="K1154" s="394"/>
      <c r="L1154" s="394"/>
      <c r="M1154" s="394"/>
      <c r="N1154" s="394"/>
      <c r="O1154" s="394"/>
      <c r="P1154" s="394"/>
      <c r="Q1154" s="394"/>
      <c r="R1154" s="381"/>
      <c r="S1154" s="408"/>
      <c r="T1154" s="385"/>
      <c r="U1154" s="475"/>
      <c r="V1154" s="395"/>
      <c r="W1154" s="395"/>
      <c r="X1154" s="393"/>
      <c r="Y1154" s="523">
        <v>1</v>
      </c>
      <c r="Z1154" s="393"/>
      <c r="AA1154" s="573">
        <v>6.9098100000000002</v>
      </c>
      <c r="AB1154" s="394">
        <v>6.4418699999999998</v>
      </c>
      <c r="AC1154" s="394">
        <v>6.2995099999999997</v>
      </c>
      <c r="AD1154" s="394"/>
      <c r="AE1154" s="394"/>
      <c r="AF1154" s="394">
        <v>0</v>
      </c>
      <c r="AG1154" s="394">
        <v>0</v>
      </c>
      <c r="AH1154" s="394">
        <v>0.10909000000000001</v>
      </c>
      <c r="AI1154" s="394">
        <v>6.2995099999999997</v>
      </c>
      <c r="AJ1154" s="394"/>
      <c r="AK1154" s="381" t="s">
        <v>167</v>
      </c>
      <c r="AL1154" s="408" t="s">
        <v>175</v>
      </c>
      <c r="AM1154" s="385"/>
      <c r="AN1154" s="475">
        <v>704</v>
      </c>
      <c r="AO1154" s="395"/>
      <c r="AP1154" s="395">
        <f t="shared" si="858"/>
        <v>6.9098100000000002</v>
      </c>
      <c r="AQ1154" s="393"/>
      <c r="AR1154" s="523"/>
      <c r="AS1154" s="393"/>
      <c r="AT1154" s="573"/>
      <c r="AU1154" s="394"/>
      <c r="AV1154" s="394"/>
      <c r="AW1154" s="394"/>
      <c r="AX1154" s="394"/>
      <c r="AY1154" s="394"/>
      <c r="AZ1154" s="394"/>
      <c r="BA1154" s="394"/>
      <c r="BB1154" s="394"/>
      <c r="BC1154" s="394"/>
      <c r="BD1154" s="381"/>
      <c r="BE1154" s="408"/>
      <c r="BF1154" s="385"/>
      <c r="BG1154" s="475"/>
      <c r="BH1154" s="395"/>
      <c r="BI1154" s="395" t="e">
        <f t="shared" si="859"/>
        <v>#DIV/0!</v>
      </c>
    </row>
    <row r="1155" spans="1:61" s="358" customFormat="1" ht="19.2" x14ac:dyDescent="0.3">
      <c r="A1155" s="359" t="s">
        <v>1936</v>
      </c>
      <c r="B1155" s="572" t="s">
        <v>3698</v>
      </c>
      <c r="C1155" s="546" t="s">
        <v>2784</v>
      </c>
      <c r="D1155" s="360">
        <v>0.22</v>
      </c>
      <c r="E1155" s="393"/>
      <c r="F1155" s="523"/>
      <c r="G1155" s="393"/>
      <c r="H1155" s="573"/>
      <c r="I1155" s="394"/>
      <c r="J1155" s="394"/>
      <c r="K1155" s="394"/>
      <c r="L1155" s="394"/>
      <c r="M1155" s="394"/>
      <c r="N1155" s="394"/>
      <c r="O1155" s="394"/>
      <c r="P1155" s="394"/>
      <c r="Q1155" s="394"/>
      <c r="R1155" s="381"/>
      <c r="S1155" s="408"/>
      <c r="T1155" s="385"/>
      <c r="U1155" s="475"/>
      <c r="V1155" s="395"/>
      <c r="W1155" s="395"/>
      <c r="X1155" s="393"/>
      <c r="Y1155" s="523">
        <v>1</v>
      </c>
      <c r="Z1155" s="393"/>
      <c r="AA1155" s="573">
        <v>6.9098199999999999</v>
      </c>
      <c r="AB1155" s="394">
        <v>6.4418800000000003</v>
      </c>
      <c r="AC1155" s="394">
        <v>6.2995099999999997</v>
      </c>
      <c r="AD1155" s="394"/>
      <c r="AE1155" s="394"/>
      <c r="AF1155" s="394">
        <v>0</v>
      </c>
      <c r="AG1155" s="394">
        <v>0</v>
      </c>
      <c r="AH1155" s="394">
        <v>0.10909000000000001</v>
      </c>
      <c r="AI1155" s="394">
        <v>6.2995099999999997</v>
      </c>
      <c r="AJ1155" s="394"/>
      <c r="AK1155" s="381" t="s">
        <v>167</v>
      </c>
      <c r="AL1155" s="408" t="s">
        <v>175</v>
      </c>
      <c r="AM1155" s="385"/>
      <c r="AN1155" s="475">
        <v>705</v>
      </c>
      <c r="AO1155" s="395"/>
      <c r="AP1155" s="395">
        <f t="shared" si="858"/>
        <v>6.9098199999999999</v>
      </c>
      <c r="AQ1155" s="393"/>
      <c r="AR1155" s="523"/>
      <c r="AS1155" s="393"/>
      <c r="AT1155" s="573"/>
      <c r="AU1155" s="394"/>
      <c r="AV1155" s="394"/>
      <c r="AW1155" s="394"/>
      <c r="AX1155" s="394"/>
      <c r="AY1155" s="394"/>
      <c r="AZ1155" s="394"/>
      <c r="BA1155" s="394"/>
      <c r="BB1155" s="394"/>
      <c r="BC1155" s="394"/>
      <c r="BD1155" s="381"/>
      <c r="BE1155" s="408"/>
      <c r="BF1155" s="385"/>
      <c r="BG1155" s="475"/>
      <c r="BH1155" s="395"/>
      <c r="BI1155" s="395" t="e">
        <f t="shared" si="859"/>
        <v>#DIV/0!</v>
      </c>
    </row>
    <row r="1156" spans="1:61" s="358" customFormat="1" ht="19.2" x14ac:dyDescent="0.3">
      <c r="A1156" s="359" t="s">
        <v>1971</v>
      </c>
      <c r="B1156" s="572" t="s">
        <v>3699</v>
      </c>
      <c r="C1156" s="546" t="s">
        <v>2785</v>
      </c>
      <c r="D1156" s="360">
        <v>0.22</v>
      </c>
      <c r="E1156" s="393"/>
      <c r="F1156" s="523"/>
      <c r="G1156" s="393"/>
      <c r="H1156" s="573"/>
      <c r="I1156" s="394"/>
      <c r="J1156" s="394"/>
      <c r="K1156" s="394"/>
      <c r="L1156" s="394"/>
      <c r="M1156" s="394"/>
      <c r="N1156" s="394"/>
      <c r="O1156" s="394"/>
      <c r="P1156" s="394"/>
      <c r="Q1156" s="394"/>
      <c r="R1156" s="381"/>
      <c r="S1156" s="408"/>
      <c r="T1156" s="385"/>
      <c r="U1156" s="475"/>
      <c r="V1156" s="395"/>
      <c r="W1156" s="395"/>
      <c r="X1156" s="393"/>
      <c r="Y1156" s="523">
        <v>1</v>
      </c>
      <c r="Z1156" s="393"/>
      <c r="AA1156" s="573">
        <v>33.365969999999997</v>
      </c>
      <c r="AB1156" s="394">
        <v>27.171250000000001</v>
      </c>
      <c r="AC1156" s="394">
        <v>6.2995099999999997</v>
      </c>
      <c r="AD1156" s="394">
        <v>1.8909499999999999</v>
      </c>
      <c r="AE1156" s="394"/>
      <c r="AF1156" s="394">
        <v>0</v>
      </c>
      <c r="AG1156" s="394">
        <v>0</v>
      </c>
      <c r="AH1156" s="394">
        <v>0.10909000000000001</v>
      </c>
      <c r="AI1156" s="394">
        <v>6.2995099999999997</v>
      </c>
      <c r="AJ1156" s="394">
        <v>1.8909499999999999</v>
      </c>
      <c r="AK1156" s="381" t="s">
        <v>167</v>
      </c>
      <c r="AL1156" s="408" t="s">
        <v>175</v>
      </c>
      <c r="AM1156" s="385"/>
      <c r="AN1156" s="475">
        <v>706</v>
      </c>
      <c r="AO1156" s="395"/>
      <c r="AP1156" s="395">
        <f t="shared" si="858"/>
        <v>33.365969999999997</v>
      </c>
      <c r="AQ1156" s="393"/>
      <c r="AR1156" s="523"/>
      <c r="AS1156" s="393"/>
      <c r="AT1156" s="573"/>
      <c r="AU1156" s="394"/>
      <c r="AV1156" s="394"/>
      <c r="AW1156" s="394"/>
      <c r="AX1156" s="394"/>
      <c r="AY1156" s="394"/>
      <c r="AZ1156" s="394"/>
      <c r="BA1156" s="394"/>
      <c r="BB1156" s="394"/>
      <c r="BC1156" s="394"/>
      <c r="BD1156" s="381"/>
      <c r="BE1156" s="408"/>
      <c r="BF1156" s="385"/>
      <c r="BG1156" s="475"/>
      <c r="BH1156" s="395"/>
      <c r="BI1156" s="395" t="e">
        <f t="shared" si="859"/>
        <v>#DIV/0!</v>
      </c>
    </row>
    <row r="1157" spans="1:61" s="358" customFormat="1" ht="19.2" x14ac:dyDescent="0.3">
      <c r="A1157" s="359" t="s">
        <v>1956</v>
      </c>
      <c r="B1157" s="572" t="s">
        <v>3700</v>
      </c>
      <c r="C1157" s="546" t="s">
        <v>2786</v>
      </c>
      <c r="D1157" s="360">
        <v>0.22</v>
      </c>
      <c r="E1157" s="393"/>
      <c r="F1157" s="523"/>
      <c r="G1157" s="393"/>
      <c r="H1157" s="573"/>
      <c r="I1157" s="394"/>
      <c r="J1157" s="394"/>
      <c r="K1157" s="394"/>
      <c r="L1157" s="394"/>
      <c r="M1157" s="394"/>
      <c r="N1157" s="394"/>
      <c r="O1157" s="394"/>
      <c r="P1157" s="394"/>
      <c r="Q1157" s="394"/>
      <c r="R1157" s="381"/>
      <c r="S1157" s="408"/>
      <c r="T1157" s="385"/>
      <c r="U1157" s="475"/>
      <c r="V1157" s="395"/>
      <c r="W1157" s="395"/>
      <c r="X1157" s="393"/>
      <c r="Y1157" s="523">
        <v>1</v>
      </c>
      <c r="Z1157" s="393"/>
      <c r="AA1157" s="573">
        <v>6.9098199999999999</v>
      </c>
      <c r="AB1157" s="394">
        <v>6.4418800000000003</v>
      </c>
      <c r="AC1157" s="394">
        <v>6.2995099999999997</v>
      </c>
      <c r="AD1157" s="394"/>
      <c r="AE1157" s="394"/>
      <c r="AF1157" s="394">
        <v>0</v>
      </c>
      <c r="AG1157" s="394">
        <v>0</v>
      </c>
      <c r="AH1157" s="394">
        <v>0.10909000000000001</v>
      </c>
      <c r="AI1157" s="394">
        <v>6.2995099999999997</v>
      </c>
      <c r="AJ1157" s="394"/>
      <c r="AK1157" s="381" t="s">
        <v>167</v>
      </c>
      <c r="AL1157" s="408" t="s">
        <v>175</v>
      </c>
      <c r="AM1157" s="385"/>
      <c r="AN1157" s="475">
        <v>707</v>
      </c>
      <c r="AO1157" s="395"/>
      <c r="AP1157" s="395">
        <f t="shared" si="858"/>
        <v>6.9098199999999999</v>
      </c>
      <c r="AQ1157" s="393"/>
      <c r="AR1157" s="523"/>
      <c r="AS1157" s="393"/>
      <c r="AT1157" s="573"/>
      <c r="AU1157" s="394"/>
      <c r="AV1157" s="394"/>
      <c r="AW1157" s="394"/>
      <c r="AX1157" s="394"/>
      <c r="AY1157" s="394"/>
      <c r="AZ1157" s="394"/>
      <c r="BA1157" s="394"/>
      <c r="BB1157" s="394"/>
      <c r="BC1157" s="394"/>
      <c r="BD1157" s="381"/>
      <c r="BE1157" s="408"/>
      <c r="BF1157" s="385"/>
      <c r="BG1157" s="475"/>
      <c r="BH1157" s="395"/>
      <c r="BI1157" s="395" t="e">
        <f t="shared" si="859"/>
        <v>#DIV/0!</v>
      </c>
    </row>
    <row r="1158" spans="1:61" s="358" customFormat="1" ht="19.2" x14ac:dyDescent="0.3">
      <c r="A1158" s="359" t="s">
        <v>1957</v>
      </c>
      <c r="B1158" s="572" t="s">
        <v>3701</v>
      </c>
      <c r="C1158" s="546" t="s">
        <v>2787</v>
      </c>
      <c r="D1158" s="360">
        <v>0.22</v>
      </c>
      <c r="E1158" s="393"/>
      <c r="F1158" s="523"/>
      <c r="G1158" s="393"/>
      <c r="H1158" s="573"/>
      <c r="I1158" s="394"/>
      <c r="J1158" s="394"/>
      <c r="K1158" s="394"/>
      <c r="L1158" s="394"/>
      <c r="M1158" s="394"/>
      <c r="N1158" s="394"/>
      <c r="O1158" s="394"/>
      <c r="P1158" s="394"/>
      <c r="Q1158" s="394"/>
      <c r="R1158" s="381"/>
      <c r="S1158" s="408"/>
      <c r="T1158" s="385"/>
      <c r="U1158" s="475"/>
      <c r="V1158" s="395"/>
      <c r="W1158" s="395"/>
      <c r="X1158" s="393"/>
      <c r="Y1158" s="523">
        <v>1</v>
      </c>
      <c r="Z1158" s="393"/>
      <c r="AA1158" s="573">
        <v>6.9098100000000002</v>
      </c>
      <c r="AB1158" s="394">
        <v>6.4418699999999998</v>
      </c>
      <c r="AC1158" s="394">
        <v>6.2995099999999997</v>
      </c>
      <c r="AD1158" s="394"/>
      <c r="AE1158" s="394"/>
      <c r="AF1158" s="394">
        <v>0</v>
      </c>
      <c r="AG1158" s="394">
        <v>0</v>
      </c>
      <c r="AH1158" s="394">
        <v>0.10909000000000001</v>
      </c>
      <c r="AI1158" s="394">
        <v>6.2995099999999997</v>
      </c>
      <c r="AJ1158" s="394"/>
      <c r="AK1158" s="381" t="s">
        <v>167</v>
      </c>
      <c r="AL1158" s="408" t="s">
        <v>175</v>
      </c>
      <c r="AM1158" s="385"/>
      <c r="AN1158" s="475">
        <v>708</v>
      </c>
      <c r="AO1158" s="395"/>
      <c r="AP1158" s="395">
        <f t="shared" si="858"/>
        <v>6.9098100000000002</v>
      </c>
      <c r="AQ1158" s="393"/>
      <c r="AR1158" s="523"/>
      <c r="AS1158" s="393"/>
      <c r="AT1158" s="573"/>
      <c r="AU1158" s="394"/>
      <c r="AV1158" s="394"/>
      <c r="AW1158" s="394"/>
      <c r="AX1158" s="394"/>
      <c r="AY1158" s="394"/>
      <c r="AZ1158" s="394"/>
      <c r="BA1158" s="394"/>
      <c r="BB1158" s="394"/>
      <c r="BC1158" s="394"/>
      <c r="BD1158" s="381"/>
      <c r="BE1158" s="408"/>
      <c r="BF1158" s="385"/>
      <c r="BG1158" s="475"/>
      <c r="BH1158" s="395"/>
      <c r="BI1158" s="395" t="e">
        <f t="shared" si="859"/>
        <v>#DIV/0!</v>
      </c>
    </row>
    <row r="1159" spans="1:61" s="358" customFormat="1" ht="19.2" x14ac:dyDescent="0.3">
      <c r="A1159" s="359" t="s">
        <v>1958</v>
      </c>
      <c r="B1159" s="572" t="s">
        <v>3702</v>
      </c>
      <c r="C1159" s="546" t="s">
        <v>2788</v>
      </c>
      <c r="D1159" s="360">
        <v>0.22</v>
      </c>
      <c r="E1159" s="393"/>
      <c r="F1159" s="523"/>
      <c r="G1159" s="393"/>
      <c r="H1159" s="573"/>
      <c r="I1159" s="394"/>
      <c r="J1159" s="394"/>
      <c r="K1159" s="394"/>
      <c r="L1159" s="394"/>
      <c r="M1159" s="394"/>
      <c r="N1159" s="394"/>
      <c r="O1159" s="394"/>
      <c r="P1159" s="394"/>
      <c r="Q1159" s="394"/>
      <c r="R1159" s="381"/>
      <c r="S1159" s="408"/>
      <c r="T1159" s="385"/>
      <c r="U1159" s="475"/>
      <c r="V1159" s="395"/>
      <c r="W1159" s="395"/>
      <c r="X1159" s="393"/>
      <c r="Y1159" s="523">
        <v>1</v>
      </c>
      <c r="Z1159" s="393"/>
      <c r="AA1159" s="573">
        <v>6.9098199999999999</v>
      </c>
      <c r="AB1159" s="394">
        <v>6.4418800000000003</v>
      </c>
      <c r="AC1159" s="394">
        <v>6.2995099999999997</v>
      </c>
      <c r="AD1159" s="394"/>
      <c r="AE1159" s="394"/>
      <c r="AF1159" s="394">
        <v>0</v>
      </c>
      <c r="AG1159" s="394">
        <v>0</v>
      </c>
      <c r="AH1159" s="394">
        <v>0.10909000000000001</v>
      </c>
      <c r="AI1159" s="394">
        <v>6.2995099999999997</v>
      </c>
      <c r="AJ1159" s="394"/>
      <c r="AK1159" s="381" t="s">
        <v>167</v>
      </c>
      <c r="AL1159" s="408" t="s">
        <v>175</v>
      </c>
      <c r="AM1159" s="385"/>
      <c r="AN1159" s="475">
        <v>709</v>
      </c>
      <c r="AO1159" s="395"/>
      <c r="AP1159" s="395">
        <f t="shared" si="858"/>
        <v>6.9098199999999999</v>
      </c>
      <c r="AQ1159" s="393"/>
      <c r="AR1159" s="523"/>
      <c r="AS1159" s="393"/>
      <c r="AT1159" s="573"/>
      <c r="AU1159" s="394"/>
      <c r="AV1159" s="394"/>
      <c r="AW1159" s="394"/>
      <c r="AX1159" s="394"/>
      <c r="AY1159" s="394"/>
      <c r="AZ1159" s="394"/>
      <c r="BA1159" s="394"/>
      <c r="BB1159" s="394"/>
      <c r="BC1159" s="394"/>
      <c r="BD1159" s="381"/>
      <c r="BE1159" s="408"/>
      <c r="BF1159" s="385"/>
      <c r="BG1159" s="475"/>
      <c r="BH1159" s="395"/>
      <c r="BI1159" s="395" t="e">
        <f t="shared" si="859"/>
        <v>#DIV/0!</v>
      </c>
    </row>
    <row r="1160" spans="1:61" s="358" customFormat="1" ht="19.2" x14ac:dyDescent="0.3">
      <c r="A1160" s="359" t="s">
        <v>1959</v>
      </c>
      <c r="B1160" s="572" t="s">
        <v>3703</v>
      </c>
      <c r="C1160" s="546" t="s">
        <v>2789</v>
      </c>
      <c r="D1160" s="360">
        <v>0.22</v>
      </c>
      <c r="E1160" s="393"/>
      <c r="F1160" s="523"/>
      <c r="G1160" s="393"/>
      <c r="H1160" s="573"/>
      <c r="I1160" s="394"/>
      <c r="J1160" s="394"/>
      <c r="K1160" s="394"/>
      <c r="L1160" s="394"/>
      <c r="M1160" s="394"/>
      <c r="N1160" s="394"/>
      <c r="O1160" s="394"/>
      <c r="P1160" s="394"/>
      <c r="Q1160" s="394"/>
      <c r="R1160" s="381"/>
      <c r="S1160" s="408"/>
      <c r="T1160" s="385"/>
      <c r="U1160" s="475"/>
      <c r="V1160" s="395"/>
      <c r="W1160" s="395"/>
      <c r="X1160" s="393"/>
      <c r="Y1160" s="523">
        <v>1</v>
      </c>
      <c r="Z1160" s="393"/>
      <c r="AA1160" s="573">
        <v>6.9098100000000002</v>
      </c>
      <c r="AB1160" s="394">
        <v>6.4418699999999998</v>
      </c>
      <c r="AC1160" s="394">
        <v>6.2995099999999997</v>
      </c>
      <c r="AD1160" s="394"/>
      <c r="AE1160" s="394"/>
      <c r="AF1160" s="394">
        <v>0</v>
      </c>
      <c r="AG1160" s="394">
        <v>0</v>
      </c>
      <c r="AH1160" s="394">
        <v>0.10909000000000001</v>
      </c>
      <c r="AI1160" s="394">
        <v>6.2995099999999997</v>
      </c>
      <c r="AJ1160" s="394"/>
      <c r="AK1160" s="381" t="s">
        <v>167</v>
      </c>
      <c r="AL1160" s="408" t="s">
        <v>175</v>
      </c>
      <c r="AM1160" s="385"/>
      <c r="AN1160" s="475">
        <v>710</v>
      </c>
      <c r="AO1160" s="395"/>
      <c r="AP1160" s="395">
        <f t="shared" si="858"/>
        <v>6.9098100000000002</v>
      </c>
      <c r="AQ1160" s="393"/>
      <c r="AR1160" s="523"/>
      <c r="AS1160" s="393"/>
      <c r="AT1160" s="573"/>
      <c r="AU1160" s="394"/>
      <c r="AV1160" s="394"/>
      <c r="AW1160" s="394"/>
      <c r="AX1160" s="394"/>
      <c r="AY1160" s="394"/>
      <c r="AZ1160" s="394"/>
      <c r="BA1160" s="394"/>
      <c r="BB1160" s="394"/>
      <c r="BC1160" s="394"/>
      <c r="BD1160" s="381"/>
      <c r="BE1160" s="408"/>
      <c r="BF1160" s="385"/>
      <c r="BG1160" s="475"/>
      <c r="BH1160" s="395"/>
      <c r="BI1160" s="395" t="e">
        <f t="shared" si="859"/>
        <v>#DIV/0!</v>
      </c>
    </row>
    <row r="1161" spans="1:61" s="358" customFormat="1" ht="19.2" x14ac:dyDescent="0.3">
      <c r="A1161" s="359" t="s">
        <v>1960</v>
      </c>
      <c r="B1161" s="572" t="s">
        <v>3704</v>
      </c>
      <c r="C1161" s="546" t="s">
        <v>2790</v>
      </c>
      <c r="D1161" s="360">
        <v>0.22</v>
      </c>
      <c r="E1161" s="393"/>
      <c r="F1161" s="523"/>
      <c r="G1161" s="393"/>
      <c r="H1161" s="573"/>
      <c r="I1161" s="394"/>
      <c r="J1161" s="394"/>
      <c r="K1161" s="394"/>
      <c r="L1161" s="394"/>
      <c r="M1161" s="394"/>
      <c r="N1161" s="394"/>
      <c r="O1161" s="394"/>
      <c r="P1161" s="394"/>
      <c r="Q1161" s="394"/>
      <c r="R1161" s="381"/>
      <c r="S1161" s="408"/>
      <c r="T1161" s="385"/>
      <c r="U1161" s="475"/>
      <c r="V1161" s="395"/>
      <c r="W1161" s="395"/>
      <c r="X1161" s="393"/>
      <c r="Y1161" s="523">
        <v>1</v>
      </c>
      <c r="Z1161" s="393"/>
      <c r="AA1161" s="573">
        <v>6.9098199999999999</v>
      </c>
      <c r="AB1161" s="394">
        <v>6.4418800000000003</v>
      </c>
      <c r="AC1161" s="394">
        <v>6.2995099999999997</v>
      </c>
      <c r="AD1161" s="394"/>
      <c r="AE1161" s="394"/>
      <c r="AF1161" s="394">
        <v>0</v>
      </c>
      <c r="AG1161" s="394">
        <v>0</v>
      </c>
      <c r="AH1161" s="394">
        <v>0.10909000000000001</v>
      </c>
      <c r="AI1161" s="394">
        <v>6.2995099999999997</v>
      </c>
      <c r="AJ1161" s="394"/>
      <c r="AK1161" s="381" t="s">
        <v>167</v>
      </c>
      <c r="AL1161" s="408" t="s">
        <v>175</v>
      </c>
      <c r="AM1161" s="385"/>
      <c r="AN1161" s="475">
        <v>711</v>
      </c>
      <c r="AO1161" s="395"/>
      <c r="AP1161" s="395">
        <f t="shared" si="858"/>
        <v>6.9098199999999999</v>
      </c>
      <c r="AQ1161" s="393"/>
      <c r="AR1161" s="523"/>
      <c r="AS1161" s="393"/>
      <c r="AT1161" s="573"/>
      <c r="AU1161" s="394"/>
      <c r="AV1161" s="394"/>
      <c r="AW1161" s="394"/>
      <c r="AX1161" s="394"/>
      <c r="AY1161" s="394"/>
      <c r="AZ1161" s="394"/>
      <c r="BA1161" s="394"/>
      <c r="BB1161" s="394"/>
      <c r="BC1161" s="394"/>
      <c r="BD1161" s="381"/>
      <c r="BE1161" s="408"/>
      <c r="BF1161" s="385"/>
      <c r="BG1161" s="475"/>
      <c r="BH1161" s="395"/>
      <c r="BI1161" s="395" t="e">
        <f t="shared" si="859"/>
        <v>#DIV/0!</v>
      </c>
    </row>
    <row r="1162" spans="1:61" s="358" customFormat="1" ht="19.2" x14ac:dyDescent="0.3">
      <c r="A1162" s="359" t="s">
        <v>1961</v>
      </c>
      <c r="B1162" s="572" t="s">
        <v>3705</v>
      </c>
      <c r="C1162" s="546" t="s">
        <v>2791</v>
      </c>
      <c r="D1162" s="360">
        <v>0.22</v>
      </c>
      <c r="E1162" s="393"/>
      <c r="F1162" s="523"/>
      <c r="G1162" s="393"/>
      <c r="H1162" s="573"/>
      <c r="I1162" s="394"/>
      <c r="J1162" s="394"/>
      <c r="K1162" s="394"/>
      <c r="L1162" s="394"/>
      <c r="M1162" s="394"/>
      <c r="N1162" s="394"/>
      <c r="O1162" s="394"/>
      <c r="P1162" s="394"/>
      <c r="Q1162" s="394"/>
      <c r="R1162" s="381"/>
      <c r="S1162" s="408"/>
      <c r="T1162" s="385"/>
      <c r="U1162" s="475"/>
      <c r="V1162" s="395"/>
      <c r="W1162" s="395"/>
      <c r="X1162" s="393"/>
      <c r="Y1162" s="523">
        <v>1</v>
      </c>
      <c r="Z1162" s="393"/>
      <c r="AA1162" s="573">
        <v>6.9098100000000002</v>
      </c>
      <c r="AB1162" s="394">
        <v>6.4418699999999998</v>
      </c>
      <c r="AC1162" s="394">
        <v>6.2995099999999997</v>
      </c>
      <c r="AD1162" s="394"/>
      <c r="AE1162" s="394"/>
      <c r="AF1162" s="394">
        <v>0</v>
      </c>
      <c r="AG1162" s="394">
        <v>0</v>
      </c>
      <c r="AH1162" s="394">
        <v>0.10909000000000001</v>
      </c>
      <c r="AI1162" s="394">
        <v>6.2995099999999997</v>
      </c>
      <c r="AJ1162" s="394"/>
      <c r="AK1162" s="381" t="s">
        <v>167</v>
      </c>
      <c r="AL1162" s="408" t="s">
        <v>175</v>
      </c>
      <c r="AM1162" s="385"/>
      <c r="AN1162" s="475">
        <v>712</v>
      </c>
      <c r="AO1162" s="395"/>
      <c r="AP1162" s="395">
        <f t="shared" si="858"/>
        <v>6.9098100000000002</v>
      </c>
      <c r="AQ1162" s="393"/>
      <c r="AR1162" s="523"/>
      <c r="AS1162" s="393"/>
      <c r="AT1162" s="573"/>
      <c r="AU1162" s="394"/>
      <c r="AV1162" s="394"/>
      <c r="AW1162" s="394"/>
      <c r="AX1162" s="394"/>
      <c r="AY1162" s="394"/>
      <c r="AZ1162" s="394"/>
      <c r="BA1162" s="394"/>
      <c r="BB1162" s="394"/>
      <c r="BC1162" s="394"/>
      <c r="BD1162" s="381"/>
      <c r="BE1162" s="408"/>
      <c r="BF1162" s="385"/>
      <c r="BG1162" s="475"/>
      <c r="BH1162" s="395"/>
      <c r="BI1162" s="395" t="e">
        <f t="shared" si="859"/>
        <v>#DIV/0!</v>
      </c>
    </row>
    <row r="1163" spans="1:61" s="358" customFormat="1" ht="19.2" x14ac:dyDescent="0.3">
      <c r="A1163" s="359" t="s">
        <v>1962</v>
      </c>
      <c r="B1163" s="572" t="s">
        <v>3706</v>
      </c>
      <c r="C1163" s="546" t="s">
        <v>2792</v>
      </c>
      <c r="D1163" s="360">
        <v>0.22</v>
      </c>
      <c r="E1163" s="393"/>
      <c r="F1163" s="523"/>
      <c r="G1163" s="393"/>
      <c r="H1163" s="573"/>
      <c r="I1163" s="394"/>
      <c r="J1163" s="394"/>
      <c r="K1163" s="394"/>
      <c r="L1163" s="394"/>
      <c r="M1163" s="394"/>
      <c r="N1163" s="394"/>
      <c r="O1163" s="394"/>
      <c r="P1163" s="394"/>
      <c r="Q1163" s="394"/>
      <c r="R1163" s="381"/>
      <c r="S1163" s="408"/>
      <c r="T1163" s="385"/>
      <c r="U1163" s="475"/>
      <c r="V1163" s="395"/>
      <c r="W1163" s="395"/>
      <c r="X1163" s="393"/>
      <c r="Y1163" s="523">
        <v>1</v>
      </c>
      <c r="Z1163" s="393"/>
      <c r="AA1163" s="573">
        <v>6.9098199999999999</v>
      </c>
      <c r="AB1163" s="394">
        <v>6.4418800000000003</v>
      </c>
      <c r="AC1163" s="394">
        <v>6.2995099999999997</v>
      </c>
      <c r="AD1163" s="394"/>
      <c r="AE1163" s="394"/>
      <c r="AF1163" s="394">
        <v>0</v>
      </c>
      <c r="AG1163" s="394">
        <v>0</v>
      </c>
      <c r="AH1163" s="394">
        <v>0.10909000000000001</v>
      </c>
      <c r="AI1163" s="394">
        <v>6.2995099999999997</v>
      </c>
      <c r="AJ1163" s="394"/>
      <c r="AK1163" s="381" t="s">
        <v>167</v>
      </c>
      <c r="AL1163" s="408" t="s">
        <v>175</v>
      </c>
      <c r="AM1163" s="385"/>
      <c r="AN1163" s="475">
        <v>713</v>
      </c>
      <c r="AO1163" s="395"/>
      <c r="AP1163" s="395">
        <f t="shared" si="858"/>
        <v>6.9098199999999999</v>
      </c>
      <c r="AQ1163" s="393"/>
      <c r="AR1163" s="523"/>
      <c r="AS1163" s="393"/>
      <c r="AT1163" s="573"/>
      <c r="AU1163" s="394"/>
      <c r="AV1163" s="394"/>
      <c r="AW1163" s="394"/>
      <c r="AX1163" s="394"/>
      <c r="AY1163" s="394"/>
      <c r="AZ1163" s="394"/>
      <c r="BA1163" s="394"/>
      <c r="BB1163" s="394"/>
      <c r="BC1163" s="394"/>
      <c r="BD1163" s="381"/>
      <c r="BE1163" s="408"/>
      <c r="BF1163" s="385"/>
      <c r="BG1163" s="475"/>
      <c r="BH1163" s="395"/>
      <c r="BI1163" s="395" t="e">
        <f t="shared" si="859"/>
        <v>#DIV/0!</v>
      </c>
    </row>
    <row r="1164" spans="1:61" s="358" customFormat="1" ht="19.2" x14ac:dyDescent="0.3">
      <c r="A1164" s="359" t="s">
        <v>1963</v>
      </c>
      <c r="B1164" s="572" t="s">
        <v>3707</v>
      </c>
      <c r="C1164" s="546" t="s">
        <v>2793</v>
      </c>
      <c r="D1164" s="360">
        <v>0.22</v>
      </c>
      <c r="E1164" s="393"/>
      <c r="F1164" s="523"/>
      <c r="G1164" s="393"/>
      <c r="H1164" s="573"/>
      <c r="I1164" s="394"/>
      <c r="J1164" s="394"/>
      <c r="K1164" s="394"/>
      <c r="L1164" s="394"/>
      <c r="M1164" s="394"/>
      <c r="N1164" s="394"/>
      <c r="O1164" s="394"/>
      <c r="P1164" s="394"/>
      <c r="Q1164" s="394"/>
      <c r="R1164" s="381"/>
      <c r="S1164" s="408"/>
      <c r="T1164" s="385"/>
      <c r="U1164" s="475"/>
      <c r="V1164" s="395"/>
      <c r="W1164" s="395"/>
      <c r="X1164" s="393"/>
      <c r="Y1164" s="523">
        <v>1</v>
      </c>
      <c r="Z1164" s="393"/>
      <c r="AA1164" s="573">
        <v>6.9098199999999999</v>
      </c>
      <c r="AB1164" s="394">
        <v>6.4418800000000003</v>
      </c>
      <c r="AC1164" s="394">
        <v>6.2995099999999997</v>
      </c>
      <c r="AD1164" s="394"/>
      <c r="AE1164" s="394"/>
      <c r="AF1164" s="394">
        <v>0</v>
      </c>
      <c r="AG1164" s="394">
        <v>0</v>
      </c>
      <c r="AH1164" s="394">
        <v>0.10909000000000001</v>
      </c>
      <c r="AI1164" s="394">
        <v>6.2995099999999997</v>
      </c>
      <c r="AJ1164" s="394"/>
      <c r="AK1164" s="381" t="s">
        <v>167</v>
      </c>
      <c r="AL1164" s="408" t="s">
        <v>175</v>
      </c>
      <c r="AM1164" s="385"/>
      <c r="AN1164" s="475">
        <v>714</v>
      </c>
      <c r="AO1164" s="395"/>
      <c r="AP1164" s="395">
        <f t="shared" si="858"/>
        <v>6.9098199999999999</v>
      </c>
      <c r="AQ1164" s="393"/>
      <c r="AR1164" s="523"/>
      <c r="AS1164" s="393"/>
      <c r="AT1164" s="573"/>
      <c r="AU1164" s="394"/>
      <c r="AV1164" s="394"/>
      <c r="AW1164" s="394"/>
      <c r="AX1164" s="394"/>
      <c r="AY1164" s="394"/>
      <c r="AZ1164" s="394"/>
      <c r="BA1164" s="394"/>
      <c r="BB1164" s="394"/>
      <c r="BC1164" s="394"/>
      <c r="BD1164" s="381"/>
      <c r="BE1164" s="408"/>
      <c r="BF1164" s="385"/>
      <c r="BG1164" s="475"/>
      <c r="BH1164" s="395"/>
      <c r="BI1164" s="395" t="e">
        <f t="shared" si="859"/>
        <v>#DIV/0!</v>
      </c>
    </row>
    <row r="1165" spans="1:61" s="358" customFormat="1" ht="19.2" x14ac:dyDescent="0.3">
      <c r="A1165" s="359" t="s">
        <v>1964</v>
      </c>
      <c r="B1165" s="572" t="s">
        <v>3708</v>
      </c>
      <c r="C1165" s="546" t="s">
        <v>2794</v>
      </c>
      <c r="D1165" s="360">
        <v>0.22</v>
      </c>
      <c r="E1165" s="393"/>
      <c r="F1165" s="523"/>
      <c r="G1165" s="393"/>
      <c r="H1165" s="573"/>
      <c r="I1165" s="394"/>
      <c r="J1165" s="394"/>
      <c r="K1165" s="394"/>
      <c r="L1165" s="394"/>
      <c r="M1165" s="394"/>
      <c r="N1165" s="394"/>
      <c r="O1165" s="394"/>
      <c r="P1165" s="394"/>
      <c r="Q1165" s="394"/>
      <c r="R1165" s="381"/>
      <c r="S1165" s="408"/>
      <c r="T1165" s="385"/>
      <c r="U1165" s="475"/>
      <c r="V1165" s="395"/>
      <c r="W1165" s="395"/>
      <c r="X1165" s="393"/>
      <c r="Y1165" s="523">
        <v>1</v>
      </c>
      <c r="Z1165" s="393"/>
      <c r="AA1165" s="573">
        <v>10.21993</v>
      </c>
      <c r="AB1165" s="394">
        <v>7.2971199999999996</v>
      </c>
      <c r="AC1165" s="394">
        <v>6.2995099999999997</v>
      </c>
      <c r="AD1165" s="394"/>
      <c r="AE1165" s="394"/>
      <c r="AF1165" s="394">
        <v>0</v>
      </c>
      <c r="AG1165" s="394">
        <v>0</v>
      </c>
      <c r="AH1165" s="394">
        <v>0.68139000000000005</v>
      </c>
      <c r="AI1165" s="394">
        <v>6.2995099999999997</v>
      </c>
      <c r="AJ1165" s="394"/>
      <c r="AK1165" s="381" t="s">
        <v>167</v>
      </c>
      <c r="AL1165" s="408" t="s">
        <v>175</v>
      </c>
      <c r="AM1165" s="385"/>
      <c r="AN1165" s="475">
        <v>715</v>
      </c>
      <c r="AO1165" s="395"/>
      <c r="AP1165" s="395">
        <f t="shared" si="858"/>
        <v>10.21993</v>
      </c>
      <c r="AQ1165" s="393"/>
      <c r="AR1165" s="523"/>
      <c r="AS1165" s="393"/>
      <c r="AT1165" s="573"/>
      <c r="AU1165" s="394"/>
      <c r="AV1165" s="394"/>
      <c r="AW1165" s="394"/>
      <c r="AX1165" s="394"/>
      <c r="AY1165" s="394"/>
      <c r="AZ1165" s="394"/>
      <c r="BA1165" s="394"/>
      <c r="BB1165" s="394"/>
      <c r="BC1165" s="394"/>
      <c r="BD1165" s="381"/>
      <c r="BE1165" s="408"/>
      <c r="BF1165" s="385"/>
      <c r="BG1165" s="475"/>
      <c r="BH1165" s="395"/>
      <c r="BI1165" s="395" t="e">
        <f t="shared" si="859"/>
        <v>#DIV/0!</v>
      </c>
    </row>
    <row r="1166" spans="1:61" s="358" customFormat="1" ht="19.2" x14ac:dyDescent="0.3">
      <c r="A1166" s="359" t="s">
        <v>1965</v>
      </c>
      <c r="B1166" s="572" t="s">
        <v>3709</v>
      </c>
      <c r="C1166" s="546" t="s">
        <v>2795</v>
      </c>
      <c r="D1166" s="360">
        <v>0.22</v>
      </c>
      <c r="E1166" s="393"/>
      <c r="F1166" s="523"/>
      <c r="G1166" s="393"/>
      <c r="H1166" s="573"/>
      <c r="I1166" s="394"/>
      <c r="J1166" s="394"/>
      <c r="K1166" s="394"/>
      <c r="L1166" s="394"/>
      <c r="M1166" s="394"/>
      <c r="N1166" s="394"/>
      <c r="O1166" s="394"/>
      <c r="P1166" s="394"/>
      <c r="Q1166" s="394"/>
      <c r="R1166" s="381"/>
      <c r="S1166" s="408"/>
      <c r="T1166" s="385"/>
      <c r="U1166" s="475"/>
      <c r="V1166" s="395"/>
      <c r="W1166" s="395"/>
      <c r="X1166" s="393"/>
      <c r="Y1166" s="523">
        <v>1</v>
      </c>
      <c r="Z1166" s="393"/>
      <c r="AA1166" s="573">
        <v>6.9098199999999999</v>
      </c>
      <c r="AB1166" s="394">
        <v>6.4418800000000003</v>
      </c>
      <c r="AC1166" s="394">
        <v>6.2995099999999997</v>
      </c>
      <c r="AD1166" s="394"/>
      <c r="AE1166" s="394"/>
      <c r="AF1166" s="394">
        <v>0</v>
      </c>
      <c r="AG1166" s="394">
        <v>0</v>
      </c>
      <c r="AH1166" s="394">
        <v>0.10909000000000001</v>
      </c>
      <c r="AI1166" s="394">
        <v>6.2995099999999997</v>
      </c>
      <c r="AJ1166" s="394"/>
      <c r="AK1166" s="381" t="s">
        <v>167</v>
      </c>
      <c r="AL1166" s="408" t="s">
        <v>175</v>
      </c>
      <c r="AM1166" s="385"/>
      <c r="AN1166" s="475">
        <v>716</v>
      </c>
      <c r="AO1166" s="395"/>
      <c r="AP1166" s="395">
        <f t="shared" si="858"/>
        <v>6.9098199999999999</v>
      </c>
      <c r="AQ1166" s="393"/>
      <c r="AR1166" s="523"/>
      <c r="AS1166" s="393"/>
      <c r="AT1166" s="573"/>
      <c r="AU1166" s="394"/>
      <c r="AV1166" s="394"/>
      <c r="AW1166" s="394"/>
      <c r="AX1166" s="394"/>
      <c r="AY1166" s="394"/>
      <c r="AZ1166" s="394"/>
      <c r="BA1166" s="394"/>
      <c r="BB1166" s="394"/>
      <c r="BC1166" s="394"/>
      <c r="BD1166" s="381"/>
      <c r="BE1166" s="408"/>
      <c r="BF1166" s="385"/>
      <c r="BG1166" s="475"/>
      <c r="BH1166" s="395"/>
      <c r="BI1166" s="395" t="e">
        <f t="shared" si="859"/>
        <v>#DIV/0!</v>
      </c>
    </row>
    <row r="1167" spans="1:61" s="358" customFormat="1" ht="19.2" x14ac:dyDescent="0.3">
      <c r="A1167" s="359" t="s">
        <v>1966</v>
      </c>
      <c r="B1167" s="572" t="s">
        <v>3710</v>
      </c>
      <c r="C1167" s="546" t="s">
        <v>2796</v>
      </c>
      <c r="D1167" s="360">
        <v>0.22</v>
      </c>
      <c r="E1167" s="393"/>
      <c r="F1167" s="523"/>
      <c r="G1167" s="393"/>
      <c r="H1167" s="573"/>
      <c r="I1167" s="394"/>
      <c r="J1167" s="394"/>
      <c r="K1167" s="394"/>
      <c r="L1167" s="394"/>
      <c r="M1167" s="394"/>
      <c r="N1167" s="394"/>
      <c r="O1167" s="394"/>
      <c r="P1167" s="394"/>
      <c r="Q1167" s="394"/>
      <c r="R1167" s="381"/>
      <c r="S1167" s="408"/>
      <c r="T1167" s="385"/>
      <c r="U1167" s="475"/>
      <c r="V1167" s="395"/>
      <c r="W1167" s="395"/>
      <c r="X1167" s="393"/>
      <c r="Y1167" s="523">
        <v>1</v>
      </c>
      <c r="Z1167" s="393"/>
      <c r="AA1167" s="573">
        <v>10.21993</v>
      </c>
      <c r="AB1167" s="394">
        <v>7.2971199999999996</v>
      </c>
      <c r="AC1167" s="394">
        <v>6.2995099999999997</v>
      </c>
      <c r="AD1167" s="394"/>
      <c r="AE1167" s="394"/>
      <c r="AF1167" s="394">
        <v>0</v>
      </c>
      <c r="AG1167" s="394">
        <v>0</v>
      </c>
      <c r="AH1167" s="394">
        <v>0.68139000000000005</v>
      </c>
      <c r="AI1167" s="394">
        <v>6.2995099999999997</v>
      </c>
      <c r="AJ1167" s="394"/>
      <c r="AK1167" s="381" t="s">
        <v>167</v>
      </c>
      <c r="AL1167" s="408" t="s">
        <v>175</v>
      </c>
      <c r="AM1167" s="385"/>
      <c r="AN1167" s="475">
        <v>717</v>
      </c>
      <c r="AO1167" s="395"/>
      <c r="AP1167" s="395">
        <f t="shared" si="858"/>
        <v>10.21993</v>
      </c>
      <c r="AQ1167" s="393"/>
      <c r="AR1167" s="523"/>
      <c r="AS1167" s="393"/>
      <c r="AT1167" s="573"/>
      <c r="AU1167" s="394"/>
      <c r="AV1167" s="394"/>
      <c r="AW1167" s="394"/>
      <c r="AX1167" s="394"/>
      <c r="AY1167" s="394"/>
      <c r="AZ1167" s="394"/>
      <c r="BA1167" s="394"/>
      <c r="BB1167" s="394"/>
      <c r="BC1167" s="394"/>
      <c r="BD1167" s="381"/>
      <c r="BE1167" s="408"/>
      <c r="BF1167" s="385"/>
      <c r="BG1167" s="475"/>
      <c r="BH1167" s="395"/>
      <c r="BI1167" s="395" t="e">
        <f t="shared" si="859"/>
        <v>#DIV/0!</v>
      </c>
    </row>
    <row r="1168" spans="1:61" s="358" customFormat="1" ht="19.2" x14ac:dyDescent="0.3">
      <c r="A1168" s="359" t="s">
        <v>1983</v>
      </c>
      <c r="B1168" s="572" t="s">
        <v>3711</v>
      </c>
      <c r="C1168" s="546" t="s">
        <v>2797</v>
      </c>
      <c r="D1168" s="360">
        <v>0.22</v>
      </c>
      <c r="E1168" s="393"/>
      <c r="F1168" s="523"/>
      <c r="G1168" s="393"/>
      <c r="H1168" s="573"/>
      <c r="I1168" s="394"/>
      <c r="J1168" s="394"/>
      <c r="K1168" s="394"/>
      <c r="L1168" s="394"/>
      <c r="M1168" s="394"/>
      <c r="N1168" s="394"/>
      <c r="O1168" s="394"/>
      <c r="P1168" s="394"/>
      <c r="Q1168" s="394"/>
      <c r="R1168" s="381"/>
      <c r="S1168" s="408"/>
      <c r="T1168" s="385"/>
      <c r="U1168" s="475"/>
      <c r="V1168" s="395"/>
      <c r="W1168" s="395"/>
      <c r="X1168" s="393"/>
      <c r="Y1168" s="523">
        <v>1</v>
      </c>
      <c r="Z1168" s="393"/>
      <c r="AA1168" s="573">
        <v>6.9098100000000002</v>
      </c>
      <c r="AB1168" s="394">
        <v>6.4418699999999998</v>
      </c>
      <c r="AC1168" s="394">
        <v>6.2995099999999997</v>
      </c>
      <c r="AD1168" s="394"/>
      <c r="AE1168" s="394"/>
      <c r="AF1168" s="394">
        <v>0</v>
      </c>
      <c r="AG1168" s="394">
        <v>0</v>
      </c>
      <c r="AH1168" s="394">
        <v>0.10909000000000001</v>
      </c>
      <c r="AI1168" s="394">
        <v>6.2995099999999997</v>
      </c>
      <c r="AJ1168" s="394"/>
      <c r="AK1168" s="381" t="s">
        <v>167</v>
      </c>
      <c r="AL1168" s="408" t="s">
        <v>175</v>
      </c>
      <c r="AM1168" s="385"/>
      <c r="AN1168" s="475">
        <v>718</v>
      </c>
      <c r="AO1168" s="395"/>
      <c r="AP1168" s="395">
        <f t="shared" si="858"/>
        <v>6.9098100000000002</v>
      </c>
      <c r="AQ1168" s="393"/>
      <c r="AR1168" s="523"/>
      <c r="AS1168" s="393"/>
      <c r="AT1168" s="573"/>
      <c r="AU1168" s="394"/>
      <c r="AV1168" s="394"/>
      <c r="AW1168" s="394"/>
      <c r="AX1168" s="394"/>
      <c r="AY1168" s="394"/>
      <c r="AZ1168" s="394"/>
      <c r="BA1168" s="394"/>
      <c r="BB1168" s="394"/>
      <c r="BC1168" s="394"/>
      <c r="BD1168" s="381"/>
      <c r="BE1168" s="408"/>
      <c r="BF1168" s="385"/>
      <c r="BG1168" s="475"/>
      <c r="BH1168" s="395"/>
      <c r="BI1168" s="395" t="e">
        <f t="shared" si="859"/>
        <v>#DIV/0!</v>
      </c>
    </row>
    <row r="1169" spans="1:61" s="358" customFormat="1" ht="19.2" x14ac:dyDescent="0.3">
      <c r="A1169" s="359" t="s">
        <v>1968</v>
      </c>
      <c r="B1169" s="572" t="s">
        <v>3712</v>
      </c>
      <c r="C1169" s="546" t="s">
        <v>2798</v>
      </c>
      <c r="D1169" s="360">
        <v>0.22</v>
      </c>
      <c r="E1169" s="393"/>
      <c r="F1169" s="523"/>
      <c r="G1169" s="393"/>
      <c r="H1169" s="573"/>
      <c r="I1169" s="394"/>
      <c r="J1169" s="394"/>
      <c r="K1169" s="394"/>
      <c r="L1169" s="394"/>
      <c r="M1169" s="394"/>
      <c r="N1169" s="394"/>
      <c r="O1169" s="394"/>
      <c r="P1169" s="394"/>
      <c r="Q1169" s="394"/>
      <c r="R1169" s="381"/>
      <c r="S1169" s="408"/>
      <c r="T1169" s="385"/>
      <c r="U1169" s="475"/>
      <c r="V1169" s="395"/>
      <c r="W1169" s="395"/>
      <c r="X1169" s="393"/>
      <c r="Y1169" s="523">
        <v>1</v>
      </c>
      <c r="Z1169" s="393"/>
      <c r="AA1169" s="573">
        <v>6.9098100000000002</v>
      </c>
      <c r="AB1169" s="394">
        <v>6.4418699999999998</v>
      </c>
      <c r="AC1169" s="394">
        <v>6.2995099999999997</v>
      </c>
      <c r="AD1169" s="394"/>
      <c r="AE1169" s="394"/>
      <c r="AF1169" s="394">
        <v>0</v>
      </c>
      <c r="AG1169" s="394">
        <v>0</v>
      </c>
      <c r="AH1169" s="394">
        <v>0.10909000000000001</v>
      </c>
      <c r="AI1169" s="394">
        <v>6.2995099999999997</v>
      </c>
      <c r="AJ1169" s="394"/>
      <c r="AK1169" s="381" t="s">
        <v>167</v>
      </c>
      <c r="AL1169" s="408" t="s">
        <v>175</v>
      </c>
      <c r="AM1169" s="385"/>
      <c r="AN1169" s="475">
        <v>719</v>
      </c>
      <c r="AO1169" s="395"/>
      <c r="AP1169" s="395">
        <f t="shared" si="858"/>
        <v>6.9098100000000002</v>
      </c>
      <c r="AQ1169" s="393"/>
      <c r="AR1169" s="523"/>
      <c r="AS1169" s="393"/>
      <c r="AT1169" s="573"/>
      <c r="AU1169" s="394"/>
      <c r="AV1169" s="394"/>
      <c r="AW1169" s="394"/>
      <c r="AX1169" s="394"/>
      <c r="AY1169" s="394"/>
      <c r="AZ1169" s="394"/>
      <c r="BA1169" s="394"/>
      <c r="BB1169" s="394"/>
      <c r="BC1169" s="394"/>
      <c r="BD1169" s="381"/>
      <c r="BE1169" s="408"/>
      <c r="BF1169" s="385"/>
      <c r="BG1169" s="475"/>
      <c r="BH1169" s="395"/>
      <c r="BI1169" s="395" t="e">
        <f t="shared" si="859"/>
        <v>#DIV/0!</v>
      </c>
    </row>
    <row r="1170" spans="1:61" s="358" customFormat="1" ht="19.2" x14ac:dyDescent="0.3">
      <c r="A1170" s="359" t="s">
        <v>1969</v>
      </c>
      <c r="B1170" s="572" t="s">
        <v>3713</v>
      </c>
      <c r="C1170" s="546" t="s">
        <v>2799</v>
      </c>
      <c r="D1170" s="360">
        <v>0.22</v>
      </c>
      <c r="E1170" s="393"/>
      <c r="F1170" s="523"/>
      <c r="G1170" s="393"/>
      <c r="H1170" s="573"/>
      <c r="I1170" s="394"/>
      <c r="J1170" s="394"/>
      <c r="K1170" s="394"/>
      <c r="L1170" s="394"/>
      <c r="M1170" s="394"/>
      <c r="N1170" s="394"/>
      <c r="O1170" s="394"/>
      <c r="P1170" s="394"/>
      <c r="Q1170" s="394"/>
      <c r="R1170" s="381"/>
      <c r="S1170" s="408"/>
      <c r="T1170" s="385"/>
      <c r="U1170" s="475"/>
      <c r="V1170" s="395"/>
      <c r="W1170" s="395"/>
      <c r="X1170" s="393"/>
      <c r="Y1170" s="523">
        <v>1</v>
      </c>
      <c r="Z1170" s="393"/>
      <c r="AA1170" s="573">
        <v>10.21993</v>
      </c>
      <c r="AB1170" s="394">
        <v>7.2971199999999996</v>
      </c>
      <c r="AC1170" s="394">
        <v>6.2995099999999997</v>
      </c>
      <c r="AD1170" s="394"/>
      <c r="AE1170" s="394"/>
      <c r="AF1170" s="394">
        <v>0</v>
      </c>
      <c r="AG1170" s="394">
        <v>0</v>
      </c>
      <c r="AH1170" s="394">
        <v>0.68139000000000005</v>
      </c>
      <c r="AI1170" s="394">
        <v>6.2995099999999997</v>
      </c>
      <c r="AJ1170" s="394"/>
      <c r="AK1170" s="381" t="s">
        <v>167</v>
      </c>
      <c r="AL1170" s="408" t="s">
        <v>175</v>
      </c>
      <c r="AM1170" s="385"/>
      <c r="AN1170" s="475">
        <v>720</v>
      </c>
      <c r="AO1170" s="395"/>
      <c r="AP1170" s="395">
        <f t="shared" si="858"/>
        <v>10.21993</v>
      </c>
      <c r="AQ1170" s="393"/>
      <c r="AR1170" s="523"/>
      <c r="AS1170" s="393"/>
      <c r="AT1170" s="573"/>
      <c r="AU1170" s="394"/>
      <c r="AV1170" s="394"/>
      <c r="AW1170" s="394"/>
      <c r="AX1170" s="394"/>
      <c r="AY1170" s="394"/>
      <c r="AZ1170" s="394"/>
      <c r="BA1170" s="394"/>
      <c r="BB1170" s="394"/>
      <c r="BC1170" s="394"/>
      <c r="BD1170" s="381"/>
      <c r="BE1170" s="408"/>
      <c r="BF1170" s="385"/>
      <c r="BG1170" s="475"/>
      <c r="BH1170" s="395"/>
      <c r="BI1170" s="395" t="e">
        <f t="shared" si="859"/>
        <v>#DIV/0!</v>
      </c>
    </row>
    <row r="1171" spans="1:61" s="358" customFormat="1" ht="19.2" x14ac:dyDescent="0.3">
      <c r="A1171" s="359" t="s">
        <v>1954</v>
      </c>
      <c r="B1171" s="572" t="s">
        <v>3714</v>
      </c>
      <c r="C1171" s="546" t="s">
        <v>2800</v>
      </c>
      <c r="D1171" s="360">
        <v>0.22</v>
      </c>
      <c r="E1171" s="393"/>
      <c r="F1171" s="523"/>
      <c r="G1171" s="393"/>
      <c r="H1171" s="573"/>
      <c r="I1171" s="394"/>
      <c r="J1171" s="394"/>
      <c r="K1171" s="394"/>
      <c r="L1171" s="394"/>
      <c r="M1171" s="394"/>
      <c r="N1171" s="394"/>
      <c r="O1171" s="394"/>
      <c r="P1171" s="394"/>
      <c r="Q1171" s="394"/>
      <c r="R1171" s="381"/>
      <c r="S1171" s="408"/>
      <c r="T1171" s="385"/>
      <c r="U1171" s="475"/>
      <c r="V1171" s="395"/>
      <c r="W1171" s="395"/>
      <c r="X1171" s="393"/>
      <c r="Y1171" s="523">
        <v>1</v>
      </c>
      <c r="Z1171" s="393"/>
      <c r="AA1171" s="573">
        <v>10.21996</v>
      </c>
      <c r="AB1171" s="394">
        <v>7.2971500000000002</v>
      </c>
      <c r="AC1171" s="394">
        <v>6.2995099999999997</v>
      </c>
      <c r="AD1171" s="394"/>
      <c r="AE1171" s="394"/>
      <c r="AF1171" s="394">
        <v>0</v>
      </c>
      <c r="AG1171" s="394">
        <v>0</v>
      </c>
      <c r="AH1171" s="394">
        <v>0.68139000000000005</v>
      </c>
      <c r="AI1171" s="394">
        <v>6.2995099999999997</v>
      </c>
      <c r="AJ1171" s="394"/>
      <c r="AK1171" s="381" t="s">
        <v>167</v>
      </c>
      <c r="AL1171" s="408" t="s">
        <v>175</v>
      </c>
      <c r="AM1171" s="385"/>
      <c r="AN1171" s="475">
        <v>721</v>
      </c>
      <c r="AO1171" s="395"/>
      <c r="AP1171" s="395">
        <f t="shared" si="858"/>
        <v>10.21996</v>
      </c>
      <c r="AQ1171" s="393"/>
      <c r="AR1171" s="523"/>
      <c r="AS1171" s="393"/>
      <c r="AT1171" s="573"/>
      <c r="AU1171" s="394"/>
      <c r="AV1171" s="394"/>
      <c r="AW1171" s="394"/>
      <c r="AX1171" s="394"/>
      <c r="AY1171" s="394"/>
      <c r="AZ1171" s="394"/>
      <c r="BA1171" s="394"/>
      <c r="BB1171" s="394"/>
      <c r="BC1171" s="394"/>
      <c r="BD1171" s="381"/>
      <c r="BE1171" s="408"/>
      <c r="BF1171" s="385"/>
      <c r="BG1171" s="475"/>
      <c r="BH1171" s="395"/>
      <c r="BI1171" s="395" t="e">
        <f t="shared" si="859"/>
        <v>#DIV/0!</v>
      </c>
    </row>
    <row r="1172" spans="1:61" s="358" customFormat="1" ht="19.2" x14ac:dyDescent="0.3">
      <c r="A1172" s="359" t="s">
        <v>1987</v>
      </c>
      <c r="B1172" s="572" t="s">
        <v>3715</v>
      </c>
      <c r="C1172" s="546" t="s">
        <v>2801</v>
      </c>
      <c r="D1172" s="360">
        <v>0.22</v>
      </c>
      <c r="E1172" s="393"/>
      <c r="F1172" s="523"/>
      <c r="G1172" s="393"/>
      <c r="H1172" s="573"/>
      <c r="I1172" s="394"/>
      <c r="J1172" s="394"/>
      <c r="K1172" s="394"/>
      <c r="L1172" s="394"/>
      <c r="M1172" s="394"/>
      <c r="N1172" s="394"/>
      <c r="O1172" s="394"/>
      <c r="P1172" s="394"/>
      <c r="Q1172" s="394"/>
      <c r="R1172" s="381"/>
      <c r="S1172" s="408"/>
      <c r="T1172" s="385"/>
      <c r="U1172" s="475"/>
      <c r="V1172" s="395"/>
      <c r="W1172" s="395"/>
      <c r="X1172" s="393"/>
      <c r="Y1172" s="523">
        <v>1</v>
      </c>
      <c r="Z1172" s="393"/>
      <c r="AA1172" s="573">
        <v>10.21998</v>
      </c>
      <c r="AB1172" s="394">
        <v>7.2971700000000004</v>
      </c>
      <c r="AC1172" s="394">
        <v>6.2995099999999997</v>
      </c>
      <c r="AD1172" s="394"/>
      <c r="AE1172" s="394"/>
      <c r="AF1172" s="394">
        <v>0</v>
      </c>
      <c r="AG1172" s="394">
        <v>0</v>
      </c>
      <c r="AH1172" s="394">
        <v>0.68139000000000005</v>
      </c>
      <c r="AI1172" s="394">
        <v>6.2995099999999997</v>
      </c>
      <c r="AJ1172" s="394"/>
      <c r="AK1172" s="381" t="s">
        <v>167</v>
      </c>
      <c r="AL1172" s="408" t="s">
        <v>175</v>
      </c>
      <c r="AM1172" s="385"/>
      <c r="AN1172" s="475">
        <v>722</v>
      </c>
      <c r="AO1172" s="395"/>
      <c r="AP1172" s="395">
        <f t="shared" si="858"/>
        <v>10.21998</v>
      </c>
      <c r="AQ1172" s="393"/>
      <c r="AR1172" s="523"/>
      <c r="AS1172" s="393"/>
      <c r="AT1172" s="573"/>
      <c r="AU1172" s="394"/>
      <c r="AV1172" s="394"/>
      <c r="AW1172" s="394"/>
      <c r="AX1172" s="394"/>
      <c r="AY1172" s="394"/>
      <c r="AZ1172" s="394"/>
      <c r="BA1172" s="394"/>
      <c r="BB1172" s="394"/>
      <c r="BC1172" s="394"/>
      <c r="BD1172" s="381"/>
      <c r="BE1172" s="408"/>
      <c r="BF1172" s="385"/>
      <c r="BG1172" s="475"/>
      <c r="BH1172" s="395"/>
      <c r="BI1172" s="395" t="e">
        <f t="shared" si="859"/>
        <v>#DIV/0!</v>
      </c>
    </row>
    <row r="1173" spans="1:61" s="358" customFormat="1" ht="19.2" x14ac:dyDescent="0.3">
      <c r="A1173" s="359" t="s">
        <v>1972</v>
      </c>
      <c r="B1173" s="572" t="s">
        <v>3716</v>
      </c>
      <c r="C1173" s="546" t="s">
        <v>2802</v>
      </c>
      <c r="D1173" s="360">
        <v>0.22</v>
      </c>
      <c r="E1173" s="393"/>
      <c r="F1173" s="523"/>
      <c r="G1173" s="393"/>
      <c r="H1173" s="573"/>
      <c r="I1173" s="394"/>
      <c r="J1173" s="394"/>
      <c r="K1173" s="394"/>
      <c r="L1173" s="394"/>
      <c r="M1173" s="394"/>
      <c r="N1173" s="394"/>
      <c r="O1173" s="394"/>
      <c r="P1173" s="394"/>
      <c r="Q1173" s="394"/>
      <c r="R1173" s="381"/>
      <c r="S1173" s="408"/>
      <c r="T1173" s="385"/>
      <c r="U1173" s="475"/>
      <c r="V1173" s="395"/>
      <c r="W1173" s="395"/>
      <c r="X1173" s="393"/>
      <c r="Y1173" s="523">
        <v>1</v>
      </c>
      <c r="Z1173" s="393"/>
      <c r="AA1173" s="573">
        <v>10.21992</v>
      </c>
      <c r="AB1173" s="394">
        <v>7.29711</v>
      </c>
      <c r="AC1173" s="394">
        <v>6.2995099999999997</v>
      </c>
      <c r="AD1173" s="394"/>
      <c r="AE1173" s="394"/>
      <c r="AF1173" s="394">
        <v>0</v>
      </c>
      <c r="AG1173" s="394">
        <v>0</v>
      </c>
      <c r="AH1173" s="394">
        <v>0.68139000000000005</v>
      </c>
      <c r="AI1173" s="394">
        <v>6.2995099999999997</v>
      </c>
      <c r="AJ1173" s="394"/>
      <c r="AK1173" s="381" t="s">
        <v>167</v>
      </c>
      <c r="AL1173" s="408" t="s">
        <v>175</v>
      </c>
      <c r="AM1173" s="385"/>
      <c r="AN1173" s="475">
        <v>723</v>
      </c>
      <c r="AO1173" s="395"/>
      <c r="AP1173" s="395">
        <f t="shared" si="858"/>
        <v>10.21992</v>
      </c>
      <c r="AQ1173" s="393"/>
      <c r="AR1173" s="523"/>
      <c r="AS1173" s="393"/>
      <c r="AT1173" s="573"/>
      <c r="AU1173" s="394"/>
      <c r="AV1173" s="394"/>
      <c r="AW1173" s="394"/>
      <c r="AX1173" s="394"/>
      <c r="AY1173" s="394"/>
      <c r="AZ1173" s="394"/>
      <c r="BA1173" s="394"/>
      <c r="BB1173" s="394"/>
      <c r="BC1173" s="394"/>
      <c r="BD1173" s="381"/>
      <c r="BE1173" s="408"/>
      <c r="BF1173" s="385"/>
      <c r="BG1173" s="475"/>
      <c r="BH1173" s="395"/>
      <c r="BI1173" s="395" t="e">
        <f t="shared" si="859"/>
        <v>#DIV/0!</v>
      </c>
    </row>
    <row r="1174" spans="1:61" s="358" customFormat="1" ht="19.2" x14ac:dyDescent="0.3">
      <c r="A1174" s="359" t="s">
        <v>1973</v>
      </c>
      <c r="B1174" s="572" t="s">
        <v>2353</v>
      </c>
      <c r="C1174" s="546" t="s">
        <v>2352</v>
      </c>
      <c r="D1174" s="360">
        <v>0.22</v>
      </c>
      <c r="E1174" s="393"/>
      <c r="F1174" s="523"/>
      <c r="G1174" s="393"/>
      <c r="H1174" s="573"/>
      <c r="I1174" s="394"/>
      <c r="J1174" s="394"/>
      <c r="K1174" s="394"/>
      <c r="L1174" s="394"/>
      <c r="M1174" s="394"/>
      <c r="N1174" s="394"/>
      <c r="O1174" s="394"/>
      <c r="P1174" s="394"/>
      <c r="Q1174" s="394"/>
      <c r="R1174" s="381"/>
      <c r="S1174" s="408"/>
      <c r="T1174" s="385"/>
      <c r="U1174" s="475"/>
      <c r="V1174" s="395"/>
      <c r="W1174" s="395"/>
      <c r="X1174" s="393"/>
      <c r="Y1174" s="523">
        <v>1</v>
      </c>
      <c r="Z1174" s="393"/>
      <c r="AA1174" s="573">
        <v>10.219939999999999</v>
      </c>
      <c r="AB1174" s="394">
        <v>7.2971300000000001</v>
      </c>
      <c r="AC1174" s="394">
        <v>6.2995099999999997</v>
      </c>
      <c r="AD1174" s="394"/>
      <c r="AE1174" s="394"/>
      <c r="AF1174" s="394">
        <v>0</v>
      </c>
      <c r="AG1174" s="394">
        <v>0</v>
      </c>
      <c r="AH1174" s="394">
        <v>0.68139000000000005</v>
      </c>
      <c r="AI1174" s="394">
        <v>6.2995099999999997</v>
      </c>
      <c r="AJ1174" s="394"/>
      <c r="AK1174" s="381" t="s">
        <v>167</v>
      </c>
      <c r="AL1174" s="408" t="s">
        <v>175</v>
      </c>
      <c r="AM1174" s="385"/>
      <c r="AN1174" s="475">
        <v>724</v>
      </c>
      <c r="AO1174" s="395"/>
      <c r="AP1174" s="395">
        <f t="shared" si="858"/>
        <v>10.219939999999999</v>
      </c>
      <c r="AQ1174" s="393"/>
      <c r="AR1174" s="523"/>
      <c r="AS1174" s="393"/>
      <c r="AT1174" s="573"/>
      <c r="AU1174" s="394"/>
      <c r="AV1174" s="394"/>
      <c r="AW1174" s="394"/>
      <c r="AX1174" s="394"/>
      <c r="AY1174" s="394"/>
      <c r="AZ1174" s="394"/>
      <c r="BA1174" s="394"/>
      <c r="BB1174" s="394"/>
      <c r="BC1174" s="394"/>
      <c r="BD1174" s="381"/>
      <c r="BE1174" s="408"/>
      <c r="BF1174" s="385"/>
      <c r="BG1174" s="475"/>
      <c r="BH1174" s="395"/>
      <c r="BI1174" s="395" t="e">
        <f t="shared" si="859"/>
        <v>#DIV/0!</v>
      </c>
    </row>
    <row r="1175" spans="1:61" s="358" customFormat="1" ht="19.2" x14ac:dyDescent="0.3">
      <c r="A1175" s="359" t="s">
        <v>1974</v>
      </c>
      <c r="B1175" s="572" t="s">
        <v>3717</v>
      </c>
      <c r="C1175" s="546" t="s">
        <v>2803</v>
      </c>
      <c r="D1175" s="360">
        <v>0.22</v>
      </c>
      <c r="E1175" s="393"/>
      <c r="F1175" s="523"/>
      <c r="G1175" s="393"/>
      <c r="H1175" s="573"/>
      <c r="I1175" s="394"/>
      <c r="J1175" s="394"/>
      <c r="K1175" s="394"/>
      <c r="L1175" s="394"/>
      <c r="M1175" s="394"/>
      <c r="N1175" s="394"/>
      <c r="O1175" s="394"/>
      <c r="P1175" s="394"/>
      <c r="Q1175" s="394"/>
      <c r="R1175" s="381"/>
      <c r="S1175" s="408"/>
      <c r="T1175" s="385"/>
      <c r="U1175" s="475"/>
      <c r="V1175" s="395"/>
      <c r="W1175" s="395"/>
      <c r="X1175" s="393"/>
      <c r="Y1175" s="523">
        <v>1</v>
      </c>
      <c r="Z1175" s="393"/>
      <c r="AA1175" s="573">
        <v>10.219939999999999</v>
      </c>
      <c r="AB1175" s="394">
        <v>7.2971300000000001</v>
      </c>
      <c r="AC1175" s="394">
        <v>6.2995099999999997</v>
      </c>
      <c r="AD1175" s="394"/>
      <c r="AE1175" s="394"/>
      <c r="AF1175" s="394">
        <v>0</v>
      </c>
      <c r="AG1175" s="394">
        <v>0</v>
      </c>
      <c r="AH1175" s="394">
        <v>0.68139000000000005</v>
      </c>
      <c r="AI1175" s="394">
        <v>6.2995099999999997</v>
      </c>
      <c r="AJ1175" s="394"/>
      <c r="AK1175" s="381" t="s">
        <v>167</v>
      </c>
      <c r="AL1175" s="408" t="s">
        <v>175</v>
      </c>
      <c r="AM1175" s="385"/>
      <c r="AN1175" s="475">
        <v>725</v>
      </c>
      <c r="AO1175" s="395"/>
      <c r="AP1175" s="395">
        <f t="shared" si="858"/>
        <v>10.219939999999999</v>
      </c>
      <c r="AQ1175" s="393"/>
      <c r="AR1175" s="523"/>
      <c r="AS1175" s="393"/>
      <c r="AT1175" s="573"/>
      <c r="AU1175" s="394"/>
      <c r="AV1175" s="394"/>
      <c r="AW1175" s="394"/>
      <c r="AX1175" s="394"/>
      <c r="AY1175" s="394"/>
      <c r="AZ1175" s="394"/>
      <c r="BA1175" s="394"/>
      <c r="BB1175" s="394"/>
      <c r="BC1175" s="394"/>
      <c r="BD1175" s="381"/>
      <c r="BE1175" s="408"/>
      <c r="BF1175" s="385"/>
      <c r="BG1175" s="475"/>
      <c r="BH1175" s="395"/>
      <c r="BI1175" s="395" t="e">
        <f t="shared" si="859"/>
        <v>#DIV/0!</v>
      </c>
    </row>
    <row r="1176" spans="1:61" s="358" customFormat="1" ht="19.2" x14ac:dyDescent="0.3">
      <c r="A1176" s="359" t="s">
        <v>1975</v>
      </c>
      <c r="B1176" s="572" t="s">
        <v>3718</v>
      </c>
      <c r="C1176" s="546" t="s">
        <v>2804</v>
      </c>
      <c r="D1176" s="360">
        <v>0.22</v>
      </c>
      <c r="E1176" s="393"/>
      <c r="F1176" s="523"/>
      <c r="G1176" s="393"/>
      <c r="H1176" s="573"/>
      <c r="I1176" s="394"/>
      <c r="J1176" s="394"/>
      <c r="K1176" s="394"/>
      <c r="L1176" s="394"/>
      <c r="M1176" s="394"/>
      <c r="N1176" s="394"/>
      <c r="O1176" s="394"/>
      <c r="P1176" s="394"/>
      <c r="Q1176" s="394"/>
      <c r="R1176" s="381"/>
      <c r="S1176" s="408"/>
      <c r="T1176" s="385"/>
      <c r="U1176" s="475"/>
      <c r="V1176" s="395"/>
      <c r="W1176" s="395"/>
      <c r="X1176" s="393"/>
      <c r="Y1176" s="523">
        <v>1</v>
      </c>
      <c r="Z1176" s="393"/>
      <c r="AA1176" s="573">
        <v>6.9098199999999999</v>
      </c>
      <c r="AB1176" s="394">
        <v>6.4418800000000003</v>
      </c>
      <c r="AC1176" s="394">
        <v>6.2995099999999997</v>
      </c>
      <c r="AD1176" s="394"/>
      <c r="AE1176" s="394"/>
      <c r="AF1176" s="394">
        <v>0</v>
      </c>
      <c r="AG1176" s="394">
        <v>0</v>
      </c>
      <c r="AH1176" s="394">
        <v>0.10909000000000001</v>
      </c>
      <c r="AI1176" s="394">
        <v>6.2995099999999997</v>
      </c>
      <c r="AJ1176" s="394"/>
      <c r="AK1176" s="381" t="s">
        <v>167</v>
      </c>
      <c r="AL1176" s="408" t="s">
        <v>175</v>
      </c>
      <c r="AM1176" s="385"/>
      <c r="AN1176" s="475">
        <v>726</v>
      </c>
      <c r="AO1176" s="395"/>
      <c r="AP1176" s="395">
        <f t="shared" si="858"/>
        <v>6.9098199999999999</v>
      </c>
      <c r="AQ1176" s="393"/>
      <c r="AR1176" s="523"/>
      <c r="AS1176" s="393"/>
      <c r="AT1176" s="573"/>
      <c r="AU1176" s="394"/>
      <c r="AV1176" s="394"/>
      <c r="AW1176" s="394"/>
      <c r="AX1176" s="394"/>
      <c r="AY1176" s="394"/>
      <c r="AZ1176" s="394"/>
      <c r="BA1176" s="394"/>
      <c r="BB1176" s="394"/>
      <c r="BC1176" s="394"/>
      <c r="BD1176" s="381"/>
      <c r="BE1176" s="408"/>
      <c r="BF1176" s="385"/>
      <c r="BG1176" s="475"/>
      <c r="BH1176" s="395"/>
      <c r="BI1176" s="395" t="e">
        <f t="shared" si="859"/>
        <v>#DIV/0!</v>
      </c>
    </row>
    <row r="1177" spans="1:61" s="358" customFormat="1" ht="19.2" x14ac:dyDescent="0.3">
      <c r="A1177" s="359" t="s">
        <v>1976</v>
      </c>
      <c r="B1177" s="572" t="s">
        <v>3719</v>
      </c>
      <c r="C1177" s="546" t="s">
        <v>2805</v>
      </c>
      <c r="D1177" s="360">
        <v>0.22</v>
      </c>
      <c r="E1177" s="393"/>
      <c r="F1177" s="523"/>
      <c r="G1177" s="393"/>
      <c r="H1177" s="573"/>
      <c r="I1177" s="394"/>
      <c r="J1177" s="394"/>
      <c r="K1177" s="394"/>
      <c r="L1177" s="394"/>
      <c r="M1177" s="394"/>
      <c r="N1177" s="394"/>
      <c r="O1177" s="394"/>
      <c r="P1177" s="394"/>
      <c r="Q1177" s="394"/>
      <c r="R1177" s="381"/>
      <c r="S1177" s="408"/>
      <c r="T1177" s="385"/>
      <c r="U1177" s="475"/>
      <c r="V1177" s="395"/>
      <c r="W1177" s="395"/>
      <c r="X1177" s="393"/>
      <c r="Y1177" s="523">
        <v>1</v>
      </c>
      <c r="Z1177" s="393"/>
      <c r="AA1177" s="573">
        <v>6.9098199999999999</v>
      </c>
      <c r="AB1177" s="394">
        <v>6.4418800000000003</v>
      </c>
      <c r="AC1177" s="394">
        <v>6.2995099999999997</v>
      </c>
      <c r="AD1177" s="394"/>
      <c r="AE1177" s="394"/>
      <c r="AF1177" s="394">
        <v>0</v>
      </c>
      <c r="AG1177" s="394">
        <v>0</v>
      </c>
      <c r="AH1177" s="394">
        <v>0.10909000000000001</v>
      </c>
      <c r="AI1177" s="394">
        <v>6.2995099999999997</v>
      </c>
      <c r="AJ1177" s="394"/>
      <c r="AK1177" s="381" t="s">
        <v>167</v>
      </c>
      <c r="AL1177" s="408" t="s">
        <v>175</v>
      </c>
      <c r="AM1177" s="385"/>
      <c r="AN1177" s="475">
        <v>727</v>
      </c>
      <c r="AO1177" s="395"/>
      <c r="AP1177" s="395">
        <f t="shared" si="858"/>
        <v>6.9098199999999999</v>
      </c>
      <c r="AQ1177" s="393"/>
      <c r="AR1177" s="523"/>
      <c r="AS1177" s="393"/>
      <c r="AT1177" s="573"/>
      <c r="AU1177" s="394"/>
      <c r="AV1177" s="394"/>
      <c r="AW1177" s="394"/>
      <c r="AX1177" s="394"/>
      <c r="AY1177" s="394"/>
      <c r="AZ1177" s="394"/>
      <c r="BA1177" s="394"/>
      <c r="BB1177" s="394"/>
      <c r="BC1177" s="394"/>
      <c r="BD1177" s="381"/>
      <c r="BE1177" s="408"/>
      <c r="BF1177" s="385"/>
      <c r="BG1177" s="475"/>
      <c r="BH1177" s="395"/>
      <c r="BI1177" s="395" t="e">
        <f t="shared" si="859"/>
        <v>#DIV/0!</v>
      </c>
    </row>
    <row r="1178" spans="1:61" s="358" customFormat="1" ht="19.2" x14ac:dyDescent="0.3">
      <c r="A1178" s="359" t="s">
        <v>1977</v>
      </c>
      <c r="B1178" s="572" t="s">
        <v>3720</v>
      </c>
      <c r="C1178" s="546" t="s">
        <v>2806</v>
      </c>
      <c r="D1178" s="360">
        <v>0.22</v>
      </c>
      <c r="E1178" s="393"/>
      <c r="F1178" s="523"/>
      <c r="G1178" s="393"/>
      <c r="H1178" s="573"/>
      <c r="I1178" s="394"/>
      <c r="J1178" s="394"/>
      <c r="K1178" s="394"/>
      <c r="L1178" s="394"/>
      <c r="M1178" s="394"/>
      <c r="N1178" s="394"/>
      <c r="O1178" s="394"/>
      <c r="P1178" s="394"/>
      <c r="Q1178" s="394"/>
      <c r="R1178" s="381"/>
      <c r="S1178" s="408"/>
      <c r="T1178" s="385"/>
      <c r="U1178" s="475"/>
      <c r="V1178" s="395"/>
      <c r="W1178" s="395"/>
      <c r="X1178" s="393"/>
      <c r="Y1178" s="523">
        <v>1</v>
      </c>
      <c r="Z1178" s="393"/>
      <c r="AA1178" s="573">
        <v>10.21998</v>
      </c>
      <c r="AB1178" s="394">
        <v>7.2971700000000004</v>
      </c>
      <c r="AC1178" s="394">
        <v>6.2995099999999997</v>
      </c>
      <c r="AD1178" s="394"/>
      <c r="AE1178" s="394"/>
      <c r="AF1178" s="394">
        <v>0</v>
      </c>
      <c r="AG1178" s="394">
        <v>0</v>
      </c>
      <c r="AH1178" s="394">
        <v>0.68139000000000005</v>
      </c>
      <c r="AI1178" s="394">
        <v>6.2995099999999997</v>
      </c>
      <c r="AJ1178" s="394"/>
      <c r="AK1178" s="381" t="s">
        <v>167</v>
      </c>
      <c r="AL1178" s="408" t="s">
        <v>175</v>
      </c>
      <c r="AM1178" s="385"/>
      <c r="AN1178" s="475">
        <v>728</v>
      </c>
      <c r="AO1178" s="395"/>
      <c r="AP1178" s="395">
        <f t="shared" si="858"/>
        <v>10.21998</v>
      </c>
      <c r="AQ1178" s="393"/>
      <c r="AR1178" s="523"/>
      <c r="AS1178" s="393"/>
      <c r="AT1178" s="573"/>
      <c r="AU1178" s="394"/>
      <c r="AV1178" s="394"/>
      <c r="AW1178" s="394"/>
      <c r="AX1178" s="394"/>
      <c r="AY1178" s="394"/>
      <c r="AZ1178" s="394"/>
      <c r="BA1178" s="394"/>
      <c r="BB1178" s="394"/>
      <c r="BC1178" s="394"/>
      <c r="BD1178" s="381"/>
      <c r="BE1178" s="408"/>
      <c r="BF1178" s="385"/>
      <c r="BG1178" s="475"/>
      <c r="BH1178" s="395"/>
      <c r="BI1178" s="395" t="e">
        <f t="shared" si="859"/>
        <v>#DIV/0!</v>
      </c>
    </row>
    <row r="1179" spans="1:61" s="358" customFormat="1" ht="19.2" x14ac:dyDescent="0.3">
      <c r="A1179" s="359" t="s">
        <v>1978</v>
      </c>
      <c r="B1179" s="572" t="s">
        <v>3721</v>
      </c>
      <c r="C1179" s="546" t="s">
        <v>2807</v>
      </c>
      <c r="D1179" s="360">
        <v>0.22</v>
      </c>
      <c r="E1179" s="393"/>
      <c r="F1179" s="523"/>
      <c r="G1179" s="393"/>
      <c r="H1179" s="573"/>
      <c r="I1179" s="394"/>
      <c r="J1179" s="394"/>
      <c r="K1179" s="394"/>
      <c r="L1179" s="394"/>
      <c r="M1179" s="394"/>
      <c r="N1179" s="394"/>
      <c r="O1179" s="394"/>
      <c r="P1179" s="394"/>
      <c r="Q1179" s="394"/>
      <c r="R1179" s="381"/>
      <c r="S1179" s="408"/>
      <c r="T1179" s="385"/>
      <c r="U1179" s="475"/>
      <c r="V1179" s="395"/>
      <c r="W1179" s="395"/>
      <c r="X1179" s="393"/>
      <c r="Y1179" s="523">
        <v>1</v>
      </c>
      <c r="Z1179" s="393"/>
      <c r="AA1179" s="573">
        <v>6.9098100000000002</v>
      </c>
      <c r="AB1179" s="394">
        <v>6.4418699999999998</v>
      </c>
      <c r="AC1179" s="394">
        <v>6.2995099999999997</v>
      </c>
      <c r="AD1179" s="394"/>
      <c r="AE1179" s="394"/>
      <c r="AF1179" s="394">
        <v>0</v>
      </c>
      <c r="AG1179" s="394">
        <v>0</v>
      </c>
      <c r="AH1179" s="394">
        <v>0.10909000000000001</v>
      </c>
      <c r="AI1179" s="394">
        <v>6.2995099999999997</v>
      </c>
      <c r="AJ1179" s="394"/>
      <c r="AK1179" s="381" t="s">
        <v>167</v>
      </c>
      <c r="AL1179" s="408" t="s">
        <v>175</v>
      </c>
      <c r="AM1179" s="385"/>
      <c r="AN1179" s="475">
        <v>729</v>
      </c>
      <c r="AO1179" s="395"/>
      <c r="AP1179" s="395">
        <f t="shared" si="858"/>
        <v>6.9098100000000002</v>
      </c>
      <c r="AQ1179" s="393"/>
      <c r="AR1179" s="523"/>
      <c r="AS1179" s="393"/>
      <c r="AT1179" s="573"/>
      <c r="AU1179" s="394"/>
      <c r="AV1179" s="394"/>
      <c r="AW1179" s="394"/>
      <c r="AX1179" s="394"/>
      <c r="AY1179" s="394"/>
      <c r="AZ1179" s="394"/>
      <c r="BA1179" s="394"/>
      <c r="BB1179" s="394"/>
      <c r="BC1179" s="394"/>
      <c r="BD1179" s="381"/>
      <c r="BE1179" s="408"/>
      <c r="BF1179" s="385"/>
      <c r="BG1179" s="475"/>
      <c r="BH1179" s="395"/>
      <c r="BI1179" s="395" t="e">
        <f t="shared" si="859"/>
        <v>#DIV/0!</v>
      </c>
    </row>
    <row r="1180" spans="1:61" s="358" customFormat="1" ht="19.2" x14ac:dyDescent="0.3">
      <c r="A1180" s="359" t="s">
        <v>1979</v>
      </c>
      <c r="B1180" s="572" t="s">
        <v>3722</v>
      </c>
      <c r="C1180" s="546" t="s">
        <v>2808</v>
      </c>
      <c r="D1180" s="360">
        <v>0.22</v>
      </c>
      <c r="E1180" s="393"/>
      <c r="F1180" s="523"/>
      <c r="G1180" s="393"/>
      <c r="H1180" s="573"/>
      <c r="I1180" s="394"/>
      <c r="J1180" s="394"/>
      <c r="K1180" s="394"/>
      <c r="L1180" s="394"/>
      <c r="M1180" s="394"/>
      <c r="N1180" s="394"/>
      <c r="O1180" s="394"/>
      <c r="P1180" s="394"/>
      <c r="Q1180" s="394"/>
      <c r="R1180" s="381"/>
      <c r="S1180" s="408"/>
      <c r="T1180" s="385"/>
      <c r="U1180" s="475"/>
      <c r="V1180" s="395"/>
      <c r="W1180" s="395"/>
      <c r="X1180" s="393"/>
      <c r="Y1180" s="523">
        <v>1</v>
      </c>
      <c r="Z1180" s="393"/>
      <c r="AA1180" s="573">
        <v>7.1398799999999998</v>
      </c>
      <c r="AB1180" s="394">
        <v>6.6719400000000002</v>
      </c>
      <c r="AC1180" s="394">
        <v>6.2995099999999997</v>
      </c>
      <c r="AD1180" s="394"/>
      <c r="AE1180" s="394"/>
      <c r="AF1180" s="394">
        <v>0</v>
      </c>
      <c r="AG1180" s="394">
        <v>0</v>
      </c>
      <c r="AH1180" s="394">
        <v>0.10909000000000001</v>
      </c>
      <c r="AI1180" s="394">
        <v>6.2995099999999997</v>
      </c>
      <c r="AJ1180" s="394"/>
      <c r="AK1180" s="381" t="s">
        <v>167</v>
      </c>
      <c r="AL1180" s="408" t="s">
        <v>175</v>
      </c>
      <c r="AM1180" s="385"/>
      <c r="AN1180" s="475">
        <v>730</v>
      </c>
      <c r="AO1180" s="395"/>
      <c r="AP1180" s="395">
        <f t="shared" si="858"/>
        <v>7.1398799999999998</v>
      </c>
      <c r="AQ1180" s="393"/>
      <c r="AR1180" s="523"/>
      <c r="AS1180" s="393"/>
      <c r="AT1180" s="573"/>
      <c r="AU1180" s="394"/>
      <c r="AV1180" s="394"/>
      <c r="AW1180" s="394"/>
      <c r="AX1180" s="394"/>
      <c r="AY1180" s="394"/>
      <c r="AZ1180" s="394"/>
      <c r="BA1180" s="394"/>
      <c r="BB1180" s="394"/>
      <c r="BC1180" s="394"/>
      <c r="BD1180" s="381"/>
      <c r="BE1180" s="408"/>
      <c r="BF1180" s="385"/>
      <c r="BG1180" s="475"/>
      <c r="BH1180" s="395"/>
      <c r="BI1180" s="395" t="e">
        <f t="shared" si="859"/>
        <v>#DIV/0!</v>
      </c>
    </row>
    <row r="1181" spans="1:61" s="358" customFormat="1" ht="19.2" x14ac:dyDescent="0.3">
      <c r="A1181" s="359" t="s">
        <v>1980</v>
      </c>
      <c r="B1181" s="572" t="s">
        <v>3723</v>
      </c>
      <c r="C1181" s="546" t="s">
        <v>2809</v>
      </c>
      <c r="D1181" s="360">
        <v>0.22</v>
      </c>
      <c r="E1181" s="393"/>
      <c r="F1181" s="523"/>
      <c r="G1181" s="393"/>
      <c r="H1181" s="573"/>
      <c r="I1181" s="394"/>
      <c r="J1181" s="394"/>
      <c r="K1181" s="394"/>
      <c r="L1181" s="394"/>
      <c r="M1181" s="394"/>
      <c r="N1181" s="394"/>
      <c r="O1181" s="394"/>
      <c r="P1181" s="394"/>
      <c r="Q1181" s="394"/>
      <c r="R1181" s="381"/>
      <c r="S1181" s="408"/>
      <c r="T1181" s="385"/>
      <c r="U1181" s="475"/>
      <c r="V1181" s="395"/>
      <c r="W1181" s="395"/>
      <c r="X1181" s="393"/>
      <c r="Y1181" s="523">
        <v>1</v>
      </c>
      <c r="Z1181" s="393"/>
      <c r="AA1181" s="573">
        <v>11.55767</v>
      </c>
      <c r="AB1181" s="394">
        <v>9.3388600000000004</v>
      </c>
      <c r="AC1181" s="394">
        <v>6.2995099999999997</v>
      </c>
      <c r="AD1181" s="394"/>
      <c r="AE1181" s="394"/>
      <c r="AF1181" s="394">
        <v>0</v>
      </c>
      <c r="AG1181" s="394">
        <v>0</v>
      </c>
      <c r="AH1181" s="394">
        <v>0.51727000000000001</v>
      </c>
      <c r="AI1181" s="394">
        <v>6.2995099999999997</v>
      </c>
      <c r="AJ1181" s="394"/>
      <c r="AK1181" s="381" t="s">
        <v>167</v>
      </c>
      <c r="AL1181" s="408" t="s">
        <v>175</v>
      </c>
      <c r="AM1181" s="385"/>
      <c r="AN1181" s="475">
        <v>731</v>
      </c>
      <c r="AO1181" s="395"/>
      <c r="AP1181" s="395">
        <f t="shared" si="858"/>
        <v>11.55767</v>
      </c>
      <c r="AQ1181" s="393"/>
      <c r="AR1181" s="523"/>
      <c r="AS1181" s="393"/>
      <c r="AT1181" s="573"/>
      <c r="AU1181" s="394"/>
      <c r="AV1181" s="394"/>
      <c r="AW1181" s="394"/>
      <c r="AX1181" s="394"/>
      <c r="AY1181" s="394"/>
      <c r="AZ1181" s="394"/>
      <c r="BA1181" s="394"/>
      <c r="BB1181" s="394"/>
      <c r="BC1181" s="394"/>
      <c r="BD1181" s="381"/>
      <c r="BE1181" s="408"/>
      <c r="BF1181" s="385"/>
      <c r="BG1181" s="475"/>
      <c r="BH1181" s="395"/>
      <c r="BI1181" s="395" t="e">
        <f t="shared" si="859"/>
        <v>#DIV/0!</v>
      </c>
    </row>
    <row r="1182" spans="1:61" s="358" customFormat="1" ht="19.2" x14ac:dyDescent="0.3">
      <c r="A1182" s="359" t="s">
        <v>1981</v>
      </c>
      <c r="B1182" s="572" t="s">
        <v>3724</v>
      </c>
      <c r="C1182" s="546" t="s">
        <v>2810</v>
      </c>
      <c r="D1182" s="360">
        <v>0.22</v>
      </c>
      <c r="E1182" s="393"/>
      <c r="F1182" s="523"/>
      <c r="G1182" s="393"/>
      <c r="H1182" s="573"/>
      <c r="I1182" s="394"/>
      <c r="J1182" s="394"/>
      <c r="K1182" s="394"/>
      <c r="L1182" s="394"/>
      <c r="M1182" s="394"/>
      <c r="N1182" s="394"/>
      <c r="O1182" s="394"/>
      <c r="P1182" s="394"/>
      <c r="Q1182" s="394"/>
      <c r="R1182" s="381"/>
      <c r="S1182" s="408"/>
      <c r="T1182" s="385"/>
      <c r="U1182" s="475"/>
      <c r="V1182" s="395"/>
      <c r="W1182" s="395"/>
      <c r="X1182" s="393"/>
      <c r="Y1182" s="523">
        <v>1</v>
      </c>
      <c r="Z1182" s="393"/>
      <c r="AA1182" s="573">
        <v>6.9098100000000002</v>
      </c>
      <c r="AB1182" s="394">
        <v>6.4418699999999998</v>
      </c>
      <c r="AC1182" s="394">
        <v>6.2995099999999997</v>
      </c>
      <c r="AD1182" s="394"/>
      <c r="AE1182" s="394"/>
      <c r="AF1182" s="394">
        <v>0</v>
      </c>
      <c r="AG1182" s="394">
        <v>0</v>
      </c>
      <c r="AH1182" s="394">
        <v>0.10909000000000001</v>
      </c>
      <c r="AI1182" s="394">
        <v>6.2995099999999997</v>
      </c>
      <c r="AJ1182" s="394"/>
      <c r="AK1182" s="381" t="s">
        <v>167</v>
      </c>
      <c r="AL1182" s="408" t="s">
        <v>175</v>
      </c>
      <c r="AM1182" s="385"/>
      <c r="AN1182" s="475">
        <v>732</v>
      </c>
      <c r="AO1182" s="395"/>
      <c r="AP1182" s="395">
        <f t="shared" si="858"/>
        <v>6.9098100000000002</v>
      </c>
      <c r="AQ1182" s="393"/>
      <c r="AR1182" s="523"/>
      <c r="AS1182" s="393"/>
      <c r="AT1182" s="573"/>
      <c r="AU1182" s="394"/>
      <c r="AV1182" s="394"/>
      <c r="AW1182" s="394"/>
      <c r="AX1182" s="394"/>
      <c r="AY1182" s="394"/>
      <c r="AZ1182" s="394"/>
      <c r="BA1182" s="394"/>
      <c r="BB1182" s="394"/>
      <c r="BC1182" s="394"/>
      <c r="BD1182" s="381"/>
      <c r="BE1182" s="408"/>
      <c r="BF1182" s="385"/>
      <c r="BG1182" s="475"/>
      <c r="BH1182" s="395"/>
      <c r="BI1182" s="395" t="e">
        <f t="shared" si="859"/>
        <v>#DIV/0!</v>
      </c>
    </row>
    <row r="1183" spans="1:61" s="358" customFormat="1" ht="19.2" x14ac:dyDescent="0.3">
      <c r="A1183" s="359" t="s">
        <v>1982</v>
      </c>
      <c r="B1183" s="572" t="s">
        <v>3725</v>
      </c>
      <c r="C1183" s="546" t="s">
        <v>2811</v>
      </c>
      <c r="D1183" s="360">
        <v>0.22</v>
      </c>
      <c r="E1183" s="393"/>
      <c r="F1183" s="523"/>
      <c r="G1183" s="393"/>
      <c r="H1183" s="573"/>
      <c r="I1183" s="394"/>
      <c r="J1183" s="394"/>
      <c r="K1183" s="394"/>
      <c r="L1183" s="394"/>
      <c r="M1183" s="394"/>
      <c r="N1183" s="394"/>
      <c r="O1183" s="394"/>
      <c r="P1183" s="394"/>
      <c r="Q1183" s="394"/>
      <c r="R1183" s="381"/>
      <c r="S1183" s="408"/>
      <c r="T1183" s="385"/>
      <c r="U1183" s="475"/>
      <c r="V1183" s="395"/>
      <c r="W1183" s="395"/>
      <c r="X1183" s="393"/>
      <c r="Y1183" s="523">
        <v>1</v>
      </c>
      <c r="Z1183" s="393"/>
      <c r="AA1183" s="573">
        <v>10.21993</v>
      </c>
      <c r="AB1183" s="394">
        <v>7.2971199999999996</v>
      </c>
      <c r="AC1183" s="394">
        <v>6.2995099999999997</v>
      </c>
      <c r="AD1183" s="394"/>
      <c r="AE1183" s="394"/>
      <c r="AF1183" s="394">
        <v>0</v>
      </c>
      <c r="AG1183" s="394">
        <v>0</v>
      </c>
      <c r="AH1183" s="394">
        <v>0.68139000000000005</v>
      </c>
      <c r="AI1183" s="394">
        <v>6.2995099999999997</v>
      </c>
      <c r="AJ1183" s="394"/>
      <c r="AK1183" s="381" t="s">
        <v>167</v>
      </c>
      <c r="AL1183" s="408" t="s">
        <v>175</v>
      </c>
      <c r="AM1183" s="385"/>
      <c r="AN1183" s="475">
        <v>733</v>
      </c>
      <c r="AO1183" s="395"/>
      <c r="AP1183" s="395">
        <f t="shared" si="858"/>
        <v>10.21993</v>
      </c>
      <c r="AQ1183" s="393"/>
      <c r="AR1183" s="523"/>
      <c r="AS1183" s="393"/>
      <c r="AT1183" s="573"/>
      <c r="AU1183" s="394"/>
      <c r="AV1183" s="394"/>
      <c r="AW1183" s="394"/>
      <c r="AX1183" s="394"/>
      <c r="AY1183" s="394"/>
      <c r="AZ1183" s="394"/>
      <c r="BA1183" s="394"/>
      <c r="BB1183" s="394"/>
      <c r="BC1183" s="394"/>
      <c r="BD1183" s="381"/>
      <c r="BE1183" s="408"/>
      <c r="BF1183" s="385"/>
      <c r="BG1183" s="475"/>
      <c r="BH1183" s="395"/>
      <c r="BI1183" s="395" t="e">
        <f t="shared" si="859"/>
        <v>#DIV/0!</v>
      </c>
    </row>
    <row r="1184" spans="1:61" s="358" customFormat="1" ht="19.2" x14ac:dyDescent="0.3">
      <c r="A1184" s="359" t="s">
        <v>1999</v>
      </c>
      <c r="B1184" s="572" t="s">
        <v>3726</v>
      </c>
      <c r="C1184" s="546" t="s">
        <v>2812</v>
      </c>
      <c r="D1184" s="360">
        <v>0.22</v>
      </c>
      <c r="E1184" s="393"/>
      <c r="F1184" s="523"/>
      <c r="G1184" s="393"/>
      <c r="H1184" s="573"/>
      <c r="I1184" s="394"/>
      <c r="J1184" s="394"/>
      <c r="K1184" s="394"/>
      <c r="L1184" s="394"/>
      <c r="M1184" s="394"/>
      <c r="N1184" s="394"/>
      <c r="O1184" s="394"/>
      <c r="P1184" s="394"/>
      <c r="Q1184" s="394"/>
      <c r="R1184" s="381"/>
      <c r="S1184" s="408"/>
      <c r="T1184" s="385"/>
      <c r="U1184" s="475"/>
      <c r="V1184" s="395"/>
      <c r="W1184" s="395"/>
      <c r="X1184" s="393"/>
      <c r="Y1184" s="523">
        <v>1</v>
      </c>
      <c r="Z1184" s="393"/>
      <c r="AA1184" s="573">
        <v>11.51671</v>
      </c>
      <c r="AB1184" s="394">
        <v>9.2979000000000003</v>
      </c>
      <c r="AC1184" s="394">
        <v>6.2995099999999997</v>
      </c>
      <c r="AD1184" s="394"/>
      <c r="AE1184" s="394"/>
      <c r="AF1184" s="394">
        <v>0</v>
      </c>
      <c r="AG1184" s="394">
        <v>0</v>
      </c>
      <c r="AH1184" s="394">
        <v>0.51727000000000001</v>
      </c>
      <c r="AI1184" s="394">
        <v>6.2995099999999997</v>
      </c>
      <c r="AJ1184" s="394"/>
      <c r="AK1184" s="381" t="s">
        <v>167</v>
      </c>
      <c r="AL1184" s="408" t="s">
        <v>175</v>
      </c>
      <c r="AM1184" s="385"/>
      <c r="AN1184" s="475">
        <v>734</v>
      </c>
      <c r="AO1184" s="395"/>
      <c r="AP1184" s="395">
        <f t="shared" si="858"/>
        <v>11.51671</v>
      </c>
      <c r="AQ1184" s="393"/>
      <c r="AR1184" s="523"/>
      <c r="AS1184" s="393"/>
      <c r="AT1184" s="573"/>
      <c r="AU1184" s="394"/>
      <c r="AV1184" s="394"/>
      <c r="AW1184" s="394"/>
      <c r="AX1184" s="394"/>
      <c r="AY1184" s="394"/>
      <c r="AZ1184" s="394"/>
      <c r="BA1184" s="394"/>
      <c r="BB1184" s="394"/>
      <c r="BC1184" s="394"/>
      <c r="BD1184" s="381"/>
      <c r="BE1184" s="408"/>
      <c r="BF1184" s="385"/>
      <c r="BG1184" s="475"/>
      <c r="BH1184" s="395"/>
      <c r="BI1184" s="395" t="e">
        <f t="shared" si="859"/>
        <v>#DIV/0!</v>
      </c>
    </row>
    <row r="1185" spans="1:61" s="358" customFormat="1" ht="19.2" x14ac:dyDescent="0.3">
      <c r="A1185" s="359" t="s">
        <v>1984</v>
      </c>
      <c r="B1185" s="572" t="s">
        <v>2428</v>
      </c>
      <c r="C1185" s="546" t="s">
        <v>2427</v>
      </c>
      <c r="D1185" s="360">
        <v>0.22</v>
      </c>
      <c r="E1185" s="393"/>
      <c r="F1185" s="523"/>
      <c r="G1185" s="393"/>
      <c r="H1185" s="573"/>
      <c r="I1185" s="394"/>
      <c r="J1185" s="394"/>
      <c r="K1185" s="394"/>
      <c r="L1185" s="394"/>
      <c r="M1185" s="394"/>
      <c r="N1185" s="394"/>
      <c r="O1185" s="394"/>
      <c r="P1185" s="394"/>
      <c r="Q1185" s="394"/>
      <c r="R1185" s="381"/>
      <c r="S1185" s="408"/>
      <c r="T1185" s="385"/>
      <c r="U1185" s="475"/>
      <c r="V1185" s="395"/>
      <c r="W1185" s="395"/>
      <c r="X1185" s="393"/>
      <c r="Y1185" s="523">
        <v>1</v>
      </c>
      <c r="Z1185" s="393"/>
      <c r="AA1185" s="573">
        <v>10.21998</v>
      </c>
      <c r="AB1185" s="394">
        <v>7.2971700000000004</v>
      </c>
      <c r="AC1185" s="394">
        <v>6.2995099999999997</v>
      </c>
      <c r="AD1185" s="394"/>
      <c r="AE1185" s="394"/>
      <c r="AF1185" s="394">
        <v>0</v>
      </c>
      <c r="AG1185" s="394">
        <v>0</v>
      </c>
      <c r="AH1185" s="394">
        <v>0.68139000000000005</v>
      </c>
      <c r="AI1185" s="394">
        <v>6.2995099999999997</v>
      </c>
      <c r="AJ1185" s="394"/>
      <c r="AK1185" s="381" t="s">
        <v>167</v>
      </c>
      <c r="AL1185" s="408" t="s">
        <v>175</v>
      </c>
      <c r="AM1185" s="385"/>
      <c r="AN1185" s="475">
        <v>735</v>
      </c>
      <c r="AO1185" s="395"/>
      <c r="AP1185" s="395">
        <f t="shared" ref="AP1185:AP1248" si="860">AA1185/Y1185</f>
        <v>10.21998</v>
      </c>
      <c r="AQ1185" s="393"/>
      <c r="AR1185" s="523"/>
      <c r="AS1185" s="393"/>
      <c r="AT1185" s="573"/>
      <c r="AU1185" s="394"/>
      <c r="AV1185" s="394"/>
      <c r="AW1185" s="394"/>
      <c r="AX1185" s="394"/>
      <c r="AY1185" s="394"/>
      <c r="AZ1185" s="394"/>
      <c r="BA1185" s="394"/>
      <c r="BB1185" s="394"/>
      <c r="BC1185" s="394"/>
      <c r="BD1185" s="381"/>
      <c r="BE1185" s="408"/>
      <c r="BF1185" s="385"/>
      <c r="BG1185" s="475"/>
      <c r="BH1185" s="395"/>
      <c r="BI1185" s="395" t="e">
        <f t="shared" si="859"/>
        <v>#DIV/0!</v>
      </c>
    </row>
    <row r="1186" spans="1:61" s="358" customFormat="1" ht="19.2" x14ac:dyDescent="0.3">
      <c r="A1186" s="359" t="s">
        <v>1985</v>
      </c>
      <c r="B1186" s="572" t="s">
        <v>3727</v>
      </c>
      <c r="C1186" s="546" t="s">
        <v>2813</v>
      </c>
      <c r="D1186" s="360">
        <v>0.22</v>
      </c>
      <c r="E1186" s="393"/>
      <c r="F1186" s="523"/>
      <c r="G1186" s="393"/>
      <c r="H1186" s="573"/>
      <c r="I1186" s="394"/>
      <c r="J1186" s="394"/>
      <c r="K1186" s="394"/>
      <c r="L1186" s="394"/>
      <c r="M1186" s="394"/>
      <c r="N1186" s="394"/>
      <c r="O1186" s="394"/>
      <c r="P1186" s="394"/>
      <c r="Q1186" s="394"/>
      <c r="R1186" s="381"/>
      <c r="S1186" s="408"/>
      <c r="T1186" s="385"/>
      <c r="U1186" s="475"/>
      <c r="V1186" s="395"/>
      <c r="W1186" s="395"/>
      <c r="X1186" s="393"/>
      <c r="Y1186" s="523">
        <v>1</v>
      </c>
      <c r="Z1186" s="393"/>
      <c r="AA1186" s="573">
        <v>10.219950000000001</v>
      </c>
      <c r="AB1186" s="394">
        <v>7.2971399999999997</v>
      </c>
      <c r="AC1186" s="394">
        <v>6.2995099999999997</v>
      </c>
      <c r="AD1186" s="394"/>
      <c r="AE1186" s="394"/>
      <c r="AF1186" s="394">
        <v>0</v>
      </c>
      <c r="AG1186" s="394">
        <v>0</v>
      </c>
      <c r="AH1186" s="394">
        <v>0.68139000000000005</v>
      </c>
      <c r="AI1186" s="394">
        <v>6.2995099999999997</v>
      </c>
      <c r="AJ1186" s="394"/>
      <c r="AK1186" s="381" t="s">
        <v>167</v>
      </c>
      <c r="AL1186" s="408" t="s">
        <v>175</v>
      </c>
      <c r="AM1186" s="385"/>
      <c r="AN1186" s="475">
        <v>736</v>
      </c>
      <c r="AO1186" s="395"/>
      <c r="AP1186" s="395">
        <f t="shared" si="860"/>
        <v>10.219950000000001</v>
      </c>
      <c r="AQ1186" s="393"/>
      <c r="AR1186" s="523"/>
      <c r="AS1186" s="393"/>
      <c r="AT1186" s="573"/>
      <c r="AU1186" s="394"/>
      <c r="AV1186" s="394"/>
      <c r="AW1186" s="394"/>
      <c r="AX1186" s="394"/>
      <c r="AY1186" s="394"/>
      <c r="AZ1186" s="394"/>
      <c r="BA1186" s="394"/>
      <c r="BB1186" s="394"/>
      <c r="BC1186" s="394"/>
      <c r="BD1186" s="381"/>
      <c r="BE1186" s="408"/>
      <c r="BF1186" s="385"/>
      <c r="BG1186" s="475"/>
      <c r="BH1186" s="395"/>
      <c r="BI1186" s="395" t="e">
        <f t="shared" si="859"/>
        <v>#DIV/0!</v>
      </c>
    </row>
    <row r="1187" spans="1:61" s="358" customFormat="1" ht="19.2" x14ac:dyDescent="0.3">
      <c r="A1187" s="359" t="s">
        <v>1970</v>
      </c>
      <c r="B1187" s="572" t="s">
        <v>3728</v>
      </c>
      <c r="C1187" s="546" t="s">
        <v>2814</v>
      </c>
      <c r="D1187" s="360">
        <v>0.22</v>
      </c>
      <c r="E1187" s="393"/>
      <c r="F1187" s="523"/>
      <c r="G1187" s="393"/>
      <c r="H1187" s="573"/>
      <c r="I1187" s="394"/>
      <c r="J1187" s="394"/>
      <c r="K1187" s="394"/>
      <c r="L1187" s="394"/>
      <c r="M1187" s="394"/>
      <c r="N1187" s="394"/>
      <c r="O1187" s="394"/>
      <c r="P1187" s="394"/>
      <c r="Q1187" s="394"/>
      <c r="R1187" s="381"/>
      <c r="S1187" s="408"/>
      <c r="T1187" s="385"/>
      <c r="U1187" s="475"/>
      <c r="V1187" s="395"/>
      <c r="W1187" s="395"/>
      <c r="X1187" s="393"/>
      <c r="Y1187" s="523">
        <v>1</v>
      </c>
      <c r="Z1187" s="393"/>
      <c r="AA1187" s="573">
        <v>10.219939999999999</v>
      </c>
      <c r="AB1187" s="394">
        <v>7.2971300000000001</v>
      </c>
      <c r="AC1187" s="394">
        <v>6.2995099999999997</v>
      </c>
      <c r="AD1187" s="394"/>
      <c r="AE1187" s="394"/>
      <c r="AF1187" s="394">
        <v>0</v>
      </c>
      <c r="AG1187" s="394">
        <v>0</v>
      </c>
      <c r="AH1187" s="394">
        <v>0.68139000000000005</v>
      </c>
      <c r="AI1187" s="394">
        <v>6.2995099999999997</v>
      </c>
      <c r="AJ1187" s="394"/>
      <c r="AK1187" s="381" t="s">
        <v>167</v>
      </c>
      <c r="AL1187" s="408" t="s">
        <v>175</v>
      </c>
      <c r="AM1187" s="385"/>
      <c r="AN1187" s="475">
        <v>737</v>
      </c>
      <c r="AO1187" s="395"/>
      <c r="AP1187" s="395">
        <f t="shared" si="860"/>
        <v>10.219939999999999</v>
      </c>
      <c r="AQ1187" s="393"/>
      <c r="AR1187" s="523"/>
      <c r="AS1187" s="393"/>
      <c r="AT1187" s="573"/>
      <c r="AU1187" s="394"/>
      <c r="AV1187" s="394"/>
      <c r="AW1187" s="394"/>
      <c r="AX1187" s="394"/>
      <c r="AY1187" s="394"/>
      <c r="AZ1187" s="394"/>
      <c r="BA1187" s="394"/>
      <c r="BB1187" s="394"/>
      <c r="BC1187" s="394"/>
      <c r="BD1187" s="381"/>
      <c r="BE1187" s="408"/>
      <c r="BF1187" s="385"/>
      <c r="BG1187" s="475"/>
      <c r="BH1187" s="395"/>
      <c r="BI1187" s="395" t="e">
        <f t="shared" si="859"/>
        <v>#DIV/0!</v>
      </c>
    </row>
    <row r="1188" spans="1:61" s="358" customFormat="1" ht="19.2" x14ac:dyDescent="0.3">
      <c r="A1188" s="359" t="s">
        <v>2003</v>
      </c>
      <c r="B1188" s="572" t="s">
        <v>1711</v>
      </c>
      <c r="C1188" s="546" t="s">
        <v>2815</v>
      </c>
      <c r="D1188" s="360">
        <v>0.22</v>
      </c>
      <c r="E1188" s="393"/>
      <c r="F1188" s="523"/>
      <c r="G1188" s="393"/>
      <c r="H1188" s="573"/>
      <c r="I1188" s="394"/>
      <c r="J1188" s="394"/>
      <c r="K1188" s="394"/>
      <c r="L1188" s="394"/>
      <c r="M1188" s="394"/>
      <c r="N1188" s="394"/>
      <c r="O1188" s="394"/>
      <c r="P1188" s="394"/>
      <c r="Q1188" s="394"/>
      <c r="R1188" s="381"/>
      <c r="S1188" s="408"/>
      <c r="T1188" s="385"/>
      <c r="U1188" s="475"/>
      <c r="V1188" s="395"/>
      <c r="W1188" s="395"/>
      <c r="X1188" s="393"/>
      <c r="Y1188" s="523">
        <v>1</v>
      </c>
      <c r="Z1188" s="393"/>
      <c r="AA1188" s="573">
        <v>6.9098199999999999</v>
      </c>
      <c r="AB1188" s="394">
        <v>6.4418800000000003</v>
      </c>
      <c r="AC1188" s="394">
        <v>6.2995099999999997</v>
      </c>
      <c r="AD1188" s="394"/>
      <c r="AE1188" s="394"/>
      <c r="AF1188" s="394">
        <v>0</v>
      </c>
      <c r="AG1188" s="394">
        <v>0</v>
      </c>
      <c r="AH1188" s="394">
        <v>0.10909000000000001</v>
      </c>
      <c r="AI1188" s="394">
        <v>6.2995099999999997</v>
      </c>
      <c r="AJ1188" s="394"/>
      <c r="AK1188" s="381" t="s">
        <v>167</v>
      </c>
      <c r="AL1188" s="408" t="s">
        <v>175</v>
      </c>
      <c r="AM1188" s="385"/>
      <c r="AN1188" s="475">
        <v>738</v>
      </c>
      <c r="AO1188" s="395"/>
      <c r="AP1188" s="395">
        <f t="shared" si="860"/>
        <v>6.9098199999999999</v>
      </c>
      <c r="AQ1188" s="393"/>
      <c r="AR1188" s="523"/>
      <c r="AS1188" s="393"/>
      <c r="AT1188" s="573"/>
      <c r="AU1188" s="394"/>
      <c r="AV1188" s="394"/>
      <c r="AW1188" s="394"/>
      <c r="AX1188" s="394"/>
      <c r="AY1188" s="394"/>
      <c r="AZ1188" s="394"/>
      <c r="BA1188" s="394"/>
      <c r="BB1188" s="394"/>
      <c r="BC1188" s="394"/>
      <c r="BD1188" s="381"/>
      <c r="BE1188" s="408"/>
      <c r="BF1188" s="385"/>
      <c r="BG1188" s="475"/>
      <c r="BH1188" s="395"/>
      <c r="BI1188" s="395" t="e">
        <f t="shared" si="859"/>
        <v>#DIV/0!</v>
      </c>
    </row>
    <row r="1189" spans="1:61" s="358" customFormat="1" ht="19.2" x14ac:dyDescent="0.3">
      <c r="A1189" s="359" t="s">
        <v>1988</v>
      </c>
      <c r="B1189" s="572" t="s">
        <v>3729</v>
      </c>
      <c r="C1189" s="546" t="s">
        <v>2816</v>
      </c>
      <c r="D1189" s="360">
        <v>0.22</v>
      </c>
      <c r="E1189" s="393"/>
      <c r="F1189" s="523"/>
      <c r="G1189" s="393"/>
      <c r="H1189" s="573"/>
      <c r="I1189" s="394"/>
      <c r="J1189" s="394"/>
      <c r="K1189" s="394"/>
      <c r="L1189" s="394"/>
      <c r="M1189" s="394"/>
      <c r="N1189" s="394"/>
      <c r="O1189" s="394"/>
      <c r="P1189" s="394"/>
      <c r="Q1189" s="394"/>
      <c r="R1189" s="381"/>
      <c r="S1189" s="408"/>
      <c r="T1189" s="385"/>
      <c r="U1189" s="475"/>
      <c r="V1189" s="395"/>
      <c r="W1189" s="395"/>
      <c r="X1189" s="393"/>
      <c r="Y1189" s="523">
        <v>1</v>
      </c>
      <c r="Z1189" s="393"/>
      <c r="AA1189" s="573">
        <v>10.21998</v>
      </c>
      <c r="AB1189" s="394">
        <v>7.2971700000000004</v>
      </c>
      <c r="AC1189" s="394">
        <v>6.2995099999999997</v>
      </c>
      <c r="AD1189" s="394"/>
      <c r="AE1189" s="394"/>
      <c r="AF1189" s="394">
        <v>0</v>
      </c>
      <c r="AG1189" s="394">
        <v>0</v>
      </c>
      <c r="AH1189" s="394">
        <v>0.68139000000000005</v>
      </c>
      <c r="AI1189" s="394">
        <v>6.2995099999999997</v>
      </c>
      <c r="AJ1189" s="394"/>
      <c r="AK1189" s="381" t="s">
        <v>167</v>
      </c>
      <c r="AL1189" s="408" t="s">
        <v>175</v>
      </c>
      <c r="AM1189" s="385"/>
      <c r="AN1189" s="475">
        <v>739</v>
      </c>
      <c r="AO1189" s="395"/>
      <c r="AP1189" s="395">
        <f t="shared" si="860"/>
        <v>10.21998</v>
      </c>
      <c r="AQ1189" s="393"/>
      <c r="AR1189" s="523"/>
      <c r="AS1189" s="393"/>
      <c r="AT1189" s="573"/>
      <c r="AU1189" s="394"/>
      <c r="AV1189" s="394"/>
      <c r="AW1189" s="394"/>
      <c r="AX1189" s="394"/>
      <c r="AY1189" s="394"/>
      <c r="AZ1189" s="394"/>
      <c r="BA1189" s="394"/>
      <c r="BB1189" s="394"/>
      <c r="BC1189" s="394"/>
      <c r="BD1189" s="381"/>
      <c r="BE1189" s="408"/>
      <c r="BF1189" s="385"/>
      <c r="BG1189" s="475"/>
      <c r="BH1189" s="395"/>
      <c r="BI1189" s="395" t="e">
        <f t="shared" si="859"/>
        <v>#DIV/0!</v>
      </c>
    </row>
    <row r="1190" spans="1:61" s="358" customFormat="1" ht="19.2" x14ac:dyDescent="0.3">
      <c r="A1190" s="359" t="s">
        <v>1989</v>
      </c>
      <c r="B1190" s="572" t="s">
        <v>2337</v>
      </c>
      <c r="C1190" s="546" t="s">
        <v>2336</v>
      </c>
      <c r="D1190" s="360">
        <v>0.22</v>
      </c>
      <c r="E1190" s="393"/>
      <c r="F1190" s="523"/>
      <c r="G1190" s="393"/>
      <c r="H1190" s="573"/>
      <c r="I1190" s="394"/>
      <c r="J1190" s="394"/>
      <c r="K1190" s="394"/>
      <c r="L1190" s="394"/>
      <c r="M1190" s="394"/>
      <c r="N1190" s="394"/>
      <c r="O1190" s="394"/>
      <c r="P1190" s="394"/>
      <c r="Q1190" s="394"/>
      <c r="R1190" s="381"/>
      <c r="S1190" s="408"/>
      <c r="T1190" s="385"/>
      <c r="U1190" s="475"/>
      <c r="V1190" s="395"/>
      <c r="W1190" s="395"/>
      <c r="X1190" s="393"/>
      <c r="Y1190" s="523">
        <v>1</v>
      </c>
      <c r="Z1190" s="393"/>
      <c r="AA1190" s="573">
        <v>51.417189999999998</v>
      </c>
      <c r="AB1190" s="394">
        <v>42.036459999999998</v>
      </c>
      <c r="AC1190" s="394">
        <v>6.2995099999999997</v>
      </c>
      <c r="AD1190" s="394">
        <v>25.472519999999999</v>
      </c>
      <c r="AE1190" s="394"/>
      <c r="AF1190" s="394">
        <v>0</v>
      </c>
      <c r="AG1190" s="394">
        <v>0</v>
      </c>
      <c r="AH1190" s="394">
        <v>2.1869200000000002</v>
      </c>
      <c r="AI1190" s="394">
        <v>6.2995099999999997</v>
      </c>
      <c r="AJ1190" s="394">
        <v>12.73626</v>
      </c>
      <c r="AK1190" s="381" t="s">
        <v>167</v>
      </c>
      <c r="AL1190" s="408" t="s">
        <v>175</v>
      </c>
      <c r="AM1190" s="385"/>
      <c r="AN1190" s="475">
        <v>740</v>
      </c>
      <c r="AO1190" s="395"/>
      <c r="AP1190" s="395">
        <f t="shared" si="860"/>
        <v>51.417189999999998</v>
      </c>
      <c r="AQ1190" s="393"/>
      <c r="AR1190" s="523"/>
      <c r="AS1190" s="393"/>
      <c r="AT1190" s="573"/>
      <c r="AU1190" s="394"/>
      <c r="AV1190" s="394"/>
      <c r="AW1190" s="394"/>
      <c r="AX1190" s="394"/>
      <c r="AY1190" s="394"/>
      <c r="AZ1190" s="394"/>
      <c r="BA1190" s="394"/>
      <c r="BB1190" s="394"/>
      <c r="BC1190" s="394"/>
      <c r="BD1190" s="381"/>
      <c r="BE1190" s="408"/>
      <c r="BF1190" s="385"/>
      <c r="BG1190" s="475"/>
      <c r="BH1190" s="395"/>
      <c r="BI1190" s="395" t="e">
        <f t="shared" si="859"/>
        <v>#DIV/0!</v>
      </c>
    </row>
    <row r="1191" spans="1:61" s="358" customFormat="1" ht="19.2" x14ac:dyDescent="0.3">
      <c r="A1191" s="359" t="s">
        <v>1990</v>
      </c>
      <c r="B1191" s="572" t="s">
        <v>2345</v>
      </c>
      <c r="C1191" s="546" t="s">
        <v>2344</v>
      </c>
      <c r="D1191" s="360">
        <v>0.22</v>
      </c>
      <c r="E1191" s="393"/>
      <c r="F1191" s="523"/>
      <c r="G1191" s="393"/>
      <c r="H1191" s="573"/>
      <c r="I1191" s="394"/>
      <c r="J1191" s="394"/>
      <c r="K1191" s="394"/>
      <c r="L1191" s="394"/>
      <c r="M1191" s="394"/>
      <c r="N1191" s="394"/>
      <c r="O1191" s="394"/>
      <c r="P1191" s="394"/>
      <c r="Q1191" s="394"/>
      <c r="R1191" s="381"/>
      <c r="S1191" s="408"/>
      <c r="T1191" s="385"/>
      <c r="U1191" s="475"/>
      <c r="V1191" s="395"/>
      <c r="W1191" s="395"/>
      <c r="X1191" s="393"/>
      <c r="Y1191" s="523">
        <v>1</v>
      </c>
      <c r="Z1191" s="393"/>
      <c r="AA1191" s="573">
        <v>6.9098100000000002</v>
      </c>
      <c r="AB1191" s="394">
        <v>6.4418699999999998</v>
      </c>
      <c r="AC1191" s="394">
        <v>6.2995099999999997</v>
      </c>
      <c r="AD1191" s="394"/>
      <c r="AE1191" s="394"/>
      <c r="AF1191" s="394">
        <v>0</v>
      </c>
      <c r="AG1191" s="394">
        <v>0</v>
      </c>
      <c r="AH1191" s="394">
        <v>0.10909000000000001</v>
      </c>
      <c r="AI1191" s="394">
        <v>6.2995099999999997</v>
      </c>
      <c r="AJ1191" s="394"/>
      <c r="AK1191" s="381" t="s">
        <v>167</v>
      </c>
      <c r="AL1191" s="408" t="s">
        <v>175</v>
      </c>
      <c r="AM1191" s="385"/>
      <c r="AN1191" s="475">
        <v>742</v>
      </c>
      <c r="AO1191" s="395"/>
      <c r="AP1191" s="395">
        <f t="shared" si="860"/>
        <v>6.9098100000000002</v>
      </c>
      <c r="AQ1191" s="393"/>
      <c r="AR1191" s="523"/>
      <c r="AS1191" s="393"/>
      <c r="AT1191" s="573"/>
      <c r="AU1191" s="394"/>
      <c r="AV1191" s="394"/>
      <c r="AW1191" s="394"/>
      <c r="AX1191" s="394"/>
      <c r="AY1191" s="394"/>
      <c r="AZ1191" s="394"/>
      <c r="BA1191" s="394"/>
      <c r="BB1191" s="394"/>
      <c r="BC1191" s="394"/>
      <c r="BD1191" s="381"/>
      <c r="BE1191" s="408"/>
      <c r="BF1191" s="385"/>
      <c r="BG1191" s="475"/>
      <c r="BH1191" s="395"/>
      <c r="BI1191" s="395" t="e">
        <f t="shared" si="859"/>
        <v>#DIV/0!</v>
      </c>
    </row>
    <row r="1192" spans="1:61" s="358" customFormat="1" ht="19.2" x14ac:dyDescent="0.3">
      <c r="A1192" s="359" t="s">
        <v>1991</v>
      </c>
      <c r="B1192" s="572" t="s">
        <v>2374</v>
      </c>
      <c r="C1192" s="546" t="s">
        <v>2373</v>
      </c>
      <c r="D1192" s="360">
        <v>0.22</v>
      </c>
      <c r="E1192" s="393"/>
      <c r="F1192" s="523"/>
      <c r="G1192" s="393"/>
      <c r="H1192" s="573"/>
      <c r="I1192" s="394"/>
      <c r="J1192" s="394"/>
      <c r="K1192" s="394"/>
      <c r="L1192" s="394"/>
      <c r="M1192" s="394"/>
      <c r="N1192" s="394"/>
      <c r="O1192" s="394"/>
      <c r="P1192" s="394"/>
      <c r="Q1192" s="394"/>
      <c r="R1192" s="381"/>
      <c r="S1192" s="408"/>
      <c r="T1192" s="385"/>
      <c r="U1192" s="475"/>
      <c r="V1192" s="395"/>
      <c r="W1192" s="395"/>
      <c r="X1192" s="393"/>
      <c r="Y1192" s="523">
        <v>1</v>
      </c>
      <c r="Z1192" s="393"/>
      <c r="AA1192" s="573">
        <v>15.16095</v>
      </c>
      <c r="AB1192" s="394">
        <v>13.91643</v>
      </c>
      <c r="AC1192" s="394">
        <v>6.2995099999999997</v>
      </c>
      <c r="AD1192" s="394"/>
      <c r="AE1192" s="394"/>
      <c r="AF1192" s="394">
        <v>0</v>
      </c>
      <c r="AG1192" s="394">
        <v>0</v>
      </c>
      <c r="AH1192" s="394">
        <v>0.29013</v>
      </c>
      <c r="AI1192" s="394">
        <v>6.2995099999999997</v>
      </c>
      <c r="AJ1192" s="394"/>
      <c r="AK1192" s="381" t="s">
        <v>167</v>
      </c>
      <c r="AL1192" s="408" t="s">
        <v>175</v>
      </c>
      <c r="AM1192" s="385"/>
      <c r="AN1192" s="475">
        <v>743</v>
      </c>
      <c r="AO1192" s="395"/>
      <c r="AP1192" s="395">
        <f t="shared" si="860"/>
        <v>15.16095</v>
      </c>
      <c r="AQ1192" s="393"/>
      <c r="AR1192" s="523"/>
      <c r="AS1192" s="393"/>
      <c r="AT1192" s="573"/>
      <c r="AU1192" s="394"/>
      <c r="AV1192" s="394"/>
      <c r="AW1192" s="394"/>
      <c r="AX1192" s="394"/>
      <c r="AY1192" s="394"/>
      <c r="AZ1192" s="394"/>
      <c r="BA1192" s="394"/>
      <c r="BB1192" s="394"/>
      <c r="BC1192" s="394"/>
      <c r="BD1192" s="381"/>
      <c r="BE1192" s="408"/>
      <c r="BF1192" s="385"/>
      <c r="BG1192" s="475"/>
      <c r="BH1192" s="395"/>
      <c r="BI1192" s="395" t="e">
        <f t="shared" si="859"/>
        <v>#DIV/0!</v>
      </c>
    </row>
    <row r="1193" spans="1:61" s="358" customFormat="1" ht="19.2" x14ac:dyDescent="0.3">
      <c r="A1193" s="359" t="s">
        <v>1992</v>
      </c>
      <c r="B1193" s="572" t="s">
        <v>3730</v>
      </c>
      <c r="C1193" s="546" t="s">
        <v>2817</v>
      </c>
      <c r="D1193" s="360">
        <v>0.22</v>
      </c>
      <c r="E1193" s="393"/>
      <c r="F1193" s="523"/>
      <c r="G1193" s="393"/>
      <c r="H1193" s="573"/>
      <c r="I1193" s="394"/>
      <c r="J1193" s="394"/>
      <c r="K1193" s="394"/>
      <c r="L1193" s="394"/>
      <c r="M1193" s="394"/>
      <c r="N1193" s="394"/>
      <c r="O1193" s="394"/>
      <c r="P1193" s="394"/>
      <c r="Q1193" s="394"/>
      <c r="R1193" s="381"/>
      <c r="S1193" s="408"/>
      <c r="T1193" s="385"/>
      <c r="U1193" s="475"/>
      <c r="V1193" s="395"/>
      <c r="W1193" s="395"/>
      <c r="X1193" s="393"/>
      <c r="Y1193" s="523">
        <v>1</v>
      </c>
      <c r="Z1193" s="393"/>
      <c r="AA1193" s="573">
        <v>10.26346</v>
      </c>
      <c r="AB1193" s="394">
        <v>7.3406500000000001</v>
      </c>
      <c r="AC1193" s="394">
        <v>6.2995000000000001</v>
      </c>
      <c r="AD1193" s="394"/>
      <c r="AE1193" s="394"/>
      <c r="AF1193" s="394">
        <v>0</v>
      </c>
      <c r="AG1193" s="394">
        <v>0</v>
      </c>
      <c r="AH1193" s="394">
        <v>0.68139000000000005</v>
      </c>
      <c r="AI1193" s="394">
        <v>6.2995000000000001</v>
      </c>
      <c r="AJ1193" s="394"/>
      <c r="AK1193" s="381" t="s">
        <v>167</v>
      </c>
      <c r="AL1193" s="408" t="s">
        <v>175</v>
      </c>
      <c r="AM1193" s="385"/>
      <c r="AN1193" s="475">
        <v>744</v>
      </c>
      <c r="AO1193" s="395"/>
      <c r="AP1193" s="395">
        <f t="shared" si="860"/>
        <v>10.26346</v>
      </c>
      <c r="AQ1193" s="393"/>
      <c r="AR1193" s="523"/>
      <c r="AS1193" s="393"/>
      <c r="AT1193" s="573"/>
      <c r="AU1193" s="394"/>
      <c r="AV1193" s="394"/>
      <c r="AW1193" s="394"/>
      <c r="AX1193" s="394"/>
      <c r="AY1193" s="394"/>
      <c r="AZ1193" s="394"/>
      <c r="BA1193" s="394"/>
      <c r="BB1193" s="394"/>
      <c r="BC1193" s="394"/>
      <c r="BD1193" s="381"/>
      <c r="BE1193" s="408"/>
      <c r="BF1193" s="385"/>
      <c r="BG1193" s="475"/>
      <c r="BH1193" s="395"/>
      <c r="BI1193" s="395" t="e">
        <f t="shared" si="859"/>
        <v>#DIV/0!</v>
      </c>
    </row>
    <row r="1194" spans="1:61" s="358" customFormat="1" ht="19.2" x14ac:dyDescent="0.3">
      <c r="A1194" s="359" t="s">
        <v>1993</v>
      </c>
      <c r="B1194" s="572" t="s">
        <v>3731</v>
      </c>
      <c r="C1194" s="546" t="s">
        <v>2818</v>
      </c>
      <c r="D1194" s="360">
        <v>0.22</v>
      </c>
      <c r="E1194" s="393"/>
      <c r="F1194" s="523"/>
      <c r="G1194" s="393"/>
      <c r="H1194" s="573"/>
      <c r="I1194" s="394"/>
      <c r="J1194" s="394"/>
      <c r="K1194" s="394"/>
      <c r="L1194" s="394"/>
      <c r="M1194" s="394"/>
      <c r="N1194" s="394"/>
      <c r="O1194" s="394"/>
      <c r="P1194" s="394"/>
      <c r="Q1194" s="394"/>
      <c r="R1194" s="381"/>
      <c r="S1194" s="408"/>
      <c r="T1194" s="385"/>
      <c r="U1194" s="475"/>
      <c r="V1194" s="395"/>
      <c r="W1194" s="395"/>
      <c r="X1194" s="393"/>
      <c r="Y1194" s="523">
        <v>1</v>
      </c>
      <c r="Z1194" s="393"/>
      <c r="AA1194" s="573">
        <v>10.263450000000001</v>
      </c>
      <c r="AB1194" s="394">
        <v>7.3406399999999996</v>
      </c>
      <c r="AC1194" s="394">
        <v>6.2995000000000001</v>
      </c>
      <c r="AD1194" s="394"/>
      <c r="AE1194" s="394"/>
      <c r="AF1194" s="394">
        <v>0</v>
      </c>
      <c r="AG1194" s="394">
        <v>0</v>
      </c>
      <c r="AH1194" s="394">
        <v>0.68139000000000005</v>
      </c>
      <c r="AI1194" s="394">
        <v>6.2995000000000001</v>
      </c>
      <c r="AJ1194" s="394"/>
      <c r="AK1194" s="381" t="s">
        <v>167</v>
      </c>
      <c r="AL1194" s="408" t="s">
        <v>175</v>
      </c>
      <c r="AM1194" s="385"/>
      <c r="AN1194" s="475">
        <v>745</v>
      </c>
      <c r="AO1194" s="395"/>
      <c r="AP1194" s="395">
        <f t="shared" si="860"/>
        <v>10.263450000000001</v>
      </c>
      <c r="AQ1194" s="393"/>
      <c r="AR1194" s="523"/>
      <c r="AS1194" s="393"/>
      <c r="AT1194" s="573"/>
      <c r="AU1194" s="394"/>
      <c r="AV1194" s="394"/>
      <c r="AW1194" s="394"/>
      <c r="AX1194" s="394"/>
      <c r="AY1194" s="394"/>
      <c r="AZ1194" s="394"/>
      <c r="BA1194" s="394"/>
      <c r="BB1194" s="394"/>
      <c r="BC1194" s="394"/>
      <c r="BD1194" s="381"/>
      <c r="BE1194" s="408"/>
      <c r="BF1194" s="385"/>
      <c r="BG1194" s="475"/>
      <c r="BH1194" s="395"/>
      <c r="BI1194" s="395" t="e">
        <f t="shared" si="859"/>
        <v>#DIV/0!</v>
      </c>
    </row>
    <row r="1195" spans="1:61" s="358" customFormat="1" ht="19.2" x14ac:dyDescent="0.3">
      <c r="A1195" s="359" t="s">
        <v>1994</v>
      </c>
      <c r="B1195" s="572" t="s">
        <v>3732</v>
      </c>
      <c r="C1195" s="546" t="s">
        <v>2819</v>
      </c>
      <c r="D1195" s="360">
        <v>0.22</v>
      </c>
      <c r="E1195" s="393"/>
      <c r="F1195" s="523"/>
      <c r="G1195" s="393"/>
      <c r="H1195" s="573"/>
      <c r="I1195" s="394"/>
      <c r="J1195" s="394"/>
      <c r="K1195" s="394"/>
      <c r="L1195" s="394"/>
      <c r="M1195" s="394"/>
      <c r="N1195" s="394"/>
      <c r="O1195" s="394"/>
      <c r="P1195" s="394"/>
      <c r="Q1195" s="394"/>
      <c r="R1195" s="381"/>
      <c r="S1195" s="408"/>
      <c r="T1195" s="385"/>
      <c r="U1195" s="475"/>
      <c r="V1195" s="395"/>
      <c r="W1195" s="395"/>
      <c r="X1195" s="393"/>
      <c r="Y1195" s="523">
        <v>1</v>
      </c>
      <c r="Z1195" s="393"/>
      <c r="AA1195" s="573">
        <v>10.263439999999999</v>
      </c>
      <c r="AB1195" s="394">
        <v>7.34063</v>
      </c>
      <c r="AC1195" s="394">
        <v>6.2995000000000001</v>
      </c>
      <c r="AD1195" s="394"/>
      <c r="AE1195" s="394"/>
      <c r="AF1195" s="394">
        <v>0</v>
      </c>
      <c r="AG1195" s="394">
        <v>0</v>
      </c>
      <c r="AH1195" s="394">
        <v>0.68139000000000005</v>
      </c>
      <c r="AI1195" s="394">
        <v>6.2995000000000001</v>
      </c>
      <c r="AJ1195" s="394"/>
      <c r="AK1195" s="381" t="s">
        <v>167</v>
      </c>
      <c r="AL1195" s="408" t="s">
        <v>175</v>
      </c>
      <c r="AM1195" s="385"/>
      <c r="AN1195" s="475">
        <v>746</v>
      </c>
      <c r="AO1195" s="395"/>
      <c r="AP1195" s="395">
        <f t="shared" si="860"/>
        <v>10.263439999999999</v>
      </c>
      <c r="AQ1195" s="393"/>
      <c r="AR1195" s="523"/>
      <c r="AS1195" s="393"/>
      <c r="AT1195" s="573"/>
      <c r="AU1195" s="394"/>
      <c r="AV1195" s="394"/>
      <c r="AW1195" s="394"/>
      <c r="AX1195" s="394"/>
      <c r="AY1195" s="394"/>
      <c r="AZ1195" s="394"/>
      <c r="BA1195" s="394"/>
      <c r="BB1195" s="394"/>
      <c r="BC1195" s="394"/>
      <c r="BD1195" s="381"/>
      <c r="BE1195" s="408"/>
      <c r="BF1195" s="385"/>
      <c r="BG1195" s="475"/>
      <c r="BH1195" s="395"/>
      <c r="BI1195" s="395" t="e">
        <f t="shared" si="859"/>
        <v>#DIV/0!</v>
      </c>
    </row>
    <row r="1196" spans="1:61" s="358" customFormat="1" ht="19.2" x14ac:dyDescent="0.3">
      <c r="A1196" s="359" t="s">
        <v>1995</v>
      </c>
      <c r="B1196" s="572" t="s">
        <v>3733</v>
      </c>
      <c r="C1196" s="546" t="s">
        <v>2820</v>
      </c>
      <c r="D1196" s="360">
        <v>0.22</v>
      </c>
      <c r="E1196" s="393"/>
      <c r="F1196" s="523"/>
      <c r="G1196" s="393"/>
      <c r="H1196" s="573"/>
      <c r="I1196" s="394"/>
      <c r="J1196" s="394"/>
      <c r="K1196" s="394"/>
      <c r="L1196" s="394"/>
      <c r="M1196" s="394"/>
      <c r="N1196" s="394"/>
      <c r="O1196" s="394"/>
      <c r="P1196" s="394"/>
      <c r="Q1196" s="394"/>
      <c r="R1196" s="381"/>
      <c r="S1196" s="408"/>
      <c r="T1196" s="385"/>
      <c r="U1196" s="475"/>
      <c r="V1196" s="395"/>
      <c r="W1196" s="395"/>
      <c r="X1196" s="393"/>
      <c r="Y1196" s="523">
        <v>1</v>
      </c>
      <c r="Z1196" s="393"/>
      <c r="AA1196" s="573">
        <v>10.26347</v>
      </c>
      <c r="AB1196" s="394">
        <v>7.3406599999999997</v>
      </c>
      <c r="AC1196" s="394">
        <v>6.2995000000000001</v>
      </c>
      <c r="AD1196" s="394"/>
      <c r="AE1196" s="394"/>
      <c r="AF1196" s="394">
        <v>0</v>
      </c>
      <c r="AG1196" s="394">
        <v>0</v>
      </c>
      <c r="AH1196" s="394">
        <v>0.68139000000000005</v>
      </c>
      <c r="AI1196" s="394">
        <v>6.2995000000000001</v>
      </c>
      <c r="AJ1196" s="394"/>
      <c r="AK1196" s="381" t="s">
        <v>167</v>
      </c>
      <c r="AL1196" s="408" t="s">
        <v>175</v>
      </c>
      <c r="AM1196" s="385"/>
      <c r="AN1196" s="475">
        <v>747</v>
      </c>
      <c r="AO1196" s="395"/>
      <c r="AP1196" s="395">
        <f t="shared" si="860"/>
        <v>10.26347</v>
      </c>
      <c r="AQ1196" s="393"/>
      <c r="AR1196" s="523"/>
      <c r="AS1196" s="393"/>
      <c r="AT1196" s="573"/>
      <c r="AU1196" s="394"/>
      <c r="AV1196" s="394"/>
      <c r="AW1196" s="394"/>
      <c r="AX1196" s="394"/>
      <c r="AY1196" s="394"/>
      <c r="AZ1196" s="394"/>
      <c r="BA1196" s="394"/>
      <c r="BB1196" s="394"/>
      <c r="BC1196" s="394"/>
      <c r="BD1196" s="381"/>
      <c r="BE1196" s="408"/>
      <c r="BF1196" s="385"/>
      <c r="BG1196" s="475"/>
      <c r="BH1196" s="395"/>
      <c r="BI1196" s="395" t="e">
        <f t="shared" ref="BI1196:BI1259" si="861">AT1196/AR1196</f>
        <v>#DIV/0!</v>
      </c>
    </row>
    <row r="1197" spans="1:61" s="358" customFormat="1" ht="19.2" x14ac:dyDescent="0.3">
      <c r="A1197" s="359" t="s">
        <v>1996</v>
      </c>
      <c r="B1197" s="572" t="s">
        <v>3734</v>
      </c>
      <c r="C1197" s="546" t="s">
        <v>2821</v>
      </c>
      <c r="D1197" s="360">
        <v>0.22</v>
      </c>
      <c r="E1197" s="393"/>
      <c r="F1197" s="523"/>
      <c r="G1197" s="393"/>
      <c r="H1197" s="573"/>
      <c r="I1197" s="394"/>
      <c r="J1197" s="394"/>
      <c r="K1197" s="394"/>
      <c r="L1197" s="394"/>
      <c r="M1197" s="394"/>
      <c r="N1197" s="394"/>
      <c r="O1197" s="394"/>
      <c r="P1197" s="394"/>
      <c r="Q1197" s="394"/>
      <c r="R1197" s="381"/>
      <c r="S1197" s="408"/>
      <c r="T1197" s="385"/>
      <c r="U1197" s="475"/>
      <c r="V1197" s="395"/>
      <c r="W1197" s="395"/>
      <c r="X1197" s="393"/>
      <c r="Y1197" s="523">
        <v>1</v>
      </c>
      <c r="Z1197" s="393"/>
      <c r="AA1197" s="573">
        <v>10.263450000000001</v>
      </c>
      <c r="AB1197" s="394">
        <v>7.3406399999999996</v>
      </c>
      <c r="AC1197" s="394">
        <v>6.2995000000000001</v>
      </c>
      <c r="AD1197" s="394"/>
      <c r="AE1197" s="394"/>
      <c r="AF1197" s="394">
        <v>0</v>
      </c>
      <c r="AG1197" s="394">
        <v>0</v>
      </c>
      <c r="AH1197" s="394">
        <v>0.68139000000000005</v>
      </c>
      <c r="AI1197" s="394">
        <v>6.2995000000000001</v>
      </c>
      <c r="AJ1197" s="394"/>
      <c r="AK1197" s="381" t="s">
        <v>167</v>
      </c>
      <c r="AL1197" s="408" t="s">
        <v>175</v>
      </c>
      <c r="AM1197" s="385"/>
      <c r="AN1197" s="475">
        <v>748</v>
      </c>
      <c r="AO1197" s="395"/>
      <c r="AP1197" s="395">
        <f t="shared" si="860"/>
        <v>10.263450000000001</v>
      </c>
      <c r="AQ1197" s="393"/>
      <c r="AR1197" s="523"/>
      <c r="AS1197" s="393"/>
      <c r="AT1197" s="573"/>
      <c r="AU1197" s="394"/>
      <c r="AV1197" s="394"/>
      <c r="AW1197" s="394"/>
      <c r="AX1197" s="394"/>
      <c r="AY1197" s="394"/>
      <c r="AZ1197" s="394"/>
      <c r="BA1197" s="394"/>
      <c r="BB1197" s="394"/>
      <c r="BC1197" s="394"/>
      <c r="BD1197" s="381"/>
      <c r="BE1197" s="408"/>
      <c r="BF1197" s="385"/>
      <c r="BG1197" s="475"/>
      <c r="BH1197" s="395"/>
      <c r="BI1197" s="395" t="e">
        <f t="shared" si="861"/>
        <v>#DIV/0!</v>
      </c>
    </row>
    <row r="1198" spans="1:61" s="358" customFormat="1" ht="19.2" x14ac:dyDescent="0.3">
      <c r="A1198" s="359" t="s">
        <v>1997</v>
      </c>
      <c r="B1198" s="572" t="s">
        <v>3735</v>
      </c>
      <c r="C1198" s="546" t="s">
        <v>2822</v>
      </c>
      <c r="D1198" s="360">
        <v>0.22</v>
      </c>
      <c r="E1198" s="393"/>
      <c r="F1198" s="523"/>
      <c r="G1198" s="393"/>
      <c r="H1198" s="573"/>
      <c r="I1198" s="394"/>
      <c r="J1198" s="394"/>
      <c r="K1198" s="394"/>
      <c r="L1198" s="394"/>
      <c r="M1198" s="394"/>
      <c r="N1198" s="394"/>
      <c r="O1198" s="394"/>
      <c r="P1198" s="394"/>
      <c r="Q1198" s="394"/>
      <c r="R1198" s="381"/>
      <c r="S1198" s="408"/>
      <c r="T1198" s="385"/>
      <c r="U1198" s="475"/>
      <c r="V1198" s="395"/>
      <c r="W1198" s="395"/>
      <c r="X1198" s="393"/>
      <c r="Y1198" s="523">
        <v>1</v>
      </c>
      <c r="Z1198" s="393"/>
      <c r="AA1198" s="573">
        <v>10.263439999999999</v>
      </c>
      <c r="AB1198" s="394">
        <v>7.34063</v>
      </c>
      <c r="AC1198" s="394">
        <v>6.2995000000000001</v>
      </c>
      <c r="AD1198" s="394"/>
      <c r="AE1198" s="394"/>
      <c r="AF1198" s="394">
        <v>0</v>
      </c>
      <c r="AG1198" s="394">
        <v>0</v>
      </c>
      <c r="AH1198" s="394">
        <v>0.68139000000000005</v>
      </c>
      <c r="AI1198" s="394">
        <v>6.2995000000000001</v>
      </c>
      <c r="AJ1198" s="394"/>
      <c r="AK1198" s="381" t="s">
        <v>167</v>
      </c>
      <c r="AL1198" s="408" t="s">
        <v>175</v>
      </c>
      <c r="AM1198" s="385"/>
      <c r="AN1198" s="475">
        <v>749</v>
      </c>
      <c r="AO1198" s="395"/>
      <c r="AP1198" s="395">
        <f t="shared" si="860"/>
        <v>10.263439999999999</v>
      </c>
      <c r="AQ1198" s="393"/>
      <c r="AR1198" s="523"/>
      <c r="AS1198" s="393"/>
      <c r="AT1198" s="573"/>
      <c r="AU1198" s="394"/>
      <c r="AV1198" s="394"/>
      <c r="AW1198" s="394"/>
      <c r="AX1198" s="394"/>
      <c r="AY1198" s="394"/>
      <c r="AZ1198" s="394"/>
      <c r="BA1198" s="394"/>
      <c r="BB1198" s="394"/>
      <c r="BC1198" s="394"/>
      <c r="BD1198" s="381"/>
      <c r="BE1198" s="408"/>
      <c r="BF1198" s="385"/>
      <c r="BG1198" s="475"/>
      <c r="BH1198" s="395"/>
      <c r="BI1198" s="395" t="e">
        <f t="shared" si="861"/>
        <v>#DIV/0!</v>
      </c>
    </row>
    <row r="1199" spans="1:61" s="358" customFormat="1" ht="19.2" x14ac:dyDescent="0.3">
      <c r="A1199" s="359" t="s">
        <v>1998</v>
      </c>
      <c r="B1199" s="572" t="s">
        <v>3736</v>
      </c>
      <c r="C1199" s="546" t="s">
        <v>2823</v>
      </c>
      <c r="D1199" s="360">
        <v>0.22</v>
      </c>
      <c r="E1199" s="393"/>
      <c r="F1199" s="523"/>
      <c r="G1199" s="393"/>
      <c r="H1199" s="573"/>
      <c r="I1199" s="394"/>
      <c r="J1199" s="394"/>
      <c r="K1199" s="394"/>
      <c r="L1199" s="394"/>
      <c r="M1199" s="394"/>
      <c r="N1199" s="394"/>
      <c r="O1199" s="394"/>
      <c r="P1199" s="394"/>
      <c r="Q1199" s="394"/>
      <c r="R1199" s="381"/>
      <c r="S1199" s="408"/>
      <c r="T1199" s="385"/>
      <c r="U1199" s="475"/>
      <c r="V1199" s="395"/>
      <c r="W1199" s="395"/>
      <c r="X1199" s="393"/>
      <c r="Y1199" s="523">
        <v>1</v>
      </c>
      <c r="Z1199" s="393"/>
      <c r="AA1199" s="573">
        <v>10.26346</v>
      </c>
      <c r="AB1199" s="394">
        <v>7.3406500000000001</v>
      </c>
      <c r="AC1199" s="394">
        <v>6.2995000000000001</v>
      </c>
      <c r="AD1199" s="394"/>
      <c r="AE1199" s="394"/>
      <c r="AF1199" s="394">
        <v>0</v>
      </c>
      <c r="AG1199" s="394">
        <v>0</v>
      </c>
      <c r="AH1199" s="394">
        <v>0.68139000000000005</v>
      </c>
      <c r="AI1199" s="394">
        <v>6.2995000000000001</v>
      </c>
      <c r="AJ1199" s="394"/>
      <c r="AK1199" s="381" t="s">
        <v>167</v>
      </c>
      <c r="AL1199" s="408" t="s">
        <v>175</v>
      </c>
      <c r="AM1199" s="385"/>
      <c r="AN1199" s="475">
        <v>750</v>
      </c>
      <c r="AO1199" s="395"/>
      <c r="AP1199" s="395">
        <f t="shared" si="860"/>
        <v>10.26346</v>
      </c>
      <c r="AQ1199" s="393"/>
      <c r="AR1199" s="523"/>
      <c r="AS1199" s="393"/>
      <c r="AT1199" s="573"/>
      <c r="AU1199" s="394"/>
      <c r="AV1199" s="394"/>
      <c r="AW1199" s="394"/>
      <c r="AX1199" s="394"/>
      <c r="AY1199" s="394"/>
      <c r="AZ1199" s="394"/>
      <c r="BA1199" s="394"/>
      <c r="BB1199" s="394"/>
      <c r="BC1199" s="394"/>
      <c r="BD1199" s="381"/>
      <c r="BE1199" s="408"/>
      <c r="BF1199" s="385"/>
      <c r="BG1199" s="475"/>
      <c r="BH1199" s="395"/>
      <c r="BI1199" s="395" t="e">
        <f t="shared" si="861"/>
        <v>#DIV/0!</v>
      </c>
    </row>
    <row r="1200" spans="1:61" s="358" customFormat="1" ht="19.2" x14ac:dyDescent="0.3">
      <c r="A1200" s="359" t="s">
        <v>2015</v>
      </c>
      <c r="B1200" s="572" t="s">
        <v>3737</v>
      </c>
      <c r="C1200" s="546" t="s">
        <v>2824</v>
      </c>
      <c r="D1200" s="360">
        <v>0.22</v>
      </c>
      <c r="E1200" s="393"/>
      <c r="F1200" s="523"/>
      <c r="G1200" s="393"/>
      <c r="H1200" s="573"/>
      <c r="I1200" s="394"/>
      <c r="J1200" s="394"/>
      <c r="K1200" s="394"/>
      <c r="L1200" s="394"/>
      <c r="M1200" s="394"/>
      <c r="N1200" s="394"/>
      <c r="O1200" s="394"/>
      <c r="P1200" s="394"/>
      <c r="Q1200" s="394"/>
      <c r="R1200" s="381"/>
      <c r="S1200" s="408"/>
      <c r="T1200" s="385"/>
      <c r="U1200" s="475"/>
      <c r="V1200" s="395"/>
      <c r="W1200" s="395"/>
      <c r="X1200" s="393"/>
      <c r="Y1200" s="523">
        <v>1</v>
      </c>
      <c r="Z1200" s="393"/>
      <c r="AA1200" s="573">
        <v>10.26346</v>
      </c>
      <c r="AB1200" s="394">
        <v>7.3406500000000001</v>
      </c>
      <c r="AC1200" s="394">
        <v>6.2995000000000001</v>
      </c>
      <c r="AD1200" s="394"/>
      <c r="AE1200" s="394"/>
      <c r="AF1200" s="394">
        <v>0</v>
      </c>
      <c r="AG1200" s="394">
        <v>0</v>
      </c>
      <c r="AH1200" s="394">
        <v>0.68139000000000005</v>
      </c>
      <c r="AI1200" s="394">
        <v>6.2995000000000001</v>
      </c>
      <c r="AJ1200" s="394"/>
      <c r="AK1200" s="381" t="s">
        <v>167</v>
      </c>
      <c r="AL1200" s="408" t="s">
        <v>175</v>
      </c>
      <c r="AM1200" s="385"/>
      <c r="AN1200" s="475">
        <v>751</v>
      </c>
      <c r="AO1200" s="395"/>
      <c r="AP1200" s="395">
        <f t="shared" si="860"/>
        <v>10.26346</v>
      </c>
      <c r="AQ1200" s="393"/>
      <c r="AR1200" s="523"/>
      <c r="AS1200" s="393"/>
      <c r="AT1200" s="573"/>
      <c r="AU1200" s="394"/>
      <c r="AV1200" s="394"/>
      <c r="AW1200" s="394"/>
      <c r="AX1200" s="394"/>
      <c r="AY1200" s="394"/>
      <c r="AZ1200" s="394"/>
      <c r="BA1200" s="394"/>
      <c r="BB1200" s="394"/>
      <c r="BC1200" s="394"/>
      <c r="BD1200" s="381"/>
      <c r="BE1200" s="408"/>
      <c r="BF1200" s="385"/>
      <c r="BG1200" s="475"/>
      <c r="BH1200" s="395"/>
      <c r="BI1200" s="395" t="e">
        <f t="shared" si="861"/>
        <v>#DIV/0!</v>
      </c>
    </row>
    <row r="1201" spans="1:61" s="358" customFormat="1" ht="19.2" x14ac:dyDescent="0.3">
      <c r="A1201" s="359" t="s">
        <v>2000</v>
      </c>
      <c r="B1201" s="572" t="s">
        <v>3738</v>
      </c>
      <c r="C1201" s="546" t="s">
        <v>2825</v>
      </c>
      <c r="D1201" s="360">
        <v>0.22</v>
      </c>
      <c r="E1201" s="393"/>
      <c r="F1201" s="523"/>
      <c r="G1201" s="393"/>
      <c r="H1201" s="573"/>
      <c r="I1201" s="394"/>
      <c r="J1201" s="394"/>
      <c r="K1201" s="394"/>
      <c r="L1201" s="394"/>
      <c r="M1201" s="394"/>
      <c r="N1201" s="394"/>
      <c r="O1201" s="394"/>
      <c r="P1201" s="394"/>
      <c r="Q1201" s="394"/>
      <c r="R1201" s="381"/>
      <c r="S1201" s="408"/>
      <c r="T1201" s="385"/>
      <c r="U1201" s="475"/>
      <c r="V1201" s="395"/>
      <c r="W1201" s="395"/>
      <c r="X1201" s="393"/>
      <c r="Y1201" s="523">
        <v>1</v>
      </c>
      <c r="Z1201" s="393"/>
      <c r="AA1201" s="573">
        <v>10.263450000000001</v>
      </c>
      <c r="AB1201" s="394">
        <v>7.3406399999999996</v>
      </c>
      <c r="AC1201" s="394">
        <v>6.2995000000000001</v>
      </c>
      <c r="AD1201" s="394"/>
      <c r="AE1201" s="394"/>
      <c r="AF1201" s="394">
        <v>0</v>
      </c>
      <c r="AG1201" s="394">
        <v>0</v>
      </c>
      <c r="AH1201" s="394">
        <v>0.68139000000000005</v>
      </c>
      <c r="AI1201" s="394">
        <v>6.2995000000000001</v>
      </c>
      <c r="AJ1201" s="394"/>
      <c r="AK1201" s="381" t="s">
        <v>167</v>
      </c>
      <c r="AL1201" s="408" t="s">
        <v>175</v>
      </c>
      <c r="AM1201" s="385"/>
      <c r="AN1201" s="475">
        <v>752</v>
      </c>
      <c r="AO1201" s="395"/>
      <c r="AP1201" s="395">
        <f t="shared" si="860"/>
        <v>10.263450000000001</v>
      </c>
      <c r="AQ1201" s="393"/>
      <c r="AR1201" s="523"/>
      <c r="AS1201" s="393"/>
      <c r="AT1201" s="573"/>
      <c r="AU1201" s="394"/>
      <c r="AV1201" s="394"/>
      <c r="AW1201" s="394"/>
      <c r="AX1201" s="394"/>
      <c r="AY1201" s="394"/>
      <c r="AZ1201" s="394"/>
      <c r="BA1201" s="394"/>
      <c r="BB1201" s="394"/>
      <c r="BC1201" s="394"/>
      <c r="BD1201" s="381"/>
      <c r="BE1201" s="408"/>
      <c r="BF1201" s="385"/>
      <c r="BG1201" s="475"/>
      <c r="BH1201" s="395"/>
      <c r="BI1201" s="395" t="e">
        <f t="shared" si="861"/>
        <v>#DIV/0!</v>
      </c>
    </row>
    <row r="1202" spans="1:61" s="358" customFormat="1" ht="19.2" x14ac:dyDescent="0.3">
      <c r="A1202" s="359" t="s">
        <v>2001</v>
      </c>
      <c r="B1202" s="572" t="s">
        <v>3739</v>
      </c>
      <c r="C1202" s="546" t="s">
        <v>2826</v>
      </c>
      <c r="D1202" s="360">
        <v>0.22</v>
      </c>
      <c r="E1202" s="393"/>
      <c r="F1202" s="523"/>
      <c r="G1202" s="393"/>
      <c r="H1202" s="573"/>
      <c r="I1202" s="394"/>
      <c r="J1202" s="394"/>
      <c r="K1202" s="394"/>
      <c r="L1202" s="394"/>
      <c r="M1202" s="394"/>
      <c r="N1202" s="394"/>
      <c r="O1202" s="394"/>
      <c r="P1202" s="394"/>
      <c r="Q1202" s="394"/>
      <c r="R1202" s="381"/>
      <c r="S1202" s="408"/>
      <c r="T1202" s="385"/>
      <c r="U1202" s="475"/>
      <c r="V1202" s="395"/>
      <c r="W1202" s="395"/>
      <c r="X1202" s="393"/>
      <c r="Y1202" s="523">
        <v>1</v>
      </c>
      <c r="Z1202" s="393"/>
      <c r="AA1202" s="573">
        <v>10.26346</v>
      </c>
      <c r="AB1202" s="394">
        <v>7.3406500000000001</v>
      </c>
      <c r="AC1202" s="394">
        <v>6.2995000000000001</v>
      </c>
      <c r="AD1202" s="394"/>
      <c r="AE1202" s="394"/>
      <c r="AF1202" s="394">
        <v>0</v>
      </c>
      <c r="AG1202" s="394">
        <v>0</v>
      </c>
      <c r="AH1202" s="394">
        <v>0.68139000000000005</v>
      </c>
      <c r="AI1202" s="394">
        <v>6.2995000000000001</v>
      </c>
      <c r="AJ1202" s="394"/>
      <c r="AK1202" s="381" t="s">
        <v>167</v>
      </c>
      <c r="AL1202" s="408" t="s">
        <v>175</v>
      </c>
      <c r="AM1202" s="385"/>
      <c r="AN1202" s="475">
        <v>753</v>
      </c>
      <c r="AO1202" s="395"/>
      <c r="AP1202" s="395">
        <f t="shared" si="860"/>
        <v>10.26346</v>
      </c>
      <c r="AQ1202" s="393"/>
      <c r="AR1202" s="523"/>
      <c r="AS1202" s="393"/>
      <c r="AT1202" s="573"/>
      <c r="AU1202" s="394"/>
      <c r="AV1202" s="394"/>
      <c r="AW1202" s="394"/>
      <c r="AX1202" s="394"/>
      <c r="AY1202" s="394"/>
      <c r="AZ1202" s="394"/>
      <c r="BA1202" s="394"/>
      <c r="BB1202" s="394"/>
      <c r="BC1202" s="394"/>
      <c r="BD1202" s="381"/>
      <c r="BE1202" s="408"/>
      <c r="BF1202" s="385"/>
      <c r="BG1202" s="475"/>
      <c r="BH1202" s="395"/>
      <c r="BI1202" s="395" t="e">
        <f t="shared" si="861"/>
        <v>#DIV/0!</v>
      </c>
    </row>
    <row r="1203" spans="1:61" s="358" customFormat="1" ht="19.2" x14ac:dyDescent="0.3">
      <c r="A1203" s="359" t="s">
        <v>1986</v>
      </c>
      <c r="B1203" s="572" t="s">
        <v>3740</v>
      </c>
      <c r="C1203" s="546" t="s">
        <v>2827</v>
      </c>
      <c r="D1203" s="360">
        <v>0.22</v>
      </c>
      <c r="E1203" s="393"/>
      <c r="F1203" s="523"/>
      <c r="G1203" s="393"/>
      <c r="H1203" s="573"/>
      <c r="I1203" s="394"/>
      <c r="J1203" s="394"/>
      <c r="K1203" s="394"/>
      <c r="L1203" s="394"/>
      <c r="M1203" s="394"/>
      <c r="N1203" s="394"/>
      <c r="O1203" s="394"/>
      <c r="P1203" s="394"/>
      <c r="Q1203" s="394"/>
      <c r="R1203" s="381"/>
      <c r="S1203" s="408"/>
      <c r="T1203" s="385"/>
      <c r="U1203" s="475"/>
      <c r="V1203" s="395"/>
      <c r="W1203" s="395"/>
      <c r="X1203" s="393"/>
      <c r="Y1203" s="523">
        <v>1</v>
      </c>
      <c r="Z1203" s="393"/>
      <c r="AA1203" s="573">
        <v>10.263450000000001</v>
      </c>
      <c r="AB1203" s="394">
        <v>7.3406399999999996</v>
      </c>
      <c r="AC1203" s="394">
        <v>6.2995000000000001</v>
      </c>
      <c r="AD1203" s="394"/>
      <c r="AE1203" s="394"/>
      <c r="AF1203" s="394">
        <v>0</v>
      </c>
      <c r="AG1203" s="394">
        <v>0</v>
      </c>
      <c r="AH1203" s="394">
        <v>0.68139000000000005</v>
      </c>
      <c r="AI1203" s="394">
        <v>6.2995000000000001</v>
      </c>
      <c r="AJ1203" s="394"/>
      <c r="AK1203" s="381" t="s">
        <v>167</v>
      </c>
      <c r="AL1203" s="408" t="s">
        <v>175</v>
      </c>
      <c r="AM1203" s="385"/>
      <c r="AN1203" s="475">
        <v>754</v>
      </c>
      <c r="AO1203" s="395"/>
      <c r="AP1203" s="395">
        <f t="shared" si="860"/>
        <v>10.263450000000001</v>
      </c>
      <c r="AQ1203" s="393"/>
      <c r="AR1203" s="523"/>
      <c r="AS1203" s="393"/>
      <c r="AT1203" s="573"/>
      <c r="AU1203" s="394"/>
      <c r="AV1203" s="394"/>
      <c r="AW1203" s="394"/>
      <c r="AX1203" s="394"/>
      <c r="AY1203" s="394"/>
      <c r="AZ1203" s="394"/>
      <c r="BA1203" s="394"/>
      <c r="BB1203" s="394"/>
      <c r="BC1203" s="394"/>
      <c r="BD1203" s="381"/>
      <c r="BE1203" s="408"/>
      <c r="BF1203" s="385"/>
      <c r="BG1203" s="475"/>
      <c r="BH1203" s="395"/>
      <c r="BI1203" s="395" t="e">
        <f t="shared" si="861"/>
        <v>#DIV/0!</v>
      </c>
    </row>
    <row r="1204" spans="1:61" s="358" customFormat="1" ht="19.2" x14ac:dyDescent="0.3">
      <c r="A1204" s="359" t="s">
        <v>2019</v>
      </c>
      <c r="B1204" s="572" t="s">
        <v>3741</v>
      </c>
      <c r="C1204" s="546" t="s">
        <v>2828</v>
      </c>
      <c r="D1204" s="360">
        <v>0.22</v>
      </c>
      <c r="E1204" s="393"/>
      <c r="F1204" s="523"/>
      <c r="G1204" s="393"/>
      <c r="H1204" s="573"/>
      <c r="I1204" s="394"/>
      <c r="J1204" s="394"/>
      <c r="K1204" s="394"/>
      <c r="L1204" s="394"/>
      <c r="M1204" s="394"/>
      <c r="N1204" s="394"/>
      <c r="O1204" s="394"/>
      <c r="P1204" s="394"/>
      <c r="Q1204" s="394"/>
      <c r="R1204" s="381"/>
      <c r="S1204" s="408"/>
      <c r="T1204" s="385"/>
      <c r="U1204" s="475"/>
      <c r="V1204" s="395"/>
      <c r="W1204" s="395"/>
      <c r="X1204" s="393"/>
      <c r="Y1204" s="523">
        <v>1</v>
      </c>
      <c r="Z1204" s="393"/>
      <c r="AA1204" s="573">
        <v>10.19239</v>
      </c>
      <c r="AB1204" s="394">
        <v>7.2695800000000004</v>
      </c>
      <c r="AC1204" s="394">
        <v>6.2995000000000001</v>
      </c>
      <c r="AD1204" s="394"/>
      <c r="AE1204" s="394"/>
      <c r="AF1204" s="394">
        <v>0</v>
      </c>
      <c r="AG1204" s="394">
        <v>0</v>
      </c>
      <c r="AH1204" s="394">
        <v>0.68139000000000005</v>
      </c>
      <c r="AI1204" s="394">
        <v>6.2995000000000001</v>
      </c>
      <c r="AJ1204" s="394"/>
      <c r="AK1204" s="381" t="s">
        <v>167</v>
      </c>
      <c r="AL1204" s="408" t="s">
        <v>175</v>
      </c>
      <c r="AM1204" s="385"/>
      <c r="AN1204" s="475">
        <v>755</v>
      </c>
      <c r="AO1204" s="395"/>
      <c r="AP1204" s="395">
        <f t="shared" si="860"/>
        <v>10.19239</v>
      </c>
      <c r="AQ1204" s="393"/>
      <c r="AR1204" s="523"/>
      <c r="AS1204" s="393"/>
      <c r="AT1204" s="573"/>
      <c r="AU1204" s="394"/>
      <c r="AV1204" s="394"/>
      <c r="AW1204" s="394"/>
      <c r="AX1204" s="394"/>
      <c r="AY1204" s="394"/>
      <c r="AZ1204" s="394"/>
      <c r="BA1204" s="394"/>
      <c r="BB1204" s="394"/>
      <c r="BC1204" s="394"/>
      <c r="BD1204" s="381"/>
      <c r="BE1204" s="408"/>
      <c r="BF1204" s="385"/>
      <c r="BG1204" s="475"/>
      <c r="BH1204" s="395"/>
      <c r="BI1204" s="395" t="e">
        <f t="shared" si="861"/>
        <v>#DIV/0!</v>
      </c>
    </row>
    <row r="1205" spans="1:61" s="358" customFormat="1" ht="19.2" x14ac:dyDescent="0.3">
      <c r="A1205" s="359" t="s">
        <v>2004</v>
      </c>
      <c r="B1205" s="572" t="s">
        <v>3742</v>
      </c>
      <c r="C1205" s="546" t="s">
        <v>2829</v>
      </c>
      <c r="D1205" s="360">
        <v>0.22</v>
      </c>
      <c r="E1205" s="393"/>
      <c r="F1205" s="523"/>
      <c r="G1205" s="393"/>
      <c r="H1205" s="573"/>
      <c r="I1205" s="394"/>
      <c r="J1205" s="394"/>
      <c r="K1205" s="394"/>
      <c r="L1205" s="394"/>
      <c r="M1205" s="394"/>
      <c r="N1205" s="394"/>
      <c r="O1205" s="394"/>
      <c r="P1205" s="394"/>
      <c r="Q1205" s="394"/>
      <c r="R1205" s="381"/>
      <c r="S1205" s="408"/>
      <c r="T1205" s="385"/>
      <c r="U1205" s="475"/>
      <c r="V1205" s="395"/>
      <c r="W1205" s="395"/>
      <c r="X1205" s="393"/>
      <c r="Y1205" s="523">
        <v>1</v>
      </c>
      <c r="Z1205" s="393"/>
      <c r="AA1205" s="573">
        <v>10.263450000000001</v>
      </c>
      <c r="AB1205" s="394">
        <v>7.3406399999999996</v>
      </c>
      <c r="AC1205" s="394">
        <v>6.2995000000000001</v>
      </c>
      <c r="AD1205" s="394"/>
      <c r="AE1205" s="394"/>
      <c r="AF1205" s="394">
        <v>0</v>
      </c>
      <c r="AG1205" s="394">
        <v>0</v>
      </c>
      <c r="AH1205" s="394">
        <v>0.68139000000000005</v>
      </c>
      <c r="AI1205" s="394">
        <v>6.2995000000000001</v>
      </c>
      <c r="AJ1205" s="394"/>
      <c r="AK1205" s="381" t="s">
        <v>167</v>
      </c>
      <c r="AL1205" s="408" t="s">
        <v>175</v>
      </c>
      <c r="AM1205" s="385"/>
      <c r="AN1205" s="475">
        <v>756</v>
      </c>
      <c r="AO1205" s="395"/>
      <c r="AP1205" s="395">
        <f t="shared" si="860"/>
        <v>10.263450000000001</v>
      </c>
      <c r="AQ1205" s="393"/>
      <c r="AR1205" s="523"/>
      <c r="AS1205" s="393"/>
      <c r="AT1205" s="573"/>
      <c r="AU1205" s="394"/>
      <c r="AV1205" s="394"/>
      <c r="AW1205" s="394"/>
      <c r="AX1205" s="394"/>
      <c r="AY1205" s="394"/>
      <c r="AZ1205" s="394"/>
      <c r="BA1205" s="394"/>
      <c r="BB1205" s="394"/>
      <c r="BC1205" s="394"/>
      <c r="BD1205" s="381"/>
      <c r="BE1205" s="408"/>
      <c r="BF1205" s="385"/>
      <c r="BG1205" s="475"/>
      <c r="BH1205" s="395"/>
      <c r="BI1205" s="395" t="e">
        <f t="shared" si="861"/>
        <v>#DIV/0!</v>
      </c>
    </row>
    <row r="1206" spans="1:61" s="358" customFormat="1" ht="19.2" x14ac:dyDescent="0.3">
      <c r="A1206" s="359" t="s">
        <v>2005</v>
      </c>
      <c r="B1206" s="572" t="s">
        <v>3743</v>
      </c>
      <c r="C1206" s="546" t="s">
        <v>2830</v>
      </c>
      <c r="D1206" s="360">
        <v>0.22</v>
      </c>
      <c r="E1206" s="393"/>
      <c r="F1206" s="523"/>
      <c r="G1206" s="393"/>
      <c r="H1206" s="573"/>
      <c r="I1206" s="394"/>
      <c r="J1206" s="394"/>
      <c r="K1206" s="394"/>
      <c r="L1206" s="394"/>
      <c r="M1206" s="394"/>
      <c r="N1206" s="394"/>
      <c r="O1206" s="394"/>
      <c r="P1206" s="394"/>
      <c r="Q1206" s="394"/>
      <c r="R1206" s="381"/>
      <c r="S1206" s="408"/>
      <c r="T1206" s="385"/>
      <c r="U1206" s="475"/>
      <c r="V1206" s="395"/>
      <c r="W1206" s="395"/>
      <c r="X1206" s="393"/>
      <c r="Y1206" s="523">
        <v>1</v>
      </c>
      <c r="Z1206" s="393"/>
      <c r="AA1206" s="573">
        <v>10.26346</v>
      </c>
      <c r="AB1206" s="394">
        <v>7.3406500000000001</v>
      </c>
      <c r="AC1206" s="394">
        <v>6.2995000000000001</v>
      </c>
      <c r="AD1206" s="394"/>
      <c r="AE1206" s="394"/>
      <c r="AF1206" s="394">
        <v>0</v>
      </c>
      <c r="AG1206" s="394">
        <v>0</v>
      </c>
      <c r="AH1206" s="394">
        <v>0.68139000000000005</v>
      </c>
      <c r="AI1206" s="394">
        <v>6.2995000000000001</v>
      </c>
      <c r="AJ1206" s="394"/>
      <c r="AK1206" s="381" t="s">
        <v>167</v>
      </c>
      <c r="AL1206" s="408" t="s">
        <v>175</v>
      </c>
      <c r="AM1206" s="385"/>
      <c r="AN1206" s="475">
        <v>757</v>
      </c>
      <c r="AO1206" s="395"/>
      <c r="AP1206" s="395">
        <f t="shared" si="860"/>
        <v>10.26346</v>
      </c>
      <c r="AQ1206" s="393"/>
      <c r="AR1206" s="523"/>
      <c r="AS1206" s="393"/>
      <c r="AT1206" s="573"/>
      <c r="AU1206" s="394"/>
      <c r="AV1206" s="394"/>
      <c r="AW1206" s="394"/>
      <c r="AX1206" s="394"/>
      <c r="AY1206" s="394"/>
      <c r="AZ1206" s="394"/>
      <c r="BA1206" s="394"/>
      <c r="BB1206" s="394"/>
      <c r="BC1206" s="394"/>
      <c r="BD1206" s="381"/>
      <c r="BE1206" s="408"/>
      <c r="BF1206" s="385"/>
      <c r="BG1206" s="475"/>
      <c r="BH1206" s="395"/>
      <c r="BI1206" s="395" t="e">
        <f t="shared" si="861"/>
        <v>#DIV/0!</v>
      </c>
    </row>
    <row r="1207" spans="1:61" s="358" customFormat="1" ht="19.2" x14ac:dyDescent="0.3">
      <c r="A1207" s="359" t="s">
        <v>2006</v>
      </c>
      <c r="B1207" s="572" t="s">
        <v>1636</v>
      </c>
      <c r="C1207" s="546" t="s">
        <v>2831</v>
      </c>
      <c r="D1207" s="360">
        <v>0.22</v>
      </c>
      <c r="E1207" s="393"/>
      <c r="F1207" s="523"/>
      <c r="G1207" s="393"/>
      <c r="H1207" s="573"/>
      <c r="I1207" s="394"/>
      <c r="J1207" s="394"/>
      <c r="K1207" s="394"/>
      <c r="L1207" s="394"/>
      <c r="M1207" s="394"/>
      <c r="N1207" s="394"/>
      <c r="O1207" s="394"/>
      <c r="P1207" s="394"/>
      <c r="Q1207" s="394"/>
      <c r="R1207" s="381"/>
      <c r="S1207" s="408"/>
      <c r="T1207" s="385"/>
      <c r="U1207" s="475"/>
      <c r="V1207" s="395"/>
      <c r="W1207" s="395"/>
      <c r="X1207" s="393"/>
      <c r="Y1207" s="523">
        <v>1</v>
      </c>
      <c r="Z1207" s="393"/>
      <c r="AA1207" s="573">
        <v>10.26346</v>
      </c>
      <c r="AB1207" s="394">
        <v>7.3406500000000001</v>
      </c>
      <c r="AC1207" s="394">
        <v>6.2995000000000001</v>
      </c>
      <c r="AD1207" s="394"/>
      <c r="AE1207" s="394"/>
      <c r="AF1207" s="394">
        <v>0</v>
      </c>
      <c r="AG1207" s="394">
        <v>0</v>
      </c>
      <c r="AH1207" s="394">
        <v>0.68139000000000005</v>
      </c>
      <c r="AI1207" s="394">
        <v>6.2995000000000001</v>
      </c>
      <c r="AJ1207" s="394"/>
      <c r="AK1207" s="381" t="s">
        <v>167</v>
      </c>
      <c r="AL1207" s="408" t="s">
        <v>175</v>
      </c>
      <c r="AM1207" s="385"/>
      <c r="AN1207" s="475">
        <v>758</v>
      </c>
      <c r="AO1207" s="395"/>
      <c r="AP1207" s="395">
        <f t="shared" si="860"/>
        <v>10.26346</v>
      </c>
      <c r="AQ1207" s="393"/>
      <c r="AR1207" s="523"/>
      <c r="AS1207" s="393"/>
      <c r="AT1207" s="573"/>
      <c r="AU1207" s="394"/>
      <c r="AV1207" s="394"/>
      <c r="AW1207" s="394"/>
      <c r="AX1207" s="394"/>
      <c r="AY1207" s="394"/>
      <c r="AZ1207" s="394"/>
      <c r="BA1207" s="394"/>
      <c r="BB1207" s="394"/>
      <c r="BC1207" s="394"/>
      <c r="BD1207" s="381"/>
      <c r="BE1207" s="408"/>
      <c r="BF1207" s="385"/>
      <c r="BG1207" s="475"/>
      <c r="BH1207" s="395"/>
      <c r="BI1207" s="395" t="e">
        <f t="shared" si="861"/>
        <v>#DIV/0!</v>
      </c>
    </row>
    <row r="1208" spans="1:61" s="358" customFormat="1" ht="19.2" x14ac:dyDescent="0.3">
      <c r="A1208" s="359" t="s">
        <v>2007</v>
      </c>
      <c r="B1208" s="572" t="s">
        <v>3744</v>
      </c>
      <c r="C1208" s="546" t="s">
        <v>2832</v>
      </c>
      <c r="D1208" s="360">
        <v>0.22</v>
      </c>
      <c r="E1208" s="393"/>
      <c r="F1208" s="523"/>
      <c r="G1208" s="393"/>
      <c r="H1208" s="573"/>
      <c r="I1208" s="394"/>
      <c r="J1208" s="394"/>
      <c r="K1208" s="394"/>
      <c r="L1208" s="394"/>
      <c r="M1208" s="394"/>
      <c r="N1208" s="394"/>
      <c r="O1208" s="394"/>
      <c r="P1208" s="394"/>
      <c r="Q1208" s="394"/>
      <c r="R1208" s="381"/>
      <c r="S1208" s="408"/>
      <c r="T1208" s="385"/>
      <c r="U1208" s="475"/>
      <c r="V1208" s="395"/>
      <c r="W1208" s="395"/>
      <c r="X1208" s="393"/>
      <c r="Y1208" s="523">
        <v>1</v>
      </c>
      <c r="Z1208" s="393"/>
      <c r="AA1208" s="573">
        <v>10.263450000000001</v>
      </c>
      <c r="AB1208" s="394">
        <v>7.3406399999999996</v>
      </c>
      <c r="AC1208" s="394">
        <v>6.2995000000000001</v>
      </c>
      <c r="AD1208" s="394"/>
      <c r="AE1208" s="394"/>
      <c r="AF1208" s="394">
        <v>0</v>
      </c>
      <c r="AG1208" s="394">
        <v>0</v>
      </c>
      <c r="AH1208" s="394">
        <v>0.68139000000000005</v>
      </c>
      <c r="AI1208" s="394">
        <v>6.2995000000000001</v>
      </c>
      <c r="AJ1208" s="394"/>
      <c r="AK1208" s="381" t="s">
        <v>167</v>
      </c>
      <c r="AL1208" s="408" t="s">
        <v>175</v>
      </c>
      <c r="AM1208" s="385"/>
      <c r="AN1208" s="475">
        <v>759</v>
      </c>
      <c r="AO1208" s="395"/>
      <c r="AP1208" s="395">
        <f t="shared" si="860"/>
        <v>10.263450000000001</v>
      </c>
      <c r="AQ1208" s="393"/>
      <c r="AR1208" s="523"/>
      <c r="AS1208" s="393"/>
      <c r="AT1208" s="573"/>
      <c r="AU1208" s="394"/>
      <c r="AV1208" s="394"/>
      <c r="AW1208" s="394"/>
      <c r="AX1208" s="394"/>
      <c r="AY1208" s="394"/>
      <c r="AZ1208" s="394"/>
      <c r="BA1208" s="394"/>
      <c r="BB1208" s="394"/>
      <c r="BC1208" s="394"/>
      <c r="BD1208" s="381"/>
      <c r="BE1208" s="408"/>
      <c r="BF1208" s="385"/>
      <c r="BG1208" s="475"/>
      <c r="BH1208" s="395"/>
      <c r="BI1208" s="395" t="e">
        <f t="shared" si="861"/>
        <v>#DIV/0!</v>
      </c>
    </row>
    <row r="1209" spans="1:61" s="358" customFormat="1" ht="19.2" x14ac:dyDescent="0.3">
      <c r="A1209" s="359" t="s">
        <v>2008</v>
      </c>
      <c r="B1209" s="572" t="s">
        <v>3745</v>
      </c>
      <c r="C1209" s="546" t="s">
        <v>2833</v>
      </c>
      <c r="D1209" s="360">
        <v>0.22</v>
      </c>
      <c r="E1209" s="393"/>
      <c r="F1209" s="523"/>
      <c r="G1209" s="393"/>
      <c r="H1209" s="573"/>
      <c r="I1209" s="394"/>
      <c r="J1209" s="394"/>
      <c r="K1209" s="394"/>
      <c r="L1209" s="394"/>
      <c r="M1209" s="394"/>
      <c r="N1209" s="394"/>
      <c r="O1209" s="394"/>
      <c r="P1209" s="394"/>
      <c r="Q1209" s="394"/>
      <c r="R1209" s="381"/>
      <c r="S1209" s="408"/>
      <c r="T1209" s="385"/>
      <c r="U1209" s="475"/>
      <c r="V1209" s="395"/>
      <c r="W1209" s="395"/>
      <c r="X1209" s="393"/>
      <c r="Y1209" s="523">
        <v>1</v>
      </c>
      <c r="Z1209" s="393"/>
      <c r="AA1209" s="573">
        <v>13.413410000000001</v>
      </c>
      <c r="AB1209" s="394">
        <v>10.34798</v>
      </c>
      <c r="AC1209" s="394">
        <v>6.2994899999999996</v>
      </c>
      <c r="AD1209" s="394">
        <v>1.8906099999999999</v>
      </c>
      <c r="AE1209" s="394"/>
      <c r="AF1209" s="394">
        <v>0</v>
      </c>
      <c r="AG1209" s="394">
        <v>0</v>
      </c>
      <c r="AH1209" s="394">
        <v>0.68139000000000005</v>
      </c>
      <c r="AI1209" s="394">
        <v>6.2994899999999996</v>
      </c>
      <c r="AJ1209" s="394">
        <v>1.8906099999999999</v>
      </c>
      <c r="AK1209" s="381" t="s">
        <v>167</v>
      </c>
      <c r="AL1209" s="408" t="s">
        <v>175</v>
      </c>
      <c r="AM1209" s="385"/>
      <c r="AN1209" s="475">
        <v>760</v>
      </c>
      <c r="AO1209" s="395"/>
      <c r="AP1209" s="395">
        <f t="shared" si="860"/>
        <v>13.413410000000001</v>
      </c>
      <c r="AQ1209" s="393"/>
      <c r="AR1209" s="523"/>
      <c r="AS1209" s="393"/>
      <c r="AT1209" s="573"/>
      <c r="AU1209" s="394"/>
      <c r="AV1209" s="394"/>
      <c r="AW1209" s="394"/>
      <c r="AX1209" s="394"/>
      <c r="AY1209" s="394"/>
      <c r="AZ1209" s="394"/>
      <c r="BA1209" s="394"/>
      <c r="BB1209" s="394"/>
      <c r="BC1209" s="394"/>
      <c r="BD1209" s="381"/>
      <c r="BE1209" s="408"/>
      <c r="BF1209" s="385"/>
      <c r="BG1209" s="475"/>
      <c r="BH1209" s="395"/>
      <c r="BI1209" s="395" t="e">
        <f t="shared" si="861"/>
        <v>#DIV/0!</v>
      </c>
    </row>
    <row r="1210" spans="1:61" s="358" customFormat="1" ht="19.2" x14ac:dyDescent="0.3">
      <c r="A1210" s="359" t="s">
        <v>2009</v>
      </c>
      <c r="B1210" s="572" t="s">
        <v>3746</v>
      </c>
      <c r="C1210" s="546" t="s">
        <v>2834</v>
      </c>
      <c r="D1210" s="360">
        <v>0.22</v>
      </c>
      <c r="E1210" s="393"/>
      <c r="F1210" s="523"/>
      <c r="G1210" s="393"/>
      <c r="H1210" s="573"/>
      <c r="I1210" s="394"/>
      <c r="J1210" s="394"/>
      <c r="K1210" s="394"/>
      <c r="L1210" s="394"/>
      <c r="M1210" s="394"/>
      <c r="N1210" s="394"/>
      <c r="O1210" s="394"/>
      <c r="P1210" s="394"/>
      <c r="Q1210" s="394"/>
      <c r="R1210" s="381"/>
      <c r="S1210" s="408"/>
      <c r="T1210" s="385"/>
      <c r="U1210" s="475"/>
      <c r="V1210" s="395"/>
      <c r="W1210" s="395"/>
      <c r="X1210" s="393"/>
      <c r="Y1210" s="523">
        <v>1</v>
      </c>
      <c r="Z1210" s="393"/>
      <c r="AA1210" s="573">
        <v>10.263450000000001</v>
      </c>
      <c r="AB1210" s="394">
        <v>7.3406399999999996</v>
      </c>
      <c r="AC1210" s="394">
        <v>6.2995000000000001</v>
      </c>
      <c r="AD1210" s="394"/>
      <c r="AE1210" s="394"/>
      <c r="AF1210" s="394">
        <v>0</v>
      </c>
      <c r="AG1210" s="394">
        <v>0</v>
      </c>
      <c r="AH1210" s="394">
        <v>0.68139000000000005</v>
      </c>
      <c r="AI1210" s="394">
        <v>6.2995000000000001</v>
      </c>
      <c r="AJ1210" s="394"/>
      <c r="AK1210" s="381" t="s">
        <v>167</v>
      </c>
      <c r="AL1210" s="408" t="s">
        <v>175</v>
      </c>
      <c r="AM1210" s="385"/>
      <c r="AN1210" s="475">
        <v>761</v>
      </c>
      <c r="AO1210" s="395"/>
      <c r="AP1210" s="395">
        <f t="shared" si="860"/>
        <v>10.263450000000001</v>
      </c>
      <c r="AQ1210" s="393"/>
      <c r="AR1210" s="523"/>
      <c r="AS1210" s="393"/>
      <c r="AT1210" s="573"/>
      <c r="AU1210" s="394"/>
      <c r="AV1210" s="394"/>
      <c r="AW1210" s="394"/>
      <c r="AX1210" s="394"/>
      <c r="AY1210" s="394"/>
      <c r="AZ1210" s="394"/>
      <c r="BA1210" s="394"/>
      <c r="BB1210" s="394"/>
      <c r="BC1210" s="394"/>
      <c r="BD1210" s="381"/>
      <c r="BE1210" s="408"/>
      <c r="BF1210" s="385"/>
      <c r="BG1210" s="475"/>
      <c r="BH1210" s="395"/>
      <c r="BI1210" s="395" t="e">
        <f t="shared" si="861"/>
        <v>#DIV/0!</v>
      </c>
    </row>
    <row r="1211" spans="1:61" s="358" customFormat="1" ht="19.2" x14ac:dyDescent="0.3">
      <c r="A1211" s="359" t="s">
        <v>2010</v>
      </c>
      <c r="B1211" s="572" t="s">
        <v>3747</v>
      </c>
      <c r="C1211" s="546" t="s">
        <v>2835</v>
      </c>
      <c r="D1211" s="360">
        <v>0.22</v>
      </c>
      <c r="E1211" s="393"/>
      <c r="F1211" s="523"/>
      <c r="G1211" s="393"/>
      <c r="H1211" s="573"/>
      <c r="I1211" s="394"/>
      <c r="J1211" s="394"/>
      <c r="K1211" s="394"/>
      <c r="L1211" s="394"/>
      <c r="M1211" s="394"/>
      <c r="N1211" s="394"/>
      <c r="O1211" s="394"/>
      <c r="P1211" s="394"/>
      <c r="Q1211" s="394"/>
      <c r="R1211" s="381"/>
      <c r="S1211" s="408"/>
      <c r="T1211" s="385"/>
      <c r="U1211" s="475"/>
      <c r="V1211" s="395"/>
      <c r="W1211" s="395"/>
      <c r="X1211" s="393"/>
      <c r="Y1211" s="523">
        <v>1</v>
      </c>
      <c r="Z1211" s="393"/>
      <c r="AA1211" s="573">
        <v>10.26346</v>
      </c>
      <c r="AB1211" s="394">
        <v>7.3406500000000001</v>
      </c>
      <c r="AC1211" s="394">
        <v>6.2995000000000001</v>
      </c>
      <c r="AD1211" s="394"/>
      <c r="AE1211" s="394"/>
      <c r="AF1211" s="394">
        <v>0</v>
      </c>
      <c r="AG1211" s="394">
        <v>0</v>
      </c>
      <c r="AH1211" s="394">
        <v>0.68139000000000005</v>
      </c>
      <c r="AI1211" s="394">
        <v>6.2995000000000001</v>
      </c>
      <c r="AJ1211" s="394"/>
      <c r="AK1211" s="381" t="s">
        <v>167</v>
      </c>
      <c r="AL1211" s="408" t="s">
        <v>175</v>
      </c>
      <c r="AM1211" s="385"/>
      <c r="AN1211" s="475">
        <v>762</v>
      </c>
      <c r="AO1211" s="395"/>
      <c r="AP1211" s="395">
        <f t="shared" si="860"/>
        <v>10.26346</v>
      </c>
      <c r="AQ1211" s="393"/>
      <c r="AR1211" s="523"/>
      <c r="AS1211" s="393"/>
      <c r="AT1211" s="573"/>
      <c r="AU1211" s="394"/>
      <c r="AV1211" s="394"/>
      <c r="AW1211" s="394"/>
      <c r="AX1211" s="394"/>
      <c r="AY1211" s="394"/>
      <c r="AZ1211" s="394"/>
      <c r="BA1211" s="394"/>
      <c r="BB1211" s="394"/>
      <c r="BC1211" s="394"/>
      <c r="BD1211" s="381"/>
      <c r="BE1211" s="408"/>
      <c r="BF1211" s="385"/>
      <c r="BG1211" s="475"/>
      <c r="BH1211" s="395"/>
      <c r="BI1211" s="395" t="e">
        <f t="shared" si="861"/>
        <v>#DIV/0!</v>
      </c>
    </row>
    <row r="1212" spans="1:61" s="358" customFormat="1" ht="19.2" x14ac:dyDescent="0.3">
      <c r="A1212" s="359" t="s">
        <v>2011</v>
      </c>
      <c r="B1212" s="572" t="s">
        <v>3748</v>
      </c>
      <c r="C1212" s="546" t="s">
        <v>2836</v>
      </c>
      <c r="D1212" s="360">
        <v>0.22</v>
      </c>
      <c r="E1212" s="393"/>
      <c r="F1212" s="523"/>
      <c r="G1212" s="393"/>
      <c r="H1212" s="573"/>
      <c r="I1212" s="394"/>
      <c r="J1212" s="394"/>
      <c r="K1212" s="394"/>
      <c r="L1212" s="394"/>
      <c r="M1212" s="394"/>
      <c r="N1212" s="394"/>
      <c r="O1212" s="394"/>
      <c r="P1212" s="394"/>
      <c r="Q1212" s="394"/>
      <c r="R1212" s="381"/>
      <c r="S1212" s="408"/>
      <c r="T1212" s="385"/>
      <c r="U1212" s="475"/>
      <c r="V1212" s="395"/>
      <c r="W1212" s="395"/>
      <c r="X1212" s="393"/>
      <c r="Y1212" s="523">
        <v>1</v>
      </c>
      <c r="Z1212" s="393"/>
      <c r="AA1212" s="573">
        <v>10.263439999999999</v>
      </c>
      <c r="AB1212" s="394">
        <v>7.34063</v>
      </c>
      <c r="AC1212" s="394">
        <v>6.2995000000000001</v>
      </c>
      <c r="AD1212" s="394"/>
      <c r="AE1212" s="394"/>
      <c r="AF1212" s="394">
        <v>0</v>
      </c>
      <c r="AG1212" s="394">
        <v>0</v>
      </c>
      <c r="AH1212" s="394">
        <v>0.68139000000000005</v>
      </c>
      <c r="AI1212" s="394">
        <v>6.2995000000000001</v>
      </c>
      <c r="AJ1212" s="394"/>
      <c r="AK1212" s="381" t="s">
        <v>167</v>
      </c>
      <c r="AL1212" s="408" t="s">
        <v>175</v>
      </c>
      <c r="AM1212" s="385"/>
      <c r="AN1212" s="475">
        <v>763</v>
      </c>
      <c r="AO1212" s="395"/>
      <c r="AP1212" s="395">
        <f t="shared" si="860"/>
        <v>10.263439999999999</v>
      </c>
      <c r="AQ1212" s="393"/>
      <c r="AR1212" s="523"/>
      <c r="AS1212" s="393"/>
      <c r="AT1212" s="573"/>
      <c r="AU1212" s="394"/>
      <c r="AV1212" s="394"/>
      <c r="AW1212" s="394"/>
      <c r="AX1212" s="394"/>
      <c r="AY1212" s="394"/>
      <c r="AZ1212" s="394"/>
      <c r="BA1212" s="394"/>
      <c r="BB1212" s="394"/>
      <c r="BC1212" s="394"/>
      <c r="BD1212" s="381"/>
      <c r="BE1212" s="408"/>
      <c r="BF1212" s="385"/>
      <c r="BG1212" s="475"/>
      <c r="BH1212" s="395"/>
      <c r="BI1212" s="395" t="e">
        <f t="shared" si="861"/>
        <v>#DIV/0!</v>
      </c>
    </row>
    <row r="1213" spans="1:61" s="358" customFormat="1" ht="19.2" x14ac:dyDescent="0.3">
      <c r="A1213" s="359" t="s">
        <v>2012</v>
      </c>
      <c r="B1213" s="572" t="s">
        <v>2529</v>
      </c>
      <c r="C1213" s="546" t="s">
        <v>2528</v>
      </c>
      <c r="D1213" s="360">
        <v>0.22</v>
      </c>
      <c r="E1213" s="393"/>
      <c r="F1213" s="523"/>
      <c r="G1213" s="393"/>
      <c r="H1213" s="573"/>
      <c r="I1213" s="394"/>
      <c r="J1213" s="394"/>
      <c r="K1213" s="394"/>
      <c r="L1213" s="394"/>
      <c r="M1213" s="394"/>
      <c r="N1213" s="394"/>
      <c r="O1213" s="394"/>
      <c r="P1213" s="394"/>
      <c r="Q1213" s="394"/>
      <c r="R1213" s="381"/>
      <c r="S1213" s="408"/>
      <c r="T1213" s="385"/>
      <c r="U1213" s="475"/>
      <c r="V1213" s="395"/>
      <c r="W1213" s="395"/>
      <c r="X1213" s="393"/>
      <c r="Y1213" s="523">
        <v>1</v>
      </c>
      <c r="Z1213" s="393"/>
      <c r="AA1213" s="573">
        <v>10.263439999999999</v>
      </c>
      <c r="AB1213" s="394">
        <v>7.34063</v>
      </c>
      <c r="AC1213" s="394">
        <v>6.2995000000000001</v>
      </c>
      <c r="AD1213" s="394"/>
      <c r="AE1213" s="394"/>
      <c r="AF1213" s="394">
        <v>0</v>
      </c>
      <c r="AG1213" s="394">
        <v>0</v>
      </c>
      <c r="AH1213" s="394">
        <v>0.68139000000000005</v>
      </c>
      <c r="AI1213" s="394">
        <v>6.2995000000000001</v>
      </c>
      <c r="AJ1213" s="394"/>
      <c r="AK1213" s="381" t="s">
        <v>167</v>
      </c>
      <c r="AL1213" s="408" t="s">
        <v>175</v>
      </c>
      <c r="AM1213" s="385"/>
      <c r="AN1213" s="475">
        <v>764</v>
      </c>
      <c r="AO1213" s="395"/>
      <c r="AP1213" s="395">
        <f t="shared" si="860"/>
        <v>10.263439999999999</v>
      </c>
      <c r="AQ1213" s="393"/>
      <c r="AR1213" s="523"/>
      <c r="AS1213" s="393"/>
      <c r="AT1213" s="573"/>
      <c r="AU1213" s="394"/>
      <c r="AV1213" s="394"/>
      <c r="AW1213" s="394"/>
      <c r="AX1213" s="394"/>
      <c r="AY1213" s="394"/>
      <c r="AZ1213" s="394"/>
      <c r="BA1213" s="394"/>
      <c r="BB1213" s="394"/>
      <c r="BC1213" s="394"/>
      <c r="BD1213" s="381"/>
      <c r="BE1213" s="408"/>
      <c r="BF1213" s="385"/>
      <c r="BG1213" s="475"/>
      <c r="BH1213" s="395"/>
      <c r="BI1213" s="395" t="e">
        <f t="shared" si="861"/>
        <v>#DIV/0!</v>
      </c>
    </row>
    <row r="1214" spans="1:61" s="358" customFormat="1" ht="19.2" x14ac:dyDescent="0.3">
      <c r="A1214" s="359" t="s">
        <v>2013</v>
      </c>
      <c r="B1214" s="572" t="s">
        <v>1414</v>
      </c>
      <c r="C1214" s="546" t="s">
        <v>2837</v>
      </c>
      <c r="D1214" s="360">
        <v>0.22</v>
      </c>
      <c r="E1214" s="393"/>
      <c r="F1214" s="523"/>
      <c r="G1214" s="393"/>
      <c r="H1214" s="573"/>
      <c r="I1214" s="394"/>
      <c r="J1214" s="394"/>
      <c r="K1214" s="394"/>
      <c r="L1214" s="394"/>
      <c r="M1214" s="394"/>
      <c r="N1214" s="394"/>
      <c r="O1214" s="394"/>
      <c r="P1214" s="394"/>
      <c r="Q1214" s="394"/>
      <c r="R1214" s="381"/>
      <c r="S1214" s="408"/>
      <c r="T1214" s="385"/>
      <c r="U1214" s="475"/>
      <c r="V1214" s="395"/>
      <c r="W1214" s="395"/>
      <c r="X1214" s="393"/>
      <c r="Y1214" s="523">
        <v>1</v>
      </c>
      <c r="Z1214" s="393"/>
      <c r="AA1214" s="573">
        <v>10.26346</v>
      </c>
      <c r="AB1214" s="394">
        <v>7.3406500000000001</v>
      </c>
      <c r="AC1214" s="394">
        <v>6.2995000000000001</v>
      </c>
      <c r="AD1214" s="394"/>
      <c r="AE1214" s="394"/>
      <c r="AF1214" s="394">
        <v>0</v>
      </c>
      <c r="AG1214" s="394">
        <v>0</v>
      </c>
      <c r="AH1214" s="394">
        <v>0.68139000000000005</v>
      </c>
      <c r="AI1214" s="394">
        <v>6.2995000000000001</v>
      </c>
      <c r="AJ1214" s="394"/>
      <c r="AK1214" s="381" t="s">
        <v>167</v>
      </c>
      <c r="AL1214" s="408" t="s">
        <v>175</v>
      </c>
      <c r="AM1214" s="385"/>
      <c r="AN1214" s="475">
        <v>766</v>
      </c>
      <c r="AO1214" s="395"/>
      <c r="AP1214" s="395">
        <f t="shared" si="860"/>
        <v>10.26346</v>
      </c>
      <c r="AQ1214" s="393"/>
      <c r="AR1214" s="523"/>
      <c r="AS1214" s="393"/>
      <c r="AT1214" s="573"/>
      <c r="AU1214" s="394"/>
      <c r="AV1214" s="394"/>
      <c r="AW1214" s="394"/>
      <c r="AX1214" s="394"/>
      <c r="AY1214" s="394"/>
      <c r="AZ1214" s="394"/>
      <c r="BA1214" s="394"/>
      <c r="BB1214" s="394"/>
      <c r="BC1214" s="394"/>
      <c r="BD1214" s="381"/>
      <c r="BE1214" s="408"/>
      <c r="BF1214" s="385"/>
      <c r="BG1214" s="475"/>
      <c r="BH1214" s="395"/>
      <c r="BI1214" s="395" t="e">
        <f t="shared" si="861"/>
        <v>#DIV/0!</v>
      </c>
    </row>
    <row r="1215" spans="1:61" s="358" customFormat="1" ht="19.2" x14ac:dyDescent="0.3">
      <c r="A1215" s="359" t="s">
        <v>2014</v>
      </c>
      <c r="B1215" s="572" t="s">
        <v>1414</v>
      </c>
      <c r="C1215" s="546" t="s">
        <v>2838</v>
      </c>
      <c r="D1215" s="360">
        <v>0.22</v>
      </c>
      <c r="E1215" s="393"/>
      <c r="F1215" s="523"/>
      <c r="G1215" s="393"/>
      <c r="H1215" s="573"/>
      <c r="I1215" s="394"/>
      <c r="J1215" s="394"/>
      <c r="K1215" s="394"/>
      <c r="L1215" s="394"/>
      <c r="M1215" s="394"/>
      <c r="N1215" s="394"/>
      <c r="O1215" s="394"/>
      <c r="P1215" s="394"/>
      <c r="Q1215" s="394"/>
      <c r="R1215" s="381"/>
      <c r="S1215" s="408"/>
      <c r="T1215" s="385"/>
      <c r="U1215" s="475"/>
      <c r="V1215" s="395"/>
      <c r="W1215" s="395"/>
      <c r="X1215" s="393"/>
      <c r="Y1215" s="523">
        <v>1</v>
      </c>
      <c r="Z1215" s="393"/>
      <c r="AA1215" s="573">
        <v>9.1011900000000008</v>
      </c>
      <c r="AB1215" s="394">
        <v>6.1783799999999998</v>
      </c>
      <c r="AC1215" s="394">
        <v>5.2083300000000001</v>
      </c>
      <c r="AD1215" s="394"/>
      <c r="AE1215" s="394"/>
      <c r="AF1215" s="394">
        <v>0</v>
      </c>
      <c r="AG1215" s="394">
        <v>0</v>
      </c>
      <c r="AH1215" s="394">
        <v>0.68139000000000005</v>
      </c>
      <c r="AI1215" s="394">
        <v>5.2083300000000001</v>
      </c>
      <c r="AJ1215" s="394"/>
      <c r="AK1215" s="381" t="s">
        <v>167</v>
      </c>
      <c r="AL1215" s="408" t="s">
        <v>175</v>
      </c>
      <c r="AM1215" s="385"/>
      <c r="AN1215" s="475">
        <v>767</v>
      </c>
      <c r="AO1215" s="395"/>
      <c r="AP1215" s="395">
        <f t="shared" si="860"/>
        <v>9.1011900000000008</v>
      </c>
      <c r="AQ1215" s="393"/>
      <c r="AR1215" s="523"/>
      <c r="AS1215" s="393"/>
      <c r="AT1215" s="573"/>
      <c r="AU1215" s="394"/>
      <c r="AV1215" s="394"/>
      <c r="AW1215" s="394"/>
      <c r="AX1215" s="394"/>
      <c r="AY1215" s="394"/>
      <c r="AZ1215" s="394"/>
      <c r="BA1215" s="394"/>
      <c r="BB1215" s="394"/>
      <c r="BC1215" s="394"/>
      <c r="BD1215" s="381"/>
      <c r="BE1215" s="408"/>
      <c r="BF1215" s="385"/>
      <c r="BG1215" s="475"/>
      <c r="BH1215" s="395"/>
      <c r="BI1215" s="395" t="e">
        <f t="shared" si="861"/>
        <v>#DIV/0!</v>
      </c>
    </row>
    <row r="1216" spans="1:61" s="358" customFormat="1" ht="19.2" x14ac:dyDescent="0.3">
      <c r="A1216" s="359" t="s">
        <v>2031</v>
      </c>
      <c r="B1216" s="572" t="s">
        <v>1399</v>
      </c>
      <c r="C1216" s="546" t="s">
        <v>2839</v>
      </c>
      <c r="D1216" s="360">
        <v>0.22</v>
      </c>
      <c r="E1216" s="393"/>
      <c r="F1216" s="523"/>
      <c r="G1216" s="393"/>
      <c r="H1216" s="573"/>
      <c r="I1216" s="394"/>
      <c r="J1216" s="394"/>
      <c r="K1216" s="394"/>
      <c r="L1216" s="394"/>
      <c r="M1216" s="394"/>
      <c r="N1216" s="394"/>
      <c r="O1216" s="394"/>
      <c r="P1216" s="394"/>
      <c r="Q1216" s="394"/>
      <c r="R1216" s="381"/>
      <c r="S1216" s="408"/>
      <c r="T1216" s="385"/>
      <c r="U1216" s="475"/>
      <c r="V1216" s="395"/>
      <c r="W1216" s="395"/>
      <c r="X1216" s="393"/>
      <c r="Y1216" s="523">
        <v>1</v>
      </c>
      <c r="Z1216" s="393"/>
      <c r="AA1216" s="573">
        <v>10.897259999999999</v>
      </c>
      <c r="AB1216" s="394">
        <v>7.97445</v>
      </c>
      <c r="AC1216" s="394">
        <v>6.2995099999999997</v>
      </c>
      <c r="AD1216" s="394"/>
      <c r="AE1216" s="394"/>
      <c r="AF1216" s="394">
        <v>0</v>
      </c>
      <c r="AG1216" s="394">
        <v>0</v>
      </c>
      <c r="AH1216" s="394">
        <v>0.68139000000000005</v>
      </c>
      <c r="AI1216" s="394">
        <v>6.2995099999999997</v>
      </c>
      <c r="AJ1216" s="394"/>
      <c r="AK1216" s="381" t="s">
        <v>167</v>
      </c>
      <c r="AL1216" s="408" t="s">
        <v>175</v>
      </c>
      <c r="AM1216" s="385"/>
      <c r="AN1216" s="475">
        <v>768</v>
      </c>
      <c r="AO1216" s="395"/>
      <c r="AP1216" s="395">
        <f t="shared" si="860"/>
        <v>10.897259999999999</v>
      </c>
      <c r="AQ1216" s="393"/>
      <c r="AR1216" s="523"/>
      <c r="AS1216" s="393"/>
      <c r="AT1216" s="573"/>
      <c r="AU1216" s="394"/>
      <c r="AV1216" s="394"/>
      <c r="AW1216" s="394"/>
      <c r="AX1216" s="394"/>
      <c r="AY1216" s="394"/>
      <c r="AZ1216" s="394"/>
      <c r="BA1216" s="394"/>
      <c r="BB1216" s="394"/>
      <c r="BC1216" s="394"/>
      <c r="BD1216" s="381"/>
      <c r="BE1216" s="408"/>
      <c r="BF1216" s="385"/>
      <c r="BG1216" s="475"/>
      <c r="BH1216" s="395"/>
      <c r="BI1216" s="395" t="e">
        <f t="shared" si="861"/>
        <v>#DIV/0!</v>
      </c>
    </row>
    <row r="1217" spans="1:61" s="358" customFormat="1" ht="19.2" x14ac:dyDescent="0.3">
      <c r="A1217" s="359" t="s">
        <v>2016</v>
      </c>
      <c r="B1217" s="572" t="s">
        <v>3749</v>
      </c>
      <c r="C1217" s="546" t="s">
        <v>2840</v>
      </c>
      <c r="D1217" s="360">
        <v>0.22</v>
      </c>
      <c r="E1217" s="393"/>
      <c r="F1217" s="523"/>
      <c r="G1217" s="393"/>
      <c r="H1217" s="573"/>
      <c r="I1217" s="394"/>
      <c r="J1217" s="394"/>
      <c r="K1217" s="394"/>
      <c r="L1217" s="394"/>
      <c r="M1217" s="394"/>
      <c r="N1217" s="394"/>
      <c r="O1217" s="394"/>
      <c r="P1217" s="394"/>
      <c r="Q1217" s="394"/>
      <c r="R1217" s="381"/>
      <c r="S1217" s="408"/>
      <c r="T1217" s="385"/>
      <c r="U1217" s="475"/>
      <c r="V1217" s="395"/>
      <c r="W1217" s="395"/>
      <c r="X1217" s="393"/>
      <c r="Y1217" s="523">
        <v>1</v>
      </c>
      <c r="Z1217" s="393"/>
      <c r="AA1217" s="573">
        <v>10.89725</v>
      </c>
      <c r="AB1217" s="394">
        <v>7.9744400000000004</v>
      </c>
      <c r="AC1217" s="394">
        <v>6.2995099999999997</v>
      </c>
      <c r="AD1217" s="394"/>
      <c r="AE1217" s="394"/>
      <c r="AF1217" s="394">
        <v>0</v>
      </c>
      <c r="AG1217" s="394">
        <v>0</v>
      </c>
      <c r="AH1217" s="394">
        <v>0.68139000000000005</v>
      </c>
      <c r="AI1217" s="394">
        <v>6.2995099999999997</v>
      </c>
      <c r="AJ1217" s="394"/>
      <c r="AK1217" s="381" t="s">
        <v>167</v>
      </c>
      <c r="AL1217" s="408" t="s">
        <v>175</v>
      </c>
      <c r="AM1217" s="385"/>
      <c r="AN1217" s="475">
        <v>769</v>
      </c>
      <c r="AO1217" s="395"/>
      <c r="AP1217" s="395">
        <f t="shared" si="860"/>
        <v>10.89725</v>
      </c>
      <c r="AQ1217" s="393"/>
      <c r="AR1217" s="523"/>
      <c r="AS1217" s="393"/>
      <c r="AT1217" s="573"/>
      <c r="AU1217" s="394"/>
      <c r="AV1217" s="394"/>
      <c r="AW1217" s="394"/>
      <c r="AX1217" s="394"/>
      <c r="AY1217" s="394"/>
      <c r="AZ1217" s="394"/>
      <c r="BA1217" s="394"/>
      <c r="BB1217" s="394"/>
      <c r="BC1217" s="394"/>
      <c r="BD1217" s="381"/>
      <c r="BE1217" s="408"/>
      <c r="BF1217" s="385"/>
      <c r="BG1217" s="475"/>
      <c r="BH1217" s="395"/>
      <c r="BI1217" s="395" t="e">
        <f t="shared" si="861"/>
        <v>#DIV/0!</v>
      </c>
    </row>
    <row r="1218" spans="1:61" s="358" customFormat="1" ht="19.2" x14ac:dyDescent="0.3">
      <c r="A1218" s="359" t="s">
        <v>2017</v>
      </c>
      <c r="B1218" s="572" t="s">
        <v>3750</v>
      </c>
      <c r="C1218" s="546" t="s">
        <v>2841</v>
      </c>
      <c r="D1218" s="360">
        <v>0.22</v>
      </c>
      <c r="E1218" s="393"/>
      <c r="F1218" s="523"/>
      <c r="G1218" s="393"/>
      <c r="H1218" s="573"/>
      <c r="I1218" s="394"/>
      <c r="J1218" s="394"/>
      <c r="K1218" s="394"/>
      <c r="L1218" s="394"/>
      <c r="M1218" s="394"/>
      <c r="N1218" s="394"/>
      <c r="O1218" s="394"/>
      <c r="P1218" s="394"/>
      <c r="Q1218" s="394"/>
      <c r="R1218" s="381"/>
      <c r="S1218" s="408"/>
      <c r="T1218" s="385"/>
      <c r="U1218" s="475"/>
      <c r="V1218" s="395"/>
      <c r="W1218" s="395"/>
      <c r="X1218" s="393"/>
      <c r="Y1218" s="523">
        <v>1</v>
      </c>
      <c r="Z1218" s="393"/>
      <c r="AA1218" s="573">
        <v>10.89725</v>
      </c>
      <c r="AB1218" s="394">
        <v>7.9744400000000004</v>
      </c>
      <c r="AC1218" s="394">
        <v>6.2995099999999997</v>
      </c>
      <c r="AD1218" s="394"/>
      <c r="AE1218" s="394"/>
      <c r="AF1218" s="394">
        <v>0</v>
      </c>
      <c r="AG1218" s="394">
        <v>0</v>
      </c>
      <c r="AH1218" s="394">
        <v>0.68139000000000005</v>
      </c>
      <c r="AI1218" s="394">
        <v>6.2995099999999997</v>
      </c>
      <c r="AJ1218" s="394"/>
      <c r="AK1218" s="381" t="s">
        <v>167</v>
      </c>
      <c r="AL1218" s="408" t="s">
        <v>175</v>
      </c>
      <c r="AM1218" s="385"/>
      <c r="AN1218" s="475">
        <v>770</v>
      </c>
      <c r="AO1218" s="395"/>
      <c r="AP1218" s="395">
        <f t="shared" si="860"/>
        <v>10.89725</v>
      </c>
      <c r="AQ1218" s="393"/>
      <c r="AR1218" s="523"/>
      <c r="AS1218" s="393"/>
      <c r="AT1218" s="573"/>
      <c r="AU1218" s="394"/>
      <c r="AV1218" s="394"/>
      <c r="AW1218" s="394"/>
      <c r="AX1218" s="394"/>
      <c r="AY1218" s="394"/>
      <c r="AZ1218" s="394"/>
      <c r="BA1218" s="394"/>
      <c r="BB1218" s="394"/>
      <c r="BC1218" s="394"/>
      <c r="BD1218" s="381"/>
      <c r="BE1218" s="408"/>
      <c r="BF1218" s="385"/>
      <c r="BG1218" s="475"/>
      <c r="BH1218" s="395"/>
      <c r="BI1218" s="395" t="e">
        <f t="shared" si="861"/>
        <v>#DIV/0!</v>
      </c>
    </row>
    <row r="1219" spans="1:61" s="358" customFormat="1" ht="19.2" x14ac:dyDescent="0.3">
      <c r="A1219" s="359" t="s">
        <v>2002</v>
      </c>
      <c r="B1219" s="572" t="s">
        <v>3751</v>
      </c>
      <c r="C1219" s="546" t="s">
        <v>2842</v>
      </c>
      <c r="D1219" s="360">
        <v>0.22</v>
      </c>
      <c r="E1219" s="393"/>
      <c r="F1219" s="523"/>
      <c r="G1219" s="393"/>
      <c r="H1219" s="573"/>
      <c r="I1219" s="394"/>
      <c r="J1219" s="394"/>
      <c r="K1219" s="394"/>
      <c r="L1219" s="394"/>
      <c r="M1219" s="394"/>
      <c r="N1219" s="394"/>
      <c r="O1219" s="394"/>
      <c r="P1219" s="394"/>
      <c r="Q1219" s="394"/>
      <c r="R1219" s="381"/>
      <c r="S1219" s="408"/>
      <c r="T1219" s="385"/>
      <c r="U1219" s="475"/>
      <c r="V1219" s="395"/>
      <c r="W1219" s="395"/>
      <c r="X1219" s="393"/>
      <c r="Y1219" s="523">
        <v>1</v>
      </c>
      <c r="Z1219" s="393"/>
      <c r="AA1219" s="573">
        <v>10.89725</v>
      </c>
      <c r="AB1219" s="394">
        <v>7.9744400000000004</v>
      </c>
      <c r="AC1219" s="394">
        <v>6.2995099999999997</v>
      </c>
      <c r="AD1219" s="394"/>
      <c r="AE1219" s="394"/>
      <c r="AF1219" s="394">
        <v>0</v>
      </c>
      <c r="AG1219" s="394">
        <v>0</v>
      </c>
      <c r="AH1219" s="394">
        <v>0.68139000000000005</v>
      </c>
      <c r="AI1219" s="394">
        <v>6.2995099999999997</v>
      </c>
      <c r="AJ1219" s="394"/>
      <c r="AK1219" s="381" t="s">
        <v>167</v>
      </c>
      <c r="AL1219" s="408" t="s">
        <v>175</v>
      </c>
      <c r="AM1219" s="385"/>
      <c r="AN1219" s="475">
        <v>771</v>
      </c>
      <c r="AO1219" s="395"/>
      <c r="AP1219" s="395">
        <f t="shared" si="860"/>
        <v>10.89725</v>
      </c>
      <c r="AQ1219" s="393"/>
      <c r="AR1219" s="523"/>
      <c r="AS1219" s="393"/>
      <c r="AT1219" s="573"/>
      <c r="AU1219" s="394"/>
      <c r="AV1219" s="394"/>
      <c r="AW1219" s="394"/>
      <c r="AX1219" s="394"/>
      <c r="AY1219" s="394"/>
      <c r="AZ1219" s="394"/>
      <c r="BA1219" s="394"/>
      <c r="BB1219" s="394"/>
      <c r="BC1219" s="394"/>
      <c r="BD1219" s="381"/>
      <c r="BE1219" s="408"/>
      <c r="BF1219" s="385"/>
      <c r="BG1219" s="475"/>
      <c r="BH1219" s="395"/>
      <c r="BI1219" s="395" t="e">
        <f t="shared" si="861"/>
        <v>#DIV/0!</v>
      </c>
    </row>
    <row r="1220" spans="1:61" s="358" customFormat="1" ht="19.2" x14ac:dyDescent="0.3">
      <c r="A1220" s="359" t="s">
        <v>2035</v>
      </c>
      <c r="B1220" s="572" t="s">
        <v>3752</v>
      </c>
      <c r="C1220" s="546" t="s">
        <v>2843</v>
      </c>
      <c r="D1220" s="360">
        <v>0.22</v>
      </c>
      <c r="E1220" s="393"/>
      <c r="F1220" s="523"/>
      <c r="G1220" s="393"/>
      <c r="H1220" s="573"/>
      <c r="I1220" s="394"/>
      <c r="J1220" s="394"/>
      <c r="K1220" s="394"/>
      <c r="L1220" s="394"/>
      <c r="M1220" s="394"/>
      <c r="N1220" s="394"/>
      <c r="O1220" s="394"/>
      <c r="P1220" s="394"/>
      <c r="Q1220" s="394"/>
      <c r="R1220" s="381"/>
      <c r="S1220" s="408"/>
      <c r="T1220" s="385"/>
      <c r="U1220" s="475"/>
      <c r="V1220" s="395"/>
      <c r="W1220" s="395"/>
      <c r="X1220" s="393"/>
      <c r="Y1220" s="523">
        <v>1</v>
      </c>
      <c r="Z1220" s="393"/>
      <c r="AA1220" s="573">
        <v>10.89725</v>
      </c>
      <c r="AB1220" s="394">
        <v>7.9744400000000004</v>
      </c>
      <c r="AC1220" s="394">
        <v>6.2995099999999997</v>
      </c>
      <c r="AD1220" s="394"/>
      <c r="AE1220" s="394"/>
      <c r="AF1220" s="394">
        <v>0</v>
      </c>
      <c r="AG1220" s="394">
        <v>0</v>
      </c>
      <c r="AH1220" s="394">
        <v>0.68139000000000005</v>
      </c>
      <c r="AI1220" s="394">
        <v>6.2995099999999997</v>
      </c>
      <c r="AJ1220" s="394"/>
      <c r="AK1220" s="381" t="s">
        <v>167</v>
      </c>
      <c r="AL1220" s="408" t="s">
        <v>175</v>
      </c>
      <c r="AM1220" s="385"/>
      <c r="AN1220" s="475">
        <v>772</v>
      </c>
      <c r="AO1220" s="395"/>
      <c r="AP1220" s="395">
        <f t="shared" si="860"/>
        <v>10.89725</v>
      </c>
      <c r="AQ1220" s="393"/>
      <c r="AR1220" s="523"/>
      <c r="AS1220" s="393"/>
      <c r="AT1220" s="573"/>
      <c r="AU1220" s="394"/>
      <c r="AV1220" s="394"/>
      <c r="AW1220" s="394"/>
      <c r="AX1220" s="394"/>
      <c r="AY1220" s="394"/>
      <c r="AZ1220" s="394"/>
      <c r="BA1220" s="394"/>
      <c r="BB1220" s="394"/>
      <c r="BC1220" s="394"/>
      <c r="BD1220" s="381"/>
      <c r="BE1220" s="408"/>
      <c r="BF1220" s="385"/>
      <c r="BG1220" s="475"/>
      <c r="BH1220" s="395"/>
      <c r="BI1220" s="395" t="e">
        <f t="shared" si="861"/>
        <v>#DIV/0!</v>
      </c>
    </row>
    <row r="1221" spans="1:61" s="358" customFormat="1" ht="19.2" x14ac:dyDescent="0.3">
      <c r="A1221" s="359" t="s">
        <v>2020</v>
      </c>
      <c r="B1221" s="572" t="s">
        <v>3753</v>
      </c>
      <c r="C1221" s="546" t="s">
        <v>2844</v>
      </c>
      <c r="D1221" s="360">
        <v>0.22</v>
      </c>
      <c r="E1221" s="393"/>
      <c r="F1221" s="523"/>
      <c r="G1221" s="393"/>
      <c r="H1221" s="573"/>
      <c r="I1221" s="394"/>
      <c r="J1221" s="394"/>
      <c r="K1221" s="394"/>
      <c r="L1221" s="394"/>
      <c r="M1221" s="394"/>
      <c r="N1221" s="394"/>
      <c r="O1221" s="394"/>
      <c r="P1221" s="394"/>
      <c r="Q1221" s="394"/>
      <c r="R1221" s="381"/>
      <c r="S1221" s="408"/>
      <c r="T1221" s="385"/>
      <c r="U1221" s="475"/>
      <c r="V1221" s="395"/>
      <c r="W1221" s="395"/>
      <c r="X1221" s="393"/>
      <c r="Y1221" s="523">
        <v>1</v>
      </c>
      <c r="Z1221" s="393"/>
      <c r="AA1221" s="573">
        <v>10.89725</v>
      </c>
      <c r="AB1221" s="394">
        <v>7.9744400000000004</v>
      </c>
      <c r="AC1221" s="394">
        <v>6.2995099999999997</v>
      </c>
      <c r="AD1221" s="394"/>
      <c r="AE1221" s="394"/>
      <c r="AF1221" s="394">
        <v>0</v>
      </c>
      <c r="AG1221" s="394">
        <v>0</v>
      </c>
      <c r="AH1221" s="394">
        <v>0.68139000000000005</v>
      </c>
      <c r="AI1221" s="394">
        <v>6.2995099999999997</v>
      </c>
      <c r="AJ1221" s="394"/>
      <c r="AK1221" s="381" t="s">
        <v>167</v>
      </c>
      <c r="AL1221" s="408" t="s">
        <v>175</v>
      </c>
      <c r="AM1221" s="385"/>
      <c r="AN1221" s="475">
        <v>773</v>
      </c>
      <c r="AO1221" s="395"/>
      <c r="AP1221" s="395">
        <f t="shared" si="860"/>
        <v>10.89725</v>
      </c>
      <c r="AQ1221" s="393"/>
      <c r="AR1221" s="523"/>
      <c r="AS1221" s="393"/>
      <c r="AT1221" s="573"/>
      <c r="AU1221" s="394"/>
      <c r="AV1221" s="394"/>
      <c r="AW1221" s="394"/>
      <c r="AX1221" s="394"/>
      <c r="AY1221" s="394"/>
      <c r="AZ1221" s="394"/>
      <c r="BA1221" s="394"/>
      <c r="BB1221" s="394"/>
      <c r="BC1221" s="394"/>
      <c r="BD1221" s="381"/>
      <c r="BE1221" s="408"/>
      <c r="BF1221" s="385"/>
      <c r="BG1221" s="475"/>
      <c r="BH1221" s="395"/>
      <c r="BI1221" s="395" t="e">
        <f t="shared" si="861"/>
        <v>#DIV/0!</v>
      </c>
    </row>
    <row r="1222" spans="1:61" s="358" customFormat="1" ht="19.2" x14ac:dyDescent="0.3">
      <c r="A1222" s="359" t="s">
        <v>2021</v>
      </c>
      <c r="B1222" s="572" t="s">
        <v>3754</v>
      </c>
      <c r="C1222" s="546" t="s">
        <v>2845</v>
      </c>
      <c r="D1222" s="360">
        <v>0.22</v>
      </c>
      <c r="E1222" s="393"/>
      <c r="F1222" s="523"/>
      <c r="G1222" s="393"/>
      <c r="H1222" s="573"/>
      <c r="I1222" s="394"/>
      <c r="J1222" s="394"/>
      <c r="K1222" s="394"/>
      <c r="L1222" s="394"/>
      <c r="M1222" s="394"/>
      <c r="N1222" s="394"/>
      <c r="O1222" s="394"/>
      <c r="P1222" s="394"/>
      <c r="Q1222" s="394"/>
      <c r="R1222" s="381"/>
      <c r="S1222" s="408"/>
      <c r="T1222" s="385"/>
      <c r="U1222" s="475"/>
      <c r="V1222" s="395"/>
      <c r="W1222" s="395"/>
      <c r="X1222" s="393"/>
      <c r="Y1222" s="523">
        <v>1</v>
      </c>
      <c r="Z1222" s="393"/>
      <c r="AA1222" s="573">
        <v>10.89725</v>
      </c>
      <c r="AB1222" s="394">
        <v>7.9744400000000004</v>
      </c>
      <c r="AC1222" s="394">
        <v>6.2995099999999997</v>
      </c>
      <c r="AD1222" s="394"/>
      <c r="AE1222" s="394"/>
      <c r="AF1222" s="394">
        <v>0</v>
      </c>
      <c r="AG1222" s="394">
        <v>0</v>
      </c>
      <c r="AH1222" s="394">
        <v>0.68139000000000005</v>
      </c>
      <c r="AI1222" s="394">
        <v>6.2995099999999997</v>
      </c>
      <c r="AJ1222" s="394"/>
      <c r="AK1222" s="381" t="s">
        <v>167</v>
      </c>
      <c r="AL1222" s="408" t="s">
        <v>175</v>
      </c>
      <c r="AM1222" s="385"/>
      <c r="AN1222" s="475">
        <v>774</v>
      </c>
      <c r="AO1222" s="395"/>
      <c r="AP1222" s="395">
        <f t="shared" si="860"/>
        <v>10.89725</v>
      </c>
      <c r="AQ1222" s="393"/>
      <c r="AR1222" s="523"/>
      <c r="AS1222" s="393"/>
      <c r="AT1222" s="573"/>
      <c r="AU1222" s="394"/>
      <c r="AV1222" s="394"/>
      <c r="AW1222" s="394"/>
      <c r="AX1222" s="394"/>
      <c r="AY1222" s="394"/>
      <c r="AZ1222" s="394"/>
      <c r="BA1222" s="394"/>
      <c r="BB1222" s="394"/>
      <c r="BC1222" s="394"/>
      <c r="BD1222" s="381"/>
      <c r="BE1222" s="408"/>
      <c r="BF1222" s="385"/>
      <c r="BG1222" s="475"/>
      <c r="BH1222" s="395"/>
      <c r="BI1222" s="395" t="e">
        <f t="shared" si="861"/>
        <v>#DIV/0!</v>
      </c>
    </row>
    <row r="1223" spans="1:61" s="358" customFormat="1" ht="19.2" x14ac:dyDescent="0.3">
      <c r="A1223" s="359" t="s">
        <v>2022</v>
      </c>
      <c r="B1223" s="572" t="s">
        <v>3755</v>
      </c>
      <c r="C1223" s="546" t="s">
        <v>2846</v>
      </c>
      <c r="D1223" s="360">
        <v>0.22</v>
      </c>
      <c r="E1223" s="393"/>
      <c r="F1223" s="523"/>
      <c r="G1223" s="393"/>
      <c r="H1223" s="573"/>
      <c r="I1223" s="394"/>
      <c r="J1223" s="394"/>
      <c r="K1223" s="394"/>
      <c r="L1223" s="394"/>
      <c r="M1223" s="394"/>
      <c r="N1223" s="394"/>
      <c r="O1223" s="394"/>
      <c r="P1223" s="394"/>
      <c r="Q1223" s="394"/>
      <c r="R1223" s="381"/>
      <c r="S1223" s="408"/>
      <c r="T1223" s="385"/>
      <c r="U1223" s="475"/>
      <c r="V1223" s="395"/>
      <c r="W1223" s="395"/>
      <c r="X1223" s="393"/>
      <c r="Y1223" s="523">
        <v>1</v>
      </c>
      <c r="Z1223" s="393"/>
      <c r="AA1223" s="573">
        <v>10.897259999999999</v>
      </c>
      <c r="AB1223" s="394">
        <v>7.97445</v>
      </c>
      <c r="AC1223" s="394">
        <v>6.2995099999999997</v>
      </c>
      <c r="AD1223" s="394"/>
      <c r="AE1223" s="394"/>
      <c r="AF1223" s="394">
        <v>0</v>
      </c>
      <c r="AG1223" s="394">
        <v>0</v>
      </c>
      <c r="AH1223" s="394">
        <v>0.68139000000000005</v>
      </c>
      <c r="AI1223" s="394">
        <v>6.2995099999999997</v>
      </c>
      <c r="AJ1223" s="394"/>
      <c r="AK1223" s="381" t="s">
        <v>167</v>
      </c>
      <c r="AL1223" s="408" t="s">
        <v>175</v>
      </c>
      <c r="AM1223" s="385"/>
      <c r="AN1223" s="475">
        <v>775</v>
      </c>
      <c r="AO1223" s="395"/>
      <c r="AP1223" s="395">
        <f t="shared" si="860"/>
        <v>10.897259999999999</v>
      </c>
      <c r="AQ1223" s="393"/>
      <c r="AR1223" s="523"/>
      <c r="AS1223" s="393"/>
      <c r="AT1223" s="573"/>
      <c r="AU1223" s="394"/>
      <c r="AV1223" s="394"/>
      <c r="AW1223" s="394"/>
      <c r="AX1223" s="394"/>
      <c r="AY1223" s="394"/>
      <c r="AZ1223" s="394"/>
      <c r="BA1223" s="394"/>
      <c r="BB1223" s="394"/>
      <c r="BC1223" s="394"/>
      <c r="BD1223" s="381"/>
      <c r="BE1223" s="408"/>
      <c r="BF1223" s="385"/>
      <c r="BG1223" s="475"/>
      <c r="BH1223" s="395"/>
      <c r="BI1223" s="395" t="e">
        <f t="shared" si="861"/>
        <v>#DIV/0!</v>
      </c>
    </row>
    <row r="1224" spans="1:61" s="358" customFormat="1" ht="19.2" x14ac:dyDescent="0.3">
      <c r="A1224" s="359" t="s">
        <v>2023</v>
      </c>
      <c r="B1224" s="572" t="s">
        <v>3756</v>
      </c>
      <c r="C1224" s="546" t="s">
        <v>2847</v>
      </c>
      <c r="D1224" s="360">
        <v>0.22</v>
      </c>
      <c r="E1224" s="393"/>
      <c r="F1224" s="523"/>
      <c r="G1224" s="393"/>
      <c r="H1224" s="573"/>
      <c r="I1224" s="394"/>
      <c r="J1224" s="394"/>
      <c r="K1224" s="394"/>
      <c r="L1224" s="394"/>
      <c r="M1224" s="394"/>
      <c r="N1224" s="394"/>
      <c r="O1224" s="394"/>
      <c r="P1224" s="394"/>
      <c r="Q1224" s="394"/>
      <c r="R1224" s="381"/>
      <c r="S1224" s="408"/>
      <c r="T1224" s="385"/>
      <c r="U1224" s="475"/>
      <c r="V1224" s="395"/>
      <c r="W1224" s="395"/>
      <c r="X1224" s="393"/>
      <c r="Y1224" s="523">
        <v>1</v>
      </c>
      <c r="Z1224" s="393"/>
      <c r="AA1224" s="573">
        <v>10.89725</v>
      </c>
      <c r="AB1224" s="394">
        <v>7.9744400000000004</v>
      </c>
      <c r="AC1224" s="394">
        <v>6.2995099999999997</v>
      </c>
      <c r="AD1224" s="394"/>
      <c r="AE1224" s="394"/>
      <c r="AF1224" s="394">
        <v>0</v>
      </c>
      <c r="AG1224" s="394">
        <v>0</v>
      </c>
      <c r="AH1224" s="394">
        <v>0.68139000000000005</v>
      </c>
      <c r="AI1224" s="394">
        <v>6.2995099999999997</v>
      </c>
      <c r="AJ1224" s="394"/>
      <c r="AK1224" s="381" t="s">
        <v>167</v>
      </c>
      <c r="AL1224" s="408" t="s">
        <v>175</v>
      </c>
      <c r="AM1224" s="385"/>
      <c r="AN1224" s="475">
        <v>776</v>
      </c>
      <c r="AO1224" s="395"/>
      <c r="AP1224" s="395">
        <f t="shared" si="860"/>
        <v>10.89725</v>
      </c>
      <c r="AQ1224" s="393"/>
      <c r="AR1224" s="523"/>
      <c r="AS1224" s="393"/>
      <c r="AT1224" s="573"/>
      <c r="AU1224" s="394"/>
      <c r="AV1224" s="394"/>
      <c r="AW1224" s="394"/>
      <c r="AX1224" s="394"/>
      <c r="AY1224" s="394"/>
      <c r="AZ1224" s="394"/>
      <c r="BA1224" s="394"/>
      <c r="BB1224" s="394"/>
      <c r="BC1224" s="394"/>
      <c r="BD1224" s="381"/>
      <c r="BE1224" s="408"/>
      <c r="BF1224" s="385"/>
      <c r="BG1224" s="475"/>
      <c r="BH1224" s="395"/>
      <c r="BI1224" s="395" t="e">
        <f t="shared" si="861"/>
        <v>#DIV/0!</v>
      </c>
    </row>
    <row r="1225" spans="1:61" s="358" customFormat="1" ht="19.2" x14ac:dyDescent="0.3">
      <c r="A1225" s="359" t="s">
        <v>2024</v>
      </c>
      <c r="B1225" s="572" t="s">
        <v>3757</v>
      </c>
      <c r="C1225" s="546" t="s">
        <v>2848</v>
      </c>
      <c r="D1225" s="360">
        <v>0.22</v>
      </c>
      <c r="E1225" s="393"/>
      <c r="F1225" s="523"/>
      <c r="G1225" s="393"/>
      <c r="H1225" s="573"/>
      <c r="I1225" s="394"/>
      <c r="J1225" s="394"/>
      <c r="K1225" s="394"/>
      <c r="L1225" s="394"/>
      <c r="M1225" s="394"/>
      <c r="N1225" s="394"/>
      <c r="O1225" s="394"/>
      <c r="P1225" s="394"/>
      <c r="Q1225" s="394"/>
      <c r="R1225" s="381"/>
      <c r="S1225" s="408"/>
      <c r="T1225" s="385"/>
      <c r="U1225" s="475"/>
      <c r="V1225" s="395"/>
      <c r="W1225" s="395"/>
      <c r="X1225" s="393"/>
      <c r="Y1225" s="523">
        <v>1</v>
      </c>
      <c r="Z1225" s="393"/>
      <c r="AA1225" s="573">
        <v>10.89724</v>
      </c>
      <c r="AB1225" s="394">
        <v>7.9744299999999999</v>
      </c>
      <c r="AC1225" s="394">
        <v>6.2995099999999997</v>
      </c>
      <c r="AD1225" s="394"/>
      <c r="AE1225" s="394"/>
      <c r="AF1225" s="394">
        <v>0</v>
      </c>
      <c r="AG1225" s="394">
        <v>0</v>
      </c>
      <c r="AH1225" s="394">
        <v>0.68139000000000005</v>
      </c>
      <c r="AI1225" s="394">
        <v>6.2995099999999997</v>
      </c>
      <c r="AJ1225" s="394"/>
      <c r="AK1225" s="381" t="s">
        <v>167</v>
      </c>
      <c r="AL1225" s="408" t="s">
        <v>175</v>
      </c>
      <c r="AM1225" s="385"/>
      <c r="AN1225" s="475">
        <v>777</v>
      </c>
      <c r="AO1225" s="395"/>
      <c r="AP1225" s="395">
        <f t="shared" si="860"/>
        <v>10.89724</v>
      </c>
      <c r="AQ1225" s="393"/>
      <c r="AR1225" s="523"/>
      <c r="AS1225" s="393"/>
      <c r="AT1225" s="573"/>
      <c r="AU1225" s="394"/>
      <c r="AV1225" s="394"/>
      <c r="AW1225" s="394"/>
      <c r="AX1225" s="394"/>
      <c r="AY1225" s="394"/>
      <c r="AZ1225" s="394"/>
      <c r="BA1225" s="394"/>
      <c r="BB1225" s="394"/>
      <c r="BC1225" s="394"/>
      <c r="BD1225" s="381"/>
      <c r="BE1225" s="408"/>
      <c r="BF1225" s="385"/>
      <c r="BG1225" s="475"/>
      <c r="BH1225" s="395"/>
      <c r="BI1225" s="395" t="e">
        <f t="shared" si="861"/>
        <v>#DIV/0!</v>
      </c>
    </row>
    <row r="1226" spans="1:61" s="358" customFormat="1" ht="19.2" x14ac:dyDescent="0.3">
      <c r="A1226" s="359" t="s">
        <v>2025</v>
      </c>
      <c r="B1226" s="572" t="s">
        <v>3758</v>
      </c>
      <c r="C1226" s="546" t="s">
        <v>2849</v>
      </c>
      <c r="D1226" s="360">
        <v>0.22</v>
      </c>
      <c r="E1226" s="393"/>
      <c r="F1226" s="523"/>
      <c r="G1226" s="393"/>
      <c r="H1226" s="573"/>
      <c r="I1226" s="394"/>
      <c r="J1226" s="394"/>
      <c r="K1226" s="394"/>
      <c r="L1226" s="394"/>
      <c r="M1226" s="394"/>
      <c r="N1226" s="394"/>
      <c r="O1226" s="394"/>
      <c r="P1226" s="394"/>
      <c r="Q1226" s="394"/>
      <c r="R1226" s="381"/>
      <c r="S1226" s="408"/>
      <c r="T1226" s="385"/>
      <c r="U1226" s="475"/>
      <c r="V1226" s="395"/>
      <c r="W1226" s="395"/>
      <c r="X1226" s="393"/>
      <c r="Y1226" s="523">
        <v>1</v>
      </c>
      <c r="Z1226" s="393"/>
      <c r="AA1226" s="573">
        <v>10.89725</v>
      </c>
      <c r="AB1226" s="394">
        <v>7.9744400000000004</v>
      </c>
      <c r="AC1226" s="394">
        <v>6.2995099999999997</v>
      </c>
      <c r="AD1226" s="394"/>
      <c r="AE1226" s="394"/>
      <c r="AF1226" s="394">
        <v>0</v>
      </c>
      <c r="AG1226" s="394">
        <v>0</v>
      </c>
      <c r="AH1226" s="394">
        <v>0.68139000000000005</v>
      </c>
      <c r="AI1226" s="394">
        <v>6.2995099999999997</v>
      </c>
      <c r="AJ1226" s="394"/>
      <c r="AK1226" s="381" t="s">
        <v>167</v>
      </c>
      <c r="AL1226" s="408" t="s">
        <v>175</v>
      </c>
      <c r="AM1226" s="385"/>
      <c r="AN1226" s="475">
        <v>778</v>
      </c>
      <c r="AO1226" s="395"/>
      <c r="AP1226" s="395">
        <f t="shared" si="860"/>
        <v>10.89725</v>
      </c>
      <c r="AQ1226" s="393"/>
      <c r="AR1226" s="523"/>
      <c r="AS1226" s="393"/>
      <c r="AT1226" s="573"/>
      <c r="AU1226" s="394"/>
      <c r="AV1226" s="394"/>
      <c r="AW1226" s="394"/>
      <c r="AX1226" s="394"/>
      <c r="AY1226" s="394"/>
      <c r="AZ1226" s="394"/>
      <c r="BA1226" s="394"/>
      <c r="BB1226" s="394"/>
      <c r="BC1226" s="394"/>
      <c r="BD1226" s="381"/>
      <c r="BE1226" s="408"/>
      <c r="BF1226" s="385"/>
      <c r="BG1226" s="475"/>
      <c r="BH1226" s="395"/>
      <c r="BI1226" s="395" t="e">
        <f t="shared" si="861"/>
        <v>#DIV/0!</v>
      </c>
    </row>
    <row r="1227" spans="1:61" s="358" customFormat="1" ht="19.2" x14ac:dyDescent="0.3">
      <c r="A1227" s="359" t="s">
        <v>2026</v>
      </c>
      <c r="B1227" s="572" t="s">
        <v>3759</v>
      </c>
      <c r="C1227" s="546" t="s">
        <v>2850</v>
      </c>
      <c r="D1227" s="360">
        <v>0.22</v>
      </c>
      <c r="E1227" s="393"/>
      <c r="F1227" s="523"/>
      <c r="G1227" s="393"/>
      <c r="H1227" s="573"/>
      <c r="I1227" s="394"/>
      <c r="J1227" s="394"/>
      <c r="K1227" s="394"/>
      <c r="L1227" s="394"/>
      <c r="M1227" s="394"/>
      <c r="N1227" s="394"/>
      <c r="O1227" s="394"/>
      <c r="P1227" s="394"/>
      <c r="Q1227" s="394"/>
      <c r="R1227" s="381"/>
      <c r="S1227" s="408"/>
      <c r="T1227" s="385"/>
      <c r="U1227" s="475"/>
      <c r="V1227" s="395"/>
      <c r="W1227" s="395"/>
      <c r="X1227" s="393"/>
      <c r="Y1227" s="523">
        <v>1</v>
      </c>
      <c r="Z1227" s="393"/>
      <c r="AA1227" s="573">
        <v>10.897259999999999</v>
      </c>
      <c r="AB1227" s="394">
        <v>7.97445</v>
      </c>
      <c r="AC1227" s="394">
        <v>6.2995099999999997</v>
      </c>
      <c r="AD1227" s="394"/>
      <c r="AE1227" s="394"/>
      <c r="AF1227" s="394">
        <v>0</v>
      </c>
      <c r="AG1227" s="394">
        <v>0</v>
      </c>
      <c r="AH1227" s="394">
        <v>0.68139000000000005</v>
      </c>
      <c r="AI1227" s="394">
        <v>6.2995099999999997</v>
      </c>
      <c r="AJ1227" s="394"/>
      <c r="AK1227" s="381" t="s">
        <v>167</v>
      </c>
      <c r="AL1227" s="408" t="s">
        <v>175</v>
      </c>
      <c r="AM1227" s="385"/>
      <c r="AN1227" s="475">
        <v>779</v>
      </c>
      <c r="AO1227" s="395"/>
      <c r="AP1227" s="395">
        <f t="shared" si="860"/>
        <v>10.897259999999999</v>
      </c>
      <c r="AQ1227" s="393"/>
      <c r="AR1227" s="523"/>
      <c r="AS1227" s="393"/>
      <c r="AT1227" s="573"/>
      <c r="AU1227" s="394"/>
      <c r="AV1227" s="394"/>
      <c r="AW1227" s="394"/>
      <c r="AX1227" s="394"/>
      <c r="AY1227" s="394"/>
      <c r="AZ1227" s="394"/>
      <c r="BA1227" s="394"/>
      <c r="BB1227" s="394"/>
      <c r="BC1227" s="394"/>
      <c r="BD1227" s="381"/>
      <c r="BE1227" s="408"/>
      <c r="BF1227" s="385"/>
      <c r="BG1227" s="475"/>
      <c r="BH1227" s="395"/>
      <c r="BI1227" s="395" t="e">
        <f t="shared" si="861"/>
        <v>#DIV/0!</v>
      </c>
    </row>
    <row r="1228" spans="1:61" s="358" customFormat="1" ht="19.2" x14ac:dyDescent="0.3">
      <c r="A1228" s="359" t="s">
        <v>2027</v>
      </c>
      <c r="B1228" s="572" t="s">
        <v>3760</v>
      </c>
      <c r="C1228" s="546" t="s">
        <v>2851</v>
      </c>
      <c r="D1228" s="360">
        <v>0.22</v>
      </c>
      <c r="E1228" s="393"/>
      <c r="F1228" s="523"/>
      <c r="G1228" s="393"/>
      <c r="H1228" s="573"/>
      <c r="I1228" s="394"/>
      <c r="J1228" s="394"/>
      <c r="K1228" s="394"/>
      <c r="L1228" s="394"/>
      <c r="M1228" s="394"/>
      <c r="N1228" s="394"/>
      <c r="O1228" s="394"/>
      <c r="P1228" s="394"/>
      <c r="Q1228" s="394"/>
      <c r="R1228" s="381"/>
      <c r="S1228" s="408"/>
      <c r="T1228" s="385"/>
      <c r="U1228" s="475"/>
      <c r="V1228" s="395"/>
      <c r="W1228" s="395"/>
      <c r="X1228" s="393"/>
      <c r="Y1228" s="523">
        <v>1</v>
      </c>
      <c r="Z1228" s="393"/>
      <c r="AA1228" s="573">
        <v>10.89725</v>
      </c>
      <c r="AB1228" s="394">
        <v>7.9744400000000004</v>
      </c>
      <c r="AC1228" s="394">
        <v>6.2995099999999997</v>
      </c>
      <c r="AD1228" s="394"/>
      <c r="AE1228" s="394"/>
      <c r="AF1228" s="394">
        <v>0</v>
      </c>
      <c r="AG1228" s="394">
        <v>0</v>
      </c>
      <c r="AH1228" s="394">
        <v>0.68139000000000005</v>
      </c>
      <c r="AI1228" s="394">
        <v>6.2995099999999997</v>
      </c>
      <c r="AJ1228" s="394"/>
      <c r="AK1228" s="381" t="s">
        <v>167</v>
      </c>
      <c r="AL1228" s="408" t="s">
        <v>175</v>
      </c>
      <c r="AM1228" s="385"/>
      <c r="AN1228" s="475">
        <v>780</v>
      </c>
      <c r="AO1228" s="395"/>
      <c r="AP1228" s="395">
        <f t="shared" si="860"/>
        <v>10.89725</v>
      </c>
      <c r="AQ1228" s="393"/>
      <c r="AR1228" s="523"/>
      <c r="AS1228" s="393"/>
      <c r="AT1228" s="573"/>
      <c r="AU1228" s="394"/>
      <c r="AV1228" s="394"/>
      <c r="AW1228" s="394"/>
      <c r="AX1228" s="394"/>
      <c r="AY1228" s="394"/>
      <c r="AZ1228" s="394"/>
      <c r="BA1228" s="394"/>
      <c r="BB1228" s="394"/>
      <c r="BC1228" s="394"/>
      <c r="BD1228" s="381"/>
      <c r="BE1228" s="408"/>
      <c r="BF1228" s="385"/>
      <c r="BG1228" s="475"/>
      <c r="BH1228" s="395"/>
      <c r="BI1228" s="395" t="e">
        <f t="shared" si="861"/>
        <v>#DIV/0!</v>
      </c>
    </row>
    <row r="1229" spans="1:61" s="358" customFormat="1" ht="19.2" x14ac:dyDescent="0.3">
      <c r="A1229" s="359" t="s">
        <v>2028</v>
      </c>
      <c r="B1229" s="572" t="s">
        <v>3761</v>
      </c>
      <c r="C1229" s="546" t="s">
        <v>2852</v>
      </c>
      <c r="D1229" s="360">
        <v>0.22</v>
      </c>
      <c r="E1229" s="393"/>
      <c r="F1229" s="523"/>
      <c r="G1229" s="393"/>
      <c r="H1229" s="573"/>
      <c r="I1229" s="394"/>
      <c r="J1229" s="394"/>
      <c r="K1229" s="394"/>
      <c r="L1229" s="394"/>
      <c r="M1229" s="394"/>
      <c r="N1229" s="394"/>
      <c r="O1229" s="394"/>
      <c r="P1229" s="394"/>
      <c r="Q1229" s="394"/>
      <c r="R1229" s="381"/>
      <c r="S1229" s="408"/>
      <c r="T1229" s="385"/>
      <c r="U1229" s="475"/>
      <c r="V1229" s="395"/>
      <c r="W1229" s="395"/>
      <c r="X1229" s="393"/>
      <c r="Y1229" s="523">
        <v>1</v>
      </c>
      <c r="Z1229" s="393"/>
      <c r="AA1229" s="573">
        <v>10.89725</v>
      </c>
      <c r="AB1229" s="394">
        <v>7.9744400000000004</v>
      </c>
      <c r="AC1229" s="394">
        <v>6.2995099999999997</v>
      </c>
      <c r="AD1229" s="394"/>
      <c r="AE1229" s="394"/>
      <c r="AF1229" s="394">
        <v>0</v>
      </c>
      <c r="AG1229" s="394">
        <v>0</v>
      </c>
      <c r="AH1229" s="394">
        <v>0.68139000000000005</v>
      </c>
      <c r="AI1229" s="394">
        <v>6.2995099999999997</v>
      </c>
      <c r="AJ1229" s="394"/>
      <c r="AK1229" s="381" t="s">
        <v>167</v>
      </c>
      <c r="AL1229" s="408" t="s">
        <v>175</v>
      </c>
      <c r="AM1229" s="385"/>
      <c r="AN1229" s="475">
        <v>781</v>
      </c>
      <c r="AO1229" s="395"/>
      <c r="AP1229" s="395">
        <f t="shared" si="860"/>
        <v>10.89725</v>
      </c>
      <c r="AQ1229" s="393"/>
      <c r="AR1229" s="523"/>
      <c r="AS1229" s="393"/>
      <c r="AT1229" s="573"/>
      <c r="AU1229" s="394"/>
      <c r="AV1229" s="394"/>
      <c r="AW1229" s="394"/>
      <c r="AX1229" s="394"/>
      <c r="AY1229" s="394"/>
      <c r="AZ1229" s="394"/>
      <c r="BA1229" s="394"/>
      <c r="BB1229" s="394"/>
      <c r="BC1229" s="394"/>
      <c r="BD1229" s="381"/>
      <c r="BE1229" s="408"/>
      <c r="BF1229" s="385"/>
      <c r="BG1229" s="475"/>
      <c r="BH1229" s="395"/>
      <c r="BI1229" s="395" t="e">
        <f t="shared" si="861"/>
        <v>#DIV/0!</v>
      </c>
    </row>
    <row r="1230" spans="1:61" s="358" customFormat="1" ht="19.2" x14ac:dyDescent="0.3">
      <c r="A1230" s="359" t="s">
        <v>2029</v>
      </c>
      <c r="B1230" s="572" t="s">
        <v>3762</v>
      </c>
      <c r="C1230" s="546" t="s">
        <v>2853</v>
      </c>
      <c r="D1230" s="360">
        <v>0.22</v>
      </c>
      <c r="E1230" s="393"/>
      <c r="F1230" s="523"/>
      <c r="G1230" s="393"/>
      <c r="H1230" s="573"/>
      <c r="I1230" s="394"/>
      <c r="J1230" s="394"/>
      <c r="K1230" s="394"/>
      <c r="L1230" s="394"/>
      <c r="M1230" s="394"/>
      <c r="N1230" s="394"/>
      <c r="O1230" s="394"/>
      <c r="P1230" s="394"/>
      <c r="Q1230" s="394"/>
      <c r="R1230" s="381"/>
      <c r="S1230" s="408"/>
      <c r="T1230" s="385"/>
      <c r="U1230" s="475"/>
      <c r="V1230" s="395"/>
      <c r="W1230" s="395"/>
      <c r="X1230" s="393"/>
      <c r="Y1230" s="523">
        <v>1</v>
      </c>
      <c r="Z1230" s="393"/>
      <c r="AA1230" s="573">
        <v>10.897259999999999</v>
      </c>
      <c r="AB1230" s="394">
        <v>7.97445</v>
      </c>
      <c r="AC1230" s="394">
        <v>6.2995099999999997</v>
      </c>
      <c r="AD1230" s="394"/>
      <c r="AE1230" s="394"/>
      <c r="AF1230" s="394">
        <v>0</v>
      </c>
      <c r="AG1230" s="394">
        <v>0</v>
      </c>
      <c r="AH1230" s="394">
        <v>0.68139000000000005</v>
      </c>
      <c r="AI1230" s="394">
        <v>6.2995099999999997</v>
      </c>
      <c r="AJ1230" s="394"/>
      <c r="AK1230" s="381" t="s">
        <v>167</v>
      </c>
      <c r="AL1230" s="408" t="s">
        <v>175</v>
      </c>
      <c r="AM1230" s="385"/>
      <c r="AN1230" s="475">
        <v>782</v>
      </c>
      <c r="AO1230" s="395"/>
      <c r="AP1230" s="395">
        <f t="shared" si="860"/>
        <v>10.897259999999999</v>
      </c>
      <c r="AQ1230" s="393"/>
      <c r="AR1230" s="523"/>
      <c r="AS1230" s="393"/>
      <c r="AT1230" s="573"/>
      <c r="AU1230" s="394"/>
      <c r="AV1230" s="394"/>
      <c r="AW1230" s="394"/>
      <c r="AX1230" s="394"/>
      <c r="AY1230" s="394"/>
      <c r="AZ1230" s="394"/>
      <c r="BA1230" s="394"/>
      <c r="BB1230" s="394"/>
      <c r="BC1230" s="394"/>
      <c r="BD1230" s="381"/>
      <c r="BE1230" s="408"/>
      <c r="BF1230" s="385"/>
      <c r="BG1230" s="475"/>
      <c r="BH1230" s="395"/>
      <c r="BI1230" s="395" t="e">
        <f t="shared" si="861"/>
        <v>#DIV/0!</v>
      </c>
    </row>
    <row r="1231" spans="1:61" s="358" customFormat="1" ht="19.2" x14ac:dyDescent="0.3">
      <c r="A1231" s="359" t="s">
        <v>2030</v>
      </c>
      <c r="B1231" s="572" t="s">
        <v>3763</v>
      </c>
      <c r="C1231" s="546" t="s">
        <v>2854</v>
      </c>
      <c r="D1231" s="360">
        <v>0.22</v>
      </c>
      <c r="E1231" s="393"/>
      <c r="F1231" s="523"/>
      <c r="G1231" s="393"/>
      <c r="H1231" s="573"/>
      <c r="I1231" s="394"/>
      <c r="J1231" s="394"/>
      <c r="K1231" s="394"/>
      <c r="L1231" s="394"/>
      <c r="M1231" s="394"/>
      <c r="N1231" s="394"/>
      <c r="O1231" s="394"/>
      <c r="P1231" s="394"/>
      <c r="Q1231" s="394"/>
      <c r="R1231" s="381"/>
      <c r="S1231" s="408"/>
      <c r="T1231" s="385"/>
      <c r="U1231" s="475"/>
      <c r="V1231" s="395"/>
      <c r="W1231" s="395"/>
      <c r="X1231" s="393"/>
      <c r="Y1231" s="523">
        <v>1</v>
      </c>
      <c r="Z1231" s="393"/>
      <c r="AA1231" s="573">
        <v>10.89725</v>
      </c>
      <c r="AB1231" s="394">
        <v>7.9744400000000004</v>
      </c>
      <c r="AC1231" s="394">
        <v>6.2995099999999997</v>
      </c>
      <c r="AD1231" s="394"/>
      <c r="AE1231" s="394"/>
      <c r="AF1231" s="394">
        <v>0</v>
      </c>
      <c r="AG1231" s="394">
        <v>0</v>
      </c>
      <c r="AH1231" s="394">
        <v>0.68139000000000005</v>
      </c>
      <c r="AI1231" s="394">
        <v>6.2995099999999997</v>
      </c>
      <c r="AJ1231" s="394"/>
      <c r="AK1231" s="381" t="s">
        <v>167</v>
      </c>
      <c r="AL1231" s="408" t="s">
        <v>175</v>
      </c>
      <c r="AM1231" s="385"/>
      <c r="AN1231" s="475">
        <v>783</v>
      </c>
      <c r="AO1231" s="395"/>
      <c r="AP1231" s="395">
        <f t="shared" si="860"/>
        <v>10.89725</v>
      </c>
      <c r="AQ1231" s="393"/>
      <c r="AR1231" s="523"/>
      <c r="AS1231" s="393"/>
      <c r="AT1231" s="573"/>
      <c r="AU1231" s="394"/>
      <c r="AV1231" s="394"/>
      <c r="AW1231" s="394"/>
      <c r="AX1231" s="394"/>
      <c r="AY1231" s="394"/>
      <c r="AZ1231" s="394"/>
      <c r="BA1231" s="394"/>
      <c r="BB1231" s="394"/>
      <c r="BC1231" s="394"/>
      <c r="BD1231" s="381"/>
      <c r="BE1231" s="408"/>
      <c r="BF1231" s="385"/>
      <c r="BG1231" s="475"/>
      <c r="BH1231" s="395"/>
      <c r="BI1231" s="395" t="e">
        <f t="shared" si="861"/>
        <v>#DIV/0!</v>
      </c>
    </row>
    <row r="1232" spans="1:61" s="358" customFormat="1" ht="19.2" x14ac:dyDescent="0.3">
      <c r="A1232" s="359" t="s">
        <v>2047</v>
      </c>
      <c r="B1232" s="572" t="s">
        <v>3764</v>
      </c>
      <c r="C1232" s="546" t="s">
        <v>2855</v>
      </c>
      <c r="D1232" s="360">
        <v>0.22</v>
      </c>
      <c r="E1232" s="393"/>
      <c r="F1232" s="523"/>
      <c r="G1232" s="393"/>
      <c r="H1232" s="573"/>
      <c r="I1232" s="394"/>
      <c r="J1232" s="394"/>
      <c r="K1232" s="394"/>
      <c r="L1232" s="394"/>
      <c r="M1232" s="394"/>
      <c r="N1232" s="394"/>
      <c r="O1232" s="394"/>
      <c r="P1232" s="394"/>
      <c r="Q1232" s="394"/>
      <c r="R1232" s="381"/>
      <c r="S1232" s="408"/>
      <c r="T1232" s="385"/>
      <c r="U1232" s="475"/>
      <c r="V1232" s="395"/>
      <c r="W1232" s="395"/>
      <c r="X1232" s="393"/>
      <c r="Y1232" s="523">
        <v>1</v>
      </c>
      <c r="Z1232" s="393"/>
      <c r="AA1232" s="573">
        <v>10.89725</v>
      </c>
      <c r="AB1232" s="394">
        <v>7.9744400000000004</v>
      </c>
      <c r="AC1232" s="394">
        <v>6.2995099999999997</v>
      </c>
      <c r="AD1232" s="394"/>
      <c r="AE1232" s="394"/>
      <c r="AF1232" s="394">
        <v>0</v>
      </c>
      <c r="AG1232" s="394">
        <v>0</v>
      </c>
      <c r="AH1232" s="394">
        <v>0.68139000000000005</v>
      </c>
      <c r="AI1232" s="394">
        <v>6.2995099999999997</v>
      </c>
      <c r="AJ1232" s="394"/>
      <c r="AK1232" s="381" t="s">
        <v>167</v>
      </c>
      <c r="AL1232" s="408" t="s">
        <v>175</v>
      </c>
      <c r="AM1232" s="385"/>
      <c r="AN1232" s="475">
        <v>784</v>
      </c>
      <c r="AO1232" s="395"/>
      <c r="AP1232" s="395">
        <f t="shared" si="860"/>
        <v>10.89725</v>
      </c>
      <c r="AQ1232" s="393"/>
      <c r="AR1232" s="523"/>
      <c r="AS1232" s="393"/>
      <c r="AT1232" s="573"/>
      <c r="AU1232" s="394"/>
      <c r="AV1232" s="394"/>
      <c r="AW1232" s="394"/>
      <c r="AX1232" s="394"/>
      <c r="AY1232" s="394"/>
      <c r="AZ1232" s="394"/>
      <c r="BA1232" s="394"/>
      <c r="BB1232" s="394"/>
      <c r="BC1232" s="394"/>
      <c r="BD1232" s="381"/>
      <c r="BE1232" s="408"/>
      <c r="BF1232" s="385"/>
      <c r="BG1232" s="475"/>
      <c r="BH1232" s="395"/>
      <c r="BI1232" s="395" t="e">
        <f t="shared" si="861"/>
        <v>#DIV/0!</v>
      </c>
    </row>
    <row r="1233" spans="1:61" s="358" customFormat="1" ht="19.2" x14ac:dyDescent="0.3">
      <c r="A1233" s="359" t="s">
        <v>2032</v>
      </c>
      <c r="B1233" s="572" t="s">
        <v>3765</v>
      </c>
      <c r="C1233" s="546" t="s">
        <v>2856</v>
      </c>
      <c r="D1233" s="360">
        <v>0.22</v>
      </c>
      <c r="E1233" s="393"/>
      <c r="F1233" s="523"/>
      <c r="G1233" s="393"/>
      <c r="H1233" s="573"/>
      <c r="I1233" s="394"/>
      <c r="J1233" s="394"/>
      <c r="K1233" s="394"/>
      <c r="L1233" s="394"/>
      <c r="M1233" s="394"/>
      <c r="N1233" s="394"/>
      <c r="O1233" s="394"/>
      <c r="P1233" s="394"/>
      <c r="Q1233" s="394"/>
      <c r="R1233" s="381"/>
      <c r="S1233" s="408"/>
      <c r="T1233" s="385"/>
      <c r="U1233" s="475"/>
      <c r="V1233" s="395"/>
      <c r="W1233" s="395"/>
      <c r="X1233" s="393"/>
      <c r="Y1233" s="523">
        <v>1</v>
      </c>
      <c r="Z1233" s="393"/>
      <c r="AA1233" s="573">
        <v>10.89725</v>
      </c>
      <c r="AB1233" s="394">
        <v>7.9744400000000004</v>
      </c>
      <c r="AC1233" s="394">
        <v>6.2995099999999997</v>
      </c>
      <c r="AD1233" s="394"/>
      <c r="AE1233" s="394"/>
      <c r="AF1233" s="394">
        <v>0</v>
      </c>
      <c r="AG1233" s="394">
        <v>0</v>
      </c>
      <c r="AH1233" s="394">
        <v>0.68139000000000005</v>
      </c>
      <c r="AI1233" s="394">
        <v>6.2995099999999997</v>
      </c>
      <c r="AJ1233" s="394"/>
      <c r="AK1233" s="381" t="s">
        <v>167</v>
      </c>
      <c r="AL1233" s="408" t="s">
        <v>175</v>
      </c>
      <c r="AM1233" s="385"/>
      <c r="AN1233" s="475">
        <v>785</v>
      </c>
      <c r="AO1233" s="395"/>
      <c r="AP1233" s="395">
        <f t="shared" si="860"/>
        <v>10.89725</v>
      </c>
      <c r="AQ1233" s="393"/>
      <c r="AR1233" s="523"/>
      <c r="AS1233" s="393"/>
      <c r="AT1233" s="573"/>
      <c r="AU1233" s="394"/>
      <c r="AV1233" s="394"/>
      <c r="AW1233" s="394"/>
      <c r="AX1233" s="394"/>
      <c r="AY1233" s="394"/>
      <c r="AZ1233" s="394"/>
      <c r="BA1233" s="394"/>
      <c r="BB1233" s="394"/>
      <c r="BC1233" s="394"/>
      <c r="BD1233" s="381"/>
      <c r="BE1233" s="408"/>
      <c r="BF1233" s="385"/>
      <c r="BG1233" s="475"/>
      <c r="BH1233" s="395"/>
      <c r="BI1233" s="395" t="e">
        <f t="shared" si="861"/>
        <v>#DIV/0!</v>
      </c>
    </row>
    <row r="1234" spans="1:61" s="358" customFormat="1" ht="19.2" x14ac:dyDescent="0.3">
      <c r="A1234" s="359" t="s">
        <v>2033</v>
      </c>
      <c r="B1234" s="572" t="s">
        <v>3766</v>
      </c>
      <c r="C1234" s="546" t="s">
        <v>2857</v>
      </c>
      <c r="D1234" s="360">
        <v>0.22</v>
      </c>
      <c r="E1234" s="393"/>
      <c r="F1234" s="523"/>
      <c r="G1234" s="393"/>
      <c r="H1234" s="573"/>
      <c r="I1234" s="394"/>
      <c r="J1234" s="394"/>
      <c r="K1234" s="394"/>
      <c r="L1234" s="394"/>
      <c r="M1234" s="394"/>
      <c r="N1234" s="394"/>
      <c r="O1234" s="394"/>
      <c r="P1234" s="394"/>
      <c r="Q1234" s="394"/>
      <c r="R1234" s="381"/>
      <c r="S1234" s="408"/>
      <c r="T1234" s="385"/>
      <c r="U1234" s="475"/>
      <c r="V1234" s="395"/>
      <c r="W1234" s="395"/>
      <c r="X1234" s="393"/>
      <c r="Y1234" s="523">
        <v>1</v>
      </c>
      <c r="Z1234" s="393"/>
      <c r="AA1234" s="573">
        <v>10.897259999999999</v>
      </c>
      <c r="AB1234" s="394">
        <v>7.97445</v>
      </c>
      <c r="AC1234" s="394">
        <v>6.2995099999999997</v>
      </c>
      <c r="AD1234" s="394"/>
      <c r="AE1234" s="394"/>
      <c r="AF1234" s="394">
        <v>0</v>
      </c>
      <c r="AG1234" s="394">
        <v>0</v>
      </c>
      <c r="AH1234" s="394">
        <v>0.68139000000000005</v>
      </c>
      <c r="AI1234" s="394">
        <v>6.2995099999999997</v>
      </c>
      <c r="AJ1234" s="394"/>
      <c r="AK1234" s="381" t="s">
        <v>167</v>
      </c>
      <c r="AL1234" s="408" t="s">
        <v>175</v>
      </c>
      <c r="AM1234" s="385"/>
      <c r="AN1234" s="475">
        <v>786</v>
      </c>
      <c r="AO1234" s="395"/>
      <c r="AP1234" s="395">
        <f t="shared" si="860"/>
        <v>10.897259999999999</v>
      </c>
      <c r="AQ1234" s="393"/>
      <c r="AR1234" s="523"/>
      <c r="AS1234" s="393"/>
      <c r="AT1234" s="573"/>
      <c r="AU1234" s="394"/>
      <c r="AV1234" s="394"/>
      <c r="AW1234" s="394"/>
      <c r="AX1234" s="394"/>
      <c r="AY1234" s="394"/>
      <c r="AZ1234" s="394"/>
      <c r="BA1234" s="394"/>
      <c r="BB1234" s="394"/>
      <c r="BC1234" s="394"/>
      <c r="BD1234" s="381"/>
      <c r="BE1234" s="408"/>
      <c r="BF1234" s="385"/>
      <c r="BG1234" s="475"/>
      <c r="BH1234" s="395"/>
      <c r="BI1234" s="395" t="e">
        <f t="shared" si="861"/>
        <v>#DIV/0!</v>
      </c>
    </row>
    <row r="1235" spans="1:61" s="358" customFormat="1" ht="19.2" x14ac:dyDescent="0.3">
      <c r="A1235" s="359" t="s">
        <v>2018</v>
      </c>
      <c r="B1235" s="572" t="s">
        <v>3767</v>
      </c>
      <c r="C1235" s="546" t="s">
        <v>2858</v>
      </c>
      <c r="D1235" s="360">
        <v>0.22</v>
      </c>
      <c r="E1235" s="393"/>
      <c r="F1235" s="523"/>
      <c r="G1235" s="393"/>
      <c r="H1235" s="573"/>
      <c r="I1235" s="394"/>
      <c r="J1235" s="394"/>
      <c r="K1235" s="394"/>
      <c r="L1235" s="394"/>
      <c r="M1235" s="394"/>
      <c r="N1235" s="394"/>
      <c r="O1235" s="394"/>
      <c r="P1235" s="394"/>
      <c r="Q1235" s="394"/>
      <c r="R1235" s="381"/>
      <c r="S1235" s="408"/>
      <c r="T1235" s="385"/>
      <c r="U1235" s="475"/>
      <c r="V1235" s="395"/>
      <c r="W1235" s="395"/>
      <c r="X1235" s="393"/>
      <c r="Y1235" s="523">
        <v>1</v>
      </c>
      <c r="Z1235" s="393"/>
      <c r="AA1235" s="573">
        <v>10.89725</v>
      </c>
      <c r="AB1235" s="394">
        <v>7.9744400000000004</v>
      </c>
      <c r="AC1235" s="394">
        <v>6.2995099999999997</v>
      </c>
      <c r="AD1235" s="394"/>
      <c r="AE1235" s="394"/>
      <c r="AF1235" s="394">
        <v>0</v>
      </c>
      <c r="AG1235" s="394">
        <v>0</v>
      </c>
      <c r="AH1235" s="394">
        <v>0.68139000000000005</v>
      </c>
      <c r="AI1235" s="394">
        <v>6.2995099999999997</v>
      </c>
      <c r="AJ1235" s="394"/>
      <c r="AK1235" s="381" t="s">
        <v>167</v>
      </c>
      <c r="AL1235" s="408" t="s">
        <v>175</v>
      </c>
      <c r="AM1235" s="385"/>
      <c r="AN1235" s="475">
        <v>787</v>
      </c>
      <c r="AO1235" s="395"/>
      <c r="AP1235" s="395">
        <f t="shared" si="860"/>
        <v>10.89725</v>
      </c>
      <c r="AQ1235" s="393"/>
      <c r="AR1235" s="523"/>
      <c r="AS1235" s="393"/>
      <c r="AT1235" s="573"/>
      <c r="AU1235" s="394"/>
      <c r="AV1235" s="394"/>
      <c r="AW1235" s="394"/>
      <c r="AX1235" s="394"/>
      <c r="AY1235" s="394"/>
      <c r="AZ1235" s="394"/>
      <c r="BA1235" s="394"/>
      <c r="BB1235" s="394"/>
      <c r="BC1235" s="394"/>
      <c r="BD1235" s="381"/>
      <c r="BE1235" s="408"/>
      <c r="BF1235" s="385"/>
      <c r="BG1235" s="475"/>
      <c r="BH1235" s="395"/>
      <c r="BI1235" s="395" t="e">
        <f t="shared" si="861"/>
        <v>#DIV/0!</v>
      </c>
    </row>
    <row r="1236" spans="1:61" s="358" customFormat="1" ht="19.2" x14ac:dyDescent="0.3">
      <c r="A1236" s="359" t="s">
        <v>2051</v>
      </c>
      <c r="B1236" s="572" t="s">
        <v>3768</v>
      </c>
      <c r="C1236" s="546" t="s">
        <v>2859</v>
      </c>
      <c r="D1236" s="360">
        <v>0.22</v>
      </c>
      <c r="E1236" s="393"/>
      <c r="F1236" s="523"/>
      <c r="G1236" s="393"/>
      <c r="H1236" s="573"/>
      <c r="I1236" s="394"/>
      <c r="J1236" s="394"/>
      <c r="K1236" s="394"/>
      <c r="L1236" s="394"/>
      <c r="M1236" s="394"/>
      <c r="N1236" s="394"/>
      <c r="O1236" s="394"/>
      <c r="P1236" s="394"/>
      <c r="Q1236" s="394"/>
      <c r="R1236" s="381"/>
      <c r="S1236" s="408"/>
      <c r="T1236" s="385"/>
      <c r="U1236" s="475"/>
      <c r="V1236" s="395"/>
      <c r="W1236" s="395"/>
      <c r="X1236" s="393"/>
      <c r="Y1236" s="523">
        <v>1</v>
      </c>
      <c r="Z1236" s="393"/>
      <c r="AA1236" s="573">
        <v>10.89725</v>
      </c>
      <c r="AB1236" s="394">
        <v>7.9744400000000004</v>
      </c>
      <c r="AC1236" s="394">
        <v>6.2995099999999997</v>
      </c>
      <c r="AD1236" s="394"/>
      <c r="AE1236" s="394"/>
      <c r="AF1236" s="394">
        <v>0</v>
      </c>
      <c r="AG1236" s="394">
        <v>0</v>
      </c>
      <c r="AH1236" s="394">
        <v>0.68139000000000005</v>
      </c>
      <c r="AI1236" s="394">
        <v>6.2995099999999997</v>
      </c>
      <c r="AJ1236" s="394"/>
      <c r="AK1236" s="381" t="s">
        <v>167</v>
      </c>
      <c r="AL1236" s="408" t="s">
        <v>175</v>
      </c>
      <c r="AM1236" s="385"/>
      <c r="AN1236" s="475">
        <v>788</v>
      </c>
      <c r="AO1236" s="395"/>
      <c r="AP1236" s="395">
        <f t="shared" si="860"/>
        <v>10.89725</v>
      </c>
      <c r="AQ1236" s="393"/>
      <c r="AR1236" s="523"/>
      <c r="AS1236" s="393"/>
      <c r="AT1236" s="573"/>
      <c r="AU1236" s="394"/>
      <c r="AV1236" s="394"/>
      <c r="AW1236" s="394"/>
      <c r="AX1236" s="394"/>
      <c r="AY1236" s="394"/>
      <c r="AZ1236" s="394"/>
      <c r="BA1236" s="394"/>
      <c r="BB1236" s="394"/>
      <c r="BC1236" s="394"/>
      <c r="BD1236" s="381"/>
      <c r="BE1236" s="408"/>
      <c r="BF1236" s="385"/>
      <c r="BG1236" s="475"/>
      <c r="BH1236" s="395"/>
      <c r="BI1236" s="395" t="e">
        <f t="shared" si="861"/>
        <v>#DIV/0!</v>
      </c>
    </row>
    <row r="1237" spans="1:61" s="358" customFormat="1" ht="19.2" x14ac:dyDescent="0.3">
      <c r="A1237" s="359" t="s">
        <v>2036</v>
      </c>
      <c r="B1237" s="572" t="s">
        <v>3769</v>
      </c>
      <c r="C1237" s="546" t="s">
        <v>2860</v>
      </c>
      <c r="D1237" s="360">
        <v>0.22</v>
      </c>
      <c r="E1237" s="393"/>
      <c r="F1237" s="523"/>
      <c r="G1237" s="393"/>
      <c r="H1237" s="573"/>
      <c r="I1237" s="394"/>
      <c r="J1237" s="394"/>
      <c r="K1237" s="394"/>
      <c r="L1237" s="394"/>
      <c r="M1237" s="394"/>
      <c r="N1237" s="394"/>
      <c r="O1237" s="394"/>
      <c r="P1237" s="394"/>
      <c r="Q1237" s="394"/>
      <c r="R1237" s="381"/>
      <c r="S1237" s="408"/>
      <c r="T1237" s="385"/>
      <c r="U1237" s="475"/>
      <c r="V1237" s="395"/>
      <c r="W1237" s="395"/>
      <c r="X1237" s="393"/>
      <c r="Y1237" s="523">
        <v>1</v>
      </c>
      <c r="Z1237" s="393"/>
      <c r="AA1237" s="573">
        <v>10.89725</v>
      </c>
      <c r="AB1237" s="394">
        <v>7.9744400000000004</v>
      </c>
      <c r="AC1237" s="394">
        <v>6.2995099999999997</v>
      </c>
      <c r="AD1237" s="394"/>
      <c r="AE1237" s="394"/>
      <c r="AF1237" s="394">
        <v>0</v>
      </c>
      <c r="AG1237" s="394">
        <v>0</v>
      </c>
      <c r="AH1237" s="394">
        <v>0.68139000000000005</v>
      </c>
      <c r="AI1237" s="394">
        <v>6.2995099999999997</v>
      </c>
      <c r="AJ1237" s="394"/>
      <c r="AK1237" s="381" t="s">
        <v>167</v>
      </c>
      <c r="AL1237" s="408" t="s">
        <v>175</v>
      </c>
      <c r="AM1237" s="385"/>
      <c r="AN1237" s="475">
        <v>789</v>
      </c>
      <c r="AO1237" s="395"/>
      <c r="AP1237" s="395">
        <f t="shared" si="860"/>
        <v>10.89725</v>
      </c>
      <c r="AQ1237" s="393"/>
      <c r="AR1237" s="523"/>
      <c r="AS1237" s="393"/>
      <c r="AT1237" s="573"/>
      <c r="AU1237" s="394"/>
      <c r="AV1237" s="394"/>
      <c r="AW1237" s="394"/>
      <c r="AX1237" s="394"/>
      <c r="AY1237" s="394"/>
      <c r="AZ1237" s="394"/>
      <c r="BA1237" s="394"/>
      <c r="BB1237" s="394"/>
      <c r="BC1237" s="394"/>
      <c r="BD1237" s="381"/>
      <c r="BE1237" s="408"/>
      <c r="BF1237" s="385"/>
      <c r="BG1237" s="475"/>
      <c r="BH1237" s="395"/>
      <c r="BI1237" s="395" t="e">
        <f t="shared" si="861"/>
        <v>#DIV/0!</v>
      </c>
    </row>
    <row r="1238" spans="1:61" s="358" customFormat="1" ht="19.2" x14ac:dyDescent="0.3">
      <c r="A1238" s="359" t="s">
        <v>2037</v>
      </c>
      <c r="B1238" s="572" t="s">
        <v>3770</v>
      </c>
      <c r="C1238" s="546" t="s">
        <v>2861</v>
      </c>
      <c r="D1238" s="360">
        <v>0.22</v>
      </c>
      <c r="E1238" s="393"/>
      <c r="F1238" s="523"/>
      <c r="G1238" s="393"/>
      <c r="H1238" s="573"/>
      <c r="I1238" s="394"/>
      <c r="J1238" s="394"/>
      <c r="K1238" s="394"/>
      <c r="L1238" s="394"/>
      <c r="M1238" s="394"/>
      <c r="N1238" s="394"/>
      <c r="O1238" s="394"/>
      <c r="P1238" s="394"/>
      <c r="Q1238" s="394"/>
      <c r="R1238" s="381"/>
      <c r="S1238" s="408"/>
      <c r="T1238" s="385"/>
      <c r="U1238" s="475"/>
      <c r="V1238" s="395"/>
      <c r="W1238" s="395"/>
      <c r="X1238" s="393"/>
      <c r="Y1238" s="523">
        <v>1</v>
      </c>
      <c r="Z1238" s="393"/>
      <c r="AA1238" s="573">
        <v>10.89725</v>
      </c>
      <c r="AB1238" s="394">
        <v>7.9744400000000004</v>
      </c>
      <c r="AC1238" s="394">
        <v>6.2995099999999997</v>
      </c>
      <c r="AD1238" s="394"/>
      <c r="AE1238" s="394"/>
      <c r="AF1238" s="394">
        <v>0</v>
      </c>
      <c r="AG1238" s="394">
        <v>0</v>
      </c>
      <c r="AH1238" s="394">
        <v>0.68139000000000005</v>
      </c>
      <c r="AI1238" s="394">
        <v>6.2995099999999997</v>
      </c>
      <c r="AJ1238" s="394"/>
      <c r="AK1238" s="381" t="s">
        <v>167</v>
      </c>
      <c r="AL1238" s="408" t="s">
        <v>175</v>
      </c>
      <c r="AM1238" s="385"/>
      <c r="AN1238" s="475">
        <v>790</v>
      </c>
      <c r="AO1238" s="395"/>
      <c r="AP1238" s="395">
        <f t="shared" si="860"/>
        <v>10.89725</v>
      </c>
      <c r="AQ1238" s="393"/>
      <c r="AR1238" s="523"/>
      <c r="AS1238" s="393"/>
      <c r="AT1238" s="573"/>
      <c r="AU1238" s="394"/>
      <c r="AV1238" s="394"/>
      <c r="AW1238" s="394"/>
      <c r="AX1238" s="394"/>
      <c r="AY1238" s="394"/>
      <c r="AZ1238" s="394"/>
      <c r="BA1238" s="394"/>
      <c r="BB1238" s="394"/>
      <c r="BC1238" s="394"/>
      <c r="BD1238" s="381"/>
      <c r="BE1238" s="408"/>
      <c r="BF1238" s="385"/>
      <c r="BG1238" s="475"/>
      <c r="BH1238" s="395"/>
      <c r="BI1238" s="395" t="e">
        <f t="shared" si="861"/>
        <v>#DIV/0!</v>
      </c>
    </row>
    <row r="1239" spans="1:61" s="358" customFormat="1" ht="19.2" x14ac:dyDescent="0.3">
      <c r="A1239" s="359" t="s">
        <v>2038</v>
      </c>
      <c r="B1239" s="572" t="s">
        <v>3771</v>
      </c>
      <c r="C1239" s="546" t="s">
        <v>2862</v>
      </c>
      <c r="D1239" s="360">
        <v>0.22</v>
      </c>
      <c r="E1239" s="393"/>
      <c r="F1239" s="523"/>
      <c r="G1239" s="393"/>
      <c r="H1239" s="573"/>
      <c r="I1239" s="394"/>
      <c r="J1239" s="394"/>
      <c r="K1239" s="394"/>
      <c r="L1239" s="394"/>
      <c r="M1239" s="394"/>
      <c r="N1239" s="394"/>
      <c r="O1239" s="394"/>
      <c r="P1239" s="394"/>
      <c r="Q1239" s="394"/>
      <c r="R1239" s="381"/>
      <c r="S1239" s="408"/>
      <c r="T1239" s="385"/>
      <c r="U1239" s="475"/>
      <c r="V1239" s="395"/>
      <c r="W1239" s="395"/>
      <c r="X1239" s="393"/>
      <c r="Y1239" s="523">
        <v>1</v>
      </c>
      <c r="Z1239" s="393"/>
      <c r="AA1239" s="573">
        <v>10.89725</v>
      </c>
      <c r="AB1239" s="394">
        <v>7.9744400000000004</v>
      </c>
      <c r="AC1239" s="394">
        <v>6.2995099999999997</v>
      </c>
      <c r="AD1239" s="394"/>
      <c r="AE1239" s="394"/>
      <c r="AF1239" s="394">
        <v>0</v>
      </c>
      <c r="AG1239" s="394">
        <v>0</v>
      </c>
      <c r="AH1239" s="394">
        <v>0.68139000000000005</v>
      </c>
      <c r="AI1239" s="394">
        <v>6.2995099999999997</v>
      </c>
      <c r="AJ1239" s="394"/>
      <c r="AK1239" s="381" t="s">
        <v>167</v>
      </c>
      <c r="AL1239" s="408" t="s">
        <v>175</v>
      </c>
      <c r="AM1239" s="385"/>
      <c r="AN1239" s="475">
        <v>791</v>
      </c>
      <c r="AO1239" s="395"/>
      <c r="AP1239" s="395">
        <f t="shared" si="860"/>
        <v>10.89725</v>
      </c>
      <c r="AQ1239" s="393"/>
      <c r="AR1239" s="523"/>
      <c r="AS1239" s="393"/>
      <c r="AT1239" s="573"/>
      <c r="AU1239" s="394"/>
      <c r="AV1239" s="394"/>
      <c r="AW1239" s="394"/>
      <c r="AX1239" s="394"/>
      <c r="AY1239" s="394"/>
      <c r="AZ1239" s="394"/>
      <c r="BA1239" s="394"/>
      <c r="BB1239" s="394"/>
      <c r="BC1239" s="394"/>
      <c r="BD1239" s="381"/>
      <c r="BE1239" s="408"/>
      <c r="BF1239" s="385"/>
      <c r="BG1239" s="475"/>
      <c r="BH1239" s="395"/>
      <c r="BI1239" s="395" t="e">
        <f t="shared" si="861"/>
        <v>#DIV/0!</v>
      </c>
    </row>
    <row r="1240" spans="1:61" s="358" customFormat="1" ht="19.2" x14ac:dyDescent="0.3">
      <c r="A1240" s="359" t="s">
        <v>2039</v>
      </c>
      <c r="B1240" s="572" t="s">
        <v>3772</v>
      </c>
      <c r="C1240" s="546" t="s">
        <v>2863</v>
      </c>
      <c r="D1240" s="360">
        <v>0.22</v>
      </c>
      <c r="E1240" s="393"/>
      <c r="F1240" s="523"/>
      <c r="G1240" s="393"/>
      <c r="H1240" s="573"/>
      <c r="I1240" s="394"/>
      <c r="J1240" s="394"/>
      <c r="K1240" s="394"/>
      <c r="L1240" s="394"/>
      <c r="M1240" s="394"/>
      <c r="N1240" s="394"/>
      <c r="O1240" s="394"/>
      <c r="P1240" s="394"/>
      <c r="Q1240" s="394"/>
      <c r="R1240" s="381"/>
      <c r="S1240" s="408"/>
      <c r="T1240" s="385"/>
      <c r="U1240" s="475"/>
      <c r="V1240" s="395"/>
      <c r="W1240" s="395"/>
      <c r="X1240" s="393"/>
      <c r="Y1240" s="523">
        <v>1</v>
      </c>
      <c r="Z1240" s="393"/>
      <c r="AA1240" s="573">
        <v>10.89725</v>
      </c>
      <c r="AB1240" s="394">
        <v>7.9744400000000004</v>
      </c>
      <c r="AC1240" s="394">
        <v>6.2995099999999997</v>
      </c>
      <c r="AD1240" s="394"/>
      <c r="AE1240" s="394"/>
      <c r="AF1240" s="394">
        <v>0</v>
      </c>
      <c r="AG1240" s="394">
        <v>0</v>
      </c>
      <c r="AH1240" s="394">
        <v>0.68139000000000005</v>
      </c>
      <c r="AI1240" s="394">
        <v>6.2995099999999997</v>
      </c>
      <c r="AJ1240" s="394"/>
      <c r="AK1240" s="381" t="s">
        <v>167</v>
      </c>
      <c r="AL1240" s="408" t="s">
        <v>175</v>
      </c>
      <c r="AM1240" s="385"/>
      <c r="AN1240" s="475">
        <v>792</v>
      </c>
      <c r="AO1240" s="395"/>
      <c r="AP1240" s="395">
        <f t="shared" si="860"/>
        <v>10.89725</v>
      </c>
      <c r="AQ1240" s="393"/>
      <c r="AR1240" s="523"/>
      <c r="AS1240" s="393"/>
      <c r="AT1240" s="573"/>
      <c r="AU1240" s="394"/>
      <c r="AV1240" s="394"/>
      <c r="AW1240" s="394"/>
      <c r="AX1240" s="394"/>
      <c r="AY1240" s="394"/>
      <c r="AZ1240" s="394"/>
      <c r="BA1240" s="394"/>
      <c r="BB1240" s="394"/>
      <c r="BC1240" s="394"/>
      <c r="BD1240" s="381"/>
      <c r="BE1240" s="408"/>
      <c r="BF1240" s="385"/>
      <c r="BG1240" s="475"/>
      <c r="BH1240" s="395"/>
      <c r="BI1240" s="395" t="e">
        <f t="shared" si="861"/>
        <v>#DIV/0!</v>
      </c>
    </row>
    <row r="1241" spans="1:61" s="358" customFormat="1" ht="19.2" x14ac:dyDescent="0.3">
      <c r="A1241" s="359" t="s">
        <v>2040</v>
      </c>
      <c r="B1241" s="572" t="s">
        <v>2478</v>
      </c>
      <c r="C1241" s="546" t="s">
        <v>2477</v>
      </c>
      <c r="D1241" s="360">
        <v>0.22</v>
      </c>
      <c r="E1241" s="393"/>
      <c r="F1241" s="523"/>
      <c r="G1241" s="393"/>
      <c r="H1241" s="573"/>
      <c r="I1241" s="394"/>
      <c r="J1241" s="394"/>
      <c r="K1241" s="394"/>
      <c r="L1241" s="394"/>
      <c r="M1241" s="394"/>
      <c r="N1241" s="394"/>
      <c r="O1241" s="394"/>
      <c r="P1241" s="394"/>
      <c r="Q1241" s="394"/>
      <c r="R1241" s="381"/>
      <c r="S1241" s="408"/>
      <c r="T1241" s="385"/>
      <c r="U1241" s="475"/>
      <c r="V1241" s="395"/>
      <c r="W1241" s="395"/>
      <c r="X1241" s="393"/>
      <c r="Y1241" s="523">
        <v>1</v>
      </c>
      <c r="Z1241" s="393"/>
      <c r="AA1241" s="573">
        <v>10.59915</v>
      </c>
      <c r="AB1241" s="394">
        <v>7.6763399999999997</v>
      </c>
      <c r="AC1241" s="394">
        <v>6.2995099999999997</v>
      </c>
      <c r="AD1241" s="394"/>
      <c r="AE1241" s="394"/>
      <c r="AF1241" s="394">
        <v>0</v>
      </c>
      <c r="AG1241" s="394">
        <v>0</v>
      </c>
      <c r="AH1241" s="394">
        <v>0.68139000000000005</v>
      </c>
      <c r="AI1241" s="394">
        <v>6.2995099999999997</v>
      </c>
      <c r="AJ1241" s="394"/>
      <c r="AK1241" s="381" t="s">
        <v>167</v>
      </c>
      <c r="AL1241" s="408" t="s">
        <v>175</v>
      </c>
      <c r="AM1241" s="385"/>
      <c r="AN1241" s="475">
        <v>793</v>
      </c>
      <c r="AO1241" s="395"/>
      <c r="AP1241" s="395">
        <f t="shared" si="860"/>
        <v>10.59915</v>
      </c>
      <c r="AQ1241" s="393"/>
      <c r="AR1241" s="523"/>
      <c r="AS1241" s="393"/>
      <c r="AT1241" s="573"/>
      <c r="AU1241" s="394"/>
      <c r="AV1241" s="394"/>
      <c r="AW1241" s="394"/>
      <c r="AX1241" s="394"/>
      <c r="AY1241" s="394"/>
      <c r="AZ1241" s="394"/>
      <c r="BA1241" s="394"/>
      <c r="BB1241" s="394"/>
      <c r="BC1241" s="394"/>
      <c r="BD1241" s="381"/>
      <c r="BE1241" s="408"/>
      <c r="BF1241" s="385"/>
      <c r="BG1241" s="475"/>
      <c r="BH1241" s="395"/>
      <c r="BI1241" s="395" t="e">
        <f t="shared" si="861"/>
        <v>#DIV/0!</v>
      </c>
    </row>
    <row r="1242" spans="1:61" s="358" customFormat="1" ht="19.2" x14ac:dyDescent="0.3">
      <c r="A1242" s="359" t="s">
        <v>2041</v>
      </c>
      <c r="B1242" s="572" t="s">
        <v>3773</v>
      </c>
      <c r="C1242" s="546" t="s">
        <v>2864</v>
      </c>
      <c r="D1242" s="360">
        <v>0.22</v>
      </c>
      <c r="E1242" s="393"/>
      <c r="F1242" s="523"/>
      <c r="G1242" s="393"/>
      <c r="H1242" s="573"/>
      <c r="I1242" s="394"/>
      <c r="J1242" s="394"/>
      <c r="K1242" s="394"/>
      <c r="L1242" s="394"/>
      <c r="M1242" s="394"/>
      <c r="N1242" s="394"/>
      <c r="O1242" s="394"/>
      <c r="P1242" s="394"/>
      <c r="Q1242" s="394"/>
      <c r="R1242" s="381"/>
      <c r="S1242" s="408"/>
      <c r="T1242" s="385"/>
      <c r="U1242" s="475"/>
      <c r="V1242" s="395"/>
      <c r="W1242" s="395"/>
      <c r="X1242" s="393"/>
      <c r="Y1242" s="523">
        <v>1</v>
      </c>
      <c r="Z1242" s="393"/>
      <c r="AA1242" s="573">
        <v>6.9376699999999998</v>
      </c>
      <c r="AB1242" s="394">
        <v>6.4697300000000002</v>
      </c>
      <c r="AC1242" s="394">
        <v>6.2995000000000001</v>
      </c>
      <c r="AD1242" s="394"/>
      <c r="AE1242" s="394"/>
      <c r="AF1242" s="394">
        <v>0</v>
      </c>
      <c r="AG1242" s="394">
        <v>0</v>
      </c>
      <c r="AH1242" s="394">
        <v>0.10909000000000001</v>
      </c>
      <c r="AI1242" s="394">
        <v>6.2995000000000001</v>
      </c>
      <c r="AJ1242" s="394"/>
      <c r="AK1242" s="381" t="s">
        <v>167</v>
      </c>
      <c r="AL1242" s="408" t="s">
        <v>175</v>
      </c>
      <c r="AM1242" s="385"/>
      <c r="AN1242" s="475">
        <v>794</v>
      </c>
      <c r="AO1242" s="395"/>
      <c r="AP1242" s="395">
        <f t="shared" si="860"/>
        <v>6.9376699999999998</v>
      </c>
      <c r="AQ1242" s="393"/>
      <c r="AR1242" s="523"/>
      <c r="AS1242" s="393"/>
      <c r="AT1242" s="573"/>
      <c r="AU1242" s="394"/>
      <c r="AV1242" s="394"/>
      <c r="AW1242" s="394"/>
      <c r="AX1242" s="394"/>
      <c r="AY1242" s="394"/>
      <c r="AZ1242" s="394"/>
      <c r="BA1242" s="394"/>
      <c r="BB1242" s="394"/>
      <c r="BC1242" s="394"/>
      <c r="BD1242" s="381"/>
      <c r="BE1242" s="408"/>
      <c r="BF1242" s="385"/>
      <c r="BG1242" s="475"/>
      <c r="BH1242" s="395"/>
      <c r="BI1242" s="395" t="e">
        <f t="shared" si="861"/>
        <v>#DIV/0!</v>
      </c>
    </row>
    <row r="1243" spans="1:61" s="358" customFormat="1" ht="19.2" x14ac:dyDescent="0.3">
      <c r="A1243" s="359" t="s">
        <v>2042</v>
      </c>
      <c r="B1243" s="572" t="s">
        <v>3774</v>
      </c>
      <c r="C1243" s="546" t="s">
        <v>2865</v>
      </c>
      <c r="D1243" s="360">
        <v>0.22</v>
      </c>
      <c r="E1243" s="393"/>
      <c r="F1243" s="523"/>
      <c r="G1243" s="393"/>
      <c r="H1243" s="573"/>
      <c r="I1243" s="394"/>
      <c r="J1243" s="394"/>
      <c r="K1243" s="394"/>
      <c r="L1243" s="394"/>
      <c r="M1243" s="394"/>
      <c r="N1243" s="394"/>
      <c r="O1243" s="394"/>
      <c r="P1243" s="394"/>
      <c r="Q1243" s="394"/>
      <c r="R1243" s="381"/>
      <c r="S1243" s="408"/>
      <c r="T1243" s="385"/>
      <c r="U1243" s="475"/>
      <c r="V1243" s="395"/>
      <c r="W1243" s="395"/>
      <c r="X1243" s="393"/>
      <c r="Y1243" s="523">
        <v>1</v>
      </c>
      <c r="Z1243" s="393"/>
      <c r="AA1243" s="573">
        <v>6.9376899999999999</v>
      </c>
      <c r="AB1243" s="394">
        <v>6.4697500000000003</v>
      </c>
      <c r="AC1243" s="394">
        <v>6.2995000000000001</v>
      </c>
      <c r="AD1243" s="394"/>
      <c r="AE1243" s="394"/>
      <c r="AF1243" s="394">
        <v>0</v>
      </c>
      <c r="AG1243" s="394">
        <v>0</v>
      </c>
      <c r="AH1243" s="394">
        <v>0.10909000000000001</v>
      </c>
      <c r="AI1243" s="394">
        <v>6.2995000000000001</v>
      </c>
      <c r="AJ1243" s="394"/>
      <c r="AK1243" s="381" t="s">
        <v>167</v>
      </c>
      <c r="AL1243" s="408" t="s">
        <v>175</v>
      </c>
      <c r="AM1243" s="385"/>
      <c r="AN1243" s="475">
        <v>795</v>
      </c>
      <c r="AO1243" s="395"/>
      <c r="AP1243" s="395">
        <f t="shared" si="860"/>
        <v>6.9376899999999999</v>
      </c>
      <c r="AQ1243" s="393"/>
      <c r="AR1243" s="523"/>
      <c r="AS1243" s="393"/>
      <c r="AT1243" s="573"/>
      <c r="AU1243" s="394"/>
      <c r="AV1243" s="394"/>
      <c r="AW1243" s="394"/>
      <c r="AX1243" s="394"/>
      <c r="AY1243" s="394"/>
      <c r="AZ1243" s="394"/>
      <c r="BA1243" s="394"/>
      <c r="BB1243" s="394"/>
      <c r="BC1243" s="394"/>
      <c r="BD1243" s="381"/>
      <c r="BE1243" s="408"/>
      <c r="BF1243" s="385"/>
      <c r="BG1243" s="475"/>
      <c r="BH1243" s="395"/>
      <c r="BI1243" s="395" t="e">
        <f t="shared" si="861"/>
        <v>#DIV/0!</v>
      </c>
    </row>
    <row r="1244" spans="1:61" s="358" customFormat="1" ht="19.2" x14ac:dyDescent="0.3">
      <c r="A1244" s="359" t="s">
        <v>2043</v>
      </c>
      <c r="B1244" s="572" t="s">
        <v>3775</v>
      </c>
      <c r="C1244" s="546" t="s">
        <v>2866</v>
      </c>
      <c r="D1244" s="360">
        <v>0.22</v>
      </c>
      <c r="E1244" s="393"/>
      <c r="F1244" s="523"/>
      <c r="G1244" s="393"/>
      <c r="H1244" s="573"/>
      <c r="I1244" s="394"/>
      <c r="J1244" s="394"/>
      <c r="K1244" s="394"/>
      <c r="L1244" s="394"/>
      <c r="M1244" s="394"/>
      <c r="N1244" s="394"/>
      <c r="O1244" s="394"/>
      <c r="P1244" s="394"/>
      <c r="Q1244" s="394"/>
      <c r="R1244" s="381"/>
      <c r="S1244" s="408"/>
      <c r="T1244" s="385"/>
      <c r="U1244" s="475"/>
      <c r="V1244" s="395"/>
      <c r="W1244" s="395"/>
      <c r="X1244" s="393"/>
      <c r="Y1244" s="523">
        <v>1</v>
      </c>
      <c r="Z1244" s="393"/>
      <c r="AA1244" s="573">
        <v>6.9376899999999999</v>
      </c>
      <c r="AB1244" s="394">
        <v>6.4697500000000003</v>
      </c>
      <c r="AC1244" s="394">
        <v>6.2995000000000001</v>
      </c>
      <c r="AD1244" s="394"/>
      <c r="AE1244" s="394"/>
      <c r="AF1244" s="394">
        <v>0</v>
      </c>
      <c r="AG1244" s="394">
        <v>0</v>
      </c>
      <c r="AH1244" s="394">
        <v>0.10909000000000001</v>
      </c>
      <c r="AI1244" s="394">
        <v>6.2995000000000001</v>
      </c>
      <c r="AJ1244" s="394"/>
      <c r="AK1244" s="381" t="s">
        <v>167</v>
      </c>
      <c r="AL1244" s="408" t="s">
        <v>175</v>
      </c>
      <c r="AM1244" s="385"/>
      <c r="AN1244" s="475">
        <v>796</v>
      </c>
      <c r="AO1244" s="395"/>
      <c r="AP1244" s="395">
        <f t="shared" si="860"/>
        <v>6.9376899999999999</v>
      </c>
      <c r="AQ1244" s="393"/>
      <c r="AR1244" s="523"/>
      <c r="AS1244" s="393"/>
      <c r="AT1244" s="573"/>
      <c r="AU1244" s="394"/>
      <c r="AV1244" s="394"/>
      <c r="AW1244" s="394"/>
      <c r="AX1244" s="394"/>
      <c r="AY1244" s="394"/>
      <c r="AZ1244" s="394"/>
      <c r="BA1244" s="394"/>
      <c r="BB1244" s="394"/>
      <c r="BC1244" s="394"/>
      <c r="BD1244" s="381"/>
      <c r="BE1244" s="408"/>
      <c r="BF1244" s="385"/>
      <c r="BG1244" s="475"/>
      <c r="BH1244" s="395"/>
      <c r="BI1244" s="395" t="e">
        <f t="shared" si="861"/>
        <v>#DIV/0!</v>
      </c>
    </row>
    <row r="1245" spans="1:61" s="358" customFormat="1" ht="19.2" x14ac:dyDescent="0.3">
      <c r="A1245" s="359" t="s">
        <v>2044</v>
      </c>
      <c r="B1245" s="572" t="s">
        <v>3776</v>
      </c>
      <c r="C1245" s="546" t="s">
        <v>2867</v>
      </c>
      <c r="D1245" s="360">
        <v>0.22</v>
      </c>
      <c r="E1245" s="393"/>
      <c r="F1245" s="523"/>
      <c r="G1245" s="393"/>
      <c r="H1245" s="573"/>
      <c r="I1245" s="394"/>
      <c r="J1245" s="394"/>
      <c r="K1245" s="394"/>
      <c r="L1245" s="394"/>
      <c r="M1245" s="394"/>
      <c r="N1245" s="394"/>
      <c r="O1245" s="394"/>
      <c r="P1245" s="394"/>
      <c r="Q1245" s="394"/>
      <c r="R1245" s="381"/>
      <c r="S1245" s="408"/>
      <c r="T1245" s="385"/>
      <c r="U1245" s="475"/>
      <c r="V1245" s="395"/>
      <c r="W1245" s="395"/>
      <c r="X1245" s="393"/>
      <c r="Y1245" s="523">
        <v>1</v>
      </c>
      <c r="Z1245" s="393"/>
      <c r="AA1245" s="573">
        <v>6.9376699999999998</v>
      </c>
      <c r="AB1245" s="394">
        <v>6.4697300000000002</v>
      </c>
      <c r="AC1245" s="394">
        <v>6.2995000000000001</v>
      </c>
      <c r="AD1245" s="394"/>
      <c r="AE1245" s="394"/>
      <c r="AF1245" s="394">
        <v>0</v>
      </c>
      <c r="AG1245" s="394">
        <v>0</v>
      </c>
      <c r="AH1245" s="394">
        <v>0.10909000000000001</v>
      </c>
      <c r="AI1245" s="394">
        <v>6.2995000000000001</v>
      </c>
      <c r="AJ1245" s="394"/>
      <c r="AK1245" s="381" t="s">
        <v>167</v>
      </c>
      <c r="AL1245" s="408" t="s">
        <v>175</v>
      </c>
      <c r="AM1245" s="385"/>
      <c r="AN1245" s="475">
        <v>797</v>
      </c>
      <c r="AO1245" s="395"/>
      <c r="AP1245" s="395">
        <f t="shared" si="860"/>
        <v>6.9376699999999998</v>
      </c>
      <c r="AQ1245" s="393"/>
      <c r="AR1245" s="523"/>
      <c r="AS1245" s="393"/>
      <c r="AT1245" s="573"/>
      <c r="AU1245" s="394"/>
      <c r="AV1245" s="394"/>
      <c r="AW1245" s="394"/>
      <c r="AX1245" s="394"/>
      <c r="AY1245" s="394"/>
      <c r="AZ1245" s="394"/>
      <c r="BA1245" s="394"/>
      <c r="BB1245" s="394"/>
      <c r="BC1245" s="394"/>
      <c r="BD1245" s="381"/>
      <c r="BE1245" s="408"/>
      <c r="BF1245" s="385"/>
      <c r="BG1245" s="475"/>
      <c r="BH1245" s="395"/>
      <c r="BI1245" s="395" t="e">
        <f t="shared" si="861"/>
        <v>#DIV/0!</v>
      </c>
    </row>
    <row r="1246" spans="1:61" s="358" customFormat="1" ht="19.2" x14ac:dyDescent="0.3">
      <c r="A1246" s="359" t="s">
        <v>2045</v>
      </c>
      <c r="B1246" s="572" t="s">
        <v>3777</v>
      </c>
      <c r="C1246" s="546" t="s">
        <v>2868</v>
      </c>
      <c r="D1246" s="360">
        <v>0.22</v>
      </c>
      <c r="E1246" s="393"/>
      <c r="F1246" s="523"/>
      <c r="G1246" s="393"/>
      <c r="H1246" s="573"/>
      <c r="I1246" s="394"/>
      <c r="J1246" s="394"/>
      <c r="K1246" s="394"/>
      <c r="L1246" s="394"/>
      <c r="M1246" s="394"/>
      <c r="N1246" s="394"/>
      <c r="O1246" s="394"/>
      <c r="P1246" s="394"/>
      <c r="Q1246" s="394"/>
      <c r="R1246" s="381"/>
      <c r="S1246" s="408"/>
      <c r="T1246" s="385"/>
      <c r="U1246" s="475"/>
      <c r="V1246" s="395"/>
      <c r="W1246" s="395"/>
      <c r="X1246" s="393"/>
      <c r="Y1246" s="523">
        <v>1</v>
      </c>
      <c r="Z1246" s="393"/>
      <c r="AA1246" s="573">
        <v>6.9376699999999998</v>
      </c>
      <c r="AB1246" s="394">
        <v>6.4697300000000002</v>
      </c>
      <c r="AC1246" s="394">
        <v>6.2995000000000001</v>
      </c>
      <c r="AD1246" s="394"/>
      <c r="AE1246" s="394"/>
      <c r="AF1246" s="394">
        <v>0</v>
      </c>
      <c r="AG1246" s="394">
        <v>0</v>
      </c>
      <c r="AH1246" s="394">
        <v>0.10909000000000001</v>
      </c>
      <c r="AI1246" s="394">
        <v>6.2995000000000001</v>
      </c>
      <c r="AJ1246" s="394"/>
      <c r="AK1246" s="381" t="s">
        <v>167</v>
      </c>
      <c r="AL1246" s="408" t="s">
        <v>175</v>
      </c>
      <c r="AM1246" s="385"/>
      <c r="AN1246" s="475">
        <v>798</v>
      </c>
      <c r="AO1246" s="395"/>
      <c r="AP1246" s="395">
        <f t="shared" si="860"/>
        <v>6.9376699999999998</v>
      </c>
      <c r="AQ1246" s="393"/>
      <c r="AR1246" s="523"/>
      <c r="AS1246" s="393"/>
      <c r="AT1246" s="573"/>
      <c r="AU1246" s="394"/>
      <c r="AV1246" s="394"/>
      <c r="AW1246" s="394"/>
      <c r="AX1246" s="394"/>
      <c r="AY1246" s="394"/>
      <c r="AZ1246" s="394"/>
      <c r="BA1246" s="394"/>
      <c r="BB1246" s="394"/>
      <c r="BC1246" s="394"/>
      <c r="BD1246" s="381"/>
      <c r="BE1246" s="408"/>
      <c r="BF1246" s="385"/>
      <c r="BG1246" s="475"/>
      <c r="BH1246" s="395"/>
      <c r="BI1246" s="395" t="e">
        <f t="shared" si="861"/>
        <v>#DIV/0!</v>
      </c>
    </row>
    <row r="1247" spans="1:61" s="358" customFormat="1" ht="19.2" x14ac:dyDescent="0.3">
      <c r="A1247" s="359" t="s">
        <v>2046</v>
      </c>
      <c r="B1247" s="572" t="s">
        <v>3778</v>
      </c>
      <c r="C1247" s="546" t="s">
        <v>2869</v>
      </c>
      <c r="D1247" s="360">
        <v>0.22</v>
      </c>
      <c r="E1247" s="393"/>
      <c r="F1247" s="523"/>
      <c r="G1247" s="393"/>
      <c r="H1247" s="573"/>
      <c r="I1247" s="394"/>
      <c r="J1247" s="394"/>
      <c r="K1247" s="394"/>
      <c r="L1247" s="394"/>
      <c r="M1247" s="394"/>
      <c r="N1247" s="394"/>
      <c r="O1247" s="394"/>
      <c r="P1247" s="394"/>
      <c r="Q1247" s="394"/>
      <c r="R1247" s="381"/>
      <c r="S1247" s="408"/>
      <c r="T1247" s="385"/>
      <c r="U1247" s="475"/>
      <c r="V1247" s="395"/>
      <c r="W1247" s="395"/>
      <c r="X1247" s="393"/>
      <c r="Y1247" s="523">
        <v>1</v>
      </c>
      <c r="Z1247" s="393"/>
      <c r="AA1247" s="573">
        <v>6.9376699999999998</v>
      </c>
      <c r="AB1247" s="394">
        <v>6.4697300000000002</v>
      </c>
      <c r="AC1247" s="394">
        <v>6.2995000000000001</v>
      </c>
      <c r="AD1247" s="394"/>
      <c r="AE1247" s="394"/>
      <c r="AF1247" s="394">
        <v>0</v>
      </c>
      <c r="AG1247" s="394">
        <v>0</v>
      </c>
      <c r="AH1247" s="394">
        <v>0.10909000000000001</v>
      </c>
      <c r="AI1247" s="394">
        <v>6.2995000000000001</v>
      </c>
      <c r="AJ1247" s="394"/>
      <c r="AK1247" s="381" t="s">
        <v>167</v>
      </c>
      <c r="AL1247" s="408" t="s">
        <v>175</v>
      </c>
      <c r="AM1247" s="385"/>
      <c r="AN1247" s="475">
        <v>799</v>
      </c>
      <c r="AO1247" s="395"/>
      <c r="AP1247" s="395">
        <f t="shared" si="860"/>
        <v>6.9376699999999998</v>
      </c>
      <c r="AQ1247" s="393"/>
      <c r="AR1247" s="523"/>
      <c r="AS1247" s="393"/>
      <c r="AT1247" s="573"/>
      <c r="AU1247" s="394"/>
      <c r="AV1247" s="394"/>
      <c r="AW1247" s="394"/>
      <c r="AX1247" s="394"/>
      <c r="AY1247" s="394"/>
      <c r="AZ1247" s="394"/>
      <c r="BA1247" s="394"/>
      <c r="BB1247" s="394"/>
      <c r="BC1247" s="394"/>
      <c r="BD1247" s="381"/>
      <c r="BE1247" s="408"/>
      <c r="BF1247" s="385"/>
      <c r="BG1247" s="475"/>
      <c r="BH1247" s="395"/>
      <c r="BI1247" s="395" t="e">
        <f t="shared" si="861"/>
        <v>#DIV/0!</v>
      </c>
    </row>
    <row r="1248" spans="1:61" s="358" customFormat="1" ht="19.2" x14ac:dyDescent="0.3">
      <c r="A1248" s="359" t="s">
        <v>2063</v>
      </c>
      <c r="B1248" s="572" t="s">
        <v>3779</v>
      </c>
      <c r="C1248" s="546" t="s">
        <v>2870</v>
      </c>
      <c r="D1248" s="360">
        <v>0.22</v>
      </c>
      <c r="E1248" s="393"/>
      <c r="F1248" s="523"/>
      <c r="G1248" s="393"/>
      <c r="H1248" s="573"/>
      <c r="I1248" s="394"/>
      <c r="J1248" s="394"/>
      <c r="K1248" s="394"/>
      <c r="L1248" s="394"/>
      <c r="M1248" s="394"/>
      <c r="N1248" s="394"/>
      <c r="O1248" s="394"/>
      <c r="P1248" s="394"/>
      <c r="Q1248" s="394"/>
      <c r="R1248" s="381"/>
      <c r="S1248" s="408"/>
      <c r="T1248" s="385"/>
      <c r="U1248" s="475"/>
      <c r="V1248" s="395"/>
      <c r="W1248" s="395"/>
      <c r="X1248" s="393"/>
      <c r="Y1248" s="523">
        <v>1</v>
      </c>
      <c r="Z1248" s="393"/>
      <c r="AA1248" s="573">
        <v>6.9376699999999998</v>
      </c>
      <c r="AB1248" s="394">
        <v>6.4697300000000002</v>
      </c>
      <c r="AC1248" s="394">
        <v>6.2995000000000001</v>
      </c>
      <c r="AD1248" s="394"/>
      <c r="AE1248" s="394"/>
      <c r="AF1248" s="394">
        <v>0</v>
      </c>
      <c r="AG1248" s="394">
        <v>0</v>
      </c>
      <c r="AH1248" s="394">
        <v>0.10909000000000001</v>
      </c>
      <c r="AI1248" s="394">
        <v>6.2995000000000001</v>
      </c>
      <c r="AJ1248" s="394"/>
      <c r="AK1248" s="381" t="s">
        <v>167</v>
      </c>
      <c r="AL1248" s="408" t="s">
        <v>175</v>
      </c>
      <c r="AM1248" s="385"/>
      <c r="AN1248" s="475">
        <v>800</v>
      </c>
      <c r="AO1248" s="395"/>
      <c r="AP1248" s="395">
        <f t="shared" si="860"/>
        <v>6.9376699999999998</v>
      </c>
      <c r="AQ1248" s="393"/>
      <c r="AR1248" s="523"/>
      <c r="AS1248" s="393"/>
      <c r="AT1248" s="573"/>
      <c r="AU1248" s="394"/>
      <c r="AV1248" s="394"/>
      <c r="AW1248" s="394"/>
      <c r="AX1248" s="394"/>
      <c r="AY1248" s="394"/>
      <c r="AZ1248" s="394"/>
      <c r="BA1248" s="394"/>
      <c r="BB1248" s="394"/>
      <c r="BC1248" s="394"/>
      <c r="BD1248" s="381"/>
      <c r="BE1248" s="408"/>
      <c r="BF1248" s="385"/>
      <c r="BG1248" s="475"/>
      <c r="BH1248" s="395"/>
      <c r="BI1248" s="395" t="e">
        <f t="shared" si="861"/>
        <v>#DIV/0!</v>
      </c>
    </row>
    <row r="1249" spans="1:61" s="358" customFormat="1" ht="19.2" x14ac:dyDescent="0.3">
      <c r="A1249" s="359" t="s">
        <v>2048</v>
      </c>
      <c r="B1249" s="572" t="s">
        <v>3780</v>
      </c>
      <c r="C1249" s="546" t="s">
        <v>2871</v>
      </c>
      <c r="D1249" s="360">
        <v>0.22</v>
      </c>
      <c r="E1249" s="393"/>
      <c r="F1249" s="523"/>
      <c r="G1249" s="393"/>
      <c r="H1249" s="573"/>
      <c r="I1249" s="394"/>
      <c r="J1249" s="394"/>
      <c r="K1249" s="394"/>
      <c r="L1249" s="394"/>
      <c r="M1249" s="394"/>
      <c r="N1249" s="394"/>
      <c r="O1249" s="394"/>
      <c r="P1249" s="394"/>
      <c r="Q1249" s="394"/>
      <c r="R1249" s="381"/>
      <c r="S1249" s="408"/>
      <c r="T1249" s="385"/>
      <c r="U1249" s="475"/>
      <c r="V1249" s="395"/>
      <c r="W1249" s="395"/>
      <c r="X1249" s="393"/>
      <c r="Y1249" s="523">
        <v>1</v>
      </c>
      <c r="Z1249" s="393"/>
      <c r="AA1249" s="573">
        <v>10.59914</v>
      </c>
      <c r="AB1249" s="394">
        <v>7.6763300000000001</v>
      </c>
      <c r="AC1249" s="394">
        <v>6.2995099999999997</v>
      </c>
      <c r="AD1249" s="394"/>
      <c r="AE1249" s="394"/>
      <c r="AF1249" s="394">
        <v>0</v>
      </c>
      <c r="AG1249" s="394">
        <v>0</v>
      </c>
      <c r="AH1249" s="394">
        <v>0.68139000000000005</v>
      </c>
      <c r="AI1249" s="394">
        <v>6.2995099999999997</v>
      </c>
      <c r="AJ1249" s="394"/>
      <c r="AK1249" s="381" t="s">
        <v>167</v>
      </c>
      <c r="AL1249" s="408" t="s">
        <v>175</v>
      </c>
      <c r="AM1249" s="385"/>
      <c r="AN1249" s="475">
        <v>801</v>
      </c>
      <c r="AO1249" s="395"/>
      <c r="AP1249" s="395">
        <f t="shared" ref="AP1249:AP1312" si="862">AA1249/Y1249</f>
        <v>10.59914</v>
      </c>
      <c r="AQ1249" s="393"/>
      <c r="AR1249" s="523"/>
      <c r="AS1249" s="393"/>
      <c r="AT1249" s="573"/>
      <c r="AU1249" s="394"/>
      <c r="AV1249" s="394"/>
      <c r="AW1249" s="394"/>
      <c r="AX1249" s="394"/>
      <c r="AY1249" s="394"/>
      <c r="AZ1249" s="394"/>
      <c r="BA1249" s="394"/>
      <c r="BB1249" s="394"/>
      <c r="BC1249" s="394"/>
      <c r="BD1249" s="381"/>
      <c r="BE1249" s="408"/>
      <c r="BF1249" s="385"/>
      <c r="BG1249" s="475"/>
      <c r="BH1249" s="395"/>
      <c r="BI1249" s="395" t="e">
        <f t="shared" si="861"/>
        <v>#DIV/0!</v>
      </c>
    </row>
    <row r="1250" spans="1:61" s="358" customFormat="1" ht="19.2" x14ac:dyDescent="0.3">
      <c r="A1250" s="359" t="s">
        <v>2049</v>
      </c>
      <c r="B1250" s="572" t="s">
        <v>3781</v>
      </c>
      <c r="C1250" s="546" t="s">
        <v>2872</v>
      </c>
      <c r="D1250" s="360">
        <v>0.22</v>
      </c>
      <c r="E1250" s="393"/>
      <c r="F1250" s="523"/>
      <c r="G1250" s="393"/>
      <c r="H1250" s="573"/>
      <c r="I1250" s="394"/>
      <c r="J1250" s="394"/>
      <c r="K1250" s="394"/>
      <c r="L1250" s="394"/>
      <c r="M1250" s="394"/>
      <c r="N1250" s="394"/>
      <c r="O1250" s="394"/>
      <c r="P1250" s="394"/>
      <c r="Q1250" s="394"/>
      <c r="R1250" s="381"/>
      <c r="S1250" s="408"/>
      <c r="T1250" s="385"/>
      <c r="U1250" s="475"/>
      <c r="V1250" s="395"/>
      <c r="W1250" s="395"/>
      <c r="X1250" s="393"/>
      <c r="Y1250" s="523">
        <v>1</v>
      </c>
      <c r="Z1250" s="393"/>
      <c r="AA1250" s="573">
        <v>6.9376899999999999</v>
      </c>
      <c r="AB1250" s="394">
        <v>6.4697500000000003</v>
      </c>
      <c r="AC1250" s="394">
        <v>6.2995000000000001</v>
      </c>
      <c r="AD1250" s="394"/>
      <c r="AE1250" s="394"/>
      <c r="AF1250" s="394">
        <v>0</v>
      </c>
      <c r="AG1250" s="394">
        <v>0</v>
      </c>
      <c r="AH1250" s="394">
        <v>0.10909000000000001</v>
      </c>
      <c r="AI1250" s="394">
        <v>6.2995000000000001</v>
      </c>
      <c r="AJ1250" s="394"/>
      <c r="AK1250" s="381" t="s">
        <v>167</v>
      </c>
      <c r="AL1250" s="408" t="s">
        <v>175</v>
      </c>
      <c r="AM1250" s="385"/>
      <c r="AN1250" s="475">
        <v>802</v>
      </c>
      <c r="AO1250" s="395"/>
      <c r="AP1250" s="395">
        <f t="shared" si="862"/>
        <v>6.9376899999999999</v>
      </c>
      <c r="AQ1250" s="393"/>
      <c r="AR1250" s="523"/>
      <c r="AS1250" s="393"/>
      <c r="AT1250" s="573"/>
      <c r="AU1250" s="394"/>
      <c r="AV1250" s="394"/>
      <c r="AW1250" s="394"/>
      <c r="AX1250" s="394"/>
      <c r="AY1250" s="394"/>
      <c r="AZ1250" s="394"/>
      <c r="BA1250" s="394"/>
      <c r="BB1250" s="394"/>
      <c r="BC1250" s="394"/>
      <c r="BD1250" s="381"/>
      <c r="BE1250" s="408"/>
      <c r="BF1250" s="385"/>
      <c r="BG1250" s="475"/>
      <c r="BH1250" s="395"/>
      <c r="BI1250" s="395" t="e">
        <f t="shared" si="861"/>
        <v>#DIV/0!</v>
      </c>
    </row>
    <row r="1251" spans="1:61" s="358" customFormat="1" ht="19.2" x14ac:dyDescent="0.3">
      <c r="A1251" s="359" t="s">
        <v>2034</v>
      </c>
      <c r="B1251" s="572" t="s">
        <v>3782</v>
      </c>
      <c r="C1251" s="546" t="s">
        <v>2873</v>
      </c>
      <c r="D1251" s="360">
        <v>0.22</v>
      </c>
      <c r="E1251" s="393"/>
      <c r="F1251" s="523"/>
      <c r="G1251" s="393"/>
      <c r="H1251" s="573"/>
      <c r="I1251" s="394"/>
      <c r="J1251" s="394"/>
      <c r="K1251" s="394"/>
      <c r="L1251" s="394"/>
      <c r="M1251" s="394"/>
      <c r="N1251" s="394"/>
      <c r="O1251" s="394"/>
      <c r="P1251" s="394"/>
      <c r="Q1251" s="394"/>
      <c r="R1251" s="381"/>
      <c r="S1251" s="408"/>
      <c r="T1251" s="385"/>
      <c r="U1251" s="475"/>
      <c r="V1251" s="395"/>
      <c r="W1251" s="395"/>
      <c r="X1251" s="393"/>
      <c r="Y1251" s="523">
        <v>1</v>
      </c>
      <c r="Z1251" s="393"/>
      <c r="AA1251" s="573">
        <v>10.599159999999999</v>
      </c>
      <c r="AB1251" s="394">
        <v>7.6763500000000002</v>
      </c>
      <c r="AC1251" s="394">
        <v>6.2995099999999997</v>
      </c>
      <c r="AD1251" s="394"/>
      <c r="AE1251" s="394"/>
      <c r="AF1251" s="394">
        <v>0</v>
      </c>
      <c r="AG1251" s="394">
        <v>0</v>
      </c>
      <c r="AH1251" s="394">
        <v>0.68139000000000005</v>
      </c>
      <c r="AI1251" s="394">
        <v>6.2995099999999997</v>
      </c>
      <c r="AJ1251" s="394"/>
      <c r="AK1251" s="381" t="s">
        <v>167</v>
      </c>
      <c r="AL1251" s="408" t="s">
        <v>175</v>
      </c>
      <c r="AM1251" s="385"/>
      <c r="AN1251" s="475">
        <v>803</v>
      </c>
      <c r="AO1251" s="395"/>
      <c r="AP1251" s="395">
        <f t="shared" si="862"/>
        <v>10.599159999999999</v>
      </c>
      <c r="AQ1251" s="393"/>
      <c r="AR1251" s="523"/>
      <c r="AS1251" s="393"/>
      <c r="AT1251" s="573"/>
      <c r="AU1251" s="394"/>
      <c r="AV1251" s="394"/>
      <c r="AW1251" s="394"/>
      <c r="AX1251" s="394"/>
      <c r="AY1251" s="394"/>
      <c r="AZ1251" s="394"/>
      <c r="BA1251" s="394"/>
      <c r="BB1251" s="394"/>
      <c r="BC1251" s="394"/>
      <c r="BD1251" s="381"/>
      <c r="BE1251" s="408"/>
      <c r="BF1251" s="385"/>
      <c r="BG1251" s="475"/>
      <c r="BH1251" s="395"/>
      <c r="BI1251" s="395" t="e">
        <f t="shared" si="861"/>
        <v>#DIV/0!</v>
      </c>
    </row>
    <row r="1252" spans="1:61" s="358" customFormat="1" ht="19.2" x14ac:dyDescent="0.3">
      <c r="A1252" s="359" t="s">
        <v>2067</v>
      </c>
      <c r="B1252" s="572" t="s">
        <v>3783</v>
      </c>
      <c r="C1252" s="546" t="s">
        <v>2874</v>
      </c>
      <c r="D1252" s="360">
        <v>0.22</v>
      </c>
      <c r="E1252" s="393"/>
      <c r="F1252" s="523"/>
      <c r="G1252" s="393"/>
      <c r="H1252" s="573"/>
      <c r="I1252" s="394"/>
      <c r="J1252" s="394"/>
      <c r="K1252" s="394"/>
      <c r="L1252" s="394"/>
      <c r="M1252" s="394"/>
      <c r="N1252" s="394"/>
      <c r="O1252" s="394"/>
      <c r="P1252" s="394"/>
      <c r="Q1252" s="394"/>
      <c r="R1252" s="381"/>
      <c r="S1252" s="408"/>
      <c r="T1252" s="385"/>
      <c r="U1252" s="475"/>
      <c r="V1252" s="395"/>
      <c r="W1252" s="395"/>
      <c r="X1252" s="393"/>
      <c r="Y1252" s="523">
        <v>1</v>
      </c>
      <c r="Z1252" s="393"/>
      <c r="AA1252" s="573">
        <v>6.9376699999999998</v>
      </c>
      <c r="AB1252" s="394">
        <v>6.4697300000000002</v>
      </c>
      <c r="AC1252" s="394">
        <v>6.2995000000000001</v>
      </c>
      <c r="AD1252" s="394"/>
      <c r="AE1252" s="394"/>
      <c r="AF1252" s="394">
        <v>0</v>
      </c>
      <c r="AG1252" s="394">
        <v>0</v>
      </c>
      <c r="AH1252" s="394">
        <v>0.10909000000000001</v>
      </c>
      <c r="AI1252" s="394">
        <v>6.2995000000000001</v>
      </c>
      <c r="AJ1252" s="394"/>
      <c r="AK1252" s="381" t="s">
        <v>167</v>
      </c>
      <c r="AL1252" s="408" t="s">
        <v>175</v>
      </c>
      <c r="AM1252" s="385"/>
      <c r="AN1252" s="475">
        <v>804</v>
      </c>
      <c r="AO1252" s="395"/>
      <c r="AP1252" s="395">
        <f t="shared" si="862"/>
        <v>6.9376699999999998</v>
      </c>
      <c r="AQ1252" s="393"/>
      <c r="AR1252" s="523"/>
      <c r="AS1252" s="393"/>
      <c r="AT1252" s="573"/>
      <c r="AU1252" s="394"/>
      <c r="AV1252" s="394"/>
      <c r="AW1252" s="394"/>
      <c r="AX1252" s="394"/>
      <c r="AY1252" s="394"/>
      <c r="AZ1252" s="394"/>
      <c r="BA1252" s="394"/>
      <c r="BB1252" s="394"/>
      <c r="BC1252" s="394"/>
      <c r="BD1252" s="381"/>
      <c r="BE1252" s="408"/>
      <c r="BF1252" s="385"/>
      <c r="BG1252" s="475"/>
      <c r="BH1252" s="395"/>
      <c r="BI1252" s="395" t="e">
        <f t="shared" si="861"/>
        <v>#DIV/0!</v>
      </c>
    </row>
    <row r="1253" spans="1:61" s="358" customFormat="1" ht="19.2" x14ac:dyDescent="0.3">
      <c r="A1253" s="359" t="s">
        <v>2052</v>
      </c>
      <c r="B1253" s="572" t="s">
        <v>3784</v>
      </c>
      <c r="C1253" s="546" t="s">
        <v>2875</v>
      </c>
      <c r="D1253" s="360">
        <v>0.22</v>
      </c>
      <c r="E1253" s="393"/>
      <c r="F1253" s="523"/>
      <c r="G1253" s="393"/>
      <c r="H1253" s="573"/>
      <c r="I1253" s="394"/>
      <c r="J1253" s="394"/>
      <c r="K1253" s="394"/>
      <c r="L1253" s="394"/>
      <c r="M1253" s="394"/>
      <c r="N1253" s="394"/>
      <c r="O1253" s="394"/>
      <c r="P1253" s="394"/>
      <c r="Q1253" s="394"/>
      <c r="R1253" s="381"/>
      <c r="S1253" s="408"/>
      <c r="T1253" s="385"/>
      <c r="U1253" s="475"/>
      <c r="V1253" s="395"/>
      <c r="W1253" s="395"/>
      <c r="X1253" s="393"/>
      <c r="Y1253" s="523">
        <v>1</v>
      </c>
      <c r="Z1253" s="393"/>
      <c r="AA1253" s="573">
        <v>10.59918</v>
      </c>
      <c r="AB1253" s="394">
        <v>7.6763700000000004</v>
      </c>
      <c r="AC1253" s="394">
        <v>6.2995099999999997</v>
      </c>
      <c r="AD1253" s="394"/>
      <c r="AE1253" s="394"/>
      <c r="AF1253" s="394">
        <v>0</v>
      </c>
      <c r="AG1253" s="394">
        <v>0</v>
      </c>
      <c r="AH1253" s="394">
        <v>0.68139000000000005</v>
      </c>
      <c r="AI1253" s="394">
        <v>6.2995099999999997</v>
      </c>
      <c r="AJ1253" s="394"/>
      <c r="AK1253" s="381" t="s">
        <v>167</v>
      </c>
      <c r="AL1253" s="408" t="s">
        <v>175</v>
      </c>
      <c r="AM1253" s="385"/>
      <c r="AN1253" s="475">
        <v>805</v>
      </c>
      <c r="AO1253" s="395"/>
      <c r="AP1253" s="395">
        <f t="shared" si="862"/>
        <v>10.59918</v>
      </c>
      <c r="AQ1253" s="393"/>
      <c r="AR1253" s="523"/>
      <c r="AS1253" s="393"/>
      <c r="AT1253" s="573"/>
      <c r="AU1253" s="394"/>
      <c r="AV1253" s="394"/>
      <c r="AW1253" s="394"/>
      <c r="AX1253" s="394"/>
      <c r="AY1253" s="394"/>
      <c r="AZ1253" s="394"/>
      <c r="BA1253" s="394"/>
      <c r="BB1253" s="394"/>
      <c r="BC1253" s="394"/>
      <c r="BD1253" s="381"/>
      <c r="BE1253" s="408"/>
      <c r="BF1253" s="385"/>
      <c r="BG1253" s="475"/>
      <c r="BH1253" s="395"/>
      <c r="BI1253" s="395" t="e">
        <f t="shared" si="861"/>
        <v>#DIV/0!</v>
      </c>
    </row>
    <row r="1254" spans="1:61" s="358" customFormat="1" ht="19.2" x14ac:dyDescent="0.3">
      <c r="A1254" s="359" t="s">
        <v>2053</v>
      </c>
      <c r="B1254" s="572" t="s">
        <v>3785</v>
      </c>
      <c r="C1254" s="546" t="s">
        <v>2876</v>
      </c>
      <c r="D1254" s="360">
        <v>0.22</v>
      </c>
      <c r="E1254" s="393"/>
      <c r="F1254" s="523"/>
      <c r="G1254" s="393"/>
      <c r="H1254" s="573"/>
      <c r="I1254" s="394"/>
      <c r="J1254" s="394"/>
      <c r="K1254" s="394"/>
      <c r="L1254" s="394"/>
      <c r="M1254" s="394"/>
      <c r="N1254" s="394"/>
      <c r="O1254" s="394"/>
      <c r="P1254" s="394"/>
      <c r="Q1254" s="394"/>
      <c r="R1254" s="381"/>
      <c r="S1254" s="408"/>
      <c r="T1254" s="385"/>
      <c r="U1254" s="475"/>
      <c r="V1254" s="395"/>
      <c r="W1254" s="395"/>
      <c r="X1254" s="393"/>
      <c r="Y1254" s="523">
        <v>1</v>
      </c>
      <c r="Z1254" s="393"/>
      <c r="AA1254" s="573">
        <v>10.599159999999999</v>
      </c>
      <c r="AB1254" s="394">
        <v>7.6763500000000002</v>
      </c>
      <c r="AC1254" s="394">
        <v>6.2995099999999997</v>
      </c>
      <c r="AD1254" s="394"/>
      <c r="AE1254" s="394"/>
      <c r="AF1254" s="394">
        <v>0</v>
      </c>
      <c r="AG1254" s="394">
        <v>0</v>
      </c>
      <c r="AH1254" s="394">
        <v>0.68139000000000005</v>
      </c>
      <c r="AI1254" s="394">
        <v>6.2995099999999997</v>
      </c>
      <c r="AJ1254" s="394"/>
      <c r="AK1254" s="381" t="s">
        <v>167</v>
      </c>
      <c r="AL1254" s="408" t="s">
        <v>175</v>
      </c>
      <c r="AM1254" s="385"/>
      <c r="AN1254" s="475">
        <v>806</v>
      </c>
      <c r="AO1254" s="395"/>
      <c r="AP1254" s="395">
        <f t="shared" si="862"/>
        <v>10.599159999999999</v>
      </c>
      <c r="AQ1254" s="393"/>
      <c r="AR1254" s="523"/>
      <c r="AS1254" s="393"/>
      <c r="AT1254" s="573"/>
      <c r="AU1254" s="394"/>
      <c r="AV1254" s="394"/>
      <c r="AW1254" s="394"/>
      <c r="AX1254" s="394"/>
      <c r="AY1254" s="394"/>
      <c r="AZ1254" s="394"/>
      <c r="BA1254" s="394"/>
      <c r="BB1254" s="394"/>
      <c r="BC1254" s="394"/>
      <c r="BD1254" s="381"/>
      <c r="BE1254" s="408"/>
      <c r="BF1254" s="385"/>
      <c r="BG1254" s="475"/>
      <c r="BH1254" s="395"/>
      <c r="BI1254" s="395" t="e">
        <f t="shared" si="861"/>
        <v>#DIV/0!</v>
      </c>
    </row>
    <row r="1255" spans="1:61" s="358" customFormat="1" ht="19.2" x14ac:dyDescent="0.3">
      <c r="A1255" s="359" t="s">
        <v>2054</v>
      </c>
      <c r="B1255" s="572" t="s">
        <v>3786</v>
      </c>
      <c r="C1255" s="546" t="s">
        <v>2877</v>
      </c>
      <c r="D1255" s="360">
        <v>0.22</v>
      </c>
      <c r="E1255" s="393"/>
      <c r="F1255" s="523"/>
      <c r="G1255" s="393"/>
      <c r="H1255" s="573"/>
      <c r="I1255" s="394"/>
      <c r="J1255" s="394"/>
      <c r="K1255" s="394"/>
      <c r="L1255" s="394"/>
      <c r="M1255" s="394"/>
      <c r="N1255" s="394"/>
      <c r="O1255" s="394"/>
      <c r="P1255" s="394"/>
      <c r="Q1255" s="394"/>
      <c r="R1255" s="381"/>
      <c r="S1255" s="408"/>
      <c r="T1255" s="385"/>
      <c r="U1255" s="475"/>
      <c r="V1255" s="395"/>
      <c r="W1255" s="395"/>
      <c r="X1255" s="393"/>
      <c r="Y1255" s="523">
        <v>1</v>
      </c>
      <c r="Z1255" s="393"/>
      <c r="AA1255" s="573">
        <v>10.59918</v>
      </c>
      <c r="AB1255" s="394">
        <v>7.6763700000000004</v>
      </c>
      <c r="AC1255" s="394">
        <v>6.2995099999999997</v>
      </c>
      <c r="AD1255" s="394"/>
      <c r="AE1255" s="394"/>
      <c r="AF1255" s="394">
        <v>0</v>
      </c>
      <c r="AG1255" s="394">
        <v>0</v>
      </c>
      <c r="AH1255" s="394">
        <v>0.68139000000000005</v>
      </c>
      <c r="AI1255" s="394">
        <v>6.2995099999999997</v>
      </c>
      <c r="AJ1255" s="394"/>
      <c r="AK1255" s="381" t="s">
        <v>167</v>
      </c>
      <c r="AL1255" s="408" t="s">
        <v>175</v>
      </c>
      <c r="AM1255" s="385"/>
      <c r="AN1255" s="475">
        <v>807</v>
      </c>
      <c r="AO1255" s="395"/>
      <c r="AP1255" s="395">
        <f t="shared" si="862"/>
        <v>10.59918</v>
      </c>
      <c r="AQ1255" s="393"/>
      <c r="AR1255" s="523"/>
      <c r="AS1255" s="393"/>
      <c r="AT1255" s="573"/>
      <c r="AU1255" s="394"/>
      <c r="AV1255" s="394"/>
      <c r="AW1255" s="394"/>
      <c r="AX1255" s="394"/>
      <c r="AY1255" s="394"/>
      <c r="AZ1255" s="394"/>
      <c r="BA1255" s="394"/>
      <c r="BB1255" s="394"/>
      <c r="BC1255" s="394"/>
      <c r="BD1255" s="381"/>
      <c r="BE1255" s="408"/>
      <c r="BF1255" s="385"/>
      <c r="BG1255" s="475"/>
      <c r="BH1255" s="395"/>
      <c r="BI1255" s="395" t="e">
        <f t="shared" si="861"/>
        <v>#DIV/0!</v>
      </c>
    </row>
    <row r="1256" spans="1:61" s="358" customFormat="1" ht="19.2" x14ac:dyDescent="0.3">
      <c r="A1256" s="359" t="s">
        <v>2055</v>
      </c>
      <c r="B1256" s="572" t="s">
        <v>3787</v>
      </c>
      <c r="C1256" s="546" t="s">
        <v>2878</v>
      </c>
      <c r="D1256" s="360">
        <v>0.22</v>
      </c>
      <c r="E1256" s="393"/>
      <c r="F1256" s="523"/>
      <c r="G1256" s="393"/>
      <c r="H1256" s="573"/>
      <c r="I1256" s="394"/>
      <c r="J1256" s="394"/>
      <c r="K1256" s="394"/>
      <c r="L1256" s="394"/>
      <c r="M1256" s="394"/>
      <c r="N1256" s="394"/>
      <c r="O1256" s="394"/>
      <c r="P1256" s="394"/>
      <c r="Q1256" s="394"/>
      <c r="R1256" s="381"/>
      <c r="S1256" s="408"/>
      <c r="T1256" s="385"/>
      <c r="U1256" s="475"/>
      <c r="V1256" s="395"/>
      <c r="W1256" s="395"/>
      <c r="X1256" s="393"/>
      <c r="Y1256" s="523">
        <v>1</v>
      </c>
      <c r="Z1256" s="393"/>
      <c r="AA1256" s="573">
        <v>10.599159999999999</v>
      </c>
      <c r="AB1256" s="394">
        <v>7.6763500000000002</v>
      </c>
      <c r="AC1256" s="394">
        <v>6.2995099999999997</v>
      </c>
      <c r="AD1256" s="394"/>
      <c r="AE1256" s="394"/>
      <c r="AF1256" s="394">
        <v>0</v>
      </c>
      <c r="AG1256" s="394">
        <v>0</v>
      </c>
      <c r="AH1256" s="394">
        <v>0.68139000000000005</v>
      </c>
      <c r="AI1256" s="394">
        <v>6.2995099999999997</v>
      </c>
      <c r="AJ1256" s="394"/>
      <c r="AK1256" s="381" t="s">
        <v>167</v>
      </c>
      <c r="AL1256" s="408" t="s">
        <v>175</v>
      </c>
      <c r="AM1256" s="385"/>
      <c r="AN1256" s="475">
        <v>808</v>
      </c>
      <c r="AO1256" s="395"/>
      <c r="AP1256" s="395">
        <f t="shared" si="862"/>
        <v>10.599159999999999</v>
      </c>
      <c r="AQ1256" s="393"/>
      <c r="AR1256" s="523"/>
      <c r="AS1256" s="393"/>
      <c r="AT1256" s="573"/>
      <c r="AU1256" s="394"/>
      <c r="AV1256" s="394"/>
      <c r="AW1256" s="394"/>
      <c r="AX1256" s="394"/>
      <c r="AY1256" s="394"/>
      <c r="AZ1256" s="394"/>
      <c r="BA1256" s="394"/>
      <c r="BB1256" s="394"/>
      <c r="BC1256" s="394"/>
      <c r="BD1256" s="381"/>
      <c r="BE1256" s="408"/>
      <c r="BF1256" s="385"/>
      <c r="BG1256" s="475"/>
      <c r="BH1256" s="395"/>
      <c r="BI1256" s="395" t="e">
        <f t="shared" si="861"/>
        <v>#DIV/0!</v>
      </c>
    </row>
    <row r="1257" spans="1:61" s="358" customFormat="1" ht="19.2" x14ac:dyDescent="0.3">
      <c r="A1257" s="359" t="s">
        <v>2056</v>
      </c>
      <c r="B1257" s="572" t="s">
        <v>3788</v>
      </c>
      <c r="C1257" s="546" t="s">
        <v>2879</v>
      </c>
      <c r="D1257" s="360">
        <v>0.22</v>
      </c>
      <c r="E1257" s="393"/>
      <c r="F1257" s="523"/>
      <c r="G1257" s="393"/>
      <c r="H1257" s="573"/>
      <c r="I1257" s="394"/>
      <c r="J1257" s="394"/>
      <c r="K1257" s="394"/>
      <c r="L1257" s="394"/>
      <c r="M1257" s="394"/>
      <c r="N1257" s="394"/>
      <c r="O1257" s="394"/>
      <c r="P1257" s="394"/>
      <c r="Q1257" s="394"/>
      <c r="R1257" s="381"/>
      <c r="S1257" s="408"/>
      <c r="T1257" s="385"/>
      <c r="U1257" s="475"/>
      <c r="V1257" s="395"/>
      <c r="W1257" s="395"/>
      <c r="X1257" s="393"/>
      <c r="Y1257" s="523">
        <v>1</v>
      </c>
      <c r="Z1257" s="393"/>
      <c r="AA1257" s="573">
        <v>10.59918</v>
      </c>
      <c r="AB1257" s="394">
        <v>7.6763700000000004</v>
      </c>
      <c r="AC1257" s="394">
        <v>6.2995099999999997</v>
      </c>
      <c r="AD1257" s="394"/>
      <c r="AE1257" s="394"/>
      <c r="AF1257" s="394">
        <v>0</v>
      </c>
      <c r="AG1257" s="394">
        <v>0</v>
      </c>
      <c r="AH1257" s="394">
        <v>0.68139000000000005</v>
      </c>
      <c r="AI1257" s="394">
        <v>6.2995099999999997</v>
      </c>
      <c r="AJ1257" s="394"/>
      <c r="AK1257" s="381" t="s">
        <v>167</v>
      </c>
      <c r="AL1257" s="408" t="s">
        <v>175</v>
      </c>
      <c r="AM1257" s="385"/>
      <c r="AN1257" s="475">
        <v>809</v>
      </c>
      <c r="AO1257" s="395"/>
      <c r="AP1257" s="395">
        <f t="shared" si="862"/>
        <v>10.59918</v>
      </c>
      <c r="AQ1257" s="393"/>
      <c r="AR1257" s="523"/>
      <c r="AS1257" s="393"/>
      <c r="AT1257" s="573"/>
      <c r="AU1257" s="394"/>
      <c r="AV1257" s="394"/>
      <c r="AW1257" s="394"/>
      <c r="AX1257" s="394"/>
      <c r="AY1257" s="394"/>
      <c r="AZ1257" s="394"/>
      <c r="BA1257" s="394"/>
      <c r="BB1257" s="394"/>
      <c r="BC1257" s="394"/>
      <c r="BD1257" s="381"/>
      <c r="BE1257" s="408"/>
      <c r="BF1257" s="385"/>
      <c r="BG1257" s="475"/>
      <c r="BH1257" s="395"/>
      <c r="BI1257" s="395" t="e">
        <f t="shared" si="861"/>
        <v>#DIV/0!</v>
      </c>
    </row>
    <row r="1258" spans="1:61" s="358" customFormat="1" ht="19.2" x14ac:dyDescent="0.3">
      <c r="A1258" s="359" t="s">
        <v>2057</v>
      </c>
      <c r="B1258" s="572" t="s">
        <v>3789</v>
      </c>
      <c r="C1258" s="546" t="s">
        <v>2880</v>
      </c>
      <c r="D1258" s="360">
        <v>0.22</v>
      </c>
      <c r="E1258" s="393"/>
      <c r="F1258" s="523"/>
      <c r="G1258" s="393"/>
      <c r="H1258" s="573"/>
      <c r="I1258" s="394"/>
      <c r="J1258" s="394"/>
      <c r="K1258" s="394"/>
      <c r="L1258" s="394"/>
      <c r="M1258" s="394"/>
      <c r="N1258" s="394"/>
      <c r="O1258" s="394"/>
      <c r="P1258" s="394"/>
      <c r="Q1258" s="394"/>
      <c r="R1258" s="381"/>
      <c r="S1258" s="408"/>
      <c r="T1258" s="385"/>
      <c r="U1258" s="475"/>
      <c r="V1258" s="395"/>
      <c r="W1258" s="395"/>
      <c r="X1258" s="393"/>
      <c r="Y1258" s="523">
        <v>1</v>
      </c>
      <c r="Z1258" s="393"/>
      <c r="AA1258" s="573">
        <v>10.59915</v>
      </c>
      <c r="AB1258" s="394">
        <v>7.6763399999999997</v>
      </c>
      <c r="AC1258" s="394">
        <v>6.2995099999999997</v>
      </c>
      <c r="AD1258" s="394"/>
      <c r="AE1258" s="394"/>
      <c r="AF1258" s="394">
        <v>0</v>
      </c>
      <c r="AG1258" s="394">
        <v>0</v>
      </c>
      <c r="AH1258" s="394">
        <v>0.68139000000000005</v>
      </c>
      <c r="AI1258" s="394">
        <v>6.2995099999999997</v>
      </c>
      <c r="AJ1258" s="394"/>
      <c r="AK1258" s="381" t="s">
        <v>167</v>
      </c>
      <c r="AL1258" s="408" t="s">
        <v>175</v>
      </c>
      <c r="AM1258" s="385"/>
      <c r="AN1258" s="475">
        <v>810</v>
      </c>
      <c r="AO1258" s="395"/>
      <c r="AP1258" s="395">
        <f t="shared" si="862"/>
        <v>10.59915</v>
      </c>
      <c r="AQ1258" s="393"/>
      <c r="AR1258" s="523"/>
      <c r="AS1258" s="393"/>
      <c r="AT1258" s="573"/>
      <c r="AU1258" s="394"/>
      <c r="AV1258" s="394"/>
      <c r="AW1258" s="394"/>
      <c r="AX1258" s="394"/>
      <c r="AY1258" s="394"/>
      <c r="AZ1258" s="394"/>
      <c r="BA1258" s="394"/>
      <c r="BB1258" s="394"/>
      <c r="BC1258" s="394"/>
      <c r="BD1258" s="381"/>
      <c r="BE1258" s="408"/>
      <c r="BF1258" s="385"/>
      <c r="BG1258" s="475"/>
      <c r="BH1258" s="395"/>
      <c r="BI1258" s="395" t="e">
        <f t="shared" si="861"/>
        <v>#DIV/0!</v>
      </c>
    </row>
    <row r="1259" spans="1:61" s="358" customFormat="1" ht="19.2" x14ac:dyDescent="0.3">
      <c r="A1259" s="359" t="s">
        <v>2058</v>
      </c>
      <c r="B1259" s="572" t="s">
        <v>3790</v>
      </c>
      <c r="C1259" s="546" t="s">
        <v>2881</v>
      </c>
      <c r="D1259" s="360">
        <v>0.22</v>
      </c>
      <c r="E1259" s="393"/>
      <c r="F1259" s="523"/>
      <c r="G1259" s="393"/>
      <c r="H1259" s="573"/>
      <c r="I1259" s="394"/>
      <c r="J1259" s="394"/>
      <c r="K1259" s="394"/>
      <c r="L1259" s="394"/>
      <c r="M1259" s="394"/>
      <c r="N1259" s="394"/>
      <c r="O1259" s="394"/>
      <c r="P1259" s="394"/>
      <c r="Q1259" s="394"/>
      <c r="R1259" s="381"/>
      <c r="S1259" s="408"/>
      <c r="T1259" s="385"/>
      <c r="U1259" s="475"/>
      <c r="V1259" s="395"/>
      <c r="W1259" s="395"/>
      <c r="X1259" s="393"/>
      <c r="Y1259" s="523">
        <v>1</v>
      </c>
      <c r="Z1259" s="393"/>
      <c r="AA1259" s="573">
        <v>10.59915</v>
      </c>
      <c r="AB1259" s="394">
        <v>7.6763399999999997</v>
      </c>
      <c r="AC1259" s="394">
        <v>6.2995099999999997</v>
      </c>
      <c r="AD1259" s="394"/>
      <c r="AE1259" s="394"/>
      <c r="AF1259" s="394">
        <v>0</v>
      </c>
      <c r="AG1259" s="394">
        <v>0</v>
      </c>
      <c r="AH1259" s="394">
        <v>0.68139000000000005</v>
      </c>
      <c r="AI1259" s="394">
        <v>6.2995099999999997</v>
      </c>
      <c r="AJ1259" s="394"/>
      <c r="AK1259" s="381" t="s">
        <v>167</v>
      </c>
      <c r="AL1259" s="408" t="s">
        <v>175</v>
      </c>
      <c r="AM1259" s="385"/>
      <c r="AN1259" s="475">
        <v>811</v>
      </c>
      <c r="AO1259" s="395"/>
      <c r="AP1259" s="395">
        <f t="shared" si="862"/>
        <v>10.59915</v>
      </c>
      <c r="AQ1259" s="393"/>
      <c r="AR1259" s="523"/>
      <c r="AS1259" s="393"/>
      <c r="AT1259" s="573"/>
      <c r="AU1259" s="394"/>
      <c r="AV1259" s="394"/>
      <c r="AW1259" s="394"/>
      <c r="AX1259" s="394"/>
      <c r="AY1259" s="394"/>
      <c r="AZ1259" s="394"/>
      <c r="BA1259" s="394"/>
      <c r="BB1259" s="394"/>
      <c r="BC1259" s="394"/>
      <c r="BD1259" s="381"/>
      <c r="BE1259" s="408"/>
      <c r="BF1259" s="385"/>
      <c r="BG1259" s="475"/>
      <c r="BH1259" s="395"/>
      <c r="BI1259" s="395" t="e">
        <f t="shared" si="861"/>
        <v>#DIV/0!</v>
      </c>
    </row>
    <row r="1260" spans="1:61" s="358" customFormat="1" ht="19.2" x14ac:dyDescent="0.3">
      <c r="A1260" s="359" t="s">
        <v>2059</v>
      </c>
      <c r="B1260" s="572" t="s">
        <v>3791</v>
      </c>
      <c r="C1260" s="546" t="s">
        <v>2882</v>
      </c>
      <c r="D1260" s="360">
        <v>0.22</v>
      </c>
      <c r="E1260" s="393"/>
      <c r="F1260" s="523"/>
      <c r="G1260" s="393"/>
      <c r="H1260" s="573"/>
      <c r="I1260" s="394"/>
      <c r="J1260" s="394"/>
      <c r="K1260" s="394"/>
      <c r="L1260" s="394"/>
      <c r="M1260" s="394"/>
      <c r="N1260" s="394"/>
      <c r="O1260" s="394"/>
      <c r="P1260" s="394"/>
      <c r="Q1260" s="394"/>
      <c r="R1260" s="381"/>
      <c r="S1260" s="408"/>
      <c r="T1260" s="385"/>
      <c r="U1260" s="475"/>
      <c r="V1260" s="395"/>
      <c r="W1260" s="395"/>
      <c r="X1260" s="393"/>
      <c r="Y1260" s="523">
        <v>1</v>
      </c>
      <c r="Z1260" s="393"/>
      <c r="AA1260" s="573">
        <v>10.59918</v>
      </c>
      <c r="AB1260" s="394">
        <v>7.6763700000000004</v>
      </c>
      <c r="AC1260" s="394">
        <v>6.2995099999999997</v>
      </c>
      <c r="AD1260" s="394"/>
      <c r="AE1260" s="394"/>
      <c r="AF1260" s="394">
        <v>0</v>
      </c>
      <c r="AG1260" s="394">
        <v>0</v>
      </c>
      <c r="AH1260" s="394">
        <v>0.68139000000000005</v>
      </c>
      <c r="AI1260" s="394">
        <v>6.2995099999999997</v>
      </c>
      <c r="AJ1260" s="394"/>
      <c r="AK1260" s="381" t="s">
        <v>167</v>
      </c>
      <c r="AL1260" s="408" t="s">
        <v>175</v>
      </c>
      <c r="AM1260" s="385"/>
      <c r="AN1260" s="475">
        <v>812</v>
      </c>
      <c r="AO1260" s="395"/>
      <c r="AP1260" s="395">
        <f t="shared" si="862"/>
        <v>10.59918</v>
      </c>
      <c r="AQ1260" s="393"/>
      <c r="AR1260" s="523"/>
      <c r="AS1260" s="393"/>
      <c r="AT1260" s="573"/>
      <c r="AU1260" s="394"/>
      <c r="AV1260" s="394"/>
      <c r="AW1260" s="394"/>
      <c r="AX1260" s="394"/>
      <c r="AY1260" s="394"/>
      <c r="AZ1260" s="394"/>
      <c r="BA1260" s="394"/>
      <c r="BB1260" s="394"/>
      <c r="BC1260" s="394"/>
      <c r="BD1260" s="381"/>
      <c r="BE1260" s="408"/>
      <c r="BF1260" s="385"/>
      <c r="BG1260" s="475"/>
      <c r="BH1260" s="395"/>
      <c r="BI1260" s="395" t="e">
        <f t="shared" ref="BI1260:BI1323" si="863">AT1260/AR1260</f>
        <v>#DIV/0!</v>
      </c>
    </row>
    <row r="1261" spans="1:61" s="358" customFormat="1" ht="19.2" x14ac:dyDescent="0.3">
      <c r="A1261" s="359" t="s">
        <v>2060</v>
      </c>
      <c r="B1261" s="572" t="s">
        <v>3792</v>
      </c>
      <c r="C1261" s="546" t="s">
        <v>2883</v>
      </c>
      <c r="D1261" s="360">
        <v>0.22</v>
      </c>
      <c r="E1261" s="393"/>
      <c r="F1261" s="523"/>
      <c r="G1261" s="393"/>
      <c r="H1261" s="573"/>
      <c r="I1261" s="394"/>
      <c r="J1261" s="394"/>
      <c r="K1261" s="394"/>
      <c r="L1261" s="394"/>
      <c r="M1261" s="394"/>
      <c r="N1261" s="394"/>
      <c r="O1261" s="394"/>
      <c r="P1261" s="394"/>
      <c r="Q1261" s="394"/>
      <c r="R1261" s="381"/>
      <c r="S1261" s="408"/>
      <c r="T1261" s="385"/>
      <c r="U1261" s="475"/>
      <c r="V1261" s="395"/>
      <c r="W1261" s="395"/>
      <c r="X1261" s="393"/>
      <c r="Y1261" s="523">
        <v>1</v>
      </c>
      <c r="Z1261" s="393"/>
      <c r="AA1261" s="573">
        <v>10.599170000000001</v>
      </c>
      <c r="AB1261" s="394">
        <v>7.6763599999999999</v>
      </c>
      <c r="AC1261" s="394">
        <v>6.2995099999999997</v>
      </c>
      <c r="AD1261" s="394"/>
      <c r="AE1261" s="394"/>
      <c r="AF1261" s="394">
        <v>0</v>
      </c>
      <c r="AG1261" s="394">
        <v>0</v>
      </c>
      <c r="AH1261" s="394">
        <v>0.68139000000000005</v>
      </c>
      <c r="AI1261" s="394">
        <v>6.2995099999999997</v>
      </c>
      <c r="AJ1261" s="394"/>
      <c r="AK1261" s="381" t="s">
        <v>167</v>
      </c>
      <c r="AL1261" s="408" t="s">
        <v>175</v>
      </c>
      <c r="AM1261" s="385"/>
      <c r="AN1261" s="475">
        <v>813</v>
      </c>
      <c r="AO1261" s="395"/>
      <c r="AP1261" s="395">
        <f t="shared" si="862"/>
        <v>10.599170000000001</v>
      </c>
      <c r="AQ1261" s="393"/>
      <c r="AR1261" s="523"/>
      <c r="AS1261" s="393"/>
      <c r="AT1261" s="573"/>
      <c r="AU1261" s="394"/>
      <c r="AV1261" s="394"/>
      <c r="AW1261" s="394"/>
      <c r="AX1261" s="394"/>
      <c r="AY1261" s="394"/>
      <c r="AZ1261" s="394"/>
      <c r="BA1261" s="394"/>
      <c r="BB1261" s="394"/>
      <c r="BC1261" s="394"/>
      <c r="BD1261" s="381"/>
      <c r="BE1261" s="408"/>
      <c r="BF1261" s="385"/>
      <c r="BG1261" s="475"/>
      <c r="BH1261" s="395"/>
      <c r="BI1261" s="395" t="e">
        <f t="shared" si="863"/>
        <v>#DIV/0!</v>
      </c>
    </row>
    <row r="1262" spans="1:61" s="358" customFormat="1" ht="19.2" x14ac:dyDescent="0.3">
      <c r="A1262" s="359" t="s">
        <v>2061</v>
      </c>
      <c r="B1262" s="572" t="s">
        <v>3793</v>
      </c>
      <c r="C1262" s="546" t="s">
        <v>2884</v>
      </c>
      <c r="D1262" s="360">
        <v>0.22</v>
      </c>
      <c r="E1262" s="393"/>
      <c r="F1262" s="523"/>
      <c r="G1262" s="393"/>
      <c r="H1262" s="573"/>
      <c r="I1262" s="394"/>
      <c r="J1262" s="394"/>
      <c r="K1262" s="394"/>
      <c r="L1262" s="394"/>
      <c r="M1262" s="394"/>
      <c r="N1262" s="394"/>
      <c r="O1262" s="394"/>
      <c r="P1262" s="394"/>
      <c r="Q1262" s="394"/>
      <c r="R1262" s="381"/>
      <c r="S1262" s="408"/>
      <c r="T1262" s="385"/>
      <c r="U1262" s="475"/>
      <c r="V1262" s="395"/>
      <c r="W1262" s="395"/>
      <c r="X1262" s="393"/>
      <c r="Y1262" s="523">
        <v>1</v>
      </c>
      <c r="Z1262" s="393"/>
      <c r="AA1262" s="573">
        <v>10.59915</v>
      </c>
      <c r="AB1262" s="394">
        <v>7.6763399999999997</v>
      </c>
      <c r="AC1262" s="394">
        <v>6.2995099999999997</v>
      </c>
      <c r="AD1262" s="394"/>
      <c r="AE1262" s="394"/>
      <c r="AF1262" s="394">
        <v>0</v>
      </c>
      <c r="AG1262" s="394">
        <v>0</v>
      </c>
      <c r="AH1262" s="394">
        <v>0.68139000000000005</v>
      </c>
      <c r="AI1262" s="394">
        <v>6.2995099999999997</v>
      </c>
      <c r="AJ1262" s="394"/>
      <c r="AK1262" s="381" t="s">
        <v>167</v>
      </c>
      <c r="AL1262" s="408" t="s">
        <v>175</v>
      </c>
      <c r="AM1262" s="385"/>
      <c r="AN1262" s="475">
        <v>814</v>
      </c>
      <c r="AO1262" s="395"/>
      <c r="AP1262" s="395">
        <f t="shared" si="862"/>
        <v>10.59915</v>
      </c>
      <c r="AQ1262" s="393"/>
      <c r="AR1262" s="523"/>
      <c r="AS1262" s="393"/>
      <c r="AT1262" s="573"/>
      <c r="AU1262" s="394"/>
      <c r="AV1262" s="394"/>
      <c r="AW1262" s="394"/>
      <c r="AX1262" s="394"/>
      <c r="AY1262" s="394"/>
      <c r="AZ1262" s="394"/>
      <c r="BA1262" s="394"/>
      <c r="BB1262" s="394"/>
      <c r="BC1262" s="394"/>
      <c r="BD1262" s="381"/>
      <c r="BE1262" s="408"/>
      <c r="BF1262" s="385"/>
      <c r="BG1262" s="475"/>
      <c r="BH1262" s="395"/>
      <c r="BI1262" s="395" t="e">
        <f t="shared" si="863"/>
        <v>#DIV/0!</v>
      </c>
    </row>
    <row r="1263" spans="1:61" s="358" customFormat="1" ht="19.2" x14ac:dyDescent="0.3">
      <c r="A1263" s="359" t="s">
        <v>2062</v>
      </c>
      <c r="B1263" s="572" t="s">
        <v>3794</v>
      </c>
      <c r="C1263" s="546" t="s">
        <v>2885</v>
      </c>
      <c r="D1263" s="360">
        <v>0.22</v>
      </c>
      <c r="E1263" s="393"/>
      <c r="F1263" s="523"/>
      <c r="G1263" s="393"/>
      <c r="H1263" s="573"/>
      <c r="I1263" s="394"/>
      <c r="J1263" s="394"/>
      <c r="K1263" s="394"/>
      <c r="L1263" s="394"/>
      <c r="M1263" s="394"/>
      <c r="N1263" s="394"/>
      <c r="O1263" s="394"/>
      <c r="P1263" s="394"/>
      <c r="Q1263" s="394"/>
      <c r="R1263" s="381"/>
      <c r="S1263" s="408"/>
      <c r="T1263" s="385"/>
      <c r="U1263" s="475"/>
      <c r="V1263" s="395"/>
      <c r="W1263" s="395"/>
      <c r="X1263" s="393"/>
      <c r="Y1263" s="523">
        <v>1</v>
      </c>
      <c r="Z1263" s="393"/>
      <c r="AA1263" s="573">
        <v>6.9376899999999999</v>
      </c>
      <c r="AB1263" s="394">
        <v>6.4697500000000003</v>
      </c>
      <c r="AC1263" s="394">
        <v>6.2995000000000001</v>
      </c>
      <c r="AD1263" s="394"/>
      <c r="AE1263" s="394"/>
      <c r="AF1263" s="394">
        <v>0</v>
      </c>
      <c r="AG1263" s="394">
        <v>0</v>
      </c>
      <c r="AH1263" s="394">
        <v>0.10909000000000001</v>
      </c>
      <c r="AI1263" s="394">
        <v>6.2995000000000001</v>
      </c>
      <c r="AJ1263" s="394"/>
      <c r="AK1263" s="381" t="s">
        <v>167</v>
      </c>
      <c r="AL1263" s="408" t="s">
        <v>175</v>
      </c>
      <c r="AM1263" s="385"/>
      <c r="AN1263" s="475">
        <v>815</v>
      </c>
      <c r="AO1263" s="395"/>
      <c r="AP1263" s="395">
        <f t="shared" si="862"/>
        <v>6.9376899999999999</v>
      </c>
      <c r="AQ1263" s="393"/>
      <c r="AR1263" s="523"/>
      <c r="AS1263" s="393"/>
      <c r="AT1263" s="573"/>
      <c r="AU1263" s="394"/>
      <c r="AV1263" s="394"/>
      <c r="AW1263" s="394"/>
      <c r="AX1263" s="394"/>
      <c r="AY1263" s="394"/>
      <c r="AZ1263" s="394"/>
      <c r="BA1263" s="394"/>
      <c r="BB1263" s="394"/>
      <c r="BC1263" s="394"/>
      <c r="BD1263" s="381"/>
      <c r="BE1263" s="408"/>
      <c r="BF1263" s="385"/>
      <c r="BG1263" s="475"/>
      <c r="BH1263" s="395"/>
      <c r="BI1263" s="395" t="e">
        <f t="shared" si="863"/>
        <v>#DIV/0!</v>
      </c>
    </row>
    <row r="1264" spans="1:61" s="358" customFormat="1" ht="19.2" x14ac:dyDescent="0.3">
      <c r="A1264" s="359" t="s">
        <v>2079</v>
      </c>
      <c r="B1264" s="572" t="s">
        <v>3795</v>
      </c>
      <c r="C1264" s="546" t="s">
        <v>2886</v>
      </c>
      <c r="D1264" s="360">
        <v>0.22</v>
      </c>
      <c r="E1264" s="393"/>
      <c r="F1264" s="523"/>
      <c r="G1264" s="393"/>
      <c r="H1264" s="573"/>
      <c r="I1264" s="394"/>
      <c r="J1264" s="394"/>
      <c r="K1264" s="394"/>
      <c r="L1264" s="394"/>
      <c r="M1264" s="394"/>
      <c r="N1264" s="394"/>
      <c r="O1264" s="394"/>
      <c r="P1264" s="394"/>
      <c r="Q1264" s="394"/>
      <c r="R1264" s="381"/>
      <c r="S1264" s="408"/>
      <c r="T1264" s="385"/>
      <c r="U1264" s="475"/>
      <c r="V1264" s="395"/>
      <c r="W1264" s="395"/>
      <c r="X1264" s="393"/>
      <c r="Y1264" s="523">
        <v>1</v>
      </c>
      <c r="Z1264" s="393"/>
      <c r="AA1264" s="573">
        <v>6.9376899999999999</v>
      </c>
      <c r="AB1264" s="394">
        <v>6.4697500000000003</v>
      </c>
      <c r="AC1264" s="394">
        <v>6.2995000000000001</v>
      </c>
      <c r="AD1264" s="394"/>
      <c r="AE1264" s="394"/>
      <c r="AF1264" s="394">
        <v>0</v>
      </c>
      <c r="AG1264" s="394">
        <v>0</v>
      </c>
      <c r="AH1264" s="394">
        <v>0.10909000000000001</v>
      </c>
      <c r="AI1264" s="394">
        <v>6.2995000000000001</v>
      </c>
      <c r="AJ1264" s="394"/>
      <c r="AK1264" s="381" t="s">
        <v>167</v>
      </c>
      <c r="AL1264" s="408" t="s">
        <v>175</v>
      </c>
      <c r="AM1264" s="385"/>
      <c r="AN1264" s="475">
        <v>816</v>
      </c>
      <c r="AO1264" s="395"/>
      <c r="AP1264" s="395">
        <f t="shared" si="862"/>
        <v>6.9376899999999999</v>
      </c>
      <c r="AQ1264" s="393"/>
      <c r="AR1264" s="523"/>
      <c r="AS1264" s="393"/>
      <c r="AT1264" s="573"/>
      <c r="AU1264" s="394"/>
      <c r="AV1264" s="394"/>
      <c r="AW1264" s="394"/>
      <c r="AX1264" s="394"/>
      <c r="AY1264" s="394"/>
      <c r="AZ1264" s="394"/>
      <c r="BA1264" s="394"/>
      <c r="BB1264" s="394"/>
      <c r="BC1264" s="394"/>
      <c r="BD1264" s="381"/>
      <c r="BE1264" s="408"/>
      <c r="BF1264" s="385"/>
      <c r="BG1264" s="475"/>
      <c r="BH1264" s="395"/>
      <c r="BI1264" s="395" t="e">
        <f t="shared" si="863"/>
        <v>#DIV/0!</v>
      </c>
    </row>
    <row r="1265" spans="1:61" s="358" customFormat="1" ht="19.2" x14ac:dyDescent="0.3">
      <c r="A1265" s="359" t="s">
        <v>2064</v>
      </c>
      <c r="B1265" s="572" t="s">
        <v>3796</v>
      </c>
      <c r="C1265" s="546" t="s">
        <v>2887</v>
      </c>
      <c r="D1265" s="360">
        <v>0.22</v>
      </c>
      <c r="E1265" s="393"/>
      <c r="F1265" s="523"/>
      <c r="G1265" s="393"/>
      <c r="H1265" s="573"/>
      <c r="I1265" s="394"/>
      <c r="J1265" s="394"/>
      <c r="K1265" s="394"/>
      <c r="L1265" s="394"/>
      <c r="M1265" s="394"/>
      <c r="N1265" s="394"/>
      <c r="O1265" s="394"/>
      <c r="P1265" s="394"/>
      <c r="Q1265" s="394"/>
      <c r="R1265" s="381"/>
      <c r="S1265" s="408"/>
      <c r="T1265" s="385"/>
      <c r="U1265" s="475"/>
      <c r="V1265" s="395"/>
      <c r="W1265" s="395"/>
      <c r="X1265" s="393"/>
      <c r="Y1265" s="523">
        <v>1</v>
      </c>
      <c r="Z1265" s="393"/>
      <c r="AA1265" s="573">
        <v>10.59918</v>
      </c>
      <c r="AB1265" s="394">
        <v>7.6763700000000004</v>
      </c>
      <c r="AC1265" s="394">
        <v>6.2995099999999997</v>
      </c>
      <c r="AD1265" s="394"/>
      <c r="AE1265" s="394"/>
      <c r="AF1265" s="394">
        <v>0</v>
      </c>
      <c r="AG1265" s="394">
        <v>0</v>
      </c>
      <c r="AH1265" s="394">
        <v>0.68139000000000005</v>
      </c>
      <c r="AI1265" s="394">
        <v>6.2995099999999997</v>
      </c>
      <c r="AJ1265" s="394"/>
      <c r="AK1265" s="381" t="s">
        <v>167</v>
      </c>
      <c r="AL1265" s="408" t="s">
        <v>175</v>
      </c>
      <c r="AM1265" s="385"/>
      <c r="AN1265" s="475">
        <v>817</v>
      </c>
      <c r="AO1265" s="395"/>
      <c r="AP1265" s="395">
        <f t="shared" si="862"/>
        <v>10.59918</v>
      </c>
      <c r="AQ1265" s="393"/>
      <c r="AR1265" s="523"/>
      <c r="AS1265" s="393"/>
      <c r="AT1265" s="573"/>
      <c r="AU1265" s="394"/>
      <c r="AV1265" s="394"/>
      <c r="AW1265" s="394"/>
      <c r="AX1265" s="394"/>
      <c r="AY1265" s="394"/>
      <c r="AZ1265" s="394"/>
      <c r="BA1265" s="394"/>
      <c r="BB1265" s="394"/>
      <c r="BC1265" s="394"/>
      <c r="BD1265" s="381"/>
      <c r="BE1265" s="408"/>
      <c r="BF1265" s="385"/>
      <c r="BG1265" s="475"/>
      <c r="BH1265" s="395"/>
      <c r="BI1265" s="395" t="e">
        <f t="shared" si="863"/>
        <v>#DIV/0!</v>
      </c>
    </row>
    <row r="1266" spans="1:61" s="358" customFormat="1" ht="19.2" x14ac:dyDescent="0.3">
      <c r="A1266" s="359" t="s">
        <v>2065</v>
      </c>
      <c r="B1266" s="572" t="s">
        <v>3797</v>
      </c>
      <c r="C1266" s="546" t="s">
        <v>2888</v>
      </c>
      <c r="D1266" s="360">
        <v>0.22</v>
      </c>
      <c r="E1266" s="393"/>
      <c r="F1266" s="523"/>
      <c r="G1266" s="393"/>
      <c r="H1266" s="573"/>
      <c r="I1266" s="394"/>
      <c r="J1266" s="394"/>
      <c r="K1266" s="394"/>
      <c r="L1266" s="394"/>
      <c r="M1266" s="394"/>
      <c r="N1266" s="394"/>
      <c r="O1266" s="394"/>
      <c r="P1266" s="394"/>
      <c r="Q1266" s="394"/>
      <c r="R1266" s="381"/>
      <c r="S1266" s="408"/>
      <c r="T1266" s="385"/>
      <c r="U1266" s="475"/>
      <c r="V1266" s="395"/>
      <c r="W1266" s="395"/>
      <c r="X1266" s="393"/>
      <c r="Y1266" s="523">
        <v>1</v>
      </c>
      <c r="Z1266" s="393"/>
      <c r="AA1266" s="573">
        <v>10.59918</v>
      </c>
      <c r="AB1266" s="394">
        <v>7.6763700000000004</v>
      </c>
      <c r="AC1266" s="394">
        <v>6.2995099999999997</v>
      </c>
      <c r="AD1266" s="394"/>
      <c r="AE1266" s="394"/>
      <c r="AF1266" s="394">
        <v>0</v>
      </c>
      <c r="AG1266" s="394">
        <v>0</v>
      </c>
      <c r="AH1266" s="394">
        <v>0.68139000000000005</v>
      </c>
      <c r="AI1266" s="394">
        <v>6.2995099999999997</v>
      </c>
      <c r="AJ1266" s="394"/>
      <c r="AK1266" s="381" t="s">
        <v>167</v>
      </c>
      <c r="AL1266" s="408" t="s">
        <v>175</v>
      </c>
      <c r="AM1266" s="385"/>
      <c r="AN1266" s="475">
        <v>818</v>
      </c>
      <c r="AO1266" s="395"/>
      <c r="AP1266" s="395">
        <f t="shared" si="862"/>
        <v>10.59918</v>
      </c>
      <c r="AQ1266" s="393"/>
      <c r="AR1266" s="523"/>
      <c r="AS1266" s="393"/>
      <c r="AT1266" s="573"/>
      <c r="AU1266" s="394"/>
      <c r="AV1266" s="394"/>
      <c r="AW1266" s="394"/>
      <c r="AX1266" s="394"/>
      <c r="AY1266" s="394"/>
      <c r="AZ1266" s="394"/>
      <c r="BA1266" s="394"/>
      <c r="BB1266" s="394"/>
      <c r="BC1266" s="394"/>
      <c r="BD1266" s="381"/>
      <c r="BE1266" s="408"/>
      <c r="BF1266" s="385"/>
      <c r="BG1266" s="475"/>
      <c r="BH1266" s="395"/>
      <c r="BI1266" s="395" t="e">
        <f t="shared" si="863"/>
        <v>#DIV/0!</v>
      </c>
    </row>
    <row r="1267" spans="1:61" s="358" customFormat="1" ht="19.2" x14ac:dyDescent="0.3">
      <c r="A1267" s="359" t="s">
        <v>2050</v>
      </c>
      <c r="B1267" s="572" t="s">
        <v>3798</v>
      </c>
      <c r="C1267" s="546" t="s">
        <v>2889</v>
      </c>
      <c r="D1267" s="360">
        <v>0.22</v>
      </c>
      <c r="E1267" s="393"/>
      <c r="F1267" s="523"/>
      <c r="G1267" s="393"/>
      <c r="H1267" s="573"/>
      <c r="I1267" s="394"/>
      <c r="J1267" s="394"/>
      <c r="K1267" s="394"/>
      <c r="L1267" s="394"/>
      <c r="M1267" s="394"/>
      <c r="N1267" s="394"/>
      <c r="O1267" s="394"/>
      <c r="P1267" s="394"/>
      <c r="Q1267" s="394"/>
      <c r="R1267" s="381"/>
      <c r="S1267" s="408"/>
      <c r="T1267" s="385"/>
      <c r="U1267" s="475"/>
      <c r="V1267" s="395"/>
      <c r="W1267" s="395"/>
      <c r="X1267" s="393"/>
      <c r="Y1267" s="523">
        <v>1</v>
      </c>
      <c r="Z1267" s="393"/>
      <c r="AA1267" s="573">
        <v>10.59915</v>
      </c>
      <c r="AB1267" s="394">
        <v>7.6763399999999997</v>
      </c>
      <c r="AC1267" s="394">
        <v>6.2995099999999997</v>
      </c>
      <c r="AD1267" s="394"/>
      <c r="AE1267" s="394"/>
      <c r="AF1267" s="394">
        <v>0</v>
      </c>
      <c r="AG1267" s="394">
        <v>0</v>
      </c>
      <c r="AH1267" s="394">
        <v>0.68139000000000005</v>
      </c>
      <c r="AI1267" s="394">
        <v>6.2995099999999997</v>
      </c>
      <c r="AJ1267" s="394"/>
      <c r="AK1267" s="381" t="s">
        <v>167</v>
      </c>
      <c r="AL1267" s="408" t="s">
        <v>175</v>
      </c>
      <c r="AM1267" s="385"/>
      <c r="AN1267" s="475">
        <v>819</v>
      </c>
      <c r="AO1267" s="395"/>
      <c r="AP1267" s="395">
        <f t="shared" si="862"/>
        <v>10.59915</v>
      </c>
      <c r="AQ1267" s="393"/>
      <c r="AR1267" s="523"/>
      <c r="AS1267" s="393"/>
      <c r="AT1267" s="573"/>
      <c r="AU1267" s="394"/>
      <c r="AV1267" s="394"/>
      <c r="AW1267" s="394"/>
      <c r="AX1267" s="394"/>
      <c r="AY1267" s="394"/>
      <c r="AZ1267" s="394"/>
      <c r="BA1267" s="394"/>
      <c r="BB1267" s="394"/>
      <c r="BC1267" s="394"/>
      <c r="BD1267" s="381"/>
      <c r="BE1267" s="408"/>
      <c r="BF1267" s="385"/>
      <c r="BG1267" s="475"/>
      <c r="BH1267" s="395"/>
      <c r="BI1267" s="395" t="e">
        <f t="shared" si="863"/>
        <v>#DIV/0!</v>
      </c>
    </row>
    <row r="1268" spans="1:61" s="358" customFormat="1" ht="19.2" x14ac:dyDescent="0.3">
      <c r="A1268" s="359" t="s">
        <v>2083</v>
      </c>
      <c r="B1268" s="572" t="s">
        <v>3799</v>
      </c>
      <c r="C1268" s="546" t="s">
        <v>2890</v>
      </c>
      <c r="D1268" s="360">
        <v>0.22</v>
      </c>
      <c r="E1268" s="393"/>
      <c r="F1268" s="523"/>
      <c r="G1268" s="393"/>
      <c r="H1268" s="573"/>
      <c r="I1268" s="394"/>
      <c r="J1268" s="394"/>
      <c r="K1268" s="394"/>
      <c r="L1268" s="394"/>
      <c r="M1268" s="394"/>
      <c r="N1268" s="394"/>
      <c r="O1268" s="394"/>
      <c r="P1268" s="394"/>
      <c r="Q1268" s="394"/>
      <c r="R1268" s="381"/>
      <c r="S1268" s="408"/>
      <c r="T1268" s="385"/>
      <c r="U1268" s="475"/>
      <c r="V1268" s="395"/>
      <c r="W1268" s="395"/>
      <c r="X1268" s="393"/>
      <c r="Y1268" s="523">
        <v>1</v>
      </c>
      <c r="Z1268" s="393"/>
      <c r="AA1268" s="573">
        <v>10.599170000000001</v>
      </c>
      <c r="AB1268" s="394">
        <v>7.6763599999999999</v>
      </c>
      <c r="AC1268" s="394">
        <v>6.2995099999999997</v>
      </c>
      <c r="AD1268" s="394"/>
      <c r="AE1268" s="394"/>
      <c r="AF1268" s="394">
        <v>0</v>
      </c>
      <c r="AG1268" s="394">
        <v>0</v>
      </c>
      <c r="AH1268" s="394">
        <v>0.68139000000000005</v>
      </c>
      <c r="AI1268" s="394">
        <v>6.2995099999999997</v>
      </c>
      <c r="AJ1268" s="394"/>
      <c r="AK1268" s="381" t="s">
        <v>167</v>
      </c>
      <c r="AL1268" s="408" t="s">
        <v>175</v>
      </c>
      <c r="AM1268" s="385"/>
      <c r="AN1268" s="475">
        <v>820</v>
      </c>
      <c r="AO1268" s="395"/>
      <c r="AP1268" s="395">
        <f t="shared" si="862"/>
        <v>10.599170000000001</v>
      </c>
      <c r="AQ1268" s="393"/>
      <c r="AR1268" s="523"/>
      <c r="AS1268" s="393"/>
      <c r="AT1268" s="573"/>
      <c r="AU1268" s="394"/>
      <c r="AV1268" s="394"/>
      <c r="AW1268" s="394"/>
      <c r="AX1268" s="394"/>
      <c r="AY1268" s="394"/>
      <c r="AZ1268" s="394"/>
      <c r="BA1268" s="394"/>
      <c r="BB1268" s="394"/>
      <c r="BC1268" s="394"/>
      <c r="BD1268" s="381"/>
      <c r="BE1268" s="408"/>
      <c r="BF1268" s="385"/>
      <c r="BG1268" s="475"/>
      <c r="BH1268" s="395"/>
      <c r="BI1268" s="395" t="e">
        <f t="shared" si="863"/>
        <v>#DIV/0!</v>
      </c>
    </row>
    <row r="1269" spans="1:61" s="358" customFormat="1" ht="19.2" x14ac:dyDescent="0.3">
      <c r="A1269" s="359" t="s">
        <v>2068</v>
      </c>
      <c r="B1269" s="572" t="s">
        <v>3800</v>
      </c>
      <c r="C1269" s="546" t="s">
        <v>2891</v>
      </c>
      <c r="D1269" s="360">
        <v>0.22</v>
      </c>
      <c r="E1269" s="393"/>
      <c r="F1269" s="523"/>
      <c r="G1269" s="393"/>
      <c r="H1269" s="573"/>
      <c r="I1269" s="394"/>
      <c r="J1269" s="394"/>
      <c r="K1269" s="394"/>
      <c r="L1269" s="394"/>
      <c r="M1269" s="394"/>
      <c r="N1269" s="394"/>
      <c r="O1269" s="394"/>
      <c r="P1269" s="394"/>
      <c r="Q1269" s="394"/>
      <c r="R1269" s="381"/>
      <c r="S1269" s="408"/>
      <c r="T1269" s="385"/>
      <c r="U1269" s="475"/>
      <c r="V1269" s="395"/>
      <c r="W1269" s="395"/>
      <c r="X1269" s="393"/>
      <c r="Y1269" s="523">
        <v>1</v>
      </c>
      <c r="Z1269" s="393"/>
      <c r="AA1269" s="573">
        <v>10.59915</v>
      </c>
      <c r="AB1269" s="394">
        <v>7.6763399999999997</v>
      </c>
      <c r="AC1269" s="394">
        <v>6.2995099999999997</v>
      </c>
      <c r="AD1269" s="394"/>
      <c r="AE1269" s="394"/>
      <c r="AF1269" s="394">
        <v>0</v>
      </c>
      <c r="AG1269" s="394">
        <v>0</v>
      </c>
      <c r="AH1269" s="394">
        <v>0.68139000000000005</v>
      </c>
      <c r="AI1269" s="394">
        <v>6.2995099999999997</v>
      </c>
      <c r="AJ1269" s="394"/>
      <c r="AK1269" s="381" t="s">
        <v>167</v>
      </c>
      <c r="AL1269" s="408" t="s">
        <v>175</v>
      </c>
      <c r="AM1269" s="385"/>
      <c r="AN1269" s="475">
        <v>821</v>
      </c>
      <c r="AO1269" s="395"/>
      <c r="AP1269" s="395">
        <f t="shared" si="862"/>
        <v>10.59915</v>
      </c>
      <c r="AQ1269" s="393"/>
      <c r="AR1269" s="523"/>
      <c r="AS1269" s="393"/>
      <c r="AT1269" s="573"/>
      <c r="AU1269" s="394"/>
      <c r="AV1269" s="394"/>
      <c r="AW1269" s="394"/>
      <c r="AX1269" s="394"/>
      <c r="AY1269" s="394"/>
      <c r="AZ1269" s="394"/>
      <c r="BA1269" s="394"/>
      <c r="BB1269" s="394"/>
      <c r="BC1269" s="394"/>
      <c r="BD1269" s="381"/>
      <c r="BE1269" s="408"/>
      <c r="BF1269" s="385"/>
      <c r="BG1269" s="475"/>
      <c r="BH1269" s="395"/>
      <c r="BI1269" s="395" t="e">
        <f t="shared" si="863"/>
        <v>#DIV/0!</v>
      </c>
    </row>
    <row r="1270" spans="1:61" s="358" customFormat="1" ht="19.2" x14ac:dyDescent="0.3">
      <c r="A1270" s="359" t="s">
        <v>2069</v>
      </c>
      <c r="B1270" s="572" t="s">
        <v>3801</v>
      </c>
      <c r="C1270" s="546" t="s">
        <v>2892</v>
      </c>
      <c r="D1270" s="360">
        <v>0.22</v>
      </c>
      <c r="E1270" s="393"/>
      <c r="F1270" s="523"/>
      <c r="G1270" s="393"/>
      <c r="H1270" s="573"/>
      <c r="I1270" s="394"/>
      <c r="J1270" s="394"/>
      <c r="K1270" s="394"/>
      <c r="L1270" s="394"/>
      <c r="M1270" s="394"/>
      <c r="N1270" s="394"/>
      <c r="O1270" s="394"/>
      <c r="P1270" s="394"/>
      <c r="Q1270" s="394"/>
      <c r="R1270" s="381"/>
      <c r="S1270" s="408"/>
      <c r="T1270" s="385"/>
      <c r="U1270" s="475"/>
      <c r="V1270" s="395"/>
      <c r="W1270" s="395"/>
      <c r="X1270" s="393"/>
      <c r="Y1270" s="523">
        <v>1</v>
      </c>
      <c r="Z1270" s="393"/>
      <c r="AA1270" s="573">
        <v>26.144919999999999</v>
      </c>
      <c r="AB1270" s="394">
        <v>20.65842</v>
      </c>
      <c r="AC1270" s="394">
        <v>6.2994599999999998</v>
      </c>
      <c r="AD1270" s="394">
        <v>1.89062</v>
      </c>
      <c r="AE1270" s="394"/>
      <c r="AF1270" s="394">
        <v>0</v>
      </c>
      <c r="AG1270" s="394">
        <v>0</v>
      </c>
      <c r="AH1270" s="394">
        <v>1.2790600000000001</v>
      </c>
      <c r="AI1270" s="394">
        <v>6.2994599999999998</v>
      </c>
      <c r="AJ1270" s="394">
        <v>1.89062</v>
      </c>
      <c r="AK1270" s="381" t="s">
        <v>167</v>
      </c>
      <c r="AL1270" s="408" t="s">
        <v>175</v>
      </c>
      <c r="AM1270" s="385"/>
      <c r="AN1270" s="475">
        <v>822</v>
      </c>
      <c r="AO1270" s="395"/>
      <c r="AP1270" s="395">
        <f t="shared" si="862"/>
        <v>26.144919999999999</v>
      </c>
      <c r="AQ1270" s="393"/>
      <c r="AR1270" s="523"/>
      <c r="AS1270" s="393"/>
      <c r="AT1270" s="573"/>
      <c r="AU1270" s="394"/>
      <c r="AV1270" s="394"/>
      <c r="AW1270" s="394"/>
      <c r="AX1270" s="394"/>
      <c r="AY1270" s="394"/>
      <c r="AZ1270" s="394"/>
      <c r="BA1270" s="394"/>
      <c r="BB1270" s="394"/>
      <c r="BC1270" s="394"/>
      <c r="BD1270" s="381"/>
      <c r="BE1270" s="408"/>
      <c r="BF1270" s="385"/>
      <c r="BG1270" s="475"/>
      <c r="BH1270" s="395"/>
      <c r="BI1270" s="395" t="e">
        <f t="shared" si="863"/>
        <v>#DIV/0!</v>
      </c>
    </row>
    <row r="1271" spans="1:61" s="358" customFormat="1" ht="19.2" x14ac:dyDescent="0.3">
      <c r="A1271" s="359" t="s">
        <v>2070</v>
      </c>
      <c r="B1271" s="572" t="s">
        <v>3802</v>
      </c>
      <c r="C1271" s="546" t="s">
        <v>2893</v>
      </c>
      <c r="D1271" s="360">
        <v>0.22</v>
      </c>
      <c r="E1271" s="393"/>
      <c r="F1271" s="523"/>
      <c r="G1271" s="393"/>
      <c r="H1271" s="573"/>
      <c r="I1271" s="394"/>
      <c r="J1271" s="394"/>
      <c r="K1271" s="394"/>
      <c r="L1271" s="394"/>
      <c r="M1271" s="394"/>
      <c r="N1271" s="394"/>
      <c r="O1271" s="394"/>
      <c r="P1271" s="394"/>
      <c r="Q1271" s="394"/>
      <c r="R1271" s="381"/>
      <c r="S1271" s="408"/>
      <c r="T1271" s="385"/>
      <c r="U1271" s="475"/>
      <c r="V1271" s="395"/>
      <c r="W1271" s="395"/>
      <c r="X1271" s="393"/>
      <c r="Y1271" s="523">
        <v>1</v>
      </c>
      <c r="Z1271" s="393"/>
      <c r="AA1271" s="573">
        <v>10.599159999999999</v>
      </c>
      <c r="AB1271" s="394">
        <v>7.6763500000000002</v>
      </c>
      <c r="AC1271" s="394">
        <v>6.2995099999999997</v>
      </c>
      <c r="AD1271" s="394"/>
      <c r="AE1271" s="394"/>
      <c r="AF1271" s="394">
        <v>0</v>
      </c>
      <c r="AG1271" s="394">
        <v>0</v>
      </c>
      <c r="AH1271" s="394">
        <v>0.68139000000000005</v>
      </c>
      <c r="AI1271" s="394">
        <v>6.2995099999999997</v>
      </c>
      <c r="AJ1271" s="394"/>
      <c r="AK1271" s="381" t="s">
        <v>167</v>
      </c>
      <c r="AL1271" s="408" t="s">
        <v>175</v>
      </c>
      <c r="AM1271" s="385"/>
      <c r="AN1271" s="475">
        <v>824</v>
      </c>
      <c r="AO1271" s="395"/>
      <c r="AP1271" s="395">
        <f t="shared" si="862"/>
        <v>10.599159999999999</v>
      </c>
      <c r="AQ1271" s="393"/>
      <c r="AR1271" s="523"/>
      <c r="AS1271" s="393"/>
      <c r="AT1271" s="573"/>
      <c r="AU1271" s="394"/>
      <c r="AV1271" s="394"/>
      <c r="AW1271" s="394"/>
      <c r="AX1271" s="394"/>
      <c r="AY1271" s="394"/>
      <c r="AZ1271" s="394"/>
      <c r="BA1271" s="394"/>
      <c r="BB1271" s="394"/>
      <c r="BC1271" s="394"/>
      <c r="BD1271" s="381"/>
      <c r="BE1271" s="408"/>
      <c r="BF1271" s="385"/>
      <c r="BG1271" s="475"/>
      <c r="BH1271" s="395"/>
      <c r="BI1271" s="395" t="e">
        <f t="shared" si="863"/>
        <v>#DIV/0!</v>
      </c>
    </row>
    <row r="1272" spans="1:61" s="358" customFormat="1" ht="19.2" x14ac:dyDescent="0.3">
      <c r="A1272" s="359" t="s">
        <v>2071</v>
      </c>
      <c r="B1272" s="572" t="s">
        <v>3803</v>
      </c>
      <c r="C1272" s="546" t="s">
        <v>2894</v>
      </c>
      <c r="D1272" s="360">
        <v>0.22</v>
      </c>
      <c r="E1272" s="393"/>
      <c r="F1272" s="523"/>
      <c r="G1272" s="393"/>
      <c r="H1272" s="573"/>
      <c r="I1272" s="394"/>
      <c r="J1272" s="394"/>
      <c r="K1272" s="394"/>
      <c r="L1272" s="394"/>
      <c r="M1272" s="394"/>
      <c r="N1272" s="394"/>
      <c r="O1272" s="394"/>
      <c r="P1272" s="394"/>
      <c r="Q1272" s="394"/>
      <c r="R1272" s="381"/>
      <c r="S1272" s="408"/>
      <c r="T1272" s="385"/>
      <c r="U1272" s="475"/>
      <c r="V1272" s="395"/>
      <c r="W1272" s="395"/>
      <c r="X1272" s="393"/>
      <c r="Y1272" s="523">
        <v>1</v>
      </c>
      <c r="Z1272" s="393"/>
      <c r="AA1272" s="573">
        <v>10.59918</v>
      </c>
      <c r="AB1272" s="394">
        <v>7.6763700000000004</v>
      </c>
      <c r="AC1272" s="394">
        <v>6.2995099999999997</v>
      </c>
      <c r="AD1272" s="394"/>
      <c r="AE1272" s="394"/>
      <c r="AF1272" s="394">
        <v>0</v>
      </c>
      <c r="AG1272" s="394">
        <v>0</v>
      </c>
      <c r="AH1272" s="394">
        <v>0.68139000000000005</v>
      </c>
      <c r="AI1272" s="394">
        <v>6.2995099999999997</v>
      </c>
      <c r="AJ1272" s="394"/>
      <c r="AK1272" s="381" t="s">
        <v>167</v>
      </c>
      <c r="AL1272" s="408" t="s">
        <v>175</v>
      </c>
      <c r="AM1272" s="385"/>
      <c r="AN1272" s="475">
        <v>825</v>
      </c>
      <c r="AO1272" s="395"/>
      <c r="AP1272" s="395">
        <f t="shared" si="862"/>
        <v>10.59918</v>
      </c>
      <c r="AQ1272" s="393"/>
      <c r="AR1272" s="523"/>
      <c r="AS1272" s="393"/>
      <c r="AT1272" s="573"/>
      <c r="AU1272" s="394"/>
      <c r="AV1272" s="394"/>
      <c r="AW1272" s="394"/>
      <c r="AX1272" s="394"/>
      <c r="AY1272" s="394"/>
      <c r="AZ1272" s="394"/>
      <c r="BA1272" s="394"/>
      <c r="BB1272" s="394"/>
      <c r="BC1272" s="394"/>
      <c r="BD1272" s="381"/>
      <c r="BE1272" s="408"/>
      <c r="BF1272" s="385"/>
      <c r="BG1272" s="475"/>
      <c r="BH1272" s="395"/>
      <c r="BI1272" s="395" t="e">
        <f t="shared" si="863"/>
        <v>#DIV/0!</v>
      </c>
    </row>
    <row r="1273" spans="1:61" s="358" customFormat="1" ht="19.2" x14ac:dyDescent="0.3">
      <c r="A1273" s="359" t="s">
        <v>2072</v>
      </c>
      <c r="B1273" s="572" t="s">
        <v>3804</v>
      </c>
      <c r="C1273" s="546" t="s">
        <v>2895</v>
      </c>
      <c r="D1273" s="360">
        <v>0.22</v>
      </c>
      <c r="E1273" s="393"/>
      <c r="F1273" s="523"/>
      <c r="G1273" s="393"/>
      <c r="H1273" s="573"/>
      <c r="I1273" s="394"/>
      <c r="J1273" s="394"/>
      <c r="K1273" s="394"/>
      <c r="L1273" s="394"/>
      <c r="M1273" s="394"/>
      <c r="N1273" s="394"/>
      <c r="O1273" s="394"/>
      <c r="P1273" s="394"/>
      <c r="Q1273" s="394"/>
      <c r="R1273" s="381"/>
      <c r="S1273" s="408"/>
      <c r="T1273" s="385"/>
      <c r="U1273" s="475"/>
      <c r="V1273" s="395"/>
      <c r="W1273" s="395"/>
      <c r="X1273" s="393"/>
      <c r="Y1273" s="523">
        <v>1</v>
      </c>
      <c r="Z1273" s="393"/>
      <c r="AA1273" s="573">
        <v>10.59918</v>
      </c>
      <c r="AB1273" s="394">
        <v>7.6763700000000004</v>
      </c>
      <c r="AC1273" s="394">
        <v>6.2995099999999997</v>
      </c>
      <c r="AD1273" s="394"/>
      <c r="AE1273" s="394"/>
      <c r="AF1273" s="394">
        <v>0</v>
      </c>
      <c r="AG1273" s="394">
        <v>0</v>
      </c>
      <c r="AH1273" s="394">
        <v>0.68139000000000005</v>
      </c>
      <c r="AI1273" s="394">
        <v>6.2995099999999997</v>
      </c>
      <c r="AJ1273" s="394"/>
      <c r="AK1273" s="381" t="s">
        <v>167</v>
      </c>
      <c r="AL1273" s="408" t="s">
        <v>175</v>
      </c>
      <c r="AM1273" s="385"/>
      <c r="AN1273" s="475">
        <v>826</v>
      </c>
      <c r="AO1273" s="395"/>
      <c r="AP1273" s="395">
        <f t="shared" si="862"/>
        <v>10.59918</v>
      </c>
      <c r="AQ1273" s="393"/>
      <c r="AR1273" s="523"/>
      <c r="AS1273" s="393"/>
      <c r="AT1273" s="573"/>
      <c r="AU1273" s="394"/>
      <c r="AV1273" s="394"/>
      <c r="AW1273" s="394"/>
      <c r="AX1273" s="394"/>
      <c r="AY1273" s="394"/>
      <c r="AZ1273" s="394"/>
      <c r="BA1273" s="394"/>
      <c r="BB1273" s="394"/>
      <c r="BC1273" s="394"/>
      <c r="BD1273" s="381"/>
      <c r="BE1273" s="408"/>
      <c r="BF1273" s="385"/>
      <c r="BG1273" s="475"/>
      <c r="BH1273" s="395"/>
      <c r="BI1273" s="395" t="e">
        <f t="shared" si="863"/>
        <v>#DIV/0!</v>
      </c>
    </row>
    <row r="1274" spans="1:61" s="358" customFormat="1" ht="19.2" x14ac:dyDescent="0.3">
      <c r="A1274" s="359" t="s">
        <v>2073</v>
      </c>
      <c r="B1274" s="572" t="s">
        <v>3805</v>
      </c>
      <c r="C1274" s="546" t="s">
        <v>2896</v>
      </c>
      <c r="D1274" s="360">
        <v>0.22</v>
      </c>
      <c r="E1274" s="393"/>
      <c r="F1274" s="523"/>
      <c r="G1274" s="393"/>
      <c r="H1274" s="573"/>
      <c r="I1274" s="394"/>
      <c r="J1274" s="394"/>
      <c r="K1274" s="394"/>
      <c r="L1274" s="394"/>
      <c r="M1274" s="394"/>
      <c r="N1274" s="394"/>
      <c r="O1274" s="394"/>
      <c r="P1274" s="394"/>
      <c r="Q1274" s="394"/>
      <c r="R1274" s="381"/>
      <c r="S1274" s="408"/>
      <c r="T1274" s="385"/>
      <c r="U1274" s="475"/>
      <c r="V1274" s="395"/>
      <c r="W1274" s="395"/>
      <c r="X1274" s="393"/>
      <c r="Y1274" s="523">
        <v>1</v>
      </c>
      <c r="Z1274" s="393"/>
      <c r="AA1274" s="573">
        <v>6.9376899999999999</v>
      </c>
      <c r="AB1274" s="394">
        <v>6.4697500000000003</v>
      </c>
      <c r="AC1274" s="394">
        <v>6.2995000000000001</v>
      </c>
      <c r="AD1274" s="394"/>
      <c r="AE1274" s="394"/>
      <c r="AF1274" s="394">
        <v>0</v>
      </c>
      <c r="AG1274" s="394">
        <v>0</v>
      </c>
      <c r="AH1274" s="394">
        <v>0.10909000000000001</v>
      </c>
      <c r="AI1274" s="394">
        <v>6.2995000000000001</v>
      </c>
      <c r="AJ1274" s="394"/>
      <c r="AK1274" s="381" t="s">
        <v>167</v>
      </c>
      <c r="AL1274" s="408" t="s">
        <v>175</v>
      </c>
      <c r="AM1274" s="385"/>
      <c r="AN1274" s="475">
        <v>827</v>
      </c>
      <c r="AO1274" s="395"/>
      <c r="AP1274" s="395">
        <f t="shared" si="862"/>
        <v>6.9376899999999999</v>
      </c>
      <c r="AQ1274" s="393"/>
      <c r="AR1274" s="523"/>
      <c r="AS1274" s="393"/>
      <c r="AT1274" s="573"/>
      <c r="AU1274" s="394"/>
      <c r="AV1274" s="394"/>
      <c r="AW1274" s="394"/>
      <c r="AX1274" s="394"/>
      <c r="AY1274" s="394"/>
      <c r="AZ1274" s="394"/>
      <c r="BA1274" s="394"/>
      <c r="BB1274" s="394"/>
      <c r="BC1274" s="394"/>
      <c r="BD1274" s="381"/>
      <c r="BE1274" s="408"/>
      <c r="BF1274" s="385"/>
      <c r="BG1274" s="475"/>
      <c r="BH1274" s="395"/>
      <c r="BI1274" s="395" t="e">
        <f t="shared" si="863"/>
        <v>#DIV/0!</v>
      </c>
    </row>
    <row r="1275" spans="1:61" s="358" customFormat="1" ht="19.2" x14ac:dyDescent="0.3">
      <c r="A1275" s="359" t="s">
        <v>2074</v>
      </c>
      <c r="B1275" s="572" t="s">
        <v>3806</v>
      </c>
      <c r="C1275" s="546" t="s">
        <v>2897</v>
      </c>
      <c r="D1275" s="360">
        <v>0.22</v>
      </c>
      <c r="E1275" s="393"/>
      <c r="F1275" s="523"/>
      <c r="G1275" s="393"/>
      <c r="H1275" s="573"/>
      <c r="I1275" s="394"/>
      <c r="J1275" s="394"/>
      <c r="K1275" s="394"/>
      <c r="L1275" s="394"/>
      <c r="M1275" s="394"/>
      <c r="N1275" s="394"/>
      <c r="O1275" s="394"/>
      <c r="P1275" s="394"/>
      <c r="Q1275" s="394"/>
      <c r="R1275" s="381"/>
      <c r="S1275" s="408"/>
      <c r="T1275" s="385"/>
      <c r="U1275" s="475"/>
      <c r="V1275" s="395"/>
      <c r="W1275" s="395"/>
      <c r="X1275" s="393"/>
      <c r="Y1275" s="523">
        <v>1</v>
      </c>
      <c r="Z1275" s="393"/>
      <c r="AA1275" s="573">
        <v>6.9376699999999998</v>
      </c>
      <c r="AB1275" s="394">
        <v>6.4697300000000002</v>
      </c>
      <c r="AC1275" s="394">
        <v>6.2995000000000001</v>
      </c>
      <c r="AD1275" s="394"/>
      <c r="AE1275" s="394"/>
      <c r="AF1275" s="394">
        <v>0</v>
      </c>
      <c r="AG1275" s="394">
        <v>0</v>
      </c>
      <c r="AH1275" s="394">
        <v>0.10909000000000001</v>
      </c>
      <c r="AI1275" s="394">
        <v>6.2995000000000001</v>
      </c>
      <c r="AJ1275" s="394"/>
      <c r="AK1275" s="381" t="s">
        <v>167</v>
      </c>
      <c r="AL1275" s="408" t="s">
        <v>175</v>
      </c>
      <c r="AM1275" s="385"/>
      <c r="AN1275" s="475">
        <v>828</v>
      </c>
      <c r="AO1275" s="395"/>
      <c r="AP1275" s="395">
        <f t="shared" si="862"/>
        <v>6.9376699999999998</v>
      </c>
      <c r="AQ1275" s="393"/>
      <c r="AR1275" s="523"/>
      <c r="AS1275" s="393"/>
      <c r="AT1275" s="573"/>
      <c r="AU1275" s="394"/>
      <c r="AV1275" s="394"/>
      <c r="AW1275" s="394"/>
      <c r="AX1275" s="394"/>
      <c r="AY1275" s="394"/>
      <c r="AZ1275" s="394"/>
      <c r="BA1275" s="394"/>
      <c r="BB1275" s="394"/>
      <c r="BC1275" s="394"/>
      <c r="BD1275" s="381"/>
      <c r="BE1275" s="408"/>
      <c r="BF1275" s="385"/>
      <c r="BG1275" s="475"/>
      <c r="BH1275" s="395"/>
      <c r="BI1275" s="395" t="e">
        <f t="shared" si="863"/>
        <v>#DIV/0!</v>
      </c>
    </row>
    <row r="1276" spans="1:61" s="358" customFormat="1" ht="19.2" x14ac:dyDescent="0.3">
      <c r="A1276" s="359" t="s">
        <v>2075</v>
      </c>
      <c r="B1276" s="572" t="s">
        <v>3807</v>
      </c>
      <c r="C1276" s="546" t="s">
        <v>2898</v>
      </c>
      <c r="D1276" s="360">
        <v>0.22</v>
      </c>
      <c r="E1276" s="393"/>
      <c r="F1276" s="523"/>
      <c r="G1276" s="393"/>
      <c r="H1276" s="573"/>
      <c r="I1276" s="394"/>
      <c r="J1276" s="394"/>
      <c r="K1276" s="394"/>
      <c r="L1276" s="394"/>
      <c r="M1276" s="394"/>
      <c r="N1276" s="394"/>
      <c r="O1276" s="394"/>
      <c r="P1276" s="394"/>
      <c r="Q1276" s="394"/>
      <c r="R1276" s="381"/>
      <c r="S1276" s="408"/>
      <c r="T1276" s="385"/>
      <c r="U1276" s="475"/>
      <c r="V1276" s="395"/>
      <c r="W1276" s="395"/>
      <c r="X1276" s="393"/>
      <c r="Y1276" s="523">
        <v>1</v>
      </c>
      <c r="Z1276" s="393"/>
      <c r="AA1276" s="573">
        <v>6.9376899999999999</v>
      </c>
      <c r="AB1276" s="394">
        <v>6.4697500000000003</v>
      </c>
      <c r="AC1276" s="394">
        <v>6.2995000000000001</v>
      </c>
      <c r="AD1276" s="394"/>
      <c r="AE1276" s="394"/>
      <c r="AF1276" s="394">
        <v>0</v>
      </c>
      <c r="AG1276" s="394">
        <v>0</v>
      </c>
      <c r="AH1276" s="394">
        <v>0.10909000000000001</v>
      </c>
      <c r="AI1276" s="394">
        <v>6.2995000000000001</v>
      </c>
      <c r="AJ1276" s="394"/>
      <c r="AK1276" s="381" t="s">
        <v>167</v>
      </c>
      <c r="AL1276" s="408" t="s">
        <v>175</v>
      </c>
      <c r="AM1276" s="385"/>
      <c r="AN1276" s="475">
        <v>829</v>
      </c>
      <c r="AO1276" s="395"/>
      <c r="AP1276" s="395">
        <f t="shared" si="862"/>
        <v>6.9376899999999999</v>
      </c>
      <c r="AQ1276" s="393"/>
      <c r="AR1276" s="523"/>
      <c r="AS1276" s="393"/>
      <c r="AT1276" s="573"/>
      <c r="AU1276" s="394"/>
      <c r="AV1276" s="394"/>
      <c r="AW1276" s="394"/>
      <c r="AX1276" s="394"/>
      <c r="AY1276" s="394"/>
      <c r="AZ1276" s="394"/>
      <c r="BA1276" s="394"/>
      <c r="BB1276" s="394"/>
      <c r="BC1276" s="394"/>
      <c r="BD1276" s="381"/>
      <c r="BE1276" s="408"/>
      <c r="BF1276" s="385"/>
      <c r="BG1276" s="475"/>
      <c r="BH1276" s="395"/>
      <c r="BI1276" s="395" t="e">
        <f t="shared" si="863"/>
        <v>#DIV/0!</v>
      </c>
    </row>
    <row r="1277" spans="1:61" s="358" customFormat="1" ht="19.2" x14ac:dyDescent="0.3">
      <c r="A1277" s="359" t="s">
        <v>2076</v>
      </c>
      <c r="B1277" s="572" t="s">
        <v>3808</v>
      </c>
      <c r="C1277" s="546" t="s">
        <v>2899</v>
      </c>
      <c r="D1277" s="360">
        <v>0.22</v>
      </c>
      <c r="E1277" s="393"/>
      <c r="F1277" s="523"/>
      <c r="G1277" s="393"/>
      <c r="H1277" s="573"/>
      <c r="I1277" s="394"/>
      <c r="J1277" s="394"/>
      <c r="K1277" s="394"/>
      <c r="L1277" s="394"/>
      <c r="M1277" s="394"/>
      <c r="N1277" s="394"/>
      <c r="O1277" s="394"/>
      <c r="P1277" s="394"/>
      <c r="Q1277" s="394"/>
      <c r="R1277" s="381"/>
      <c r="S1277" s="408"/>
      <c r="T1277" s="385"/>
      <c r="U1277" s="475"/>
      <c r="V1277" s="395"/>
      <c r="W1277" s="395"/>
      <c r="X1277" s="393"/>
      <c r="Y1277" s="523">
        <v>1</v>
      </c>
      <c r="Z1277" s="393"/>
      <c r="AA1277" s="573">
        <v>10.59918</v>
      </c>
      <c r="AB1277" s="394">
        <v>7.6763700000000004</v>
      </c>
      <c r="AC1277" s="394">
        <v>6.2995099999999997</v>
      </c>
      <c r="AD1277" s="394"/>
      <c r="AE1277" s="394"/>
      <c r="AF1277" s="394">
        <v>0</v>
      </c>
      <c r="AG1277" s="394">
        <v>0</v>
      </c>
      <c r="AH1277" s="394">
        <v>0.68139000000000005</v>
      </c>
      <c r="AI1277" s="394">
        <v>6.2995099999999997</v>
      </c>
      <c r="AJ1277" s="394"/>
      <c r="AK1277" s="381" t="s">
        <v>167</v>
      </c>
      <c r="AL1277" s="408" t="s">
        <v>175</v>
      </c>
      <c r="AM1277" s="385"/>
      <c r="AN1277" s="475">
        <v>830</v>
      </c>
      <c r="AO1277" s="395"/>
      <c r="AP1277" s="395">
        <f t="shared" si="862"/>
        <v>10.59918</v>
      </c>
      <c r="AQ1277" s="393"/>
      <c r="AR1277" s="523"/>
      <c r="AS1277" s="393"/>
      <c r="AT1277" s="573"/>
      <c r="AU1277" s="394"/>
      <c r="AV1277" s="394"/>
      <c r="AW1277" s="394"/>
      <c r="AX1277" s="394"/>
      <c r="AY1277" s="394"/>
      <c r="AZ1277" s="394"/>
      <c r="BA1277" s="394"/>
      <c r="BB1277" s="394"/>
      <c r="BC1277" s="394"/>
      <c r="BD1277" s="381"/>
      <c r="BE1277" s="408"/>
      <c r="BF1277" s="385"/>
      <c r="BG1277" s="475"/>
      <c r="BH1277" s="395"/>
      <c r="BI1277" s="395" t="e">
        <f t="shared" si="863"/>
        <v>#DIV/0!</v>
      </c>
    </row>
    <row r="1278" spans="1:61" s="358" customFormat="1" ht="19.2" x14ac:dyDescent="0.3">
      <c r="A1278" s="359" t="s">
        <v>2077</v>
      </c>
      <c r="B1278" s="572" t="s">
        <v>3809</v>
      </c>
      <c r="C1278" s="546" t="s">
        <v>2900</v>
      </c>
      <c r="D1278" s="360">
        <v>0.22</v>
      </c>
      <c r="E1278" s="393"/>
      <c r="F1278" s="523"/>
      <c r="G1278" s="393"/>
      <c r="H1278" s="573"/>
      <c r="I1278" s="394"/>
      <c r="J1278" s="394"/>
      <c r="K1278" s="394"/>
      <c r="L1278" s="394"/>
      <c r="M1278" s="394"/>
      <c r="N1278" s="394"/>
      <c r="O1278" s="394"/>
      <c r="P1278" s="394"/>
      <c r="Q1278" s="394"/>
      <c r="R1278" s="381"/>
      <c r="S1278" s="408"/>
      <c r="T1278" s="385"/>
      <c r="U1278" s="475"/>
      <c r="V1278" s="395"/>
      <c r="W1278" s="395"/>
      <c r="X1278" s="393"/>
      <c r="Y1278" s="523">
        <v>1</v>
      </c>
      <c r="Z1278" s="393"/>
      <c r="AA1278" s="573">
        <v>10.599159999999999</v>
      </c>
      <c r="AB1278" s="394">
        <v>7.6763500000000002</v>
      </c>
      <c r="AC1278" s="394">
        <v>6.2995099999999997</v>
      </c>
      <c r="AD1278" s="394"/>
      <c r="AE1278" s="394"/>
      <c r="AF1278" s="394">
        <v>0</v>
      </c>
      <c r="AG1278" s="394">
        <v>0</v>
      </c>
      <c r="AH1278" s="394">
        <v>0.68139000000000005</v>
      </c>
      <c r="AI1278" s="394">
        <v>6.2995099999999997</v>
      </c>
      <c r="AJ1278" s="394"/>
      <c r="AK1278" s="381" t="s">
        <v>167</v>
      </c>
      <c r="AL1278" s="408" t="s">
        <v>175</v>
      </c>
      <c r="AM1278" s="385"/>
      <c r="AN1278" s="475">
        <v>831</v>
      </c>
      <c r="AO1278" s="395"/>
      <c r="AP1278" s="395">
        <f t="shared" si="862"/>
        <v>10.599159999999999</v>
      </c>
      <c r="AQ1278" s="393"/>
      <c r="AR1278" s="523"/>
      <c r="AS1278" s="393"/>
      <c r="AT1278" s="573"/>
      <c r="AU1278" s="394"/>
      <c r="AV1278" s="394"/>
      <c r="AW1278" s="394"/>
      <c r="AX1278" s="394"/>
      <c r="AY1278" s="394"/>
      <c r="AZ1278" s="394"/>
      <c r="BA1278" s="394"/>
      <c r="BB1278" s="394"/>
      <c r="BC1278" s="394"/>
      <c r="BD1278" s="381"/>
      <c r="BE1278" s="408"/>
      <c r="BF1278" s="385"/>
      <c r="BG1278" s="475"/>
      <c r="BH1278" s="395"/>
      <c r="BI1278" s="395" t="e">
        <f t="shared" si="863"/>
        <v>#DIV/0!</v>
      </c>
    </row>
    <row r="1279" spans="1:61" s="358" customFormat="1" ht="19.2" x14ac:dyDescent="0.3">
      <c r="A1279" s="359" t="s">
        <v>2078</v>
      </c>
      <c r="B1279" s="572" t="s">
        <v>3810</v>
      </c>
      <c r="C1279" s="546" t="s">
        <v>2901</v>
      </c>
      <c r="D1279" s="360">
        <v>0.22</v>
      </c>
      <c r="E1279" s="393"/>
      <c r="F1279" s="523"/>
      <c r="G1279" s="393"/>
      <c r="H1279" s="573"/>
      <c r="I1279" s="394"/>
      <c r="J1279" s="394"/>
      <c r="K1279" s="394"/>
      <c r="L1279" s="394"/>
      <c r="M1279" s="394"/>
      <c r="N1279" s="394"/>
      <c r="O1279" s="394"/>
      <c r="P1279" s="394"/>
      <c r="Q1279" s="394"/>
      <c r="R1279" s="381"/>
      <c r="S1279" s="408"/>
      <c r="T1279" s="385"/>
      <c r="U1279" s="475"/>
      <c r="V1279" s="395"/>
      <c r="W1279" s="395"/>
      <c r="X1279" s="393"/>
      <c r="Y1279" s="523">
        <v>1</v>
      </c>
      <c r="Z1279" s="393"/>
      <c r="AA1279" s="573">
        <v>6.9376899999999999</v>
      </c>
      <c r="AB1279" s="394">
        <v>6.4697500000000003</v>
      </c>
      <c r="AC1279" s="394">
        <v>6.2995000000000001</v>
      </c>
      <c r="AD1279" s="394"/>
      <c r="AE1279" s="394"/>
      <c r="AF1279" s="394">
        <v>0</v>
      </c>
      <c r="AG1279" s="394">
        <v>0</v>
      </c>
      <c r="AH1279" s="394">
        <v>0.10909000000000001</v>
      </c>
      <c r="AI1279" s="394">
        <v>6.2995000000000001</v>
      </c>
      <c r="AJ1279" s="394"/>
      <c r="AK1279" s="381" t="s">
        <v>167</v>
      </c>
      <c r="AL1279" s="408" t="s">
        <v>175</v>
      </c>
      <c r="AM1279" s="385"/>
      <c r="AN1279" s="475">
        <v>832</v>
      </c>
      <c r="AO1279" s="395"/>
      <c r="AP1279" s="395">
        <f t="shared" si="862"/>
        <v>6.9376899999999999</v>
      </c>
      <c r="AQ1279" s="393"/>
      <c r="AR1279" s="523"/>
      <c r="AS1279" s="393"/>
      <c r="AT1279" s="573"/>
      <c r="AU1279" s="394"/>
      <c r="AV1279" s="394"/>
      <c r="AW1279" s="394"/>
      <c r="AX1279" s="394"/>
      <c r="AY1279" s="394"/>
      <c r="AZ1279" s="394"/>
      <c r="BA1279" s="394"/>
      <c r="BB1279" s="394"/>
      <c r="BC1279" s="394"/>
      <c r="BD1279" s="381"/>
      <c r="BE1279" s="408"/>
      <c r="BF1279" s="385"/>
      <c r="BG1279" s="475"/>
      <c r="BH1279" s="395"/>
      <c r="BI1279" s="395" t="e">
        <f t="shared" si="863"/>
        <v>#DIV/0!</v>
      </c>
    </row>
    <row r="1280" spans="1:61" s="358" customFormat="1" ht="19.2" x14ac:dyDescent="0.3">
      <c r="A1280" s="359" t="s">
        <v>2095</v>
      </c>
      <c r="B1280" s="572" t="s">
        <v>3811</v>
      </c>
      <c r="C1280" s="546" t="s">
        <v>2902</v>
      </c>
      <c r="D1280" s="360">
        <v>0.22</v>
      </c>
      <c r="E1280" s="393"/>
      <c r="F1280" s="523"/>
      <c r="G1280" s="393"/>
      <c r="H1280" s="573"/>
      <c r="I1280" s="394"/>
      <c r="J1280" s="394"/>
      <c r="K1280" s="394"/>
      <c r="L1280" s="394"/>
      <c r="M1280" s="394"/>
      <c r="N1280" s="394"/>
      <c r="O1280" s="394"/>
      <c r="P1280" s="394"/>
      <c r="Q1280" s="394"/>
      <c r="R1280" s="381"/>
      <c r="S1280" s="408"/>
      <c r="T1280" s="385"/>
      <c r="U1280" s="475"/>
      <c r="V1280" s="395"/>
      <c r="W1280" s="395"/>
      <c r="X1280" s="393"/>
      <c r="Y1280" s="523">
        <v>1</v>
      </c>
      <c r="Z1280" s="393"/>
      <c r="AA1280" s="573">
        <v>21.270790000000002</v>
      </c>
      <c r="AB1280" s="394">
        <v>16.91104</v>
      </c>
      <c r="AC1280" s="394">
        <v>6.2994399999999997</v>
      </c>
      <c r="AD1280" s="394">
        <v>1.8906099999999999</v>
      </c>
      <c r="AE1280" s="394"/>
      <c r="AF1280" s="394">
        <v>0</v>
      </c>
      <c r="AG1280" s="394">
        <v>0</v>
      </c>
      <c r="AH1280" s="394">
        <v>1.0163800000000001</v>
      </c>
      <c r="AI1280" s="394">
        <v>6.2994399999999997</v>
      </c>
      <c r="AJ1280" s="394">
        <v>1.8906099999999999</v>
      </c>
      <c r="AK1280" s="381" t="s">
        <v>167</v>
      </c>
      <c r="AL1280" s="408" t="s">
        <v>175</v>
      </c>
      <c r="AM1280" s="385"/>
      <c r="AN1280" s="475">
        <v>833</v>
      </c>
      <c r="AO1280" s="395"/>
      <c r="AP1280" s="395">
        <f t="shared" si="862"/>
        <v>21.270790000000002</v>
      </c>
      <c r="AQ1280" s="393"/>
      <c r="AR1280" s="523"/>
      <c r="AS1280" s="393"/>
      <c r="AT1280" s="573"/>
      <c r="AU1280" s="394"/>
      <c r="AV1280" s="394"/>
      <c r="AW1280" s="394"/>
      <c r="AX1280" s="394"/>
      <c r="AY1280" s="394"/>
      <c r="AZ1280" s="394"/>
      <c r="BA1280" s="394"/>
      <c r="BB1280" s="394"/>
      <c r="BC1280" s="394"/>
      <c r="BD1280" s="381"/>
      <c r="BE1280" s="408"/>
      <c r="BF1280" s="385"/>
      <c r="BG1280" s="475"/>
      <c r="BH1280" s="395"/>
      <c r="BI1280" s="395" t="e">
        <f t="shared" si="863"/>
        <v>#DIV/0!</v>
      </c>
    </row>
    <row r="1281" spans="1:61" s="358" customFormat="1" ht="19.2" x14ac:dyDescent="0.3">
      <c r="A1281" s="359" t="s">
        <v>2080</v>
      </c>
      <c r="B1281" s="572" t="s">
        <v>3812</v>
      </c>
      <c r="C1281" s="546" t="s">
        <v>2903</v>
      </c>
      <c r="D1281" s="360">
        <v>0.22</v>
      </c>
      <c r="E1281" s="393"/>
      <c r="F1281" s="523"/>
      <c r="G1281" s="393"/>
      <c r="H1281" s="573"/>
      <c r="I1281" s="394"/>
      <c r="J1281" s="394"/>
      <c r="K1281" s="394"/>
      <c r="L1281" s="394"/>
      <c r="M1281" s="394"/>
      <c r="N1281" s="394"/>
      <c r="O1281" s="394"/>
      <c r="P1281" s="394"/>
      <c r="Q1281" s="394"/>
      <c r="R1281" s="381"/>
      <c r="S1281" s="408"/>
      <c r="T1281" s="385"/>
      <c r="U1281" s="475"/>
      <c r="V1281" s="395"/>
      <c r="W1281" s="395"/>
      <c r="X1281" s="393"/>
      <c r="Y1281" s="523">
        <v>1</v>
      </c>
      <c r="Z1281" s="393"/>
      <c r="AA1281" s="573">
        <v>6.9376699999999998</v>
      </c>
      <c r="AB1281" s="394">
        <v>6.4697300000000002</v>
      </c>
      <c r="AC1281" s="394">
        <v>6.2995000000000001</v>
      </c>
      <c r="AD1281" s="394"/>
      <c r="AE1281" s="394"/>
      <c r="AF1281" s="394">
        <v>0</v>
      </c>
      <c r="AG1281" s="394">
        <v>0</v>
      </c>
      <c r="AH1281" s="394">
        <v>0.10909000000000001</v>
      </c>
      <c r="AI1281" s="394">
        <v>6.2995000000000001</v>
      </c>
      <c r="AJ1281" s="394"/>
      <c r="AK1281" s="381" t="s">
        <v>167</v>
      </c>
      <c r="AL1281" s="408" t="s">
        <v>175</v>
      </c>
      <c r="AM1281" s="385"/>
      <c r="AN1281" s="475">
        <v>835</v>
      </c>
      <c r="AO1281" s="395"/>
      <c r="AP1281" s="395">
        <f t="shared" si="862"/>
        <v>6.9376699999999998</v>
      </c>
      <c r="AQ1281" s="393"/>
      <c r="AR1281" s="523"/>
      <c r="AS1281" s="393"/>
      <c r="AT1281" s="573"/>
      <c r="AU1281" s="394"/>
      <c r="AV1281" s="394"/>
      <c r="AW1281" s="394"/>
      <c r="AX1281" s="394"/>
      <c r="AY1281" s="394"/>
      <c r="AZ1281" s="394"/>
      <c r="BA1281" s="394"/>
      <c r="BB1281" s="394"/>
      <c r="BC1281" s="394"/>
      <c r="BD1281" s="381"/>
      <c r="BE1281" s="408"/>
      <c r="BF1281" s="385"/>
      <c r="BG1281" s="475"/>
      <c r="BH1281" s="395"/>
      <c r="BI1281" s="395" t="e">
        <f t="shared" si="863"/>
        <v>#DIV/0!</v>
      </c>
    </row>
    <row r="1282" spans="1:61" s="358" customFormat="1" ht="19.2" x14ac:dyDescent="0.3">
      <c r="A1282" s="359" t="s">
        <v>2081</v>
      </c>
      <c r="B1282" s="572" t="s">
        <v>3635</v>
      </c>
      <c r="C1282" s="546" t="s">
        <v>2904</v>
      </c>
      <c r="D1282" s="360">
        <v>0.22</v>
      </c>
      <c r="E1282" s="393"/>
      <c r="F1282" s="523"/>
      <c r="G1282" s="393"/>
      <c r="H1282" s="573"/>
      <c r="I1282" s="394"/>
      <c r="J1282" s="394"/>
      <c r="K1282" s="394"/>
      <c r="L1282" s="394"/>
      <c r="M1282" s="394"/>
      <c r="N1282" s="394"/>
      <c r="O1282" s="394"/>
      <c r="P1282" s="394"/>
      <c r="Q1282" s="394"/>
      <c r="R1282" s="381"/>
      <c r="S1282" s="408"/>
      <c r="T1282" s="385"/>
      <c r="U1282" s="475"/>
      <c r="V1282" s="395"/>
      <c r="W1282" s="395"/>
      <c r="X1282" s="393"/>
      <c r="Y1282" s="523">
        <v>1</v>
      </c>
      <c r="Z1282" s="393"/>
      <c r="AA1282" s="573">
        <v>6.9376899999999999</v>
      </c>
      <c r="AB1282" s="394">
        <v>6.4697500000000003</v>
      </c>
      <c r="AC1282" s="394">
        <v>6.2995000000000001</v>
      </c>
      <c r="AD1282" s="394"/>
      <c r="AE1282" s="394"/>
      <c r="AF1282" s="394">
        <v>0</v>
      </c>
      <c r="AG1282" s="394">
        <v>0</v>
      </c>
      <c r="AH1282" s="394">
        <v>0.10909000000000001</v>
      </c>
      <c r="AI1282" s="394">
        <v>6.2995000000000001</v>
      </c>
      <c r="AJ1282" s="394"/>
      <c r="AK1282" s="381" t="s">
        <v>167</v>
      </c>
      <c r="AL1282" s="408" t="s">
        <v>175</v>
      </c>
      <c r="AM1282" s="385"/>
      <c r="AN1282" s="475">
        <v>836</v>
      </c>
      <c r="AO1282" s="395"/>
      <c r="AP1282" s="395">
        <f t="shared" si="862"/>
        <v>6.9376899999999999</v>
      </c>
      <c r="AQ1282" s="393"/>
      <c r="AR1282" s="523"/>
      <c r="AS1282" s="393"/>
      <c r="AT1282" s="573"/>
      <c r="AU1282" s="394"/>
      <c r="AV1282" s="394"/>
      <c r="AW1282" s="394"/>
      <c r="AX1282" s="394"/>
      <c r="AY1282" s="394"/>
      <c r="AZ1282" s="394"/>
      <c r="BA1282" s="394"/>
      <c r="BB1282" s="394"/>
      <c r="BC1282" s="394"/>
      <c r="BD1282" s="381"/>
      <c r="BE1282" s="408"/>
      <c r="BF1282" s="385"/>
      <c r="BG1282" s="475"/>
      <c r="BH1282" s="395"/>
      <c r="BI1282" s="395" t="e">
        <f t="shared" si="863"/>
        <v>#DIV/0!</v>
      </c>
    </row>
    <row r="1283" spans="1:61" s="358" customFormat="1" ht="19.2" x14ac:dyDescent="0.3">
      <c r="A1283" s="359" t="s">
        <v>2066</v>
      </c>
      <c r="B1283" s="572" t="s">
        <v>3813</v>
      </c>
      <c r="C1283" s="546" t="s">
        <v>2905</v>
      </c>
      <c r="D1283" s="360">
        <v>0.22</v>
      </c>
      <c r="E1283" s="393"/>
      <c r="F1283" s="523"/>
      <c r="G1283" s="393"/>
      <c r="H1283" s="573"/>
      <c r="I1283" s="394"/>
      <c r="J1283" s="394"/>
      <c r="K1283" s="394"/>
      <c r="L1283" s="394"/>
      <c r="M1283" s="394"/>
      <c r="N1283" s="394"/>
      <c r="O1283" s="394"/>
      <c r="P1283" s="394"/>
      <c r="Q1283" s="394"/>
      <c r="R1283" s="381"/>
      <c r="S1283" s="408"/>
      <c r="T1283" s="385"/>
      <c r="U1283" s="475"/>
      <c r="V1283" s="395"/>
      <c r="W1283" s="395"/>
      <c r="X1283" s="393"/>
      <c r="Y1283" s="523">
        <v>1</v>
      </c>
      <c r="Z1283" s="393"/>
      <c r="AA1283" s="573">
        <v>6.9376899999999999</v>
      </c>
      <c r="AB1283" s="394">
        <v>6.4697500000000003</v>
      </c>
      <c r="AC1283" s="394">
        <v>6.2995000000000001</v>
      </c>
      <c r="AD1283" s="394"/>
      <c r="AE1283" s="394"/>
      <c r="AF1283" s="394">
        <v>0</v>
      </c>
      <c r="AG1283" s="394">
        <v>0</v>
      </c>
      <c r="AH1283" s="394">
        <v>0.10909000000000001</v>
      </c>
      <c r="AI1283" s="394">
        <v>6.2995000000000001</v>
      </c>
      <c r="AJ1283" s="394"/>
      <c r="AK1283" s="381" t="s">
        <v>167</v>
      </c>
      <c r="AL1283" s="408" t="s">
        <v>175</v>
      </c>
      <c r="AM1283" s="385"/>
      <c r="AN1283" s="475">
        <v>837</v>
      </c>
      <c r="AO1283" s="395"/>
      <c r="AP1283" s="395">
        <f t="shared" si="862"/>
        <v>6.9376899999999999</v>
      </c>
      <c r="AQ1283" s="393"/>
      <c r="AR1283" s="523"/>
      <c r="AS1283" s="393"/>
      <c r="AT1283" s="573"/>
      <c r="AU1283" s="394"/>
      <c r="AV1283" s="394"/>
      <c r="AW1283" s="394"/>
      <c r="AX1283" s="394"/>
      <c r="AY1283" s="394"/>
      <c r="AZ1283" s="394"/>
      <c r="BA1283" s="394"/>
      <c r="BB1283" s="394"/>
      <c r="BC1283" s="394"/>
      <c r="BD1283" s="381"/>
      <c r="BE1283" s="408"/>
      <c r="BF1283" s="385"/>
      <c r="BG1283" s="475"/>
      <c r="BH1283" s="395"/>
      <c r="BI1283" s="395" t="e">
        <f t="shared" si="863"/>
        <v>#DIV/0!</v>
      </c>
    </row>
    <row r="1284" spans="1:61" s="358" customFormat="1" ht="19.2" x14ac:dyDescent="0.3">
      <c r="A1284" s="359" t="s">
        <v>2099</v>
      </c>
      <c r="B1284" s="572" t="s">
        <v>3814</v>
      </c>
      <c r="C1284" s="546" t="s">
        <v>2906</v>
      </c>
      <c r="D1284" s="360">
        <v>0.22</v>
      </c>
      <c r="E1284" s="393"/>
      <c r="F1284" s="523"/>
      <c r="G1284" s="393"/>
      <c r="H1284" s="573"/>
      <c r="I1284" s="394"/>
      <c r="J1284" s="394"/>
      <c r="K1284" s="394"/>
      <c r="L1284" s="394"/>
      <c r="M1284" s="394"/>
      <c r="N1284" s="394"/>
      <c r="O1284" s="394"/>
      <c r="P1284" s="394"/>
      <c r="Q1284" s="394"/>
      <c r="R1284" s="381"/>
      <c r="S1284" s="408"/>
      <c r="T1284" s="385"/>
      <c r="U1284" s="475"/>
      <c r="V1284" s="395"/>
      <c r="W1284" s="395"/>
      <c r="X1284" s="393"/>
      <c r="Y1284" s="523">
        <v>1</v>
      </c>
      <c r="Z1284" s="393"/>
      <c r="AA1284" s="573">
        <v>6.9376899999999999</v>
      </c>
      <c r="AB1284" s="394">
        <v>6.4697500000000003</v>
      </c>
      <c r="AC1284" s="394">
        <v>6.2995000000000001</v>
      </c>
      <c r="AD1284" s="394"/>
      <c r="AE1284" s="394"/>
      <c r="AF1284" s="394">
        <v>0</v>
      </c>
      <c r="AG1284" s="394">
        <v>0</v>
      </c>
      <c r="AH1284" s="394">
        <v>0.10909000000000001</v>
      </c>
      <c r="AI1284" s="394">
        <v>6.2995000000000001</v>
      </c>
      <c r="AJ1284" s="394"/>
      <c r="AK1284" s="381" t="s">
        <v>167</v>
      </c>
      <c r="AL1284" s="408" t="s">
        <v>175</v>
      </c>
      <c r="AM1284" s="385"/>
      <c r="AN1284" s="475">
        <v>838</v>
      </c>
      <c r="AO1284" s="395"/>
      <c r="AP1284" s="395">
        <f t="shared" si="862"/>
        <v>6.9376899999999999</v>
      </c>
      <c r="AQ1284" s="393"/>
      <c r="AR1284" s="523"/>
      <c r="AS1284" s="393"/>
      <c r="AT1284" s="573"/>
      <c r="AU1284" s="394"/>
      <c r="AV1284" s="394"/>
      <c r="AW1284" s="394"/>
      <c r="AX1284" s="394"/>
      <c r="AY1284" s="394"/>
      <c r="AZ1284" s="394"/>
      <c r="BA1284" s="394"/>
      <c r="BB1284" s="394"/>
      <c r="BC1284" s="394"/>
      <c r="BD1284" s="381"/>
      <c r="BE1284" s="408"/>
      <c r="BF1284" s="385"/>
      <c r="BG1284" s="475"/>
      <c r="BH1284" s="395"/>
      <c r="BI1284" s="395" t="e">
        <f t="shared" si="863"/>
        <v>#DIV/0!</v>
      </c>
    </row>
    <row r="1285" spans="1:61" s="358" customFormat="1" ht="19.2" x14ac:dyDescent="0.3">
      <c r="A1285" s="359" t="s">
        <v>2084</v>
      </c>
      <c r="B1285" s="572" t="s">
        <v>3815</v>
      </c>
      <c r="C1285" s="546" t="s">
        <v>2907</v>
      </c>
      <c r="D1285" s="360">
        <v>0.22</v>
      </c>
      <c r="E1285" s="393"/>
      <c r="F1285" s="523"/>
      <c r="G1285" s="393"/>
      <c r="H1285" s="573"/>
      <c r="I1285" s="394"/>
      <c r="J1285" s="394"/>
      <c r="K1285" s="394"/>
      <c r="L1285" s="394"/>
      <c r="M1285" s="394"/>
      <c r="N1285" s="394"/>
      <c r="O1285" s="394"/>
      <c r="P1285" s="394"/>
      <c r="Q1285" s="394"/>
      <c r="R1285" s="381"/>
      <c r="S1285" s="408"/>
      <c r="T1285" s="385"/>
      <c r="U1285" s="475"/>
      <c r="V1285" s="395"/>
      <c r="W1285" s="395"/>
      <c r="X1285" s="393"/>
      <c r="Y1285" s="523">
        <v>1</v>
      </c>
      <c r="Z1285" s="393"/>
      <c r="AA1285" s="573">
        <v>6.9376699999999998</v>
      </c>
      <c r="AB1285" s="394">
        <v>6.4697300000000002</v>
      </c>
      <c r="AC1285" s="394">
        <v>6.2995000000000001</v>
      </c>
      <c r="AD1285" s="394"/>
      <c r="AE1285" s="394"/>
      <c r="AF1285" s="394">
        <v>0</v>
      </c>
      <c r="AG1285" s="394">
        <v>0</v>
      </c>
      <c r="AH1285" s="394">
        <v>0.10909000000000001</v>
      </c>
      <c r="AI1285" s="394">
        <v>6.2995000000000001</v>
      </c>
      <c r="AJ1285" s="394"/>
      <c r="AK1285" s="381" t="s">
        <v>167</v>
      </c>
      <c r="AL1285" s="408" t="s">
        <v>175</v>
      </c>
      <c r="AM1285" s="385"/>
      <c r="AN1285" s="475">
        <v>839</v>
      </c>
      <c r="AO1285" s="395"/>
      <c r="AP1285" s="395">
        <f t="shared" si="862"/>
        <v>6.9376699999999998</v>
      </c>
      <c r="AQ1285" s="393"/>
      <c r="AR1285" s="523"/>
      <c r="AS1285" s="393"/>
      <c r="AT1285" s="573"/>
      <c r="AU1285" s="394"/>
      <c r="AV1285" s="394"/>
      <c r="AW1285" s="394"/>
      <c r="AX1285" s="394"/>
      <c r="AY1285" s="394"/>
      <c r="AZ1285" s="394"/>
      <c r="BA1285" s="394"/>
      <c r="BB1285" s="394"/>
      <c r="BC1285" s="394"/>
      <c r="BD1285" s="381"/>
      <c r="BE1285" s="408"/>
      <c r="BF1285" s="385"/>
      <c r="BG1285" s="475"/>
      <c r="BH1285" s="395"/>
      <c r="BI1285" s="395" t="e">
        <f t="shared" si="863"/>
        <v>#DIV/0!</v>
      </c>
    </row>
    <row r="1286" spans="1:61" s="358" customFormat="1" ht="19.2" x14ac:dyDescent="0.3">
      <c r="A1286" s="359" t="s">
        <v>2085</v>
      </c>
      <c r="B1286" s="572" t="s">
        <v>3816</v>
      </c>
      <c r="C1286" s="546" t="s">
        <v>2908</v>
      </c>
      <c r="D1286" s="360">
        <v>0.22</v>
      </c>
      <c r="E1286" s="393"/>
      <c r="F1286" s="523"/>
      <c r="G1286" s="393"/>
      <c r="H1286" s="573"/>
      <c r="I1286" s="394"/>
      <c r="J1286" s="394"/>
      <c r="K1286" s="394"/>
      <c r="L1286" s="394"/>
      <c r="M1286" s="394"/>
      <c r="N1286" s="394"/>
      <c r="O1286" s="394"/>
      <c r="P1286" s="394"/>
      <c r="Q1286" s="394"/>
      <c r="R1286" s="381"/>
      <c r="S1286" s="408"/>
      <c r="T1286" s="385"/>
      <c r="U1286" s="475"/>
      <c r="V1286" s="395"/>
      <c r="W1286" s="395"/>
      <c r="X1286" s="393"/>
      <c r="Y1286" s="523">
        <v>1</v>
      </c>
      <c r="Z1286" s="393"/>
      <c r="AA1286" s="573">
        <v>6.9376699999999998</v>
      </c>
      <c r="AB1286" s="394">
        <v>6.4697300000000002</v>
      </c>
      <c r="AC1286" s="394">
        <v>6.2995000000000001</v>
      </c>
      <c r="AD1286" s="394"/>
      <c r="AE1286" s="394"/>
      <c r="AF1286" s="394">
        <v>0</v>
      </c>
      <c r="AG1286" s="394">
        <v>0</v>
      </c>
      <c r="AH1286" s="394">
        <v>0.10909000000000001</v>
      </c>
      <c r="AI1286" s="394">
        <v>6.2995000000000001</v>
      </c>
      <c r="AJ1286" s="394"/>
      <c r="AK1286" s="381" t="s">
        <v>167</v>
      </c>
      <c r="AL1286" s="408" t="s">
        <v>175</v>
      </c>
      <c r="AM1286" s="385"/>
      <c r="AN1286" s="475">
        <v>840</v>
      </c>
      <c r="AO1286" s="395"/>
      <c r="AP1286" s="395">
        <f t="shared" si="862"/>
        <v>6.9376699999999998</v>
      </c>
      <c r="AQ1286" s="393"/>
      <c r="AR1286" s="523"/>
      <c r="AS1286" s="393"/>
      <c r="AT1286" s="573"/>
      <c r="AU1286" s="394"/>
      <c r="AV1286" s="394"/>
      <c r="AW1286" s="394"/>
      <c r="AX1286" s="394"/>
      <c r="AY1286" s="394"/>
      <c r="AZ1286" s="394"/>
      <c r="BA1286" s="394"/>
      <c r="BB1286" s="394"/>
      <c r="BC1286" s="394"/>
      <c r="BD1286" s="381"/>
      <c r="BE1286" s="408"/>
      <c r="BF1286" s="385"/>
      <c r="BG1286" s="475"/>
      <c r="BH1286" s="395"/>
      <c r="BI1286" s="395" t="e">
        <f t="shared" si="863"/>
        <v>#DIV/0!</v>
      </c>
    </row>
    <row r="1287" spans="1:61" s="358" customFormat="1" ht="19.2" x14ac:dyDescent="0.3">
      <c r="A1287" s="359" t="s">
        <v>2086</v>
      </c>
      <c r="B1287" s="572" t="s">
        <v>1488</v>
      </c>
      <c r="C1287" s="546" t="s">
        <v>2909</v>
      </c>
      <c r="D1287" s="360">
        <v>0.22</v>
      </c>
      <c r="E1287" s="393"/>
      <c r="F1287" s="523"/>
      <c r="G1287" s="393"/>
      <c r="H1287" s="573"/>
      <c r="I1287" s="394"/>
      <c r="J1287" s="394"/>
      <c r="K1287" s="394"/>
      <c r="L1287" s="394"/>
      <c r="M1287" s="394"/>
      <c r="N1287" s="394"/>
      <c r="O1287" s="394"/>
      <c r="P1287" s="394"/>
      <c r="Q1287" s="394"/>
      <c r="R1287" s="381"/>
      <c r="S1287" s="408"/>
      <c r="T1287" s="385"/>
      <c r="U1287" s="475"/>
      <c r="V1287" s="395"/>
      <c r="W1287" s="395"/>
      <c r="X1287" s="393"/>
      <c r="Y1287" s="523">
        <v>1</v>
      </c>
      <c r="Z1287" s="393"/>
      <c r="AA1287" s="573">
        <v>6.9376699999999998</v>
      </c>
      <c r="AB1287" s="394">
        <v>6.4697300000000002</v>
      </c>
      <c r="AC1287" s="394">
        <v>6.2995000000000001</v>
      </c>
      <c r="AD1287" s="394"/>
      <c r="AE1287" s="394"/>
      <c r="AF1287" s="394">
        <v>0</v>
      </c>
      <c r="AG1287" s="394">
        <v>0</v>
      </c>
      <c r="AH1287" s="394">
        <v>0.10909000000000001</v>
      </c>
      <c r="AI1287" s="394">
        <v>6.2995000000000001</v>
      </c>
      <c r="AJ1287" s="394"/>
      <c r="AK1287" s="381" t="s">
        <v>167</v>
      </c>
      <c r="AL1287" s="408" t="s">
        <v>175</v>
      </c>
      <c r="AM1287" s="385"/>
      <c r="AN1287" s="475">
        <v>841</v>
      </c>
      <c r="AO1287" s="395"/>
      <c r="AP1287" s="395">
        <f t="shared" si="862"/>
        <v>6.9376699999999998</v>
      </c>
      <c r="AQ1287" s="393"/>
      <c r="AR1287" s="523"/>
      <c r="AS1287" s="393"/>
      <c r="AT1287" s="573"/>
      <c r="AU1287" s="394"/>
      <c r="AV1287" s="394"/>
      <c r="AW1287" s="394"/>
      <c r="AX1287" s="394"/>
      <c r="AY1287" s="394"/>
      <c r="AZ1287" s="394"/>
      <c r="BA1287" s="394"/>
      <c r="BB1287" s="394"/>
      <c r="BC1287" s="394"/>
      <c r="BD1287" s="381"/>
      <c r="BE1287" s="408"/>
      <c r="BF1287" s="385"/>
      <c r="BG1287" s="475"/>
      <c r="BH1287" s="395"/>
      <c r="BI1287" s="395" t="e">
        <f t="shared" si="863"/>
        <v>#DIV/0!</v>
      </c>
    </row>
    <row r="1288" spans="1:61" s="358" customFormat="1" ht="19.2" x14ac:dyDescent="0.3">
      <c r="A1288" s="359" t="s">
        <v>2087</v>
      </c>
      <c r="B1288" s="572" t="s">
        <v>3817</v>
      </c>
      <c r="C1288" s="546" t="s">
        <v>2910</v>
      </c>
      <c r="D1288" s="360">
        <v>0.22</v>
      </c>
      <c r="E1288" s="393"/>
      <c r="F1288" s="523"/>
      <c r="G1288" s="393"/>
      <c r="H1288" s="573"/>
      <c r="I1288" s="394"/>
      <c r="J1288" s="394"/>
      <c r="K1288" s="394"/>
      <c r="L1288" s="394"/>
      <c r="M1288" s="394"/>
      <c r="N1288" s="394"/>
      <c r="O1288" s="394"/>
      <c r="P1288" s="394"/>
      <c r="Q1288" s="394"/>
      <c r="R1288" s="381"/>
      <c r="S1288" s="408"/>
      <c r="T1288" s="385"/>
      <c r="U1288" s="475"/>
      <c r="V1288" s="395"/>
      <c r="W1288" s="395"/>
      <c r="X1288" s="393"/>
      <c r="Y1288" s="523">
        <v>1</v>
      </c>
      <c r="Z1288" s="393"/>
      <c r="AA1288" s="573">
        <v>6.9376699999999998</v>
      </c>
      <c r="AB1288" s="394">
        <v>6.4697300000000002</v>
      </c>
      <c r="AC1288" s="394">
        <v>6.2995000000000001</v>
      </c>
      <c r="AD1288" s="394"/>
      <c r="AE1288" s="394"/>
      <c r="AF1288" s="394">
        <v>0</v>
      </c>
      <c r="AG1288" s="394">
        <v>0</v>
      </c>
      <c r="AH1288" s="394">
        <v>0.10909000000000001</v>
      </c>
      <c r="AI1288" s="394">
        <v>6.2995000000000001</v>
      </c>
      <c r="AJ1288" s="394"/>
      <c r="AK1288" s="381" t="s">
        <v>167</v>
      </c>
      <c r="AL1288" s="408" t="s">
        <v>175</v>
      </c>
      <c r="AM1288" s="385"/>
      <c r="AN1288" s="475">
        <v>842</v>
      </c>
      <c r="AO1288" s="395"/>
      <c r="AP1288" s="395">
        <f t="shared" si="862"/>
        <v>6.9376699999999998</v>
      </c>
      <c r="AQ1288" s="393"/>
      <c r="AR1288" s="523"/>
      <c r="AS1288" s="393"/>
      <c r="AT1288" s="573"/>
      <c r="AU1288" s="394"/>
      <c r="AV1288" s="394"/>
      <c r="AW1288" s="394"/>
      <c r="AX1288" s="394"/>
      <c r="AY1288" s="394"/>
      <c r="AZ1288" s="394"/>
      <c r="BA1288" s="394"/>
      <c r="BB1288" s="394"/>
      <c r="BC1288" s="394"/>
      <c r="BD1288" s="381"/>
      <c r="BE1288" s="408"/>
      <c r="BF1288" s="385"/>
      <c r="BG1288" s="475"/>
      <c r="BH1288" s="395"/>
      <c r="BI1288" s="395" t="e">
        <f t="shared" si="863"/>
        <v>#DIV/0!</v>
      </c>
    </row>
    <row r="1289" spans="1:61" s="358" customFormat="1" ht="19.2" x14ac:dyDescent="0.3">
      <c r="A1289" s="359" t="s">
        <v>2088</v>
      </c>
      <c r="B1289" s="572" t="s">
        <v>3818</v>
      </c>
      <c r="C1289" s="546" t="s">
        <v>2911</v>
      </c>
      <c r="D1289" s="360">
        <v>0.22</v>
      </c>
      <c r="E1289" s="393"/>
      <c r="F1289" s="523"/>
      <c r="G1289" s="393"/>
      <c r="H1289" s="573"/>
      <c r="I1289" s="394"/>
      <c r="J1289" s="394"/>
      <c r="K1289" s="394"/>
      <c r="L1289" s="394"/>
      <c r="M1289" s="394"/>
      <c r="N1289" s="394"/>
      <c r="O1289" s="394"/>
      <c r="P1289" s="394"/>
      <c r="Q1289" s="394"/>
      <c r="R1289" s="381"/>
      <c r="S1289" s="408"/>
      <c r="T1289" s="385"/>
      <c r="U1289" s="475"/>
      <c r="V1289" s="395"/>
      <c r="W1289" s="395"/>
      <c r="X1289" s="393"/>
      <c r="Y1289" s="523">
        <v>1</v>
      </c>
      <c r="Z1289" s="393"/>
      <c r="AA1289" s="573">
        <v>6.9376699999999998</v>
      </c>
      <c r="AB1289" s="394">
        <v>6.4697300000000002</v>
      </c>
      <c r="AC1289" s="394">
        <v>6.2995000000000001</v>
      </c>
      <c r="AD1289" s="394"/>
      <c r="AE1289" s="394"/>
      <c r="AF1289" s="394">
        <v>0</v>
      </c>
      <c r="AG1289" s="394">
        <v>0</v>
      </c>
      <c r="AH1289" s="394">
        <v>0.10909000000000001</v>
      </c>
      <c r="AI1289" s="394">
        <v>6.2995000000000001</v>
      </c>
      <c r="AJ1289" s="394"/>
      <c r="AK1289" s="381" t="s">
        <v>167</v>
      </c>
      <c r="AL1289" s="408" t="s">
        <v>175</v>
      </c>
      <c r="AM1289" s="385"/>
      <c r="AN1289" s="475">
        <v>843</v>
      </c>
      <c r="AO1289" s="395"/>
      <c r="AP1289" s="395">
        <f t="shared" si="862"/>
        <v>6.9376699999999998</v>
      </c>
      <c r="AQ1289" s="393"/>
      <c r="AR1289" s="523"/>
      <c r="AS1289" s="393"/>
      <c r="AT1289" s="573"/>
      <c r="AU1289" s="394"/>
      <c r="AV1289" s="394"/>
      <c r="AW1289" s="394"/>
      <c r="AX1289" s="394"/>
      <c r="AY1289" s="394"/>
      <c r="AZ1289" s="394"/>
      <c r="BA1289" s="394"/>
      <c r="BB1289" s="394"/>
      <c r="BC1289" s="394"/>
      <c r="BD1289" s="381"/>
      <c r="BE1289" s="408"/>
      <c r="BF1289" s="385"/>
      <c r="BG1289" s="475"/>
      <c r="BH1289" s="395"/>
      <c r="BI1289" s="395" t="e">
        <f t="shared" si="863"/>
        <v>#DIV/0!</v>
      </c>
    </row>
    <row r="1290" spans="1:61" s="358" customFormat="1" ht="19.2" x14ac:dyDescent="0.3">
      <c r="A1290" s="359" t="s">
        <v>2089</v>
      </c>
      <c r="B1290" s="572" t="s">
        <v>2542</v>
      </c>
      <c r="C1290" s="546" t="s">
        <v>2541</v>
      </c>
      <c r="D1290" s="360">
        <v>0.22</v>
      </c>
      <c r="E1290" s="393"/>
      <c r="F1290" s="523"/>
      <c r="G1290" s="393"/>
      <c r="H1290" s="573"/>
      <c r="I1290" s="394"/>
      <c r="J1290" s="394"/>
      <c r="K1290" s="394"/>
      <c r="L1290" s="394"/>
      <c r="M1290" s="394"/>
      <c r="N1290" s="394"/>
      <c r="O1290" s="394"/>
      <c r="P1290" s="394"/>
      <c r="Q1290" s="394"/>
      <c r="R1290" s="381"/>
      <c r="S1290" s="408"/>
      <c r="T1290" s="385"/>
      <c r="U1290" s="475"/>
      <c r="V1290" s="395"/>
      <c r="W1290" s="395"/>
      <c r="X1290" s="393"/>
      <c r="Y1290" s="523">
        <v>1</v>
      </c>
      <c r="Z1290" s="393"/>
      <c r="AA1290" s="573">
        <v>10.54443</v>
      </c>
      <c r="AB1290" s="394">
        <v>7.6216200000000001</v>
      </c>
      <c r="AC1290" s="394">
        <v>6.2995099999999997</v>
      </c>
      <c r="AD1290" s="394"/>
      <c r="AE1290" s="394"/>
      <c r="AF1290" s="394">
        <v>0</v>
      </c>
      <c r="AG1290" s="394">
        <v>0</v>
      </c>
      <c r="AH1290" s="394">
        <v>0.68139000000000005</v>
      </c>
      <c r="AI1290" s="394">
        <v>6.2995099999999997</v>
      </c>
      <c r="AJ1290" s="394"/>
      <c r="AK1290" s="381" t="s">
        <v>167</v>
      </c>
      <c r="AL1290" s="408" t="s">
        <v>175</v>
      </c>
      <c r="AM1290" s="385"/>
      <c r="AN1290" s="475">
        <v>844</v>
      </c>
      <c r="AO1290" s="395"/>
      <c r="AP1290" s="395">
        <f t="shared" si="862"/>
        <v>10.54443</v>
      </c>
      <c r="AQ1290" s="393"/>
      <c r="AR1290" s="523"/>
      <c r="AS1290" s="393"/>
      <c r="AT1290" s="573"/>
      <c r="AU1290" s="394"/>
      <c r="AV1290" s="394"/>
      <c r="AW1290" s="394"/>
      <c r="AX1290" s="394"/>
      <c r="AY1290" s="394"/>
      <c r="AZ1290" s="394"/>
      <c r="BA1290" s="394"/>
      <c r="BB1290" s="394"/>
      <c r="BC1290" s="394"/>
      <c r="BD1290" s="381"/>
      <c r="BE1290" s="408"/>
      <c r="BF1290" s="385"/>
      <c r="BG1290" s="475"/>
      <c r="BH1290" s="395"/>
      <c r="BI1290" s="395" t="e">
        <f t="shared" si="863"/>
        <v>#DIV/0!</v>
      </c>
    </row>
    <row r="1291" spans="1:61" s="358" customFormat="1" ht="19.2" x14ac:dyDescent="0.3">
      <c r="A1291" s="359" t="s">
        <v>2090</v>
      </c>
      <c r="B1291" s="572" t="s">
        <v>2542</v>
      </c>
      <c r="C1291" s="546" t="s">
        <v>2912</v>
      </c>
      <c r="D1291" s="360">
        <v>0.22</v>
      </c>
      <c r="E1291" s="393"/>
      <c r="F1291" s="523"/>
      <c r="G1291" s="393"/>
      <c r="H1291" s="573"/>
      <c r="I1291" s="394"/>
      <c r="J1291" s="394"/>
      <c r="K1291" s="394"/>
      <c r="L1291" s="394"/>
      <c r="M1291" s="394"/>
      <c r="N1291" s="394"/>
      <c r="O1291" s="394"/>
      <c r="P1291" s="394"/>
      <c r="Q1291" s="394"/>
      <c r="R1291" s="381"/>
      <c r="S1291" s="408"/>
      <c r="T1291" s="385"/>
      <c r="U1291" s="475"/>
      <c r="V1291" s="395"/>
      <c r="W1291" s="395"/>
      <c r="X1291" s="393"/>
      <c r="Y1291" s="523">
        <v>1</v>
      </c>
      <c r="Z1291" s="393"/>
      <c r="AA1291" s="573">
        <v>10.54444</v>
      </c>
      <c r="AB1291" s="394">
        <v>7.6216299999999997</v>
      </c>
      <c r="AC1291" s="394">
        <v>6.2995099999999997</v>
      </c>
      <c r="AD1291" s="394"/>
      <c r="AE1291" s="394"/>
      <c r="AF1291" s="394">
        <v>0</v>
      </c>
      <c r="AG1291" s="394">
        <v>0</v>
      </c>
      <c r="AH1291" s="394">
        <v>0.68139000000000005</v>
      </c>
      <c r="AI1291" s="394">
        <v>6.2995099999999997</v>
      </c>
      <c r="AJ1291" s="394"/>
      <c r="AK1291" s="381" t="s">
        <v>167</v>
      </c>
      <c r="AL1291" s="408" t="s">
        <v>175</v>
      </c>
      <c r="AM1291" s="385"/>
      <c r="AN1291" s="475">
        <v>845</v>
      </c>
      <c r="AO1291" s="395"/>
      <c r="AP1291" s="395">
        <f t="shared" si="862"/>
        <v>10.54444</v>
      </c>
      <c r="AQ1291" s="393"/>
      <c r="AR1291" s="523"/>
      <c r="AS1291" s="393"/>
      <c r="AT1291" s="573"/>
      <c r="AU1291" s="394"/>
      <c r="AV1291" s="394"/>
      <c r="AW1291" s="394"/>
      <c r="AX1291" s="394"/>
      <c r="AY1291" s="394"/>
      <c r="AZ1291" s="394"/>
      <c r="BA1291" s="394"/>
      <c r="BB1291" s="394"/>
      <c r="BC1291" s="394"/>
      <c r="BD1291" s="381"/>
      <c r="BE1291" s="408"/>
      <c r="BF1291" s="385"/>
      <c r="BG1291" s="475"/>
      <c r="BH1291" s="395"/>
      <c r="BI1291" s="395" t="e">
        <f t="shared" si="863"/>
        <v>#DIV/0!</v>
      </c>
    </row>
    <row r="1292" spans="1:61" s="358" customFormat="1" ht="19.2" x14ac:dyDescent="0.3">
      <c r="A1292" s="359" t="s">
        <v>2091</v>
      </c>
      <c r="B1292" s="572" t="s">
        <v>3819</v>
      </c>
      <c r="C1292" s="546" t="s">
        <v>2913</v>
      </c>
      <c r="D1292" s="360">
        <v>0.22</v>
      </c>
      <c r="E1292" s="393"/>
      <c r="F1292" s="523"/>
      <c r="G1292" s="393"/>
      <c r="H1292" s="573"/>
      <c r="I1292" s="394"/>
      <c r="J1292" s="394"/>
      <c r="K1292" s="394"/>
      <c r="L1292" s="394"/>
      <c r="M1292" s="394"/>
      <c r="N1292" s="394"/>
      <c r="O1292" s="394"/>
      <c r="P1292" s="394"/>
      <c r="Q1292" s="394"/>
      <c r="R1292" s="381"/>
      <c r="S1292" s="408"/>
      <c r="T1292" s="385"/>
      <c r="U1292" s="475"/>
      <c r="V1292" s="395"/>
      <c r="W1292" s="395"/>
      <c r="X1292" s="393"/>
      <c r="Y1292" s="523">
        <v>1</v>
      </c>
      <c r="Z1292" s="393"/>
      <c r="AA1292" s="573">
        <v>10.54444</v>
      </c>
      <c r="AB1292" s="394">
        <v>7.6216299999999997</v>
      </c>
      <c r="AC1292" s="394">
        <v>6.2995099999999997</v>
      </c>
      <c r="AD1292" s="394"/>
      <c r="AE1292" s="394"/>
      <c r="AF1292" s="394">
        <v>0</v>
      </c>
      <c r="AG1292" s="394">
        <v>0</v>
      </c>
      <c r="AH1292" s="394">
        <v>0.68139000000000005</v>
      </c>
      <c r="AI1292" s="394">
        <v>6.2995099999999997</v>
      </c>
      <c r="AJ1292" s="394"/>
      <c r="AK1292" s="381" t="s">
        <v>167</v>
      </c>
      <c r="AL1292" s="408" t="s">
        <v>175</v>
      </c>
      <c r="AM1292" s="385"/>
      <c r="AN1292" s="475">
        <v>846</v>
      </c>
      <c r="AO1292" s="395"/>
      <c r="AP1292" s="395">
        <f t="shared" si="862"/>
        <v>10.54444</v>
      </c>
      <c r="AQ1292" s="393"/>
      <c r="AR1292" s="523"/>
      <c r="AS1292" s="393"/>
      <c r="AT1292" s="573"/>
      <c r="AU1292" s="394"/>
      <c r="AV1292" s="394"/>
      <c r="AW1292" s="394"/>
      <c r="AX1292" s="394"/>
      <c r="AY1292" s="394"/>
      <c r="AZ1292" s="394"/>
      <c r="BA1292" s="394"/>
      <c r="BB1292" s="394"/>
      <c r="BC1292" s="394"/>
      <c r="BD1292" s="381"/>
      <c r="BE1292" s="408"/>
      <c r="BF1292" s="385"/>
      <c r="BG1292" s="475"/>
      <c r="BH1292" s="395"/>
      <c r="BI1292" s="395" t="e">
        <f t="shared" si="863"/>
        <v>#DIV/0!</v>
      </c>
    </row>
    <row r="1293" spans="1:61" s="358" customFormat="1" ht="19.2" x14ac:dyDescent="0.3">
      <c r="A1293" s="359" t="s">
        <v>2092</v>
      </c>
      <c r="B1293" s="572" t="s">
        <v>3820</v>
      </c>
      <c r="C1293" s="546" t="s">
        <v>2914</v>
      </c>
      <c r="D1293" s="360">
        <v>0.22</v>
      </c>
      <c r="E1293" s="393"/>
      <c r="F1293" s="523"/>
      <c r="G1293" s="393"/>
      <c r="H1293" s="573"/>
      <c r="I1293" s="394"/>
      <c r="J1293" s="394"/>
      <c r="K1293" s="394"/>
      <c r="L1293" s="394"/>
      <c r="M1293" s="394"/>
      <c r="N1293" s="394"/>
      <c r="O1293" s="394"/>
      <c r="P1293" s="394"/>
      <c r="Q1293" s="394"/>
      <c r="R1293" s="381"/>
      <c r="S1293" s="408"/>
      <c r="T1293" s="385"/>
      <c r="U1293" s="475"/>
      <c r="V1293" s="395"/>
      <c r="W1293" s="395"/>
      <c r="X1293" s="393"/>
      <c r="Y1293" s="523">
        <v>1</v>
      </c>
      <c r="Z1293" s="393"/>
      <c r="AA1293" s="573">
        <v>10.544460000000001</v>
      </c>
      <c r="AB1293" s="394">
        <v>7.6216499999999998</v>
      </c>
      <c r="AC1293" s="394">
        <v>6.2995099999999997</v>
      </c>
      <c r="AD1293" s="394"/>
      <c r="AE1293" s="394"/>
      <c r="AF1293" s="394">
        <v>0</v>
      </c>
      <c r="AG1293" s="394">
        <v>0</v>
      </c>
      <c r="AH1293" s="394">
        <v>0.68139000000000005</v>
      </c>
      <c r="AI1293" s="394">
        <v>6.2995099999999997</v>
      </c>
      <c r="AJ1293" s="394"/>
      <c r="AK1293" s="381" t="s">
        <v>167</v>
      </c>
      <c r="AL1293" s="408" t="s">
        <v>175</v>
      </c>
      <c r="AM1293" s="385"/>
      <c r="AN1293" s="475">
        <v>847</v>
      </c>
      <c r="AO1293" s="395"/>
      <c r="AP1293" s="395">
        <f t="shared" si="862"/>
        <v>10.544460000000001</v>
      </c>
      <c r="AQ1293" s="393"/>
      <c r="AR1293" s="523"/>
      <c r="AS1293" s="393"/>
      <c r="AT1293" s="573"/>
      <c r="AU1293" s="394"/>
      <c r="AV1293" s="394"/>
      <c r="AW1293" s="394"/>
      <c r="AX1293" s="394"/>
      <c r="AY1293" s="394"/>
      <c r="AZ1293" s="394"/>
      <c r="BA1293" s="394"/>
      <c r="BB1293" s="394"/>
      <c r="BC1293" s="394"/>
      <c r="BD1293" s="381"/>
      <c r="BE1293" s="408"/>
      <c r="BF1293" s="385"/>
      <c r="BG1293" s="475"/>
      <c r="BH1293" s="395"/>
      <c r="BI1293" s="395" t="e">
        <f t="shared" si="863"/>
        <v>#DIV/0!</v>
      </c>
    </row>
    <row r="1294" spans="1:61" s="358" customFormat="1" ht="19.2" x14ac:dyDescent="0.3">
      <c r="A1294" s="359" t="s">
        <v>2093</v>
      </c>
      <c r="B1294" s="572" t="s">
        <v>3821</v>
      </c>
      <c r="C1294" s="546" t="s">
        <v>2915</v>
      </c>
      <c r="D1294" s="360">
        <v>0.22</v>
      </c>
      <c r="E1294" s="393"/>
      <c r="F1294" s="523"/>
      <c r="G1294" s="393"/>
      <c r="H1294" s="573"/>
      <c r="I1294" s="394"/>
      <c r="J1294" s="394"/>
      <c r="K1294" s="394"/>
      <c r="L1294" s="394"/>
      <c r="M1294" s="394"/>
      <c r="N1294" s="394"/>
      <c r="O1294" s="394"/>
      <c r="P1294" s="394"/>
      <c r="Q1294" s="394"/>
      <c r="R1294" s="381"/>
      <c r="S1294" s="408"/>
      <c r="T1294" s="385"/>
      <c r="U1294" s="475"/>
      <c r="V1294" s="395"/>
      <c r="W1294" s="395"/>
      <c r="X1294" s="393"/>
      <c r="Y1294" s="523">
        <v>1</v>
      </c>
      <c r="Z1294" s="393"/>
      <c r="AA1294" s="573">
        <v>10.544460000000001</v>
      </c>
      <c r="AB1294" s="394">
        <v>7.6216499999999998</v>
      </c>
      <c r="AC1294" s="394">
        <v>6.2995099999999997</v>
      </c>
      <c r="AD1294" s="394"/>
      <c r="AE1294" s="394"/>
      <c r="AF1294" s="394">
        <v>0</v>
      </c>
      <c r="AG1294" s="394">
        <v>0</v>
      </c>
      <c r="AH1294" s="394">
        <v>0.68139000000000005</v>
      </c>
      <c r="AI1294" s="394">
        <v>6.2995099999999997</v>
      </c>
      <c r="AJ1294" s="394"/>
      <c r="AK1294" s="381" t="s">
        <v>167</v>
      </c>
      <c r="AL1294" s="408" t="s">
        <v>175</v>
      </c>
      <c r="AM1294" s="385"/>
      <c r="AN1294" s="475">
        <v>848</v>
      </c>
      <c r="AO1294" s="395"/>
      <c r="AP1294" s="395">
        <f t="shared" si="862"/>
        <v>10.544460000000001</v>
      </c>
      <c r="AQ1294" s="393"/>
      <c r="AR1294" s="523"/>
      <c r="AS1294" s="393"/>
      <c r="AT1294" s="573"/>
      <c r="AU1294" s="394"/>
      <c r="AV1294" s="394"/>
      <c r="AW1294" s="394"/>
      <c r="AX1294" s="394"/>
      <c r="AY1294" s="394"/>
      <c r="AZ1294" s="394"/>
      <c r="BA1294" s="394"/>
      <c r="BB1294" s="394"/>
      <c r="BC1294" s="394"/>
      <c r="BD1294" s="381"/>
      <c r="BE1294" s="408"/>
      <c r="BF1294" s="385"/>
      <c r="BG1294" s="475"/>
      <c r="BH1294" s="395"/>
      <c r="BI1294" s="395" t="e">
        <f t="shared" si="863"/>
        <v>#DIV/0!</v>
      </c>
    </row>
    <row r="1295" spans="1:61" s="358" customFormat="1" ht="19.2" x14ac:dyDescent="0.3">
      <c r="A1295" s="359" t="s">
        <v>2094</v>
      </c>
      <c r="B1295" s="572" t="s">
        <v>3822</v>
      </c>
      <c r="C1295" s="546" t="s">
        <v>2916</v>
      </c>
      <c r="D1295" s="360">
        <v>0.22</v>
      </c>
      <c r="E1295" s="393"/>
      <c r="F1295" s="523"/>
      <c r="G1295" s="393"/>
      <c r="H1295" s="573"/>
      <c r="I1295" s="394"/>
      <c r="J1295" s="394"/>
      <c r="K1295" s="394"/>
      <c r="L1295" s="394"/>
      <c r="M1295" s="394"/>
      <c r="N1295" s="394"/>
      <c r="O1295" s="394"/>
      <c r="P1295" s="394"/>
      <c r="Q1295" s="394"/>
      <c r="R1295" s="381"/>
      <c r="S1295" s="408"/>
      <c r="T1295" s="385"/>
      <c r="U1295" s="475"/>
      <c r="V1295" s="395"/>
      <c r="W1295" s="395"/>
      <c r="X1295" s="393"/>
      <c r="Y1295" s="523">
        <v>1</v>
      </c>
      <c r="Z1295" s="393"/>
      <c r="AA1295" s="573">
        <v>10.544449999999999</v>
      </c>
      <c r="AB1295" s="394">
        <v>7.6216400000000002</v>
      </c>
      <c r="AC1295" s="394">
        <v>6.2995099999999997</v>
      </c>
      <c r="AD1295" s="394"/>
      <c r="AE1295" s="394"/>
      <c r="AF1295" s="394">
        <v>0</v>
      </c>
      <c r="AG1295" s="394">
        <v>0</v>
      </c>
      <c r="AH1295" s="394">
        <v>0.68139000000000005</v>
      </c>
      <c r="AI1295" s="394">
        <v>6.2995099999999997</v>
      </c>
      <c r="AJ1295" s="394"/>
      <c r="AK1295" s="381" t="s">
        <v>167</v>
      </c>
      <c r="AL1295" s="408" t="s">
        <v>175</v>
      </c>
      <c r="AM1295" s="385"/>
      <c r="AN1295" s="475">
        <v>849</v>
      </c>
      <c r="AO1295" s="395"/>
      <c r="AP1295" s="395">
        <f t="shared" si="862"/>
        <v>10.544449999999999</v>
      </c>
      <c r="AQ1295" s="393"/>
      <c r="AR1295" s="523"/>
      <c r="AS1295" s="393"/>
      <c r="AT1295" s="573"/>
      <c r="AU1295" s="394"/>
      <c r="AV1295" s="394"/>
      <c r="AW1295" s="394"/>
      <c r="AX1295" s="394"/>
      <c r="AY1295" s="394"/>
      <c r="AZ1295" s="394"/>
      <c r="BA1295" s="394"/>
      <c r="BB1295" s="394"/>
      <c r="BC1295" s="394"/>
      <c r="BD1295" s="381"/>
      <c r="BE1295" s="408"/>
      <c r="BF1295" s="385"/>
      <c r="BG1295" s="475"/>
      <c r="BH1295" s="395"/>
      <c r="BI1295" s="395" t="e">
        <f t="shared" si="863"/>
        <v>#DIV/0!</v>
      </c>
    </row>
    <row r="1296" spans="1:61" s="358" customFormat="1" ht="19.2" x14ac:dyDescent="0.3">
      <c r="A1296" s="359" t="s">
        <v>2111</v>
      </c>
      <c r="B1296" s="572" t="s">
        <v>3823</v>
      </c>
      <c r="C1296" s="546" t="s">
        <v>2917</v>
      </c>
      <c r="D1296" s="360">
        <v>0.22</v>
      </c>
      <c r="E1296" s="393"/>
      <c r="F1296" s="523"/>
      <c r="G1296" s="393"/>
      <c r="H1296" s="573"/>
      <c r="I1296" s="394"/>
      <c r="J1296" s="394"/>
      <c r="K1296" s="394"/>
      <c r="L1296" s="394"/>
      <c r="M1296" s="394"/>
      <c r="N1296" s="394"/>
      <c r="O1296" s="394"/>
      <c r="P1296" s="394"/>
      <c r="Q1296" s="394"/>
      <c r="R1296" s="381"/>
      <c r="S1296" s="408"/>
      <c r="T1296" s="385"/>
      <c r="U1296" s="475"/>
      <c r="V1296" s="395"/>
      <c r="W1296" s="395"/>
      <c r="X1296" s="393"/>
      <c r="Y1296" s="523">
        <v>1</v>
      </c>
      <c r="Z1296" s="393"/>
      <c r="AA1296" s="573">
        <v>10.54444</v>
      </c>
      <c r="AB1296" s="394">
        <v>7.6216299999999997</v>
      </c>
      <c r="AC1296" s="394">
        <v>6.2995099999999997</v>
      </c>
      <c r="AD1296" s="394"/>
      <c r="AE1296" s="394"/>
      <c r="AF1296" s="394">
        <v>0</v>
      </c>
      <c r="AG1296" s="394">
        <v>0</v>
      </c>
      <c r="AH1296" s="394">
        <v>0.68139000000000005</v>
      </c>
      <c r="AI1296" s="394">
        <v>6.2995099999999997</v>
      </c>
      <c r="AJ1296" s="394"/>
      <c r="AK1296" s="381" t="s">
        <v>167</v>
      </c>
      <c r="AL1296" s="408" t="s">
        <v>175</v>
      </c>
      <c r="AM1296" s="385"/>
      <c r="AN1296" s="475">
        <v>850</v>
      </c>
      <c r="AO1296" s="395"/>
      <c r="AP1296" s="395">
        <f t="shared" si="862"/>
        <v>10.54444</v>
      </c>
      <c r="AQ1296" s="393"/>
      <c r="AR1296" s="523"/>
      <c r="AS1296" s="393"/>
      <c r="AT1296" s="573"/>
      <c r="AU1296" s="394"/>
      <c r="AV1296" s="394"/>
      <c r="AW1296" s="394"/>
      <c r="AX1296" s="394"/>
      <c r="AY1296" s="394"/>
      <c r="AZ1296" s="394"/>
      <c r="BA1296" s="394"/>
      <c r="BB1296" s="394"/>
      <c r="BC1296" s="394"/>
      <c r="BD1296" s="381"/>
      <c r="BE1296" s="408"/>
      <c r="BF1296" s="385"/>
      <c r="BG1296" s="475"/>
      <c r="BH1296" s="395"/>
      <c r="BI1296" s="395" t="e">
        <f t="shared" si="863"/>
        <v>#DIV/0!</v>
      </c>
    </row>
    <row r="1297" spans="1:61" s="358" customFormat="1" ht="19.2" x14ac:dyDescent="0.3">
      <c r="A1297" s="359" t="s">
        <v>2096</v>
      </c>
      <c r="B1297" s="572" t="s">
        <v>3824</v>
      </c>
      <c r="C1297" s="546" t="s">
        <v>2918</v>
      </c>
      <c r="D1297" s="360">
        <v>0.22</v>
      </c>
      <c r="E1297" s="393"/>
      <c r="F1297" s="523"/>
      <c r="G1297" s="393"/>
      <c r="H1297" s="573"/>
      <c r="I1297" s="394"/>
      <c r="J1297" s="394"/>
      <c r="K1297" s="394"/>
      <c r="L1297" s="394"/>
      <c r="M1297" s="394"/>
      <c r="N1297" s="394"/>
      <c r="O1297" s="394"/>
      <c r="P1297" s="394"/>
      <c r="Q1297" s="394"/>
      <c r="R1297" s="381"/>
      <c r="S1297" s="408"/>
      <c r="T1297" s="385"/>
      <c r="U1297" s="475"/>
      <c r="V1297" s="395"/>
      <c r="W1297" s="395"/>
      <c r="X1297" s="393"/>
      <c r="Y1297" s="523">
        <v>1</v>
      </c>
      <c r="Z1297" s="393"/>
      <c r="AA1297" s="573">
        <v>10.544460000000001</v>
      </c>
      <c r="AB1297" s="394">
        <v>7.6216499999999998</v>
      </c>
      <c r="AC1297" s="394">
        <v>6.2995099999999997</v>
      </c>
      <c r="AD1297" s="394"/>
      <c r="AE1297" s="394"/>
      <c r="AF1297" s="394">
        <v>0</v>
      </c>
      <c r="AG1297" s="394">
        <v>0</v>
      </c>
      <c r="AH1297" s="394">
        <v>0.68139000000000005</v>
      </c>
      <c r="AI1297" s="394">
        <v>6.2995099999999997</v>
      </c>
      <c r="AJ1297" s="394"/>
      <c r="AK1297" s="381" t="s">
        <v>167</v>
      </c>
      <c r="AL1297" s="408" t="s">
        <v>175</v>
      </c>
      <c r="AM1297" s="385"/>
      <c r="AN1297" s="475">
        <v>851</v>
      </c>
      <c r="AO1297" s="395"/>
      <c r="AP1297" s="395">
        <f t="shared" si="862"/>
        <v>10.544460000000001</v>
      </c>
      <c r="AQ1297" s="393"/>
      <c r="AR1297" s="523"/>
      <c r="AS1297" s="393"/>
      <c r="AT1297" s="573"/>
      <c r="AU1297" s="394"/>
      <c r="AV1297" s="394"/>
      <c r="AW1297" s="394"/>
      <c r="AX1297" s="394"/>
      <c r="AY1297" s="394"/>
      <c r="AZ1297" s="394"/>
      <c r="BA1297" s="394"/>
      <c r="BB1297" s="394"/>
      <c r="BC1297" s="394"/>
      <c r="BD1297" s="381"/>
      <c r="BE1297" s="408"/>
      <c r="BF1297" s="385"/>
      <c r="BG1297" s="475"/>
      <c r="BH1297" s="395"/>
      <c r="BI1297" s="395" t="e">
        <f t="shared" si="863"/>
        <v>#DIV/0!</v>
      </c>
    </row>
    <row r="1298" spans="1:61" s="358" customFormat="1" ht="19.2" x14ac:dyDescent="0.3">
      <c r="A1298" s="359" t="s">
        <v>2097</v>
      </c>
      <c r="B1298" s="572" t="s">
        <v>2586</v>
      </c>
      <c r="C1298" s="546" t="s">
        <v>2585</v>
      </c>
      <c r="D1298" s="360">
        <v>0.22</v>
      </c>
      <c r="E1298" s="393"/>
      <c r="F1298" s="523"/>
      <c r="G1298" s="393"/>
      <c r="H1298" s="573"/>
      <c r="I1298" s="394"/>
      <c r="J1298" s="394"/>
      <c r="K1298" s="394"/>
      <c r="L1298" s="394"/>
      <c r="M1298" s="394"/>
      <c r="N1298" s="394"/>
      <c r="O1298" s="394"/>
      <c r="P1298" s="394"/>
      <c r="Q1298" s="394"/>
      <c r="R1298" s="381"/>
      <c r="S1298" s="408"/>
      <c r="T1298" s="385"/>
      <c r="U1298" s="475"/>
      <c r="V1298" s="395"/>
      <c r="W1298" s="395"/>
      <c r="X1298" s="393"/>
      <c r="Y1298" s="523">
        <v>1</v>
      </c>
      <c r="Z1298" s="393"/>
      <c r="AA1298" s="573">
        <v>10.544449999999999</v>
      </c>
      <c r="AB1298" s="394">
        <v>7.6216400000000002</v>
      </c>
      <c r="AC1298" s="394">
        <v>6.2995099999999997</v>
      </c>
      <c r="AD1298" s="394"/>
      <c r="AE1298" s="394"/>
      <c r="AF1298" s="394">
        <v>0</v>
      </c>
      <c r="AG1298" s="394">
        <v>0</v>
      </c>
      <c r="AH1298" s="394">
        <v>0.68139000000000005</v>
      </c>
      <c r="AI1298" s="394">
        <v>6.2995099999999997</v>
      </c>
      <c r="AJ1298" s="394"/>
      <c r="AK1298" s="381" t="s">
        <v>167</v>
      </c>
      <c r="AL1298" s="408" t="s">
        <v>175</v>
      </c>
      <c r="AM1298" s="385"/>
      <c r="AN1298" s="475">
        <v>852</v>
      </c>
      <c r="AO1298" s="395"/>
      <c r="AP1298" s="395">
        <f t="shared" si="862"/>
        <v>10.544449999999999</v>
      </c>
      <c r="AQ1298" s="393"/>
      <c r="AR1298" s="523"/>
      <c r="AS1298" s="393"/>
      <c r="AT1298" s="573"/>
      <c r="AU1298" s="394"/>
      <c r="AV1298" s="394"/>
      <c r="AW1298" s="394"/>
      <c r="AX1298" s="394"/>
      <c r="AY1298" s="394"/>
      <c r="AZ1298" s="394"/>
      <c r="BA1298" s="394"/>
      <c r="BB1298" s="394"/>
      <c r="BC1298" s="394"/>
      <c r="BD1298" s="381"/>
      <c r="BE1298" s="408"/>
      <c r="BF1298" s="385"/>
      <c r="BG1298" s="475"/>
      <c r="BH1298" s="395"/>
      <c r="BI1298" s="395" t="e">
        <f t="shared" si="863"/>
        <v>#DIV/0!</v>
      </c>
    </row>
    <row r="1299" spans="1:61" s="358" customFormat="1" ht="19.2" x14ac:dyDescent="0.3">
      <c r="A1299" s="359" t="s">
        <v>2082</v>
      </c>
      <c r="B1299" s="572" t="s">
        <v>3825</v>
      </c>
      <c r="C1299" s="546" t="s">
        <v>2919</v>
      </c>
      <c r="D1299" s="360">
        <v>0.22</v>
      </c>
      <c r="E1299" s="393"/>
      <c r="F1299" s="523"/>
      <c r="G1299" s="393"/>
      <c r="H1299" s="573"/>
      <c r="I1299" s="394"/>
      <c r="J1299" s="394"/>
      <c r="K1299" s="394"/>
      <c r="L1299" s="394"/>
      <c r="M1299" s="394"/>
      <c r="N1299" s="394"/>
      <c r="O1299" s="394"/>
      <c r="P1299" s="394"/>
      <c r="Q1299" s="394"/>
      <c r="R1299" s="381"/>
      <c r="S1299" s="408"/>
      <c r="T1299" s="385"/>
      <c r="U1299" s="475"/>
      <c r="V1299" s="395"/>
      <c r="W1299" s="395"/>
      <c r="X1299" s="393"/>
      <c r="Y1299" s="523">
        <v>1</v>
      </c>
      <c r="Z1299" s="393"/>
      <c r="AA1299" s="573">
        <v>10.544449999999999</v>
      </c>
      <c r="AB1299" s="394">
        <v>7.6216400000000002</v>
      </c>
      <c r="AC1299" s="394">
        <v>6.2995099999999997</v>
      </c>
      <c r="AD1299" s="394"/>
      <c r="AE1299" s="394"/>
      <c r="AF1299" s="394">
        <v>0</v>
      </c>
      <c r="AG1299" s="394">
        <v>0</v>
      </c>
      <c r="AH1299" s="394">
        <v>0.68139000000000005</v>
      </c>
      <c r="AI1299" s="394">
        <v>6.2995099999999997</v>
      </c>
      <c r="AJ1299" s="394"/>
      <c r="AK1299" s="381" t="s">
        <v>167</v>
      </c>
      <c r="AL1299" s="408" t="s">
        <v>175</v>
      </c>
      <c r="AM1299" s="385"/>
      <c r="AN1299" s="475">
        <v>853</v>
      </c>
      <c r="AO1299" s="395"/>
      <c r="AP1299" s="395">
        <f t="shared" si="862"/>
        <v>10.544449999999999</v>
      </c>
      <c r="AQ1299" s="393"/>
      <c r="AR1299" s="523"/>
      <c r="AS1299" s="393"/>
      <c r="AT1299" s="573"/>
      <c r="AU1299" s="394"/>
      <c r="AV1299" s="394"/>
      <c r="AW1299" s="394"/>
      <c r="AX1299" s="394"/>
      <c r="AY1299" s="394"/>
      <c r="AZ1299" s="394"/>
      <c r="BA1299" s="394"/>
      <c r="BB1299" s="394"/>
      <c r="BC1299" s="394"/>
      <c r="BD1299" s="381"/>
      <c r="BE1299" s="408"/>
      <c r="BF1299" s="385"/>
      <c r="BG1299" s="475"/>
      <c r="BH1299" s="395"/>
      <c r="BI1299" s="395" t="e">
        <f t="shared" si="863"/>
        <v>#DIV/0!</v>
      </c>
    </row>
    <row r="1300" spans="1:61" s="358" customFormat="1" ht="19.2" x14ac:dyDescent="0.3">
      <c r="A1300" s="359" t="s">
        <v>2115</v>
      </c>
      <c r="B1300" s="572" t="s">
        <v>2510</v>
      </c>
      <c r="C1300" s="546" t="s">
        <v>2509</v>
      </c>
      <c r="D1300" s="360">
        <v>0.22</v>
      </c>
      <c r="E1300" s="393"/>
      <c r="F1300" s="523"/>
      <c r="G1300" s="393"/>
      <c r="H1300" s="573"/>
      <c r="I1300" s="394"/>
      <c r="J1300" s="394"/>
      <c r="K1300" s="394"/>
      <c r="L1300" s="394"/>
      <c r="M1300" s="394"/>
      <c r="N1300" s="394"/>
      <c r="O1300" s="394"/>
      <c r="P1300" s="394"/>
      <c r="Q1300" s="394"/>
      <c r="R1300" s="381"/>
      <c r="S1300" s="408"/>
      <c r="T1300" s="385"/>
      <c r="U1300" s="475"/>
      <c r="V1300" s="395"/>
      <c r="W1300" s="395"/>
      <c r="X1300" s="393"/>
      <c r="Y1300" s="523">
        <v>1</v>
      </c>
      <c r="Z1300" s="393"/>
      <c r="AA1300" s="573">
        <v>10.54443</v>
      </c>
      <c r="AB1300" s="394">
        <v>7.6216200000000001</v>
      </c>
      <c r="AC1300" s="394">
        <v>6.2995099999999997</v>
      </c>
      <c r="AD1300" s="394"/>
      <c r="AE1300" s="394"/>
      <c r="AF1300" s="394">
        <v>0</v>
      </c>
      <c r="AG1300" s="394">
        <v>0</v>
      </c>
      <c r="AH1300" s="394">
        <v>0.68139000000000005</v>
      </c>
      <c r="AI1300" s="394">
        <v>6.2995099999999997</v>
      </c>
      <c r="AJ1300" s="394"/>
      <c r="AK1300" s="381" t="s">
        <v>167</v>
      </c>
      <c r="AL1300" s="408" t="s">
        <v>175</v>
      </c>
      <c r="AM1300" s="385"/>
      <c r="AN1300" s="475">
        <v>854</v>
      </c>
      <c r="AO1300" s="395"/>
      <c r="AP1300" s="395">
        <f t="shared" si="862"/>
        <v>10.54443</v>
      </c>
      <c r="AQ1300" s="393"/>
      <c r="AR1300" s="523"/>
      <c r="AS1300" s="393"/>
      <c r="AT1300" s="573"/>
      <c r="AU1300" s="394"/>
      <c r="AV1300" s="394"/>
      <c r="AW1300" s="394"/>
      <c r="AX1300" s="394"/>
      <c r="AY1300" s="394"/>
      <c r="AZ1300" s="394"/>
      <c r="BA1300" s="394"/>
      <c r="BB1300" s="394"/>
      <c r="BC1300" s="394"/>
      <c r="BD1300" s="381"/>
      <c r="BE1300" s="408"/>
      <c r="BF1300" s="385"/>
      <c r="BG1300" s="475"/>
      <c r="BH1300" s="395"/>
      <c r="BI1300" s="395" t="e">
        <f t="shared" si="863"/>
        <v>#DIV/0!</v>
      </c>
    </row>
    <row r="1301" spans="1:61" s="358" customFormat="1" ht="19.2" x14ac:dyDescent="0.3">
      <c r="A1301" s="359" t="s">
        <v>2100</v>
      </c>
      <c r="B1301" s="572" t="s">
        <v>3826</v>
      </c>
      <c r="C1301" s="546" t="s">
        <v>2920</v>
      </c>
      <c r="D1301" s="360">
        <v>0.22</v>
      </c>
      <c r="E1301" s="393"/>
      <c r="F1301" s="523"/>
      <c r="G1301" s="393"/>
      <c r="H1301" s="573"/>
      <c r="I1301" s="394"/>
      <c r="J1301" s="394"/>
      <c r="K1301" s="394"/>
      <c r="L1301" s="394"/>
      <c r="M1301" s="394"/>
      <c r="N1301" s="394"/>
      <c r="O1301" s="394"/>
      <c r="P1301" s="394"/>
      <c r="Q1301" s="394"/>
      <c r="R1301" s="381"/>
      <c r="S1301" s="408"/>
      <c r="T1301" s="385"/>
      <c r="U1301" s="475"/>
      <c r="V1301" s="395"/>
      <c r="W1301" s="395"/>
      <c r="X1301" s="393"/>
      <c r="Y1301" s="523">
        <v>1</v>
      </c>
      <c r="Z1301" s="393"/>
      <c r="AA1301" s="573">
        <v>6.9376899999999999</v>
      </c>
      <c r="AB1301" s="394">
        <v>6.4697500000000003</v>
      </c>
      <c r="AC1301" s="394">
        <v>6.2995000000000001</v>
      </c>
      <c r="AD1301" s="394"/>
      <c r="AE1301" s="394"/>
      <c r="AF1301" s="394">
        <v>0</v>
      </c>
      <c r="AG1301" s="394">
        <v>0</v>
      </c>
      <c r="AH1301" s="394">
        <v>0.10909000000000001</v>
      </c>
      <c r="AI1301" s="394">
        <v>6.2995000000000001</v>
      </c>
      <c r="AJ1301" s="394"/>
      <c r="AK1301" s="381" t="s">
        <v>167</v>
      </c>
      <c r="AL1301" s="408" t="s">
        <v>175</v>
      </c>
      <c r="AM1301" s="385"/>
      <c r="AN1301" s="475">
        <v>855</v>
      </c>
      <c r="AO1301" s="395"/>
      <c r="AP1301" s="395">
        <f t="shared" si="862"/>
        <v>6.9376899999999999</v>
      </c>
      <c r="AQ1301" s="393"/>
      <c r="AR1301" s="523"/>
      <c r="AS1301" s="393"/>
      <c r="AT1301" s="573"/>
      <c r="AU1301" s="394"/>
      <c r="AV1301" s="394"/>
      <c r="AW1301" s="394"/>
      <c r="AX1301" s="394"/>
      <c r="AY1301" s="394"/>
      <c r="AZ1301" s="394"/>
      <c r="BA1301" s="394"/>
      <c r="BB1301" s="394"/>
      <c r="BC1301" s="394"/>
      <c r="BD1301" s="381"/>
      <c r="BE1301" s="408"/>
      <c r="BF1301" s="385"/>
      <c r="BG1301" s="475"/>
      <c r="BH1301" s="395"/>
      <c r="BI1301" s="395" t="e">
        <f t="shared" si="863"/>
        <v>#DIV/0!</v>
      </c>
    </row>
    <row r="1302" spans="1:61" s="358" customFormat="1" ht="19.2" x14ac:dyDescent="0.3">
      <c r="A1302" s="359" t="s">
        <v>2101</v>
      </c>
      <c r="B1302" s="572" t="s">
        <v>3827</v>
      </c>
      <c r="C1302" s="546" t="s">
        <v>2921</v>
      </c>
      <c r="D1302" s="360">
        <v>0.22</v>
      </c>
      <c r="E1302" s="393"/>
      <c r="F1302" s="523"/>
      <c r="G1302" s="393"/>
      <c r="H1302" s="573"/>
      <c r="I1302" s="394"/>
      <c r="J1302" s="394"/>
      <c r="K1302" s="394"/>
      <c r="L1302" s="394"/>
      <c r="M1302" s="394"/>
      <c r="N1302" s="394"/>
      <c r="O1302" s="394"/>
      <c r="P1302" s="394"/>
      <c r="Q1302" s="394"/>
      <c r="R1302" s="381"/>
      <c r="S1302" s="408"/>
      <c r="T1302" s="385"/>
      <c r="U1302" s="475"/>
      <c r="V1302" s="395"/>
      <c r="W1302" s="395"/>
      <c r="X1302" s="393"/>
      <c r="Y1302" s="523">
        <v>1</v>
      </c>
      <c r="Z1302" s="393"/>
      <c r="AA1302" s="573">
        <v>10.54443</v>
      </c>
      <c r="AB1302" s="394">
        <v>7.6216200000000001</v>
      </c>
      <c r="AC1302" s="394">
        <v>6.2995099999999997</v>
      </c>
      <c r="AD1302" s="394"/>
      <c r="AE1302" s="394"/>
      <c r="AF1302" s="394">
        <v>0</v>
      </c>
      <c r="AG1302" s="394">
        <v>0</v>
      </c>
      <c r="AH1302" s="394">
        <v>0.68139000000000005</v>
      </c>
      <c r="AI1302" s="394">
        <v>6.2995099999999997</v>
      </c>
      <c r="AJ1302" s="394"/>
      <c r="AK1302" s="381" t="s">
        <v>167</v>
      </c>
      <c r="AL1302" s="408" t="s">
        <v>175</v>
      </c>
      <c r="AM1302" s="385"/>
      <c r="AN1302" s="475">
        <v>856</v>
      </c>
      <c r="AO1302" s="395"/>
      <c r="AP1302" s="395">
        <f t="shared" si="862"/>
        <v>10.54443</v>
      </c>
      <c r="AQ1302" s="393"/>
      <c r="AR1302" s="523"/>
      <c r="AS1302" s="393"/>
      <c r="AT1302" s="573"/>
      <c r="AU1302" s="394"/>
      <c r="AV1302" s="394"/>
      <c r="AW1302" s="394"/>
      <c r="AX1302" s="394"/>
      <c r="AY1302" s="394"/>
      <c r="AZ1302" s="394"/>
      <c r="BA1302" s="394"/>
      <c r="BB1302" s="394"/>
      <c r="BC1302" s="394"/>
      <c r="BD1302" s="381"/>
      <c r="BE1302" s="408"/>
      <c r="BF1302" s="385"/>
      <c r="BG1302" s="475"/>
      <c r="BH1302" s="395"/>
      <c r="BI1302" s="395" t="e">
        <f t="shared" si="863"/>
        <v>#DIV/0!</v>
      </c>
    </row>
    <row r="1303" spans="1:61" s="358" customFormat="1" ht="19.2" x14ac:dyDescent="0.3">
      <c r="A1303" s="359" t="s">
        <v>2102</v>
      </c>
      <c r="B1303" s="572" t="s">
        <v>3829</v>
      </c>
      <c r="C1303" s="546" t="s">
        <v>2922</v>
      </c>
      <c r="D1303" s="360">
        <v>0.22</v>
      </c>
      <c r="E1303" s="393"/>
      <c r="F1303" s="523"/>
      <c r="G1303" s="393"/>
      <c r="H1303" s="573"/>
      <c r="I1303" s="394"/>
      <c r="J1303" s="394"/>
      <c r="K1303" s="394"/>
      <c r="L1303" s="394"/>
      <c r="M1303" s="394"/>
      <c r="N1303" s="394"/>
      <c r="O1303" s="394"/>
      <c r="P1303" s="394"/>
      <c r="Q1303" s="394"/>
      <c r="R1303" s="381"/>
      <c r="S1303" s="408"/>
      <c r="T1303" s="385"/>
      <c r="U1303" s="475"/>
      <c r="V1303" s="395"/>
      <c r="W1303" s="395"/>
      <c r="X1303" s="393"/>
      <c r="Y1303" s="523">
        <v>1</v>
      </c>
      <c r="Z1303" s="393"/>
      <c r="AA1303" s="573">
        <v>10.54443</v>
      </c>
      <c r="AB1303" s="394">
        <v>7.6216200000000001</v>
      </c>
      <c r="AC1303" s="394">
        <v>6.2995099999999997</v>
      </c>
      <c r="AD1303" s="394"/>
      <c r="AE1303" s="394"/>
      <c r="AF1303" s="394">
        <v>0</v>
      </c>
      <c r="AG1303" s="394">
        <v>0</v>
      </c>
      <c r="AH1303" s="394">
        <v>0.68139000000000005</v>
      </c>
      <c r="AI1303" s="394">
        <v>6.2995099999999997</v>
      </c>
      <c r="AJ1303" s="394"/>
      <c r="AK1303" s="381" t="s">
        <v>167</v>
      </c>
      <c r="AL1303" s="408" t="s">
        <v>175</v>
      </c>
      <c r="AM1303" s="385"/>
      <c r="AN1303" s="475">
        <v>857</v>
      </c>
      <c r="AO1303" s="395"/>
      <c r="AP1303" s="395">
        <f t="shared" si="862"/>
        <v>10.54443</v>
      </c>
      <c r="AQ1303" s="393"/>
      <c r="AR1303" s="523"/>
      <c r="AS1303" s="393"/>
      <c r="AT1303" s="573"/>
      <c r="AU1303" s="394"/>
      <c r="AV1303" s="394"/>
      <c r="AW1303" s="394"/>
      <c r="AX1303" s="394"/>
      <c r="AY1303" s="394"/>
      <c r="AZ1303" s="394"/>
      <c r="BA1303" s="394"/>
      <c r="BB1303" s="394"/>
      <c r="BC1303" s="394"/>
      <c r="BD1303" s="381"/>
      <c r="BE1303" s="408"/>
      <c r="BF1303" s="385"/>
      <c r="BG1303" s="475"/>
      <c r="BH1303" s="395"/>
      <c r="BI1303" s="395" t="e">
        <f t="shared" si="863"/>
        <v>#DIV/0!</v>
      </c>
    </row>
    <row r="1304" spans="1:61" s="358" customFormat="1" ht="19.2" x14ac:dyDescent="0.3">
      <c r="A1304" s="359" t="s">
        <v>2103</v>
      </c>
      <c r="B1304" s="572" t="s">
        <v>3828</v>
      </c>
      <c r="C1304" s="546" t="s">
        <v>2923</v>
      </c>
      <c r="D1304" s="360">
        <v>0.22</v>
      </c>
      <c r="E1304" s="393"/>
      <c r="F1304" s="523"/>
      <c r="G1304" s="393"/>
      <c r="H1304" s="573"/>
      <c r="I1304" s="394"/>
      <c r="J1304" s="394"/>
      <c r="K1304" s="394"/>
      <c r="L1304" s="394"/>
      <c r="M1304" s="394"/>
      <c r="N1304" s="394"/>
      <c r="O1304" s="394"/>
      <c r="P1304" s="394"/>
      <c r="Q1304" s="394"/>
      <c r="R1304" s="381"/>
      <c r="S1304" s="408"/>
      <c r="T1304" s="385"/>
      <c r="U1304" s="475"/>
      <c r="V1304" s="395"/>
      <c r="W1304" s="395"/>
      <c r="X1304" s="393"/>
      <c r="Y1304" s="523">
        <v>1</v>
      </c>
      <c r="Z1304" s="393"/>
      <c r="AA1304" s="573">
        <v>10.544449999999999</v>
      </c>
      <c r="AB1304" s="394">
        <v>7.6216400000000002</v>
      </c>
      <c r="AC1304" s="394">
        <v>6.2995099999999997</v>
      </c>
      <c r="AD1304" s="394"/>
      <c r="AE1304" s="394"/>
      <c r="AF1304" s="394">
        <v>0</v>
      </c>
      <c r="AG1304" s="394">
        <v>0</v>
      </c>
      <c r="AH1304" s="394">
        <v>0.68139000000000005</v>
      </c>
      <c r="AI1304" s="394">
        <v>6.2995099999999997</v>
      </c>
      <c r="AJ1304" s="394"/>
      <c r="AK1304" s="381" t="s">
        <v>167</v>
      </c>
      <c r="AL1304" s="408" t="s">
        <v>175</v>
      </c>
      <c r="AM1304" s="385"/>
      <c r="AN1304" s="475">
        <v>858</v>
      </c>
      <c r="AO1304" s="395"/>
      <c r="AP1304" s="395">
        <f t="shared" si="862"/>
        <v>10.544449999999999</v>
      </c>
      <c r="AQ1304" s="393"/>
      <c r="AR1304" s="523"/>
      <c r="AS1304" s="393"/>
      <c r="AT1304" s="573"/>
      <c r="AU1304" s="394"/>
      <c r="AV1304" s="394"/>
      <c r="AW1304" s="394"/>
      <c r="AX1304" s="394"/>
      <c r="AY1304" s="394"/>
      <c r="AZ1304" s="394"/>
      <c r="BA1304" s="394"/>
      <c r="BB1304" s="394"/>
      <c r="BC1304" s="394"/>
      <c r="BD1304" s="381"/>
      <c r="BE1304" s="408"/>
      <c r="BF1304" s="385"/>
      <c r="BG1304" s="475"/>
      <c r="BH1304" s="395"/>
      <c r="BI1304" s="395" t="e">
        <f t="shared" si="863"/>
        <v>#DIV/0!</v>
      </c>
    </row>
    <row r="1305" spans="1:61" s="358" customFormat="1" ht="19.2" x14ac:dyDescent="0.3">
      <c r="A1305" s="359" t="s">
        <v>2104</v>
      </c>
      <c r="B1305" s="572" t="s">
        <v>3830</v>
      </c>
      <c r="C1305" s="546" t="s">
        <v>2924</v>
      </c>
      <c r="D1305" s="360">
        <v>0.22</v>
      </c>
      <c r="E1305" s="393"/>
      <c r="F1305" s="523"/>
      <c r="G1305" s="393"/>
      <c r="H1305" s="573"/>
      <c r="I1305" s="394"/>
      <c r="J1305" s="394"/>
      <c r="K1305" s="394"/>
      <c r="L1305" s="394"/>
      <c r="M1305" s="394"/>
      <c r="N1305" s="394"/>
      <c r="O1305" s="394"/>
      <c r="P1305" s="394"/>
      <c r="Q1305" s="394"/>
      <c r="R1305" s="381"/>
      <c r="S1305" s="408"/>
      <c r="T1305" s="385"/>
      <c r="U1305" s="475"/>
      <c r="V1305" s="395"/>
      <c r="W1305" s="395"/>
      <c r="X1305" s="393"/>
      <c r="Y1305" s="523">
        <v>1</v>
      </c>
      <c r="Z1305" s="393"/>
      <c r="AA1305" s="573">
        <v>10.544449999999999</v>
      </c>
      <c r="AB1305" s="394">
        <v>7.6216400000000002</v>
      </c>
      <c r="AC1305" s="394">
        <v>6.2995099999999997</v>
      </c>
      <c r="AD1305" s="394"/>
      <c r="AE1305" s="394"/>
      <c r="AF1305" s="394">
        <v>0</v>
      </c>
      <c r="AG1305" s="394">
        <v>0</v>
      </c>
      <c r="AH1305" s="394">
        <v>0.68139000000000005</v>
      </c>
      <c r="AI1305" s="394">
        <v>6.2995099999999997</v>
      </c>
      <c r="AJ1305" s="394"/>
      <c r="AK1305" s="381" t="s">
        <v>167</v>
      </c>
      <c r="AL1305" s="408" t="s">
        <v>175</v>
      </c>
      <c r="AM1305" s="385"/>
      <c r="AN1305" s="475">
        <v>859</v>
      </c>
      <c r="AO1305" s="395"/>
      <c r="AP1305" s="395">
        <f t="shared" si="862"/>
        <v>10.544449999999999</v>
      </c>
      <c r="AQ1305" s="393"/>
      <c r="AR1305" s="523"/>
      <c r="AS1305" s="393"/>
      <c r="AT1305" s="573"/>
      <c r="AU1305" s="394"/>
      <c r="AV1305" s="394"/>
      <c r="AW1305" s="394"/>
      <c r="AX1305" s="394"/>
      <c r="AY1305" s="394"/>
      <c r="AZ1305" s="394"/>
      <c r="BA1305" s="394"/>
      <c r="BB1305" s="394"/>
      <c r="BC1305" s="394"/>
      <c r="BD1305" s="381"/>
      <c r="BE1305" s="408"/>
      <c r="BF1305" s="385"/>
      <c r="BG1305" s="475"/>
      <c r="BH1305" s="395"/>
      <c r="BI1305" s="395" t="e">
        <f t="shared" si="863"/>
        <v>#DIV/0!</v>
      </c>
    </row>
    <row r="1306" spans="1:61" s="358" customFormat="1" ht="19.2" x14ac:dyDescent="0.3">
      <c r="A1306" s="359" t="s">
        <v>2105</v>
      </c>
      <c r="B1306" s="572" t="s">
        <v>3831</v>
      </c>
      <c r="C1306" s="546" t="s">
        <v>2925</v>
      </c>
      <c r="D1306" s="360">
        <v>0.22</v>
      </c>
      <c r="E1306" s="393"/>
      <c r="F1306" s="523"/>
      <c r="G1306" s="393"/>
      <c r="H1306" s="573"/>
      <c r="I1306" s="394"/>
      <c r="J1306" s="394"/>
      <c r="K1306" s="394"/>
      <c r="L1306" s="394"/>
      <c r="M1306" s="394"/>
      <c r="N1306" s="394"/>
      <c r="O1306" s="394"/>
      <c r="P1306" s="394"/>
      <c r="Q1306" s="394"/>
      <c r="R1306" s="381"/>
      <c r="S1306" s="408"/>
      <c r="T1306" s="385"/>
      <c r="U1306" s="475"/>
      <c r="V1306" s="395"/>
      <c r="W1306" s="395"/>
      <c r="X1306" s="393"/>
      <c r="Y1306" s="523">
        <v>1</v>
      </c>
      <c r="Z1306" s="393"/>
      <c r="AA1306" s="573">
        <v>23.9588</v>
      </c>
      <c r="AB1306" s="394">
        <v>14.450519999999999</v>
      </c>
      <c r="AC1306" s="394">
        <v>6.2995000000000001</v>
      </c>
      <c r="AD1306" s="394">
        <v>1.8906099999999999</v>
      </c>
      <c r="AE1306" s="394"/>
      <c r="AF1306" s="394">
        <v>0</v>
      </c>
      <c r="AG1306" s="394">
        <v>0</v>
      </c>
      <c r="AH1306" s="394">
        <v>2.21665</v>
      </c>
      <c r="AI1306" s="394">
        <v>6.2995000000000001</v>
      </c>
      <c r="AJ1306" s="394">
        <v>1.8906099999999999</v>
      </c>
      <c r="AK1306" s="381" t="s">
        <v>167</v>
      </c>
      <c r="AL1306" s="408" t="s">
        <v>175</v>
      </c>
      <c r="AM1306" s="385"/>
      <c r="AN1306" s="475">
        <v>860</v>
      </c>
      <c r="AO1306" s="395"/>
      <c r="AP1306" s="395">
        <f t="shared" si="862"/>
        <v>23.9588</v>
      </c>
      <c r="AQ1306" s="393"/>
      <c r="AR1306" s="523"/>
      <c r="AS1306" s="393"/>
      <c r="AT1306" s="573"/>
      <c r="AU1306" s="394"/>
      <c r="AV1306" s="394"/>
      <c r="AW1306" s="394"/>
      <c r="AX1306" s="394"/>
      <c r="AY1306" s="394"/>
      <c r="AZ1306" s="394"/>
      <c r="BA1306" s="394"/>
      <c r="BB1306" s="394"/>
      <c r="BC1306" s="394"/>
      <c r="BD1306" s="381"/>
      <c r="BE1306" s="408"/>
      <c r="BF1306" s="385"/>
      <c r="BG1306" s="475"/>
      <c r="BH1306" s="395"/>
      <c r="BI1306" s="395" t="e">
        <f t="shared" si="863"/>
        <v>#DIV/0!</v>
      </c>
    </row>
    <row r="1307" spans="1:61" s="358" customFormat="1" ht="19.2" x14ac:dyDescent="0.3">
      <c r="A1307" s="359" t="s">
        <v>2106</v>
      </c>
      <c r="B1307" s="572" t="s">
        <v>3832</v>
      </c>
      <c r="C1307" s="546" t="s">
        <v>2926</v>
      </c>
      <c r="D1307" s="360">
        <v>0.22</v>
      </c>
      <c r="E1307" s="393"/>
      <c r="F1307" s="523"/>
      <c r="G1307" s="393"/>
      <c r="H1307" s="573"/>
      <c r="I1307" s="394"/>
      <c r="J1307" s="394"/>
      <c r="K1307" s="394"/>
      <c r="L1307" s="394"/>
      <c r="M1307" s="394"/>
      <c r="N1307" s="394"/>
      <c r="O1307" s="394"/>
      <c r="P1307" s="394"/>
      <c r="Q1307" s="394"/>
      <c r="R1307" s="381"/>
      <c r="S1307" s="408"/>
      <c r="T1307" s="385"/>
      <c r="U1307" s="475"/>
      <c r="V1307" s="395"/>
      <c r="W1307" s="395"/>
      <c r="X1307" s="393"/>
      <c r="Y1307" s="523">
        <v>1</v>
      </c>
      <c r="Z1307" s="393"/>
      <c r="AA1307" s="573">
        <v>10.544449999999999</v>
      </c>
      <c r="AB1307" s="394">
        <v>7.6216400000000002</v>
      </c>
      <c r="AC1307" s="394">
        <v>6.2995099999999997</v>
      </c>
      <c r="AD1307" s="394"/>
      <c r="AE1307" s="394"/>
      <c r="AF1307" s="394">
        <v>0</v>
      </c>
      <c r="AG1307" s="394">
        <v>0</v>
      </c>
      <c r="AH1307" s="394">
        <v>0.68139000000000005</v>
      </c>
      <c r="AI1307" s="394">
        <v>6.2995099999999997</v>
      </c>
      <c r="AJ1307" s="394"/>
      <c r="AK1307" s="381" t="s">
        <v>167</v>
      </c>
      <c r="AL1307" s="408" t="s">
        <v>175</v>
      </c>
      <c r="AM1307" s="385"/>
      <c r="AN1307" s="475">
        <v>862</v>
      </c>
      <c r="AO1307" s="395"/>
      <c r="AP1307" s="395">
        <f t="shared" si="862"/>
        <v>10.544449999999999</v>
      </c>
      <c r="AQ1307" s="393"/>
      <c r="AR1307" s="523"/>
      <c r="AS1307" s="393"/>
      <c r="AT1307" s="573"/>
      <c r="AU1307" s="394"/>
      <c r="AV1307" s="394"/>
      <c r="AW1307" s="394"/>
      <c r="AX1307" s="394"/>
      <c r="AY1307" s="394"/>
      <c r="AZ1307" s="394"/>
      <c r="BA1307" s="394"/>
      <c r="BB1307" s="394"/>
      <c r="BC1307" s="394"/>
      <c r="BD1307" s="381"/>
      <c r="BE1307" s="408"/>
      <c r="BF1307" s="385"/>
      <c r="BG1307" s="475"/>
      <c r="BH1307" s="395"/>
      <c r="BI1307" s="395" t="e">
        <f t="shared" si="863"/>
        <v>#DIV/0!</v>
      </c>
    </row>
    <row r="1308" spans="1:61" s="358" customFormat="1" ht="19.2" x14ac:dyDescent="0.3">
      <c r="A1308" s="359" t="s">
        <v>2107</v>
      </c>
      <c r="B1308" s="572" t="s">
        <v>3833</v>
      </c>
      <c r="C1308" s="546" t="s">
        <v>2927</v>
      </c>
      <c r="D1308" s="360">
        <v>0.22</v>
      </c>
      <c r="E1308" s="393"/>
      <c r="F1308" s="523"/>
      <c r="G1308" s="393"/>
      <c r="H1308" s="573"/>
      <c r="I1308" s="394"/>
      <c r="J1308" s="394"/>
      <c r="K1308" s="394"/>
      <c r="L1308" s="394"/>
      <c r="M1308" s="394"/>
      <c r="N1308" s="394"/>
      <c r="O1308" s="394"/>
      <c r="P1308" s="394"/>
      <c r="Q1308" s="394"/>
      <c r="R1308" s="381"/>
      <c r="S1308" s="408"/>
      <c r="T1308" s="385"/>
      <c r="U1308" s="475"/>
      <c r="V1308" s="395"/>
      <c r="W1308" s="395"/>
      <c r="X1308" s="393"/>
      <c r="Y1308" s="523">
        <v>1</v>
      </c>
      <c r="Z1308" s="393"/>
      <c r="AA1308" s="573">
        <v>6.9376899999999999</v>
      </c>
      <c r="AB1308" s="394">
        <v>6.4697500000000003</v>
      </c>
      <c r="AC1308" s="394">
        <v>6.2995000000000001</v>
      </c>
      <c r="AD1308" s="394"/>
      <c r="AE1308" s="394"/>
      <c r="AF1308" s="394">
        <v>0</v>
      </c>
      <c r="AG1308" s="394">
        <v>0</v>
      </c>
      <c r="AH1308" s="394">
        <v>0.10909000000000001</v>
      </c>
      <c r="AI1308" s="394">
        <v>6.2995000000000001</v>
      </c>
      <c r="AJ1308" s="394"/>
      <c r="AK1308" s="381" t="s">
        <v>167</v>
      </c>
      <c r="AL1308" s="408" t="s">
        <v>175</v>
      </c>
      <c r="AM1308" s="385"/>
      <c r="AN1308" s="475">
        <v>863</v>
      </c>
      <c r="AO1308" s="395"/>
      <c r="AP1308" s="395">
        <f t="shared" si="862"/>
        <v>6.9376899999999999</v>
      </c>
      <c r="AQ1308" s="393"/>
      <c r="AR1308" s="523"/>
      <c r="AS1308" s="393"/>
      <c r="AT1308" s="573"/>
      <c r="AU1308" s="394"/>
      <c r="AV1308" s="394"/>
      <c r="AW1308" s="394"/>
      <c r="AX1308" s="394"/>
      <c r="AY1308" s="394"/>
      <c r="AZ1308" s="394"/>
      <c r="BA1308" s="394"/>
      <c r="BB1308" s="394"/>
      <c r="BC1308" s="394"/>
      <c r="BD1308" s="381"/>
      <c r="BE1308" s="408"/>
      <c r="BF1308" s="385"/>
      <c r="BG1308" s="475"/>
      <c r="BH1308" s="395"/>
      <c r="BI1308" s="395" t="e">
        <f t="shared" si="863"/>
        <v>#DIV/0!</v>
      </c>
    </row>
    <row r="1309" spans="1:61" s="358" customFormat="1" ht="19.2" x14ac:dyDescent="0.3">
      <c r="A1309" s="359" t="s">
        <v>2108</v>
      </c>
      <c r="B1309" s="572" t="s">
        <v>3834</v>
      </c>
      <c r="C1309" s="546" t="s">
        <v>2928</v>
      </c>
      <c r="D1309" s="360">
        <v>0.22</v>
      </c>
      <c r="E1309" s="393"/>
      <c r="F1309" s="523"/>
      <c r="G1309" s="393"/>
      <c r="H1309" s="573"/>
      <c r="I1309" s="394"/>
      <c r="J1309" s="394"/>
      <c r="K1309" s="394"/>
      <c r="L1309" s="394"/>
      <c r="M1309" s="394"/>
      <c r="N1309" s="394"/>
      <c r="O1309" s="394"/>
      <c r="P1309" s="394"/>
      <c r="Q1309" s="394"/>
      <c r="R1309" s="381"/>
      <c r="S1309" s="408"/>
      <c r="T1309" s="385"/>
      <c r="U1309" s="475"/>
      <c r="V1309" s="395"/>
      <c r="W1309" s="395"/>
      <c r="X1309" s="393"/>
      <c r="Y1309" s="523">
        <v>1</v>
      </c>
      <c r="Z1309" s="393"/>
      <c r="AA1309" s="573">
        <v>10.54444</v>
      </c>
      <c r="AB1309" s="394">
        <v>7.6216299999999997</v>
      </c>
      <c r="AC1309" s="394">
        <v>6.2995099999999997</v>
      </c>
      <c r="AD1309" s="394"/>
      <c r="AE1309" s="394"/>
      <c r="AF1309" s="394">
        <v>0</v>
      </c>
      <c r="AG1309" s="394">
        <v>0</v>
      </c>
      <c r="AH1309" s="394">
        <v>0.68139000000000005</v>
      </c>
      <c r="AI1309" s="394">
        <v>6.2995099999999997</v>
      </c>
      <c r="AJ1309" s="394"/>
      <c r="AK1309" s="381" t="s">
        <v>167</v>
      </c>
      <c r="AL1309" s="408" t="s">
        <v>175</v>
      </c>
      <c r="AM1309" s="385"/>
      <c r="AN1309" s="475">
        <v>864</v>
      </c>
      <c r="AO1309" s="395"/>
      <c r="AP1309" s="395">
        <f t="shared" si="862"/>
        <v>10.54444</v>
      </c>
      <c r="AQ1309" s="393"/>
      <c r="AR1309" s="523"/>
      <c r="AS1309" s="393"/>
      <c r="AT1309" s="573"/>
      <c r="AU1309" s="394"/>
      <c r="AV1309" s="394"/>
      <c r="AW1309" s="394"/>
      <c r="AX1309" s="394"/>
      <c r="AY1309" s="394"/>
      <c r="AZ1309" s="394"/>
      <c r="BA1309" s="394"/>
      <c r="BB1309" s="394"/>
      <c r="BC1309" s="394"/>
      <c r="BD1309" s="381"/>
      <c r="BE1309" s="408"/>
      <c r="BF1309" s="385"/>
      <c r="BG1309" s="475"/>
      <c r="BH1309" s="395"/>
      <c r="BI1309" s="395" t="e">
        <f t="shared" si="863"/>
        <v>#DIV/0!</v>
      </c>
    </row>
    <row r="1310" spans="1:61" s="358" customFormat="1" ht="19.2" x14ac:dyDescent="0.3">
      <c r="A1310" s="359" t="s">
        <v>2109</v>
      </c>
      <c r="B1310" s="572" t="s">
        <v>3835</v>
      </c>
      <c r="C1310" s="546" t="s">
        <v>2929</v>
      </c>
      <c r="D1310" s="360">
        <v>0.22</v>
      </c>
      <c r="E1310" s="393"/>
      <c r="F1310" s="523"/>
      <c r="G1310" s="393"/>
      <c r="H1310" s="573"/>
      <c r="I1310" s="394"/>
      <c r="J1310" s="394"/>
      <c r="K1310" s="394"/>
      <c r="L1310" s="394"/>
      <c r="M1310" s="394"/>
      <c r="N1310" s="394"/>
      <c r="O1310" s="394"/>
      <c r="P1310" s="394"/>
      <c r="Q1310" s="394"/>
      <c r="R1310" s="381"/>
      <c r="S1310" s="408"/>
      <c r="T1310" s="385"/>
      <c r="U1310" s="475"/>
      <c r="V1310" s="395"/>
      <c r="W1310" s="395"/>
      <c r="X1310" s="393"/>
      <c r="Y1310" s="523">
        <v>1</v>
      </c>
      <c r="Z1310" s="393"/>
      <c r="AA1310" s="573">
        <v>10.54444</v>
      </c>
      <c r="AB1310" s="394">
        <v>7.6216299999999997</v>
      </c>
      <c r="AC1310" s="394">
        <v>6.2995099999999997</v>
      </c>
      <c r="AD1310" s="394"/>
      <c r="AE1310" s="394"/>
      <c r="AF1310" s="394">
        <v>0</v>
      </c>
      <c r="AG1310" s="394">
        <v>0</v>
      </c>
      <c r="AH1310" s="394">
        <v>0.68139000000000005</v>
      </c>
      <c r="AI1310" s="394">
        <v>6.2995099999999997</v>
      </c>
      <c r="AJ1310" s="394"/>
      <c r="AK1310" s="381" t="s">
        <v>167</v>
      </c>
      <c r="AL1310" s="408" t="s">
        <v>175</v>
      </c>
      <c r="AM1310" s="385"/>
      <c r="AN1310" s="475">
        <v>865</v>
      </c>
      <c r="AO1310" s="395"/>
      <c r="AP1310" s="395">
        <f t="shared" si="862"/>
        <v>10.54444</v>
      </c>
      <c r="AQ1310" s="393"/>
      <c r="AR1310" s="523"/>
      <c r="AS1310" s="393"/>
      <c r="AT1310" s="573"/>
      <c r="AU1310" s="394"/>
      <c r="AV1310" s="394"/>
      <c r="AW1310" s="394"/>
      <c r="AX1310" s="394"/>
      <c r="AY1310" s="394"/>
      <c r="AZ1310" s="394"/>
      <c r="BA1310" s="394"/>
      <c r="BB1310" s="394"/>
      <c r="BC1310" s="394"/>
      <c r="BD1310" s="381"/>
      <c r="BE1310" s="408"/>
      <c r="BF1310" s="385"/>
      <c r="BG1310" s="475"/>
      <c r="BH1310" s="395"/>
      <c r="BI1310" s="395" t="e">
        <f t="shared" si="863"/>
        <v>#DIV/0!</v>
      </c>
    </row>
    <row r="1311" spans="1:61" s="358" customFormat="1" ht="19.2" x14ac:dyDescent="0.3">
      <c r="A1311" s="359" t="s">
        <v>2110</v>
      </c>
      <c r="B1311" s="572" t="s">
        <v>3836</v>
      </c>
      <c r="C1311" s="546" t="s">
        <v>2930</v>
      </c>
      <c r="D1311" s="360">
        <v>0.22</v>
      </c>
      <c r="E1311" s="393"/>
      <c r="F1311" s="523"/>
      <c r="G1311" s="393"/>
      <c r="H1311" s="573"/>
      <c r="I1311" s="394"/>
      <c r="J1311" s="394"/>
      <c r="K1311" s="394"/>
      <c r="L1311" s="394"/>
      <c r="M1311" s="394"/>
      <c r="N1311" s="394"/>
      <c r="O1311" s="394"/>
      <c r="P1311" s="394"/>
      <c r="Q1311" s="394"/>
      <c r="R1311" s="381"/>
      <c r="S1311" s="408"/>
      <c r="T1311" s="385"/>
      <c r="U1311" s="475"/>
      <c r="V1311" s="395"/>
      <c r="W1311" s="395"/>
      <c r="X1311" s="393"/>
      <c r="Y1311" s="523">
        <v>1</v>
      </c>
      <c r="Z1311" s="393"/>
      <c r="AA1311" s="573">
        <v>10.54443</v>
      </c>
      <c r="AB1311" s="394">
        <v>7.6216400000000002</v>
      </c>
      <c r="AC1311" s="394">
        <v>6.2995099999999997</v>
      </c>
      <c r="AD1311" s="394"/>
      <c r="AE1311" s="394"/>
      <c r="AF1311" s="394">
        <v>0</v>
      </c>
      <c r="AG1311" s="394">
        <v>0</v>
      </c>
      <c r="AH1311" s="394">
        <v>0.68139000000000005</v>
      </c>
      <c r="AI1311" s="394">
        <v>6.2995099999999997</v>
      </c>
      <c r="AJ1311" s="394"/>
      <c r="AK1311" s="381" t="s">
        <v>167</v>
      </c>
      <c r="AL1311" s="408" t="s">
        <v>175</v>
      </c>
      <c r="AM1311" s="385"/>
      <c r="AN1311" s="475">
        <v>866</v>
      </c>
      <c r="AO1311" s="395"/>
      <c r="AP1311" s="395">
        <f t="shared" si="862"/>
        <v>10.54443</v>
      </c>
      <c r="AQ1311" s="393"/>
      <c r="AR1311" s="523"/>
      <c r="AS1311" s="393"/>
      <c r="AT1311" s="573"/>
      <c r="AU1311" s="394"/>
      <c r="AV1311" s="394"/>
      <c r="AW1311" s="394"/>
      <c r="AX1311" s="394"/>
      <c r="AY1311" s="394"/>
      <c r="AZ1311" s="394"/>
      <c r="BA1311" s="394"/>
      <c r="BB1311" s="394"/>
      <c r="BC1311" s="394"/>
      <c r="BD1311" s="381"/>
      <c r="BE1311" s="408"/>
      <c r="BF1311" s="385"/>
      <c r="BG1311" s="475"/>
      <c r="BH1311" s="395"/>
      <c r="BI1311" s="395" t="e">
        <f t="shared" si="863"/>
        <v>#DIV/0!</v>
      </c>
    </row>
    <row r="1312" spans="1:61" s="358" customFormat="1" ht="19.2" x14ac:dyDescent="0.3">
      <c r="A1312" s="359" t="s">
        <v>2127</v>
      </c>
      <c r="B1312" s="572" t="s">
        <v>3837</v>
      </c>
      <c r="C1312" s="546" t="s">
        <v>2931</v>
      </c>
      <c r="D1312" s="360">
        <v>0.22</v>
      </c>
      <c r="E1312" s="393"/>
      <c r="F1312" s="523"/>
      <c r="G1312" s="393"/>
      <c r="H1312" s="573"/>
      <c r="I1312" s="394"/>
      <c r="J1312" s="394"/>
      <c r="K1312" s="394"/>
      <c r="L1312" s="394"/>
      <c r="M1312" s="394"/>
      <c r="N1312" s="394"/>
      <c r="O1312" s="394"/>
      <c r="P1312" s="394"/>
      <c r="Q1312" s="394"/>
      <c r="R1312" s="381"/>
      <c r="S1312" s="408"/>
      <c r="T1312" s="385"/>
      <c r="U1312" s="475"/>
      <c r="V1312" s="395"/>
      <c r="W1312" s="395"/>
      <c r="X1312" s="393"/>
      <c r="Y1312" s="523">
        <v>1</v>
      </c>
      <c r="Z1312" s="393"/>
      <c r="AA1312" s="573">
        <v>6.9376699999999998</v>
      </c>
      <c r="AB1312" s="394">
        <v>6.4697300000000002</v>
      </c>
      <c r="AC1312" s="394">
        <v>6.2995000000000001</v>
      </c>
      <c r="AD1312" s="394"/>
      <c r="AE1312" s="394"/>
      <c r="AF1312" s="394">
        <v>0</v>
      </c>
      <c r="AG1312" s="394">
        <v>0</v>
      </c>
      <c r="AH1312" s="394">
        <v>0.10909000000000001</v>
      </c>
      <c r="AI1312" s="394">
        <v>6.2995000000000001</v>
      </c>
      <c r="AJ1312" s="394"/>
      <c r="AK1312" s="381" t="s">
        <v>167</v>
      </c>
      <c r="AL1312" s="408" t="s">
        <v>175</v>
      </c>
      <c r="AM1312" s="385"/>
      <c r="AN1312" s="475">
        <v>867</v>
      </c>
      <c r="AO1312" s="395"/>
      <c r="AP1312" s="395">
        <f t="shared" si="862"/>
        <v>6.9376699999999998</v>
      </c>
      <c r="AQ1312" s="393"/>
      <c r="AR1312" s="523"/>
      <c r="AS1312" s="393"/>
      <c r="AT1312" s="573"/>
      <c r="AU1312" s="394"/>
      <c r="AV1312" s="394"/>
      <c r="AW1312" s="394"/>
      <c r="AX1312" s="394"/>
      <c r="AY1312" s="394"/>
      <c r="AZ1312" s="394"/>
      <c r="BA1312" s="394"/>
      <c r="BB1312" s="394"/>
      <c r="BC1312" s="394"/>
      <c r="BD1312" s="381"/>
      <c r="BE1312" s="408"/>
      <c r="BF1312" s="385"/>
      <c r="BG1312" s="475"/>
      <c r="BH1312" s="395"/>
      <c r="BI1312" s="395" t="e">
        <f t="shared" si="863"/>
        <v>#DIV/0!</v>
      </c>
    </row>
    <row r="1313" spans="1:61" s="358" customFormat="1" ht="19.2" x14ac:dyDescent="0.3">
      <c r="A1313" s="359" t="s">
        <v>2112</v>
      </c>
      <c r="B1313" s="572" t="s">
        <v>3838</v>
      </c>
      <c r="C1313" s="546" t="s">
        <v>2932</v>
      </c>
      <c r="D1313" s="360">
        <v>0.22</v>
      </c>
      <c r="E1313" s="393"/>
      <c r="F1313" s="523"/>
      <c r="G1313" s="393"/>
      <c r="H1313" s="573"/>
      <c r="I1313" s="394"/>
      <c r="J1313" s="394"/>
      <c r="K1313" s="394"/>
      <c r="L1313" s="394"/>
      <c r="M1313" s="394"/>
      <c r="N1313" s="394"/>
      <c r="O1313" s="394"/>
      <c r="P1313" s="394"/>
      <c r="Q1313" s="394"/>
      <c r="R1313" s="381"/>
      <c r="S1313" s="408"/>
      <c r="T1313" s="385"/>
      <c r="U1313" s="475"/>
      <c r="V1313" s="395"/>
      <c r="W1313" s="395"/>
      <c r="X1313" s="393"/>
      <c r="Y1313" s="523">
        <v>1</v>
      </c>
      <c r="Z1313" s="393"/>
      <c r="AA1313" s="573">
        <v>10.544460000000001</v>
      </c>
      <c r="AB1313" s="394">
        <v>7.6216499999999998</v>
      </c>
      <c r="AC1313" s="394">
        <v>6.2995099999999997</v>
      </c>
      <c r="AD1313" s="394"/>
      <c r="AE1313" s="394"/>
      <c r="AF1313" s="394">
        <v>0</v>
      </c>
      <c r="AG1313" s="394">
        <v>0</v>
      </c>
      <c r="AH1313" s="394">
        <v>0.68139000000000005</v>
      </c>
      <c r="AI1313" s="394">
        <v>6.2995099999999997</v>
      </c>
      <c r="AJ1313" s="394"/>
      <c r="AK1313" s="381" t="s">
        <v>167</v>
      </c>
      <c r="AL1313" s="408" t="s">
        <v>175</v>
      </c>
      <c r="AM1313" s="385"/>
      <c r="AN1313" s="475">
        <v>868</v>
      </c>
      <c r="AO1313" s="395"/>
      <c r="AP1313" s="395">
        <f t="shared" ref="AP1313:AP1623" si="864">AA1313/Y1313</f>
        <v>10.544460000000001</v>
      </c>
      <c r="AQ1313" s="393"/>
      <c r="AR1313" s="523"/>
      <c r="AS1313" s="393"/>
      <c r="AT1313" s="573"/>
      <c r="AU1313" s="394"/>
      <c r="AV1313" s="394"/>
      <c r="AW1313" s="394"/>
      <c r="AX1313" s="394"/>
      <c r="AY1313" s="394"/>
      <c r="AZ1313" s="394"/>
      <c r="BA1313" s="394"/>
      <c r="BB1313" s="394"/>
      <c r="BC1313" s="394"/>
      <c r="BD1313" s="381"/>
      <c r="BE1313" s="408"/>
      <c r="BF1313" s="385"/>
      <c r="BG1313" s="475"/>
      <c r="BH1313" s="395"/>
      <c r="BI1313" s="395" t="e">
        <f t="shared" si="863"/>
        <v>#DIV/0!</v>
      </c>
    </row>
    <row r="1314" spans="1:61" s="358" customFormat="1" ht="19.2" x14ac:dyDescent="0.3">
      <c r="A1314" s="359" t="s">
        <v>2113</v>
      </c>
      <c r="B1314" s="572" t="s">
        <v>3839</v>
      </c>
      <c r="C1314" s="546" t="s">
        <v>2933</v>
      </c>
      <c r="D1314" s="360">
        <v>0.22</v>
      </c>
      <c r="E1314" s="393"/>
      <c r="F1314" s="523"/>
      <c r="G1314" s="393"/>
      <c r="H1314" s="573"/>
      <c r="I1314" s="394"/>
      <c r="J1314" s="394"/>
      <c r="K1314" s="394"/>
      <c r="L1314" s="394"/>
      <c r="M1314" s="394"/>
      <c r="N1314" s="394"/>
      <c r="O1314" s="394"/>
      <c r="P1314" s="394"/>
      <c r="Q1314" s="394"/>
      <c r="R1314" s="381"/>
      <c r="S1314" s="408"/>
      <c r="T1314" s="385"/>
      <c r="U1314" s="475"/>
      <c r="V1314" s="395"/>
      <c r="W1314" s="395"/>
      <c r="X1314" s="393"/>
      <c r="Y1314" s="523">
        <v>1</v>
      </c>
      <c r="Z1314" s="393"/>
      <c r="AA1314" s="573">
        <v>10.544449999999999</v>
      </c>
      <c r="AB1314" s="394">
        <v>7.6216400000000002</v>
      </c>
      <c r="AC1314" s="394">
        <v>6.2995099999999997</v>
      </c>
      <c r="AD1314" s="394"/>
      <c r="AE1314" s="394"/>
      <c r="AF1314" s="394">
        <v>0</v>
      </c>
      <c r="AG1314" s="394">
        <v>0</v>
      </c>
      <c r="AH1314" s="394">
        <v>0.68139000000000005</v>
      </c>
      <c r="AI1314" s="394">
        <v>6.2995099999999997</v>
      </c>
      <c r="AJ1314" s="394"/>
      <c r="AK1314" s="381" t="s">
        <v>167</v>
      </c>
      <c r="AL1314" s="408" t="s">
        <v>175</v>
      </c>
      <c r="AM1314" s="385"/>
      <c r="AN1314" s="475">
        <v>869</v>
      </c>
      <c r="AO1314" s="395"/>
      <c r="AP1314" s="395">
        <f t="shared" si="864"/>
        <v>10.544449999999999</v>
      </c>
      <c r="AQ1314" s="393"/>
      <c r="AR1314" s="523"/>
      <c r="AS1314" s="393"/>
      <c r="AT1314" s="573"/>
      <c r="AU1314" s="394"/>
      <c r="AV1314" s="394"/>
      <c r="AW1314" s="394"/>
      <c r="AX1314" s="394"/>
      <c r="AY1314" s="394"/>
      <c r="AZ1314" s="394"/>
      <c r="BA1314" s="394"/>
      <c r="BB1314" s="394"/>
      <c r="BC1314" s="394"/>
      <c r="BD1314" s="381"/>
      <c r="BE1314" s="408"/>
      <c r="BF1314" s="385"/>
      <c r="BG1314" s="475"/>
      <c r="BH1314" s="395"/>
      <c r="BI1314" s="395" t="e">
        <f t="shared" si="863"/>
        <v>#DIV/0!</v>
      </c>
    </row>
    <row r="1315" spans="1:61" s="358" customFormat="1" ht="19.2" x14ac:dyDescent="0.3">
      <c r="A1315" s="359" t="s">
        <v>2098</v>
      </c>
      <c r="B1315" s="572" t="s">
        <v>3840</v>
      </c>
      <c r="C1315" s="546" t="s">
        <v>2934</v>
      </c>
      <c r="D1315" s="360">
        <v>0.22</v>
      </c>
      <c r="E1315" s="393"/>
      <c r="F1315" s="523"/>
      <c r="G1315" s="393"/>
      <c r="H1315" s="573"/>
      <c r="I1315" s="394"/>
      <c r="J1315" s="394"/>
      <c r="K1315" s="394"/>
      <c r="L1315" s="394"/>
      <c r="M1315" s="394"/>
      <c r="N1315" s="394"/>
      <c r="O1315" s="394"/>
      <c r="P1315" s="394"/>
      <c r="Q1315" s="394"/>
      <c r="R1315" s="381"/>
      <c r="S1315" s="408"/>
      <c r="T1315" s="385"/>
      <c r="U1315" s="475"/>
      <c r="V1315" s="395"/>
      <c r="W1315" s="395"/>
      <c r="X1315" s="393"/>
      <c r="Y1315" s="523">
        <v>1</v>
      </c>
      <c r="Z1315" s="393"/>
      <c r="AA1315" s="573">
        <v>6.9376899999999999</v>
      </c>
      <c r="AB1315" s="394">
        <v>6.4697500000000003</v>
      </c>
      <c r="AC1315" s="394">
        <v>6.2995000000000001</v>
      </c>
      <c r="AD1315" s="394"/>
      <c r="AE1315" s="394"/>
      <c r="AF1315" s="394">
        <v>0</v>
      </c>
      <c r="AG1315" s="394">
        <v>0</v>
      </c>
      <c r="AH1315" s="394">
        <v>0.10909000000000001</v>
      </c>
      <c r="AI1315" s="394">
        <v>6.2995000000000001</v>
      </c>
      <c r="AJ1315" s="394"/>
      <c r="AK1315" s="381" t="s">
        <v>167</v>
      </c>
      <c r="AL1315" s="408" t="s">
        <v>175</v>
      </c>
      <c r="AM1315" s="385"/>
      <c r="AN1315" s="475">
        <v>870</v>
      </c>
      <c r="AO1315" s="395"/>
      <c r="AP1315" s="395">
        <f t="shared" si="864"/>
        <v>6.9376899999999999</v>
      </c>
      <c r="AQ1315" s="393"/>
      <c r="AR1315" s="523"/>
      <c r="AS1315" s="393"/>
      <c r="AT1315" s="573"/>
      <c r="AU1315" s="394"/>
      <c r="AV1315" s="394"/>
      <c r="AW1315" s="394"/>
      <c r="AX1315" s="394"/>
      <c r="AY1315" s="394"/>
      <c r="AZ1315" s="394"/>
      <c r="BA1315" s="394"/>
      <c r="BB1315" s="394"/>
      <c r="BC1315" s="394"/>
      <c r="BD1315" s="381"/>
      <c r="BE1315" s="408"/>
      <c r="BF1315" s="385"/>
      <c r="BG1315" s="475"/>
      <c r="BH1315" s="395"/>
      <c r="BI1315" s="395" t="e">
        <f t="shared" si="863"/>
        <v>#DIV/0!</v>
      </c>
    </row>
    <row r="1316" spans="1:61" s="358" customFormat="1" ht="19.2" x14ac:dyDescent="0.3">
      <c r="A1316" s="359" t="s">
        <v>2131</v>
      </c>
      <c r="B1316" s="572" t="s">
        <v>3841</v>
      </c>
      <c r="C1316" s="546" t="s">
        <v>2935</v>
      </c>
      <c r="D1316" s="360">
        <v>0.22</v>
      </c>
      <c r="E1316" s="393"/>
      <c r="F1316" s="523"/>
      <c r="G1316" s="393"/>
      <c r="H1316" s="573"/>
      <c r="I1316" s="394"/>
      <c r="J1316" s="394"/>
      <c r="K1316" s="394"/>
      <c r="L1316" s="394"/>
      <c r="M1316" s="394"/>
      <c r="N1316" s="394"/>
      <c r="O1316" s="394"/>
      <c r="P1316" s="394"/>
      <c r="Q1316" s="394"/>
      <c r="R1316" s="381"/>
      <c r="S1316" s="408"/>
      <c r="T1316" s="385"/>
      <c r="U1316" s="475"/>
      <c r="V1316" s="395"/>
      <c r="W1316" s="395"/>
      <c r="X1316" s="393"/>
      <c r="Y1316" s="523">
        <v>1</v>
      </c>
      <c r="Z1316" s="393"/>
      <c r="AA1316" s="573">
        <v>6.9377000000000004</v>
      </c>
      <c r="AB1316" s="394">
        <v>6.46976</v>
      </c>
      <c r="AC1316" s="394">
        <v>6.2995000000000001</v>
      </c>
      <c r="AD1316" s="394"/>
      <c r="AE1316" s="394"/>
      <c r="AF1316" s="394">
        <v>0</v>
      </c>
      <c r="AG1316" s="394">
        <v>0</v>
      </c>
      <c r="AH1316" s="394">
        <v>0.10909000000000001</v>
      </c>
      <c r="AI1316" s="394">
        <v>6.2995000000000001</v>
      </c>
      <c r="AJ1316" s="394"/>
      <c r="AK1316" s="381" t="s">
        <v>167</v>
      </c>
      <c r="AL1316" s="408" t="s">
        <v>175</v>
      </c>
      <c r="AM1316" s="385"/>
      <c r="AN1316" s="475">
        <v>871</v>
      </c>
      <c r="AO1316" s="395"/>
      <c r="AP1316" s="395">
        <f t="shared" si="864"/>
        <v>6.9377000000000004</v>
      </c>
      <c r="AQ1316" s="393"/>
      <c r="AR1316" s="523"/>
      <c r="AS1316" s="393"/>
      <c r="AT1316" s="573"/>
      <c r="AU1316" s="394"/>
      <c r="AV1316" s="394"/>
      <c r="AW1316" s="394"/>
      <c r="AX1316" s="394"/>
      <c r="AY1316" s="394"/>
      <c r="AZ1316" s="394"/>
      <c r="BA1316" s="394"/>
      <c r="BB1316" s="394"/>
      <c r="BC1316" s="394"/>
      <c r="BD1316" s="381"/>
      <c r="BE1316" s="408"/>
      <c r="BF1316" s="385"/>
      <c r="BG1316" s="475"/>
      <c r="BH1316" s="395"/>
      <c r="BI1316" s="395" t="e">
        <f t="shared" si="863"/>
        <v>#DIV/0!</v>
      </c>
    </row>
    <row r="1317" spans="1:61" s="358" customFormat="1" ht="19.2" x14ac:dyDescent="0.3">
      <c r="A1317" s="359" t="s">
        <v>2116</v>
      </c>
      <c r="B1317" s="572" t="s">
        <v>3842</v>
      </c>
      <c r="C1317" s="546" t="s">
        <v>2936</v>
      </c>
      <c r="D1317" s="360">
        <v>0.22</v>
      </c>
      <c r="E1317" s="393"/>
      <c r="F1317" s="523"/>
      <c r="G1317" s="393"/>
      <c r="H1317" s="573"/>
      <c r="I1317" s="394"/>
      <c r="J1317" s="394"/>
      <c r="K1317" s="394"/>
      <c r="L1317" s="394"/>
      <c r="M1317" s="394"/>
      <c r="N1317" s="394"/>
      <c r="O1317" s="394"/>
      <c r="P1317" s="394"/>
      <c r="Q1317" s="394"/>
      <c r="R1317" s="381"/>
      <c r="S1317" s="408"/>
      <c r="T1317" s="385"/>
      <c r="U1317" s="475"/>
      <c r="V1317" s="395"/>
      <c r="W1317" s="395"/>
      <c r="X1317" s="393"/>
      <c r="Y1317" s="523">
        <v>1</v>
      </c>
      <c r="Z1317" s="393"/>
      <c r="AA1317" s="573">
        <v>6.9376699999999998</v>
      </c>
      <c r="AB1317" s="394">
        <v>6.4697300000000002</v>
      </c>
      <c r="AC1317" s="394">
        <v>6.2995000000000001</v>
      </c>
      <c r="AD1317" s="394"/>
      <c r="AE1317" s="394"/>
      <c r="AF1317" s="394">
        <v>0</v>
      </c>
      <c r="AG1317" s="394">
        <v>0</v>
      </c>
      <c r="AH1317" s="394">
        <v>0.10909000000000001</v>
      </c>
      <c r="AI1317" s="394">
        <v>6.2995000000000001</v>
      </c>
      <c r="AJ1317" s="394"/>
      <c r="AK1317" s="381" t="s">
        <v>167</v>
      </c>
      <c r="AL1317" s="408" t="s">
        <v>175</v>
      </c>
      <c r="AM1317" s="385"/>
      <c r="AN1317" s="475">
        <v>872</v>
      </c>
      <c r="AO1317" s="395"/>
      <c r="AP1317" s="395">
        <f t="shared" si="864"/>
        <v>6.9376699999999998</v>
      </c>
      <c r="AQ1317" s="393"/>
      <c r="AR1317" s="523"/>
      <c r="AS1317" s="393"/>
      <c r="AT1317" s="573"/>
      <c r="AU1317" s="394"/>
      <c r="AV1317" s="394"/>
      <c r="AW1317" s="394"/>
      <c r="AX1317" s="394"/>
      <c r="AY1317" s="394"/>
      <c r="AZ1317" s="394"/>
      <c r="BA1317" s="394"/>
      <c r="BB1317" s="394"/>
      <c r="BC1317" s="394"/>
      <c r="BD1317" s="381"/>
      <c r="BE1317" s="408"/>
      <c r="BF1317" s="385"/>
      <c r="BG1317" s="475"/>
      <c r="BH1317" s="395"/>
      <c r="BI1317" s="395" t="e">
        <f t="shared" si="863"/>
        <v>#DIV/0!</v>
      </c>
    </row>
    <row r="1318" spans="1:61" s="358" customFormat="1" ht="19.2" x14ac:dyDescent="0.3">
      <c r="A1318" s="359" t="s">
        <v>2117</v>
      </c>
      <c r="B1318" s="572" t="s">
        <v>646</v>
      </c>
      <c r="C1318" s="546" t="s">
        <v>2937</v>
      </c>
      <c r="D1318" s="360">
        <v>0.22</v>
      </c>
      <c r="E1318" s="393"/>
      <c r="F1318" s="523"/>
      <c r="G1318" s="393"/>
      <c r="H1318" s="573"/>
      <c r="I1318" s="394"/>
      <c r="J1318" s="394"/>
      <c r="K1318" s="394"/>
      <c r="L1318" s="394"/>
      <c r="M1318" s="394"/>
      <c r="N1318" s="394"/>
      <c r="O1318" s="394"/>
      <c r="P1318" s="394"/>
      <c r="Q1318" s="394"/>
      <c r="R1318" s="381"/>
      <c r="S1318" s="408"/>
      <c r="T1318" s="385"/>
      <c r="U1318" s="475"/>
      <c r="V1318" s="395"/>
      <c r="W1318" s="395"/>
      <c r="X1318" s="393"/>
      <c r="Y1318" s="523">
        <v>1</v>
      </c>
      <c r="Z1318" s="393"/>
      <c r="AA1318" s="573">
        <v>10.544449999999999</v>
      </c>
      <c r="AB1318" s="394">
        <v>7.6216400000000002</v>
      </c>
      <c r="AC1318" s="394">
        <v>6.2995099999999997</v>
      </c>
      <c r="AD1318" s="394"/>
      <c r="AE1318" s="394"/>
      <c r="AF1318" s="394">
        <v>0</v>
      </c>
      <c r="AG1318" s="394">
        <v>0</v>
      </c>
      <c r="AH1318" s="394">
        <v>0.68139000000000005</v>
      </c>
      <c r="AI1318" s="394">
        <v>6.2995099999999997</v>
      </c>
      <c r="AJ1318" s="394"/>
      <c r="AK1318" s="381" t="s">
        <v>167</v>
      </c>
      <c r="AL1318" s="408" t="s">
        <v>175</v>
      </c>
      <c r="AM1318" s="385"/>
      <c r="AN1318" s="475">
        <v>873</v>
      </c>
      <c r="AO1318" s="395"/>
      <c r="AP1318" s="395">
        <f t="shared" si="864"/>
        <v>10.544449999999999</v>
      </c>
      <c r="AQ1318" s="393"/>
      <c r="AR1318" s="523"/>
      <c r="AS1318" s="393"/>
      <c r="AT1318" s="573"/>
      <c r="AU1318" s="394"/>
      <c r="AV1318" s="394"/>
      <c r="AW1318" s="394"/>
      <c r="AX1318" s="394"/>
      <c r="AY1318" s="394"/>
      <c r="AZ1318" s="394"/>
      <c r="BA1318" s="394"/>
      <c r="BB1318" s="394"/>
      <c r="BC1318" s="394"/>
      <c r="BD1318" s="381"/>
      <c r="BE1318" s="408"/>
      <c r="BF1318" s="385"/>
      <c r="BG1318" s="475"/>
      <c r="BH1318" s="395"/>
      <c r="BI1318" s="395" t="e">
        <f t="shared" si="863"/>
        <v>#DIV/0!</v>
      </c>
    </row>
    <row r="1319" spans="1:61" s="358" customFormat="1" ht="19.2" x14ac:dyDescent="0.3">
      <c r="A1319" s="359" t="s">
        <v>2118</v>
      </c>
      <c r="B1319" s="572" t="s">
        <v>3843</v>
      </c>
      <c r="C1319" s="546" t="s">
        <v>2938</v>
      </c>
      <c r="D1319" s="360">
        <v>0.22</v>
      </c>
      <c r="E1319" s="393"/>
      <c r="F1319" s="523"/>
      <c r="G1319" s="393"/>
      <c r="H1319" s="573"/>
      <c r="I1319" s="394"/>
      <c r="J1319" s="394"/>
      <c r="K1319" s="394"/>
      <c r="L1319" s="394"/>
      <c r="M1319" s="394"/>
      <c r="N1319" s="394"/>
      <c r="O1319" s="394"/>
      <c r="P1319" s="394"/>
      <c r="Q1319" s="394"/>
      <c r="R1319" s="381"/>
      <c r="S1319" s="408"/>
      <c r="T1319" s="385"/>
      <c r="U1319" s="475"/>
      <c r="V1319" s="395"/>
      <c r="W1319" s="395"/>
      <c r="X1319" s="393"/>
      <c r="Y1319" s="523">
        <v>1</v>
      </c>
      <c r="Z1319" s="393"/>
      <c r="AA1319" s="573">
        <v>6.9376699999999998</v>
      </c>
      <c r="AB1319" s="394">
        <v>6.4697300000000002</v>
      </c>
      <c r="AC1319" s="394">
        <v>6.2995000000000001</v>
      </c>
      <c r="AD1319" s="394"/>
      <c r="AE1319" s="394"/>
      <c r="AF1319" s="394">
        <v>0</v>
      </c>
      <c r="AG1319" s="394">
        <v>0</v>
      </c>
      <c r="AH1319" s="394">
        <v>0.10909000000000001</v>
      </c>
      <c r="AI1319" s="394">
        <v>6.2995000000000001</v>
      </c>
      <c r="AJ1319" s="394"/>
      <c r="AK1319" s="381" t="s">
        <v>167</v>
      </c>
      <c r="AL1319" s="408" t="s">
        <v>175</v>
      </c>
      <c r="AM1319" s="385"/>
      <c r="AN1319" s="475">
        <v>874</v>
      </c>
      <c r="AO1319" s="395"/>
      <c r="AP1319" s="395">
        <f t="shared" si="864"/>
        <v>6.9376699999999998</v>
      </c>
      <c r="AQ1319" s="393"/>
      <c r="AR1319" s="523"/>
      <c r="AS1319" s="393"/>
      <c r="AT1319" s="573"/>
      <c r="AU1319" s="394"/>
      <c r="AV1319" s="394"/>
      <c r="AW1319" s="394"/>
      <c r="AX1319" s="394"/>
      <c r="AY1319" s="394"/>
      <c r="AZ1319" s="394"/>
      <c r="BA1319" s="394"/>
      <c r="BB1319" s="394"/>
      <c r="BC1319" s="394"/>
      <c r="BD1319" s="381"/>
      <c r="BE1319" s="408"/>
      <c r="BF1319" s="385"/>
      <c r="BG1319" s="475"/>
      <c r="BH1319" s="395"/>
      <c r="BI1319" s="395" t="e">
        <f t="shared" si="863"/>
        <v>#DIV/0!</v>
      </c>
    </row>
    <row r="1320" spans="1:61" s="358" customFormat="1" ht="19.2" x14ac:dyDescent="0.3">
      <c r="A1320" s="359" t="s">
        <v>2119</v>
      </c>
      <c r="B1320" s="572" t="s">
        <v>3844</v>
      </c>
      <c r="C1320" s="546" t="s">
        <v>2939</v>
      </c>
      <c r="D1320" s="360">
        <v>0.22</v>
      </c>
      <c r="E1320" s="393"/>
      <c r="F1320" s="523"/>
      <c r="G1320" s="393"/>
      <c r="H1320" s="573"/>
      <c r="I1320" s="394"/>
      <c r="J1320" s="394"/>
      <c r="K1320" s="394"/>
      <c r="L1320" s="394"/>
      <c r="M1320" s="394"/>
      <c r="N1320" s="394"/>
      <c r="O1320" s="394"/>
      <c r="P1320" s="394"/>
      <c r="Q1320" s="394"/>
      <c r="R1320" s="381"/>
      <c r="S1320" s="408"/>
      <c r="T1320" s="385"/>
      <c r="U1320" s="475"/>
      <c r="V1320" s="395"/>
      <c r="W1320" s="395"/>
      <c r="X1320" s="393"/>
      <c r="Y1320" s="523">
        <v>1</v>
      </c>
      <c r="Z1320" s="393"/>
      <c r="AA1320" s="573">
        <v>6.9376699999999998</v>
      </c>
      <c r="AB1320" s="394">
        <v>6.4697300000000002</v>
      </c>
      <c r="AC1320" s="394">
        <v>6.2995000000000001</v>
      </c>
      <c r="AD1320" s="394"/>
      <c r="AE1320" s="394"/>
      <c r="AF1320" s="394">
        <v>0</v>
      </c>
      <c r="AG1320" s="394">
        <v>0</v>
      </c>
      <c r="AH1320" s="394">
        <v>0.10909000000000001</v>
      </c>
      <c r="AI1320" s="394">
        <v>6.2995000000000001</v>
      </c>
      <c r="AJ1320" s="394"/>
      <c r="AK1320" s="381" t="s">
        <v>167</v>
      </c>
      <c r="AL1320" s="408" t="s">
        <v>175</v>
      </c>
      <c r="AM1320" s="385"/>
      <c r="AN1320" s="475">
        <v>875</v>
      </c>
      <c r="AO1320" s="395"/>
      <c r="AP1320" s="395">
        <f t="shared" si="864"/>
        <v>6.9376699999999998</v>
      </c>
      <c r="AQ1320" s="393"/>
      <c r="AR1320" s="523"/>
      <c r="AS1320" s="393"/>
      <c r="AT1320" s="573"/>
      <c r="AU1320" s="394"/>
      <c r="AV1320" s="394"/>
      <c r="AW1320" s="394"/>
      <c r="AX1320" s="394"/>
      <c r="AY1320" s="394"/>
      <c r="AZ1320" s="394"/>
      <c r="BA1320" s="394"/>
      <c r="BB1320" s="394"/>
      <c r="BC1320" s="394"/>
      <c r="BD1320" s="381"/>
      <c r="BE1320" s="408"/>
      <c r="BF1320" s="385"/>
      <c r="BG1320" s="475"/>
      <c r="BH1320" s="395"/>
      <c r="BI1320" s="395" t="e">
        <f t="shared" si="863"/>
        <v>#DIV/0!</v>
      </c>
    </row>
    <row r="1321" spans="1:61" s="358" customFormat="1" ht="19.2" x14ac:dyDescent="0.3">
      <c r="A1321" s="359" t="s">
        <v>2120</v>
      </c>
      <c r="B1321" s="572" t="s">
        <v>2502</v>
      </c>
      <c r="C1321" s="546" t="s">
        <v>2501</v>
      </c>
      <c r="D1321" s="360">
        <v>0.22</v>
      </c>
      <c r="E1321" s="393"/>
      <c r="F1321" s="523"/>
      <c r="G1321" s="393"/>
      <c r="H1321" s="573"/>
      <c r="I1321" s="394"/>
      <c r="J1321" s="394"/>
      <c r="K1321" s="394"/>
      <c r="L1321" s="394"/>
      <c r="M1321" s="394"/>
      <c r="N1321" s="394"/>
      <c r="O1321" s="394"/>
      <c r="P1321" s="394"/>
      <c r="Q1321" s="394"/>
      <c r="R1321" s="381"/>
      <c r="S1321" s="408"/>
      <c r="T1321" s="385"/>
      <c r="U1321" s="475"/>
      <c r="V1321" s="395"/>
      <c r="W1321" s="395"/>
      <c r="X1321" s="393"/>
      <c r="Y1321" s="523">
        <v>1</v>
      </c>
      <c r="Z1321" s="393"/>
      <c r="AA1321" s="573">
        <v>11.122529999999999</v>
      </c>
      <c r="AB1321" s="394">
        <v>7.7199099999999996</v>
      </c>
      <c r="AC1321" s="394">
        <v>6.73691</v>
      </c>
      <c r="AD1321" s="394"/>
      <c r="AE1321" s="394"/>
      <c r="AF1321" s="394">
        <v>0</v>
      </c>
      <c r="AG1321" s="394">
        <v>0</v>
      </c>
      <c r="AH1321" s="394">
        <v>0.79325000000000001</v>
      </c>
      <c r="AI1321" s="394">
        <v>6.73691</v>
      </c>
      <c r="AJ1321" s="394"/>
      <c r="AK1321" s="381" t="s">
        <v>167</v>
      </c>
      <c r="AL1321" s="408" t="s">
        <v>175</v>
      </c>
      <c r="AM1321" s="385"/>
      <c r="AN1321" s="475">
        <v>876</v>
      </c>
      <c r="AO1321" s="395"/>
      <c r="AP1321" s="395">
        <f t="shared" si="864"/>
        <v>11.122529999999999</v>
      </c>
      <c r="AQ1321" s="393"/>
      <c r="AR1321" s="523"/>
      <c r="AS1321" s="393"/>
      <c r="AT1321" s="573"/>
      <c r="AU1321" s="394"/>
      <c r="AV1321" s="394"/>
      <c r="AW1321" s="394"/>
      <c r="AX1321" s="394"/>
      <c r="AY1321" s="394"/>
      <c r="AZ1321" s="394"/>
      <c r="BA1321" s="394"/>
      <c r="BB1321" s="394"/>
      <c r="BC1321" s="394"/>
      <c r="BD1321" s="381"/>
      <c r="BE1321" s="408"/>
      <c r="BF1321" s="385"/>
      <c r="BG1321" s="475"/>
      <c r="BH1321" s="395"/>
      <c r="BI1321" s="395" t="e">
        <f t="shared" si="863"/>
        <v>#DIV/0!</v>
      </c>
    </row>
    <row r="1322" spans="1:61" s="358" customFormat="1" ht="19.2" x14ac:dyDescent="0.3">
      <c r="A1322" s="359" t="s">
        <v>2121</v>
      </c>
      <c r="B1322" s="572" t="s">
        <v>3845</v>
      </c>
      <c r="C1322" s="546" t="s">
        <v>2940</v>
      </c>
      <c r="D1322" s="360">
        <v>0.22</v>
      </c>
      <c r="E1322" s="393"/>
      <c r="F1322" s="523"/>
      <c r="G1322" s="393"/>
      <c r="H1322" s="573"/>
      <c r="I1322" s="394"/>
      <c r="J1322" s="394"/>
      <c r="K1322" s="394"/>
      <c r="L1322" s="394"/>
      <c r="M1322" s="394"/>
      <c r="N1322" s="394"/>
      <c r="O1322" s="394"/>
      <c r="P1322" s="394"/>
      <c r="Q1322" s="394"/>
      <c r="R1322" s="381"/>
      <c r="S1322" s="408"/>
      <c r="T1322" s="385"/>
      <c r="U1322" s="475"/>
      <c r="V1322" s="395"/>
      <c r="W1322" s="395"/>
      <c r="X1322" s="393"/>
      <c r="Y1322" s="523">
        <v>1</v>
      </c>
      <c r="Z1322" s="393"/>
      <c r="AA1322" s="573">
        <v>9.5939800000000002</v>
      </c>
      <c r="AB1322" s="394">
        <v>6.1913600000000004</v>
      </c>
      <c r="AC1322" s="394">
        <v>5.2083700000000004</v>
      </c>
      <c r="AD1322" s="394"/>
      <c r="AE1322" s="394"/>
      <c r="AF1322" s="394">
        <v>0</v>
      </c>
      <c r="AG1322" s="394">
        <v>0</v>
      </c>
      <c r="AH1322" s="394">
        <v>0.79325000000000001</v>
      </c>
      <c r="AI1322" s="394">
        <v>5.2083700000000004</v>
      </c>
      <c r="AJ1322" s="394"/>
      <c r="AK1322" s="381" t="s">
        <v>167</v>
      </c>
      <c r="AL1322" s="408" t="s">
        <v>175</v>
      </c>
      <c r="AM1322" s="385"/>
      <c r="AN1322" s="475">
        <v>877</v>
      </c>
      <c r="AO1322" s="395"/>
      <c r="AP1322" s="395">
        <f t="shared" si="864"/>
        <v>9.5939800000000002</v>
      </c>
      <c r="AQ1322" s="393"/>
      <c r="AR1322" s="523"/>
      <c r="AS1322" s="393"/>
      <c r="AT1322" s="573"/>
      <c r="AU1322" s="394"/>
      <c r="AV1322" s="394"/>
      <c r="AW1322" s="394"/>
      <c r="AX1322" s="394"/>
      <c r="AY1322" s="394"/>
      <c r="AZ1322" s="394"/>
      <c r="BA1322" s="394"/>
      <c r="BB1322" s="394"/>
      <c r="BC1322" s="394"/>
      <c r="BD1322" s="381"/>
      <c r="BE1322" s="408"/>
      <c r="BF1322" s="385"/>
      <c r="BG1322" s="475"/>
      <c r="BH1322" s="395"/>
      <c r="BI1322" s="395" t="e">
        <f t="shared" si="863"/>
        <v>#DIV/0!</v>
      </c>
    </row>
    <row r="1323" spans="1:61" s="358" customFormat="1" ht="19.2" x14ac:dyDescent="0.3">
      <c r="A1323" s="359" t="s">
        <v>2122</v>
      </c>
      <c r="B1323" s="572" t="s">
        <v>3846</v>
      </c>
      <c r="C1323" s="546" t="s">
        <v>2941</v>
      </c>
      <c r="D1323" s="360">
        <v>0.22</v>
      </c>
      <c r="E1323" s="393"/>
      <c r="F1323" s="523"/>
      <c r="G1323" s="393"/>
      <c r="H1323" s="573"/>
      <c r="I1323" s="394"/>
      <c r="J1323" s="394"/>
      <c r="K1323" s="394"/>
      <c r="L1323" s="394"/>
      <c r="M1323" s="394"/>
      <c r="N1323" s="394"/>
      <c r="O1323" s="394"/>
      <c r="P1323" s="394"/>
      <c r="Q1323" s="394"/>
      <c r="R1323" s="381"/>
      <c r="S1323" s="408"/>
      <c r="T1323" s="385"/>
      <c r="U1323" s="475"/>
      <c r="V1323" s="395"/>
      <c r="W1323" s="395"/>
      <c r="X1323" s="393"/>
      <c r="Y1323" s="523">
        <v>1</v>
      </c>
      <c r="Z1323" s="393"/>
      <c r="AA1323" s="573">
        <v>11.122529999999999</v>
      </c>
      <c r="AB1323" s="394">
        <v>7.7199099999999996</v>
      </c>
      <c r="AC1323" s="394">
        <v>6.73691</v>
      </c>
      <c r="AD1323" s="394"/>
      <c r="AE1323" s="394"/>
      <c r="AF1323" s="394">
        <v>0</v>
      </c>
      <c r="AG1323" s="394">
        <v>0</v>
      </c>
      <c r="AH1323" s="394">
        <v>0.79325000000000001</v>
      </c>
      <c r="AI1323" s="394">
        <v>6.73691</v>
      </c>
      <c r="AJ1323" s="394"/>
      <c r="AK1323" s="381" t="s">
        <v>167</v>
      </c>
      <c r="AL1323" s="408" t="s">
        <v>175</v>
      </c>
      <c r="AM1323" s="385"/>
      <c r="AN1323" s="475">
        <v>878</v>
      </c>
      <c r="AO1323" s="395"/>
      <c r="AP1323" s="395">
        <f t="shared" si="864"/>
        <v>11.122529999999999</v>
      </c>
      <c r="AQ1323" s="393"/>
      <c r="AR1323" s="523"/>
      <c r="AS1323" s="393"/>
      <c r="AT1323" s="573"/>
      <c r="AU1323" s="394"/>
      <c r="AV1323" s="394"/>
      <c r="AW1323" s="394"/>
      <c r="AX1323" s="394"/>
      <c r="AY1323" s="394"/>
      <c r="AZ1323" s="394"/>
      <c r="BA1323" s="394"/>
      <c r="BB1323" s="394"/>
      <c r="BC1323" s="394"/>
      <c r="BD1323" s="381"/>
      <c r="BE1323" s="408"/>
      <c r="BF1323" s="385"/>
      <c r="BG1323" s="475"/>
      <c r="BH1323" s="395"/>
      <c r="BI1323" s="395" t="e">
        <f t="shared" si="863"/>
        <v>#DIV/0!</v>
      </c>
    </row>
    <row r="1324" spans="1:61" s="358" customFormat="1" ht="19.2" x14ac:dyDescent="0.3">
      <c r="A1324" s="359" t="s">
        <v>2123</v>
      </c>
      <c r="B1324" s="572" t="s">
        <v>3847</v>
      </c>
      <c r="C1324" s="546" t="s">
        <v>2942</v>
      </c>
      <c r="D1324" s="360">
        <v>0.22</v>
      </c>
      <c r="E1324" s="393"/>
      <c r="F1324" s="523"/>
      <c r="G1324" s="393"/>
      <c r="H1324" s="573"/>
      <c r="I1324" s="394"/>
      <c r="J1324" s="394"/>
      <c r="K1324" s="394"/>
      <c r="L1324" s="394"/>
      <c r="M1324" s="394"/>
      <c r="N1324" s="394"/>
      <c r="O1324" s="394"/>
      <c r="P1324" s="394"/>
      <c r="Q1324" s="394"/>
      <c r="R1324" s="381"/>
      <c r="S1324" s="408"/>
      <c r="T1324" s="385"/>
      <c r="U1324" s="475"/>
      <c r="V1324" s="395"/>
      <c r="W1324" s="395"/>
      <c r="X1324" s="393"/>
      <c r="Y1324" s="523">
        <v>1</v>
      </c>
      <c r="Z1324" s="393"/>
      <c r="AA1324" s="573">
        <v>9.5939499999999995</v>
      </c>
      <c r="AB1324" s="394">
        <v>6.1913299999999998</v>
      </c>
      <c r="AC1324" s="394">
        <v>5.2083700000000004</v>
      </c>
      <c r="AD1324" s="394"/>
      <c r="AE1324" s="394"/>
      <c r="AF1324" s="394">
        <v>0</v>
      </c>
      <c r="AG1324" s="394">
        <v>0</v>
      </c>
      <c r="AH1324" s="394">
        <v>0.79325000000000001</v>
      </c>
      <c r="AI1324" s="394">
        <v>5.2083700000000004</v>
      </c>
      <c r="AJ1324" s="394"/>
      <c r="AK1324" s="381" t="s">
        <v>167</v>
      </c>
      <c r="AL1324" s="408" t="s">
        <v>175</v>
      </c>
      <c r="AM1324" s="385"/>
      <c r="AN1324" s="475">
        <v>879</v>
      </c>
      <c r="AO1324" s="395"/>
      <c r="AP1324" s="395">
        <f t="shared" si="864"/>
        <v>9.5939499999999995</v>
      </c>
      <c r="AQ1324" s="393"/>
      <c r="AR1324" s="523"/>
      <c r="AS1324" s="393"/>
      <c r="AT1324" s="573"/>
      <c r="AU1324" s="394"/>
      <c r="AV1324" s="394"/>
      <c r="AW1324" s="394"/>
      <c r="AX1324" s="394"/>
      <c r="AY1324" s="394"/>
      <c r="AZ1324" s="394"/>
      <c r="BA1324" s="394"/>
      <c r="BB1324" s="394"/>
      <c r="BC1324" s="394"/>
      <c r="BD1324" s="381"/>
      <c r="BE1324" s="408"/>
      <c r="BF1324" s="385"/>
      <c r="BG1324" s="475"/>
      <c r="BH1324" s="395"/>
      <c r="BI1324" s="395" t="e">
        <f t="shared" ref="BI1324:BI1623" si="865">AT1324/AR1324</f>
        <v>#DIV/0!</v>
      </c>
    </row>
    <row r="1325" spans="1:61" s="358" customFormat="1" ht="19.2" x14ac:dyDescent="0.3">
      <c r="A1325" s="359" t="s">
        <v>2124</v>
      </c>
      <c r="B1325" s="572" t="s">
        <v>2544</v>
      </c>
      <c r="C1325" s="546" t="s">
        <v>2543</v>
      </c>
      <c r="D1325" s="360">
        <v>0.22</v>
      </c>
      <c r="E1325" s="393"/>
      <c r="F1325" s="523"/>
      <c r="G1325" s="393"/>
      <c r="H1325" s="573"/>
      <c r="I1325" s="394"/>
      <c r="J1325" s="394"/>
      <c r="K1325" s="394"/>
      <c r="L1325" s="394"/>
      <c r="M1325" s="394"/>
      <c r="N1325" s="394"/>
      <c r="O1325" s="394"/>
      <c r="P1325" s="394"/>
      <c r="Q1325" s="394"/>
      <c r="R1325" s="381"/>
      <c r="S1325" s="408"/>
      <c r="T1325" s="385"/>
      <c r="U1325" s="475"/>
      <c r="V1325" s="395"/>
      <c r="W1325" s="395"/>
      <c r="X1325" s="393"/>
      <c r="Y1325" s="523">
        <v>1</v>
      </c>
      <c r="Z1325" s="393"/>
      <c r="AA1325" s="573">
        <v>9.5939399999999999</v>
      </c>
      <c r="AB1325" s="394">
        <v>6.1913200000000002</v>
      </c>
      <c r="AC1325" s="394">
        <v>5.2083700000000004</v>
      </c>
      <c r="AD1325" s="394"/>
      <c r="AE1325" s="394"/>
      <c r="AF1325" s="394">
        <v>0</v>
      </c>
      <c r="AG1325" s="394">
        <v>0</v>
      </c>
      <c r="AH1325" s="394">
        <v>0.79325000000000001</v>
      </c>
      <c r="AI1325" s="394">
        <v>5.2083700000000004</v>
      </c>
      <c r="AJ1325" s="394"/>
      <c r="AK1325" s="381" t="s">
        <v>167</v>
      </c>
      <c r="AL1325" s="408" t="s">
        <v>175</v>
      </c>
      <c r="AM1325" s="385"/>
      <c r="AN1325" s="475">
        <v>880</v>
      </c>
      <c r="AO1325" s="395"/>
      <c r="AP1325" s="395">
        <f t="shared" si="864"/>
        <v>9.5939399999999999</v>
      </c>
      <c r="AQ1325" s="393"/>
      <c r="AR1325" s="523"/>
      <c r="AS1325" s="393"/>
      <c r="AT1325" s="573"/>
      <c r="AU1325" s="394"/>
      <c r="AV1325" s="394"/>
      <c r="AW1325" s="394"/>
      <c r="AX1325" s="394"/>
      <c r="AY1325" s="394"/>
      <c r="AZ1325" s="394"/>
      <c r="BA1325" s="394"/>
      <c r="BB1325" s="394"/>
      <c r="BC1325" s="394"/>
      <c r="BD1325" s="381"/>
      <c r="BE1325" s="408"/>
      <c r="BF1325" s="385"/>
      <c r="BG1325" s="475"/>
      <c r="BH1325" s="395"/>
      <c r="BI1325" s="395" t="e">
        <f t="shared" si="865"/>
        <v>#DIV/0!</v>
      </c>
    </row>
    <row r="1326" spans="1:61" s="358" customFormat="1" ht="19.2" x14ac:dyDescent="0.3">
      <c r="A1326" s="359" t="s">
        <v>2125</v>
      </c>
      <c r="B1326" s="572" t="s">
        <v>3848</v>
      </c>
      <c r="C1326" s="546" t="s">
        <v>2943</v>
      </c>
      <c r="D1326" s="360">
        <v>0.22</v>
      </c>
      <c r="E1326" s="393"/>
      <c r="F1326" s="523"/>
      <c r="G1326" s="393"/>
      <c r="H1326" s="573"/>
      <c r="I1326" s="394"/>
      <c r="J1326" s="394"/>
      <c r="K1326" s="394"/>
      <c r="L1326" s="394"/>
      <c r="M1326" s="394"/>
      <c r="N1326" s="394"/>
      <c r="O1326" s="394"/>
      <c r="P1326" s="394"/>
      <c r="Q1326" s="394"/>
      <c r="R1326" s="381"/>
      <c r="S1326" s="408"/>
      <c r="T1326" s="385"/>
      <c r="U1326" s="475"/>
      <c r="V1326" s="395"/>
      <c r="W1326" s="395"/>
      <c r="X1326" s="393"/>
      <c r="Y1326" s="523">
        <v>1</v>
      </c>
      <c r="Z1326" s="393"/>
      <c r="AA1326" s="573">
        <v>9.5939800000000002</v>
      </c>
      <c r="AB1326" s="394">
        <v>6.1913600000000004</v>
      </c>
      <c r="AC1326" s="394">
        <v>5.2083700000000004</v>
      </c>
      <c r="AD1326" s="394"/>
      <c r="AE1326" s="394"/>
      <c r="AF1326" s="394">
        <v>0</v>
      </c>
      <c r="AG1326" s="394">
        <v>0</v>
      </c>
      <c r="AH1326" s="394">
        <v>0.79325000000000001</v>
      </c>
      <c r="AI1326" s="394">
        <v>5.2083700000000004</v>
      </c>
      <c r="AJ1326" s="394"/>
      <c r="AK1326" s="381" t="s">
        <v>167</v>
      </c>
      <c r="AL1326" s="408" t="s">
        <v>175</v>
      </c>
      <c r="AM1326" s="385"/>
      <c r="AN1326" s="475">
        <v>881</v>
      </c>
      <c r="AO1326" s="395"/>
      <c r="AP1326" s="395">
        <f t="shared" si="864"/>
        <v>9.5939800000000002</v>
      </c>
      <c r="AQ1326" s="393"/>
      <c r="AR1326" s="523"/>
      <c r="AS1326" s="393"/>
      <c r="AT1326" s="573"/>
      <c r="AU1326" s="394"/>
      <c r="AV1326" s="394"/>
      <c r="AW1326" s="394"/>
      <c r="AX1326" s="394"/>
      <c r="AY1326" s="394"/>
      <c r="AZ1326" s="394"/>
      <c r="BA1326" s="394"/>
      <c r="BB1326" s="394"/>
      <c r="BC1326" s="394"/>
      <c r="BD1326" s="381"/>
      <c r="BE1326" s="408"/>
      <c r="BF1326" s="385"/>
      <c r="BG1326" s="475"/>
      <c r="BH1326" s="395"/>
      <c r="BI1326" s="395" t="e">
        <f t="shared" si="865"/>
        <v>#DIV/0!</v>
      </c>
    </row>
    <row r="1327" spans="1:61" s="358" customFormat="1" ht="19.2" x14ac:dyDescent="0.3">
      <c r="A1327" s="359" t="s">
        <v>2126</v>
      </c>
      <c r="B1327" s="572" t="s">
        <v>3849</v>
      </c>
      <c r="C1327" s="546" t="s">
        <v>2944</v>
      </c>
      <c r="D1327" s="360">
        <v>0.22</v>
      </c>
      <c r="E1327" s="393"/>
      <c r="F1327" s="523"/>
      <c r="G1327" s="393"/>
      <c r="H1327" s="573"/>
      <c r="I1327" s="394"/>
      <c r="J1327" s="394"/>
      <c r="K1327" s="394"/>
      <c r="L1327" s="394"/>
      <c r="M1327" s="394"/>
      <c r="N1327" s="394"/>
      <c r="O1327" s="394"/>
      <c r="P1327" s="394"/>
      <c r="Q1327" s="394"/>
      <c r="R1327" s="381"/>
      <c r="S1327" s="408"/>
      <c r="T1327" s="385"/>
      <c r="U1327" s="475"/>
      <c r="V1327" s="395"/>
      <c r="W1327" s="395"/>
      <c r="X1327" s="393"/>
      <c r="Y1327" s="523">
        <v>1</v>
      </c>
      <c r="Z1327" s="393"/>
      <c r="AA1327" s="573">
        <v>9.5939700000000006</v>
      </c>
      <c r="AB1327" s="394">
        <v>6.1913499999999999</v>
      </c>
      <c r="AC1327" s="394">
        <v>5.2083700000000004</v>
      </c>
      <c r="AD1327" s="394"/>
      <c r="AE1327" s="394"/>
      <c r="AF1327" s="394">
        <v>0</v>
      </c>
      <c r="AG1327" s="394">
        <v>0</v>
      </c>
      <c r="AH1327" s="394">
        <v>0.79325000000000001</v>
      </c>
      <c r="AI1327" s="394">
        <v>5.2083700000000004</v>
      </c>
      <c r="AJ1327" s="394"/>
      <c r="AK1327" s="381" t="s">
        <v>167</v>
      </c>
      <c r="AL1327" s="408" t="s">
        <v>175</v>
      </c>
      <c r="AM1327" s="385"/>
      <c r="AN1327" s="475">
        <v>882</v>
      </c>
      <c r="AO1327" s="395"/>
      <c r="AP1327" s="395">
        <f t="shared" si="864"/>
        <v>9.5939700000000006</v>
      </c>
      <c r="AQ1327" s="393"/>
      <c r="AR1327" s="523"/>
      <c r="AS1327" s="393"/>
      <c r="AT1327" s="573"/>
      <c r="AU1327" s="394"/>
      <c r="AV1327" s="394"/>
      <c r="AW1327" s="394"/>
      <c r="AX1327" s="394"/>
      <c r="AY1327" s="394"/>
      <c r="AZ1327" s="394"/>
      <c r="BA1327" s="394"/>
      <c r="BB1327" s="394"/>
      <c r="BC1327" s="394"/>
      <c r="BD1327" s="381"/>
      <c r="BE1327" s="408"/>
      <c r="BF1327" s="385"/>
      <c r="BG1327" s="475"/>
      <c r="BH1327" s="395"/>
      <c r="BI1327" s="395" t="e">
        <f t="shared" si="865"/>
        <v>#DIV/0!</v>
      </c>
    </row>
    <row r="1328" spans="1:61" s="358" customFormat="1" ht="19.2" x14ac:dyDescent="0.3">
      <c r="A1328" s="359" t="s">
        <v>2143</v>
      </c>
      <c r="B1328" s="572" t="s">
        <v>2480</v>
      </c>
      <c r="C1328" s="546" t="s">
        <v>2479</v>
      </c>
      <c r="D1328" s="360">
        <v>0.22</v>
      </c>
      <c r="E1328" s="393"/>
      <c r="F1328" s="523"/>
      <c r="G1328" s="393"/>
      <c r="H1328" s="573"/>
      <c r="I1328" s="394"/>
      <c r="J1328" s="394"/>
      <c r="K1328" s="394"/>
      <c r="L1328" s="394"/>
      <c r="M1328" s="394"/>
      <c r="N1328" s="394"/>
      <c r="O1328" s="394"/>
      <c r="P1328" s="394"/>
      <c r="Q1328" s="394"/>
      <c r="R1328" s="381"/>
      <c r="S1328" s="408"/>
      <c r="T1328" s="385"/>
      <c r="U1328" s="475"/>
      <c r="V1328" s="395"/>
      <c r="W1328" s="395"/>
      <c r="X1328" s="393"/>
      <c r="Y1328" s="523">
        <v>1</v>
      </c>
      <c r="Z1328" s="393"/>
      <c r="AA1328" s="573">
        <v>11.12252</v>
      </c>
      <c r="AB1328" s="394">
        <v>7.7199</v>
      </c>
      <c r="AC1328" s="394">
        <v>6.73691</v>
      </c>
      <c r="AD1328" s="394"/>
      <c r="AE1328" s="394"/>
      <c r="AF1328" s="394">
        <v>0</v>
      </c>
      <c r="AG1328" s="394">
        <v>0</v>
      </c>
      <c r="AH1328" s="394">
        <v>0.79325000000000001</v>
      </c>
      <c r="AI1328" s="394">
        <v>6.73691</v>
      </c>
      <c r="AJ1328" s="394"/>
      <c r="AK1328" s="381" t="s">
        <v>167</v>
      </c>
      <c r="AL1328" s="408" t="s">
        <v>175</v>
      </c>
      <c r="AM1328" s="385"/>
      <c r="AN1328" s="475">
        <v>883</v>
      </c>
      <c r="AO1328" s="395"/>
      <c r="AP1328" s="395">
        <f t="shared" si="864"/>
        <v>11.12252</v>
      </c>
      <c r="AQ1328" s="393"/>
      <c r="AR1328" s="523"/>
      <c r="AS1328" s="393"/>
      <c r="AT1328" s="573"/>
      <c r="AU1328" s="394"/>
      <c r="AV1328" s="394"/>
      <c r="AW1328" s="394"/>
      <c r="AX1328" s="394"/>
      <c r="AY1328" s="394"/>
      <c r="AZ1328" s="394"/>
      <c r="BA1328" s="394"/>
      <c r="BB1328" s="394"/>
      <c r="BC1328" s="394"/>
      <c r="BD1328" s="381"/>
      <c r="BE1328" s="408"/>
      <c r="BF1328" s="385"/>
      <c r="BG1328" s="475"/>
      <c r="BH1328" s="395"/>
      <c r="BI1328" s="395" t="e">
        <f t="shared" si="865"/>
        <v>#DIV/0!</v>
      </c>
    </row>
    <row r="1329" spans="1:61" s="358" customFormat="1" ht="19.2" x14ac:dyDescent="0.3">
      <c r="A1329" s="359" t="s">
        <v>2128</v>
      </c>
      <c r="B1329" s="572" t="s">
        <v>2568</v>
      </c>
      <c r="C1329" s="546" t="s">
        <v>2567</v>
      </c>
      <c r="D1329" s="360">
        <v>0.22</v>
      </c>
      <c r="E1329" s="393"/>
      <c r="F1329" s="523"/>
      <c r="G1329" s="393"/>
      <c r="H1329" s="573"/>
      <c r="I1329" s="394"/>
      <c r="J1329" s="394"/>
      <c r="K1329" s="394"/>
      <c r="L1329" s="394"/>
      <c r="M1329" s="394"/>
      <c r="N1329" s="394"/>
      <c r="O1329" s="394"/>
      <c r="P1329" s="394"/>
      <c r="Q1329" s="394"/>
      <c r="R1329" s="381"/>
      <c r="S1329" s="408"/>
      <c r="T1329" s="385"/>
      <c r="U1329" s="475"/>
      <c r="V1329" s="395"/>
      <c r="W1329" s="395"/>
      <c r="X1329" s="393"/>
      <c r="Y1329" s="523">
        <v>1</v>
      </c>
      <c r="Z1329" s="393"/>
      <c r="AA1329" s="573">
        <v>13.45505</v>
      </c>
      <c r="AB1329" s="394">
        <v>7.7199</v>
      </c>
      <c r="AC1329" s="394">
        <v>6.73691</v>
      </c>
      <c r="AD1329" s="394"/>
      <c r="AE1329" s="394"/>
      <c r="AF1329" s="394">
        <v>0</v>
      </c>
      <c r="AG1329" s="394">
        <v>0</v>
      </c>
      <c r="AH1329" s="394">
        <v>0.79325000000000001</v>
      </c>
      <c r="AI1329" s="394">
        <v>6.73691</v>
      </c>
      <c r="AJ1329" s="394"/>
      <c r="AK1329" s="381" t="s">
        <v>167</v>
      </c>
      <c r="AL1329" s="408" t="s">
        <v>175</v>
      </c>
      <c r="AM1329" s="385"/>
      <c r="AN1329" s="475">
        <v>884</v>
      </c>
      <c r="AO1329" s="395"/>
      <c r="AP1329" s="395">
        <f t="shared" si="864"/>
        <v>13.45505</v>
      </c>
      <c r="AQ1329" s="393"/>
      <c r="AR1329" s="523"/>
      <c r="AS1329" s="393"/>
      <c r="AT1329" s="573"/>
      <c r="AU1329" s="394"/>
      <c r="AV1329" s="394"/>
      <c r="AW1329" s="394"/>
      <c r="AX1329" s="394"/>
      <c r="AY1329" s="394"/>
      <c r="AZ1329" s="394"/>
      <c r="BA1329" s="394"/>
      <c r="BB1329" s="394"/>
      <c r="BC1329" s="394"/>
      <c r="BD1329" s="381"/>
      <c r="BE1329" s="408"/>
      <c r="BF1329" s="385"/>
      <c r="BG1329" s="475"/>
      <c r="BH1329" s="395"/>
      <c r="BI1329" s="395" t="e">
        <f t="shared" si="865"/>
        <v>#DIV/0!</v>
      </c>
    </row>
    <row r="1330" spans="1:61" s="358" customFormat="1" ht="19.2" x14ac:dyDescent="0.3">
      <c r="A1330" s="359" t="s">
        <v>2129</v>
      </c>
      <c r="B1330" s="572" t="s">
        <v>3850</v>
      </c>
      <c r="C1330" s="546" t="s">
        <v>2945</v>
      </c>
      <c r="D1330" s="360">
        <v>0.22</v>
      </c>
      <c r="E1330" s="393"/>
      <c r="F1330" s="523"/>
      <c r="G1330" s="393"/>
      <c r="H1330" s="573"/>
      <c r="I1330" s="394"/>
      <c r="J1330" s="394"/>
      <c r="K1330" s="394"/>
      <c r="L1330" s="394"/>
      <c r="M1330" s="394"/>
      <c r="N1330" s="394"/>
      <c r="O1330" s="394"/>
      <c r="P1330" s="394"/>
      <c r="Q1330" s="394"/>
      <c r="R1330" s="381"/>
      <c r="S1330" s="408"/>
      <c r="T1330" s="385"/>
      <c r="U1330" s="475"/>
      <c r="V1330" s="395"/>
      <c r="W1330" s="395"/>
      <c r="X1330" s="393"/>
      <c r="Y1330" s="523">
        <v>1</v>
      </c>
      <c r="Z1330" s="393"/>
      <c r="AA1330" s="573">
        <v>9.5939700000000006</v>
      </c>
      <c r="AB1330" s="394">
        <v>6.1913499999999999</v>
      </c>
      <c r="AC1330" s="394">
        <v>5.2083700000000004</v>
      </c>
      <c r="AD1330" s="394"/>
      <c r="AE1330" s="394"/>
      <c r="AF1330" s="394">
        <v>0</v>
      </c>
      <c r="AG1330" s="394">
        <v>0</v>
      </c>
      <c r="AH1330" s="394">
        <v>0.79325000000000001</v>
      </c>
      <c r="AI1330" s="394">
        <v>5.2083700000000004</v>
      </c>
      <c r="AJ1330" s="394"/>
      <c r="AK1330" s="381" t="s">
        <v>167</v>
      </c>
      <c r="AL1330" s="408" t="s">
        <v>175</v>
      </c>
      <c r="AM1330" s="385"/>
      <c r="AN1330" s="475">
        <v>885</v>
      </c>
      <c r="AO1330" s="395"/>
      <c r="AP1330" s="395">
        <f t="shared" si="864"/>
        <v>9.5939700000000006</v>
      </c>
      <c r="AQ1330" s="393"/>
      <c r="AR1330" s="523"/>
      <c r="AS1330" s="393"/>
      <c r="AT1330" s="573"/>
      <c r="AU1330" s="394"/>
      <c r="AV1330" s="394"/>
      <c r="AW1330" s="394"/>
      <c r="AX1330" s="394"/>
      <c r="AY1330" s="394"/>
      <c r="AZ1330" s="394"/>
      <c r="BA1330" s="394"/>
      <c r="BB1330" s="394"/>
      <c r="BC1330" s="394"/>
      <c r="BD1330" s="381"/>
      <c r="BE1330" s="408"/>
      <c r="BF1330" s="385"/>
      <c r="BG1330" s="475"/>
      <c r="BH1330" s="395"/>
      <c r="BI1330" s="395" t="e">
        <f t="shared" si="865"/>
        <v>#DIV/0!</v>
      </c>
    </row>
    <row r="1331" spans="1:61" s="358" customFormat="1" ht="19.2" x14ac:dyDescent="0.3">
      <c r="A1331" s="359" t="s">
        <v>2114</v>
      </c>
      <c r="B1331" s="572" t="s">
        <v>3851</v>
      </c>
      <c r="C1331" s="546" t="s">
        <v>2946</v>
      </c>
      <c r="D1331" s="360">
        <v>0.22</v>
      </c>
      <c r="E1331" s="393"/>
      <c r="F1331" s="523"/>
      <c r="G1331" s="393"/>
      <c r="H1331" s="573"/>
      <c r="I1331" s="394"/>
      <c r="J1331" s="394"/>
      <c r="K1331" s="394"/>
      <c r="L1331" s="394"/>
      <c r="M1331" s="394"/>
      <c r="N1331" s="394"/>
      <c r="O1331" s="394"/>
      <c r="P1331" s="394"/>
      <c r="Q1331" s="394"/>
      <c r="R1331" s="381"/>
      <c r="S1331" s="408"/>
      <c r="T1331" s="385"/>
      <c r="U1331" s="475"/>
      <c r="V1331" s="395"/>
      <c r="W1331" s="395"/>
      <c r="X1331" s="393"/>
      <c r="Y1331" s="523">
        <v>1</v>
      </c>
      <c r="Z1331" s="393"/>
      <c r="AA1331" s="573">
        <v>9.5939399999999999</v>
      </c>
      <c r="AB1331" s="394">
        <v>6.1913200000000002</v>
      </c>
      <c r="AC1331" s="394">
        <v>5.2083700000000004</v>
      </c>
      <c r="AD1331" s="394"/>
      <c r="AE1331" s="394"/>
      <c r="AF1331" s="394">
        <v>0</v>
      </c>
      <c r="AG1331" s="394">
        <v>0</v>
      </c>
      <c r="AH1331" s="394">
        <v>0.79325000000000001</v>
      </c>
      <c r="AI1331" s="394">
        <v>5.2083700000000004</v>
      </c>
      <c r="AJ1331" s="394"/>
      <c r="AK1331" s="381" t="s">
        <v>167</v>
      </c>
      <c r="AL1331" s="408" t="s">
        <v>175</v>
      </c>
      <c r="AM1331" s="385"/>
      <c r="AN1331" s="475">
        <v>886</v>
      </c>
      <c r="AO1331" s="395"/>
      <c r="AP1331" s="395">
        <f t="shared" si="864"/>
        <v>9.5939399999999999</v>
      </c>
      <c r="AQ1331" s="393"/>
      <c r="AR1331" s="523"/>
      <c r="AS1331" s="393"/>
      <c r="AT1331" s="573"/>
      <c r="AU1331" s="394"/>
      <c r="AV1331" s="394"/>
      <c r="AW1331" s="394"/>
      <c r="AX1331" s="394"/>
      <c r="AY1331" s="394"/>
      <c r="AZ1331" s="394"/>
      <c r="BA1331" s="394"/>
      <c r="BB1331" s="394"/>
      <c r="BC1331" s="394"/>
      <c r="BD1331" s="381"/>
      <c r="BE1331" s="408"/>
      <c r="BF1331" s="385"/>
      <c r="BG1331" s="475"/>
      <c r="BH1331" s="395"/>
      <c r="BI1331" s="395" t="e">
        <f t="shared" si="865"/>
        <v>#DIV/0!</v>
      </c>
    </row>
    <row r="1332" spans="1:61" s="358" customFormat="1" ht="19.2" x14ac:dyDescent="0.3">
      <c r="A1332" s="359" t="s">
        <v>2147</v>
      </c>
      <c r="B1332" s="572" t="s">
        <v>3852</v>
      </c>
      <c r="C1332" s="546" t="s">
        <v>2947</v>
      </c>
      <c r="D1332" s="360">
        <v>0.22</v>
      </c>
      <c r="E1332" s="393"/>
      <c r="F1332" s="523"/>
      <c r="G1332" s="393"/>
      <c r="H1332" s="573"/>
      <c r="I1332" s="394"/>
      <c r="J1332" s="394"/>
      <c r="K1332" s="394"/>
      <c r="L1332" s="394"/>
      <c r="M1332" s="394"/>
      <c r="N1332" s="394"/>
      <c r="O1332" s="394"/>
      <c r="P1332" s="394"/>
      <c r="Q1332" s="394"/>
      <c r="R1332" s="381"/>
      <c r="S1332" s="408"/>
      <c r="T1332" s="385"/>
      <c r="U1332" s="475"/>
      <c r="V1332" s="395"/>
      <c r="W1332" s="395"/>
      <c r="X1332" s="393"/>
      <c r="Y1332" s="523">
        <v>1</v>
      </c>
      <c r="Z1332" s="393"/>
      <c r="AA1332" s="573">
        <v>11.122529999999999</v>
      </c>
      <c r="AB1332" s="394">
        <v>7.7199099999999996</v>
      </c>
      <c r="AC1332" s="394">
        <v>6.73691</v>
      </c>
      <c r="AD1332" s="394"/>
      <c r="AE1332" s="394"/>
      <c r="AF1332" s="394">
        <v>0</v>
      </c>
      <c r="AG1332" s="394">
        <v>0</v>
      </c>
      <c r="AH1332" s="394">
        <v>0.79325000000000001</v>
      </c>
      <c r="AI1332" s="394">
        <v>6.73691</v>
      </c>
      <c r="AJ1332" s="394"/>
      <c r="AK1332" s="381" t="s">
        <v>167</v>
      </c>
      <c r="AL1332" s="408" t="s">
        <v>175</v>
      </c>
      <c r="AM1332" s="385"/>
      <c r="AN1332" s="475">
        <v>887</v>
      </c>
      <c r="AO1332" s="395"/>
      <c r="AP1332" s="395">
        <f t="shared" si="864"/>
        <v>11.122529999999999</v>
      </c>
      <c r="AQ1332" s="393"/>
      <c r="AR1332" s="523"/>
      <c r="AS1332" s="393"/>
      <c r="AT1332" s="573"/>
      <c r="AU1332" s="394"/>
      <c r="AV1332" s="394"/>
      <c r="AW1332" s="394"/>
      <c r="AX1332" s="394"/>
      <c r="AY1332" s="394"/>
      <c r="AZ1332" s="394"/>
      <c r="BA1332" s="394"/>
      <c r="BB1332" s="394"/>
      <c r="BC1332" s="394"/>
      <c r="BD1332" s="381"/>
      <c r="BE1332" s="408"/>
      <c r="BF1332" s="385"/>
      <c r="BG1332" s="475"/>
      <c r="BH1332" s="395"/>
      <c r="BI1332" s="395" t="e">
        <f t="shared" si="865"/>
        <v>#DIV/0!</v>
      </c>
    </row>
    <row r="1333" spans="1:61" s="358" customFormat="1" ht="19.2" x14ac:dyDescent="0.3">
      <c r="A1333" s="359" t="s">
        <v>2132</v>
      </c>
      <c r="B1333" s="572" t="s">
        <v>3853</v>
      </c>
      <c r="C1333" s="546" t="s">
        <v>2948</v>
      </c>
      <c r="D1333" s="360">
        <v>0.22</v>
      </c>
      <c r="E1333" s="393"/>
      <c r="F1333" s="523"/>
      <c r="G1333" s="393"/>
      <c r="H1333" s="573"/>
      <c r="I1333" s="394"/>
      <c r="J1333" s="394"/>
      <c r="K1333" s="394"/>
      <c r="L1333" s="394"/>
      <c r="M1333" s="394"/>
      <c r="N1333" s="394"/>
      <c r="O1333" s="394"/>
      <c r="P1333" s="394"/>
      <c r="Q1333" s="394"/>
      <c r="R1333" s="381"/>
      <c r="S1333" s="408"/>
      <c r="T1333" s="385"/>
      <c r="U1333" s="475"/>
      <c r="V1333" s="395"/>
      <c r="W1333" s="395"/>
      <c r="X1333" s="393"/>
      <c r="Y1333" s="523">
        <v>1</v>
      </c>
      <c r="Z1333" s="393"/>
      <c r="AA1333" s="573">
        <v>11.122529999999999</v>
      </c>
      <c r="AB1333" s="394">
        <v>7.7199099999999996</v>
      </c>
      <c r="AC1333" s="394">
        <v>6.73691</v>
      </c>
      <c r="AD1333" s="394"/>
      <c r="AE1333" s="394"/>
      <c r="AF1333" s="394">
        <v>0</v>
      </c>
      <c r="AG1333" s="394">
        <v>0</v>
      </c>
      <c r="AH1333" s="394">
        <v>0.79325000000000001</v>
      </c>
      <c r="AI1333" s="394">
        <v>6.73691</v>
      </c>
      <c r="AJ1333" s="394"/>
      <c r="AK1333" s="381" t="s">
        <v>167</v>
      </c>
      <c r="AL1333" s="408" t="s">
        <v>175</v>
      </c>
      <c r="AM1333" s="385"/>
      <c r="AN1333" s="475">
        <v>888</v>
      </c>
      <c r="AO1333" s="395"/>
      <c r="AP1333" s="395">
        <f t="shared" si="864"/>
        <v>11.122529999999999</v>
      </c>
      <c r="AQ1333" s="393"/>
      <c r="AR1333" s="523"/>
      <c r="AS1333" s="393"/>
      <c r="AT1333" s="573"/>
      <c r="AU1333" s="394"/>
      <c r="AV1333" s="394"/>
      <c r="AW1333" s="394"/>
      <c r="AX1333" s="394"/>
      <c r="AY1333" s="394"/>
      <c r="AZ1333" s="394"/>
      <c r="BA1333" s="394"/>
      <c r="BB1333" s="394"/>
      <c r="BC1333" s="394"/>
      <c r="BD1333" s="381"/>
      <c r="BE1333" s="408"/>
      <c r="BF1333" s="385"/>
      <c r="BG1333" s="475"/>
      <c r="BH1333" s="395"/>
      <c r="BI1333" s="395" t="e">
        <f t="shared" si="865"/>
        <v>#DIV/0!</v>
      </c>
    </row>
    <row r="1334" spans="1:61" s="358" customFormat="1" ht="19.2" x14ac:dyDescent="0.3">
      <c r="A1334" s="359" t="s">
        <v>2133</v>
      </c>
      <c r="B1334" s="572" t="s">
        <v>3854</v>
      </c>
      <c r="C1334" s="546" t="s">
        <v>2949</v>
      </c>
      <c r="D1334" s="360">
        <v>0.22</v>
      </c>
      <c r="E1334" s="393"/>
      <c r="F1334" s="523"/>
      <c r="G1334" s="393"/>
      <c r="H1334" s="573"/>
      <c r="I1334" s="394"/>
      <c r="J1334" s="394"/>
      <c r="K1334" s="394"/>
      <c r="L1334" s="394"/>
      <c r="M1334" s="394"/>
      <c r="N1334" s="394"/>
      <c r="O1334" s="394"/>
      <c r="P1334" s="394"/>
      <c r="Q1334" s="394"/>
      <c r="R1334" s="381"/>
      <c r="S1334" s="408"/>
      <c r="T1334" s="385"/>
      <c r="U1334" s="475"/>
      <c r="V1334" s="395"/>
      <c r="W1334" s="395"/>
      <c r="X1334" s="393"/>
      <c r="Y1334" s="523">
        <v>1</v>
      </c>
      <c r="Z1334" s="393"/>
      <c r="AA1334" s="573">
        <v>9.5939399999999999</v>
      </c>
      <c r="AB1334" s="394">
        <v>6.1913200000000002</v>
      </c>
      <c r="AC1334" s="394">
        <v>5.2083700000000004</v>
      </c>
      <c r="AD1334" s="394"/>
      <c r="AE1334" s="394"/>
      <c r="AF1334" s="394">
        <v>0</v>
      </c>
      <c r="AG1334" s="394">
        <v>0</v>
      </c>
      <c r="AH1334" s="394">
        <v>0.79325000000000001</v>
      </c>
      <c r="AI1334" s="394">
        <v>5.2083700000000004</v>
      </c>
      <c r="AJ1334" s="394"/>
      <c r="AK1334" s="381" t="s">
        <v>167</v>
      </c>
      <c r="AL1334" s="408" t="s">
        <v>175</v>
      </c>
      <c r="AM1334" s="385"/>
      <c r="AN1334" s="475">
        <v>889</v>
      </c>
      <c r="AO1334" s="395"/>
      <c r="AP1334" s="395">
        <f t="shared" si="864"/>
        <v>9.5939399999999999</v>
      </c>
      <c r="AQ1334" s="393"/>
      <c r="AR1334" s="523"/>
      <c r="AS1334" s="393"/>
      <c r="AT1334" s="573"/>
      <c r="AU1334" s="394"/>
      <c r="AV1334" s="394"/>
      <c r="AW1334" s="394"/>
      <c r="AX1334" s="394"/>
      <c r="AY1334" s="394"/>
      <c r="AZ1334" s="394"/>
      <c r="BA1334" s="394"/>
      <c r="BB1334" s="394"/>
      <c r="BC1334" s="394"/>
      <c r="BD1334" s="381"/>
      <c r="BE1334" s="408"/>
      <c r="BF1334" s="385"/>
      <c r="BG1334" s="475"/>
      <c r="BH1334" s="395"/>
      <c r="BI1334" s="395" t="e">
        <f t="shared" si="865"/>
        <v>#DIV/0!</v>
      </c>
    </row>
    <row r="1335" spans="1:61" s="358" customFormat="1" ht="19.2" x14ac:dyDescent="0.3">
      <c r="A1335" s="359" t="s">
        <v>2134</v>
      </c>
      <c r="B1335" s="572" t="s">
        <v>3855</v>
      </c>
      <c r="C1335" s="546" t="s">
        <v>2950</v>
      </c>
      <c r="D1335" s="360">
        <v>0.22</v>
      </c>
      <c r="E1335" s="393"/>
      <c r="F1335" s="523"/>
      <c r="G1335" s="393"/>
      <c r="H1335" s="573"/>
      <c r="I1335" s="394"/>
      <c r="J1335" s="394"/>
      <c r="K1335" s="394"/>
      <c r="L1335" s="394"/>
      <c r="M1335" s="394"/>
      <c r="N1335" s="394"/>
      <c r="O1335" s="394"/>
      <c r="P1335" s="394"/>
      <c r="Q1335" s="394"/>
      <c r="R1335" s="381"/>
      <c r="S1335" s="408"/>
      <c r="T1335" s="385"/>
      <c r="U1335" s="475"/>
      <c r="V1335" s="395"/>
      <c r="W1335" s="395"/>
      <c r="X1335" s="393"/>
      <c r="Y1335" s="523">
        <v>1</v>
      </c>
      <c r="Z1335" s="393"/>
      <c r="AA1335" s="573">
        <v>9.5939399999999999</v>
      </c>
      <c r="AB1335" s="394">
        <v>6.1913200000000002</v>
      </c>
      <c r="AC1335" s="394">
        <v>5.2083700000000004</v>
      </c>
      <c r="AD1335" s="394"/>
      <c r="AE1335" s="394"/>
      <c r="AF1335" s="394">
        <v>0</v>
      </c>
      <c r="AG1335" s="394">
        <v>0</v>
      </c>
      <c r="AH1335" s="394">
        <v>0.79325000000000001</v>
      </c>
      <c r="AI1335" s="394">
        <v>5.2083700000000004</v>
      </c>
      <c r="AJ1335" s="394"/>
      <c r="AK1335" s="381" t="s">
        <v>167</v>
      </c>
      <c r="AL1335" s="408" t="s">
        <v>175</v>
      </c>
      <c r="AM1335" s="385"/>
      <c r="AN1335" s="475">
        <v>890</v>
      </c>
      <c r="AO1335" s="395"/>
      <c r="AP1335" s="395">
        <f t="shared" si="864"/>
        <v>9.5939399999999999</v>
      </c>
      <c r="AQ1335" s="393"/>
      <c r="AR1335" s="523"/>
      <c r="AS1335" s="393"/>
      <c r="AT1335" s="573"/>
      <c r="AU1335" s="394"/>
      <c r="AV1335" s="394"/>
      <c r="AW1335" s="394"/>
      <c r="AX1335" s="394"/>
      <c r="AY1335" s="394"/>
      <c r="AZ1335" s="394"/>
      <c r="BA1335" s="394"/>
      <c r="BB1335" s="394"/>
      <c r="BC1335" s="394"/>
      <c r="BD1335" s="381"/>
      <c r="BE1335" s="408"/>
      <c r="BF1335" s="385"/>
      <c r="BG1335" s="475"/>
      <c r="BH1335" s="395"/>
      <c r="BI1335" s="395" t="e">
        <f t="shared" si="865"/>
        <v>#DIV/0!</v>
      </c>
    </row>
    <row r="1336" spans="1:61" s="358" customFormat="1" ht="19.2" x14ac:dyDescent="0.3">
      <c r="A1336" s="359" t="s">
        <v>2135</v>
      </c>
      <c r="B1336" s="572" t="s">
        <v>3856</v>
      </c>
      <c r="C1336" s="546" t="s">
        <v>2951</v>
      </c>
      <c r="D1336" s="360">
        <v>0.22</v>
      </c>
      <c r="E1336" s="393"/>
      <c r="F1336" s="523"/>
      <c r="G1336" s="393"/>
      <c r="H1336" s="573"/>
      <c r="I1336" s="394"/>
      <c r="J1336" s="394"/>
      <c r="K1336" s="394"/>
      <c r="L1336" s="394"/>
      <c r="M1336" s="394"/>
      <c r="N1336" s="394"/>
      <c r="O1336" s="394"/>
      <c r="P1336" s="394"/>
      <c r="Q1336" s="394"/>
      <c r="R1336" s="381"/>
      <c r="S1336" s="408"/>
      <c r="T1336" s="385"/>
      <c r="U1336" s="475"/>
      <c r="V1336" s="395"/>
      <c r="W1336" s="395"/>
      <c r="X1336" s="393"/>
      <c r="Y1336" s="523">
        <v>1</v>
      </c>
      <c r="Z1336" s="393"/>
      <c r="AA1336" s="573">
        <v>9.5939399999999999</v>
      </c>
      <c r="AB1336" s="394">
        <v>6.1913200000000002</v>
      </c>
      <c r="AC1336" s="394">
        <v>5.2083700000000004</v>
      </c>
      <c r="AD1336" s="394"/>
      <c r="AE1336" s="394"/>
      <c r="AF1336" s="394">
        <v>0</v>
      </c>
      <c r="AG1336" s="394">
        <v>0</v>
      </c>
      <c r="AH1336" s="394">
        <v>0.79325000000000001</v>
      </c>
      <c r="AI1336" s="394">
        <v>5.2083700000000004</v>
      </c>
      <c r="AJ1336" s="394"/>
      <c r="AK1336" s="381" t="s">
        <v>167</v>
      </c>
      <c r="AL1336" s="408" t="s">
        <v>175</v>
      </c>
      <c r="AM1336" s="385"/>
      <c r="AN1336" s="475">
        <v>891</v>
      </c>
      <c r="AO1336" s="395"/>
      <c r="AP1336" s="395">
        <f t="shared" si="864"/>
        <v>9.5939399999999999</v>
      </c>
      <c r="AQ1336" s="393"/>
      <c r="AR1336" s="523"/>
      <c r="AS1336" s="393"/>
      <c r="AT1336" s="573"/>
      <c r="AU1336" s="394"/>
      <c r="AV1336" s="394"/>
      <c r="AW1336" s="394"/>
      <c r="AX1336" s="394"/>
      <c r="AY1336" s="394"/>
      <c r="AZ1336" s="394"/>
      <c r="BA1336" s="394"/>
      <c r="BB1336" s="394"/>
      <c r="BC1336" s="394"/>
      <c r="BD1336" s="381"/>
      <c r="BE1336" s="408"/>
      <c r="BF1336" s="385"/>
      <c r="BG1336" s="475"/>
      <c r="BH1336" s="395"/>
      <c r="BI1336" s="395" t="e">
        <f t="shared" si="865"/>
        <v>#DIV/0!</v>
      </c>
    </row>
    <row r="1337" spans="1:61" s="358" customFormat="1" ht="19.2" x14ac:dyDescent="0.3">
      <c r="A1337" s="359" t="s">
        <v>2136</v>
      </c>
      <c r="B1337" s="572" t="s">
        <v>3857</v>
      </c>
      <c r="C1337" s="546" t="s">
        <v>2952</v>
      </c>
      <c r="D1337" s="360">
        <v>0.22</v>
      </c>
      <c r="E1337" s="393"/>
      <c r="F1337" s="523"/>
      <c r="G1337" s="393"/>
      <c r="H1337" s="573"/>
      <c r="I1337" s="394"/>
      <c r="J1337" s="394"/>
      <c r="K1337" s="394"/>
      <c r="L1337" s="394"/>
      <c r="M1337" s="394"/>
      <c r="N1337" s="394"/>
      <c r="O1337" s="394"/>
      <c r="P1337" s="394"/>
      <c r="Q1337" s="394"/>
      <c r="R1337" s="381"/>
      <c r="S1337" s="408"/>
      <c r="T1337" s="385"/>
      <c r="U1337" s="475"/>
      <c r="V1337" s="395"/>
      <c r="W1337" s="395"/>
      <c r="X1337" s="393"/>
      <c r="Y1337" s="523">
        <v>1</v>
      </c>
      <c r="Z1337" s="393"/>
      <c r="AA1337" s="573">
        <v>11.122529999999999</v>
      </c>
      <c r="AB1337" s="394">
        <v>7.7199099999999996</v>
      </c>
      <c r="AC1337" s="394">
        <v>6.73691</v>
      </c>
      <c r="AD1337" s="394"/>
      <c r="AE1337" s="394"/>
      <c r="AF1337" s="394">
        <v>0</v>
      </c>
      <c r="AG1337" s="394">
        <v>0</v>
      </c>
      <c r="AH1337" s="394">
        <v>0.79325000000000001</v>
      </c>
      <c r="AI1337" s="394">
        <v>6.73691</v>
      </c>
      <c r="AJ1337" s="394"/>
      <c r="AK1337" s="381" t="s">
        <v>167</v>
      </c>
      <c r="AL1337" s="408" t="s">
        <v>175</v>
      </c>
      <c r="AM1337" s="385"/>
      <c r="AN1337" s="475">
        <v>892</v>
      </c>
      <c r="AO1337" s="395"/>
      <c r="AP1337" s="395">
        <f t="shared" si="864"/>
        <v>11.122529999999999</v>
      </c>
      <c r="AQ1337" s="393"/>
      <c r="AR1337" s="523"/>
      <c r="AS1337" s="393"/>
      <c r="AT1337" s="573"/>
      <c r="AU1337" s="394"/>
      <c r="AV1337" s="394"/>
      <c r="AW1337" s="394"/>
      <c r="AX1337" s="394"/>
      <c r="AY1337" s="394"/>
      <c r="AZ1337" s="394"/>
      <c r="BA1337" s="394"/>
      <c r="BB1337" s="394"/>
      <c r="BC1337" s="394"/>
      <c r="BD1337" s="381"/>
      <c r="BE1337" s="408"/>
      <c r="BF1337" s="385"/>
      <c r="BG1337" s="475"/>
      <c r="BH1337" s="395"/>
      <c r="BI1337" s="395" t="e">
        <f t="shared" si="865"/>
        <v>#DIV/0!</v>
      </c>
    </row>
    <row r="1338" spans="1:61" s="358" customFormat="1" ht="19.2" x14ac:dyDescent="0.3">
      <c r="A1338" s="359" t="s">
        <v>2137</v>
      </c>
      <c r="B1338" s="572" t="s">
        <v>3858</v>
      </c>
      <c r="C1338" s="546" t="s">
        <v>2953</v>
      </c>
      <c r="D1338" s="360">
        <v>0.22</v>
      </c>
      <c r="E1338" s="393"/>
      <c r="F1338" s="523"/>
      <c r="G1338" s="393"/>
      <c r="H1338" s="573"/>
      <c r="I1338" s="394"/>
      <c r="J1338" s="394"/>
      <c r="K1338" s="394"/>
      <c r="L1338" s="394"/>
      <c r="M1338" s="394"/>
      <c r="N1338" s="394"/>
      <c r="O1338" s="394"/>
      <c r="P1338" s="394"/>
      <c r="Q1338" s="394"/>
      <c r="R1338" s="381"/>
      <c r="S1338" s="408"/>
      <c r="T1338" s="385"/>
      <c r="U1338" s="475"/>
      <c r="V1338" s="395"/>
      <c r="W1338" s="395"/>
      <c r="X1338" s="393"/>
      <c r="Y1338" s="523">
        <v>1</v>
      </c>
      <c r="Z1338" s="393"/>
      <c r="AA1338" s="573">
        <v>11.122529999999999</v>
      </c>
      <c r="AB1338" s="394">
        <v>7.7199099999999996</v>
      </c>
      <c r="AC1338" s="394">
        <v>6.73691</v>
      </c>
      <c r="AD1338" s="394"/>
      <c r="AE1338" s="394"/>
      <c r="AF1338" s="394">
        <v>0</v>
      </c>
      <c r="AG1338" s="394">
        <v>0</v>
      </c>
      <c r="AH1338" s="394">
        <v>0.79325000000000001</v>
      </c>
      <c r="AI1338" s="394">
        <v>6.73691</v>
      </c>
      <c r="AJ1338" s="394"/>
      <c r="AK1338" s="381" t="s">
        <v>167</v>
      </c>
      <c r="AL1338" s="408" t="s">
        <v>175</v>
      </c>
      <c r="AM1338" s="385"/>
      <c r="AN1338" s="475">
        <v>893</v>
      </c>
      <c r="AO1338" s="395"/>
      <c r="AP1338" s="395">
        <f t="shared" si="864"/>
        <v>11.122529999999999</v>
      </c>
      <c r="AQ1338" s="393"/>
      <c r="AR1338" s="523"/>
      <c r="AS1338" s="393"/>
      <c r="AT1338" s="573"/>
      <c r="AU1338" s="394"/>
      <c r="AV1338" s="394"/>
      <c r="AW1338" s="394"/>
      <c r="AX1338" s="394"/>
      <c r="AY1338" s="394"/>
      <c r="AZ1338" s="394"/>
      <c r="BA1338" s="394"/>
      <c r="BB1338" s="394"/>
      <c r="BC1338" s="394"/>
      <c r="BD1338" s="381"/>
      <c r="BE1338" s="408"/>
      <c r="BF1338" s="385"/>
      <c r="BG1338" s="475"/>
      <c r="BH1338" s="395"/>
      <c r="BI1338" s="395" t="e">
        <f t="shared" si="865"/>
        <v>#DIV/0!</v>
      </c>
    </row>
    <row r="1339" spans="1:61" s="358" customFormat="1" ht="19.2" x14ac:dyDescent="0.3">
      <c r="A1339" s="359" t="s">
        <v>2138</v>
      </c>
      <c r="B1339" s="572" t="s">
        <v>3859</v>
      </c>
      <c r="C1339" s="546" t="s">
        <v>2954</v>
      </c>
      <c r="D1339" s="360">
        <v>0.22</v>
      </c>
      <c r="E1339" s="393"/>
      <c r="F1339" s="523"/>
      <c r="G1339" s="393"/>
      <c r="H1339" s="573"/>
      <c r="I1339" s="394"/>
      <c r="J1339" s="394"/>
      <c r="K1339" s="394"/>
      <c r="L1339" s="394"/>
      <c r="M1339" s="394"/>
      <c r="N1339" s="394"/>
      <c r="O1339" s="394"/>
      <c r="P1339" s="394"/>
      <c r="Q1339" s="394"/>
      <c r="R1339" s="381"/>
      <c r="S1339" s="408"/>
      <c r="T1339" s="385"/>
      <c r="U1339" s="475"/>
      <c r="V1339" s="395"/>
      <c r="W1339" s="395"/>
      <c r="X1339" s="393"/>
      <c r="Y1339" s="523">
        <v>1</v>
      </c>
      <c r="Z1339" s="393"/>
      <c r="AA1339" s="573">
        <v>9.5939599999999992</v>
      </c>
      <c r="AB1339" s="394">
        <v>6.1913400000000003</v>
      </c>
      <c r="AC1339" s="394">
        <v>5.2083700000000004</v>
      </c>
      <c r="AD1339" s="394"/>
      <c r="AE1339" s="394"/>
      <c r="AF1339" s="394">
        <v>0</v>
      </c>
      <c r="AG1339" s="394">
        <v>0</v>
      </c>
      <c r="AH1339" s="394">
        <v>0.79325000000000001</v>
      </c>
      <c r="AI1339" s="394">
        <v>5.2083700000000004</v>
      </c>
      <c r="AJ1339" s="394"/>
      <c r="AK1339" s="381" t="s">
        <v>167</v>
      </c>
      <c r="AL1339" s="408" t="s">
        <v>175</v>
      </c>
      <c r="AM1339" s="385"/>
      <c r="AN1339" s="475">
        <v>894</v>
      </c>
      <c r="AO1339" s="395"/>
      <c r="AP1339" s="395">
        <f t="shared" si="864"/>
        <v>9.5939599999999992</v>
      </c>
      <c r="AQ1339" s="393"/>
      <c r="AR1339" s="523"/>
      <c r="AS1339" s="393"/>
      <c r="AT1339" s="573"/>
      <c r="AU1339" s="394"/>
      <c r="AV1339" s="394"/>
      <c r="AW1339" s="394"/>
      <c r="AX1339" s="394"/>
      <c r="AY1339" s="394"/>
      <c r="AZ1339" s="394"/>
      <c r="BA1339" s="394"/>
      <c r="BB1339" s="394"/>
      <c r="BC1339" s="394"/>
      <c r="BD1339" s="381"/>
      <c r="BE1339" s="408"/>
      <c r="BF1339" s="385"/>
      <c r="BG1339" s="475"/>
      <c r="BH1339" s="395"/>
      <c r="BI1339" s="395" t="e">
        <f t="shared" si="865"/>
        <v>#DIV/0!</v>
      </c>
    </row>
    <row r="1340" spans="1:61" s="358" customFormat="1" ht="19.2" x14ac:dyDescent="0.3">
      <c r="A1340" s="359" t="s">
        <v>2139</v>
      </c>
      <c r="B1340" s="572" t="s">
        <v>3860</v>
      </c>
      <c r="C1340" s="546" t="s">
        <v>2955</v>
      </c>
      <c r="D1340" s="360">
        <v>0.22</v>
      </c>
      <c r="E1340" s="393"/>
      <c r="F1340" s="523"/>
      <c r="G1340" s="393"/>
      <c r="H1340" s="573"/>
      <c r="I1340" s="394"/>
      <c r="J1340" s="394"/>
      <c r="K1340" s="394"/>
      <c r="L1340" s="394"/>
      <c r="M1340" s="394"/>
      <c r="N1340" s="394"/>
      <c r="O1340" s="394"/>
      <c r="P1340" s="394"/>
      <c r="Q1340" s="394"/>
      <c r="R1340" s="381"/>
      <c r="S1340" s="408"/>
      <c r="T1340" s="385"/>
      <c r="U1340" s="475"/>
      <c r="V1340" s="395"/>
      <c r="W1340" s="395"/>
      <c r="X1340" s="393"/>
      <c r="Y1340" s="523">
        <v>1</v>
      </c>
      <c r="Z1340" s="393"/>
      <c r="AA1340" s="573">
        <v>9.5939499999999995</v>
      </c>
      <c r="AB1340" s="394">
        <v>6.1913299999999998</v>
      </c>
      <c r="AC1340" s="394">
        <v>5.2083700000000004</v>
      </c>
      <c r="AD1340" s="394"/>
      <c r="AE1340" s="394"/>
      <c r="AF1340" s="394">
        <v>0</v>
      </c>
      <c r="AG1340" s="394">
        <v>0</v>
      </c>
      <c r="AH1340" s="394">
        <v>0.79325000000000001</v>
      </c>
      <c r="AI1340" s="394">
        <v>5.2083700000000004</v>
      </c>
      <c r="AJ1340" s="394"/>
      <c r="AK1340" s="381" t="s">
        <v>167</v>
      </c>
      <c r="AL1340" s="408" t="s">
        <v>175</v>
      </c>
      <c r="AM1340" s="385"/>
      <c r="AN1340" s="475">
        <v>895</v>
      </c>
      <c r="AO1340" s="395"/>
      <c r="AP1340" s="395">
        <f t="shared" si="864"/>
        <v>9.5939499999999995</v>
      </c>
      <c r="AQ1340" s="393"/>
      <c r="AR1340" s="523"/>
      <c r="AS1340" s="393"/>
      <c r="AT1340" s="573"/>
      <c r="AU1340" s="394"/>
      <c r="AV1340" s="394"/>
      <c r="AW1340" s="394"/>
      <c r="AX1340" s="394"/>
      <c r="AY1340" s="394"/>
      <c r="AZ1340" s="394"/>
      <c r="BA1340" s="394"/>
      <c r="BB1340" s="394"/>
      <c r="BC1340" s="394"/>
      <c r="BD1340" s="381"/>
      <c r="BE1340" s="408"/>
      <c r="BF1340" s="385"/>
      <c r="BG1340" s="475"/>
      <c r="BH1340" s="395"/>
      <c r="BI1340" s="395" t="e">
        <f t="shared" si="865"/>
        <v>#DIV/0!</v>
      </c>
    </row>
    <row r="1341" spans="1:61" s="358" customFormat="1" ht="19.2" x14ac:dyDescent="0.3">
      <c r="A1341" s="359" t="s">
        <v>2140</v>
      </c>
      <c r="B1341" s="572" t="s">
        <v>3861</v>
      </c>
      <c r="C1341" s="546" t="s">
        <v>2956</v>
      </c>
      <c r="D1341" s="360">
        <v>0.22</v>
      </c>
      <c r="E1341" s="393"/>
      <c r="F1341" s="523"/>
      <c r="G1341" s="393"/>
      <c r="H1341" s="573"/>
      <c r="I1341" s="394"/>
      <c r="J1341" s="394"/>
      <c r="K1341" s="394"/>
      <c r="L1341" s="394"/>
      <c r="M1341" s="394"/>
      <c r="N1341" s="394"/>
      <c r="O1341" s="394"/>
      <c r="P1341" s="394"/>
      <c r="Q1341" s="394"/>
      <c r="R1341" s="381"/>
      <c r="S1341" s="408"/>
      <c r="T1341" s="385"/>
      <c r="U1341" s="475"/>
      <c r="V1341" s="395"/>
      <c r="W1341" s="395"/>
      <c r="X1341" s="393"/>
      <c r="Y1341" s="523">
        <v>1</v>
      </c>
      <c r="Z1341" s="393"/>
      <c r="AA1341" s="573">
        <v>9.5939700000000006</v>
      </c>
      <c r="AB1341" s="394">
        <v>6.1913499999999999</v>
      </c>
      <c r="AC1341" s="394">
        <v>5.2083700000000004</v>
      </c>
      <c r="AD1341" s="394"/>
      <c r="AE1341" s="394"/>
      <c r="AF1341" s="394">
        <v>0</v>
      </c>
      <c r="AG1341" s="394">
        <v>0</v>
      </c>
      <c r="AH1341" s="394">
        <v>0.79325000000000001</v>
      </c>
      <c r="AI1341" s="394">
        <v>5.2083700000000004</v>
      </c>
      <c r="AJ1341" s="394"/>
      <c r="AK1341" s="381" t="s">
        <v>167</v>
      </c>
      <c r="AL1341" s="408" t="s">
        <v>175</v>
      </c>
      <c r="AM1341" s="385"/>
      <c r="AN1341" s="475">
        <v>896</v>
      </c>
      <c r="AO1341" s="395"/>
      <c r="AP1341" s="395">
        <f t="shared" si="864"/>
        <v>9.5939700000000006</v>
      </c>
      <c r="AQ1341" s="393"/>
      <c r="AR1341" s="523"/>
      <c r="AS1341" s="393"/>
      <c r="AT1341" s="573"/>
      <c r="AU1341" s="394"/>
      <c r="AV1341" s="394"/>
      <c r="AW1341" s="394"/>
      <c r="AX1341" s="394"/>
      <c r="AY1341" s="394"/>
      <c r="AZ1341" s="394"/>
      <c r="BA1341" s="394"/>
      <c r="BB1341" s="394"/>
      <c r="BC1341" s="394"/>
      <c r="BD1341" s="381"/>
      <c r="BE1341" s="408"/>
      <c r="BF1341" s="385"/>
      <c r="BG1341" s="475"/>
      <c r="BH1341" s="395"/>
      <c r="BI1341" s="395" t="e">
        <f t="shared" si="865"/>
        <v>#DIV/0!</v>
      </c>
    </row>
    <row r="1342" spans="1:61" s="358" customFormat="1" ht="19.2" x14ac:dyDescent="0.3">
      <c r="A1342" s="359" t="s">
        <v>2141</v>
      </c>
      <c r="B1342" s="572" t="s">
        <v>3862</v>
      </c>
      <c r="C1342" s="546" t="s">
        <v>2957</v>
      </c>
      <c r="D1342" s="360">
        <v>0.22</v>
      </c>
      <c r="E1342" s="393"/>
      <c r="F1342" s="523"/>
      <c r="G1342" s="393"/>
      <c r="H1342" s="573"/>
      <c r="I1342" s="394"/>
      <c r="J1342" s="394"/>
      <c r="K1342" s="394"/>
      <c r="L1342" s="394"/>
      <c r="M1342" s="394"/>
      <c r="N1342" s="394"/>
      <c r="O1342" s="394"/>
      <c r="P1342" s="394"/>
      <c r="Q1342" s="394"/>
      <c r="R1342" s="381"/>
      <c r="S1342" s="408"/>
      <c r="T1342" s="385"/>
      <c r="U1342" s="475"/>
      <c r="V1342" s="395"/>
      <c r="W1342" s="395"/>
      <c r="X1342" s="393"/>
      <c r="Y1342" s="523">
        <v>1</v>
      </c>
      <c r="Z1342" s="393"/>
      <c r="AA1342" s="573">
        <v>7.2091799999999999</v>
      </c>
      <c r="AB1342" s="394">
        <v>6.7412400000000003</v>
      </c>
      <c r="AC1342" s="394">
        <v>6.5710100000000002</v>
      </c>
      <c r="AD1342" s="394"/>
      <c r="AE1342" s="394"/>
      <c r="AF1342" s="394">
        <v>0</v>
      </c>
      <c r="AG1342" s="394">
        <v>0</v>
      </c>
      <c r="AH1342" s="394">
        <v>0.10909000000000001</v>
      </c>
      <c r="AI1342" s="394">
        <v>6.5710100000000002</v>
      </c>
      <c r="AJ1342" s="394"/>
      <c r="AK1342" s="381" t="s">
        <v>167</v>
      </c>
      <c r="AL1342" s="408" t="s">
        <v>175</v>
      </c>
      <c r="AM1342" s="385"/>
      <c r="AN1342" s="475">
        <v>897</v>
      </c>
      <c r="AO1342" s="395"/>
      <c r="AP1342" s="395">
        <f t="shared" si="864"/>
        <v>7.2091799999999999</v>
      </c>
      <c r="AQ1342" s="393"/>
      <c r="AR1342" s="523"/>
      <c r="AS1342" s="393"/>
      <c r="AT1342" s="573"/>
      <c r="AU1342" s="394"/>
      <c r="AV1342" s="394"/>
      <c r="AW1342" s="394"/>
      <c r="AX1342" s="394"/>
      <c r="AY1342" s="394"/>
      <c r="AZ1342" s="394"/>
      <c r="BA1342" s="394"/>
      <c r="BB1342" s="394"/>
      <c r="BC1342" s="394"/>
      <c r="BD1342" s="381"/>
      <c r="BE1342" s="408"/>
      <c r="BF1342" s="385"/>
      <c r="BG1342" s="475"/>
      <c r="BH1342" s="395"/>
      <c r="BI1342" s="395" t="e">
        <f t="shared" si="865"/>
        <v>#DIV/0!</v>
      </c>
    </row>
    <row r="1343" spans="1:61" s="358" customFormat="1" ht="19.2" x14ac:dyDescent="0.3">
      <c r="A1343" s="359" t="s">
        <v>2142</v>
      </c>
      <c r="B1343" s="572" t="s">
        <v>3863</v>
      </c>
      <c r="C1343" s="546" t="s">
        <v>2958</v>
      </c>
      <c r="D1343" s="360">
        <v>0.22</v>
      </c>
      <c r="E1343" s="393"/>
      <c r="F1343" s="523"/>
      <c r="G1343" s="393"/>
      <c r="H1343" s="573"/>
      <c r="I1343" s="394"/>
      <c r="J1343" s="394"/>
      <c r="K1343" s="394"/>
      <c r="L1343" s="394"/>
      <c r="M1343" s="394"/>
      <c r="N1343" s="394"/>
      <c r="O1343" s="394"/>
      <c r="P1343" s="394"/>
      <c r="Q1343" s="394"/>
      <c r="R1343" s="381"/>
      <c r="S1343" s="408"/>
      <c r="T1343" s="385"/>
      <c r="U1343" s="475"/>
      <c r="V1343" s="395"/>
      <c r="W1343" s="395"/>
      <c r="X1343" s="393"/>
      <c r="Y1343" s="523">
        <v>1</v>
      </c>
      <c r="Z1343" s="393"/>
      <c r="AA1343" s="573">
        <v>11.122529999999999</v>
      </c>
      <c r="AB1343" s="394">
        <v>7.7199099999999996</v>
      </c>
      <c r="AC1343" s="394">
        <v>6.73691</v>
      </c>
      <c r="AD1343" s="394"/>
      <c r="AE1343" s="394"/>
      <c r="AF1343" s="394">
        <v>0</v>
      </c>
      <c r="AG1343" s="394">
        <v>0</v>
      </c>
      <c r="AH1343" s="394">
        <v>0.79325000000000001</v>
      </c>
      <c r="AI1343" s="394">
        <v>6.73691</v>
      </c>
      <c r="AJ1343" s="394"/>
      <c r="AK1343" s="381" t="s">
        <v>167</v>
      </c>
      <c r="AL1343" s="408" t="s">
        <v>175</v>
      </c>
      <c r="AM1343" s="385"/>
      <c r="AN1343" s="475">
        <v>898</v>
      </c>
      <c r="AO1343" s="395"/>
      <c r="AP1343" s="395">
        <f t="shared" si="864"/>
        <v>11.122529999999999</v>
      </c>
      <c r="AQ1343" s="393"/>
      <c r="AR1343" s="523"/>
      <c r="AS1343" s="393"/>
      <c r="AT1343" s="573"/>
      <c r="AU1343" s="394"/>
      <c r="AV1343" s="394"/>
      <c r="AW1343" s="394"/>
      <c r="AX1343" s="394"/>
      <c r="AY1343" s="394"/>
      <c r="AZ1343" s="394"/>
      <c r="BA1343" s="394"/>
      <c r="BB1343" s="394"/>
      <c r="BC1343" s="394"/>
      <c r="BD1343" s="381"/>
      <c r="BE1343" s="408"/>
      <c r="BF1343" s="385"/>
      <c r="BG1343" s="475"/>
      <c r="BH1343" s="395"/>
      <c r="BI1343" s="395" t="e">
        <f t="shared" si="865"/>
        <v>#DIV/0!</v>
      </c>
    </row>
    <row r="1344" spans="1:61" s="358" customFormat="1" ht="19.2" x14ac:dyDescent="0.3">
      <c r="A1344" s="359" t="s">
        <v>186</v>
      </c>
      <c r="B1344" s="572" t="s">
        <v>3864</v>
      </c>
      <c r="C1344" s="546" t="s">
        <v>2959</v>
      </c>
      <c r="D1344" s="360">
        <v>0.22</v>
      </c>
      <c r="E1344" s="393"/>
      <c r="F1344" s="523"/>
      <c r="G1344" s="393"/>
      <c r="H1344" s="573"/>
      <c r="I1344" s="394"/>
      <c r="J1344" s="394"/>
      <c r="K1344" s="394"/>
      <c r="L1344" s="394"/>
      <c r="M1344" s="394"/>
      <c r="N1344" s="394"/>
      <c r="O1344" s="394"/>
      <c r="P1344" s="394"/>
      <c r="Q1344" s="394"/>
      <c r="R1344" s="381"/>
      <c r="S1344" s="408"/>
      <c r="T1344" s="385"/>
      <c r="U1344" s="475"/>
      <c r="V1344" s="395"/>
      <c r="W1344" s="395"/>
      <c r="X1344" s="393"/>
      <c r="Y1344" s="523">
        <v>1</v>
      </c>
      <c r="Z1344" s="393"/>
      <c r="AA1344" s="573">
        <v>7.2091799999999999</v>
      </c>
      <c r="AB1344" s="394">
        <v>6.7412400000000003</v>
      </c>
      <c r="AC1344" s="394">
        <v>6.5710100000000002</v>
      </c>
      <c r="AD1344" s="394"/>
      <c r="AE1344" s="394"/>
      <c r="AF1344" s="394">
        <v>0</v>
      </c>
      <c r="AG1344" s="394">
        <v>0</v>
      </c>
      <c r="AH1344" s="394">
        <v>0.10909000000000001</v>
      </c>
      <c r="AI1344" s="394">
        <v>6.5710100000000002</v>
      </c>
      <c r="AJ1344" s="394"/>
      <c r="AK1344" s="381" t="s">
        <v>167</v>
      </c>
      <c r="AL1344" s="408" t="s">
        <v>175</v>
      </c>
      <c r="AM1344" s="385"/>
      <c r="AN1344" s="475">
        <v>899</v>
      </c>
      <c r="AO1344" s="395"/>
      <c r="AP1344" s="395">
        <f t="shared" si="864"/>
        <v>7.2091799999999999</v>
      </c>
      <c r="AQ1344" s="393"/>
      <c r="AR1344" s="523"/>
      <c r="AS1344" s="393"/>
      <c r="AT1344" s="573"/>
      <c r="AU1344" s="394"/>
      <c r="AV1344" s="394"/>
      <c r="AW1344" s="394"/>
      <c r="AX1344" s="394"/>
      <c r="AY1344" s="394"/>
      <c r="AZ1344" s="394"/>
      <c r="BA1344" s="394"/>
      <c r="BB1344" s="394"/>
      <c r="BC1344" s="394"/>
      <c r="BD1344" s="381"/>
      <c r="BE1344" s="408"/>
      <c r="BF1344" s="385"/>
      <c r="BG1344" s="475"/>
      <c r="BH1344" s="395"/>
      <c r="BI1344" s="395" t="e">
        <f t="shared" si="865"/>
        <v>#DIV/0!</v>
      </c>
    </row>
    <row r="1345" spans="1:61" s="358" customFormat="1" ht="19.2" x14ac:dyDescent="0.3">
      <c r="A1345" s="359" t="s">
        <v>2144</v>
      </c>
      <c r="B1345" s="572" t="s">
        <v>3865</v>
      </c>
      <c r="C1345" s="546" t="s">
        <v>2960</v>
      </c>
      <c r="D1345" s="360">
        <v>0.22</v>
      </c>
      <c r="E1345" s="393"/>
      <c r="F1345" s="523"/>
      <c r="G1345" s="393"/>
      <c r="H1345" s="573"/>
      <c r="I1345" s="394"/>
      <c r="J1345" s="394"/>
      <c r="K1345" s="394"/>
      <c r="L1345" s="394"/>
      <c r="M1345" s="394"/>
      <c r="N1345" s="394"/>
      <c r="O1345" s="394"/>
      <c r="P1345" s="394"/>
      <c r="Q1345" s="394"/>
      <c r="R1345" s="381"/>
      <c r="S1345" s="408"/>
      <c r="T1345" s="385"/>
      <c r="U1345" s="475"/>
      <c r="V1345" s="395"/>
      <c r="W1345" s="395"/>
      <c r="X1345" s="393"/>
      <c r="Y1345" s="523">
        <v>1</v>
      </c>
      <c r="Z1345" s="393"/>
      <c r="AA1345" s="573">
        <v>7.2091799999999999</v>
      </c>
      <c r="AB1345" s="394">
        <v>6.7412400000000003</v>
      </c>
      <c r="AC1345" s="394">
        <v>6.5710100000000002</v>
      </c>
      <c r="AD1345" s="394"/>
      <c r="AE1345" s="394"/>
      <c r="AF1345" s="394">
        <v>0</v>
      </c>
      <c r="AG1345" s="394">
        <v>0</v>
      </c>
      <c r="AH1345" s="394">
        <v>0.10909000000000001</v>
      </c>
      <c r="AI1345" s="394">
        <v>6.5710100000000002</v>
      </c>
      <c r="AJ1345" s="394"/>
      <c r="AK1345" s="381" t="s">
        <v>167</v>
      </c>
      <c r="AL1345" s="408" t="s">
        <v>175</v>
      </c>
      <c r="AM1345" s="385"/>
      <c r="AN1345" s="475">
        <v>900</v>
      </c>
      <c r="AO1345" s="395"/>
      <c r="AP1345" s="395">
        <f t="shared" si="864"/>
        <v>7.2091799999999999</v>
      </c>
      <c r="AQ1345" s="393"/>
      <c r="AR1345" s="523"/>
      <c r="AS1345" s="393"/>
      <c r="AT1345" s="573"/>
      <c r="AU1345" s="394"/>
      <c r="AV1345" s="394"/>
      <c r="AW1345" s="394"/>
      <c r="AX1345" s="394"/>
      <c r="AY1345" s="394"/>
      <c r="AZ1345" s="394"/>
      <c r="BA1345" s="394"/>
      <c r="BB1345" s="394"/>
      <c r="BC1345" s="394"/>
      <c r="BD1345" s="381"/>
      <c r="BE1345" s="408"/>
      <c r="BF1345" s="385"/>
      <c r="BG1345" s="475"/>
      <c r="BH1345" s="395"/>
      <c r="BI1345" s="395" t="e">
        <f t="shared" si="865"/>
        <v>#DIV/0!</v>
      </c>
    </row>
    <row r="1346" spans="1:61" s="358" customFormat="1" ht="19.2" x14ac:dyDescent="0.3">
      <c r="A1346" s="359" t="s">
        <v>2145</v>
      </c>
      <c r="B1346" s="572" t="s">
        <v>3866</v>
      </c>
      <c r="C1346" s="546" t="s">
        <v>2961</v>
      </c>
      <c r="D1346" s="360">
        <v>0.22</v>
      </c>
      <c r="E1346" s="393"/>
      <c r="F1346" s="523"/>
      <c r="G1346" s="393"/>
      <c r="H1346" s="573"/>
      <c r="I1346" s="394"/>
      <c r="J1346" s="394"/>
      <c r="K1346" s="394"/>
      <c r="L1346" s="394"/>
      <c r="M1346" s="394"/>
      <c r="N1346" s="394"/>
      <c r="O1346" s="394"/>
      <c r="P1346" s="394"/>
      <c r="Q1346" s="394"/>
      <c r="R1346" s="381"/>
      <c r="S1346" s="408"/>
      <c r="T1346" s="385"/>
      <c r="U1346" s="475"/>
      <c r="V1346" s="395"/>
      <c r="W1346" s="395"/>
      <c r="X1346" s="393"/>
      <c r="Y1346" s="523">
        <v>1</v>
      </c>
      <c r="Z1346" s="393"/>
      <c r="AA1346" s="573">
        <v>7.2091799999999999</v>
      </c>
      <c r="AB1346" s="394">
        <v>6.7412400000000003</v>
      </c>
      <c r="AC1346" s="394">
        <v>6.5710100000000002</v>
      </c>
      <c r="AD1346" s="394"/>
      <c r="AE1346" s="394"/>
      <c r="AF1346" s="394">
        <v>0</v>
      </c>
      <c r="AG1346" s="394">
        <v>0</v>
      </c>
      <c r="AH1346" s="394">
        <v>0.10909000000000001</v>
      </c>
      <c r="AI1346" s="394">
        <v>6.5710100000000002</v>
      </c>
      <c r="AJ1346" s="394"/>
      <c r="AK1346" s="381" t="s">
        <v>167</v>
      </c>
      <c r="AL1346" s="408" t="s">
        <v>175</v>
      </c>
      <c r="AM1346" s="385"/>
      <c r="AN1346" s="475">
        <v>901</v>
      </c>
      <c r="AO1346" s="395"/>
      <c r="AP1346" s="395">
        <f t="shared" si="864"/>
        <v>7.2091799999999999</v>
      </c>
      <c r="AQ1346" s="393"/>
      <c r="AR1346" s="523"/>
      <c r="AS1346" s="393"/>
      <c r="AT1346" s="573"/>
      <c r="AU1346" s="394"/>
      <c r="AV1346" s="394"/>
      <c r="AW1346" s="394"/>
      <c r="AX1346" s="394"/>
      <c r="AY1346" s="394"/>
      <c r="AZ1346" s="394"/>
      <c r="BA1346" s="394"/>
      <c r="BB1346" s="394"/>
      <c r="BC1346" s="394"/>
      <c r="BD1346" s="381"/>
      <c r="BE1346" s="408"/>
      <c r="BF1346" s="385"/>
      <c r="BG1346" s="475"/>
      <c r="BH1346" s="395"/>
      <c r="BI1346" s="395" t="e">
        <f t="shared" si="865"/>
        <v>#DIV/0!</v>
      </c>
    </row>
    <row r="1347" spans="1:61" s="358" customFormat="1" ht="19.2" x14ac:dyDescent="0.3">
      <c r="A1347" s="359" t="s">
        <v>2130</v>
      </c>
      <c r="B1347" s="572" t="s">
        <v>3867</v>
      </c>
      <c r="C1347" s="546" t="s">
        <v>2962</v>
      </c>
      <c r="D1347" s="360">
        <v>0.22</v>
      </c>
      <c r="E1347" s="393"/>
      <c r="F1347" s="523"/>
      <c r="G1347" s="393"/>
      <c r="H1347" s="573"/>
      <c r="I1347" s="394"/>
      <c r="J1347" s="394"/>
      <c r="K1347" s="394"/>
      <c r="L1347" s="394"/>
      <c r="M1347" s="394"/>
      <c r="N1347" s="394"/>
      <c r="O1347" s="394"/>
      <c r="P1347" s="394"/>
      <c r="Q1347" s="394"/>
      <c r="R1347" s="381"/>
      <c r="S1347" s="408"/>
      <c r="T1347" s="385"/>
      <c r="U1347" s="475"/>
      <c r="V1347" s="395"/>
      <c r="W1347" s="395"/>
      <c r="X1347" s="393"/>
      <c r="Y1347" s="523">
        <v>1</v>
      </c>
      <c r="Z1347" s="393"/>
      <c r="AA1347" s="573">
        <v>7.2091700000000003</v>
      </c>
      <c r="AB1347" s="394">
        <v>6.7412299999999998</v>
      </c>
      <c r="AC1347" s="394">
        <v>6.5710100000000002</v>
      </c>
      <c r="AD1347" s="394"/>
      <c r="AE1347" s="394"/>
      <c r="AF1347" s="394">
        <v>0</v>
      </c>
      <c r="AG1347" s="394">
        <v>0</v>
      </c>
      <c r="AH1347" s="394">
        <v>0.10909000000000001</v>
      </c>
      <c r="AI1347" s="394">
        <v>6.5710100000000002</v>
      </c>
      <c r="AJ1347" s="394"/>
      <c r="AK1347" s="381" t="s">
        <v>167</v>
      </c>
      <c r="AL1347" s="408" t="s">
        <v>175</v>
      </c>
      <c r="AM1347" s="385"/>
      <c r="AN1347" s="475">
        <v>902</v>
      </c>
      <c r="AO1347" s="395"/>
      <c r="AP1347" s="395">
        <f t="shared" si="864"/>
        <v>7.2091700000000003</v>
      </c>
      <c r="AQ1347" s="393"/>
      <c r="AR1347" s="523"/>
      <c r="AS1347" s="393"/>
      <c r="AT1347" s="573"/>
      <c r="AU1347" s="394"/>
      <c r="AV1347" s="394"/>
      <c r="AW1347" s="394"/>
      <c r="AX1347" s="394"/>
      <c r="AY1347" s="394"/>
      <c r="AZ1347" s="394"/>
      <c r="BA1347" s="394"/>
      <c r="BB1347" s="394"/>
      <c r="BC1347" s="394"/>
      <c r="BD1347" s="381"/>
      <c r="BE1347" s="408"/>
      <c r="BF1347" s="385"/>
      <c r="BG1347" s="475"/>
      <c r="BH1347" s="395"/>
      <c r="BI1347" s="395" t="e">
        <f t="shared" si="865"/>
        <v>#DIV/0!</v>
      </c>
    </row>
    <row r="1348" spans="1:61" s="358" customFormat="1" ht="19.2" x14ac:dyDescent="0.3">
      <c r="A1348" s="359" t="s">
        <v>269</v>
      </c>
      <c r="B1348" s="572" t="s">
        <v>3868</v>
      </c>
      <c r="C1348" s="546" t="s">
        <v>2963</v>
      </c>
      <c r="D1348" s="360">
        <v>0.22</v>
      </c>
      <c r="E1348" s="393"/>
      <c r="F1348" s="523"/>
      <c r="G1348" s="393"/>
      <c r="H1348" s="573"/>
      <c r="I1348" s="394"/>
      <c r="J1348" s="394"/>
      <c r="K1348" s="394"/>
      <c r="L1348" s="394"/>
      <c r="M1348" s="394"/>
      <c r="N1348" s="394"/>
      <c r="O1348" s="394"/>
      <c r="P1348" s="394"/>
      <c r="Q1348" s="394"/>
      <c r="R1348" s="381"/>
      <c r="S1348" s="408"/>
      <c r="T1348" s="385"/>
      <c r="U1348" s="475"/>
      <c r="V1348" s="395"/>
      <c r="W1348" s="395"/>
      <c r="X1348" s="393"/>
      <c r="Y1348" s="523">
        <v>1</v>
      </c>
      <c r="Z1348" s="393"/>
      <c r="AA1348" s="573">
        <v>11.12252</v>
      </c>
      <c r="AB1348" s="394">
        <v>7.7199</v>
      </c>
      <c r="AC1348" s="394">
        <v>6.73691</v>
      </c>
      <c r="AD1348" s="394"/>
      <c r="AE1348" s="394"/>
      <c r="AF1348" s="394">
        <v>0</v>
      </c>
      <c r="AG1348" s="394">
        <v>0</v>
      </c>
      <c r="AH1348" s="394">
        <v>0.79325000000000001</v>
      </c>
      <c r="AI1348" s="394">
        <v>6.73691</v>
      </c>
      <c r="AJ1348" s="394"/>
      <c r="AK1348" s="381" t="s">
        <v>167</v>
      </c>
      <c r="AL1348" s="408" t="s">
        <v>175</v>
      </c>
      <c r="AM1348" s="385"/>
      <c r="AN1348" s="475">
        <v>903</v>
      </c>
      <c r="AO1348" s="395"/>
      <c r="AP1348" s="395">
        <f t="shared" si="864"/>
        <v>11.12252</v>
      </c>
      <c r="AQ1348" s="393"/>
      <c r="AR1348" s="523"/>
      <c r="AS1348" s="393"/>
      <c r="AT1348" s="573"/>
      <c r="AU1348" s="394"/>
      <c r="AV1348" s="394"/>
      <c r="AW1348" s="394"/>
      <c r="AX1348" s="394"/>
      <c r="AY1348" s="394"/>
      <c r="AZ1348" s="394"/>
      <c r="BA1348" s="394"/>
      <c r="BB1348" s="394"/>
      <c r="BC1348" s="394"/>
      <c r="BD1348" s="381"/>
      <c r="BE1348" s="408"/>
      <c r="BF1348" s="385"/>
      <c r="BG1348" s="475"/>
      <c r="BH1348" s="395"/>
      <c r="BI1348" s="395" t="e">
        <f t="shared" si="865"/>
        <v>#DIV/0!</v>
      </c>
    </row>
    <row r="1349" spans="1:61" s="358" customFormat="1" ht="19.2" x14ac:dyDescent="0.3">
      <c r="A1349" s="359" t="s">
        <v>2148</v>
      </c>
      <c r="B1349" s="572" t="s">
        <v>3869</v>
      </c>
      <c r="C1349" s="546" t="s">
        <v>2964</v>
      </c>
      <c r="D1349" s="360">
        <v>0.22</v>
      </c>
      <c r="E1349" s="393"/>
      <c r="F1349" s="523"/>
      <c r="G1349" s="393"/>
      <c r="H1349" s="573"/>
      <c r="I1349" s="394"/>
      <c r="J1349" s="394"/>
      <c r="K1349" s="394"/>
      <c r="L1349" s="394"/>
      <c r="M1349" s="394"/>
      <c r="N1349" s="394"/>
      <c r="O1349" s="394"/>
      <c r="P1349" s="394"/>
      <c r="Q1349" s="394"/>
      <c r="R1349" s="381"/>
      <c r="S1349" s="408"/>
      <c r="T1349" s="385"/>
      <c r="U1349" s="475"/>
      <c r="V1349" s="395"/>
      <c r="W1349" s="395"/>
      <c r="X1349" s="393"/>
      <c r="Y1349" s="523">
        <v>1</v>
      </c>
      <c r="Z1349" s="393"/>
      <c r="AA1349" s="573">
        <v>9.5939399999999999</v>
      </c>
      <c r="AB1349" s="394">
        <v>6.1913200000000002</v>
      </c>
      <c r="AC1349" s="394">
        <v>5.2083700000000004</v>
      </c>
      <c r="AD1349" s="394"/>
      <c r="AE1349" s="394"/>
      <c r="AF1349" s="394">
        <v>0</v>
      </c>
      <c r="AG1349" s="394">
        <v>0</v>
      </c>
      <c r="AH1349" s="394">
        <v>0.79325000000000001</v>
      </c>
      <c r="AI1349" s="394">
        <v>5.2083700000000004</v>
      </c>
      <c r="AJ1349" s="394"/>
      <c r="AK1349" s="381" t="s">
        <v>167</v>
      </c>
      <c r="AL1349" s="408" t="s">
        <v>175</v>
      </c>
      <c r="AM1349" s="385"/>
      <c r="AN1349" s="475">
        <v>904</v>
      </c>
      <c r="AO1349" s="395"/>
      <c r="AP1349" s="395">
        <f t="shared" si="864"/>
        <v>9.5939399999999999</v>
      </c>
      <c r="AQ1349" s="393"/>
      <c r="AR1349" s="523"/>
      <c r="AS1349" s="393"/>
      <c r="AT1349" s="573"/>
      <c r="AU1349" s="394"/>
      <c r="AV1349" s="394"/>
      <c r="AW1349" s="394"/>
      <c r="AX1349" s="394"/>
      <c r="AY1349" s="394"/>
      <c r="AZ1349" s="394"/>
      <c r="BA1349" s="394"/>
      <c r="BB1349" s="394"/>
      <c r="BC1349" s="394"/>
      <c r="BD1349" s="381"/>
      <c r="BE1349" s="408"/>
      <c r="BF1349" s="385"/>
      <c r="BG1349" s="475"/>
      <c r="BH1349" s="395"/>
      <c r="BI1349" s="395" t="e">
        <f t="shared" si="865"/>
        <v>#DIV/0!</v>
      </c>
    </row>
    <row r="1350" spans="1:61" s="358" customFormat="1" ht="19.2" x14ac:dyDescent="0.3">
      <c r="A1350" s="359" t="s">
        <v>2149</v>
      </c>
      <c r="B1350" s="572" t="s">
        <v>3665</v>
      </c>
      <c r="C1350" s="546" t="s">
        <v>2965</v>
      </c>
      <c r="D1350" s="360">
        <v>0.22</v>
      </c>
      <c r="E1350" s="393"/>
      <c r="F1350" s="523"/>
      <c r="G1350" s="393"/>
      <c r="H1350" s="573"/>
      <c r="I1350" s="394"/>
      <c r="J1350" s="394"/>
      <c r="K1350" s="394"/>
      <c r="L1350" s="394"/>
      <c r="M1350" s="394"/>
      <c r="N1350" s="394"/>
      <c r="O1350" s="394"/>
      <c r="P1350" s="394"/>
      <c r="Q1350" s="394"/>
      <c r="R1350" s="381"/>
      <c r="S1350" s="408"/>
      <c r="T1350" s="385"/>
      <c r="U1350" s="475"/>
      <c r="V1350" s="395"/>
      <c r="W1350" s="395"/>
      <c r="X1350" s="393"/>
      <c r="Y1350" s="523">
        <v>1</v>
      </c>
      <c r="Z1350" s="393"/>
      <c r="AA1350" s="573">
        <v>6.71096</v>
      </c>
      <c r="AB1350" s="394">
        <v>6.2652999999999999</v>
      </c>
      <c r="AC1350" s="394">
        <v>5.8928399999999996</v>
      </c>
      <c r="AD1350" s="394"/>
      <c r="AE1350" s="394"/>
      <c r="AF1350" s="394">
        <v>0</v>
      </c>
      <c r="AG1350" s="394">
        <v>0</v>
      </c>
      <c r="AH1350" s="394">
        <v>0.10390000000000001</v>
      </c>
      <c r="AI1350" s="394">
        <v>5.8928399999999996</v>
      </c>
      <c r="AJ1350" s="394"/>
      <c r="AK1350" s="381" t="s">
        <v>167</v>
      </c>
      <c r="AL1350" s="408" t="s">
        <v>175</v>
      </c>
      <c r="AM1350" s="385"/>
      <c r="AN1350" s="475">
        <v>905</v>
      </c>
      <c r="AO1350" s="395"/>
      <c r="AP1350" s="395">
        <f t="shared" si="864"/>
        <v>6.71096</v>
      </c>
      <c r="AQ1350" s="393"/>
      <c r="AR1350" s="523"/>
      <c r="AS1350" s="393"/>
      <c r="AT1350" s="573"/>
      <c r="AU1350" s="394"/>
      <c r="AV1350" s="394"/>
      <c r="AW1350" s="394"/>
      <c r="AX1350" s="394"/>
      <c r="AY1350" s="394"/>
      <c r="AZ1350" s="394"/>
      <c r="BA1350" s="394"/>
      <c r="BB1350" s="394"/>
      <c r="BC1350" s="394"/>
      <c r="BD1350" s="381"/>
      <c r="BE1350" s="408"/>
      <c r="BF1350" s="385"/>
      <c r="BG1350" s="475"/>
      <c r="BH1350" s="395"/>
      <c r="BI1350" s="395" t="e">
        <f t="shared" si="865"/>
        <v>#DIV/0!</v>
      </c>
    </row>
    <row r="1351" spans="1:61" s="358" customFormat="1" ht="19.2" x14ac:dyDescent="0.3">
      <c r="A1351" s="359" t="s">
        <v>2150</v>
      </c>
      <c r="B1351" s="572" t="s">
        <v>1675</v>
      </c>
      <c r="C1351" s="546" t="s">
        <v>1097</v>
      </c>
      <c r="D1351" s="360">
        <v>0.22</v>
      </c>
      <c r="E1351" s="393"/>
      <c r="F1351" s="523"/>
      <c r="G1351" s="393"/>
      <c r="H1351" s="573"/>
      <c r="I1351" s="394"/>
      <c r="J1351" s="394"/>
      <c r="K1351" s="394"/>
      <c r="L1351" s="394"/>
      <c r="M1351" s="394"/>
      <c r="N1351" s="394"/>
      <c r="O1351" s="394"/>
      <c r="P1351" s="394"/>
      <c r="Q1351" s="394"/>
      <c r="R1351" s="381"/>
      <c r="S1351" s="408"/>
      <c r="T1351" s="385"/>
      <c r="U1351" s="475"/>
      <c r="V1351" s="395"/>
      <c r="W1351" s="395"/>
      <c r="X1351" s="393"/>
      <c r="Y1351" s="523">
        <v>1</v>
      </c>
      <c r="Z1351" s="393"/>
      <c r="AA1351" s="573">
        <v>9.7098800000000001</v>
      </c>
      <c r="AB1351" s="394">
        <v>7.1455799999999998</v>
      </c>
      <c r="AC1351" s="394">
        <v>5.8152999999999997</v>
      </c>
      <c r="AD1351" s="394"/>
      <c r="AE1351" s="394"/>
      <c r="AF1351" s="394">
        <v>0</v>
      </c>
      <c r="AG1351" s="394">
        <v>0</v>
      </c>
      <c r="AH1351" s="394">
        <v>0.59780999999999995</v>
      </c>
      <c r="AI1351" s="394">
        <v>5.8152999999999997</v>
      </c>
      <c r="AJ1351" s="394"/>
      <c r="AK1351" s="381" t="s">
        <v>167</v>
      </c>
      <c r="AL1351" s="408" t="s">
        <v>175</v>
      </c>
      <c r="AM1351" s="385"/>
      <c r="AN1351" s="475">
        <v>906</v>
      </c>
      <c r="AO1351" s="395"/>
      <c r="AP1351" s="395">
        <f t="shared" si="864"/>
        <v>9.7098800000000001</v>
      </c>
      <c r="AQ1351" s="393"/>
      <c r="AR1351" s="523"/>
      <c r="AS1351" s="393"/>
      <c r="AT1351" s="573"/>
      <c r="AU1351" s="394"/>
      <c r="AV1351" s="394"/>
      <c r="AW1351" s="394"/>
      <c r="AX1351" s="394"/>
      <c r="AY1351" s="394"/>
      <c r="AZ1351" s="394"/>
      <c r="BA1351" s="394"/>
      <c r="BB1351" s="394"/>
      <c r="BC1351" s="394"/>
      <c r="BD1351" s="381"/>
      <c r="BE1351" s="408"/>
      <c r="BF1351" s="385"/>
      <c r="BG1351" s="475"/>
      <c r="BH1351" s="395"/>
      <c r="BI1351" s="395" t="e">
        <f t="shared" si="865"/>
        <v>#DIV/0!</v>
      </c>
    </row>
    <row r="1352" spans="1:61" s="358" customFormat="1" ht="19.2" x14ac:dyDescent="0.3">
      <c r="A1352" s="359" t="s">
        <v>178</v>
      </c>
      <c r="B1352" s="602" t="s">
        <v>4981</v>
      </c>
      <c r="C1352" s="548" t="s">
        <v>4980</v>
      </c>
      <c r="D1352" s="360">
        <v>0.22</v>
      </c>
      <c r="E1352" s="528"/>
      <c r="F1352" s="523"/>
      <c r="G1352" s="393"/>
      <c r="H1352" s="394"/>
      <c r="I1352" s="394"/>
      <c r="J1352" s="394"/>
      <c r="K1352" s="394"/>
      <c r="L1352" s="394"/>
      <c r="M1352" s="394"/>
      <c r="N1352" s="394"/>
      <c r="O1352" s="394"/>
      <c r="P1352" s="394"/>
      <c r="Q1352" s="394"/>
      <c r="R1352" s="381"/>
      <c r="S1352" s="408"/>
      <c r="T1352" s="385"/>
      <c r="U1352" s="475"/>
      <c r="V1352" s="395"/>
      <c r="W1352" s="395"/>
      <c r="X1352" s="528"/>
      <c r="Y1352" s="523"/>
      <c r="Z1352" s="393"/>
      <c r="AA1352" s="394"/>
      <c r="AB1352" s="394"/>
      <c r="AC1352" s="394"/>
      <c r="AD1352" s="394"/>
      <c r="AE1352" s="394"/>
      <c r="AF1352" s="394"/>
      <c r="AG1352" s="394"/>
      <c r="AH1352" s="394"/>
      <c r="AI1352" s="394"/>
      <c r="AJ1352" s="394"/>
      <c r="AK1352" s="381"/>
      <c r="AL1352" s="408"/>
      <c r="AM1352" s="385"/>
      <c r="AN1352" s="475"/>
      <c r="AO1352" s="395"/>
      <c r="AP1352" s="395"/>
      <c r="AQ1352" s="528"/>
      <c r="AR1352" s="523">
        <v>1</v>
      </c>
      <c r="AS1352" s="393"/>
      <c r="AT1352" s="600">
        <v>11.180870000000001</v>
      </c>
      <c r="AU1352" s="394">
        <v>7.4669600000000003</v>
      </c>
      <c r="AV1352" s="394">
        <v>6.7373000000000003</v>
      </c>
      <c r="AW1352" s="394"/>
      <c r="AX1352" s="394"/>
      <c r="AY1352" s="394">
        <v>0</v>
      </c>
      <c r="AZ1352" s="394">
        <v>0</v>
      </c>
      <c r="BA1352" s="394">
        <v>0.86582000000000003</v>
      </c>
      <c r="BB1352" s="394">
        <v>6.7373000000000003</v>
      </c>
      <c r="BC1352" s="394"/>
      <c r="BD1352" s="381" t="s">
        <v>167</v>
      </c>
      <c r="BE1352" s="408" t="s">
        <v>175</v>
      </c>
      <c r="BF1352" s="385"/>
      <c r="BG1352" s="475">
        <v>476</v>
      </c>
      <c r="BH1352" s="395"/>
      <c r="BI1352" s="395">
        <f t="shared" si="865"/>
        <v>11.180870000000001</v>
      </c>
    </row>
    <row r="1353" spans="1:61" s="358" customFormat="1" ht="19.2" x14ac:dyDescent="0.3">
      <c r="A1353" s="359" t="s">
        <v>182</v>
      </c>
      <c r="B1353" s="602" t="s">
        <v>4982</v>
      </c>
      <c r="C1353" s="548" t="s">
        <v>4983</v>
      </c>
      <c r="D1353" s="360">
        <v>0.22</v>
      </c>
      <c r="E1353" s="528"/>
      <c r="F1353" s="523"/>
      <c r="G1353" s="393"/>
      <c r="H1353" s="394"/>
      <c r="I1353" s="394"/>
      <c r="J1353" s="394"/>
      <c r="K1353" s="394"/>
      <c r="L1353" s="394"/>
      <c r="M1353" s="394"/>
      <c r="N1353" s="394"/>
      <c r="O1353" s="394"/>
      <c r="P1353" s="394"/>
      <c r="Q1353" s="394"/>
      <c r="R1353" s="381"/>
      <c r="S1353" s="408"/>
      <c r="T1353" s="385"/>
      <c r="U1353" s="475"/>
      <c r="V1353" s="395"/>
      <c r="W1353" s="395"/>
      <c r="X1353" s="528"/>
      <c r="Y1353" s="523"/>
      <c r="Z1353" s="393"/>
      <c r="AA1353" s="394"/>
      <c r="AB1353" s="394"/>
      <c r="AC1353" s="394"/>
      <c r="AD1353" s="394"/>
      <c r="AE1353" s="394"/>
      <c r="AF1353" s="394"/>
      <c r="AG1353" s="394"/>
      <c r="AH1353" s="394"/>
      <c r="AI1353" s="394"/>
      <c r="AJ1353" s="394"/>
      <c r="AK1353" s="381"/>
      <c r="AL1353" s="408"/>
      <c r="AM1353" s="385"/>
      <c r="AN1353" s="475"/>
      <c r="AO1353" s="395"/>
      <c r="AP1353" s="395"/>
      <c r="AQ1353" s="528"/>
      <c r="AR1353" s="523">
        <v>1</v>
      </c>
      <c r="AS1353" s="393"/>
      <c r="AT1353" s="600">
        <v>11.180870000000001</v>
      </c>
      <c r="AU1353" s="394">
        <v>7.4669600000000003</v>
      </c>
      <c r="AV1353" s="394">
        <v>6.7373000000000003</v>
      </c>
      <c r="AW1353" s="394"/>
      <c r="AX1353" s="394"/>
      <c r="AY1353" s="394">
        <v>0</v>
      </c>
      <c r="AZ1353" s="394">
        <v>0</v>
      </c>
      <c r="BA1353" s="394">
        <v>0.86582000000000003</v>
      </c>
      <c r="BB1353" s="394">
        <v>6.7373000000000003</v>
      </c>
      <c r="BC1353" s="394"/>
      <c r="BD1353" s="381" t="s">
        <v>167</v>
      </c>
      <c r="BE1353" s="408" t="s">
        <v>175</v>
      </c>
      <c r="BF1353" s="385"/>
      <c r="BG1353" s="475">
        <v>477</v>
      </c>
      <c r="BH1353" s="395"/>
      <c r="BI1353" s="395">
        <f t="shared" si="865"/>
        <v>11.180870000000001</v>
      </c>
    </row>
    <row r="1354" spans="1:61" s="358" customFormat="1" ht="19.2" x14ac:dyDescent="0.3">
      <c r="A1354" s="359" t="s">
        <v>184</v>
      </c>
      <c r="B1354" s="602" t="s">
        <v>4985</v>
      </c>
      <c r="C1354" s="548" t="s">
        <v>4984</v>
      </c>
      <c r="D1354" s="360">
        <v>0.22</v>
      </c>
      <c r="E1354" s="528"/>
      <c r="F1354" s="523"/>
      <c r="G1354" s="393"/>
      <c r="H1354" s="394"/>
      <c r="I1354" s="394"/>
      <c r="J1354" s="394"/>
      <c r="K1354" s="394"/>
      <c r="L1354" s="394"/>
      <c r="M1354" s="394"/>
      <c r="N1354" s="394"/>
      <c r="O1354" s="394"/>
      <c r="P1354" s="394"/>
      <c r="Q1354" s="394"/>
      <c r="R1354" s="381"/>
      <c r="S1354" s="408"/>
      <c r="T1354" s="385"/>
      <c r="U1354" s="475"/>
      <c r="V1354" s="395"/>
      <c r="W1354" s="395"/>
      <c r="X1354" s="528"/>
      <c r="Y1354" s="523"/>
      <c r="Z1354" s="393"/>
      <c r="AA1354" s="394"/>
      <c r="AB1354" s="394"/>
      <c r="AC1354" s="394"/>
      <c r="AD1354" s="394"/>
      <c r="AE1354" s="394"/>
      <c r="AF1354" s="394"/>
      <c r="AG1354" s="394"/>
      <c r="AH1354" s="394"/>
      <c r="AI1354" s="394"/>
      <c r="AJ1354" s="394"/>
      <c r="AK1354" s="381"/>
      <c r="AL1354" s="408"/>
      <c r="AM1354" s="385"/>
      <c r="AN1354" s="475"/>
      <c r="AO1354" s="395"/>
      <c r="AP1354" s="395"/>
      <c r="AQ1354" s="528"/>
      <c r="AR1354" s="523">
        <v>1</v>
      </c>
      <c r="AS1354" s="393"/>
      <c r="AT1354" s="600">
        <v>11.180870000000001</v>
      </c>
      <c r="AU1354" s="394">
        <v>7.4669600000000003</v>
      </c>
      <c r="AV1354" s="394">
        <v>6.7373000000000003</v>
      </c>
      <c r="AW1354" s="394"/>
      <c r="AX1354" s="394"/>
      <c r="AY1354" s="394">
        <v>0</v>
      </c>
      <c r="AZ1354" s="394">
        <v>0</v>
      </c>
      <c r="BA1354" s="394">
        <v>0.86582000000000003</v>
      </c>
      <c r="BB1354" s="394">
        <v>6.7373000000000003</v>
      </c>
      <c r="BC1354" s="394"/>
      <c r="BD1354" s="381" t="s">
        <v>167</v>
      </c>
      <c r="BE1354" s="408" t="s">
        <v>175</v>
      </c>
      <c r="BF1354" s="385"/>
      <c r="BG1354" s="475">
        <v>478</v>
      </c>
      <c r="BH1354" s="395"/>
      <c r="BI1354" s="395">
        <f t="shared" ref="BI1354" si="866">AT1354/AR1354</f>
        <v>11.180870000000001</v>
      </c>
    </row>
    <row r="1355" spans="1:61" s="358" customFormat="1" ht="19.2" x14ac:dyDescent="0.3">
      <c r="A1355" s="359" t="s">
        <v>186</v>
      </c>
      <c r="B1355" s="602" t="s">
        <v>4986</v>
      </c>
      <c r="C1355" s="548" t="s">
        <v>4987</v>
      </c>
      <c r="D1355" s="360">
        <v>0.22</v>
      </c>
      <c r="E1355" s="528"/>
      <c r="F1355" s="523"/>
      <c r="G1355" s="393"/>
      <c r="H1355" s="394"/>
      <c r="I1355" s="394"/>
      <c r="J1355" s="394"/>
      <c r="K1355" s="394"/>
      <c r="L1355" s="394"/>
      <c r="M1355" s="394"/>
      <c r="N1355" s="394"/>
      <c r="O1355" s="394"/>
      <c r="P1355" s="394"/>
      <c r="Q1355" s="394"/>
      <c r="R1355" s="381"/>
      <c r="S1355" s="408"/>
      <c r="T1355" s="385"/>
      <c r="U1355" s="475"/>
      <c r="V1355" s="395"/>
      <c r="W1355" s="395"/>
      <c r="X1355" s="528"/>
      <c r="Y1355" s="523"/>
      <c r="Z1355" s="393"/>
      <c r="AA1355" s="394"/>
      <c r="AB1355" s="394"/>
      <c r="AC1355" s="394"/>
      <c r="AD1355" s="394"/>
      <c r="AE1355" s="394"/>
      <c r="AF1355" s="394"/>
      <c r="AG1355" s="394"/>
      <c r="AH1355" s="394"/>
      <c r="AI1355" s="394"/>
      <c r="AJ1355" s="394"/>
      <c r="AK1355" s="381"/>
      <c r="AL1355" s="408"/>
      <c r="AM1355" s="385"/>
      <c r="AN1355" s="475"/>
      <c r="AO1355" s="395"/>
      <c r="AP1355" s="395"/>
      <c r="AQ1355" s="528"/>
      <c r="AR1355" s="523">
        <v>1</v>
      </c>
      <c r="AS1355" s="393"/>
      <c r="AT1355" s="600">
        <v>11.18085</v>
      </c>
      <c r="AU1355" s="394">
        <v>7.4669499999999998</v>
      </c>
      <c r="AV1355" s="394">
        <v>6.7373000000000003</v>
      </c>
      <c r="AW1355" s="394"/>
      <c r="AX1355" s="394"/>
      <c r="AY1355" s="394">
        <v>0</v>
      </c>
      <c r="AZ1355" s="394">
        <v>0</v>
      </c>
      <c r="BA1355" s="394">
        <v>0.86582000000000003</v>
      </c>
      <c r="BB1355" s="394">
        <v>6.7373000000000003</v>
      </c>
      <c r="BC1355" s="394"/>
      <c r="BD1355" s="381" t="s">
        <v>167</v>
      </c>
      <c r="BE1355" s="408" t="s">
        <v>175</v>
      </c>
      <c r="BF1355" s="385"/>
      <c r="BG1355" s="475">
        <v>479</v>
      </c>
      <c r="BH1355" s="395"/>
      <c r="BI1355" s="395">
        <f t="shared" si="865"/>
        <v>11.18085</v>
      </c>
    </row>
    <row r="1356" spans="1:61" s="358" customFormat="1" ht="19.2" x14ac:dyDescent="0.3">
      <c r="A1356" s="359" t="s">
        <v>189</v>
      </c>
      <c r="B1356" s="602" t="s">
        <v>4988</v>
      </c>
      <c r="C1356" s="548" t="s">
        <v>4989</v>
      </c>
      <c r="D1356" s="360">
        <v>0.22</v>
      </c>
      <c r="E1356" s="528"/>
      <c r="F1356" s="523"/>
      <c r="G1356" s="393"/>
      <c r="H1356" s="394"/>
      <c r="I1356" s="394"/>
      <c r="J1356" s="394"/>
      <c r="K1356" s="394"/>
      <c r="L1356" s="394"/>
      <c r="M1356" s="394"/>
      <c r="N1356" s="394"/>
      <c r="O1356" s="394"/>
      <c r="P1356" s="394"/>
      <c r="Q1356" s="394"/>
      <c r="R1356" s="381"/>
      <c r="S1356" s="408"/>
      <c r="T1356" s="385"/>
      <c r="U1356" s="475"/>
      <c r="V1356" s="395"/>
      <c r="W1356" s="395"/>
      <c r="X1356" s="528"/>
      <c r="Y1356" s="523"/>
      <c r="Z1356" s="393"/>
      <c r="AA1356" s="394"/>
      <c r="AB1356" s="394"/>
      <c r="AC1356" s="394"/>
      <c r="AD1356" s="394"/>
      <c r="AE1356" s="394"/>
      <c r="AF1356" s="394"/>
      <c r="AG1356" s="394"/>
      <c r="AH1356" s="394"/>
      <c r="AI1356" s="394"/>
      <c r="AJ1356" s="394"/>
      <c r="AK1356" s="381"/>
      <c r="AL1356" s="408"/>
      <c r="AM1356" s="385"/>
      <c r="AN1356" s="475"/>
      <c r="AO1356" s="395"/>
      <c r="AP1356" s="395"/>
      <c r="AQ1356" s="528"/>
      <c r="AR1356" s="523">
        <v>1</v>
      </c>
      <c r="AS1356" s="393"/>
      <c r="AT1356" s="600">
        <v>11.18084</v>
      </c>
      <c r="AU1356" s="394">
        <v>7.4669299999999996</v>
      </c>
      <c r="AV1356" s="394">
        <v>6.7373000000000003</v>
      </c>
      <c r="AW1356" s="394"/>
      <c r="AX1356" s="394"/>
      <c r="AY1356" s="394">
        <v>0</v>
      </c>
      <c r="AZ1356" s="394">
        <v>0</v>
      </c>
      <c r="BA1356" s="394">
        <v>0.86582000000000003</v>
      </c>
      <c r="BB1356" s="394">
        <v>6.7373000000000003</v>
      </c>
      <c r="BC1356" s="394"/>
      <c r="BD1356" s="381" t="s">
        <v>167</v>
      </c>
      <c r="BE1356" s="408" t="s">
        <v>175</v>
      </c>
      <c r="BF1356" s="385"/>
      <c r="BG1356" s="475">
        <v>480</v>
      </c>
      <c r="BH1356" s="395"/>
      <c r="BI1356" s="395">
        <f t="shared" ref="BI1356" si="867">AT1356/AR1356</f>
        <v>11.18084</v>
      </c>
    </row>
    <row r="1357" spans="1:61" s="358" customFormat="1" ht="19.2" x14ac:dyDescent="0.3">
      <c r="A1357" s="359" t="s">
        <v>267</v>
      </c>
      <c r="B1357" s="602" t="s">
        <v>4990</v>
      </c>
      <c r="C1357" s="548" t="s">
        <v>4991</v>
      </c>
      <c r="D1357" s="360">
        <v>0.22</v>
      </c>
      <c r="E1357" s="528"/>
      <c r="F1357" s="523"/>
      <c r="G1357" s="393"/>
      <c r="H1357" s="394"/>
      <c r="I1357" s="394"/>
      <c r="J1357" s="394"/>
      <c r="K1357" s="394"/>
      <c r="L1357" s="394"/>
      <c r="M1357" s="394"/>
      <c r="N1357" s="394"/>
      <c r="O1357" s="394"/>
      <c r="P1357" s="394"/>
      <c r="Q1357" s="394"/>
      <c r="R1357" s="381"/>
      <c r="S1357" s="408"/>
      <c r="T1357" s="385"/>
      <c r="U1357" s="475"/>
      <c r="V1357" s="395"/>
      <c r="W1357" s="395"/>
      <c r="X1357" s="528"/>
      <c r="Y1357" s="523"/>
      <c r="Z1357" s="393"/>
      <c r="AA1357" s="394"/>
      <c r="AB1357" s="394"/>
      <c r="AC1357" s="394"/>
      <c r="AD1357" s="394"/>
      <c r="AE1357" s="394"/>
      <c r="AF1357" s="394"/>
      <c r="AG1357" s="394"/>
      <c r="AH1357" s="394"/>
      <c r="AI1357" s="394"/>
      <c r="AJ1357" s="394"/>
      <c r="AK1357" s="381"/>
      <c r="AL1357" s="408"/>
      <c r="AM1357" s="385"/>
      <c r="AN1357" s="475"/>
      <c r="AO1357" s="395"/>
      <c r="AP1357" s="395"/>
      <c r="AQ1357" s="528"/>
      <c r="AR1357" s="523">
        <v>1</v>
      </c>
      <c r="AS1357" s="393"/>
      <c r="AT1357" s="600">
        <v>11.18084</v>
      </c>
      <c r="AU1357" s="394">
        <v>7.4669299999999996</v>
      </c>
      <c r="AV1357" s="394">
        <v>6.7373000000000003</v>
      </c>
      <c r="AW1357" s="394"/>
      <c r="AX1357" s="394"/>
      <c r="AY1357" s="394">
        <v>0</v>
      </c>
      <c r="AZ1357" s="394">
        <v>0</v>
      </c>
      <c r="BA1357" s="394">
        <v>0.86582000000000003</v>
      </c>
      <c r="BB1357" s="394">
        <v>6.7373000000000003</v>
      </c>
      <c r="BC1357" s="394"/>
      <c r="BD1357" s="381" t="s">
        <v>167</v>
      </c>
      <c r="BE1357" s="408" t="s">
        <v>175</v>
      </c>
      <c r="BF1357" s="385"/>
      <c r="BG1357" s="475">
        <v>481</v>
      </c>
      <c r="BH1357" s="395"/>
      <c r="BI1357" s="395">
        <f t="shared" si="865"/>
        <v>11.18084</v>
      </c>
    </row>
    <row r="1358" spans="1:61" s="358" customFormat="1" ht="19.2" x14ac:dyDescent="0.3">
      <c r="A1358" s="359" t="s">
        <v>268</v>
      </c>
      <c r="B1358" s="602" t="s">
        <v>4108</v>
      </c>
      <c r="C1358" s="548" t="s">
        <v>4992</v>
      </c>
      <c r="D1358" s="360">
        <v>0.22</v>
      </c>
      <c r="E1358" s="528"/>
      <c r="F1358" s="523"/>
      <c r="G1358" s="393"/>
      <c r="H1358" s="394"/>
      <c r="I1358" s="394"/>
      <c r="J1358" s="394"/>
      <c r="K1358" s="394"/>
      <c r="L1358" s="394"/>
      <c r="M1358" s="394"/>
      <c r="N1358" s="394"/>
      <c r="O1358" s="394"/>
      <c r="P1358" s="394"/>
      <c r="Q1358" s="394"/>
      <c r="R1358" s="381"/>
      <c r="S1358" s="408"/>
      <c r="T1358" s="385"/>
      <c r="U1358" s="475"/>
      <c r="V1358" s="395"/>
      <c r="W1358" s="395"/>
      <c r="X1358" s="528"/>
      <c r="Y1358" s="523"/>
      <c r="Z1358" s="393"/>
      <c r="AA1358" s="394"/>
      <c r="AB1358" s="394"/>
      <c r="AC1358" s="394"/>
      <c r="AD1358" s="394"/>
      <c r="AE1358" s="394"/>
      <c r="AF1358" s="394"/>
      <c r="AG1358" s="394"/>
      <c r="AH1358" s="394"/>
      <c r="AI1358" s="394"/>
      <c r="AJ1358" s="394"/>
      <c r="AK1358" s="381"/>
      <c r="AL1358" s="408"/>
      <c r="AM1358" s="385"/>
      <c r="AN1358" s="475"/>
      <c r="AO1358" s="395"/>
      <c r="AP1358" s="395"/>
      <c r="AQ1358" s="528"/>
      <c r="AR1358" s="523">
        <v>1</v>
      </c>
      <c r="AS1358" s="393"/>
      <c r="AT1358" s="600">
        <v>11.180870000000001</v>
      </c>
      <c r="AU1358" s="394">
        <v>7.4669600000000003</v>
      </c>
      <c r="AV1358" s="394">
        <v>6.7373000000000003</v>
      </c>
      <c r="AW1358" s="394"/>
      <c r="AX1358" s="394"/>
      <c r="AY1358" s="394">
        <v>0</v>
      </c>
      <c r="AZ1358" s="394">
        <v>0</v>
      </c>
      <c r="BA1358" s="394">
        <v>0.86582000000000003</v>
      </c>
      <c r="BB1358" s="394">
        <v>6.7373000000000003</v>
      </c>
      <c r="BC1358" s="394"/>
      <c r="BD1358" s="381" t="s">
        <v>167</v>
      </c>
      <c r="BE1358" s="408" t="s">
        <v>175</v>
      </c>
      <c r="BF1358" s="385"/>
      <c r="BG1358" s="475">
        <v>482</v>
      </c>
      <c r="BH1358" s="395"/>
      <c r="BI1358" s="395">
        <f t="shared" ref="BI1358" si="868">AT1358/AR1358</f>
        <v>11.180870000000001</v>
      </c>
    </row>
    <row r="1359" spans="1:61" s="358" customFormat="1" ht="19.2" x14ac:dyDescent="0.3">
      <c r="A1359" s="359" t="s">
        <v>269</v>
      </c>
      <c r="B1359" s="602" t="s">
        <v>4994</v>
      </c>
      <c r="C1359" s="548" t="s">
        <v>4993</v>
      </c>
      <c r="D1359" s="360">
        <v>0.22</v>
      </c>
      <c r="E1359" s="528"/>
      <c r="F1359" s="523"/>
      <c r="G1359" s="393"/>
      <c r="H1359" s="394"/>
      <c r="I1359" s="394"/>
      <c r="J1359" s="394"/>
      <c r="K1359" s="394"/>
      <c r="L1359" s="394"/>
      <c r="M1359" s="394"/>
      <c r="N1359" s="394"/>
      <c r="O1359" s="394"/>
      <c r="P1359" s="394"/>
      <c r="Q1359" s="394"/>
      <c r="R1359" s="381"/>
      <c r="S1359" s="408"/>
      <c r="T1359" s="385"/>
      <c r="U1359" s="475"/>
      <c r="V1359" s="395"/>
      <c r="W1359" s="395"/>
      <c r="X1359" s="528"/>
      <c r="Y1359" s="523"/>
      <c r="Z1359" s="393"/>
      <c r="AA1359" s="394"/>
      <c r="AB1359" s="394"/>
      <c r="AC1359" s="394"/>
      <c r="AD1359" s="394"/>
      <c r="AE1359" s="394"/>
      <c r="AF1359" s="394"/>
      <c r="AG1359" s="394"/>
      <c r="AH1359" s="394"/>
      <c r="AI1359" s="394"/>
      <c r="AJ1359" s="394"/>
      <c r="AK1359" s="381"/>
      <c r="AL1359" s="408"/>
      <c r="AM1359" s="385"/>
      <c r="AN1359" s="475"/>
      <c r="AO1359" s="395"/>
      <c r="AP1359" s="395"/>
      <c r="AQ1359" s="528"/>
      <c r="AR1359" s="523">
        <v>1</v>
      </c>
      <c r="AS1359" s="393"/>
      <c r="AT1359" s="600">
        <v>11.18088</v>
      </c>
      <c r="AU1359" s="394">
        <v>7.4669699999999999</v>
      </c>
      <c r="AV1359" s="394">
        <v>6.7373000000000003</v>
      </c>
      <c r="AW1359" s="394"/>
      <c r="AX1359" s="394"/>
      <c r="AY1359" s="394">
        <v>0</v>
      </c>
      <c r="AZ1359" s="394">
        <v>0</v>
      </c>
      <c r="BA1359" s="394">
        <v>0.86582000000000003</v>
      </c>
      <c r="BB1359" s="394">
        <v>6.7373000000000003</v>
      </c>
      <c r="BC1359" s="394"/>
      <c r="BD1359" s="381" t="s">
        <v>167</v>
      </c>
      <c r="BE1359" s="408" t="s">
        <v>175</v>
      </c>
      <c r="BF1359" s="385"/>
      <c r="BG1359" s="475">
        <v>483</v>
      </c>
      <c r="BH1359" s="395"/>
      <c r="BI1359" s="395">
        <f t="shared" si="865"/>
        <v>11.18088</v>
      </c>
    </row>
    <row r="1360" spans="1:61" s="358" customFormat="1" ht="19.2" x14ac:dyDescent="0.3">
      <c r="A1360" s="359" t="s">
        <v>270</v>
      </c>
      <c r="B1360" s="602" t="s">
        <v>4996</v>
      </c>
      <c r="C1360" s="548" t="s">
        <v>4995</v>
      </c>
      <c r="D1360" s="360">
        <v>0.22</v>
      </c>
      <c r="E1360" s="528"/>
      <c r="F1360" s="523"/>
      <c r="G1360" s="393"/>
      <c r="H1360" s="394"/>
      <c r="I1360" s="394"/>
      <c r="J1360" s="394"/>
      <c r="K1360" s="394"/>
      <c r="L1360" s="394"/>
      <c r="M1360" s="394"/>
      <c r="N1360" s="394"/>
      <c r="O1360" s="394"/>
      <c r="P1360" s="394"/>
      <c r="Q1360" s="394"/>
      <c r="R1360" s="381"/>
      <c r="S1360" s="408"/>
      <c r="T1360" s="385"/>
      <c r="U1360" s="475"/>
      <c r="V1360" s="395"/>
      <c r="W1360" s="395"/>
      <c r="X1360" s="528"/>
      <c r="Y1360" s="523"/>
      <c r="Z1360" s="393"/>
      <c r="AA1360" s="394"/>
      <c r="AB1360" s="394"/>
      <c r="AC1360" s="394"/>
      <c r="AD1360" s="394"/>
      <c r="AE1360" s="394"/>
      <c r="AF1360" s="394"/>
      <c r="AG1360" s="394"/>
      <c r="AH1360" s="394"/>
      <c r="AI1360" s="394"/>
      <c r="AJ1360" s="394"/>
      <c r="AK1360" s="381"/>
      <c r="AL1360" s="408"/>
      <c r="AM1360" s="385"/>
      <c r="AN1360" s="475"/>
      <c r="AO1360" s="395"/>
      <c r="AP1360" s="395"/>
      <c r="AQ1360" s="528"/>
      <c r="AR1360" s="523">
        <v>1</v>
      </c>
      <c r="AS1360" s="393"/>
      <c r="AT1360" s="600">
        <v>11.18083</v>
      </c>
      <c r="AU1360" s="394">
        <v>7.46692</v>
      </c>
      <c r="AV1360" s="394">
        <v>6.7373000000000003</v>
      </c>
      <c r="AW1360" s="394"/>
      <c r="AX1360" s="394"/>
      <c r="AY1360" s="394">
        <v>0</v>
      </c>
      <c r="AZ1360" s="394">
        <v>0</v>
      </c>
      <c r="BA1360" s="394">
        <v>0.86582000000000003</v>
      </c>
      <c r="BB1360" s="394">
        <v>6.7373000000000003</v>
      </c>
      <c r="BC1360" s="394"/>
      <c r="BD1360" s="381" t="s">
        <v>167</v>
      </c>
      <c r="BE1360" s="408" t="s">
        <v>175</v>
      </c>
      <c r="BF1360" s="385"/>
      <c r="BG1360" s="475">
        <v>484</v>
      </c>
      <c r="BH1360" s="395"/>
      <c r="BI1360" s="395">
        <f t="shared" ref="BI1360" si="869">AT1360/AR1360</f>
        <v>11.18083</v>
      </c>
    </row>
    <row r="1361" spans="1:61" s="358" customFormat="1" ht="19.2" x14ac:dyDescent="0.3">
      <c r="A1361" s="359" t="s">
        <v>271</v>
      </c>
      <c r="B1361" s="602" t="s">
        <v>4997</v>
      </c>
      <c r="C1361" s="548" t="s">
        <v>4998</v>
      </c>
      <c r="D1361" s="360">
        <v>0.22</v>
      </c>
      <c r="E1361" s="528"/>
      <c r="F1361" s="523"/>
      <c r="G1361" s="393"/>
      <c r="H1361" s="394"/>
      <c r="I1361" s="394"/>
      <c r="J1361" s="394"/>
      <c r="K1361" s="394"/>
      <c r="L1361" s="394"/>
      <c r="M1361" s="394"/>
      <c r="N1361" s="394"/>
      <c r="O1361" s="394"/>
      <c r="P1361" s="394"/>
      <c r="Q1361" s="394"/>
      <c r="R1361" s="381"/>
      <c r="S1361" s="408"/>
      <c r="T1361" s="385"/>
      <c r="U1361" s="475"/>
      <c r="V1361" s="395"/>
      <c r="W1361" s="395"/>
      <c r="X1361" s="528"/>
      <c r="Y1361" s="523"/>
      <c r="Z1361" s="393"/>
      <c r="AA1361" s="394"/>
      <c r="AB1361" s="394"/>
      <c r="AC1361" s="394"/>
      <c r="AD1361" s="394"/>
      <c r="AE1361" s="394"/>
      <c r="AF1361" s="394"/>
      <c r="AG1361" s="394"/>
      <c r="AH1361" s="394"/>
      <c r="AI1361" s="394"/>
      <c r="AJ1361" s="394"/>
      <c r="AK1361" s="381"/>
      <c r="AL1361" s="408"/>
      <c r="AM1361" s="385"/>
      <c r="AN1361" s="475"/>
      <c r="AO1361" s="395"/>
      <c r="AP1361" s="395"/>
      <c r="AQ1361" s="528"/>
      <c r="AR1361" s="523">
        <v>1</v>
      </c>
      <c r="AS1361" s="393"/>
      <c r="AT1361" s="600">
        <v>11.18088</v>
      </c>
      <c r="AU1361" s="394">
        <v>7.4669699999999999</v>
      </c>
      <c r="AV1361" s="394">
        <v>6.7373000000000003</v>
      </c>
      <c r="AW1361" s="394"/>
      <c r="AX1361" s="394"/>
      <c r="AY1361" s="394">
        <v>0</v>
      </c>
      <c r="AZ1361" s="394">
        <v>0</v>
      </c>
      <c r="BA1361" s="394">
        <v>0.86582000000000003</v>
      </c>
      <c r="BB1361" s="394">
        <v>6.7373000000000003</v>
      </c>
      <c r="BC1361" s="394"/>
      <c r="BD1361" s="381" t="s">
        <v>167</v>
      </c>
      <c r="BE1361" s="408" t="s">
        <v>175</v>
      </c>
      <c r="BF1361" s="385"/>
      <c r="BG1361" s="475">
        <v>485</v>
      </c>
      <c r="BH1361" s="395"/>
      <c r="BI1361" s="395">
        <f t="shared" si="865"/>
        <v>11.18088</v>
      </c>
    </row>
    <row r="1362" spans="1:61" s="358" customFormat="1" ht="19.2" x14ac:dyDescent="0.3">
      <c r="A1362" s="359" t="s">
        <v>272</v>
      </c>
      <c r="B1362" s="602" t="s">
        <v>4999</v>
      </c>
      <c r="C1362" s="548" t="s">
        <v>5000</v>
      </c>
      <c r="D1362" s="360">
        <v>0.22</v>
      </c>
      <c r="E1362" s="528"/>
      <c r="F1362" s="523"/>
      <c r="G1362" s="393"/>
      <c r="H1362" s="394"/>
      <c r="I1362" s="394"/>
      <c r="J1362" s="394"/>
      <c r="K1362" s="394"/>
      <c r="L1362" s="394"/>
      <c r="M1362" s="394"/>
      <c r="N1362" s="394"/>
      <c r="O1362" s="394"/>
      <c r="P1362" s="394"/>
      <c r="Q1362" s="394"/>
      <c r="R1362" s="381"/>
      <c r="S1362" s="408"/>
      <c r="T1362" s="385"/>
      <c r="U1362" s="475"/>
      <c r="V1362" s="395"/>
      <c r="W1362" s="395"/>
      <c r="X1362" s="528"/>
      <c r="Y1362" s="523"/>
      <c r="Z1362" s="393"/>
      <c r="AA1362" s="394"/>
      <c r="AB1362" s="394"/>
      <c r="AC1362" s="394"/>
      <c r="AD1362" s="394"/>
      <c r="AE1362" s="394"/>
      <c r="AF1362" s="394"/>
      <c r="AG1362" s="394"/>
      <c r="AH1362" s="394"/>
      <c r="AI1362" s="394"/>
      <c r="AJ1362" s="394"/>
      <c r="AK1362" s="381"/>
      <c r="AL1362" s="408"/>
      <c r="AM1362" s="385"/>
      <c r="AN1362" s="475"/>
      <c r="AO1362" s="395"/>
      <c r="AP1362" s="395"/>
      <c r="AQ1362" s="528"/>
      <c r="AR1362" s="523">
        <v>1</v>
      </c>
      <c r="AS1362" s="393"/>
      <c r="AT1362" s="600">
        <v>11.18088</v>
      </c>
      <c r="AU1362" s="394">
        <v>7.4669699999999999</v>
      </c>
      <c r="AV1362" s="394">
        <v>6.7373000000000003</v>
      </c>
      <c r="AW1362" s="394"/>
      <c r="AX1362" s="394"/>
      <c r="AY1362" s="394">
        <v>0</v>
      </c>
      <c r="AZ1362" s="394">
        <v>0</v>
      </c>
      <c r="BA1362" s="394">
        <v>0.86582000000000003</v>
      </c>
      <c r="BB1362" s="394">
        <v>6.7373000000000003</v>
      </c>
      <c r="BC1362" s="394"/>
      <c r="BD1362" s="381" t="s">
        <v>167</v>
      </c>
      <c r="BE1362" s="408" t="s">
        <v>175</v>
      </c>
      <c r="BF1362" s="385"/>
      <c r="BG1362" s="475">
        <v>486</v>
      </c>
      <c r="BH1362" s="395"/>
      <c r="BI1362" s="395">
        <f t="shared" ref="BI1362" si="870">AT1362/AR1362</f>
        <v>11.18088</v>
      </c>
    </row>
    <row r="1363" spans="1:61" s="358" customFormat="1" ht="19.2" x14ac:dyDescent="0.3">
      <c r="A1363" s="359" t="s">
        <v>273</v>
      </c>
      <c r="B1363" s="602" t="s">
        <v>5001</v>
      </c>
      <c r="C1363" s="548" t="s">
        <v>5002</v>
      </c>
      <c r="D1363" s="360">
        <v>0.22</v>
      </c>
      <c r="E1363" s="528"/>
      <c r="F1363" s="523"/>
      <c r="G1363" s="393"/>
      <c r="H1363" s="394"/>
      <c r="I1363" s="394"/>
      <c r="J1363" s="394"/>
      <c r="K1363" s="394"/>
      <c r="L1363" s="394"/>
      <c r="M1363" s="394"/>
      <c r="N1363" s="394"/>
      <c r="O1363" s="394"/>
      <c r="P1363" s="394"/>
      <c r="Q1363" s="394"/>
      <c r="R1363" s="381"/>
      <c r="S1363" s="408"/>
      <c r="T1363" s="385"/>
      <c r="U1363" s="475"/>
      <c r="V1363" s="395"/>
      <c r="W1363" s="395"/>
      <c r="X1363" s="528"/>
      <c r="Y1363" s="523"/>
      <c r="Z1363" s="393"/>
      <c r="AA1363" s="394"/>
      <c r="AB1363" s="394"/>
      <c r="AC1363" s="394"/>
      <c r="AD1363" s="394"/>
      <c r="AE1363" s="394"/>
      <c r="AF1363" s="394"/>
      <c r="AG1363" s="394"/>
      <c r="AH1363" s="394"/>
      <c r="AI1363" s="394"/>
      <c r="AJ1363" s="394"/>
      <c r="AK1363" s="381"/>
      <c r="AL1363" s="408"/>
      <c r="AM1363" s="385"/>
      <c r="AN1363" s="475"/>
      <c r="AO1363" s="395"/>
      <c r="AP1363" s="395"/>
      <c r="AQ1363" s="528"/>
      <c r="AR1363" s="523">
        <v>1</v>
      </c>
      <c r="AS1363" s="393"/>
      <c r="AT1363" s="600">
        <v>11.18085</v>
      </c>
      <c r="AU1363" s="394">
        <v>7.4669400000000001</v>
      </c>
      <c r="AV1363" s="394">
        <v>6.7373000000000003</v>
      </c>
      <c r="AW1363" s="394"/>
      <c r="AX1363" s="394"/>
      <c r="AY1363" s="394">
        <v>0</v>
      </c>
      <c r="AZ1363" s="394">
        <v>0</v>
      </c>
      <c r="BA1363" s="394">
        <v>0.86582000000000003</v>
      </c>
      <c r="BB1363" s="394">
        <v>6.7373000000000003</v>
      </c>
      <c r="BC1363" s="394"/>
      <c r="BD1363" s="381" t="s">
        <v>167</v>
      </c>
      <c r="BE1363" s="408" t="s">
        <v>175</v>
      </c>
      <c r="BF1363" s="385"/>
      <c r="BG1363" s="475">
        <v>487</v>
      </c>
      <c r="BH1363" s="395"/>
      <c r="BI1363" s="395">
        <f t="shared" si="865"/>
        <v>11.18085</v>
      </c>
    </row>
    <row r="1364" spans="1:61" s="358" customFormat="1" ht="19.2" x14ac:dyDescent="0.3">
      <c r="A1364" s="359" t="s">
        <v>274</v>
      </c>
      <c r="B1364" s="602" t="s">
        <v>5003</v>
      </c>
      <c r="C1364" s="548" t="s">
        <v>5004</v>
      </c>
      <c r="D1364" s="360">
        <v>0.22</v>
      </c>
      <c r="E1364" s="528"/>
      <c r="F1364" s="523"/>
      <c r="G1364" s="393"/>
      <c r="H1364" s="394"/>
      <c r="I1364" s="394"/>
      <c r="J1364" s="394"/>
      <c r="K1364" s="394"/>
      <c r="L1364" s="394"/>
      <c r="M1364" s="394"/>
      <c r="N1364" s="394"/>
      <c r="O1364" s="394"/>
      <c r="P1364" s="394"/>
      <c r="Q1364" s="394"/>
      <c r="R1364" s="381"/>
      <c r="S1364" s="408"/>
      <c r="T1364" s="385"/>
      <c r="U1364" s="475"/>
      <c r="V1364" s="395"/>
      <c r="W1364" s="395"/>
      <c r="X1364" s="528"/>
      <c r="Y1364" s="523"/>
      <c r="Z1364" s="393"/>
      <c r="AA1364" s="394"/>
      <c r="AB1364" s="394"/>
      <c r="AC1364" s="394"/>
      <c r="AD1364" s="394"/>
      <c r="AE1364" s="394"/>
      <c r="AF1364" s="394"/>
      <c r="AG1364" s="394"/>
      <c r="AH1364" s="394"/>
      <c r="AI1364" s="394"/>
      <c r="AJ1364" s="394"/>
      <c r="AK1364" s="381"/>
      <c r="AL1364" s="408"/>
      <c r="AM1364" s="385"/>
      <c r="AN1364" s="475"/>
      <c r="AO1364" s="395"/>
      <c r="AP1364" s="395"/>
      <c r="AQ1364" s="528"/>
      <c r="AR1364" s="523">
        <v>1</v>
      </c>
      <c r="AS1364" s="393"/>
      <c r="AT1364" s="600">
        <v>11.18083</v>
      </c>
      <c r="AU1364" s="394">
        <v>7.46692</v>
      </c>
      <c r="AV1364" s="394">
        <v>6.7373000000000003</v>
      </c>
      <c r="AW1364" s="394"/>
      <c r="AX1364" s="394"/>
      <c r="AY1364" s="394">
        <v>0</v>
      </c>
      <c r="AZ1364" s="394">
        <v>0</v>
      </c>
      <c r="BA1364" s="394">
        <v>0.86582000000000003</v>
      </c>
      <c r="BB1364" s="394">
        <v>6.7373000000000003</v>
      </c>
      <c r="BC1364" s="394"/>
      <c r="BD1364" s="381" t="s">
        <v>167</v>
      </c>
      <c r="BE1364" s="408" t="s">
        <v>175</v>
      </c>
      <c r="BF1364" s="385"/>
      <c r="BG1364" s="475">
        <v>488</v>
      </c>
      <c r="BH1364" s="395"/>
      <c r="BI1364" s="395">
        <f t="shared" ref="BI1364" si="871">AT1364/AR1364</f>
        <v>11.18083</v>
      </c>
    </row>
    <row r="1365" spans="1:61" s="358" customFormat="1" ht="19.2" x14ac:dyDescent="0.3">
      <c r="A1365" s="359" t="s">
        <v>275</v>
      </c>
      <c r="B1365" s="602" t="s">
        <v>5005</v>
      </c>
      <c r="C1365" s="548" t="s">
        <v>5006</v>
      </c>
      <c r="D1365" s="360">
        <v>0.22</v>
      </c>
      <c r="E1365" s="528"/>
      <c r="F1365" s="523"/>
      <c r="G1365" s="393"/>
      <c r="H1365" s="394"/>
      <c r="I1365" s="394"/>
      <c r="J1365" s="394"/>
      <c r="K1365" s="394"/>
      <c r="L1365" s="394"/>
      <c r="M1365" s="394"/>
      <c r="N1365" s="394"/>
      <c r="O1365" s="394"/>
      <c r="P1365" s="394"/>
      <c r="Q1365" s="394"/>
      <c r="R1365" s="381"/>
      <c r="S1365" s="408"/>
      <c r="T1365" s="385"/>
      <c r="U1365" s="475"/>
      <c r="V1365" s="395"/>
      <c r="W1365" s="395"/>
      <c r="X1365" s="528"/>
      <c r="Y1365" s="523"/>
      <c r="Z1365" s="393"/>
      <c r="AA1365" s="394"/>
      <c r="AB1365" s="394"/>
      <c r="AC1365" s="394"/>
      <c r="AD1365" s="394"/>
      <c r="AE1365" s="394"/>
      <c r="AF1365" s="394"/>
      <c r="AG1365" s="394"/>
      <c r="AH1365" s="394"/>
      <c r="AI1365" s="394"/>
      <c r="AJ1365" s="394"/>
      <c r="AK1365" s="381"/>
      <c r="AL1365" s="408"/>
      <c r="AM1365" s="385"/>
      <c r="AN1365" s="475"/>
      <c r="AO1365" s="395"/>
      <c r="AP1365" s="395"/>
      <c r="AQ1365" s="528"/>
      <c r="AR1365" s="523">
        <v>1</v>
      </c>
      <c r="AS1365" s="393"/>
      <c r="AT1365" s="600">
        <v>11.180870000000001</v>
      </c>
      <c r="AU1365" s="394">
        <v>7.4669600000000003</v>
      </c>
      <c r="AV1365" s="394">
        <v>6.7373000000000003</v>
      </c>
      <c r="AW1365" s="394"/>
      <c r="AX1365" s="394"/>
      <c r="AY1365" s="394">
        <v>0</v>
      </c>
      <c r="AZ1365" s="394">
        <v>0</v>
      </c>
      <c r="BA1365" s="394">
        <v>0.86582000000000003</v>
      </c>
      <c r="BB1365" s="394">
        <v>6.7373000000000003</v>
      </c>
      <c r="BC1365" s="394"/>
      <c r="BD1365" s="381" t="s">
        <v>167</v>
      </c>
      <c r="BE1365" s="408" t="s">
        <v>175</v>
      </c>
      <c r="BF1365" s="385"/>
      <c r="BG1365" s="475">
        <v>489</v>
      </c>
      <c r="BH1365" s="395"/>
      <c r="BI1365" s="395">
        <f t="shared" si="865"/>
        <v>11.180870000000001</v>
      </c>
    </row>
    <row r="1366" spans="1:61" s="358" customFormat="1" ht="19.2" x14ac:dyDescent="0.3">
      <c r="A1366" s="359" t="s">
        <v>276</v>
      </c>
      <c r="B1366" s="602" t="s">
        <v>5008</v>
      </c>
      <c r="C1366" s="548" t="s">
        <v>5007</v>
      </c>
      <c r="D1366" s="360">
        <v>0.22</v>
      </c>
      <c r="E1366" s="528"/>
      <c r="F1366" s="523"/>
      <c r="G1366" s="393"/>
      <c r="H1366" s="394"/>
      <c r="I1366" s="394"/>
      <c r="J1366" s="394"/>
      <c r="K1366" s="394"/>
      <c r="L1366" s="394"/>
      <c r="M1366" s="394"/>
      <c r="N1366" s="394"/>
      <c r="O1366" s="394"/>
      <c r="P1366" s="394"/>
      <c r="Q1366" s="394"/>
      <c r="R1366" s="381"/>
      <c r="S1366" s="408"/>
      <c r="T1366" s="385"/>
      <c r="U1366" s="475"/>
      <c r="V1366" s="395"/>
      <c r="W1366" s="395"/>
      <c r="X1366" s="528"/>
      <c r="Y1366" s="523"/>
      <c r="Z1366" s="393"/>
      <c r="AA1366" s="394"/>
      <c r="AB1366" s="394"/>
      <c r="AC1366" s="394"/>
      <c r="AD1366" s="394"/>
      <c r="AE1366" s="394"/>
      <c r="AF1366" s="394"/>
      <c r="AG1366" s="394"/>
      <c r="AH1366" s="394"/>
      <c r="AI1366" s="394"/>
      <c r="AJ1366" s="394"/>
      <c r="AK1366" s="381"/>
      <c r="AL1366" s="408"/>
      <c r="AM1366" s="385"/>
      <c r="AN1366" s="475"/>
      <c r="AO1366" s="395"/>
      <c r="AP1366" s="395"/>
      <c r="AQ1366" s="528"/>
      <c r="AR1366" s="523">
        <v>1</v>
      </c>
      <c r="AS1366" s="393"/>
      <c r="AT1366" s="600">
        <v>11.180870000000001</v>
      </c>
      <c r="AU1366" s="394">
        <v>7.4669600000000003</v>
      </c>
      <c r="AV1366" s="394">
        <v>6.7373000000000003</v>
      </c>
      <c r="AW1366" s="394"/>
      <c r="AX1366" s="394"/>
      <c r="AY1366" s="394">
        <v>0</v>
      </c>
      <c r="AZ1366" s="394">
        <v>0</v>
      </c>
      <c r="BA1366" s="394">
        <v>0.86582000000000003</v>
      </c>
      <c r="BB1366" s="394">
        <v>6.7373000000000003</v>
      </c>
      <c r="BC1366" s="394"/>
      <c r="BD1366" s="381" t="s">
        <v>167</v>
      </c>
      <c r="BE1366" s="408" t="s">
        <v>175</v>
      </c>
      <c r="BF1366" s="385"/>
      <c r="BG1366" s="475">
        <v>490</v>
      </c>
      <c r="BH1366" s="395"/>
      <c r="BI1366" s="395">
        <f t="shared" ref="BI1366" si="872">AT1366/AR1366</f>
        <v>11.180870000000001</v>
      </c>
    </row>
    <row r="1367" spans="1:61" s="358" customFormat="1" ht="19.2" x14ac:dyDescent="0.3">
      <c r="A1367" s="359" t="s">
        <v>277</v>
      </c>
      <c r="B1367" s="602" t="s">
        <v>5009</v>
      </c>
      <c r="C1367" s="548" t="s">
        <v>5010</v>
      </c>
      <c r="D1367" s="360">
        <v>0.22</v>
      </c>
      <c r="E1367" s="528"/>
      <c r="F1367" s="523"/>
      <c r="G1367" s="393"/>
      <c r="H1367" s="394"/>
      <c r="I1367" s="394"/>
      <c r="J1367" s="394"/>
      <c r="K1367" s="394"/>
      <c r="L1367" s="394"/>
      <c r="M1367" s="394"/>
      <c r="N1367" s="394"/>
      <c r="O1367" s="394"/>
      <c r="P1367" s="394"/>
      <c r="Q1367" s="394"/>
      <c r="R1367" s="381"/>
      <c r="S1367" s="408"/>
      <c r="T1367" s="385"/>
      <c r="U1367" s="475"/>
      <c r="V1367" s="395"/>
      <c r="W1367" s="395"/>
      <c r="X1367" s="528"/>
      <c r="Y1367" s="523"/>
      <c r="Z1367" s="393"/>
      <c r="AA1367" s="394"/>
      <c r="AB1367" s="394"/>
      <c r="AC1367" s="394"/>
      <c r="AD1367" s="394"/>
      <c r="AE1367" s="394"/>
      <c r="AF1367" s="394"/>
      <c r="AG1367" s="394"/>
      <c r="AH1367" s="394"/>
      <c r="AI1367" s="394"/>
      <c r="AJ1367" s="394"/>
      <c r="AK1367" s="381"/>
      <c r="AL1367" s="408"/>
      <c r="AM1367" s="385"/>
      <c r="AN1367" s="475"/>
      <c r="AO1367" s="395"/>
      <c r="AP1367" s="395"/>
      <c r="AQ1367" s="528"/>
      <c r="AR1367" s="523">
        <v>1</v>
      </c>
      <c r="AS1367" s="393"/>
      <c r="AT1367" s="600">
        <v>11.180870000000001</v>
      </c>
      <c r="AU1367" s="394">
        <v>7.4669600000000003</v>
      </c>
      <c r="AV1367" s="394">
        <v>6.7373000000000003</v>
      </c>
      <c r="AW1367" s="394"/>
      <c r="AX1367" s="394"/>
      <c r="AY1367" s="394">
        <v>0</v>
      </c>
      <c r="AZ1367" s="394">
        <v>0</v>
      </c>
      <c r="BA1367" s="394">
        <v>0.86582000000000003</v>
      </c>
      <c r="BB1367" s="394">
        <v>6.7373000000000003</v>
      </c>
      <c r="BC1367" s="394"/>
      <c r="BD1367" s="381" t="s">
        <v>167</v>
      </c>
      <c r="BE1367" s="408" t="s">
        <v>175</v>
      </c>
      <c r="BF1367" s="385"/>
      <c r="BG1367" s="475">
        <v>491</v>
      </c>
      <c r="BH1367" s="395"/>
      <c r="BI1367" s="395">
        <f t="shared" si="865"/>
        <v>11.180870000000001</v>
      </c>
    </row>
    <row r="1368" spans="1:61" s="358" customFormat="1" ht="19.2" x14ac:dyDescent="0.3">
      <c r="A1368" s="359" t="s">
        <v>326</v>
      </c>
      <c r="B1368" s="602" t="s">
        <v>5011</v>
      </c>
      <c r="C1368" s="548" t="s">
        <v>5012</v>
      </c>
      <c r="D1368" s="360">
        <v>0.22</v>
      </c>
      <c r="E1368" s="528"/>
      <c r="F1368" s="523"/>
      <c r="G1368" s="393"/>
      <c r="H1368" s="394"/>
      <c r="I1368" s="394"/>
      <c r="J1368" s="394"/>
      <c r="K1368" s="394"/>
      <c r="L1368" s="394"/>
      <c r="M1368" s="394"/>
      <c r="N1368" s="394"/>
      <c r="O1368" s="394"/>
      <c r="P1368" s="394"/>
      <c r="Q1368" s="394"/>
      <c r="R1368" s="381"/>
      <c r="S1368" s="408"/>
      <c r="T1368" s="385"/>
      <c r="U1368" s="475"/>
      <c r="V1368" s="395"/>
      <c r="W1368" s="395"/>
      <c r="X1368" s="528"/>
      <c r="Y1368" s="523"/>
      <c r="Z1368" s="393"/>
      <c r="AA1368" s="394"/>
      <c r="AB1368" s="394"/>
      <c r="AC1368" s="394"/>
      <c r="AD1368" s="394"/>
      <c r="AE1368" s="394"/>
      <c r="AF1368" s="394"/>
      <c r="AG1368" s="394"/>
      <c r="AH1368" s="394"/>
      <c r="AI1368" s="394"/>
      <c r="AJ1368" s="394"/>
      <c r="AK1368" s="381"/>
      <c r="AL1368" s="408"/>
      <c r="AM1368" s="385"/>
      <c r="AN1368" s="475"/>
      <c r="AO1368" s="395"/>
      <c r="AP1368" s="395"/>
      <c r="AQ1368" s="528"/>
      <c r="AR1368" s="523">
        <v>1</v>
      </c>
      <c r="AS1368" s="393"/>
      <c r="AT1368" s="600">
        <v>11.18088</v>
      </c>
      <c r="AU1368" s="394">
        <v>7.4669699999999999</v>
      </c>
      <c r="AV1368" s="394">
        <v>6.7373000000000003</v>
      </c>
      <c r="AW1368" s="394"/>
      <c r="AX1368" s="394"/>
      <c r="AY1368" s="394">
        <v>0</v>
      </c>
      <c r="AZ1368" s="394">
        <v>0</v>
      </c>
      <c r="BA1368" s="394">
        <v>0.86582000000000003</v>
      </c>
      <c r="BB1368" s="394">
        <v>6.7373000000000003</v>
      </c>
      <c r="BC1368" s="394"/>
      <c r="BD1368" s="381" t="s">
        <v>167</v>
      </c>
      <c r="BE1368" s="408" t="s">
        <v>175</v>
      </c>
      <c r="BF1368" s="385"/>
      <c r="BG1368" s="475">
        <v>492</v>
      </c>
      <c r="BH1368" s="395"/>
      <c r="BI1368" s="395">
        <f t="shared" ref="BI1368" si="873">AT1368/AR1368</f>
        <v>11.18088</v>
      </c>
    </row>
    <row r="1369" spans="1:61" s="358" customFormat="1" ht="19.2" x14ac:dyDescent="0.3">
      <c r="A1369" s="359" t="s">
        <v>327</v>
      </c>
      <c r="B1369" s="602" t="s">
        <v>5013</v>
      </c>
      <c r="C1369" s="548" t="s">
        <v>5014</v>
      </c>
      <c r="D1369" s="360">
        <v>0.22</v>
      </c>
      <c r="E1369" s="528"/>
      <c r="F1369" s="523"/>
      <c r="G1369" s="393"/>
      <c r="H1369" s="394"/>
      <c r="I1369" s="394"/>
      <c r="J1369" s="394"/>
      <c r="K1369" s="394"/>
      <c r="L1369" s="394"/>
      <c r="M1369" s="394"/>
      <c r="N1369" s="394"/>
      <c r="O1369" s="394"/>
      <c r="P1369" s="394"/>
      <c r="Q1369" s="394"/>
      <c r="R1369" s="381"/>
      <c r="S1369" s="408"/>
      <c r="T1369" s="385"/>
      <c r="U1369" s="475"/>
      <c r="V1369" s="395"/>
      <c r="W1369" s="395"/>
      <c r="X1369" s="528"/>
      <c r="Y1369" s="523"/>
      <c r="Z1369" s="393"/>
      <c r="AA1369" s="394"/>
      <c r="AB1369" s="394"/>
      <c r="AC1369" s="394"/>
      <c r="AD1369" s="394"/>
      <c r="AE1369" s="394"/>
      <c r="AF1369" s="394"/>
      <c r="AG1369" s="394"/>
      <c r="AH1369" s="394"/>
      <c r="AI1369" s="394"/>
      <c r="AJ1369" s="394"/>
      <c r="AK1369" s="381"/>
      <c r="AL1369" s="408"/>
      <c r="AM1369" s="385"/>
      <c r="AN1369" s="475"/>
      <c r="AO1369" s="395"/>
      <c r="AP1369" s="395"/>
      <c r="AQ1369" s="528"/>
      <c r="AR1369" s="523">
        <v>1</v>
      </c>
      <c r="AS1369" s="393"/>
      <c r="AT1369" s="600">
        <v>11.18083</v>
      </c>
      <c r="AU1369" s="394">
        <v>7.46692</v>
      </c>
      <c r="AV1369" s="394">
        <v>6.7373000000000003</v>
      </c>
      <c r="AW1369" s="394"/>
      <c r="AX1369" s="394"/>
      <c r="AY1369" s="394">
        <v>0</v>
      </c>
      <c r="AZ1369" s="394">
        <v>0</v>
      </c>
      <c r="BA1369" s="394">
        <v>0.86582000000000003</v>
      </c>
      <c r="BB1369" s="394">
        <v>6.7373000000000003</v>
      </c>
      <c r="BC1369" s="394"/>
      <c r="BD1369" s="381" t="s">
        <v>167</v>
      </c>
      <c r="BE1369" s="408" t="s">
        <v>175</v>
      </c>
      <c r="BF1369" s="385"/>
      <c r="BG1369" s="475">
        <v>493</v>
      </c>
      <c r="BH1369" s="395"/>
      <c r="BI1369" s="395">
        <f t="shared" si="865"/>
        <v>11.18083</v>
      </c>
    </row>
    <row r="1370" spans="1:61" s="358" customFormat="1" ht="19.2" x14ac:dyDescent="0.3">
      <c r="A1370" s="359" t="s">
        <v>328</v>
      </c>
      <c r="B1370" s="602" t="s">
        <v>5048</v>
      </c>
      <c r="C1370" s="548" t="s">
        <v>5102</v>
      </c>
      <c r="D1370" s="360">
        <v>0.22</v>
      </c>
      <c r="E1370" s="528"/>
      <c r="F1370" s="523"/>
      <c r="G1370" s="393"/>
      <c r="H1370" s="394"/>
      <c r="I1370" s="394"/>
      <c r="J1370" s="394"/>
      <c r="K1370" s="394"/>
      <c r="L1370" s="394"/>
      <c r="M1370" s="394"/>
      <c r="N1370" s="394"/>
      <c r="O1370" s="394"/>
      <c r="P1370" s="394"/>
      <c r="Q1370" s="394"/>
      <c r="R1370" s="381"/>
      <c r="S1370" s="408"/>
      <c r="T1370" s="385"/>
      <c r="U1370" s="475"/>
      <c r="V1370" s="395"/>
      <c r="W1370" s="395"/>
      <c r="X1370" s="528"/>
      <c r="Y1370" s="523"/>
      <c r="Z1370" s="393"/>
      <c r="AA1370" s="394"/>
      <c r="AB1370" s="394"/>
      <c r="AC1370" s="394"/>
      <c r="AD1370" s="394"/>
      <c r="AE1370" s="394"/>
      <c r="AF1370" s="394"/>
      <c r="AG1370" s="394"/>
      <c r="AH1370" s="394"/>
      <c r="AI1370" s="394"/>
      <c r="AJ1370" s="394"/>
      <c r="AK1370" s="381"/>
      <c r="AL1370" s="408"/>
      <c r="AM1370" s="385"/>
      <c r="AN1370" s="475"/>
      <c r="AO1370" s="395"/>
      <c r="AP1370" s="395"/>
      <c r="AQ1370" s="528"/>
      <c r="AR1370" s="523">
        <v>1</v>
      </c>
      <c r="AS1370" s="393"/>
      <c r="AT1370" s="600">
        <v>11.5588</v>
      </c>
      <c r="AU1370" s="394">
        <v>7.8448900000000004</v>
      </c>
      <c r="AV1370" s="394">
        <v>6.7373000000000003</v>
      </c>
      <c r="AW1370" s="394"/>
      <c r="AX1370" s="394"/>
      <c r="AY1370" s="394">
        <v>0</v>
      </c>
      <c r="AZ1370" s="394">
        <v>0</v>
      </c>
      <c r="BA1370" s="394">
        <v>0.86582000000000003</v>
      </c>
      <c r="BB1370" s="394">
        <v>6.7373000000000003</v>
      </c>
      <c r="BC1370" s="394"/>
      <c r="BD1370" s="381" t="s">
        <v>167</v>
      </c>
      <c r="BE1370" s="408" t="s">
        <v>175</v>
      </c>
      <c r="BF1370" s="385"/>
      <c r="BG1370" s="475">
        <v>494</v>
      </c>
      <c r="BH1370" s="395"/>
      <c r="BI1370" s="395">
        <f>AT1370/AR1370</f>
        <v>11.5588</v>
      </c>
    </row>
    <row r="1371" spans="1:61" s="358" customFormat="1" ht="19.2" x14ac:dyDescent="0.3">
      <c r="A1371" s="359" t="s">
        <v>329</v>
      </c>
      <c r="B1371" s="602" t="s">
        <v>4651</v>
      </c>
      <c r="C1371" s="548" t="s">
        <v>4652</v>
      </c>
      <c r="D1371" s="360">
        <v>0.22</v>
      </c>
      <c r="E1371" s="528"/>
      <c r="F1371" s="523"/>
      <c r="G1371" s="393"/>
      <c r="H1371" s="394"/>
      <c r="I1371" s="394"/>
      <c r="J1371" s="394"/>
      <c r="K1371" s="394"/>
      <c r="L1371" s="394"/>
      <c r="M1371" s="394"/>
      <c r="N1371" s="394"/>
      <c r="O1371" s="394"/>
      <c r="P1371" s="394"/>
      <c r="Q1371" s="394"/>
      <c r="R1371" s="381"/>
      <c r="S1371" s="408"/>
      <c r="T1371" s="385"/>
      <c r="U1371" s="475"/>
      <c r="V1371" s="395"/>
      <c r="W1371" s="395"/>
      <c r="X1371" s="528"/>
      <c r="Y1371" s="523"/>
      <c r="Z1371" s="393"/>
      <c r="AA1371" s="394"/>
      <c r="AB1371" s="394"/>
      <c r="AC1371" s="394"/>
      <c r="AD1371" s="394"/>
      <c r="AE1371" s="394"/>
      <c r="AF1371" s="394"/>
      <c r="AG1371" s="394"/>
      <c r="AH1371" s="394"/>
      <c r="AI1371" s="394"/>
      <c r="AJ1371" s="394"/>
      <c r="AK1371" s="381"/>
      <c r="AL1371" s="408"/>
      <c r="AM1371" s="385"/>
      <c r="AN1371" s="475"/>
      <c r="AO1371" s="395"/>
      <c r="AP1371" s="395"/>
      <c r="AQ1371" s="528"/>
      <c r="AR1371" s="523">
        <v>1</v>
      </c>
      <c r="AS1371" s="393"/>
      <c r="AT1371" s="600">
        <v>11.5588</v>
      </c>
      <c r="AU1371" s="394">
        <v>7.8448900000000004</v>
      </c>
      <c r="AV1371" s="394">
        <v>6.7373000000000003</v>
      </c>
      <c r="AW1371" s="394"/>
      <c r="AX1371" s="394"/>
      <c r="AY1371" s="394">
        <v>0</v>
      </c>
      <c r="AZ1371" s="394">
        <v>0</v>
      </c>
      <c r="BA1371" s="394">
        <v>0.86582000000000003</v>
      </c>
      <c r="BB1371" s="394">
        <v>6.7373000000000003</v>
      </c>
      <c r="BC1371" s="394"/>
      <c r="BD1371" s="381" t="s">
        <v>167</v>
      </c>
      <c r="BE1371" s="408" t="s">
        <v>175</v>
      </c>
      <c r="BF1371" s="385"/>
      <c r="BG1371" s="475">
        <v>495</v>
      </c>
      <c r="BH1371" s="395"/>
      <c r="BI1371" s="395">
        <f t="shared" si="865"/>
        <v>11.5588</v>
      </c>
    </row>
    <row r="1372" spans="1:61" s="358" customFormat="1" ht="19.2" x14ac:dyDescent="0.3">
      <c r="A1372" s="359" t="s">
        <v>330</v>
      </c>
      <c r="B1372" s="602" t="s">
        <v>5103</v>
      </c>
      <c r="C1372" s="548" t="s">
        <v>5104</v>
      </c>
      <c r="D1372" s="360">
        <v>0.22</v>
      </c>
      <c r="E1372" s="528"/>
      <c r="F1372" s="523"/>
      <c r="G1372" s="393"/>
      <c r="H1372" s="394"/>
      <c r="I1372" s="394"/>
      <c r="J1372" s="394"/>
      <c r="K1372" s="394"/>
      <c r="L1372" s="394"/>
      <c r="M1372" s="394"/>
      <c r="N1372" s="394"/>
      <c r="O1372" s="394"/>
      <c r="P1372" s="394"/>
      <c r="Q1372" s="394"/>
      <c r="R1372" s="381"/>
      <c r="S1372" s="408"/>
      <c r="T1372" s="385"/>
      <c r="U1372" s="475"/>
      <c r="V1372" s="395"/>
      <c r="W1372" s="395"/>
      <c r="X1372" s="528"/>
      <c r="Y1372" s="523"/>
      <c r="Z1372" s="393"/>
      <c r="AA1372" s="394"/>
      <c r="AB1372" s="394"/>
      <c r="AC1372" s="394"/>
      <c r="AD1372" s="394"/>
      <c r="AE1372" s="394"/>
      <c r="AF1372" s="394"/>
      <c r="AG1372" s="394"/>
      <c r="AH1372" s="394"/>
      <c r="AI1372" s="394"/>
      <c r="AJ1372" s="394"/>
      <c r="AK1372" s="381"/>
      <c r="AL1372" s="408"/>
      <c r="AM1372" s="385"/>
      <c r="AN1372" s="475"/>
      <c r="AO1372" s="395"/>
      <c r="AP1372" s="395"/>
      <c r="AQ1372" s="528"/>
      <c r="AR1372" s="523">
        <v>1</v>
      </c>
      <c r="AS1372" s="393"/>
      <c r="AT1372" s="600">
        <v>11.55885</v>
      </c>
      <c r="AU1372" s="394">
        <v>7.8449400000000002</v>
      </c>
      <c r="AV1372" s="394">
        <v>6.7373000000000003</v>
      </c>
      <c r="AW1372" s="394"/>
      <c r="AX1372" s="394"/>
      <c r="AY1372" s="394">
        <v>0</v>
      </c>
      <c r="AZ1372" s="394">
        <v>0</v>
      </c>
      <c r="BA1372" s="394">
        <v>0.86582000000000003</v>
      </c>
      <c r="BB1372" s="394">
        <v>6.7373000000000003</v>
      </c>
      <c r="BC1372" s="394"/>
      <c r="BD1372" s="381" t="s">
        <v>167</v>
      </c>
      <c r="BE1372" s="408" t="s">
        <v>175</v>
      </c>
      <c r="BF1372" s="385"/>
      <c r="BG1372" s="475">
        <v>496</v>
      </c>
      <c r="BH1372" s="395"/>
      <c r="BI1372" s="395">
        <f t="shared" ref="BI1372" si="874">AT1372/AR1372</f>
        <v>11.55885</v>
      </c>
    </row>
    <row r="1373" spans="1:61" s="358" customFormat="1" ht="19.2" x14ac:dyDescent="0.3">
      <c r="A1373" s="359" t="s">
        <v>331</v>
      </c>
      <c r="B1373" s="602" t="s">
        <v>5105</v>
      </c>
      <c r="C1373" s="548" t="s">
        <v>5106</v>
      </c>
      <c r="D1373" s="360">
        <v>0.22</v>
      </c>
      <c r="E1373" s="528"/>
      <c r="F1373" s="523"/>
      <c r="G1373" s="393"/>
      <c r="H1373" s="394"/>
      <c r="I1373" s="394"/>
      <c r="J1373" s="394"/>
      <c r="K1373" s="394"/>
      <c r="L1373" s="394"/>
      <c r="M1373" s="394"/>
      <c r="N1373" s="394"/>
      <c r="O1373" s="394"/>
      <c r="P1373" s="394"/>
      <c r="Q1373" s="394"/>
      <c r="R1373" s="381"/>
      <c r="S1373" s="408"/>
      <c r="T1373" s="385"/>
      <c r="U1373" s="475"/>
      <c r="V1373" s="395"/>
      <c r="W1373" s="395"/>
      <c r="X1373" s="528"/>
      <c r="Y1373" s="523"/>
      <c r="Z1373" s="393"/>
      <c r="AA1373" s="394"/>
      <c r="AB1373" s="394"/>
      <c r="AC1373" s="394"/>
      <c r="AD1373" s="394"/>
      <c r="AE1373" s="394"/>
      <c r="AF1373" s="394"/>
      <c r="AG1373" s="394"/>
      <c r="AH1373" s="394"/>
      <c r="AI1373" s="394"/>
      <c r="AJ1373" s="394"/>
      <c r="AK1373" s="381"/>
      <c r="AL1373" s="408"/>
      <c r="AM1373" s="385"/>
      <c r="AN1373" s="475"/>
      <c r="AO1373" s="395"/>
      <c r="AP1373" s="395"/>
      <c r="AQ1373" s="528"/>
      <c r="AR1373" s="523">
        <v>1</v>
      </c>
      <c r="AS1373" s="393"/>
      <c r="AT1373" s="600">
        <v>11.558809999999999</v>
      </c>
      <c r="AU1373" s="394">
        <v>7.8449</v>
      </c>
      <c r="AV1373" s="394">
        <v>6.7373000000000003</v>
      </c>
      <c r="AW1373" s="394"/>
      <c r="AX1373" s="394"/>
      <c r="AY1373" s="394">
        <v>0</v>
      </c>
      <c r="AZ1373" s="394">
        <v>0</v>
      </c>
      <c r="BA1373" s="394">
        <v>0.86582000000000003</v>
      </c>
      <c r="BB1373" s="394">
        <v>6.7373000000000003</v>
      </c>
      <c r="BC1373" s="394"/>
      <c r="BD1373" s="381" t="s">
        <v>167</v>
      </c>
      <c r="BE1373" s="408" t="s">
        <v>175</v>
      </c>
      <c r="BF1373" s="385"/>
      <c r="BG1373" s="475">
        <v>497</v>
      </c>
      <c r="BH1373" s="395"/>
      <c r="BI1373" s="395">
        <f t="shared" si="865"/>
        <v>11.558809999999999</v>
      </c>
    </row>
    <row r="1374" spans="1:61" s="358" customFormat="1" ht="19.2" x14ac:dyDescent="0.3">
      <c r="A1374" s="359" t="s">
        <v>332</v>
      </c>
      <c r="B1374" s="602" t="s">
        <v>5107</v>
      </c>
      <c r="C1374" s="548" t="s">
        <v>5108</v>
      </c>
      <c r="D1374" s="360">
        <v>0.22</v>
      </c>
      <c r="E1374" s="528"/>
      <c r="F1374" s="523"/>
      <c r="G1374" s="393"/>
      <c r="H1374" s="394"/>
      <c r="I1374" s="394"/>
      <c r="J1374" s="394"/>
      <c r="K1374" s="394"/>
      <c r="L1374" s="394"/>
      <c r="M1374" s="394"/>
      <c r="N1374" s="394"/>
      <c r="O1374" s="394"/>
      <c r="P1374" s="394"/>
      <c r="Q1374" s="394"/>
      <c r="R1374" s="381"/>
      <c r="S1374" s="408"/>
      <c r="T1374" s="385"/>
      <c r="U1374" s="475"/>
      <c r="V1374" s="395"/>
      <c r="W1374" s="395"/>
      <c r="X1374" s="528"/>
      <c r="Y1374" s="523"/>
      <c r="Z1374" s="393"/>
      <c r="AA1374" s="394"/>
      <c r="AB1374" s="394"/>
      <c r="AC1374" s="394"/>
      <c r="AD1374" s="394"/>
      <c r="AE1374" s="394"/>
      <c r="AF1374" s="394"/>
      <c r="AG1374" s="394"/>
      <c r="AH1374" s="394"/>
      <c r="AI1374" s="394"/>
      <c r="AJ1374" s="394"/>
      <c r="AK1374" s="381"/>
      <c r="AL1374" s="408"/>
      <c r="AM1374" s="385"/>
      <c r="AN1374" s="475"/>
      <c r="AO1374" s="395"/>
      <c r="AP1374" s="395"/>
      <c r="AQ1374" s="528"/>
      <c r="AR1374" s="523">
        <v>1</v>
      </c>
      <c r="AS1374" s="393"/>
      <c r="AT1374" s="600">
        <v>11.558809999999999</v>
      </c>
      <c r="AU1374" s="394">
        <v>7.8449</v>
      </c>
      <c r="AV1374" s="394">
        <v>6.7373000000000003</v>
      </c>
      <c r="AW1374" s="394"/>
      <c r="AX1374" s="394"/>
      <c r="AY1374" s="394">
        <v>0</v>
      </c>
      <c r="AZ1374" s="394">
        <v>0</v>
      </c>
      <c r="BA1374" s="394">
        <v>0.86582000000000003</v>
      </c>
      <c r="BB1374" s="394">
        <v>6.7373000000000003</v>
      </c>
      <c r="BC1374" s="394"/>
      <c r="BD1374" s="381" t="s">
        <v>167</v>
      </c>
      <c r="BE1374" s="408" t="s">
        <v>175</v>
      </c>
      <c r="BF1374" s="385"/>
      <c r="BG1374" s="475">
        <v>498</v>
      </c>
      <c r="BH1374" s="395"/>
      <c r="BI1374" s="395">
        <f t="shared" ref="BI1374" si="875">AT1374/AR1374</f>
        <v>11.558809999999999</v>
      </c>
    </row>
    <row r="1375" spans="1:61" s="358" customFormat="1" ht="19.2" x14ac:dyDescent="0.3">
      <c r="A1375" s="359" t="s">
        <v>333</v>
      </c>
      <c r="B1375" s="602" t="s">
        <v>5109</v>
      </c>
      <c r="C1375" s="548" t="s">
        <v>5110</v>
      </c>
      <c r="D1375" s="360">
        <v>0.22</v>
      </c>
      <c r="E1375" s="528"/>
      <c r="F1375" s="523"/>
      <c r="G1375" s="393"/>
      <c r="H1375" s="394"/>
      <c r="I1375" s="394"/>
      <c r="J1375" s="394"/>
      <c r="K1375" s="394"/>
      <c r="L1375" s="394"/>
      <c r="M1375" s="394"/>
      <c r="N1375" s="394"/>
      <c r="O1375" s="394"/>
      <c r="P1375" s="394"/>
      <c r="Q1375" s="394"/>
      <c r="R1375" s="381"/>
      <c r="S1375" s="408"/>
      <c r="T1375" s="385"/>
      <c r="U1375" s="475"/>
      <c r="V1375" s="395"/>
      <c r="W1375" s="395"/>
      <c r="X1375" s="528"/>
      <c r="Y1375" s="523"/>
      <c r="Z1375" s="393"/>
      <c r="AA1375" s="394"/>
      <c r="AB1375" s="394"/>
      <c r="AC1375" s="394"/>
      <c r="AD1375" s="394"/>
      <c r="AE1375" s="394"/>
      <c r="AF1375" s="394"/>
      <c r="AG1375" s="394"/>
      <c r="AH1375" s="394"/>
      <c r="AI1375" s="394"/>
      <c r="AJ1375" s="394"/>
      <c r="AK1375" s="381"/>
      <c r="AL1375" s="408"/>
      <c r="AM1375" s="385"/>
      <c r="AN1375" s="475"/>
      <c r="AO1375" s="395"/>
      <c r="AP1375" s="395"/>
      <c r="AQ1375" s="528"/>
      <c r="AR1375" s="523">
        <v>1</v>
      </c>
      <c r="AS1375" s="393"/>
      <c r="AT1375" s="600">
        <v>11.558809999999999</v>
      </c>
      <c r="AU1375" s="394">
        <v>7.8449</v>
      </c>
      <c r="AV1375" s="394">
        <v>6.7373000000000003</v>
      </c>
      <c r="AW1375" s="394"/>
      <c r="AX1375" s="394"/>
      <c r="AY1375" s="394">
        <v>0</v>
      </c>
      <c r="AZ1375" s="394">
        <v>0</v>
      </c>
      <c r="BA1375" s="394">
        <v>0.86582000000000003</v>
      </c>
      <c r="BB1375" s="394">
        <v>6.7373000000000003</v>
      </c>
      <c r="BC1375" s="394"/>
      <c r="BD1375" s="381" t="s">
        <v>167</v>
      </c>
      <c r="BE1375" s="408" t="s">
        <v>175</v>
      </c>
      <c r="BF1375" s="385"/>
      <c r="BG1375" s="475">
        <v>499</v>
      </c>
      <c r="BH1375" s="395"/>
      <c r="BI1375" s="395">
        <f t="shared" si="865"/>
        <v>11.558809999999999</v>
      </c>
    </row>
    <row r="1376" spans="1:61" s="358" customFormat="1" ht="19.2" x14ac:dyDescent="0.3">
      <c r="A1376" s="359" t="s">
        <v>334</v>
      </c>
      <c r="B1376" s="602" t="s">
        <v>3630</v>
      </c>
      <c r="C1376" s="548" t="s">
        <v>5111</v>
      </c>
      <c r="D1376" s="360">
        <v>0.22</v>
      </c>
      <c r="E1376" s="528"/>
      <c r="F1376" s="523"/>
      <c r="G1376" s="393"/>
      <c r="H1376" s="394"/>
      <c r="I1376" s="394"/>
      <c r="J1376" s="394"/>
      <c r="K1376" s="394"/>
      <c r="L1376" s="394"/>
      <c r="M1376" s="394"/>
      <c r="N1376" s="394"/>
      <c r="O1376" s="394"/>
      <c r="P1376" s="394"/>
      <c r="Q1376" s="394"/>
      <c r="R1376" s="381"/>
      <c r="S1376" s="408"/>
      <c r="T1376" s="385"/>
      <c r="U1376" s="475"/>
      <c r="V1376" s="395"/>
      <c r="W1376" s="395"/>
      <c r="X1376" s="528"/>
      <c r="Y1376" s="523"/>
      <c r="Z1376" s="393"/>
      <c r="AA1376" s="394"/>
      <c r="AB1376" s="394"/>
      <c r="AC1376" s="394"/>
      <c r="AD1376" s="394"/>
      <c r="AE1376" s="394"/>
      <c r="AF1376" s="394"/>
      <c r="AG1376" s="394"/>
      <c r="AH1376" s="394"/>
      <c r="AI1376" s="394"/>
      <c r="AJ1376" s="394"/>
      <c r="AK1376" s="381"/>
      <c r="AL1376" s="408"/>
      <c r="AM1376" s="385"/>
      <c r="AN1376" s="475"/>
      <c r="AO1376" s="395"/>
      <c r="AP1376" s="395"/>
      <c r="AQ1376" s="528"/>
      <c r="AR1376" s="523">
        <v>1</v>
      </c>
      <c r="AS1376" s="393"/>
      <c r="AT1376" s="600">
        <v>11.558809999999999</v>
      </c>
      <c r="AU1376" s="394">
        <v>7.8449</v>
      </c>
      <c r="AV1376" s="394">
        <v>6.7373000000000003</v>
      </c>
      <c r="AW1376" s="394"/>
      <c r="AX1376" s="394"/>
      <c r="AY1376" s="394">
        <v>0</v>
      </c>
      <c r="AZ1376" s="394">
        <v>0</v>
      </c>
      <c r="BA1376" s="394">
        <v>0.86582000000000003</v>
      </c>
      <c r="BB1376" s="394">
        <v>6.7373000000000003</v>
      </c>
      <c r="BC1376" s="394"/>
      <c r="BD1376" s="381" t="s">
        <v>167</v>
      </c>
      <c r="BE1376" s="408" t="s">
        <v>175</v>
      </c>
      <c r="BF1376" s="385"/>
      <c r="BG1376" s="475">
        <v>500</v>
      </c>
      <c r="BH1376" s="395"/>
      <c r="BI1376" s="395">
        <f t="shared" si="865"/>
        <v>11.558809999999999</v>
      </c>
    </row>
    <row r="1377" spans="1:61" s="358" customFormat="1" ht="19.2" x14ac:dyDescent="0.3">
      <c r="A1377" s="359" t="s">
        <v>335</v>
      </c>
      <c r="B1377" s="602" t="s">
        <v>5112</v>
      </c>
      <c r="C1377" s="548" t="s">
        <v>5113</v>
      </c>
      <c r="D1377" s="360">
        <v>0.22</v>
      </c>
      <c r="E1377" s="528"/>
      <c r="F1377" s="523"/>
      <c r="G1377" s="393"/>
      <c r="H1377" s="394"/>
      <c r="I1377" s="394"/>
      <c r="J1377" s="394"/>
      <c r="K1377" s="394"/>
      <c r="L1377" s="394"/>
      <c r="M1377" s="394"/>
      <c r="N1377" s="394"/>
      <c r="O1377" s="394"/>
      <c r="P1377" s="394"/>
      <c r="Q1377" s="394"/>
      <c r="R1377" s="381"/>
      <c r="S1377" s="408"/>
      <c r="T1377" s="385"/>
      <c r="U1377" s="475"/>
      <c r="V1377" s="395"/>
      <c r="W1377" s="395"/>
      <c r="X1377" s="528"/>
      <c r="Y1377" s="523"/>
      <c r="Z1377" s="393"/>
      <c r="AA1377" s="394"/>
      <c r="AB1377" s="394"/>
      <c r="AC1377" s="394"/>
      <c r="AD1377" s="394"/>
      <c r="AE1377" s="394"/>
      <c r="AF1377" s="394"/>
      <c r="AG1377" s="394"/>
      <c r="AH1377" s="394"/>
      <c r="AI1377" s="394"/>
      <c r="AJ1377" s="394"/>
      <c r="AK1377" s="381"/>
      <c r="AL1377" s="408"/>
      <c r="AM1377" s="385"/>
      <c r="AN1377" s="475"/>
      <c r="AO1377" s="395"/>
      <c r="AP1377" s="395"/>
      <c r="AQ1377" s="528"/>
      <c r="AR1377" s="523">
        <v>1</v>
      </c>
      <c r="AS1377" s="393"/>
      <c r="AT1377" s="600">
        <v>11.5588</v>
      </c>
      <c r="AU1377" s="394">
        <v>7.8448900000000004</v>
      </c>
      <c r="AV1377" s="394">
        <v>6.7373000000000003</v>
      </c>
      <c r="AW1377" s="394"/>
      <c r="AX1377" s="394"/>
      <c r="AY1377" s="394">
        <v>0</v>
      </c>
      <c r="AZ1377" s="394">
        <v>0</v>
      </c>
      <c r="BA1377" s="394">
        <v>0.86582000000000003</v>
      </c>
      <c r="BB1377" s="394">
        <v>6.7373000000000003</v>
      </c>
      <c r="BC1377" s="394"/>
      <c r="BD1377" s="381" t="s">
        <v>167</v>
      </c>
      <c r="BE1377" s="408" t="s">
        <v>175</v>
      </c>
      <c r="BF1377" s="385"/>
      <c r="BG1377" s="475">
        <v>501</v>
      </c>
      <c r="BH1377" s="395"/>
      <c r="BI1377" s="395">
        <f t="shared" ref="BI1377" si="876">AT1377/AR1377</f>
        <v>11.5588</v>
      </c>
    </row>
    <row r="1378" spans="1:61" s="358" customFormat="1" ht="19.2" x14ac:dyDescent="0.3">
      <c r="A1378" s="359" t="s">
        <v>336</v>
      </c>
      <c r="B1378" s="602" t="s">
        <v>5114</v>
      </c>
      <c r="C1378" s="548" t="s">
        <v>5115</v>
      </c>
      <c r="D1378" s="360">
        <v>0.22</v>
      </c>
      <c r="E1378" s="528"/>
      <c r="F1378" s="523"/>
      <c r="G1378" s="393"/>
      <c r="H1378" s="394"/>
      <c r="I1378" s="394"/>
      <c r="J1378" s="394"/>
      <c r="K1378" s="394"/>
      <c r="L1378" s="394"/>
      <c r="M1378" s="394"/>
      <c r="N1378" s="394"/>
      <c r="O1378" s="394"/>
      <c r="P1378" s="394"/>
      <c r="Q1378" s="394"/>
      <c r="R1378" s="381"/>
      <c r="S1378" s="408"/>
      <c r="T1378" s="385"/>
      <c r="U1378" s="475"/>
      <c r="V1378" s="395"/>
      <c r="W1378" s="395"/>
      <c r="X1378" s="528"/>
      <c r="Y1378" s="523"/>
      <c r="Z1378" s="393"/>
      <c r="AA1378" s="394"/>
      <c r="AB1378" s="394"/>
      <c r="AC1378" s="394"/>
      <c r="AD1378" s="394"/>
      <c r="AE1378" s="394"/>
      <c r="AF1378" s="394"/>
      <c r="AG1378" s="394"/>
      <c r="AH1378" s="394"/>
      <c r="AI1378" s="394"/>
      <c r="AJ1378" s="394"/>
      <c r="AK1378" s="381"/>
      <c r="AL1378" s="408"/>
      <c r="AM1378" s="385"/>
      <c r="AN1378" s="475"/>
      <c r="AO1378" s="395"/>
      <c r="AP1378" s="395"/>
      <c r="AQ1378" s="528"/>
      <c r="AR1378" s="523">
        <v>1</v>
      </c>
      <c r="AS1378" s="393"/>
      <c r="AT1378" s="600">
        <v>7.6760599999999997</v>
      </c>
      <c r="AU1378" s="394">
        <v>6.9075600000000001</v>
      </c>
      <c r="AV1378" s="394">
        <v>6.73733</v>
      </c>
      <c r="AW1378" s="394"/>
      <c r="AX1378" s="394"/>
      <c r="AY1378" s="394">
        <v>0</v>
      </c>
      <c r="AZ1378" s="394">
        <v>0</v>
      </c>
      <c r="BA1378" s="394">
        <v>0.17916000000000001</v>
      </c>
      <c r="BB1378" s="394">
        <v>6.73733</v>
      </c>
      <c r="BC1378" s="394"/>
      <c r="BD1378" s="381" t="s">
        <v>167</v>
      </c>
      <c r="BE1378" s="408" t="s">
        <v>175</v>
      </c>
      <c r="BF1378" s="385"/>
      <c r="BG1378" s="475">
        <v>502</v>
      </c>
      <c r="BH1378" s="395"/>
      <c r="BI1378" s="395">
        <f t="shared" si="865"/>
        <v>7.6760599999999997</v>
      </c>
    </row>
    <row r="1379" spans="1:61" s="358" customFormat="1" ht="19.2" x14ac:dyDescent="0.3">
      <c r="A1379" s="359" t="s">
        <v>337</v>
      </c>
      <c r="B1379" s="602" t="s">
        <v>5116</v>
      </c>
      <c r="C1379" s="548" t="s">
        <v>5117</v>
      </c>
      <c r="D1379" s="360">
        <v>0.22</v>
      </c>
      <c r="E1379" s="528"/>
      <c r="F1379" s="523"/>
      <c r="G1379" s="393"/>
      <c r="H1379" s="394"/>
      <c r="I1379" s="394"/>
      <c r="J1379" s="394"/>
      <c r="K1379" s="394"/>
      <c r="L1379" s="394"/>
      <c r="M1379" s="394"/>
      <c r="N1379" s="394"/>
      <c r="O1379" s="394"/>
      <c r="P1379" s="394"/>
      <c r="Q1379" s="394"/>
      <c r="R1379" s="381"/>
      <c r="S1379" s="408"/>
      <c r="T1379" s="385"/>
      <c r="U1379" s="475"/>
      <c r="V1379" s="395"/>
      <c r="W1379" s="395"/>
      <c r="X1379" s="528"/>
      <c r="Y1379" s="523"/>
      <c r="Z1379" s="393"/>
      <c r="AA1379" s="394"/>
      <c r="AB1379" s="394"/>
      <c r="AC1379" s="394"/>
      <c r="AD1379" s="394"/>
      <c r="AE1379" s="394"/>
      <c r="AF1379" s="394"/>
      <c r="AG1379" s="394"/>
      <c r="AH1379" s="394"/>
      <c r="AI1379" s="394"/>
      <c r="AJ1379" s="394"/>
      <c r="AK1379" s="381"/>
      <c r="AL1379" s="408"/>
      <c r="AM1379" s="385"/>
      <c r="AN1379" s="475"/>
      <c r="AO1379" s="395"/>
      <c r="AP1379" s="395"/>
      <c r="AQ1379" s="528"/>
      <c r="AR1379" s="523">
        <v>1</v>
      </c>
      <c r="AS1379" s="393"/>
      <c r="AT1379" s="600">
        <v>23.117629999999998</v>
      </c>
      <c r="AU1379" s="394">
        <v>15.6898</v>
      </c>
      <c r="AV1379" s="394">
        <v>13.474600000000001</v>
      </c>
      <c r="AW1379" s="394"/>
      <c r="AX1379" s="394"/>
      <c r="AY1379" s="394">
        <v>0</v>
      </c>
      <c r="AZ1379" s="394">
        <v>0</v>
      </c>
      <c r="BA1379" s="394">
        <v>1.7316400000000001</v>
      </c>
      <c r="BB1379" s="394">
        <v>6.7672999999999996</v>
      </c>
      <c r="BC1379" s="394"/>
      <c r="BD1379" s="381" t="s">
        <v>167</v>
      </c>
      <c r="BE1379" s="408" t="s">
        <v>175</v>
      </c>
      <c r="BF1379" s="385"/>
      <c r="BG1379" s="475">
        <v>503</v>
      </c>
      <c r="BH1379" s="395"/>
      <c r="BI1379" s="395">
        <f t="shared" ref="BI1379" si="877">AT1379/AR1379</f>
        <v>23.117629999999998</v>
      </c>
    </row>
    <row r="1380" spans="1:61" s="358" customFormat="1" ht="19.2" x14ac:dyDescent="0.3">
      <c r="A1380" s="359" t="s">
        <v>338</v>
      </c>
      <c r="B1380" s="602" t="s">
        <v>5118</v>
      </c>
      <c r="C1380" s="548" t="s">
        <v>5119</v>
      </c>
      <c r="D1380" s="360">
        <v>0.22</v>
      </c>
      <c r="E1380" s="528"/>
      <c r="F1380" s="523"/>
      <c r="G1380" s="393"/>
      <c r="H1380" s="394"/>
      <c r="I1380" s="394"/>
      <c r="J1380" s="394"/>
      <c r="K1380" s="394"/>
      <c r="L1380" s="394"/>
      <c r="M1380" s="394"/>
      <c r="N1380" s="394"/>
      <c r="O1380" s="394"/>
      <c r="P1380" s="394"/>
      <c r="Q1380" s="394"/>
      <c r="R1380" s="381"/>
      <c r="S1380" s="408"/>
      <c r="T1380" s="385"/>
      <c r="U1380" s="475"/>
      <c r="V1380" s="395"/>
      <c r="W1380" s="395"/>
      <c r="X1380" s="528"/>
      <c r="Y1380" s="523"/>
      <c r="Z1380" s="393"/>
      <c r="AA1380" s="394"/>
      <c r="AB1380" s="394"/>
      <c r="AC1380" s="394"/>
      <c r="AD1380" s="394"/>
      <c r="AE1380" s="394"/>
      <c r="AF1380" s="394"/>
      <c r="AG1380" s="394"/>
      <c r="AH1380" s="394"/>
      <c r="AI1380" s="394"/>
      <c r="AJ1380" s="394"/>
      <c r="AK1380" s="381"/>
      <c r="AL1380" s="408"/>
      <c r="AM1380" s="385"/>
      <c r="AN1380" s="475"/>
      <c r="AO1380" s="395"/>
      <c r="AP1380" s="395"/>
      <c r="AQ1380" s="528"/>
      <c r="AR1380" s="523">
        <v>1</v>
      </c>
      <c r="AS1380" s="393"/>
      <c r="AT1380" s="600">
        <v>11.55883</v>
      </c>
      <c r="AU1380" s="394">
        <v>7.8449200000000001</v>
      </c>
      <c r="AV1380" s="394">
        <v>6.7373200000000004</v>
      </c>
      <c r="AW1380" s="394"/>
      <c r="AX1380" s="394"/>
      <c r="AY1380" s="394">
        <v>0</v>
      </c>
      <c r="AZ1380" s="394">
        <v>0</v>
      </c>
      <c r="BA1380" s="394">
        <v>0.86582000000000003</v>
      </c>
      <c r="BB1380" s="394">
        <v>6.7373200000000004</v>
      </c>
      <c r="BC1380" s="394"/>
      <c r="BD1380" s="381" t="s">
        <v>167</v>
      </c>
      <c r="BE1380" s="408" t="s">
        <v>175</v>
      </c>
      <c r="BF1380" s="385"/>
      <c r="BG1380" s="475">
        <v>504</v>
      </c>
      <c r="BH1380" s="395"/>
      <c r="BI1380" s="395">
        <f t="shared" si="865"/>
        <v>11.55883</v>
      </c>
    </row>
    <row r="1381" spans="1:61" s="358" customFormat="1" ht="19.2" x14ac:dyDescent="0.3">
      <c r="A1381" s="359" t="s">
        <v>339</v>
      </c>
      <c r="B1381" s="602" t="s">
        <v>4721</v>
      </c>
      <c r="C1381" s="548" t="s">
        <v>5120</v>
      </c>
      <c r="D1381" s="360">
        <v>0.22</v>
      </c>
      <c r="E1381" s="528"/>
      <c r="F1381" s="523"/>
      <c r="G1381" s="393"/>
      <c r="H1381" s="394"/>
      <c r="I1381" s="394"/>
      <c r="J1381" s="394"/>
      <c r="K1381" s="394"/>
      <c r="L1381" s="394"/>
      <c r="M1381" s="394"/>
      <c r="N1381" s="394"/>
      <c r="O1381" s="394"/>
      <c r="P1381" s="394"/>
      <c r="Q1381" s="394"/>
      <c r="R1381" s="381"/>
      <c r="S1381" s="408"/>
      <c r="T1381" s="385"/>
      <c r="U1381" s="475"/>
      <c r="V1381" s="395"/>
      <c r="W1381" s="395"/>
      <c r="X1381" s="528"/>
      <c r="Y1381" s="523"/>
      <c r="Z1381" s="393"/>
      <c r="AA1381" s="394"/>
      <c r="AB1381" s="394"/>
      <c r="AC1381" s="394"/>
      <c r="AD1381" s="394"/>
      <c r="AE1381" s="394"/>
      <c r="AF1381" s="394"/>
      <c r="AG1381" s="394"/>
      <c r="AH1381" s="394"/>
      <c r="AI1381" s="394"/>
      <c r="AJ1381" s="394"/>
      <c r="AK1381" s="381"/>
      <c r="AL1381" s="408"/>
      <c r="AM1381" s="385"/>
      <c r="AN1381" s="475"/>
      <c r="AO1381" s="395"/>
      <c r="AP1381" s="395"/>
      <c r="AQ1381" s="528"/>
      <c r="AR1381" s="523">
        <v>1</v>
      </c>
      <c r="AS1381" s="393"/>
      <c r="AT1381" s="600">
        <v>11.5588</v>
      </c>
      <c r="AU1381" s="394">
        <v>7.8448900000000004</v>
      </c>
      <c r="AV1381" s="394">
        <v>6.7373000000000003</v>
      </c>
      <c r="AW1381" s="394"/>
      <c r="AX1381" s="394"/>
      <c r="AY1381" s="394">
        <v>0</v>
      </c>
      <c r="AZ1381" s="394">
        <v>0</v>
      </c>
      <c r="BA1381" s="394">
        <v>0.86531999999999998</v>
      </c>
      <c r="BB1381" s="394">
        <v>6.7373000000000003</v>
      </c>
      <c r="BC1381" s="394"/>
      <c r="BD1381" s="381" t="s">
        <v>167</v>
      </c>
      <c r="BE1381" s="408" t="s">
        <v>175</v>
      </c>
      <c r="BF1381" s="385"/>
      <c r="BG1381" s="475">
        <v>505</v>
      </c>
      <c r="BH1381" s="395"/>
      <c r="BI1381" s="395">
        <f t="shared" ref="BI1381" si="878">AT1381/AR1381</f>
        <v>11.5588</v>
      </c>
    </row>
    <row r="1382" spans="1:61" s="358" customFormat="1" ht="19.2" x14ac:dyDescent="0.3">
      <c r="A1382" s="359" t="s">
        <v>340</v>
      </c>
      <c r="B1382" s="602" t="s">
        <v>4721</v>
      </c>
      <c r="C1382" s="548" t="s">
        <v>5121</v>
      </c>
      <c r="D1382" s="360">
        <v>0.22</v>
      </c>
      <c r="E1382" s="528"/>
      <c r="F1382" s="523"/>
      <c r="G1382" s="393"/>
      <c r="H1382" s="394"/>
      <c r="I1382" s="394"/>
      <c r="J1382" s="394"/>
      <c r="K1382" s="394"/>
      <c r="L1382" s="394"/>
      <c r="M1382" s="394"/>
      <c r="N1382" s="394"/>
      <c r="O1382" s="394"/>
      <c r="P1382" s="394"/>
      <c r="Q1382" s="394"/>
      <c r="R1382" s="381"/>
      <c r="S1382" s="408"/>
      <c r="T1382" s="385"/>
      <c r="U1382" s="475"/>
      <c r="V1382" s="395"/>
      <c r="W1382" s="395"/>
      <c r="X1382" s="528"/>
      <c r="Y1382" s="523"/>
      <c r="Z1382" s="393"/>
      <c r="AA1382" s="394"/>
      <c r="AB1382" s="394"/>
      <c r="AC1382" s="394"/>
      <c r="AD1382" s="394"/>
      <c r="AE1382" s="394"/>
      <c r="AF1382" s="394"/>
      <c r="AG1382" s="394"/>
      <c r="AH1382" s="394"/>
      <c r="AI1382" s="394"/>
      <c r="AJ1382" s="394"/>
      <c r="AK1382" s="381"/>
      <c r="AL1382" s="408"/>
      <c r="AM1382" s="385"/>
      <c r="AN1382" s="475"/>
      <c r="AO1382" s="395"/>
      <c r="AP1382" s="395"/>
      <c r="AQ1382" s="528"/>
      <c r="AR1382" s="523">
        <v>1</v>
      </c>
      <c r="AS1382" s="393"/>
      <c r="AT1382" s="600">
        <v>11.5588</v>
      </c>
      <c r="AU1382" s="394">
        <v>7.8448900000000004</v>
      </c>
      <c r="AV1382" s="394">
        <v>6.7373000000000003</v>
      </c>
      <c r="AW1382" s="394"/>
      <c r="AX1382" s="394"/>
      <c r="AY1382" s="394">
        <v>0</v>
      </c>
      <c r="AZ1382" s="394">
        <v>0</v>
      </c>
      <c r="BA1382" s="394">
        <v>0.86531999999999998</v>
      </c>
      <c r="BB1382" s="394">
        <v>6.7373000000000003</v>
      </c>
      <c r="BC1382" s="394"/>
      <c r="BD1382" s="381" t="s">
        <v>167</v>
      </c>
      <c r="BE1382" s="408" t="s">
        <v>175</v>
      </c>
      <c r="BF1382" s="385"/>
      <c r="BG1382" s="475">
        <v>506</v>
      </c>
      <c r="BH1382" s="395"/>
      <c r="BI1382" s="395">
        <f t="shared" si="865"/>
        <v>11.5588</v>
      </c>
    </row>
    <row r="1383" spans="1:61" s="358" customFormat="1" ht="19.2" x14ac:dyDescent="0.3">
      <c r="A1383" s="359" t="s">
        <v>341</v>
      </c>
      <c r="B1383" s="602" t="s">
        <v>5122</v>
      </c>
      <c r="C1383" s="548" t="s">
        <v>5123</v>
      </c>
      <c r="D1383" s="360">
        <v>0.22</v>
      </c>
      <c r="E1383" s="528"/>
      <c r="F1383" s="523"/>
      <c r="G1383" s="393"/>
      <c r="H1383" s="394"/>
      <c r="I1383" s="394"/>
      <c r="J1383" s="394"/>
      <c r="K1383" s="394"/>
      <c r="L1383" s="394"/>
      <c r="M1383" s="394"/>
      <c r="N1383" s="394"/>
      <c r="O1383" s="394"/>
      <c r="P1383" s="394"/>
      <c r="Q1383" s="394"/>
      <c r="R1383" s="381"/>
      <c r="S1383" s="408"/>
      <c r="T1383" s="385"/>
      <c r="U1383" s="475"/>
      <c r="V1383" s="395"/>
      <c r="W1383" s="395"/>
      <c r="X1383" s="528"/>
      <c r="Y1383" s="523"/>
      <c r="Z1383" s="393"/>
      <c r="AA1383" s="394"/>
      <c r="AB1383" s="394"/>
      <c r="AC1383" s="394"/>
      <c r="AD1383" s="394"/>
      <c r="AE1383" s="394"/>
      <c r="AF1383" s="394"/>
      <c r="AG1383" s="394"/>
      <c r="AH1383" s="394"/>
      <c r="AI1383" s="394"/>
      <c r="AJ1383" s="394"/>
      <c r="AK1383" s="381"/>
      <c r="AL1383" s="408"/>
      <c r="AM1383" s="385"/>
      <c r="AN1383" s="475"/>
      <c r="AO1383" s="395"/>
      <c r="AP1383" s="395"/>
      <c r="AQ1383" s="528"/>
      <c r="AR1383" s="523">
        <v>1</v>
      </c>
      <c r="AS1383" s="393"/>
      <c r="AT1383" s="600">
        <v>11.55878</v>
      </c>
      <c r="AU1383" s="394">
        <v>7.8448700000000002</v>
      </c>
      <c r="AV1383" s="394">
        <v>6.7373000000000003</v>
      </c>
      <c r="AW1383" s="394"/>
      <c r="AX1383" s="394"/>
      <c r="AY1383" s="394">
        <v>0</v>
      </c>
      <c r="AZ1383" s="394">
        <v>0</v>
      </c>
      <c r="BA1383" s="394">
        <v>0.86531999999999998</v>
      </c>
      <c r="BB1383" s="394">
        <v>6.7373000000000003</v>
      </c>
      <c r="BC1383" s="394"/>
      <c r="BD1383" s="381" t="s">
        <v>167</v>
      </c>
      <c r="BE1383" s="408" t="s">
        <v>175</v>
      </c>
      <c r="BF1383" s="385"/>
      <c r="BG1383" s="475">
        <v>507</v>
      </c>
      <c r="BH1383" s="395"/>
      <c r="BI1383" s="395">
        <f t="shared" ref="BI1383:BI1546" si="879">AT1383/AR1383</f>
        <v>11.55878</v>
      </c>
    </row>
    <row r="1384" spans="1:61" s="358" customFormat="1" ht="19.2" x14ac:dyDescent="0.3">
      <c r="A1384" s="359" t="s">
        <v>342</v>
      </c>
      <c r="B1384" s="602" t="s">
        <v>5124</v>
      </c>
      <c r="C1384" s="548" t="s">
        <v>5125</v>
      </c>
      <c r="D1384" s="360">
        <v>0.22</v>
      </c>
      <c r="E1384" s="528"/>
      <c r="F1384" s="523"/>
      <c r="G1384" s="393"/>
      <c r="H1384" s="394"/>
      <c r="I1384" s="394"/>
      <c r="J1384" s="394"/>
      <c r="K1384" s="394"/>
      <c r="L1384" s="394"/>
      <c r="M1384" s="394"/>
      <c r="N1384" s="394"/>
      <c r="O1384" s="394"/>
      <c r="P1384" s="394"/>
      <c r="Q1384" s="394"/>
      <c r="R1384" s="381"/>
      <c r="S1384" s="408"/>
      <c r="T1384" s="385"/>
      <c r="U1384" s="475"/>
      <c r="V1384" s="395"/>
      <c r="W1384" s="395"/>
      <c r="X1384" s="528"/>
      <c r="Y1384" s="523"/>
      <c r="Z1384" s="393"/>
      <c r="AA1384" s="394"/>
      <c r="AB1384" s="394"/>
      <c r="AC1384" s="394"/>
      <c r="AD1384" s="394"/>
      <c r="AE1384" s="394"/>
      <c r="AF1384" s="394"/>
      <c r="AG1384" s="394"/>
      <c r="AH1384" s="394"/>
      <c r="AI1384" s="394"/>
      <c r="AJ1384" s="394"/>
      <c r="AK1384" s="381"/>
      <c r="AL1384" s="408"/>
      <c r="AM1384" s="385"/>
      <c r="AN1384" s="475"/>
      <c r="AO1384" s="395"/>
      <c r="AP1384" s="395"/>
      <c r="AQ1384" s="528"/>
      <c r="AR1384" s="523">
        <v>1</v>
      </c>
      <c r="AS1384" s="393"/>
      <c r="AT1384" s="600">
        <v>11.22725</v>
      </c>
      <c r="AU1384" s="394">
        <v>7.5133400000000004</v>
      </c>
      <c r="AV1384" s="394">
        <v>6.7373000000000003</v>
      </c>
      <c r="AW1384" s="394"/>
      <c r="AX1384" s="394"/>
      <c r="AY1384" s="394">
        <v>0</v>
      </c>
      <c r="AZ1384" s="394">
        <v>0</v>
      </c>
      <c r="BA1384" s="394">
        <v>0.86582000000000003</v>
      </c>
      <c r="BB1384" s="394">
        <v>6.7373000000000003</v>
      </c>
      <c r="BC1384" s="394"/>
      <c r="BD1384" s="381" t="s">
        <v>167</v>
      </c>
      <c r="BE1384" s="408" t="s">
        <v>175</v>
      </c>
      <c r="BF1384" s="385"/>
      <c r="BG1384" s="475">
        <v>508</v>
      </c>
      <c r="BH1384" s="395"/>
      <c r="BI1384" s="395">
        <f t="shared" ref="BI1384" si="880">AT1384/AR1384</f>
        <v>11.22725</v>
      </c>
    </row>
    <row r="1385" spans="1:61" s="358" customFormat="1" ht="19.2" x14ac:dyDescent="0.3">
      <c r="A1385" s="359" t="s">
        <v>343</v>
      </c>
      <c r="B1385" s="602" t="s">
        <v>5126</v>
      </c>
      <c r="C1385" s="548" t="s">
        <v>5127</v>
      </c>
      <c r="D1385" s="360">
        <v>0.22</v>
      </c>
      <c r="E1385" s="528"/>
      <c r="F1385" s="523"/>
      <c r="G1385" s="393"/>
      <c r="H1385" s="394"/>
      <c r="I1385" s="394"/>
      <c r="J1385" s="394"/>
      <c r="K1385" s="394"/>
      <c r="L1385" s="394"/>
      <c r="M1385" s="394"/>
      <c r="N1385" s="394"/>
      <c r="O1385" s="394"/>
      <c r="P1385" s="394"/>
      <c r="Q1385" s="394"/>
      <c r="R1385" s="381"/>
      <c r="S1385" s="408"/>
      <c r="T1385" s="385"/>
      <c r="U1385" s="475"/>
      <c r="V1385" s="395"/>
      <c r="W1385" s="395"/>
      <c r="X1385" s="528"/>
      <c r="Y1385" s="523"/>
      <c r="Z1385" s="393"/>
      <c r="AA1385" s="394"/>
      <c r="AB1385" s="394"/>
      <c r="AC1385" s="394"/>
      <c r="AD1385" s="394"/>
      <c r="AE1385" s="394"/>
      <c r="AF1385" s="394"/>
      <c r="AG1385" s="394"/>
      <c r="AH1385" s="394"/>
      <c r="AI1385" s="394"/>
      <c r="AJ1385" s="394"/>
      <c r="AK1385" s="381"/>
      <c r="AL1385" s="408"/>
      <c r="AM1385" s="385"/>
      <c r="AN1385" s="475"/>
      <c r="AO1385" s="395"/>
      <c r="AP1385" s="395"/>
      <c r="AQ1385" s="528"/>
      <c r="AR1385" s="523">
        <v>1</v>
      </c>
      <c r="AS1385" s="393"/>
      <c r="AT1385" s="600">
        <v>11.55885</v>
      </c>
      <c r="AU1385" s="394">
        <v>7.8449400000000002</v>
      </c>
      <c r="AV1385" s="394">
        <v>6.7373000000000003</v>
      </c>
      <c r="AW1385" s="394"/>
      <c r="AX1385" s="394"/>
      <c r="AY1385" s="394">
        <v>0</v>
      </c>
      <c r="AZ1385" s="394">
        <v>0</v>
      </c>
      <c r="BA1385" s="394">
        <v>0.86531999999999998</v>
      </c>
      <c r="BB1385" s="394">
        <v>6.7373000000000003</v>
      </c>
      <c r="BC1385" s="394"/>
      <c r="BD1385" s="381" t="s">
        <v>167</v>
      </c>
      <c r="BE1385" s="408" t="s">
        <v>175</v>
      </c>
      <c r="BF1385" s="385"/>
      <c r="BG1385" s="475">
        <v>509</v>
      </c>
      <c r="BH1385" s="395"/>
      <c r="BI1385" s="395">
        <f t="shared" si="879"/>
        <v>11.55885</v>
      </c>
    </row>
    <row r="1386" spans="1:61" s="358" customFormat="1" ht="19.2" x14ac:dyDescent="0.3">
      <c r="A1386" s="359" t="s">
        <v>344</v>
      </c>
      <c r="B1386" s="602" t="s">
        <v>5128</v>
      </c>
      <c r="C1386" s="548" t="s">
        <v>5129</v>
      </c>
      <c r="D1386" s="360">
        <v>0.22</v>
      </c>
      <c r="E1386" s="528"/>
      <c r="F1386" s="523"/>
      <c r="G1386" s="393"/>
      <c r="H1386" s="394"/>
      <c r="I1386" s="394"/>
      <c r="J1386" s="394"/>
      <c r="K1386" s="394"/>
      <c r="L1386" s="394"/>
      <c r="M1386" s="394"/>
      <c r="N1386" s="394"/>
      <c r="O1386" s="394"/>
      <c r="P1386" s="394"/>
      <c r="Q1386" s="394"/>
      <c r="R1386" s="381"/>
      <c r="S1386" s="408"/>
      <c r="T1386" s="385"/>
      <c r="U1386" s="475"/>
      <c r="V1386" s="395"/>
      <c r="W1386" s="395"/>
      <c r="X1386" s="528"/>
      <c r="Y1386" s="523"/>
      <c r="Z1386" s="393"/>
      <c r="AA1386" s="394"/>
      <c r="AB1386" s="394"/>
      <c r="AC1386" s="394"/>
      <c r="AD1386" s="394"/>
      <c r="AE1386" s="394"/>
      <c r="AF1386" s="394"/>
      <c r="AG1386" s="394"/>
      <c r="AH1386" s="394"/>
      <c r="AI1386" s="394"/>
      <c r="AJ1386" s="394"/>
      <c r="AK1386" s="381"/>
      <c r="AL1386" s="408"/>
      <c r="AM1386" s="385"/>
      <c r="AN1386" s="475"/>
      <c r="AO1386" s="395"/>
      <c r="AP1386" s="395"/>
      <c r="AQ1386" s="528"/>
      <c r="AR1386" s="523">
        <v>1</v>
      </c>
      <c r="AS1386" s="393"/>
      <c r="AT1386" s="600">
        <v>11.5588</v>
      </c>
      <c r="AU1386" s="394">
        <v>7.8448900000000004</v>
      </c>
      <c r="AV1386" s="394">
        <v>6.7373000000000003</v>
      </c>
      <c r="AW1386" s="394"/>
      <c r="AX1386" s="394"/>
      <c r="AY1386" s="394">
        <v>0</v>
      </c>
      <c r="AZ1386" s="394">
        <v>0</v>
      </c>
      <c r="BA1386" s="394">
        <v>0.86531999999999998</v>
      </c>
      <c r="BB1386" s="394">
        <v>6.7373000000000003</v>
      </c>
      <c r="BC1386" s="394"/>
      <c r="BD1386" s="381" t="s">
        <v>167</v>
      </c>
      <c r="BE1386" s="408" t="s">
        <v>175</v>
      </c>
      <c r="BF1386" s="385"/>
      <c r="BG1386" s="475">
        <v>510</v>
      </c>
      <c r="BH1386" s="395"/>
      <c r="BI1386" s="395">
        <f t="shared" ref="BI1386" si="881">AT1386/AR1386</f>
        <v>11.5588</v>
      </c>
    </row>
    <row r="1387" spans="1:61" s="358" customFormat="1" ht="19.2" x14ac:dyDescent="0.3">
      <c r="A1387" s="359" t="s">
        <v>345</v>
      </c>
      <c r="B1387" s="602" t="s">
        <v>646</v>
      </c>
      <c r="C1387" s="548" t="s">
        <v>5130</v>
      </c>
      <c r="D1387" s="360">
        <v>0.22</v>
      </c>
      <c r="E1387" s="528"/>
      <c r="F1387" s="523"/>
      <c r="G1387" s="393"/>
      <c r="H1387" s="394"/>
      <c r="I1387" s="394"/>
      <c r="J1387" s="394"/>
      <c r="K1387" s="394"/>
      <c r="L1387" s="394"/>
      <c r="M1387" s="394"/>
      <c r="N1387" s="394"/>
      <c r="O1387" s="394"/>
      <c r="P1387" s="394"/>
      <c r="Q1387" s="394"/>
      <c r="R1387" s="381"/>
      <c r="S1387" s="408"/>
      <c r="T1387" s="385"/>
      <c r="U1387" s="475"/>
      <c r="V1387" s="395"/>
      <c r="W1387" s="395"/>
      <c r="X1387" s="528"/>
      <c r="Y1387" s="523"/>
      <c r="Z1387" s="393"/>
      <c r="AA1387" s="394"/>
      <c r="AB1387" s="394"/>
      <c r="AC1387" s="394"/>
      <c r="AD1387" s="394"/>
      <c r="AE1387" s="394"/>
      <c r="AF1387" s="394"/>
      <c r="AG1387" s="394"/>
      <c r="AH1387" s="394"/>
      <c r="AI1387" s="394"/>
      <c r="AJ1387" s="394"/>
      <c r="AK1387" s="381"/>
      <c r="AL1387" s="408"/>
      <c r="AM1387" s="385"/>
      <c r="AN1387" s="475"/>
      <c r="AO1387" s="395"/>
      <c r="AP1387" s="395"/>
      <c r="AQ1387" s="528"/>
      <c r="AR1387" s="523">
        <v>1</v>
      </c>
      <c r="AS1387" s="393"/>
      <c r="AT1387" s="600">
        <v>11.55883</v>
      </c>
      <c r="AU1387" s="394">
        <v>7.8448919999999998</v>
      </c>
      <c r="AV1387" s="394">
        <v>6.7373000000000003</v>
      </c>
      <c r="AW1387" s="394"/>
      <c r="AX1387" s="394"/>
      <c r="AY1387" s="394">
        <v>0</v>
      </c>
      <c r="AZ1387" s="394">
        <v>0</v>
      </c>
      <c r="BA1387" s="394">
        <v>0.86531999999999998</v>
      </c>
      <c r="BB1387" s="394">
        <v>6.7373000000000003</v>
      </c>
      <c r="BC1387" s="394"/>
      <c r="BD1387" s="381" t="s">
        <v>167</v>
      </c>
      <c r="BE1387" s="408" t="s">
        <v>175</v>
      </c>
      <c r="BF1387" s="385"/>
      <c r="BG1387" s="475">
        <v>511</v>
      </c>
      <c r="BH1387" s="395"/>
      <c r="BI1387" s="395">
        <f t="shared" si="879"/>
        <v>11.55883</v>
      </c>
    </row>
    <row r="1388" spans="1:61" s="358" customFormat="1" ht="19.2" x14ac:dyDescent="0.3">
      <c r="A1388" s="359" t="s">
        <v>346</v>
      </c>
      <c r="B1388" s="602" t="s">
        <v>5131</v>
      </c>
      <c r="C1388" s="548" t="s">
        <v>5132</v>
      </c>
      <c r="D1388" s="360">
        <v>0.22</v>
      </c>
      <c r="E1388" s="528"/>
      <c r="F1388" s="523"/>
      <c r="G1388" s="393"/>
      <c r="H1388" s="394"/>
      <c r="I1388" s="394"/>
      <c r="J1388" s="394"/>
      <c r="K1388" s="394"/>
      <c r="L1388" s="394"/>
      <c r="M1388" s="394"/>
      <c r="N1388" s="394"/>
      <c r="O1388" s="394"/>
      <c r="P1388" s="394"/>
      <c r="Q1388" s="394"/>
      <c r="R1388" s="381"/>
      <c r="S1388" s="408"/>
      <c r="T1388" s="385"/>
      <c r="U1388" s="475"/>
      <c r="V1388" s="395"/>
      <c r="W1388" s="395"/>
      <c r="X1388" s="528"/>
      <c r="Y1388" s="523"/>
      <c r="Z1388" s="393"/>
      <c r="AA1388" s="394"/>
      <c r="AB1388" s="394"/>
      <c r="AC1388" s="394"/>
      <c r="AD1388" s="394"/>
      <c r="AE1388" s="394"/>
      <c r="AF1388" s="394"/>
      <c r="AG1388" s="394"/>
      <c r="AH1388" s="394"/>
      <c r="AI1388" s="394"/>
      <c r="AJ1388" s="394"/>
      <c r="AK1388" s="381"/>
      <c r="AL1388" s="408"/>
      <c r="AM1388" s="385"/>
      <c r="AN1388" s="475"/>
      <c r="AO1388" s="395"/>
      <c r="AP1388" s="395"/>
      <c r="AQ1388" s="528"/>
      <c r="AR1388" s="523">
        <v>1</v>
      </c>
      <c r="AS1388" s="393"/>
      <c r="AT1388" s="600">
        <v>11.558809999999999</v>
      </c>
      <c r="AU1388" s="394">
        <v>7.8448900000000004</v>
      </c>
      <c r="AV1388" s="394">
        <v>6.7373000000000003</v>
      </c>
      <c r="AW1388" s="394"/>
      <c r="AX1388" s="394"/>
      <c r="AY1388" s="394">
        <v>0</v>
      </c>
      <c r="AZ1388" s="394">
        <v>0</v>
      </c>
      <c r="BA1388" s="394">
        <v>0.86531999999999998</v>
      </c>
      <c r="BB1388" s="394">
        <v>6.7373000000000003</v>
      </c>
      <c r="BC1388" s="394"/>
      <c r="BD1388" s="381" t="s">
        <v>167</v>
      </c>
      <c r="BE1388" s="408" t="s">
        <v>175</v>
      </c>
      <c r="BF1388" s="385"/>
      <c r="BG1388" s="475">
        <v>512</v>
      </c>
      <c r="BH1388" s="395"/>
      <c r="BI1388" s="395">
        <f t="shared" ref="BI1388" si="882">AT1388/AR1388</f>
        <v>11.558809999999999</v>
      </c>
    </row>
    <row r="1389" spans="1:61" s="358" customFormat="1" ht="19.2" x14ac:dyDescent="0.3">
      <c r="A1389" s="359" t="s">
        <v>347</v>
      </c>
      <c r="B1389" s="602" t="s">
        <v>5133</v>
      </c>
      <c r="C1389" s="548" t="s">
        <v>5134</v>
      </c>
      <c r="D1389" s="360">
        <v>0.22</v>
      </c>
      <c r="E1389" s="528"/>
      <c r="F1389" s="523"/>
      <c r="G1389" s="393"/>
      <c r="H1389" s="394"/>
      <c r="I1389" s="394"/>
      <c r="J1389" s="394"/>
      <c r="K1389" s="394"/>
      <c r="L1389" s="394"/>
      <c r="M1389" s="394"/>
      <c r="N1389" s="394"/>
      <c r="O1389" s="394"/>
      <c r="P1389" s="394"/>
      <c r="Q1389" s="394"/>
      <c r="R1389" s="381"/>
      <c r="S1389" s="408"/>
      <c r="T1389" s="385"/>
      <c r="U1389" s="475"/>
      <c r="V1389" s="395"/>
      <c r="W1389" s="395"/>
      <c r="X1389" s="528"/>
      <c r="Y1389" s="523"/>
      <c r="Z1389" s="393"/>
      <c r="AA1389" s="394"/>
      <c r="AB1389" s="394"/>
      <c r="AC1389" s="394"/>
      <c r="AD1389" s="394"/>
      <c r="AE1389" s="394"/>
      <c r="AF1389" s="394"/>
      <c r="AG1389" s="394"/>
      <c r="AH1389" s="394"/>
      <c r="AI1389" s="394"/>
      <c r="AJ1389" s="394"/>
      <c r="AK1389" s="381"/>
      <c r="AL1389" s="408"/>
      <c r="AM1389" s="385"/>
      <c r="AN1389" s="475"/>
      <c r="AO1389" s="395"/>
      <c r="AP1389" s="395"/>
      <c r="AQ1389" s="528"/>
      <c r="AR1389" s="523">
        <v>1</v>
      </c>
      <c r="AS1389" s="393"/>
      <c r="AT1389" s="600">
        <v>11.5588</v>
      </c>
      <c r="AU1389" s="394">
        <v>7.8448900000000004</v>
      </c>
      <c r="AV1389" s="394">
        <v>6.7373000000000003</v>
      </c>
      <c r="AW1389" s="394"/>
      <c r="AX1389" s="394"/>
      <c r="AY1389" s="394">
        <v>0</v>
      </c>
      <c r="AZ1389" s="394">
        <v>0</v>
      </c>
      <c r="BA1389" s="394">
        <v>0.86531999999999998</v>
      </c>
      <c r="BB1389" s="394">
        <v>6.7373000000000003</v>
      </c>
      <c r="BC1389" s="394"/>
      <c r="BD1389" s="381" t="s">
        <v>167</v>
      </c>
      <c r="BE1389" s="408" t="s">
        <v>175</v>
      </c>
      <c r="BF1389" s="385"/>
      <c r="BG1389" s="475">
        <v>513</v>
      </c>
      <c r="BH1389" s="395"/>
      <c r="BI1389" s="395">
        <f t="shared" si="879"/>
        <v>11.5588</v>
      </c>
    </row>
    <row r="1390" spans="1:61" s="358" customFormat="1" ht="19.2" x14ac:dyDescent="0.3">
      <c r="A1390" s="359" t="s">
        <v>348</v>
      </c>
      <c r="B1390" s="602" t="s">
        <v>5135</v>
      </c>
      <c r="C1390" s="548" t="s">
        <v>5136</v>
      </c>
      <c r="D1390" s="360">
        <v>0.22</v>
      </c>
      <c r="E1390" s="528"/>
      <c r="F1390" s="523"/>
      <c r="G1390" s="393"/>
      <c r="H1390" s="394"/>
      <c r="I1390" s="394"/>
      <c r="J1390" s="394"/>
      <c r="K1390" s="394"/>
      <c r="L1390" s="394"/>
      <c r="M1390" s="394"/>
      <c r="N1390" s="394"/>
      <c r="O1390" s="394"/>
      <c r="P1390" s="394"/>
      <c r="Q1390" s="394"/>
      <c r="R1390" s="381"/>
      <c r="S1390" s="408"/>
      <c r="T1390" s="385"/>
      <c r="U1390" s="475"/>
      <c r="V1390" s="395"/>
      <c r="W1390" s="395"/>
      <c r="X1390" s="528"/>
      <c r="Y1390" s="523"/>
      <c r="Z1390" s="393"/>
      <c r="AA1390" s="394"/>
      <c r="AB1390" s="394"/>
      <c r="AC1390" s="394"/>
      <c r="AD1390" s="394"/>
      <c r="AE1390" s="394"/>
      <c r="AF1390" s="394"/>
      <c r="AG1390" s="394"/>
      <c r="AH1390" s="394"/>
      <c r="AI1390" s="394"/>
      <c r="AJ1390" s="394"/>
      <c r="AK1390" s="381"/>
      <c r="AL1390" s="408"/>
      <c r="AM1390" s="385"/>
      <c r="AN1390" s="475"/>
      <c r="AO1390" s="395"/>
      <c r="AP1390" s="395"/>
      <c r="AQ1390" s="528"/>
      <c r="AR1390" s="523">
        <v>1</v>
      </c>
      <c r="AS1390" s="393"/>
      <c r="AT1390" s="600">
        <v>11.55878</v>
      </c>
      <c r="AU1390" s="394">
        <v>7.8448700000000002</v>
      </c>
      <c r="AV1390" s="394">
        <v>6.7373000000000003</v>
      </c>
      <c r="AW1390" s="394"/>
      <c r="AX1390" s="394"/>
      <c r="AY1390" s="394">
        <v>0</v>
      </c>
      <c r="AZ1390" s="394">
        <v>0</v>
      </c>
      <c r="BA1390" s="394">
        <v>0.86531999999999998</v>
      </c>
      <c r="BB1390" s="394">
        <v>6.7373000000000003</v>
      </c>
      <c r="BC1390" s="394"/>
      <c r="BD1390" s="381" t="s">
        <v>167</v>
      </c>
      <c r="BE1390" s="408" t="s">
        <v>175</v>
      </c>
      <c r="BF1390" s="385"/>
      <c r="BG1390" s="475">
        <v>514</v>
      </c>
      <c r="BH1390" s="395"/>
      <c r="BI1390" s="395">
        <f t="shared" ref="BI1390" si="883">AT1390/AR1390</f>
        <v>11.55878</v>
      </c>
    </row>
    <row r="1391" spans="1:61" s="358" customFormat="1" ht="19.2" x14ac:dyDescent="0.3">
      <c r="A1391" s="359" t="s">
        <v>349</v>
      </c>
      <c r="B1391" s="602" t="s">
        <v>5137</v>
      </c>
      <c r="C1391" s="548" t="s">
        <v>5138</v>
      </c>
      <c r="D1391" s="360">
        <v>0.22</v>
      </c>
      <c r="E1391" s="528"/>
      <c r="F1391" s="523"/>
      <c r="G1391" s="393"/>
      <c r="H1391" s="394"/>
      <c r="I1391" s="394"/>
      <c r="J1391" s="394"/>
      <c r="K1391" s="394"/>
      <c r="L1391" s="394"/>
      <c r="M1391" s="394"/>
      <c r="N1391" s="394"/>
      <c r="O1391" s="394"/>
      <c r="P1391" s="394"/>
      <c r="Q1391" s="394"/>
      <c r="R1391" s="381"/>
      <c r="S1391" s="408"/>
      <c r="T1391" s="385"/>
      <c r="U1391" s="475"/>
      <c r="V1391" s="395"/>
      <c r="W1391" s="395"/>
      <c r="X1391" s="528"/>
      <c r="Y1391" s="523"/>
      <c r="Z1391" s="393"/>
      <c r="AA1391" s="394"/>
      <c r="AB1391" s="394"/>
      <c r="AC1391" s="394"/>
      <c r="AD1391" s="394"/>
      <c r="AE1391" s="394"/>
      <c r="AF1391" s="394"/>
      <c r="AG1391" s="394"/>
      <c r="AH1391" s="394"/>
      <c r="AI1391" s="394"/>
      <c r="AJ1391" s="394"/>
      <c r="AK1391" s="381"/>
      <c r="AL1391" s="408"/>
      <c r="AM1391" s="385"/>
      <c r="AN1391" s="475"/>
      <c r="AO1391" s="395"/>
      <c r="AP1391" s="395"/>
      <c r="AQ1391" s="528"/>
      <c r="AR1391" s="523">
        <v>1</v>
      </c>
      <c r="AS1391" s="393"/>
      <c r="AT1391" s="600">
        <v>11.558809999999999</v>
      </c>
      <c r="AU1391" s="394">
        <v>7.8449</v>
      </c>
      <c r="AV1391" s="394">
        <v>6.7373000000000003</v>
      </c>
      <c r="AW1391" s="394"/>
      <c r="AX1391" s="394"/>
      <c r="AY1391" s="394">
        <v>0</v>
      </c>
      <c r="AZ1391" s="394">
        <v>0</v>
      </c>
      <c r="BA1391" s="394">
        <v>0.86531999999999998</v>
      </c>
      <c r="BB1391" s="394">
        <v>6.7373000000000003</v>
      </c>
      <c r="BC1391" s="394"/>
      <c r="BD1391" s="381" t="s">
        <v>167</v>
      </c>
      <c r="BE1391" s="408" t="s">
        <v>175</v>
      </c>
      <c r="BF1391" s="385"/>
      <c r="BG1391" s="475">
        <v>515</v>
      </c>
      <c r="BH1391" s="395"/>
      <c r="BI1391" s="395">
        <f t="shared" si="879"/>
        <v>11.558809999999999</v>
      </c>
    </row>
    <row r="1392" spans="1:61" s="358" customFormat="1" ht="19.2" x14ac:dyDescent="0.3">
      <c r="A1392" s="359" t="s">
        <v>350</v>
      </c>
      <c r="B1392" s="602" t="s">
        <v>4661</v>
      </c>
      <c r="C1392" s="548" t="s">
        <v>4662</v>
      </c>
      <c r="D1392" s="360">
        <v>0.22</v>
      </c>
      <c r="E1392" s="528"/>
      <c r="F1392" s="523"/>
      <c r="G1392" s="393"/>
      <c r="H1392" s="394"/>
      <c r="I1392" s="394"/>
      <c r="J1392" s="394"/>
      <c r="K1392" s="394"/>
      <c r="L1392" s="394"/>
      <c r="M1392" s="394"/>
      <c r="N1392" s="394"/>
      <c r="O1392" s="394"/>
      <c r="P1392" s="394"/>
      <c r="Q1392" s="394"/>
      <c r="R1392" s="381"/>
      <c r="S1392" s="408"/>
      <c r="T1392" s="385"/>
      <c r="U1392" s="475"/>
      <c r="V1392" s="395"/>
      <c r="W1392" s="395"/>
      <c r="X1392" s="528"/>
      <c r="Y1392" s="523"/>
      <c r="Z1392" s="393"/>
      <c r="AA1392" s="394"/>
      <c r="AB1392" s="394"/>
      <c r="AC1392" s="394"/>
      <c r="AD1392" s="394"/>
      <c r="AE1392" s="394"/>
      <c r="AF1392" s="394"/>
      <c r="AG1392" s="394"/>
      <c r="AH1392" s="394"/>
      <c r="AI1392" s="394"/>
      <c r="AJ1392" s="394"/>
      <c r="AK1392" s="381"/>
      <c r="AL1392" s="408"/>
      <c r="AM1392" s="385"/>
      <c r="AN1392" s="475"/>
      <c r="AO1392" s="395"/>
      <c r="AP1392" s="395"/>
      <c r="AQ1392" s="528"/>
      <c r="AR1392" s="523">
        <v>1</v>
      </c>
      <c r="AS1392" s="393"/>
      <c r="AT1392" s="600">
        <v>11.5372</v>
      </c>
      <c r="AU1392" s="394">
        <v>7.8232900000000001</v>
      </c>
      <c r="AV1392" s="394">
        <v>6.7373000000000003</v>
      </c>
      <c r="AW1392" s="394"/>
      <c r="AX1392" s="394"/>
      <c r="AY1392" s="394">
        <v>0</v>
      </c>
      <c r="AZ1392" s="394">
        <v>0</v>
      </c>
      <c r="BA1392" s="394">
        <v>0.86582000000000003</v>
      </c>
      <c r="BB1392" s="394">
        <v>6.7373000000000003</v>
      </c>
      <c r="BC1392" s="394"/>
      <c r="BD1392" s="381" t="s">
        <v>167</v>
      </c>
      <c r="BE1392" s="408" t="s">
        <v>175</v>
      </c>
      <c r="BF1392" s="385"/>
      <c r="BG1392" s="475">
        <v>516</v>
      </c>
      <c r="BH1392" s="395"/>
      <c r="BI1392" s="395">
        <f t="shared" ref="BI1392" si="884">AT1392/AR1392</f>
        <v>11.5372</v>
      </c>
    </row>
    <row r="1393" spans="1:61" s="358" customFormat="1" ht="19.2" x14ac:dyDescent="0.3">
      <c r="A1393" s="359" t="s">
        <v>351</v>
      </c>
      <c r="B1393" s="602" t="s">
        <v>5139</v>
      </c>
      <c r="C1393" s="548" t="s">
        <v>5140</v>
      </c>
      <c r="D1393" s="360">
        <v>0.22</v>
      </c>
      <c r="E1393" s="528"/>
      <c r="F1393" s="523"/>
      <c r="G1393" s="393"/>
      <c r="H1393" s="394"/>
      <c r="I1393" s="394"/>
      <c r="J1393" s="394"/>
      <c r="K1393" s="394"/>
      <c r="L1393" s="394"/>
      <c r="M1393" s="394"/>
      <c r="N1393" s="394"/>
      <c r="O1393" s="394"/>
      <c r="P1393" s="394"/>
      <c r="Q1393" s="394"/>
      <c r="R1393" s="381"/>
      <c r="S1393" s="408"/>
      <c r="T1393" s="385"/>
      <c r="U1393" s="475"/>
      <c r="V1393" s="395"/>
      <c r="W1393" s="395"/>
      <c r="X1393" s="528"/>
      <c r="Y1393" s="523"/>
      <c r="Z1393" s="393"/>
      <c r="AA1393" s="394"/>
      <c r="AB1393" s="394"/>
      <c r="AC1393" s="394"/>
      <c r="AD1393" s="394"/>
      <c r="AE1393" s="394"/>
      <c r="AF1393" s="394"/>
      <c r="AG1393" s="394"/>
      <c r="AH1393" s="394"/>
      <c r="AI1393" s="394"/>
      <c r="AJ1393" s="394"/>
      <c r="AK1393" s="381"/>
      <c r="AL1393" s="408"/>
      <c r="AM1393" s="385"/>
      <c r="AN1393" s="475"/>
      <c r="AO1393" s="395"/>
      <c r="AP1393" s="395"/>
      <c r="AQ1393" s="528"/>
      <c r="AR1393" s="523">
        <v>1</v>
      </c>
      <c r="AS1393" s="393"/>
      <c r="AT1393" s="600">
        <v>11.844390000000001</v>
      </c>
      <c r="AU1393" s="394">
        <v>8.1304800000000004</v>
      </c>
      <c r="AV1393" s="394">
        <v>6.7373000000000003</v>
      </c>
      <c r="AW1393" s="394"/>
      <c r="AX1393" s="394"/>
      <c r="AY1393" s="394">
        <v>0</v>
      </c>
      <c r="AZ1393" s="394">
        <v>0</v>
      </c>
      <c r="BA1393" s="394">
        <v>0.86582000000000003</v>
      </c>
      <c r="BB1393" s="394">
        <v>6.7373000000000003</v>
      </c>
      <c r="BC1393" s="394"/>
      <c r="BD1393" s="381" t="s">
        <v>167</v>
      </c>
      <c r="BE1393" s="408" t="s">
        <v>175</v>
      </c>
      <c r="BF1393" s="385"/>
      <c r="BG1393" s="475">
        <v>517</v>
      </c>
      <c r="BH1393" s="395"/>
      <c r="BI1393" s="395">
        <f t="shared" si="879"/>
        <v>11.844390000000001</v>
      </c>
    </row>
    <row r="1394" spans="1:61" s="358" customFormat="1" ht="19.2" x14ac:dyDescent="0.3">
      <c r="A1394" s="359" t="s">
        <v>352</v>
      </c>
      <c r="B1394" s="602" t="s">
        <v>5141</v>
      </c>
      <c r="C1394" s="548" t="s">
        <v>5142</v>
      </c>
      <c r="D1394" s="360">
        <v>0.22</v>
      </c>
      <c r="E1394" s="528"/>
      <c r="F1394" s="523"/>
      <c r="G1394" s="393"/>
      <c r="H1394" s="394"/>
      <c r="I1394" s="394"/>
      <c r="J1394" s="394"/>
      <c r="K1394" s="394"/>
      <c r="L1394" s="394"/>
      <c r="M1394" s="394"/>
      <c r="N1394" s="394"/>
      <c r="O1394" s="394"/>
      <c r="P1394" s="394"/>
      <c r="Q1394" s="394"/>
      <c r="R1394" s="381"/>
      <c r="S1394" s="408"/>
      <c r="T1394" s="385"/>
      <c r="U1394" s="475"/>
      <c r="V1394" s="395"/>
      <c r="W1394" s="395"/>
      <c r="X1394" s="528"/>
      <c r="Y1394" s="523"/>
      <c r="Z1394" s="393"/>
      <c r="AA1394" s="394"/>
      <c r="AB1394" s="394"/>
      <c r="AC1394" s="394"/>
      <c r="AD1394" s="394"/>
      <c r="AE1394" s="394"/>
      <c r="AF1394" s="394"/>
      <c r="AG1394" s="394"/>
      <c r="AH1394" s="394"/>
      <c r="AI1394" s="394"/>
      <c r="AJ1394" s="394"/>
      <c r="AK1394" s="381"/>
      <c r="AL1394" s="408"/>
      <c r="AM1394" s="385"/>
      <c r="AN1394" s="475"/>
      <c r="AO1394" s="395"/>
      <c r="AP1394" s="395"/>
      <c r="AQ1394" s="528"/>
      <c r="AR1394" s="523">
        <v>1</v>
      </c>
      <c r="AS1394" s="393"/>
      <c r="AT1394" s="600">
        <v>7.7190700000000003</v>
      </c>
      <c r="AU1394" s="394">
        <v>6.9505699999999999</v>
      </c>
      <c r="AV1394" s="394">
        <v>6.73733</v>
      </c>
      <c r="AW1394" s="394"/>
      <c r="AX1394" s="394"/>
      <c r="AY1394" s="394">
        <v>0</v>
      </c>
      <c r="AZ1394" s="394">
        <v>0</v>
      </c>
      <c r="BA1394" s="394">
        <v>0.17916000000000001</v>
      </c>
      <c r="BB1394" s="394">
        <v>6.73733</v>
      </c>
      <c r="BC1394" s="394"/>
      <c r="BD1394" s="381" t="s">
        <v>167</v>
      </c>
      <c r="BE1394" s="408" t="s">
        <v>175</v>
      </c>
      <c r="BF1394" s="385"/>
      <c r="BG1394" s="475">
        <v>518</v>
      </c>
      <c r="BH1394" s="395"/>
      <c r="BI1394" s="395">
        <f t="shared" ref="BI1394" si="885">AT1394/AR1394</f>
        <v>7.7190700000000003</v>
      </c>
    </row>
    <row r="1395" spans="1:61" s="358" customFormat="1" ht="19.2" x14ac:dyDescent="0.3">
      <c r="A1395" s="359" t="s">
        <v>353</v>
      </c>
      <c r="B1395" s="602" t="s">
        <v>646</v>
      </c>
      <c r="C1395" s="548" t="s">
        <v>5143</v>
      </c>
      <c r="D1395" s="360">
        <v>0.22</v>
      </c>
      <c r="E1395" s="528"/>
      <c r="F1395" s="523"/>
      <c r="G1395" s="393"/>
      <c r="H1395" s="394"/>
      <c r="I1395" s="394"/>
      <c r="J1395" s="394"/>
      <c r="K1395" s="394"/>
      <c r="L1395" s="394"/>
      <c r="M1395" s="394"/>
      <c r="N1395" s="394"/>
      <c r="O1395" s="394"/>
      <c r="P1395" s="394"/>
      <c r="Q1395" s="394"/>
      <c r="R1395" s="381"/>
      <c r="S1395" s="408"/>
      <c r="T1395" s="385"/>
      <c r="U1395" s="475"/>
      <c r="V1395" s="395"/>
      <c r="W1395" s="395"/>
      <c r="X1395" s="528"/>
      <c r="Y1395" s="523"/>
      <c r="Z1395" s="393"/>
      <c r="AA1395" s="394"/>
      <c r="AB1395" s="394"/>
      <c r="AC1395" s="394"/>
      <c r="AD1395" s="394"/>
      <c r="AE1395" s="394"/>
      <c r="AF1395" s="394"/>
      <c r="AG1395" s="394"/>
      <c r="AH1395" s="394"/>
      <c r="AI1395" s="394"/>
      <c r="AJ1395" s="394"/>
      <c r="AK1395" s="381"/>
      <c r="AL1395" s="408"/>
      <c r="AM1395" s="385"/>
      <c r="AN1395" s="475"/>
      <c r="AO1395" s="395"/>
      <c r="AP1395" s="395"/>
      <c r="AQ1395" s="528"/>
      <c r="AR1395" s="523">
        <v>1</v>
      </c>
      <c r="AS1395" s="393"/>
      <c r="AT1395" s="600">
        <v>11.844390000000001</v>
      </c>
      <c r="AU1395" s="394">
        <v>8.1304800000000004</v>
      </c>
      <c r="AV1395" s="394">
        <v>6.7373000000000003</v>
      </c>
      <c r="AW1395" s="394"/>
      <c r="AX1395" s="394"/>
      <c r="AY1395" s="394">
        <v>0</v>
      </c>
      <c r="AZ1395" s="394">
        <v>0</v>
      </c>
      <c r="BA1395" s="394">
        <v>0.86582000000000003</v>
      </c>
      <c r="BB1395" s="394">
        <v>6.7373000000000003</v>
      </c>
      <c r="BC1395" s="394"/>
      <c r="BD1395" s="381" t="s">
        <v>167</v>
      </c>
      <c r="BE1395" s="408" t="s">
        <v>175</v>
      </c>
      <c r="BF1395" s="385"/>
      <c r="BG1395" s="475">
        <v>519</v>
      </c>
      <c r="BH1395" s="395"/>
      <c r="BI1395" s="395">
        <f t="shared" si="879"/>
        <v>11.844390000000001</v>
      </c>
    </row>
    <row r="1396" spans="1:61" s="358" customFormat="1" ht="19.2" x14ac:dyDescent="0.3">
      <c r="A1396" s="359" t="s">
        <v>354</v>
      </c>
      <c r="B1396" s="602" t="s">
        <v>5144</v>
      </c>
      <c r="C1396" s="548" t="s">
        <v>5145</v>
      </c>
      <c r="D1396" s="360">
        <v>0.22</v>
      </c>
      <c r="E1396" s="528"/>
      <c r="F1396" s="523"/>
      <c r="G1396" s="393"/>
      <c r="H1396" s="394"/>
      <c r="I1396" s="394"/>
      <c r="J1396" s="394"/>
      <c r="K1396" s="394"/>
      <c r="L1396" s="394"/>
      <c r="M1396" s="394"/>
      <c r="N1396" s="394"/>
      <c r="O1396" s="394"/>
      <c r="P1396" s="394"/>
      <c r="Q1396" s="394"/>
      <c r="R1396" s="381"/>
      <c r="S1396" s="408"/>
      <c r="T1396" s="385"/>
      <c r="U1396" s="475"/>
      <c r="V1396" s="395"/>
      <c r="W1396" s="395"/>
      <c r="X1396" s="528"/>
      <c r="Y1396" s="523"/>
      <c r="Z1396" s="393"/>
      <c r="AA1396" s="394"/>
      <c r="AB1396" s="394"/>
      <c r="AC1396" s="394"/>
      <c r="AD1396" s="394"/>
      <c r="AE1396" s="394"/>
      <c r="AF1396" s="394"/>
      <c r="AG1396" s="394"/>
      <c r="AH1396" s="394"/>
      <c r="AI1396" s="394"/>
      <c r="AJ1396" s="394"/>
      <c r="AK1396" s="381"/>
      <c r="AL1396" s="408"/>
      <c r="AM1396" s="385"/>
      <c r="AN1396" s="475"/>
      <c r="AO1396" s="395"/>
      <c r="AP1396" s="395"/>
      <c r="AQ1396" s="528"/>
      <c r="AR1396" s="523">
        <v>1</v>
      </c>
      <c r="AS1396" s="393"/>
      <c r="AT1396" s="600">
        <v>7.7193699999999996</v>
      </c>
      <c r="AU1396" s="394">
        <v>6.9505699999999999</v>
      </c>
      <c r="AV1396" s="394">
        <v>6.73733</v>
      </c>
      <c r="AW1396" s="394"/>
      <c r="AX1396" s="394"/>
      <c r="AY1396" s="394">
        <v>0</v>
      </c>
      <c r="AZ1396" s="394">
        <v>0</v>
      </c>
      <c r="BA1396" s="394">
        <v>0.17916000000000001</v>
      </c>
      <c r="BB1396" s="394">
        <v>6.73733</v>
      </c>
      <c r="BC1396" s="394"/>
      <c r="BD1396" s="381" t="s">
        <v>167</v>
      </c>
      <c r="BE1396" s="408" t="s">
        <v>175</v>
      </c>
      <c r="BF1396" s="385"/>
      <c r="BG1396" s="475">
        <v>520</v>
      </c>
      <c r="BH1396" s="395"/>
      <c r="BI1396" s="395">
        <f t="shared" ref="BI1396" si="886">AT1396/AR1396</f>
        <v>7.7193699999999996</v>
      </c>
    </row>
    <row r="1397" spans="1:61" s="358" customFormat="1" ht="19.2" x14ac:dyDescent="0.3">
      <c r="A1397" s="359" t="s">
        <v>355</v>
      </c>
      <c r="B1397" s="602" t="s">
        <v>4706</v>
      </c>
      <c r="C1397" s="548" t="s">
        <v>4705</v>
      </c>
      <c r="D1397" s="360">
        <v>0.22</v>
      </c>
      <c r="E1397" s="528"/>
      <c r="F1397" s="523"/>
      <c r="G1397" s="393"/>
      <c r="H1397" s="394"/>
      <c r="I1397" s="394"/>
      <c r="J1397" s="394"/>
      <c r="K1397" s="394"/>
      <c r="L1397" s="394"/>
      <c r="M1397" s="394"/>
      <c r="N1397" s="394"/>
      <c r="O1397" s="394"/>
      <c r="P1397" s="394"/>
      <c r="Q1397" s="394"/>
      <c r="R1397" s="381"/>
      <c r="S1397" s="408"/>
      <c r="T1397" s="385"/>
      <c r="U1397" s="475"/>
      <c r="V1397" s="395"/>
      <c r="W1397" s="395"/>
      <c r="X1397" s="528"/>
      <c r="Y1397" s="523"/>
      <c r="Z1397" s="393"/>
      <c r="AA1397" s="394"/>
      <c r="AB1397" s="394"/>
      <c r="AC1397" s="394"/>
      <c r="AD1397" s="394"/>
      <c r="AE1397" s="394"/>
      <c r="AF1397" s="394"/>
      <c r="AG1397" s="394"/>
      <c r="AH1397" s="394"/>
      <c r="AI1397" s="394"/>
      <c r="AJ1397" s="394"/>
      <c r="AK1397" s="381"/>
      <c r="AL1397" s="408"/>
      <c r="AM1397" s="385"/>
      <c r="AN1397" s="475"/>
      <c r="AO1397" s="395"/>
      <c r="AP1397" s="395"/>
      <c r="AQ1397" s="528"/>
      <c r="AR1397" s="523">
        <v>1</v>
      </c>
      <c r="AS1397" s="393"/>
      <c r="AT1397" s="600">
        <v>11.8444</v>
      </c>
      <c r="AU1397" s="394">
        <v>8.13049</v>
      </c>
      <c r="AV1397" s="394">
        <v>6.7373099999999999</v>
      </c>
      <c r="AW1397" s="394"/>
      <c r="AX1397" s="394"/>
      <c r="AY1397" s="394">
        <v>0</v>
      </c>
      <c r="AZ1397" s="394">
        <v>0</v>
      </c>
      <c r="BA1397" s="394">
        <v>0.86582000000000003</v>
      </c>
      <c r="BB1397" s="394">
        <v>6.7373099999999999</v>
      </c>
      <c r="BC1397" s="394"/>
      <c r="BD1397" s="381" t="s">
        <v>167</v>
      </c>
      <c r="BE1397" s="408" t="s">
        <v>175</v>
      </c>
      <c r="BF1397" s="385"/>
      <c r="BG1397" s="475">
        <v>521</v>
      </c>
      <c r="BH1397" s="395"/>
      <c r="BI1397" s="395">
        <f t="shared" si="879"/>
        <v>11.8444</v>
      </c>
    </row>
    <row r="1398" spans="1:61" s="358" customFormat="1" ht="19.2" x14ac:dyDescent="0.3">
      <c r="A1398" s="359" t="s">
        <v>356</v>
      </c>
      <c r="B1398" s="602" t="s">
        <v>5146</v>
      </c>
      <c r="C1398" s="548" t="s">
        <v>5147</v>
      </c>
      <c r="D1398" s="360">
        <v>0.22</v>
      </c>
      <c r="E1398" s="528"/>
      <c r="F1398" s="523"/>
      <c r="G1398" s="393"/>
      <c r="H1398" s="394"/>
      <c r="I1398" s="394"/>
      <c r="J1398" s="394"/>
      <c r="K1398" s="394"/>
      <c r="L1398" s="394"/>
      <c r="M1398" s="394"/>
      <c r="N1398" s="394"/>
      <c r="O1398" s="394"/>
      <c r="P1398" s="394"/>
      <c r="Q1398" s="394"/>
      <c r="R1398" s="381"/>
      <c r="S1398" s="408"/>
      <c r="T1398" s="385"/>
      <c r="U1398" s="475"/>
      <c r="V1398" s="395"/>
      <c r="W1398" s="395"/>
      <c r="X1398" s="528"/>
      <c r="Y1398" s="523"/>
      <c r="Z1398" s="393"/>
      <c r="AA1398" s="394"/>
      <c r="AB1398" s="394"/>
      <c r="AC1398" s="394"/>
      <c r="AD1398" s="394"/>
      <c r="AE1398" s="394"/>
      <c r="AF1398" s="394"/>
      <c r="AG1398" s="394"/>
      <c r="AH1398" s="394"/>
      <c r="AI1398" s="394"/>
      <c r="AJ1398" s="394"/>
      <c r="AK1398" s="381"/>
      <c r="AL1398" s="408"/>
      <c r="AM1398" s="385"/>
      <c r="AN1398" s="475"/>
      <c r="AO1398" s="395"/>
      <c r="AP1398" s="395"/>
      <c r="AQ1398" s="528"/>
      <c r="AR1398" s="523">
        <v>1</v>
      </c>
      <c r="AS1398" s="393"/>
      <c r="AT1398" s="600">
        <v>11.844390000000001</v>
      </c>
      <c r="AU1398" s="394">
        <v>8.1304800000000004</v>
      </c>
      <c r="AV1398" s="394">
        <v>6.7373000000000003</v>
      </c>
      <c r="AW1398" s="394"/>
      <c r="AX1398" s="394"/>
      <c r="AY1398" s="394">
        <v>0</v>
      </c>
      <c r="AZ1398" s="394">
        <v>0</v>
      </c>
      <c r="BA1398" s="394">
        <v>0.86582000000000003</v>
      </c>
      <c r="BB1398" s="394">
        <v>6.7373000000000003</v>
      </c>
      <c r="BC1398" s="394"/>
      <c r="BD1398" s="381" t="s">
        <v>167</v>
      </c>
      <c r="BE1398" s="408" t="s">
        <v>175</v>
      </c>
      <c r="BF1398" s="385"/>
      <c r="BG1398" s="475">
        <v>522</v>
      </c>
      <c r="BH1398" s="395"/>
      <c r="BI1398" s="395">
        <f t="shared" ref="BI1398" si="887">AT1398/AR1398</f>
        <v>11.844390000000001</v>
      </c>
    </row>
    <row r="1399" spans="1:61" s="358" customFormat="1" ht="19.2" x14ac:dyDescent="0.3">
      <c r="A1399" s="359" t="s">
        <v>357</v>
      </c>
      <c r="B1399" s="602" t="s">
        <v>5148</v>
      </c>
      <c r="C1399" s="548" t="s">
        <v>5149</v>
      </c>
      <c r="D1399" s="360">
        <v>0.22</v>
      </c>
      <c r="E1399" s="528"/>
      <c r="F1399" s="523"/>
      <c r="G1399" s="393"/>
      <c r="H1399" s="394"/>
      <c r="I1399" s="394"/>
      <c r="J1399" s="394"/>
      <c r="K1399" s="394"/>
      <c r="L1399" s="394"/>
      <c r="M1399" s="394"/>
      <c r="N1399" s="394"/>
      <c r="O1399" s="394"/>
      <c r="P1399" s="394"/>
      <c r="Q1399" s="394"/>
      <c r="R1399" s="381"/>
      <c r="S1399" s="408"/>
      <c r="T1399" s="385"/>
      <c r="U1399" s="475"/>
      <c r="V1399" s="395"/>
      <c r="W1399" s="395"/>
      <c r="X1399" s="528"/>
      <c r="Y1399" s="523"/>
      <c r="Z1399" s="393"/>
      <c r="AA1399" s="394"/>
      <c r="AB1399" s="394"/>
      <c r="AC1399" s="394"/>
      <c r="AD1399" s="394"/>
      <c r="AE1399" s="394"/>
      <c r="AF1399" s="394"/>
      <c r="AG1399" s="394"/>
      <c r="AH1399" s="394"/>
      <c r="AI1399" s="394"/>
      <c r="AJ1399" s="394"/>
      <c r="AK1399" s="381"/>
      <c r="AL1399" s="408"/>
      <c r="AM1399" s="385"/>
      <c r="AN1399" s="475"/>
      <c r="AO1399" s="395"/>
      <c r="AP1399" s="395"/>
      <c r="AQ1399" s="528"/>
      <c r="AR1399" s="523">
        <v>1</v>
      </c>
      <c r="AS1399" s="393"/>
      <c r="AT1399" s="600">
        <v>11.844390000000001</v>
      </c>
      <c r="AU1399" s="394">
        <v>8.1304800000000004</v>
      </c>
      <c r="AV1399" s="394">
        <v>6.7373000000000003</v>
      </c>
      <c r="AW1399" s="394"/>
      <c r="AX1399" s="394"/>
      <c r="AY1399" s="394">
        <v>0</v>
      </c>
      <c r="AZ1399" s="394">
        <v>0</v>
      </c>
      <c r="BA1399" s="394">
        <v>0.86582000000000003</v>
      </c>
      <c r="BB1399" s="394">
        <v>6.7373000000000003</v>
      </c>
      <c r="BC1399" s="394"/>
      <c r="BD1399" s="381" t="s">
        <v>167</v>
      </c>
      <c r="BE1399" s="408" t="s">
        <v>175</v>
      </c>
      <c r="BF1399" s="385"/>
      <c r="BG1399" s="475">
        <v>523</v>
      </c>
      <c r="BH1399" s="395"/>
      <c r="BI1399" s="395">
        <f t="shared" si="879"/>
        <v>11.844390000000001</v>
      </c>
    </row>
    <row r="1400" spans="1:61" s="358" customFormat="1" ht="19.2" x14ac:dyDescent="0.3">
      <c r="A1400" s="359" t="s">
        <v>358</v>
      </c>
      <c r="B1400" s="602" t="s">
        <v>4665</v>
      </c>
      <c r="C1400" s="548" t="s">
        <v>4666</v>
      </c>
      <c r="D1400" s="360">
        <v>0.22</v>
      </c>
      <c r="E1400" s="528"/>
      <c r="F1400" s="523"/>
      <c r="G1400" s="393"/>
      <c r="H1400" s="394"/>
      <c r="I1400" s="394"/>
      <c r="J1400" s="394"/>
      <c r="K1400" s="394"/>
      <c r="L1400" s="394"/>
      <c r="M1400" s="394"/>
      <c r="N1400" s="394"/>
      <c r="O1400" s="394"/>
      <c r="P1400" s="394"/>
      <c r="Q1400" s="394"/>
      <c r="R1400" s="381"/>
      <c r="S1400" s="408"/>
      <c r="T1400" s="385"/>
      <c r="U1400" s="475"/>
      <c r="V1400" s="395"/>
      <c r="W1400" s="395"/>
      <c r="X1400" s="528"/>
      <c r="Y1400" s="523"/>
      <c r="Z1400" s="393"/>
      <c r="AA1400" s="394"/>
      <c r="AB1400" s="394"/>
      <c r="AC1400" s="394"/>
      <c r="AD1400" s="394"/>
      <c r="AE1400" s="394"/>
      <c r="AF1400" s="394"/>
      <c r="AG1400" s="394"/>
      <c r="AH1400" s="394"/>
      <c r="AI1400" s="394"/>
      <c r="AJ1400" s="394"/>
      <c r="AK1400" s="381"/>
      <c r="AL1400" s="408"/>
      <c r="AM1400" s="385"/>
      <c r="AN1400" s="475"/>
      <c r="AO1400" s="395"/>
      <c r="AP1400" s="395"/>
      <c r="AQ1400" s="528"/>
      <c r="AR1400" s="523">
        <v>1</v>
      </c>
      <c r="AS1400" s="393"/>
      <c r="AT1400" s="600">
        <v>11.844390000000001</v>
      </c>
      <c r="AU1400" s="394">
        <v>8.1304800000000004</v>
      </c>
      <c r="AV1400" s="394">
        <v>6.7373000000000003</v>
      </c>
      <c r="AW1400" s="394"/>
      <c r="AX1400" s="394"/>
      <c r="AY1400" s="394">
        <v>0</v>
      </c>
      <c r="AZ1400" s="394">
        <v>0</v>
      </c>
      <c r="BA1400" s="394">
        <v>0.86582000000000003</v>
      </c>
      <c r="BB1400" s="394">
        <v>6.7373000000000003</v>
      </c>
      <c r="BC1400" s="394"/>
      <c r="BD1400" s="381" t="s">
        <v>167</v>
      </c>
      <c r="BE1400" s="408" t="s">
        <v>175</v>
      </c>
      <c r="BF1400" s="385"/>
      <c r="BG1400" s="475">
        <v>524</v>
      </c>
      <c r="BH1400" s="395"/>
      <c r="BI1400" s="395">
        <f t="shared" ref="BI1400" si="888">AT1400/AR1400</f>
        <v>11.844390000000001</v>
      </c>
    </row>
    <row r="1401" spans="1:61" s="358" customFormat="1" ht="19.2" x14ac:dyDescent="0.3">
      <c r="A1401" s="359" t="s">
        <v>359</v>
      </c>
      <c r="B1401" s="602" t="s">
        <v>5150</v>
      </c>
      <c r="C1401" s="548" t="s">
        <v>5151</v>
      </c>
      <c r="D1401" s="360">
        <v>0.22</v>
      </c>
      <c r="E1401" s="528"/>
      <c r="F1401" s="523"/>
      <c r="G1401" s="393"/>
      <c r="H1401" s="394"/>
      <c r="I1401" s="394"/>
      <c r="J1401" s="394"/>
      <c r="K1401" s="394"/>
      <c r="L1401" s="394"/>
      <c r="M1401" s="394"/>
      <c r="N1401" s="394"/>
      <c r="O1401" s="394"/>
      <c r="P1401" s="394"/>
      <c r="Q1401" s="394"/>
      <c r="R1401" s="381"/>
      <c r="S1401" s="408"/>
      <c r="T1401" s="385"/>
      <c r="U1401" s="475"/>
      <c r="V1401" s="395"/>
      <c r="W1401" s="395"/>
      <c r="X1401" s="528"/>
      <c r="Y1401" s="523"/>
      <c r="Z1401" s="393"/>
      <c r="AA1401" s="394"/>
      <c r="AB1401" s="394"/>
      <c r="AC1401" s="394"/>
      <c r="AD1401" s="394"/>
      <c r="AE1401" s="394"/>
      <c r="AF1401" s="394"/>
      <c r="AG1401" s="394"/>
      <c r="AH1401" s="394"/>
      <c r="AI1401" s="394"/>
      <c r="AJ1401" s="394"/>
      <c r="AK1401" s="381"/>
      <c r="AL1401" s="408"/>
      <c r="AM1401" s="385"/>
      <c r="AN1401" s="475"/>
      <c r="AO1401" s="395"/>
      <c r="AP1401" s="395"/>
      <c r="AQ1401" s="528"/>
      <c r="AR1401" s="523">
        <v>1</v>
      </c>
      <c r="AS1401" s="393"/>
      <c r="AT1401" s="600">
        <v>11.844390000000001</v>
      </c>
      <c r="AU1401" s="394">
        <v>8.1304800000000004</v>
      </c>
      <c r="AV1401" s="394">
        <v>6.7373000000000003</v>
      </c>
      <c r="AW1401" s="394"/>
      <c r="AX1401" s="394"/>
      <c r="AY1401" s="394">
        <v>0</v>
      </c>
      <c r="AZ1401" s="394">
        <v>0</v>
      </c>
      <c r="BA1401" s="394">
        <v>0.86582000000000003</v>
      </c>
      <c r="BB1401" s="394">
        <v>6.7373000000000003</v>
      </c>
      <c r="BC1401" s="394"/>
      <c r="BD1401" s="381" t="s">
        <v>167</v>
      </c>
      <c r="BE1401" s="408" t="s">
        <v>175</v>
      </c>
      <c r="BF1401" s="385"/>
      <c r="BG1401" s="475">
        <v>525</v>
      </c>
      <c r="BH1401" s="395"/>
      <c r="BI1401" s="395">
        <f t="shared" si="879"/>
        <v>11.844390000000001</v>
      </c>
    </row>
    <row r="1402" spans="1:61" s="358" customFormat="1" ht="19.2" x14ac:dyDescent="0.3">
      <c r="A1402" s="359" t="s">
        <v>360</v>
      </c>
      <c r="B1402" s="602" t="s">
        <v>2484</v>
      </c>
      <c r="C1402" s="548" t="s">
        <v>2483</v>
      </c>
      <c r="D1402" s="360">
        <v>0.22</v>
      </c>
      <c r="E1402" s="528"/>
      <c r="F1402" s="523"/>
      <c r="G1402" s="393"/>
      <c r="H1402" s="394"/>
      <c r="I1402" s="394"/>
      <c r="J1402" s="394"/>
      <c r="K1402" s="394"/>
      <c r="L1402" s="394"/>
      <c r="M1402" s="394"/>
      <c r="N1402" s="394"/>
      <c r="O1402" s="394"/>
      <c r="P1402" s="394"/>
      <c r="Q1402" s="394"/>
      <c r="R1402" s="381"/>
      <c r="S1402" s="408"/>
      <c r="T1402" s="385"/>
      <c r="U1402" s="475"/>
      <c r="V1402" s="395"/>
      <c r="W1402" s="395"/>
      <c r="X1402" s="528"/>
      <c r="Y1402" s="523"/>
      <c r="Z1402" s="393"/>
      <c r="AA1402" s="394"/>
      <c r="AB1402" s="394"/>
      <c r="AC1402" s="394"/>
      <c r="AD1402" s="394"/>
      <c r="AE1402" s="394"/>
      <c r="AF1402" s="394"/>
      <c r="AG1402" s="394"/>
      <c r="AH1402" s="394"/>
      <c r="AI1402" s="394"/>
      <c r="AJ1402" s="394"/>
      <c r="AK1402" s="381"/>
      <c r="AL1402" s="408"/>
      <c r="AM1402" s="385"/>
      <c r="AN1402" s="475"/>
      <c r="AO1402" s="395"/>
      <c r="AP1402" s="395"/>
      <c r="AQ1402" s="528"/>
      <c r="AR1402" s="523">
        <v>1</v>
      </c>
      <c r="AS1402" s="393"/>
      <c r="AT1402" s="600">
        <v>18.78575</v>
      </c>
      <c r="AU1402" s="394">
        <v>14.01291</v>
      </c>
      <c r="AV1402" s="394">
        <v>6.7373099999999999</v>
      </c>
      <c r="AW1402" s="394"/>
      <c r="AX1402" s="394"/>
      <c r="AY1402" s="394">
        <v>0</v>
      </c>
      <c r="AZ1402" s="394">
        <v>0</v>
      </c>
      <c r="BA1402" s="394">
        <v>1.1128899999999999</v>
      </c>
      <c r="BB1402" s="394">
        <v>6.7373099999999999</v>
      </c>
      <c r="BC1402" s="394"/>
      <c r="BD1402" s="381" t="s">
        <v>167</v>
      </c>
      <c r="BE1402" s="408" t="s">
        <v>175</v>
      </c>
      <c r="BF1402" s="385"/>
      <c r="BG1402" s="475">
        <v>527</v>
      </c>
      <c r="BH1402" s="395"/>
      <c r="BI1402" s="395">
        <f t="shared" ref="BI1402" si="889">AT1402/AR1402</f>
        <v>18.78575</v>
      </c>
    </row>
    <row r="1403" spans="1:61" s="358" customFormat="1" ht="19.2" x14ac:dyDescent="0.3">
      <c r="A1403" s="359" t="s">
        <v>361</v>
      </c>
      <c r="B1403" s="602" t="s">
        <v>5152</v>
      </c>
      <c r="C1403" s="548" t="s">
        <v>5153</v>
      </c>
      <c r="D1403" s="360">
        <v>0.22</v>
      </c>
      <c r="E1403" s="528"/>
      <c r="F1403" s="523"/>
      <c r="G1403" s="393"/>
      <c r="H1403" s="394"/>
      <c r="I1403" s="394"/>
      <c r="J1403" s="394"/>
      <c r="K1403" s="394"/>
      <c r="L1403" s="394"/>
      <c r="M1403" s="394"/>
      <c r="N1403" s="394"/>
      <c r="O1403" s="394"/>
      <c r="P1403" s="394"/>
      <c r="Q1403" s="394"/>
      <c r="R1403" s="381"/>
      <c r="S1403" s="408"/>
      <c r="T1403" s="385"/>
      <c r="U1403" s="475"/>
      <c r="V1403" s="395"/>
      <c r="W1403" s="395"/>
      <c r="X1403" s="528"/>
      <c r="Y1403" s="523"/>
      <c r="Z1403" s="393"/>
      <c r="AA1403" s="394"/>
      <c r="AB1403" s="394"/>
      <c r="AC1403" s="394"/>
      <c r="AD1403" s="394"/>
      <c r="AE1403" s="394"/>
      <c r="AF1403" s="394"/>
      <c r="AG1403" s="394"/>
      <c r="AH1403" s="394"/>
      <c r="AI1403" s="394"/>
      <c r="AJ1403" s="394"/>
      <c r="AK1403" s="381"/>
      <c r="AL1403" s="408"/>
      <c r="AM1403" s="385"/>
      <c r="AN1403" s="475"/>
      <c r="AO1403" s="395"/>
      <c r="AP1403" s="395"/>
      <c r="AQ1403" s="528"/>
      <c r="AR1403" s="523">
        <v>1</v>
      </c>
      <c r="AS1403" s="393"/>
      <c r="AT1403" s="600">
        <v>11.844390000000001</v>
      </c>
      <c r="AU1403" s="394">
        <v>8.1304800000000004</v>
      </c>
      <c r="AV1403" s="394">
        <v>6.7373000000000003</v>
      </c>
      <c r="AW1403" s="394"/>
      <c r="AX1403" s="394"/>
      <c r="AY1403" s="394">
        <v>0</v>
      </c>
      <c r="AZ1403" s="394">
        <v>0</v>
      </c>
      <c r="BA1403" s="394">
        <v>0.86582000000000003</v>
      </c>
      <c r="BB1403" s="394">
        <v>6.7373000000000003</v>
      </c>
      <c r="BC1403" s="394"/>
      <c r="BD1403" s="381" t="s">
        <v>167</v>
      </c>
      <c r="BE1403" s="408" t="s">
        <v>175</v>
      </c>
      <c r="BF1403" s="385"/>
      <c r="BG1403" s="475">
        <v>528</v>
      </c>
      <c r="BH1403" s="395"/>
      <c r="BI1403" s="395">
        <f t="shared" si="879"/>
        <v>11.844390000000001</v>
      </c>
    </row>
    <row r="1404" spans="1:61" s="358" customFormat="1" ht="19.2" x14ac:dyDescent="0.3">
      <c r="A1404" s="359" t="s">
        <v>362</v>
      </c>
      <c r="B1404" s="602" t="s">
        <v>4710</v>
      </c>
      <c r="C1404" s="548" t="s">
        <v>4709</v>
      </c>
      <c r="D1404" s="360">
        <v>0.22</v>
      </c>
      <c r="E1404" s="528"/>
      <c r="F1404" s="523"/>
      <c r="G1404" s="393"/>
      <c r="H1404" s="394"/>
      <c r="I1404" s="394"/>
      <c r="J1404" s="394"/>
      <c r="K1404" s="394"/>
      <c r="L1404" s="394"/>
      <c r="M1404" s="394"/>
      <c r="N1404" s="394"/>
      <c r="O1404" s="394"/>
      <c r="P1404" s="394"/>
      <c r="Q1404" s="394"/>
      <c r="R1404" s="381"/>
      <c r="S1404" s="408"/>
      <c r="T1404" s="385"/>
      <c r="U1404" s="475"/>
      <c r="V1404" s="395"/>
      <c r="W1404" s="395"/>
      <c r="X1404" s="528"/>
      <c r="Y1404" s="523"/>
      <c r="Z1404" s="393"/>
      <c r="AA1404" s="394"/>
      <c r="AB1404" s="394"/>
      <c r="AC1404" s="394"/>
      <c r="AD1404" s="394"/>
      <c r="AE1404" s="394"/>
      <c r="AF1404" s="394"/>
      <c r="AG1404" s="394"/>
      <c r="AH1404" s="394"/>
      <c r="AI1404" s="394"/>
      <c r="AJ1404" s="394"/>
      <c r="AK1404" s="381"/>
      <c r="AL1404" s="408"/>
      <c r="AM1404" s="385"/>
      <c r="AN1404" s="475"/>
      <c r="AO1404" s="395"/>
      <c r="AP1404" s="395"/>
      <c r="AQ1404" s="528"/>
      <c r="AR1404" s="523">
        <v>1</v>
      </c>
      <c r="AS1404" s="393"/>
      <c r="AT1404" s="600">
        <v>11.8444</v>
      </c>
      <c r="AU1404" s="394">
        <v>8.13049</v>
      </c>
      <c r="AV1404" s="394">
        <v>6.7373000000000003</v>
      </c>
      <c r="AW1404" s="394"/>
      <c r="AX1404" s="394"/>
      <c r="AY1404" s="394">
        <v>0</v>
      </c>
      <c r="AZ1404" s="394">
        <v>0</v>
      </c>
      <c r="BA1404" s="394">
        <v>0.86582000000000003</v>
      </c>
      <c r="BB1404" s="394">
        <v>6.7373000000000003</v>
      </c>
      <c r="BC1404" s="394"/>
      <c r="BD1404" s="381" t="s">
        <v>167</v>
      </c>
      <c r="BE1404" s="408" t="s">
        <v>175</v>
      </c>
      <c r="BF1404" s="385"/>
      <c r="BG1404" s="475">
        <v>529</v>
      </c>
      <c r="BH1404" s="395"/>
      <c r="BI1404" s="395">
        <f t="shared" si="879"/>
        <v>11.8444</v>
      </c>
    </row>
    <row r="1405" spans="1:61" s="358" customFormat="1" ht="19.2" x14ac:dyDescent="0.3">
      <c r="A1405" s="359" t="s">
        <v>363</v>
      </c>
      <c r="B1405" s="602" t="s">
        <v>5154</v>
      </c>
      <c r="C1405" s="548" t="s">
        <v>5155</v>
      </c>
      <c r="D1405" s="360">
        <v>0.22</v>
      </c>
      <c r="E1405" s="528"/>
      <c r="F1405" s="523"/>
      <c r="G1405" s="393"/>
      <c r="H1405" s="394"/>
      <c r="I1405" s="394"/>
      <c r="J1405" s="394"/>
      <c r="K1405" s="394"/>
      <c r="L1405" s="394"/>
      <c r="M1405" s="394"/>
      <c r="N1405" s="394"/>
      <c r="O1405" s="394"/>
      <c r="P1405" s="394"/>
      <c r="Q1405" s="394"/>
      <c r="R1405" s="381"/>
      <c r="S1405" s="408"/>
      <c r="T1405" s="385"/>
      <c r="U1405" s="475"/>
      <c r="V1405" s="395"/>
      <c r="W1405" s="395"/>
      <c r="X1405" s="528"/>
      <c r="Y1405" s="523"/>
      <c r="Z1405" s="393"/>
      <c r="AA1405" s="394"/>
      <c r="AB1405" s="394"/>
      <c r="AC1405" s="394"/>
      <c r="AD1405" s="394"/>
      <c r="AE1405" s="394"/>
      <c r="AF1405" s="394"/>
      <c r="AG1405" s="394"/>
      <c r="AH1405" s="394"/>
      <c r="AI1405" s="394"/>
      <c r="AJ1405" s="394"/>
      <c r="AK1405" s="381"/>
      <c r="AL1405" s="408"/>
      <c r="AM1405" s="385"/>
      <c r="AN1405" s="475"/>
      <c r="AO1405" s="395"/>
      <c r="AP1405" s="395"/>
      <c r="AQ1405" s="528"/>
      <c r="AR1405" s="523">
        <v>1</v>
      </c>
      <c r="AS1405" s="393"/>
      <c r="AT1405" s="600">
        <v>11.844379999999999</v>
      </c>
      <c r="AU1405" s="394">
        <v>8.1304700000000008</v>
      </c>
      <c r="AV1405" s="394">
        <v>6.7373000000000003</v>
      </c>
      <c r="AW1405" s="394"/>
      <c r="AX1405" s="394"/>
      <c r="AY1405" s="394">
        <v>0</v>
      </c>
      <c r="AZ1405" s="394">
        <v>0</v>
      </c>
      <c r="BA1405" s="394">
        <v>0.86582000000000003</v>
      </c>
      <c r="BB1405" s="394">
        <v>6.7373000000000003</v>
      </c>
      <c r="BC1405" s="394"/>
      <c r="BD1405" s="381" t="s">
        <v>167</v>
      </c>
      <c r="BE1405" s="408" t="s">
        <v>175</v>
      </c>
      <c r="BF1405" s="385"/>
      <c r="BG1405" s="475">
        <v>530</v>
      </c>
      <c r="BH1405" s="395"/>
      <c r="BI1405" s="395">
        <f t="shared" ref="BI1405" si="890">AT1405/AR1405</f>
        <v>11.844379999999999</v>
      </c>
    </row>
    <row r="1406" spans="1:61" s="358" customFormat="1" ht="19.2" x14ac:dyDescent="0.3">
      <c r="A1406" s="359" t="s">
        <v>364</v>
      </c>
      <c r="B1406" s="602" t="s">
        <v>5156</v>
      </c>
      <c r="C1406" s="548" t="s">
        <v>5157</v>
      </c>
      <c r="D1406" s="360">
        <v>0.22</v>
      </c>
      <c r="E1406" s="528"/>
      <c r="F1406" s="523"/>
      <c r="G1406" s="393"/>
      <c r="H1406" s="394"/>
      <c r="I1406" s="394"/>
      <c r="J1406" s="394"/>
      <c r="K1406" s="394"/>
      <c r="L1406" s="394"/>
      <c r="M1406" s="394"/>
      <c r="N1406" s="394"/>
      <c r="O1406" s="394"/>
      <c r="P1406" s="394"/>
      <c r="Q1406" s="394"/>
      <c r="R1406" s="381"/>
      <c r="S1406" s="408"/>
      <c r="T1406" s="385"/>
      <c r="U1406" s="475"/>
      <c r="V1406" s="395"/>
      <c r="W1406" s="395"/>
      <c r="X1406" s="528"/>
      <c r="Y1406" s="523"/>
      <c r="Z1406" s="393"/>
      <c r="AA1406" s="394"/>
      <c r="AB1406" s="394"/>
      <c r="AC1406" s="394"/>
      <c r="AD1406" s="394"/>
      <c r="AE1406" s="394"/>
      <c r="AF1406" s="394"/>
      <c r="AG1406" s="394"/>
      <c r="AH1406" s="394"/>
      <c r="AI1406" s="394"/>
      <c r="AJ1406" s="394"/>
      <c r="AK1406" s="381"/>
      <c r="AL1406" s="408"/>
      <c r="AM1406" s="385"/>
      <c r="AN1406" s="475"/>
      <c r="AO1406" s="395"/>
      <c r="AP1406" s="395"/>
      <c r="AQ1406" s="528"/>
      <c r="AR1406" s="523">
        <v>1</v>
      </c>
      <c r="AS1406" s="393"/>
      <c r="AT1406" s="600">
        <v>11.84441</v>
      </c>
      <c r="AU1406" s="394">
        <v>8.1304999999999996</v>
      </c>
      <c r="AV1406" s="394">
        <v>6.7373000000000003</v>
      </c>
      <c r="AW1406" s="394"/>
      <c r="AX1406" s="394"/>
      <c r="AY1406" s="394">
        <v>0</v>
      </c>
      <c r="AZ1406" s="394">
        <v>0</v>
      </c>
      <c r="BA1406" s="394">
        <v>0.86582000000000003</v>
      </c>
      <c r="BB1406" s="394">
        <v>6.7373000000000003</v>
      </c>
      <c r="BC1406" s="394"/>
      <c r="BD1406" s="381" t="s">
        <v>167</v>
      </c>
      <c r="BE1406" s="408" t="s">
        <v>175</v>
      </c>
      <c r="BF1406" s="385"/>
      <c r="BG1406" s="475">
        <v>531</v>
      </c>
      <c r="BH1406" s="395"/>
      <c r="BI1406" s="395">
        <f t="shared" si="879"/>
        <v>11.84441</v>
      </c>
    </row>
    <row r="1407" spans="1:61" s="358" customFormat="1" ht="19.2" x14ac:dyDescent="0.3">
      <c r="A1407" s="359" t="s">
        <v>365</v>
      </c>
      <c r="B1407" s="602" t="s">
        <v>5158</v>
      </c>
      <c r="C1407" s="548" t="s">
        <v>5159</v>
      </c>
      <c r="D1407" s="360">
        <v>0.22</v>
      </c>
      <c r="E1407" s="528"/>
      <c r="F1407" s="523"/>
      <c r="G1407" s="393"/>
      <c r="H1407" s="394"/>
      <c r="I1407" s="394"/>
      <c r="J1407" s="394"/>
      <c r="K1407" s="394"/>
      <c r="L1407" s="394"/>
      <c r="M1407" s="394"/>
      <c r="N1407" s="394"/>
      <c r="O1407" s="394"/>
      <c r="P1407" s="394"/>
      <c r="Q1407" s="394"/>
      <c r="R1407" s="381"/>
      <c r="S1407" s="408"/>
      <c r="T1407" s="385"/>
      <c r="U1407" s="475"/>
      <c r="V1407" s="395"/>
      <c r="W1407" s="395"/>
      <c r="X1407" s="528"/>
      <c r="Y1407" s="523"/>
      <c r="Z1407" s="393"/>
      <c r="AA1407" s="394"/>
      <c r="AB1407" s="394"/>
      <c r="AC1407" s="394"/>
      <c r="AD1407" s="394"/>
      <c r="AE1407" s="394"/>
      <c r="AF1407" s="394"/>
      <c r="AG1407" s="394"/>
      <c r="AH1407" s="394"/>
      <c r="AI1407" s="394"/>
      <c r="AJ1407" s="394"/>
      <c r="AK1407" s="381"/>
      <c r="AL1407" s="408"/>
      <c r="AM1407" s="385"/>
      <c r="AN1407" s="475"/>
      <c r="AO1407" s="395"/>
      <c r="AP1407" s="395"/>
      <c r="AQ1407" s="528"/>
      <c r="AR1407" s="523">
        <v>1</v>
      </c>
      <c r="AS1407" s="393"/>
      <c r="AT1407" s="600">
        <v>11.844379999999999</v>
      </c>
      <c r="AU1407" s="394">
        <v>8.1304700000000008</v>
      </c>
      <c r="AV1407" s="394">
        <v>6.7373000000000003</v>
      </c>
      <c r="AW1407" s="394"/>
      <c r="AX1407" s="394"/>
      <c r="AY1407" s="394">
        <v>0</v>
      </c>
      <c r="AZ1407" s="394">
        <v>0</v>
      </c>
      <c r="BA1407" s="394">
        <v>0.86582000000000003</v>
      </c>
      <c r="BB1407" s="394">
        <v>6.7373000000000003</v>
      </c>
      <c r="BC1407" s="394"/>
      <c r="BD1407" s="381" t="s">
        <v>167</v>
      </c>
      <c r="BE1407" s="408" t="s">
        <v>175</v>
      </c>
      <c r="BF1407" s="385"/>
      <c r="BG1407" s="475">
        <v>532</v>
      </c>
      <c r="BH1407" s="395"/>
      <c r="BI1407" s="395">
        <f t="shared" ref="BI1407" si="891">AT1407/AR1407</f>
        <v>11.844379999999999</v>
      </c>
    </row>
    <row r="1408" spans="1:61" s="358" customFormat="1" ht="19.2" x14ac:dyDescent="0.3">
      <c r="A1408" s="359" t="s">
        <v>366</v>
      </c>
      <c r="B1408" s="602" t="s">
        <v>5160</v>
      </c>
      <c r="C1408" s="548" t="s">
        <v>5161</v>
      </c>
      <c r="D1408" s="360">
        <v>0.22</v>
      </c>
      <c r="E1408" s="528"/>
      <c r="F1408" s="523"/>
      <c r="G1408" s="393"/>
      <c r="H1408" s="394"/>
      <c r="I1408" s="394"/>
      <c r="J1408" s="394"/>
      <c r="K1408" s="394"/>
      <c r="L1408" s="394"/>
      <c r="M1408" s="394"/>
      <c r="N1408" s="394"/>
      <c r="O1408" s="394"/>
      <c r="P1408" s="394"/>
      <c r="Q1408" s="394"/>
      <c r="R1408" s="381"/>
      <c r="S1408" s="408"/>
      <c r="T1408" s="385"/>
      <c r="U1408" s="475"/>
      <c r="V1408" s="395"/>
      <c r="W1408" s="395"/>
      <c r="X1408" s="528"/>
      <c r="Y1408" s="523"/>
      <c r="Z1408" s="393"/>
      <c r="AA1408" s="394"/>
      <c r="AB1408" s="394"/>
      <c r="AC1408" s="394"/>
      <c r="AD1408" s="394"/>
      <c r="AE1408" s="394"/>
      <c r="AF1408" s="394"/>
      <c r="AG1408" s="394"/>
      <c r="AH1408" s="394"/>
      <c r="AI1408" s="394"/>
      <c r="AJ1408" s="394"/>
      <c r="AK1408" s="381"/>
      <c r="AL1408" s="408"/>
      <c r="AM1408" s="385"/>
      <c r="AN1408" s="475"/>
      <c r="AO1408" s="395"/>
      <c r="AP1408" s="395"/>
      <c r="AQ1408" s="528"/>
      <c r="AR1408" s="523">
        <v>1</v>
      </c>
      <c r="AS1408" s="393"/>
      <c r="AT1408" s="600">
        <v>7.7190799999999999</v>
      </c>
      <c r="AU1408" s="394">
        <v>6.9505800000000004</v>
      </c>
      <c r="AV1408" s="394">
        <v>6.7373399999999997</v>
      </c>
      <c r="AW1408" s="394"/>
      <c r="AX1408" s="394"/>
      <c r="AY1408" s="394">
        <v>0</v>
      </c>
      <c r="AZ1408" s="394">
        <v>0</v>
      </c>
      <c r="BA1408" s="394">
        <v>0.17916000000000001</v>
      </c>
      <c r="BB1408" s="394">
        <v>6.7373399999999997</v>
      </c>
      <c r="BC1408" s="394"/>
      <c r="BD1408" s="381" t="s">
        <v>167</v>
      </c>
      <c r="BE1408" s="408" t="s">
        <v>175</v>
      </c>
      <c r="BF1408" s="385"/>
      <c r="BG1408" s="475">
        <v>533</v>
      </c>
      <c r="BH1408" s="395"/>
      <c r="BI1408" s="395">
        <f t="shared" si="879"/>
        <v>7.7190799999999999</v>
      </c>
    </row>
    <row r="1409" spans="1:61" s="358" customFormat="1" ht="19.2" x14ac:dyDescent="0.3">
      <c r="A1409" s="359" t="s">
        <v>367</v>
      </c>
      <c r="B1409" s="602" t="s">
        <v>5162</v>
      </c>
      <c r="C1409" s="548" t="s">
        <v>5163</v>
      </c>
      <c r="D1409" s="360">
        <v>0.22</v>
      </c>
      <c r="E1409" s="528"/>
      <c r="F1409" s="523"/>
      <c r="G1409" s="393"/>
      <c r="H1409" s="394"/>
      <c r="I1409" s="394"/>
      <c r="J1409" s="394"/>
      <c r="K1409" s="394"/>
      <c r="L1409" s="394"/>
      <c r="M1409" s="394"/>
      <c r="N1409" s="394"/>
      <c r="O1409" s="394"/>
      <c r="P1409" s="394"/>
      <c r="Q1409" s="394"/>
      <c r="R1409" s="381"/>
      <c r="S1409" s="408"/>
      <c r="T1409" s="385"/>
      <c r="U1409" s="475"/>
      <c r="V1409" s="395"/>
      <c r="W1409" s="395"/>
      <c r="X1409" s="528"/>
      <c r="Y1409" s="523"/>
      <c r="Z1409" s="393"/>
      <c r="AA1409" s="394"/>
      <c r="AB1409" s="394"/>
      <c r="AC1409" s="394"/>
      <c r="AD1409" s="394"/>
      <c r="AE1409" s="394"/>
      <c r="AF1409" s="394"/>
      <c r="AG1409" s="394"/>
      <c r="AH1409" s="394"/>
      <c r="AI1409" s="394"/>
      <c r="AJ1409" s="394"/>
      <c r="AK1409" s="381"/>
      <c r="AL1409" s="408"/>
      <c r="AM1409" s="385"/>
      <c r="AN1409" s="475"/>
      <c r="AO1409" s="395"/>
      <c r="AP1409" s="395"/>
      <c r="AQ1409" s="528"/>
      <c r="AR1409" s="523">
        <v>1</v>
      </c>
      <c r="AS1409" s="393"/>
      <c r="AT1409" s="600">
        <v>11.84441</v>
      </c>
      <c r="AU1409" s="394">
        <v>8.1304999999999996</v>
      </c>
      <c r="AV1409" s="394">
        <v>6.7373000000000003</v>
      </c>
      <c r="AW1409" s="394"/>
      <c r="AX1409" s="394"/>
      <c r="AY1409" s="394">
        <v>0</v>
      </c>
      <c r="AZ1409" s="394">
        <v>0</v>
      </c>
      <c r="BA1409" s="394">
        <v>0.86582000000000003</v>
      </c>
      <c r="BB1409" s="394">
        <v>6.7373000000000003</v>
      </c>
      <c r="BC1409" s="394"/>
      <c r="BD1409" s="381" t="s">
        <v>167</v>
      </c>
      <c r="BE1409" s="408" t="s">
        <v>175</v>
      </c>
      <c r="BF1409" s="385"/>
      <c r="BG1409" s="475">
        <v>534</v>
      </c>
      <c r="BH1409" s="395"/>
      <c r="BI1409" s="395">
        <f t="shared" ref="BI1409" si="892">AT1409/AR1409</f>
        <v>11.84441</v>
      </c>
    </row>
    <row r="1410" spans="1:61" s="358" customFormat="1" ht="19.2" x14ac:dyDescent="0.3">
      <c r="A1410" s="359" t="s">
        <v>368</v>
      </c>
      <c r="B1410" s="602" t="s">
        <v>5164</v>
      </c>
      <c r="C1410" s="548" t="s">
        <v>5165</v>
      </c>
      <c r="D1410" s="360">
        <v>0.22</v>
      </c>
      <c r="E1410" s="528"/>
      <c r="F1410" s="523"/>
      <c r="G1410" s="393"/>
      <c r="H1410" s="394"/>
      <c r="I1410" s="394"/>
      <c r="J1410" s="394"/>
      <c r="K1410" s="394"/>
      <c r="L1410" s="394"/>
      <c r="M1410" s="394"/>
      <c r="N1410" s="394"/>
      <c r="O1410" s="394"/>
      <c r="P1410" s="394"/>
      <c r="Q1410" s="394"/>
      <c r="R1410" s="381"/>
      <c r="S1410" s="408"/>
      <c r="T1410" s="385"/>
      <c r="U1410" s="475"/>
      <c r="V1410" s="395"/>
      <c r="W1410" s="395"/>
      <c r="X1410" s="528"/>
      <c r="Y1410" s="523"/>
      <c r="Z1410" s="393"/>
      <c r="AA1410" s="394"/>
      <c r="AB1410" s="394"/>
      <c r="AC1410" s="394"/>
      <c r="AD1410" s="394"/>
      <c r="AE1410" s="394"/>
      <c r="AF1410" s="394"/>
      <c r="AG1410" s="394"/>
      <c r="AH1410" s="394"/>
      <c r="AI1410" s="394"/>
      <c r="AJ1410" s="394"/>
      <c r="AK1410" s="381"/>
      <c r="AL1410" s="408"/>
      <c r="AM1410" s="385"/>
      <c r="AN1410" s="475"/>
      <c r="AO1410" s="395"/>
      <c r="AP1410" s="395"/>
      <c r="AQ1410" s="528"/>
      <c r="AR1410" s="523">
        <v>1</v>
      </c>
      <c r="AS1410" s="393"/>
      <c r="AT1410" s="600">
        <v>11.84441</v>
      </c>
      <c r="AU1410" s="394">
        <v>8.1304999999999996</v>
      </c>
      <c r="AV1410" s="394">
        <v>6.7373000000000003</v>
      </c>
      <c r="AW1410" s="394"/>
      <c r="AX1410" s="394"/>
      <c r="AY1410" s="394">
        <v>0</v>
      </c>
      <c r="AZ1410" s="394">
        <v>0</v>
      </c>
      <c r="BA1410" s="394">
        <v>0.86582000000000003</v>
      </c>
      <c r="BB1410" s="394">
        <v>6.7373000000000003</v>
      </c>
      <c r="BC1410" s="394"/>
      <c r="BD1410" s="381" t="s">
        <v>167</v>
      </c>
      <c r="BE1410" s="408" t="s">
        <v>175</v>
      </c>
      <c r="BF1410" s="385"/>
      <c r="BG1410" s="475">
        <v>535</v>
      </c>
      <c r="BH1410" s="395"/>
      <c r="BI1410" s="395">
        <f t="shared" si="879"/>
        <v>11.84441</v>
      </c>
    </row>
    <row r="1411" spans="1:61" s="358" customFormat="1" ht="19.2" x14ac:dyDescent="0.3">
      <c r="A1411" s="359" t="s">
        <v>369</v>
      </c>
      <c r="B1411" s="602" t="s">
        <v>5166</v>
      </c>
      <c r="C1411" s="548" t="s">
        <v>5167</v>
      </c>
      <c r="D1411" s="360">
        <v>0.22</v>
      </c>
      <c r="E1411" s="528"/>
      <c r="F1411" s="523"/>
      <c r="G1411" s="393"/>
      <c r="H1411" s="394"/>
      <c r="I1411" s="394"/>
      <c r="J1411" s="394"/>
      <c r="K1411" s="394"/>
      <c r="L1411" s="394"/>
      <c r="M1411" s="394"/>
      <c r="N1411" s="394"/>
      <c r="O1411" s="394"/>
      <c r="P1411" s="394"/>
      <c r="Q1411" s="394"/>
      <c r="R1411" s="381"/>
      <c r="S1411" s="408"/>
      <c r="T1411" s="385"/>
      <c r="U1411" s="475"/>
      <c r="V1411" s="395"/>
      <c r="W1411" s="395"/>
      <c r="X1411" s="528"/>
      <c r="Y1411" s="523"/>
      <c r="Z1411" s="393"/>
      <c r="AA1411" s="394"/>
      <c r="AB1411" s="394"/>
      <c r="AC1411" s="394"/>
      <c r="AD1411" s="394"/>
      <c r="AE1411" s="394"/>
      <c r="AF1411" s="394"/>
      <c r="AG1411" s="394"/>
      <c r="AH1411" s="394"/>
      <c r="AI1411" s="394"/>
      <c r="AJ1411" s="394"/>
      <c r="AK1411" s="381"/>
      <c r="AL1411" s="408"/>
      <c r="AM1411" s="385"/>
      <c r="AN1411" s="475"/>
      <c r="AO1411" s="395"/>
      <c r="AP1411" s="395"/>
      <c r="AQ1411" s="528"/>
      <c r="AR1411" s="523">
        <v>1</v>
      </c>
      <c r="AS1411" s="393"/>
      <c r="AT1411" s="600">
        <v>7.7190700000000003</v>
      </c>
      <c r="AU1411" s="394">
        <v>6.9505699999999999</v>
      </c>
      <c r="AV1411" s="394">
        <v>6.7373399999999997</v>
      </c>
      <c r="AW1411" s="394"/>
      <c r="AX1411" s="394"/>
      <c r="AY1411" s="394">
        <v>0</v>
      </c>
      <c r="AZ1411" s="394">
        <v>0</v>
      </c>
      <c r="BA1411" s="394">
        <v>0.17916000000000001</v>
      </c>
      <c r="BB1411" s="394">
        <v>6.7373399999999997</v>
      </c>
      <c r="BC1411" s="394"/>
      <c r="BD1411" s="381" t="s">
        <v>167</v>
      </c>
      <c r="BE1411" s="408" t="s">
        <v>175</v>
      </c>
      <c r="BF1411" s="385"/>
      <c r="BG1411" s="475">
        <v>536</v>
      </c>
      <c r="BH1411" s="395"/>
      <c r="BI1411" s="395">
        <f t="shared" ref="BI1411" si="893">AT1411/AR1411</f>
        <v>7.7190700000000003</v>
      </c>
    </row>
    <row r="1412" spans="1:61" s="358" customFormat="1" ht="19.2" x14ac:dyDescent="0.3">
      <c r="A1412" s="359" t="s">
        <v>370</v>
      </c>
      <c r="B1412" s="602" t="s">
        <v>5168</v>
      </c>
      <c r="C1412" s="548" t="s">
        <v>5169</v>
      </c>
      <c r="D1412" s="360">
        <v>0.22</v>
      </c>
      <c r="E1412" s="528"/>
      <c r="F1412" s="523"/>
      <c r="G1412" s="393"/>
      <c r="H1412" s="394"/>
      <c r="I1412" s="394"/>
      <c r="J1412" s="394"/>
      <c r="K1412" s="394"/>
      <c r="L1412" s="394"/>
      <c r="M1412" s="394"/>
      <c r="N1412" s="394"/>
      <c r="O1412" s="394"/>
      <c r="P1412" s="394"/>
      <c r="Q1412" s="394"/>
      <c r="R1412" s="381"/>
      <c r="S1412" s="408"/>
      <c r="T1412" s="385"/>
      <c r="U1412" s="475"/>
      <c r="V1412" s="395"/>
      <c r="W1412" s="395"/>
      <c r="X1412" s="528"/>
      <c r="Y1412" s="523"/>
      <c r="Z1412" s="393"/>
      <c r="AA1412" s="394"/>
      <c r="AB1412" s="394"/>
      <c r="AC1412" s="394"/>
      <c r="AD1412" s="394"/>
      <c r="AE1412" s="394"/>
      <c r="AF1412" s="394"/>
      <c r="AG1412" s="394"/>
      <c r="AH1412" s="394"/>
      <c r="AI1412" s="394"/>
      <c r="AJ1412" s="394"/>
      <c r="AK1412" s="381"/>
      <c r="AL1412" s="408"/>
      <c r="AM1412" s="385"/>
      <c r="AN1412" s="475"/>
      <c r="AO1412" s="395"/>
      <c r="AP1412" s="395"/>
      <c r="AQ1412" s="528"/>
      <c r="AR1412" s="523">
        <v>1</v>
      </c>
      <c r="AS1412" s="393"/>
      <c r="AT1412" s="600">
        <v>11.844379999999999</v>
      </c>
      <c r="AU1412" s="394">
        <v>8.1304700000000008</v>
      </c>
      <c r="AV1412" s="394">
        <v>6.7373000000000003</v>
      </c>
      <c r="AW1412" s="394"/>
      <c r="AX1412" s="394"/>
      <c r="AY1412" s="394">
        <v>0</v>
      </c>
      <c r="AZ1412" s="394">
        <v>0</v>
      </c>
      <c r="BA1412" s="394">
        <v>0.86582000000000003</v>
      </c>
      <c r="BB1412" s="394">
        <v>6.7373000000000003</v>
      </c>
      <c r="BC1412" s="394"/>
      <c r="BD1412" s="381" t="s">
        <v>167</v>
      </c>
      <c r="BE1412" s="408" t="s">
        <v>175</v>
      </c>
      <c r="BF1412" s="385"/>
      <c r="BG1412" s="475">
        <v>537</v>
      </c>
      <c r="BH1412" s="395"/>
      <c r="BI1412" s="395">
        <f t="shared" si="879"/>
        <v>11.844379999999999</v>
      </c>
    </row>
    <row r="1413" spans="1:61" s="358" customFormat="1" ht="19.2" x14ac:dyDescent="0.3">
      <c r="A1413" s="359" t="s">
        <v>371</v>
      </c>
      <c r="B1413" s="602" t="s">
        <v>5170</v>
      </c>
      <c r="C1413" s="548" t="s">
        <v>5171</v>
      </c>
      <c r="D1413" s="360">
        <v>0.22</v>
      </c>
      <c r="E1413" s="528"/>
      <c r="F1413" s="523"/>
      <c r="G1413" s="393"/>
      <c r="H1413" s="394"/>
      <c r="I1413" s="394"/>
      <c r="J1413" s="394"/>
      <c r="K1413" s="394"/>
      <c r="L1413" s="394"/>
      <c r="M1413" s="394"/>
      <c r="N1413" s="394"/>
      <c r="O1413" s="394"/>
      <c r="P1413" s="394"/>
      <c r="Q1413" s="394"/>
      <c r="R1413" s="381"/>
      <c r="S1413" s="408"/>
      <c r="T1413" s="385"/>
      <c r="U1413" s="475"/>
      <c r="V1413" s="395"/>
      <c r="W1413" s="395"/>
      <c r="X1413" s="528"/>
      <c r="Y1413" s="523"/>
      <c r="Z1413" s="393"/>
      <c r="AA1413" s="394"/>
      <c r="AB1413" s="394"/>
      <c r="AC1413" s="394"/>
      <c r="AD1413" s="394"/>
      <c r="AE1413" s="394"/>
      <c r="AF1413" s="394"/>
      <c r="AG1413" s="394"/>
      <c r="AH1413" s="394"/>
      <c r="AI1413" s="394"/>
      <c r="AJ1413" s="394"/>
      <c r="AK1413" s="381"/>
      <c r="AL1413" s="408"/>
      <c r="AM1413" s="385"/>
      <c r="AN1413" s="475"/>
      <c r="AO1413" s="395"/>
      <c r="AP1413" s="395"/>
      <c r="AQ1413" s="528"/>
      <c r="AR1413" s="523">
        <v>1</v>
      </c>
      <c r="AS1413" s="393"/>
      <c r="AT1413" s="600">
        <v>11.844390000000001</v>
      </c>
      <c r="AU1413" s="394">
        <v>8.1304800000000004</v>
      </c>
      <c r="AV1413" s="394">
        <v>6.7373000000000003</v>
      </c>
      <c r="AW1413" s="394"/>
      <c r="AX1413" s="394"/>
      <c r="AY1413" s="394">
        <v>0</v>
      </c>
      <c r="AZ1413" s="394">
        <v>0</v>
      </c>
      <c r="BA1413" s="394">
        <v>0.86582000000000003</v>
      </c>
      <c r="BB1413" s="394">
        <v>6.7373000000000003</v>
      </c>
      <c r="BC1413" s="394"/>
      <c r="BD1413" s="381" t="s">
        <v>167</v>
      </c>
      <c r="BE1413" s="408" t="s">
        <v>175</v>
      </c>
      <c r="BF1413" s="385"/>
      <c r="BG1413" s="475">
        <v>538</v>
      </c>
      <c r="BH1413" s="395"/>
      <c r="BI1413" s="395">
        <f t="shared" ref="BI1413" si="894">AT1413/AR1413</f>
        <v>11.844390000000001</v>
      </c>
    </row>
    <row r="1414" spans="1:61" s="358" customFormat="1" ht="19.2" x14ac:dyDescent="0.3">
      <c r="A1414" s="359" t="s">
        <v>372</v>
      </c>
      <c r="B1414" s="602" t="s">
        <v>5172</v>
      </c>
      <c r="C1414" s="548" t="s">
        <v>5173</v>
      </c>
      <c r="D1414" s="360">
        <v>0.22</v>
      </c>
      <c r="E1414" s="528"/>
      <c r="F1414" s="523"/>
      <c r="G1414" s="393"/>
      <c r="H1414" s="394"/>
      <c r="I1414" s="394"/>
      <c r="J1414" s="394"/>
      <c r="K1414" s="394"/>
      <c r="L1414" s="394"/>
      <c r="M1414" s="394"/>
      <c r="N1414" s="394"/>
      <c r="O1414" s="394"/>
      <c r="P1414" s="394"/>
      <c r="Q1414" s="394"/>
      <c r="R1414" s="381"/>
      <c r="S1414" s="408"/>
      <c r="T1414" s="385"/>
      <c r="U1414" s="475"/>
      <c r="V1414" s="395"/>
      <c r="W1414" s="395"/>
      <c r="X1414" s="528"/>
      <c r="Y1414" s="523"/>
      <c r="Z1414" s="393"/>
      <c r="AA1414" s="394"/>
      <c r="AB1414" s="394"/>
      <c r="AC1414" s="394"/>
      <c r="AD1414" s="394"/>
      <c r="AE1414" s="394"/>
      <c r="AF1414" s="394"/>
      <c r="AG1414" s="394"/>
      <c r="AH1414" s="394"/>
      <c r="AI1414" s="394"/>
      <c r="AJ1414" s="394"/>
      <c r="AK1414" s="381"/>
      <c r="AL1414" s="408"/>
      <c r="AM1414" s="385"/>
      <c r="AN1414" s="475"/>
      <c r="AO1414" s="395"/>
      <c r="AP1414" s="395"/>
      <c r="AQ1414" s="528"/>
      <c r="AR1414" s="523">
        <v>1</v>
      </c>
      <c r="AS1414" s="393"/>
      <c r="AT1414" s="600">
        <v>7.7190700000000003</v>
      </c>
      <c r="AU1414" s="394">
        <v>6.9505699999999999</v>
      </c>
      <c r="AV1414" s="394">
        <v>6.7373399999999997</v>
      </c>
      <c r="AW1414" s="394"/>
      <c r="AX1414" s="394"/>
      <c r="AY1414" s="394">
        <v>0</v>
      </c>
      <c r="AZ1414" s="394">
        <v>0</v>
      </c>
      <c r="BA1414" s="394">
        <v>0.17916000000000001</v>
      </c>
      <c r="BB1414" s="394">
        <v>6.7373399999999997</v>
      </c>
      <c r="BC1414" s="394"/>
      <c r="BD1414" s="381" t="s">
        <v>167</v>
      </c>
      <c r="BE1414" s="408" t="s">
        <v>175</v>
      </c>
      <c r="BF1414" s="385"/>
      <c r="BG1414" s="475">
        <v>539</v>
      </c>
      <c r="BH1414" s="395"/>
      <c r="BI1414" s="395">
        <f t="shared" si="879"/>
        <v>7.7190700000000003</v>
      </c>
    </row>
    <row r="1415" spans="1:61" s="358" customFormat="1" ht="19.2" x14ac:dyDescent="0.3">
      <c r="A1415" s="359" t="s">
        <v>373</v>
      </c>
      <c r="B1415" s="602" t="s">
        <v>5174</v>
      </c>
      <c r="C1415" s="548" t="s">
        <v>5175</v>
      </c>
      <c r="D1415" s="360">
        <v>0.22</v>
      </c>
      <c r="E1415" s="528"/>
      <c r="F1415" s="523"/>
      <c r="G1415" s="393"/>
      <c r="H1415" s="394"/>
      <c r="I1415" s="394"/>
      <c r="J1415" s="394"/>
      <c r="K1415" s="394"/>
      <c r="L1415" s="394"/>
      <c r="M1415" s="394"/>
      <c r="N1415" s="394"/>
      <c r="O1415" s="394"/>
      <c r="P1415" s="394"/>
      <c r="Q1415" s="394"/>
      <c r="R1415" s="381"/>
      <c r="S1415" s="408"/>
      <c r="T1415" s="385"/>
      <c r="U1415" s="475"/>
      <c r="V1415" s="395"/>
      <c r="W1415" s="395"/>
      <c r="X1415" s="528"/>
      <c r="Y1415" s="523"/>
      <c r="Z1415" s="393"/>
      <c r="AA1415" s="394"/>
      <c r="AB1415" s="394"/>
      <c r="AC1415" s="394"/>
      <c r="AD1415" s="394"/>
      <c r="AE1415" s="394"/>
      <c r="AF1415" s="394"/>
      <c r="AG1415" s="394"/>
      <c r="AH1415" s="394"/>
      <c r="AI1415" s="394"/>
      <c r="AJ1415" s="394"/>
      <c r="AK1415" s="381"/>
      <c r="AL1415" s="408"/>
      <c r="AM1415" s="385"/>
      <c r="AN1415" s="475"/>
      <c r="AO1415" s="395"/>
      <c r="AP1415" s="395"/>
      <c r="AQ1415" s="528"/>
      <c r="AR1415" s="523">
        <v>1</v>
      </c>
      <c r="AS1415" s="393"/>
      <c r="AT1415" s="600">
        <v>11.844390000000001</v>
      </c>
      <c r="AU1415" s="394">
        <v>8.1304800000000004</v>
      </c>
      <c r="AV1415" s="394">
        <v>6.7373000000000003</v>
      </c>
      <c r="AW1415" s="394"/>
      <c r="AX1415" s="394"/>
      <c r="AY1415" s="394">
        <v>0</v>
      </c>
      <c r="AZ1415" s="394">
        <v>0</v>
      </c>
      <c r="BA1415" s="394">
        <v>0.86582000000000003</v>
      </c>
      <c r="BB1415" s="394">
        <v>6.7373000000000003</v>
      </c>
      <c r="BC1415" s="394"/>
      <c r="BD1415" s="381" t="s">
        <v>167</v>
      </c>
      <c r="BE1415" s="408" t="s">
        <v>175</v>
      </c>
      <c r="BF1415" s="385"/>
      <c r="BG1415" s="475">
        <v>540</v>
      </c>
      <c r="BH1415" s="395"/>
      <c r="BI1415" s="395">
        <f t="shared" ref="BI1415" si="895">AT1415/AR1415</f>
        <v>11.844390000000001</v>
      </c>
    </row>
    <row r="1416" spans="1:61" s="358" customFormat="1" ht="19.2" x14ac:dyDescent="0.3">
      <c r="A1416" s="359" t="s">
        <v>374</v>
      </c>
      <c r="B1416" s="602" t="s">
        <v>4721</v>
      </c>
      <c r="C1416" s="548" t="s">
        <v>4720</v>
      </c>
      <c r="D1416" s="360">
        <v>0.22</v>
      </c>
      <c r="E1416" s="528"/>
      <c r="F1416" s="523"/>
      <c r="G1416" s="393"/>
      <c r="H1416" s="394"/>
      <c r="I1416" s="394"/>
      <c r="J1416" s="394"/>
      <c r="K1416" s="394"/>
      <c r="L1416" s="394"/>
      <c r="M1416" s="394"/>
      <c r="N1416" s="394"/>
      <c r="O1416" s="394"/>
      <c r="P1416" s="394"/>
      <c r="Q1416" s="394"/>
      <c r="R1416" s="381"/>
      <c r="S1416" s="408"/>
      <c r="T1416" s="385"/>
      <c r="U1416" s="475"/>
      <c r="V1416" s="395"/>
      <c r="W1416" s="395"/>
      <c r="X1416" s="528"/>
      <c r="Y1416" s="523"/>
      <c r="Z1416" s="393"/>
      <c r="AA1416" s="394"/>
      <c r="AB1416" s="394"/>
      <c r="AC1416" s="394"/>
      <c r="AD1416" s="394"/>
      <c r="AE1416" s="394"/>
      <c r="AF1416" s="394"/>
      <c r="AG1416" s="394"/>
      <c r="AH1416" s="394"/>
      <c r="AI1416" s="394"/>
      <c r="AJ1416" s="394"/>
      <c r="AK1416" s="381"/>
      <c r="AL1416" s="408"/>
      <c r="AM1416" s="385"/>
      <c r="AN1416" s="475"/>
      <c r="AO1416" s="395"/>
      <c r="AP1416" s="395"/>
      <c r="AQ1416" s="528"/>
      <c r="AR1416" s="523">
        <v>1</v>
      </c>
      <c r="AS1416" s="393"/>
      <c r="AT1416" s="600">
        <v>11.8444</v>
      </c>
      <c r="AU1416" s="394">
        <v>8.13049</v>
      </c>
      <c r="AV1416" s="394">
        <v>6.7373000000000003</v>
      </c>
      <c r="AW1416" s="394"/>
      <c r="AX1416" s="394"/>
      <c r="AY1416" s="394">
        <v>0</v>
      </c>
      <c r="AZ1416" s="394">
        <v>0</v>
      </c>
      <c r="BA1416" s="394">
        <v>0.86582000000000003</v>
      </c>
      <c r="BB1416" s="394">
        <v>6.7373000000000003</v>
      </c>
      <c r="BC1416" s="394"/>
      <c r="BD1416" s="381" t="s">
        <v>167</v>
      </c>
      <c r="BE1416" s="408" t="s">
        <v>175</v>
      </c>
      <c r="BF1416" s="385"/>
      <c r="BG1416" s="475">
        <v>541</v>
      </c>
      <c r="BH1416" s="395"/>
      <c r="BI1416" s="395">
        <f t="shared" si="879"/>
        <v>11.8444</v>
      </c>
    </row>
    <row r="1417" spans="1:61" s="358" customFormat="1" ht="19.2" x14ac:dyDescent="0.3">
      <c r="A1417" s="359" t="s">
        <v>375</v>
      </c>
      <c r="B1417" s="602" t="s">
        <v>5176</v>
      </c>
      <c r="C1417" s="548" t="s">
        <v>5177</v>
      </c>
      <c r="D1417" s="360">
        <v>0.22</v>
      </c>
      <c r="E1417" s="528"/>
      <c r="F1417" s="523"/>
      <c r="G1417" s="393"/>
      <c r="H1417" s="394"/>
      <c r="I1417" s="394"/>
      <c r="J1417" s="394"/>
      <c r="K1417" s="394"/>
      <c r="L1417" s="394"/>
      <c r="M1417" s="394"/>
      <c r="N1417" s="394"/>
      <c r="O1417" s="394"/>
      <c r="P1417" s="394"/>
      <c r="Q1417" s="394"/>
      <c r="R1417" s="381"/>
      <c r="S1417" s="408"/>
      <c r="T1417" s="385"/>
      <c r="U1417" s="475"/>
      <c r="V1417" s="395"/>
      <c r="W1417" s="395"/>
      <c r="X1417" s="528"/>
      <c r="Y1417" s="523"/>
      <c r="Z1417" s="393"/>
      <c r="AA1417" s="394"/>
      <c r="AB1417" s="394"/>
      <c r="AC1417" s="394"/>
      <c r="AD1417" s="394"/>
      <c r="AE1417" s="394"/>
      <c r="AF1417" s="394"/>
      <c r="AG1417" s="394"/>
      <c r="AH1417" s="394"/>
      <c r="AI1417" s="394"/>
      <c r="AJ1417" s="394"/>
      <c r="AK1417" s="381"/>
      <c r="AL1417" s="408"/>
      <c r="AM1417" s="385"/>
      <c r="AN1417" s="475"/>
      <c r="AO1417" s="395"/>
      <c r="AP1417" s="395"/>
      <c r="AQ1417" s="528"/>
      <c r="AR1417" s="523">
        <v>1</v>
      </c>
      <c r="AS1417" s="393"/>
      <c r="AT1417" s="600">
        <v>7.7190700000000003</v>
      </c>
      <c r="AU1417" s="394">
        <v>6.9505699999999999</v>
      </c>
      <c r="AV1417" s="394">
        <v>6.7373399999999997</v>
      </c>
      <c r="AW1417" s="394"/>
      <c r="AX1417" s="394"/>
      <c r="AY1417" s="394">
        <v>0</v>
      </c>
      <c r="AZ1417" s="394">
        <v>0</v>
      </c>
      <c r="BA1417" s="394">
        <v>0.17916000000000001</v>
      </c>
      <c r="BB1417" s="394">
        <v>6.7373399999999997</v>
      </c>
      <c r="BC1417" s="394"/>
      <c r="BD1417" s="381" t="s">
        <v>167</v>
      </c>
      <c r="BE1417" s="408" t="s">
        <v>175</v>
      </c>
      <c r="BF1417" s="385"/>
      <c r="BG1417" s="475">
        <v>542</v>
      </c>
      <c r="BH1417" s="395"/>
      <c r="BI1417" s="395">
        <f t="shared" ref="BI1417" si="896">AT1417/AR1417</f>
        <v>7.7190700000000003</v>
      </c>
    </row>
    <row r="1418" spans="1:61" s="358" customFormat="1" ht="19.2" x14ac:dyDescent="0.3">
      <c r="A1418" s="359" t="s">
        <v>376</v>
      </c>
      <c r="B1418" s="602" t="s">
        <v>5178</v>
      </c>
      <c r="C1418" s="548" t="s">
        <v>5179</v>
      </c>
      <c r="D1418" s="360">
        <v>0.22</v>
      </c>
      <c r="E1418" s="528"/>
      <c r="F1418" s="523"/>
      <c r="G1418" s="393"/>
      <c r="H1418" s="394"/>
      <c r="I1418" s="394"/>
      <c r="J1418" s="394"/>
      <c r="K1418" s="394"/>
      <c r="L1418" s="394"/>
      <c r="M1418" s="394"/>
      <c r="N1418" s="394"/>
      <c r="O1418" s="394"/>
      <c r="P1418" s="394"/>
      <c r="Q1418" s="394"/>
      <c r="R1418" s="381"/>
      <c r="S1418" s="408"/>
      <c r="T1418" s="385"/>
      <c r="U1418" s="475"/>
      <c r="V1418" s="395"/>
      <c r="W1418" s="395"/>
      <c r="X1418" s="528"/>
      <c r="Y1418" s="523"/>
      <c r="Z1418" s="393"/>
      <c r="AA1418" s="394"/>
      <c r="AB1418" s="394"/>
      <c r="AC1418" s="394"/>
      <c r="AD1418" s="394"/>
      <c r="AE1418" s="394"/>
      <c r="AF1418" s="394"/>
      <c r="AG1418" s="394"/>
      <c r="AH1418" s="394"/>
      <c r="AI1418" s="394"/>
      <c r="AJ1418" s="394"/>
      <c r="AK1418" s="381"/>
      <c r="AL1418" s="408"/>
      <c r="AM1418" s="385"/>
      <c r="AN1418" s="475"/>
      <c r="AO1418" s="395"/>
      <c r="AP1418" s="395"/>
      <c r="AQ1418" s="528"/>
      <c r="AR1418" s="523">
        <v>1</v>
      </c>
      <c r="AS1418" s="393"/>
      <c r="AT1418" s="600">
        <v>11.844390000000001</v>
      </c>
      <c r="AU1418" s="394">
        <v>8.1304800000000004</v>
      </c>
      <c r="AV1418" s="394">
        <v>6.7373000000000003</v>
      </c>
      <c r="AW1418" s="394"/>
      <c r="AX1418" s="394"/>
      <c r="AY1418" s="394">
        <v>0</v>
      </c>
      <c r="AZ1418" s="394">
        <v>0</v>
      </c>
      <c r="BA1418" s="394">
        <v>0.86582000000000003</v>
      </c>
      <c r="BB1418" s="394">
        <v>6.7373000000000003</v>
      </c>
      <c r="BC1418" s="394"/>
      <c r="BD1418" s="381" t="s">
        <v>167</v>
      </c>
      <c r="BE1418" s="408" t="s">
        <v>175</v>
      </c>
      <c r="BF1418" s="385"/>
      <c r="BG1418" s="475">
        <v>543</v>
      </c>
      <c r="BH1418" s="395"/>
      <c r="BI1418" s="395">
        <f t="shared" si="879"/>
        <v>11.844390000000001</v>
      </c>
    </row>
    <row r="1419" spans="1:61" s="358" customFormat="1" ht="19.2" x14ac:dyDescent="0.3">
      <c r="A1419" s="359" t="s">
        <v>377</v>
      </c>
      <c r="B1419" s="602" t="s">
        <v>5180</v>
      </c>
      <c r="C1419" s="548" t="s">
        <v>5181</v>
      </c>
      <c r="D1419" s="360">
        <v>0.22</v>
      </c>
      <c r="E1419" s="528"/>
      <c r="F1419" s="523"/>
      <c r="G1419" s="393"/>
      <c r="H1419" s="394"/>
      <c r="I1419" s="394"/>
      <c r="J1419" s="394"/>
      <c r="K1419" s="394"/>
      <c r="L1419" s="394"/>
      <c r="M1419" s="394"/>
      <c r="N1419" s="394"/>
      <c r="O1419" s="394"/>
      <c r="P1419" s="394"/>
      <c r="Q1419" s="394"/>
      <c r="R1419" s="381"/>
      <c r="S1419" s="408"/>
      <c r="T1419" s="385"/>
      <c r="U1419" s="475"/>
      <c r="V1419" s="395"/>
      <c r="W1419" s="395"/>
      <c r="X1419" s="528"/>
      <c r="Y1419" s="523"/>
      <c r="Z1419" s="393"/>
      <c r="AA1419" s="394"/>
      <c r="AB1419" s="394"/>
      <c r="AC1419" s="394"/>
      <c r="AD1419" s="394"/>
      <c r="AE1419" s="394"/>
      <c r="AF1419" s="394"/>
      <c r="AG1419" s="394"/>
      <c r="AH1419" s="394"/>
      <c r="AI1419" s="394"/>
      <c r="AJ1419" s="394"/>
      <c r="AK1419" s="381"/>
      <c r="AL1419" s="408"/>
      <c r="AM1419" s="385"/>
      <c r="AN1419" s="475"/>
      <c r="AO1419" s="395"/>
      <c r="AP1419" s="395"/>
      <c r="AQ1419" s="528"/>
      <c r="AR1419" s="523">
        <v>1</v>
      </c>
      <c r="AS1419" s="393"/>
      <c r="AT1419" s="600">
        <v>7.7190700000000003</v>
      </c>
      <c r="AU1419" s="394">
        <v>6.9505699999999999</v>
      </c>
      <c r="AV1419" s="394">
        <v>6.7373399999999997</v>
      </c>
      <c r="AW1419" s="394"/>
      <c r="AX1419" s="394"/>
      <c r="AY1419" s="394">
        <v>0</v>
      </c>
      <c r="AZ1419" s="394">
        <v>0</v>
      </c>
      <c r="BA1419" s="394">
        <v>0.17916000000000001</v>
      </c>
      <c r="BB1419" s="394">
        <v>6.7373399999999997</v>
      </c>
      <c r="BC1419" s="394"/>
      <c r="BD1419" s="381" t="s">
        <v>167</v>
      </c>
      <c r="BE1419" s="408" t="s">
        <v>175</v>
      </c>
      <c r="BF1419" s="385"/>
      <c r="BG1419" s="475">
        <v>544</v>
      </c>
      <c r="BH1419" s="395"/>
      <c r="BI1419" s="395">
        <f t="shared" ref="BI1419" si="897">AT1419/AR1419</f>
        <v>7.7190700000000003</v>
      </c>
    </row>
    <row r="1420" spans="1:61" s="358" customFormat="1" ht="19.2" x14ac:dyDescent="0.3">
      <c r="A1420" s="359" t="s">
        <v>378</v>
      </c>
      <c r="B1420" s="602" t="s">
        <v>5182</v>
      </c>
      <c r="C1420" s="548" t="s">
        <v>5183</v>
      </c>
      <c r="D1420" s="360">
        <v>0.22</v>
      </c>
      <c r="E1420" s="528"/>
      <c r="F1420" s="523"/>
      <c r="G1420" s="393"/>
      <c r="H1420" s="394"/>
      <c r="I1420" s="394"/>
      <c r="J1420" s="394"/>
      <c r="K1420" s="394"/>
      <c r="L1420" s="394"/>
      <c r="M1420" s="394"/>
      <c r="N1420" s="394"/>
      <c r="O1420" s="394"/>
      <c r="P1420" s="394"/>
      <c r="Q1420" s="394"/>
      <c r="R1420" s="381"/>
      <c r="S1420" s="408"/>
      <c r="T1420" s="385"/>
      <c r="U1420" s="475"/>
      <c r="V1420" s="395"/>
      <c r="W1420" s="395"/>
      <c r="X1420" s="528"/>
      <c r="Y1420" s="523"/>
      <c r="Z1420" s="393"/>
      <c r="AA1420" s="394"/>
      <c r="AB1420" s="394"/>
      <c r="AC1420" s="394"/>
      <c r="AD1420" s="394"/>
      <c r="AE1420" s="394"/>
      <c r="AF1420" s="394"/>
      <c r="AG1420" s="394"/>
      <c r="AH1420" s="394"/>
      <c r="AI1420" s="394"/>
      <c r="AJ1420" s="394"/>
      <c r="AK1420" s="381"/>
      <c r="AL1420" s="408"/>
      <c r="AM1420" s="385"/>
      <c r="AN1420" s="475"/>
      <c r="AO1420" s="395"/>
      <c r="AP1420" s="395"/>
      <c r="AQ1420" s="528"/>
      <c r="AR1420" s="523">
        <v>1</v>
      </c>
      <c r="AS1420" s="393"/>
      <c r="AT1420" s="600">
        <v>11.844390000000001</v>
      </c>
      <c r="AU1420" s="394">
        <v>8.1304800000000004</v>
      </c>
      <c r="AV1420" s="394">
        <v>6.7373000000000003</v>
      </c>
      <c r="AW1420" s="394"/>
      <c r="AX1420" s="394"/>
      <c r="AY1420" s="394">
        <v>0</v>
      </c>
      <c r="AZ1420" s="394">
        <v>0</v>
      </c>
      <c r="BA1420" s="394">
        <v>0.86582000000000003</v>
      </c>
      <c r="BB1420" s="394">
        <v>6.7373000000000003</v>
      </c>
      <c r="BC1420" s="394"/>
      <c r="BD1420" s="381" t="s">
        <v>167</v>
      </c>
      <c r="BE1420" s="408" t="s">
        <v>175</v>
      </c>
      <c r="BF1420" s="385"/>
      <c r="BG1420" s="475">
        <v>545</v>
      </c>
      <c r="BH1420" s="395"/>
      <c r="BI1420" s="395">
        <f t="shared" si="879"/>
        <v>11.844390000000001</v>
      </c>
    </row>
    <row r="1421" spans="1:61" s="358" customFormat="1" ht="19.2" x14ac:dyDescent="0.3">
      <c r="A1421" s="359" t="s">
        <v>379</v>
      </c>
      <c r="B1421" s="602" t="s">
        <v>5184</v>
      </c>
      <c r="C1421" s="548" t="s">
        <v>5185</v>
      </c>
      <c r="D1421" s="360">
        <v>0.22</v>
      </c>
      <c r="E1421" s="528"/>
      <c r="F1421" s="523"/>
      <c r="G1421" s="393"/>
      <c r="H1421" s="394"/>
      <c r="I1421" s="394"/>
      <c r="J1421" s="394"/>
      <c r="K1421" s="394"/>
      <c r="L1421" s="394"/>
      <c r="M1421" s="394"/>
      <c r="N1421" s="394"/>
      <c r="O1421" s="394"/>
      <c r="P1421" s="394"/>
      <c r="Q1421" s="394"/>
      <c r="R1421" s="381"/>
      <c r="S1421" s="408"/>
      <c r="T1421" s="385"/>
      <c r="U1421" s="475"/>
      <c r="V1421" s="395"/>
      <c r="W1421" s="395"/>
      <c r="X1421" s="528"/>
      <c r="Y1421" s="523"/>
      <c r="Z1421" s="393"/>
      <c r="AA1421" s="394"/>
      <c r="AB1421" s="394"/>
      <c r="AC1421" s="394"/>
      <c r="AD1421" s="394"/>
      <c r="AE1421" s="394"/>
      <c r="AF1421" s="394"/>
      <c r="AG1421" s="394"/>
      <c r="AH1421" s="394"/>
      <c r="AI1421" s="394"/>
      <c r="AJ1421" s="394"/>
      <c r="AK1421" s="381"/>
      <c r="AL1421" s="408"/>
      <c r="AM1421" s="385"/>
      <c r="AN1421" s="475"/>
      <c r="AO1421" s="395"/>
      <c r="AP1421" s="395"/>
      <c r="AQ1421" s="528"/>
      <c r="AR1421" s="523">
        <v>1</v>
      </c>
      <c r="AS1421" s="393"/>
      <c r="AT1421" s="600">
        <v>7.7190599999999998</v>
      </c>
      <c r="AU1421" s="394">
        <v>6.9505600000000003</v>
      </c>
      <c r="AV1421" s="394">
        <v>6.7373399999999997</v>
      </c>
      <c r="AW1421" s="394"/>
      <c r="AX1421" s="394"/>
      <c r="AY1421" s="394">
        <v>0</v>
      </c>
      <c r="AZ1421" s="394">
        <v>0</v>
      </c>
      <c r="BA1421" s="394">
        <v>0.17916000000000001</v>
      </c>
      <c r="BB1421" s="394">
        <v>6.7373399999999997</v>
      </c>
      <c r="BC1421" s="394"/>
      <c r="BD1421" s="381" t="s">
        <v>167</v>
      </c>
      <c r="BE1421" s="408" t="s">
        <v>175</v>
      </c>
      <c r="BF1421" s="385"/>
      <c r="BG1421" s="475">
        <v>546</v>
      </c>
      <c r="BH1421" s="395"/>
      <c r="BI1421" s="395">
        <f t="shared" ref="BI1421" si="898">AT1421/AR1421</f>
        <v>7.7190599999999998</v>
      </c>
    </row>
    <row r="1422" spans="1:61" s="358" customFormat="1" ht="19.2" x14ac:dyDescent="0.3">
      <c r="A1422" s="359" t="s">
        <v>380</v>
      </c>
      <c r="B1422" s="602" t="s">
        <v>5186</v>
      </c>
      <c r="C1422" s="548" t="s">
        <v>5187</v>
      </c>
      <c r="D1422" s="360">
        <v>0.22</v>
      </c>
      <c r="E1422" s="528"/>
      <c r="F1422" s="523"/>
      <c r="G1422" s="393"/>
      <c r="H1422" s="394"/>
      <c r="I1422" s="394"/>
      <c r="J1422" s="394"/>
      <c r="K1422" s="394"/>
      <c r="L1422" s="394"/>
      <c r="M1422" s="394"/>
      <c r="N1422" s="394"/>
      <c r="O1422" s="394"/>
      <c r="P1422" s="394"/>
      <c r="Q1422" s="394"/>
      <c r="R1422" s="381"/>
      <c r="S1422" s="408"/>
      <c r="T1422" s="385"/>
      <c r="U1422" s="475"/>
      <c r="V1422" s="395"/>
      <c r="W1422" s="395"/>
      <c r="X1422" s="528"/>
      <c r="Y1422" s="523"/>
      <c r="Z1422" s="393"/>
      <c r="AA1422" s="394"/>
      <c r="AB1422" s="394"/>
      <c r="AC1422" s="394"/>
      <c r="AD1422" s="394"/>
      <c r="AE1422" s="394"/>
      <c r="AF1422" s="394"/>
      <c r="AG1422" s="394"/>
      <c r="AH1422" s="394"/>
      <c r="AI1422" s="394"/>
      <c r="AJ1422" s="394"/>
      <c r="AK1422" s="381"/>
      <c r="AL1422" s="408"/>
      <c r="AM1422" s="385"/>
      <c r="AN1422" s="475"/>
      <c r="AO1422" s="395"/>
      <c r="AP1422" s="395"/>
      <c r="AQ1422" s="528"/>
      <c r="AR1422" s="523">
        <v>1</v>
      </c>
      <c r="AS1422" s="393"/>
      <c r="AT1422" s="600">
        <v>7.7190799999999999</v>
      </c>
      <c r="AU1422" s="394">
        <v>6.9505800000000004</v>
      </c>
      <c r="AV1422" s="394">
        <v>6.7373399999999997</v>
      </c>
      <c r="AW1422" s="394"/>
      <c r="AX1422" s="394"/>
      <c r="AY1422" s="394">
        <v>0</v>
      </c>
      <c r="AZ1422" s="394">
        <v>0</v>
      </c>
      <c r="BA1422" s="394">
        <v>0.17916000000000001</v>
      </c>
      <c r="BB1422" s="394">
        <v>6.7373399999999997</v>
      </c>
      <c r="BC1422" s="394"/>
      <c r="BD1422" s="381" t="s">
        <v>167</v>
      </c>
      <c r="BE1422" s="408" t="s">
        <v>175</v>
      </c>
      <c r="BF1422" s="385"/>
      <c r="BG1422" s="475">
        <v>547</v>
      </c>
      <c r="BH1422" s="395"/>
      <c r="BI1422" s="395">
        <f t="shared" si="879"/>
        <v>7.7190799999999999</v>
      </c>
    </row>
    <row r="1423" spans="1:61" s="358" customFormat="1" ht="19.2" x14ac:dyDescent="0.3">
      <c r="A1423" s="359" t="s">
        <v>381</v>
      </c>
      <c r="B1423" s="602" t="s">
        <v>5188</v>
      </c>
      <c r="C1423" s="548" t="s">
        <v>5189</v>
      </c>
      <c r="D1423" s="360">
        <v>0.22</v>
      </c>
      <c r="E1423" s="528"/>
      <c r="F1423" s="523"/>
      <c r="G1423" s="393"/>
      <c r="H1423" s="394"/>
      <c r="I1423" s="394"/>
      <c r="J1423" s="394"/>
      <c r="K1423" s="394"/>
      <c r="L1423" s="394"/>
      <c r="M1423" s="394"/>
      <c r="N1423" s="394"/>
      <c r="O1423" s="394"/>
      <c r="P1423" s="394"/>
      <c r="Q1423" s="394"/>
      <c r="R1423" s="381"/>
      <c r="S1423" s="408"/>
      <c r="T1423" s="385"/>
      <c r="U1423" s="475"/>
      <c r="V1423" s="395"/>
      <c r="W1423" s="395"/>
      <c r="X1423" s="528"/>
      <c r="Y1423" s="523"/>
      <c r="Z1423" s="393"/>
      <c r="AA1423" s="394"/>
      <c r="AB1423" s="394"/>
      <c r="AC1423" s="394"/>
      <c r="AD1423" s="394"/>
      <c r="AE1423" s="394"/>
      <c r="AF1423" s="394"/>
      <c r="AG1423" s="394"/>
      <c r="AH1423" s="394"/>
      <c r="AI1423" s="394"/>
      <c r="AJ1423" s="394"/>
      <c r="AK1423" s="381"/>
      <c r="AL1423" s="408"/>
      <c r="AM1423" s="385"/>
      <c r="AN1423" s="475"/>
      <c r="AO1423" s="395"/>
      <c r="AP1423" s="395"/>
      <c r="AQ1423" s="528"/>
      <c r="AR1423" s="523">
        <v>1</v>
      </c>
      <c r="AS1423" s="393"/>
      <c r="AT1423" s="600">
        <v>11.8444</v>
      </c>
      <c r="AU1423" s="394">
        <v>8.13049</v>
      </c>
      <c r="AV1423" s="394">
        <v>6.7373000000000003</v>
      </c>
      <c r="AW1423" s="394"/>
      <c r="AX1423" s="394"/>
      <c r="AY1423" s="394">
        <v>0</v>
      </c>
      <c r="AZ1423" s="394">
        <v>0</v>
      </c>
      <c r="BA1423" s="394">
        <v>0.86582000000000003</v>
      </c>
      <c r="BB1423" s="394">
        <v>6.7373000000000003</v>
      </c>
      <c r="BC1423" s="394"/>
      <c r="BD1423" s="381" t="s">
        <v>167</v>
      </c>
      <c r="BE1423" s="408" t="s">
        <v>175</v>
      </c>
      <c r="BF1423" s="385"/>
      <c r="BG1423" s="475">
        <v>548</v>
      </c>
      <c r="BH1423" s="395"/>
      <c r="BI1423" s="395">
        <f t="shared" ref="BI1423" si="899">AT1423/AR1423</f>
        <v>11.8444</v>
      </c>
    </row>
    <row r="1424" spans="1:61" s="358" customFormat="1" ht="19.2" x14ac:dyDescent="0.3">
      <c r="A1424" s="359" t="s">
        <v>382</v>
      </c>
      <c r="B1424" s="602" t="s">
        <v>5190</v>
      </c>
      <c r="C1424" s="548" t="s">
        <v>5191</v>
      </c>
      <c r="D1424" s="360">
        <v>0.22</v>
      </c>
      <c r="E1424" s="528"/>
      <c r="F1424" s="523"/>
      <c r="G1424" s="393"/>
      <c r="H1424" s="394"/>
      <c r="I1424" s="394"/>
      <c r="J1424" s="394"/>
      <c r="K1424" s="394"/>
      <c r="L1424" s="394"/>
      <c r="M1424" s="394"/>
      <c r="N1424" s="394"/>
      <c r="O1424" s="394"/>
      <c r="P1424" s="394"/>
      <c r="Q1424" s="394"/>
      <c r="R1424" s="381"/>
      <c r="S1424" s="408"/>
      <c r="T1424" s="385"/>
      <c r="U1424" s="475"/>
      <c r="V1424" s="395"/>
      <c r="W1424" s="395"/>
      <c r="X1424" s="528"/>
      <c r="Y1424" s="523"/>
      <c r="Z1424" s="393"/>
      <c r="AA1424" s="394"/>
      <c r="AB1424" s="394"/>
      <c r="AC1424" s="394"/>
      <c r="AD1424" s="394"/>
      <c r="AE1424" s="394"/>
      <c r="AF1424" s="394"/>
      <c r="AG1424" s="394"/>
      <c r="AH1424" s="394"/>
      <c r="AI1424" s="394"/>
      <c r="AJ1424" s="394"/>
      <c r="AK1424" s="381"/>
      <c r="AL1424" s="408"/>
      <c r="AM1424" s="385"/>
      <c r="AN1424" s="475"/>
      <c r="AO1424" s="395"/>
      <c r="AP1424" s="395"/>
      <c r="AQ1424" s="528"/>
      <c r="AR1424" s="523">
        <v>1</v>
      </c>
      <c r="AS1424" s="393"/>
      <c r="AT1424" s="600">
        <v>7.7190700000000003</v>
      </c>
      <c r="AU1424" s="394">
        <v>6.9505699999999999</v>
      </c>
      <c r="AV1424" s="394">
        <v>6.7373399999999997</v>
      </c>
      <c r="AW1424" s="394"/>
      <c r="AX1424" s="394"/>
      <c r="AY1424" s="394">
        <v>0</v>
      </c>
      <c r="AZ1424" s="394">
        <v>0</v>
      </c>
      <c r="BA1424" s="394">
        <v>0.17916000000000001</v>
      </c>
      <c r="BB1424" s="394">
        <v>6.7373399999999997</v>
      </c>
      <c r="BC1424" s="394"/>
      <c r="BD1424" s="381" t="s">
        <v>167</v>
      </c>
      <c r="BE1424" s="408" t="s">
        <v>175</v>
      </c>
      <c r="BF1424" s="385"/>
      <c r="BG1424" s="475">
        <v>549</v>
      </c>
      <c r="BH1424" s="395"/>
      <c r="BI1424" s="395">
        <f t="shared" si="879"/>
        <v>7.7190700000000003</v>
      </c>
    </row>
    <row r="1425" spans="1:61" s="358" customFormat="1" ht="19.2" x14ac:dyDescent="0.3">
      <c r="A1425" s="359" t="s">
        <v>383</v>
      </c>
      <c r="B1425" s="602" t="s">
        <v>5192</v>
      </c>
      <c r="C1425" s="548" t="s">
        <v>5193</v>
      </c>
      <c r="D1425" s="360">
        <v>0.22</v>
      </c>
      <c r="E1425" s="528"/>
      <c r="F1425" s="523"/>
      <c r="G1425" s="393"/>
      <c r="H1425" s="394"/>
      <c r="I1425" s="394"/>
      <c r="J1425" s="394"/>
      <c r="K1425" s="394"/>
      <c r="L1425" s="394"/>
      <c r="M1425" s="394"/>
      <c r="N1425" s="394"/>
      <c r="O1425" s="394"/>
      <c r="P1425" s="394"/>
      <c r="Q1425" s="394"/>
      <c r="R1425" s="381"/>
      <c r="S1425" s="408"/>
      <c r="T1425" s="385"/>
      <c r="U1425" s="475"/>
      <c r="V1425" s="395"/>
      <c r="W1425" s="395"/>
      <c r="X1425" s="528"/>
      <c r="Y1425" s="523"/>
      <c r="Z1425" s="393"/>
      <c r="AA1425" s="394"/>
      <c r="AB1425" s="394"/>
      <c r="AC1425" s="394"/>
      <c r="AD1425" s="394"/>
      <c r="AE1425" s="394"/>
      <c r="AF1425" s="394"/>
      <c r="AG1425" s="394"/>
      <c r="AH1425" s="394"/>
      <c r="AI1425" s="394"/>
      <c r="AJ1425" s="394"/>
      <c r="AK1425" s="381"/>
      <c r="AL1425" s="408"/>
      <c r="AM1425" s="385"/>
      <c r="AN1425" s="475"/>
      <c r="AO1425" s="395"/>
      <c r="AP1425" s="395"/>
      <c r="AQ1425" s="528"/>
      <c r="AR1425" s="523">
        <v>1</v>
      </c>
      <c r="AS1425" s="393"/>
      <c r="AT1425" s="600">
        <v>11.8444</v>
      </c>
      <c r="AU1425" s="394">
        <v>8.13049</v>
      </c>
      <c r="AV1425" s="394">
        <v>6.7373000000000003</v>
      </c>
      <c r="AW1425" s="394"/>
      <c r="AX1425" s="394"/>
      <c r="AY1425" s="394">
        <v>0</v>
      </c>
      <c r="AZ1425" s="394">
        <v>0</v>
      </c>
      <c r="BA1425" s="394">
        <v>0.86582000000000003</v>
      </c>
      <c r="BB1425" s="394">
        <v>6.7373000000000003</v>
      </c>
      <c r="BC1425" s="394"/>
      <c r="BD1425" s="381" t="s">
        <v>167</v>
      </c>
      <c r="BE1425" s="408" t="s">
        <v>175</v>
      </c>
      <c r="BF1425" s="385"/>
      <c r="BG1425" s="475">
        <v>550</v>
      </c>
      <c r="BH1425" s="395"/>
      <c r="BI1425" s="395">
        <f t="shared" ref="BI1425" si="900">AT1425/AR1425</f>
        <v>11.8444</v>
      </c>
    </row>
    <row r="1426" spans="1:61" s="358" customFormat="1" ht="19.2" x14ac:dyDescent="0.3">
      <c r="A1426" s="359" t="s">
        <v>384</v>
      </c>
      <c r="B1426" s="602" t="s">
        <v>5194</v>
      </c>
      <c r="C1426" s="548" t="s">
        <v>5195</v>
      </c>
      <c r="D1426" s="360">
        <v>0.22</v>
      </c>
      <c r="E1426" s="528"/>
      <c r="F1426" s="523"/>
      <c r="G1426" s="393"/>
      <c r="H1426" s="394"/>
      <c r="I1426" s="394"/>
      <c r="J1426" s="394"/>
      <c r="K1426" s="394"/>
      <c r="L1426" s="394"/>
      <c r="M1426" s="394"/>
      <c r="N1426" s="394"/>
      <c r="O1426" s="394"/>
      <c r="P1426" s="394"/>
      <c r="Q1426" s="394"/>
      <c r="R1426" s="381"/>
      <c r="S1426" s="408"/>
      <c r="T1426" s="385"/>
      <c r="U1426" s="475"/>
      <c r="V1426" s="395"/>
      <c r="W1426" s="395"/>
      <c r="X1426" s="528"/>
      <c r="Y1426" s="523"/>
      <c r="Z1426" s="393"/>
      <c r="AA1426" s="394"/>
      <c r="AB1426" s="394"/>
      <c r="AC1426" s="394"/>
      <c r="AD1426" s="394"/>
      <c r="AE1426" s="394"/>
      <c r="AF1426" s="394"/>
      <c r="AG1426" s="394"/>
      <c r="AH1426" s="394"/>
      <c r="AI1426" s="394"/>
      <c r="AJ1426" s="394"/>
      <c r="AK1426" s="381"/>
      <c r="AL1426" s="408"/>
      <c r="AM1426" s="385"/>
      <c r="AN1426" s="475"/>
      <c r="AO1426" s="395"/>
      <c r="AP1426" s="395"/>
      <c r="AQ1426" s="528"/>
      <c r="AR1426" s="523">
        <v>1</v>
      </c>
      <c r="AS1426" s="393"/>
      <c r="AT1426" s="600">
        <v>7.7190700000000003</v>
      </c>
      <c r="AU1426" s="394">
        <v>6.9505699999999999</v>
      </c>
      <c r="AV1426" s="394">
        <v>6.7373399999999997</v>
      </c>
      <c r="AW1426" s="394"/>
      <c r="AX1426" s="394"/>
      <c r="AY1426" s="394">
        <v>0</v>
      </c>
      <c r="AZ1426" s="394">
        <v>0</v>
      </c>
      <c r="BA1426" s="394">
        <v>0.17916000000000001</v>
      </c>
      <c r="BB1426" s="394">
        <v>6.7373399999999997</v>
      </c>
      <c r="BC1426" s="394"/>
      <c r="BD1426" s="381" t="s">
        <v>167</v>
      </c>
      <c r="BE1426" s="408" t="s">
        <v>175</v>
      </c>
      <c r="BF1426" s="385"/>
      <c r="BG1426" s="475">
        <v>551</v>
      </c>
      <c r="BH1426" s="395"/>
      <c r="BI1426" s="395">
        <f t="shared" si="879"/>
        <v>7.7190700000000003</v>
      </c>
    </row>
    <row r="1427" spans="1:61" s="358" customFormat="1" ht="19.2" x14ac:dyDescent="0.3">
      <c r="A1427" s="359" t="s">
        <v>385</v>
      </c>
      <c r="B1427" s="602" t="s">
        <v>5251</v>
      </c>
      <c r="C1427" s="609" t="s">
        <v>5253</v>
      </c>
      <c r="D1427" s="360">
        <v>0.22</v>
      </c>
      <c r="E1427" s="528"/>
      <c r="F1427" s="523"/>
      <c r="G1427" s="393"/>
      <c r="H1427" s="394"/>
      <c r="I1427" s="394"/>
      <c r="J1427" s="394"/>
      <c r="K1427" s="394"/>
      <c r="L1427" s="394"/>
      <c r="M1427" s="394"/>
      <c r="N1427" s="394"/>
      <c r="O1427" s="394"/>
      <c r="P1427" s="394"/>
      <c r="Q1427" s="394"/>
      <c r="R1427" s="381"/>
      <c r="S1427" s="408"/>
      <c r="T1427" s="385"/>
      <c r="U1427" s="475"/>
      <c r="V1427" s="395"/>
      <c r="W1427" s="395"/>
      <c r="X1427" s="528"/>
      <c r="Y1427" s="523"/>
      <c r="Z1427" s="393"/>
      <c r="AA1427" s="394"/>
      <c r="AB1427" s="394"/>
      <c r="AC1427" s="394"/>
      <c r="AD1427" s="394"/>
      <c r="AE1427" s="394"/>
      <c r="AF1427" s="394"/>
      <c r="AG1427" s="394"/>
      <c r="AH1427" s="394"/>
      <c r="AI1427" s="394"/>
      <c r="AJ1427" s="394"/>
      <c r="AK1427" s="381"/>
      <c r="AL1427" s="408"/>
      <c r="AM1427" s="385"/>
      <c r="AN1427" s="475"/>
      <c r="AO1427" s="395"/>
      <c r="AP1427" s="395"/>
      <c r="AQ1427" s="528"/>
      <c r="AR1427" s="523">
        <v>1</v>
      </c>
      <c r="AS1427" s="393"/>
      <c r="AT1427" s="600">
        <v>12.43032</v>
      </c>
      <c r="AU1427" s="394">
        <v>8.1258800000000004</v>
      </c>
      <c r="AV1427" s="394">
        <v>6.7373000000000003</v>
      </c>
      <c r="AW1427" s="394"/>
      <c r="AX1427" s="394"/>
      <c r="AY1427" s="394">
        <v>0</v>
      </c>
      <c r="AZ1427" s="394">
        <v>0</v>
      </c>
      <c r="BA1427" s="394">
        <v>1.00349</v>
      </c>
      <c r="BB1427" s="394">
        <v>6.7373000000000003</v>
      </c>
      <c r="BC1427" s="394"/>
      <c r="BD1427" s="381" t="s">
        <v>167</v>
      </c>
      <c r="BE1427" s="408" t="s">
        <v>175</v>
      </c>
      <c r="BF1427" s="385"/>
      <c r="BG1427" s="475">
        <v>552</v>
      </c>
      <c r="BH1427" s="395"/>
      <c r="BI1427" s="395">
        <f t="shared" ref="BI1427:BI1437" si="901">AT1427/AR1427</f>
        <v>12.43032</v>
      </c>
    </row>
    <row r="1428" spans="1:61" s="358" customFormat="1" ht="19.2" x14ac:dyDescent="0.3">
      <c r="A1428" s="359" t="s">
        <v>386</v>
      </c>
      <c r="B1428" s="602" t="s">
        <v>5252</v>
      </c>
      <c r="C1428" s="609" t="s">
        <v>5254</v>
      </c>
      <c r="D1428" s="360">
        <v>0.22</v>
      </c>
      <c r="E1428" s="528"/>
      <c r="F1428" s="523"/>
      <c r="G1428" s="393"/>
      <c r="H1428" s="394"/>
      <c r="I1428" s="394"/>
      <c r="J1428" s="394"/>
      <c r="K1428" s="394"/>
      <c r="L1428" s="394"/>
      <c r="M1428" s="394"/>
      <c r="N1428" s="394"/>
      <c r="O1428" s="394"/>
      <c r="P1428" s="394"/>
      <c r="Q1428" s="394"/>
      <c r="R1428" s="381"/>
      <c r="S1428" s="408"/>
      <c r="T1428" s="385"/>
      <c r="U1428" s="475"/>
      <c r="V1428" s="395"/>
      <c r="W1428" s="395"/>
      <c r="X1428" s="528"/>
      <c r="Y1428" s="523"/>
      <c r="Z1428" s="393"/>
      <c r="AA1428" s="394"/>
      <c r="AB1428" s="394"/>
      <c r="AC1428" s="394"/>
      <c r="AD1428" s="394"/>
      <c r="AE1428" s="394"/>
      <c r="AF1428" s="394"/>
      <c r="AG1428" s="394"/>
      <c r="AH1428" s="394"/>
      <c r="AI1428" s="394"/>
      <c r="AJ1428" s="394"/>
      <c r="AK1428" s="381"/>
      <c r="AL1428" s="408"/>
      <c r="AM1428" s="385"/>
      <c r="AN1428" s="475"/>
      <c r="AO1428" s="395"/>
      <c r="AP1428" s="395"/>
      <c r="AQ1428" s="528"/>
      <c r="AR1428" s="523">
        <v>1</v>
      </c>
      <c r="AS1428" s="393"/>
      <c r="AT1428" s="600">
        <v>12.430350000000001</v>
      </c>
      <c r="AU1428" s="394">
        <v>8.1259099999999993</v>
      </c>
      <c r="AV1428" s="394">
        <v>6.7373000000000003</v>
      </c>
      <c r="AW1428" s="394"/>
      <c r="AX1428" s="394"/>
      <c r="AY1428" s="394">
        <v>0</v>
      </c>
      <c r="AZ1428" s="394">
        <v>0</v>
      </c>
      <c r="BA1428" s="394">
        <v>1.00349</v>
      </c>
      <c r="BB1428" s="394">
        <v>6.7373000000000003</v>
      </c>
      <c r="BC1428" s="394"/>
      <c r="BD1428" s="381" t="s">
        <v>167</v>
      </c>
      <c r="BE1428" s="408" t="s">
        <v>175</v>
      </c>
      <c r="BF1428" s="385"/>
      <c r="BG1428" s="475">
        <v>553</v>
      </c>
      <c r="BH1428" s="395"/>
      <c r="BI1428" s="395">
        <f t="shared" si="901"/>
        <v>12.430350000000001</v>
      </c>
    </row>
    <row r="1429" spans="1:61" s="358" customFormat="1" ht="19.2" x14ac:dyDescent="0.3">
      <c r="A1429" s="359" t="s">
        <v>387</v>
      </c>
      <c r="B1429" s="602" t="s">
        <v>5255</v>
      </c>
      <c r="C1429" s="609" t="s">
        <v>5256</v>
      </c>
      <c r="D1429" s="360">
        <v>0.22</v>
      </c>
      <c r="E1429" s="528"/>
      <c r="F1429" s="523"/>
      <c r="G1429" s="393"/>
      <c r="H1429" s="394"/>
      <c r="I1429" s="394"/>
      <c r="J1429" s="394"/>
      <c r="K1429" s="394"/>
      <c r="L1429" s="394"/>
      <c r="M1429" s="394"/>
      <c r="N1429" s="394"/>
      <c r="O1429" s="394"/>
      <c r="P1429" s="394"/>
      <c r="Q1429" s="394"/>
      <c r="R1429" s="381"/>
      <c r="S1429" s="408"/>
      <c r="T1429" s="385"/>
      <c r="U1429" s="475"/>
      <c r="V1429" s="395"/>
      <c r="W1429" s="395"/>
      <c r="X1429" s="528"/>
      <c r="Y1429" s="523"/>
      <c r="Z1429" s="393"/>
      <c r="AA1429" s="394"/>
      <c r="AB1429" s="394"/>
      <c r="AC1429" s="394"/>
      <c r="AD1429" s="394"/>
      <c r="AE1429" s="394"/>
      <c r="AF1429" s="394"/>
      <c r="AG1429" s="394"/>
      <c r="AH1429" s="394"/>
      <c r="AI1429" s="394"/>
      <c r="AJ1429" s="394"/>
      <c r="AK1429" s="381"/>
      <c r="AL1429" s="408"/>
      <c r="AM1429" s="385"/>
      <c r="AN1429" s="475"/>
      <c r="AO1429" s="395"/>
      <c r="AP1429" s="395"/>
      <c r="AQ1429" s="528"/>
      <c r="AR1429" s="523">
        <v>1</v>
      </c>
      <c r="AS1429" s="393"/>
      <c r="AT1429" s="600">
        <v>12.43031</v>
      </c>
      <c r="AU1429" s="394">
        <v>8.1258700000000008</v>
      </c>
      <c r="AV1429" s="394">
        <v>6.7373000000000003</v>
      </c>
      <c r="AW1429" s="394"/>
      <c r="AX1429" s="394"/>
      <c r="AY1429" s="394">
        <v>0</v>
      </c>
      <c r="AZ1429" s="394">
        <v>0</v>
      </c>
      <c r="BA1429" s="394">
        <v>1.00349</v>
      </c>
      <c r="BB1429" s="394">
        <v>6.7373000000000003</v>
      </c>
      <c r="BC1429" s="394"/>
      <c r="BD1429" s="381" t="s">
        <v>167</v>
      </c>
      <c r="BE1429" s="408" t="s">
        <v>175</v>
      </c>
      <c r="BF1429" s="385"/>
      <c r="BG1429" s="475">
        <v>554</v>
      </c>
      <c r="BH1429" s="395"/>
      <c r="BI1429" s="395">
        <f t="shared" si="901"/>
        <v>12.43031</v>
      </c>
    </row>
    <row r="1430" spans="1:61" s="358" customFormat="1" ht="19.2" x14ac:dyDescent="0.3">
      <c r="A1430" s="359" t="s">
        <v>388</v>
      </c>
      <c r="B1430" s="602" t="s">
        <v>5257</v>
      </c>
      <c r="C1430" s="548" t="s">
        <v>5258</v>
      </c>
      <c r="D1430" s="360">
        <v>0.22</v>
      </c>
      <c r="E1430" s="528"/>
      <c r="F1430" s="523"/>
      <c r="G1430" s="393"/>
      <c r="H1430" s="394"/>
      <c r="I1430" s="394"/>
      <c r="J1430" s="394"/>
      <c r="K1430" s="394"/>
      <c r="L1430" s="394"/>
      <c r="M1430" s="394"/>
      <c r="N1430" s="394"/>
      <c r="O1430" s="394"/>
      <c r="P1430" s="394"/>
      <c r="Q1430" s="394"/>
      <c r="R1430" s="381"/>
      <c r="S1430" s="408"/>
      <c r="T1430" s="385"/>
      <c r="U1430" s="475"/>
      <c r="V1430" s="395"/>
      <c r="W1430" s="395"/>
      <c r="X1430" s="528"/>
      <c r="Y1430" s="523"/>
      <c r="Z1430" s="393"/>
      <c r="AA1430" s="394"/>
      <c r="AB1430" s="394"/>
      <c r="AC1430" s="394"/>
      <c r="AD1430" s="394"/>
      <c r="AE1430" s="394"/>
      <c r="AF1430" s="394"/>
      <c r="AG1430" s="394"/>
      <c r="AH1430" s="394"/>
      <c r="AI1430" s="394"/>
      <c r="AJ1430" s="394"/>
      <c r="AK1430" s="381"/>
      <c r="AL1430" s="408"/>
      <c r="AM1430" s="385"/>
      <c r="AN1430" s="475"/>
      <c r="AO1430" s="395"/>
      <c r="AP1430" s="395"/>
      <c r="AQ1430" s="528"/>
      <c r="AR1430" s="523">
        <v>1</v>
      </c>
      <c r="AS1430" s="393"/>
      <c r="AT1430" s="600">
        <v>12.43033</v>
      </c>
      <c r="AU1430" s="394">
        <v>8.1258900000000001</v>
      </c>
      <c r="AV1430" s="394">
        <v>6.7373000000000003</v>
      </c>
      <c r="AW1430" s="394"/>
      <c r="AX1430" s="394"/>
      <c r="AY1430" s="394">
        <v>0</v>
      </c>
      <c r="AZ1430" s="394">
        <v>0</v>
      </c>
      <c r="BA1430" s="394">
        <v>1.00349</v>
      </c>
      <c r="BB1430" s="394">
        <v>6.7373000000000003</v>
      </c>
      <c r="BC1430" s="394"/>
      <c r="BD1430" s="381" t="s">
        <v>167</v>
      </c>
      <c r="BE1430" s="408" t="s">
        <v>175</v>
      </c>
      <c r="BF1430" s="385"/>
      <c r="BG1430" s="475">
        <v>555</v>
      </c>
      <c r="BH1430" s="395"/>
      <c r="BI1430" s="395">
        <f t="shared" si="901"/>
        <v>12.43033</v>
      </c>
    </row>
    <row r="1431" spans="1:61" s="358" customFormat="1" ht="19.2" x14ac:dyDescent="0.3">
      <c r="A1431" s="359" t="s">
        <v>389</v>
      </c>
      <c r="B1431" s="602" t="s">
        <v>5259</v>
      </c>
      <c r="C1431" s="548" t="s">
        <v>5260</v>
      </c>
      <c r="D1431" s="360">
        <v>0.22</v>
      </c>
      <c r="E1431" s="528"/>
      <c r="F1431" s="523"/>
      <c r="G1431" s="393"/>
      <c r="H1431" s="394"/>
      <c r="I1431" s="394"/>
      <c r="J1431" s="394"/>
      <c r="K1431" s="394"/>
      <c r="L1431" s="394"/>
      <c r="M1431" s="394"/>
      <c r="N1431" s="394"/>
      <c r="O1431" s="394"/>
      <c r="P1431" s="394"/>
      <c r="Q1431" s="394"/>
      <c r="R1431" s="381"/>
      <c r="S1431" s="408"/>
      <c r="T1431" s="385"/>
      <c r="U1431" s="475"/>
      <c r="V1431" s="395"/>
      <c r="W1431" s="395"/>
      <c r="X1431" s="528"/>
      <c r="Y1431" s="523"/>
      <c r="Z1431" s="393"/>
      <c r="AA1431" s="394"/>
      <c r="AB1431" s="394"/>
      <c r="AC1431" s="394"/>
      <c r="AD1431" s="394"/>
      <c r="AE1431" s="394"/>
      <c r="AF1431" s="394"/>
      <c r="AG1431" s="394"/>
      <c r="AH1431" s="394"/>
      <c r="AI1431" s="394"/>
      <c r="AJ1431" s="394"/>
      <c r="AK1431" s="381"/>
      <c r="AL1431" s="408"/>
      <c r="AM1431" s="385"/>
      <c r="AN1431" s="475"/>
      <c r="AO1431" s="395"/>
      <c r="AP1431" s="395"/>
      <c r="AQ1431" s="528"/>
      <c r="AR1431" s="523">
        <v>1</v>
      </c>
      <c r="AS1431" s="393"/>
      <c r="AT1431" s="600">
        <v>7.6334400000000002</v>
      </c>
      <c r="AU1431" s="394">
        <v>6.7431999999999999</v>
      </c>
      <c r="AV1431" s="394">
        <v>6.73733</v>
      </c>
      <c r="AW1431" s="394"/>
      <c r="AX1431" s="394"/>
      <c r="AY1431" s="394">
        <v>0</v>
      </c>
      <c r="AZ1431" s="394">
        <v>0</v>
      </c>
      <c r="BA1431" s="394">
        <v>0.20754</v>
      </c>
      <c r="BB1431" s="394">
        <v>6.73733</v>
      </c>
      <c r="BC1431" s="394"/>
      <c r="BD1431" s="381" t="s">
        <v>167</v>
      </c>
      <c r="BE1431" s="408" t="s">
        <v>175</v>
      </c>
      <c r="BF1431" s="385"/>
      <c r="BG1431" s="475">
        <v>556</v>
      </c>
      <c r="BH1431" s="395"/>
      <c r="BI1431" s="395">
        <f t="shared" si="901"/>
        <v>7.6334400000000002</v>
      </c>
    </row>
    <row r="1432" spans="1:61" s="358" customFormat="1" ht="19.2" x14ac:dyDescent="0.3">
      <c r="A1432" s="359" t="s">
        <v>390</v>
      </c>
      <c r="B1432" s="602" t="s">
        <v>5261</v>
      </c>
      <c r="C1432" s="548" t="s">
        <v>5262</v>
      </c>
      <c r="D1432" s="360">
        <v>0.22</v>
      </c>
      <c r="E1432" s="528"/>
      <c r="F1432" s="523"/>
      <c r="G1432" s="393"/>
      <c r="H1432" s="394"/>
      <c r="I1432" s="394"/>
      <c r="J1432" s="394"/>
      <c r="K1432" s="394"/>
      <c r="L1432" s="394"/>
      <c r="M1432" s="394"/>
      <c r="N1432" s="394"/>
      <c r="O1432" s="394"/>
      <c r="P1432" s="394"/>
      <c r="Q1432" s="394"/>
      <c r="R1432" s="381"/>
      <c r="S1432" s="408"/>
      <c r="T1432" s="385"/>
      <c r="U1432" s="475"/>
      <c r="V1432" s="395"/>
      <c r="W1432" s="395"/>
      <c r="X1432" s="528"/>
      <c r="Y1432" s="523"/>
      <c r="Z1432" s="393"/>
      <c r="AA1432" s="394"/>
      <c r="AB1432" s="394"/>
      <c r="AC1432" s="394"/>
      <c r="AD1432" s="394"/>
      <c r="AE1432" s="394"/>
      <c r="AF1432" s="394"/>
      <c r="AG1432" s="394"/>
      <c r="AH1432" s="394"/>
      <c r="AI1432" s="394"/>
      <c r="AJ1432" s="394"/>
      <c r="AK1432" s="381"/>
      <c r="AL1432" s="408"/>
      <c r="AM1432" s="385"/>
      <c r="AN1432" s="475"/>
      <c r="AO1432" s="395"/>
      <c r="AP1432" s="395"/>
      <c r="AQ1432" s="528"/>
      <c r="AR1432" s="523">
        <v>1</v>
      </c>
      <c r="AS1432" s="393"/>
      <c r="AT1432" s="600">
        <v>7.6334400000000002</v>
      </c>
      <c r="AU1432" s="394">
        <v>6.7431999999999999</v>
      </c>
      <c r="AV1432" s="394">
        <v>6.73733</v>
      </c>
      <c r="AW1432" s="394"/>
      <c r="AX1432" s="394"/>
      <c r="AY1432" s="394">
        <v>0</v>
      </c>
      <c r="AZ1432" s="394">
        <v>0</v>
      </c>
      <c r="BA1432" s="394">
        <v>0.20754</v>
      </c>
      <c r="BB1432" s="394">
        <v>6.73733</v>
      </c>
      <c r="BC1432" s="394"/>
      <c r="BD1432" s="381" t="s">
        <v>167</v>
      </c>
      <c r="BE1432" s="408" t="s">
        <v>175</v>
      </c>
      <c r="BF1432" s="385"/>
      <c r="BG1432" s="475">
        <v>557</v>
      </c>
      <c r="BH1432" s="395"/>
      <c r="BI1432" s="395">
        <f t="shared" ref="BI1432" si="902">AT1432/AR1432</f>
        <v>7.6334400000000002</v>
      </c>
    </row>
    <row r="1433" spans="1:61" s="358" customFormat="1" ht="19.2" x14ac:dyDescent="0.3">
      <c r="A1433" s="359" t="s">
        <v>391</v>
      </c>
      <c r="B1433" s="602" t="s">
        <v>5263</v>
      </c>
      <c r="C1433" s="548" t="s">
        <v>5264</v>
      </c>
      <c r="D1433" s="360">
        <v>0.22</v>
      </c>
      <c r="E1433" s="528"/>
      <c r="F1433" s="523"/>
      <c r="G1433" s="393"/>
      <c r="H1433" s="394"/>
      <c r="I1433" s="394"/>
      <c r="J1433" s="394"/>
      <c r="K1433" s="394"/>
      <c r="L1433" s="394"/>
      <c r="M1433" s="394"/>
      <c r="N1433" s="394"/>
      <c r="O1433" s="394"/>
      <c r="P1433" s="394"/>
      <c r="Q1433" s="394"/>
      <c r="R1433" s="381"/>
      <c r="S1433" s="408"/>
      <c r="T1433" s="385"/>
      <c r="U1433" s="475"/>
      <c r="V1433" s="395"/>
      <c r="W1433" s="395"/>
      <c r="X1433" s="528"/>
      <c r="Y1433" s="523"/>
      <c r="Z1433" s="393"/>
      <c r="AA1433" s="394"/>
      <c r="AB1433" s="394"/>
      <c r="AC1433" s="394"/>
      <c r="AD1433" s="394"/>
      <c r="AE1433" s="394"/>
      <c r="AF1433" s="394"/>
      <c r="AG1433" s="394"/>
      <c r="AH1433" s="394"/>
      <c r="AI1433" s="394"/>
      <c r="AJ1433" s="394"/>
      <c r="AK1433" s="381"/>
      <c r="AL1433" s="408"/>
      <c r="AM1433" s="385"/>
      <c r="AN1433" s="475"/>
      <c r="AO1433" s="395"/>
      <c r="AP1433" s="395"/>
      <c r="AQ1433" s="528"/>
      <c r="AR1433" s="523">
        <v>1</v>
      </c>
      <c r="AS1433" s="393"/>
      <c r="AT1433" s="600">
        <v>12.430300000000001</v>
      </c>
      <c r="AU1433" s="394">
        <v>8.1258599999999994</v>
      </c>
      <c r="AV1433" s="394">
        <v>6.7373000000000003</v>
      </c>
      <c r="AW1433" s="394"/>
      <c r="AX1433" s="394"/>
      <c r="AY1433" s="394">
        <v>0</v>
      </c>
      <c r="AZ1433" s="394">
        <v>0</v>
      </c>
      <c r="BA1433" s="394">
        <v>1.00349</v>
      </c>
      <c r="BB1433" s="394">
        <v>6.7373000000000003</v>
      </c>
      <c r="BC1433" s="394"/>
      <c r="BD1433" s="381" t="s">
        <v>167</v>
      </c>
      <c r="BE1433" s="408" t="s">
        <v>175</v>
      </c>
      <c r="BF1433" s="385"/>
      <c r="BG1433" s="475">
        <v>558</v>
      </c>
      <c r="BH1433" s="395"/>
      <c r="BI1433" s="395">
        <f t="shared" si="901"/>
        <v>12.430300000000001</v>
      </c>
    </row>
    <row r="1434" spans="1:61" s="358" customFormat="1" ht="19.2" x14ac:dyDescent="0.3">
      <c r="A1434" s="359" t="s">
        <v>392</v>
      </c>
      <c r="B1434" s="602" t="s">
        <v>5265</v>
      </c>
      <c r="C1434" s="548" t="s">
        <v>5266</v>
      </c>
      <c r="D1434" s="360">
        <v>0.22</v>
      </c>
      <c r="E1434" s="528"/>
      <c r="F1434" s="523"/>
      <c r="G1434" s="393"/>
      <c r="H1434" s="394"/>
      <c r="I1434" s="394"/>
      <c r="J1434" s="394"/>
      <c r="K1434" s="394"/>
      <c r="L1434" s="394"/>
      <c r="M1434" s="394"/>
      <c r="N1434" s="394"/>
      <c r="O1434" s="394"/>
      <c r="P1434" s="394"/>
      <c r="Q1434" s="394"/>
      <c r="R1434" s="381"/>
      <c r="S1434" s="408"/>
      <c r="T1434" s="385"/>
      <c r="U1434" s="475"/>
      <c r="V1434" s="395"/>
      <c r="W1434" s="395"/>
      <c r="X1434" s="528"/>
      <c r="Y1434" s="523"/>
      <c r="Z1434" s="393"/>
      <c r="AA1434" s="394"/>
      <c r="AB1434" s="394"/>
      <c r="AC1434" s="394"/>
      <c r="AD1434" s="394"/>
      <c r="AE1434" s="394"/>
      <c r="AF1434" s="394"/>
      <c r="AG1434" s="394"/>
      <c r="AH1434" s="394"/>
      <c r="AI1434" s="394"/>
      <c r="AJ1434" s="394"/>
      <c r="AK1434" s="381"/>
      <c r="AL1434" s="408"/>
      <c r="AM1434" s="385"/>
      <c r="AN1434" s="475"/>
      <c r="AO1434" s="395"/>
      <c r="AP1434" s="395"/>
      <c r="AQ1434" s="528"/>
      <c r="AR1434" s="523">
        <v>1</v>
      </c>
      <c r="AS1434" s="393"/>
      <c r="AT1434" s="600">
        <v>12.430300000000001</v>
      </c>
      <c r="AU1434" s="394">
        <v>8.1258599999999994</v>
      </c>
      <c r="AV1434" s="394">
        <v>6.7373000000000003</v>
      </c>
      <c r="AW1434" s="394"/>
      <c r="AX1434" s="394"/>
      <c r="AY1434" s="394">
        <v>0</v>
      </c>
      <c r="AZ1434" s="394">
        <v>0</v>
      </c>
      <c r="BA1434" s="394">
        <v>1.00349</v>
      </c>
      <c r="BB1434" s="394">
        <v>6.7373000000000003</v>
      </c>
      <c r="BC1434" s="394"/>
      <c r="BD1434" s="381" t="s">
        <v>167</v>
      </c>
      <c r="BE1434" s="408" t="s">
        <v>175</v>
      </c>
      <c r="BF1434" s="385"/>
      <c r="BG1434" s="475">
        <v>559</v>
      </c>
      <c r="BH1434" s="395"/>
      <c r="BI1434" s="395">
        <f t="shared" ref="BI1434" si="903">AT1434/AR1434</f>
        <v>12.430300000000001</v>
      </c>
    </row>
    <row r="1435" spans="1:61" s="358" customFormat="1" ht="19.2" x14ac:dyDescent="0.3">
      <c r="A1435" s="359" t="s">
        <v>393</v>
      </c>
      <c r="B1435" s="602" t="s">
        <v>5267</v>
      </c>
      <c r="C1435" s="548" t="s">
        <v>5268</v>
      </c>
      <c r="D1435" s="360">
        <v>0.22</v>
      </c>
      <c r="E1435" s="528"/>
      <c r="F1435" s="523"/>
      <c r="G1435" s="393"/>
      <c r="H1435" s="394"/>
      <c r="I1435" s="394"/>
      <c r="J1435" s="394"/>
      <c r="K1435" s="394"/>
      <c r="L1435" s="394"/>
      <c r="M1435" s="394"/>
      <c r="N1435" s="394"/>
      <c r="O1435" s="394"/>
      <c r="P1435" s="394"/>
      <c r="Q1435" s="394"/>
      <c r="R1435" s="381"/>
      <c r="S1435" s="408"/>
      <c r="T1435" s="385"/>
      <c r="U1435" s="475"/>
      <c r="V1435" s="395"/>
      <c r="W1435" s="395"/>
      <c r="X1435" s="528"/>
      <c r="Y1435" s="523"/>
      <c r="Z1435" s="393"/>
      <c r="AA1435" s="394"/>
      <c r="AB1435" s="394"/>
      <c r="AC1435" s="394"/>
      <c r="AD1435" s="394"/>
      <c r="AE1435" s="394"/>
      <c r="AF1435" s="394"/>
      <c r="AG1435" s="394"/>
      <c r="AH1435" s="394"/>
      <c r="AI1435" s="394"/>
      <c r="AJ1435" s="394"/>
      <c r="AK1435" s="381"/>
      <c r="AL1435" s="408"/>
      <c r="AM1435" s="385"/>
      <c r="AN1435" s="475"/>
      <c r="AO1435" s="395"/>
      <c r="AP1435" s="395"/>
      <c r="AQ1435" s="528"/>
      <c r="AR1435" s="523">
        <v>1</v>
      </c>
      <c r="AS1435" s="393"/>
      <c r="AT1435" s="600">
        <v>12.430300000000001</v>
      </c>
      <c r="AU1435" s="394">
        <v>8.1258599999999994</v>
      </c>
      <c r="AV1435" s="394">
        <v>6.7373000000000003</v>
      </c>
      <c r="AW1435" s="394"/>
      <c r="AX1435" s="394"/>
      <c r="AY1435" s="394">
        <v>0</v>
      </c>
      <c r="AZ1435" s="394">
        <v>0</v>
      </c>
      <c r="BA1435" s="394">
        <v>1.00349</v>
      </c>
      <c r="BB1435" s="394">
        <v>6.7373000000000003</v>
      </c>
      <c r="BC1435" s="394"/>
      <c r="BD1435" s="381" t="s">
        <v>167</v>
      </c>
      <c r="BE1435" s="408" t="s">
        <v>175</v>
      </c>
      <c r="BF1435" s="385"/>
      <c r="BG1435" s="475">
        <v>560</v>
      </c>
      <c r="BH1435" s="395"/>
      <c r="BI1435" s="395">
        <f t="shared" si="901"/>
        <v>12.430300000000001</v>
      </c>
    </row>
    <row r="1436" spans="1:61" s="358" customFormat="1" ht="19.2" x14ac:dyDescent="0.3">
      <c r="A1436" s="359" t="s">
        <v>394</v>
      </c>
      <c r="B1436" s="602" t="s">
        <v>5269</v>
      </c>
      <c r="C1436" s="548" t="s">
        <v>5270</v>
      </c>
      <c r="D1436" s="360">
        <v>0.22</v>
      </c>
      <c r="E1436" s="528"/>
      <c r="F1436" s="523"/>
      <c r="G1436" s="393"/>
      <c r="H1436" s="394"/>
      <c r="I1436" s="394"/>
      <c r="J1436" s="394"/>
      <c r="K1436" s="394"/>
      <c r="L1436" s="394"/>
      <c r="M1436" s="394"/>
      <c r="N1436" s="394"/>
      <c r="O1436" s="394"/>
      <c r="P1436" s="394"/>
      <c r="Q1436" s="394"/>
      <c r="R1436" s="381"/>
      <c r="S1436" s="408"/>
      <c r="T1436" s="385"/>
      <c r="U1436" s="475"/>
      <c r="V1436" s="395"/>
      <c r="W1436" s="395"/>
      <c r="X1436" s="528"/>
      <c r="Y1436" s="523"/>
      <c r="Z1436" s="393"/>
      <c r="AA1436" s="394"/>
      <c r="AB1436" s="394"/>
      <c r="AC1436" s="394"/>
      <c r="AD1436" s="394"/>
      <c r="AE1436" s="394"/>
      <c r="AF1436" s="394"/>
      <c r="AG1436" s="394"/>
      <c r="AH1436" s="394"/>
      <c r="AI1436" s="394"/>
      <c r="AJ1436" s="394"/>
      <c r="AK1436" s="381"/>
      <c r="AL1436" s="408"/>
      <c r="AM1436" s="385"/>
      <c r="AN1436" s="475"/>
      <c r="AO1436" s="395"/>
      <c r="AP1436" s="395"/>
      <c r="AQ1436" s="528"/>
      <c r="AR1436" s="523">
        <v>1</v>
      </c>
      <c r="AS1436" s="393"/>
      <c r="AT1436" s="600">
        <v>12.43031</v>
      </c>
      <c r="AU1436" s="394">
        <v>8.1258700000000008</v>
      </c>
      <c r="AV1436" s="394">
        <v>6.7373000000000003</v>
      </c>
      <c r="AW1436" s="394"/>
      <c r="AX1436" s="394"/>
      <c r="AY1436" s="394">
        <v>0</v>
      </c>
      <c r="AZ1436" s="394">
        <v>0</v>
      </c>
      <c r="BA1436" s="394">
        <v>1.00349</v>
      </c>
      <c r="BB1436" s="394">
        <v>6.7373000000000003</v>
      </c>
      <c r="BC1436" s="394"/>
      <c r="BD1436" s="381" t="s">
        <v>167</v>
      </c>
      <c r="BE1436" s="408" t="s">
        <v>175</v>
      </c>
      <c r="BF1436" s="385"/>
      <c r="BG1436" s="475">
        <v>561</v>
      </c>
      <c r="BH1436" s="395"/>
      <c r="BI1436" s="395">
        <f t="shared" ref="BI1436" si="904">AT1436/AR1436</f>
        <v>12.43031</v>
      </c>
    </row>
    <row r="1437" spans="1:61" s="358" customFormat="1" ht="19.2" x14ac:dyDescent="0.3">
      <c r="A1437" s="359" t="s">
        <v>395</v>
      </c>
      <c r="B1437" s="602" t="s">
        <v>5271</v>
      </c>
      <c r="C1437" s="548" t="s">
        <v>5272</v>
      </c>
      <c r="D1437" s="360">
        <v>0.22</v>
      </c>
      <c r="E1437" s="528"/>
      <c r="F1437" s="523"/>
      <c r="G1437" s="393"/>
      <c r="H1437" s="394"/>
      <c r="I1437" s="394"/>
      <c r="J1437" s="394"/>
      <c r="K1437" s="394"/>
      <c r="L1437" s="394"/>
      <c r="M1437" s="394"/>
      <c r="N1437" s="394"/>
      <c r="O1437" s="394"/>
      <c r="P1437" s="394"/>
      <c r="Q1437" s="394"/>
      <c r="R1437" s="381"/>
      <c r="S1437" s="408"/>
      <c r="T1437" s="385"/>
      <c r="U1437" s="475"/>
      <c r="V1437" s="395"/>
      <c r="W1437" s="395"/>
      <c r="X1437" s="528"/>
      <c r="Y1437" s="523"/>
      <c r="Z1437" s="393"/>
      <c r="AA1437" s="394"/>
      <c r="AB1437" s="394"/>
      <c r="AC1437" s="394"/>
      <c r="AD1437" s="394"/>
      <c r="AE1437" s="394"/>
      <c r="AF1437" s="394"/>
      <c r="AG1437" s="394"/>
      <c r="AH1437" s="394"/>
      <c r="AI1437" s="394"/>
      <c r="AJ1437" s="394"/>
      <c r="AK1437" s="381"/>
      <c r="AL1437" s="408"/>
      <c r="AM1437" s="385"/>
      <c r="AN1437" s="475"/>
      <c r="AO1437" s="395"/>
      <c r="AP1437" s="395"/>
      <c r="AQ1437" s="528"/>
      <c r="AR1437" s="523">
        <v>1</v>
      </c>
      <c r="AS1437" s="393"/>
      <c r="AT1437" s="600">
        <v>12.43031</v>
      </c>
      <c r="AU1437" s="394">
        <v>8.1258700000000008</v>
      </c>
      <c r="AV1437" s="394">
        <v>6.7373000000000003</v>
      </c>
      <c r="AW1437" s="394"/>
      <c r="AX1437" s="394"/>
      <c r="AY1437" s="394">
        <v>0</v>
      </c>
      <c r="AZ1437" s="394">
        <v>0</v>
      </c>
      <c r="BA1437" s="394">
        <v>1.00349</v>
      </c>
      <c r="BB1437" s="394">
        <v>6.7373000000000003</v>
      </c>
      <c r="BC1437" s="394"/>
      <c r="BD1437" s="381" t="s">
        <v>167</v>
      </c>
      <c r="BE1437" s="408" t="s">
        <v>175</v>
      </c>
      <c r="BF1437" s="385"/>
      <c r="BG1437" s="475">
        <v>562</v>
      </c>
      <c r="BH1437" s="395"/>
      <c r="BI1437" s="395">
        <f t="shared" si="901"/>
        <v>12.43031</v>
      </c>
    </row>
    <row r="1438" spans="1:61" s="358" customFormat="1" ht="19.2" x14ac:dyDescent="0.3">
      <c r="A1438" s="359" t="s">
        <v>396</v>
      </c>
      <c r="B1438" s="602" t="s">
        <v>5273</v>
      </c>
      <c r="C1438" s="548" t="s">
        <v>5274</v>
      </c>
      <c r="D1438" s="360">
        <v>0.22</v>
      </c>
      <c r="E1438" s="528"/>
      <c r="F1438" s="523"/>
      <c r="G1438" s="393"/>
      <c r="H1438" s="394"/>
      <c r="I1438" s="394"/>
      <c r="J1438" s="394"/>
      <c r="K1438" s="394"/>
      <c r="L1438" s="394"/>
      <c r="M1438" s="394"/>
      <c r="N1438" s="394"/>
      <c r="O1438" s="394"/>
      <c r="P1438" s="394"/>
      <c r="Q1438" s="394"/>
      <c r="R1438" s="381"/>
      <c r="S1438" s="408"/>
      <c r="T1438" s="385"/>
      <c r="U1438" s="475"/>
      <c r="V1438" s="395"/>
      <c r="W1438" s="395"/>
      <c r="X1438" s="528"/>
      <c r="Y1438" s="523"/>
      <c r="Z1438" s="393"/>
      <c r="AA1438" s="394"/>
      <c r="AB1438" s="394"/>
      <c r="AC1438" s="394"/>
      <c r="AD1438" s="394"/>
      <c r="AE1438" s="394"/>
      <c r="AF1438" s="394"/>
      <c r="AG1438" s="394"/>
      <c r="AH1438" s="394"/>
      <c r="AI1438" s="394"/>
      <c r="AJ1438" s="394"/>
      <c r="AK1438" s="381"/>
      <c r="AL1438" s="408"/>
      <c r="AM1438" s="385"/>
      <c r="AN1438" s="475"/>
      <c r="AO1438" s="395"/>
      <c r="AP1438" s="395"/>
      <c r="AQ1438" s="528"/>
      <c r="AR1438" s="523">
        <v>1</v>
      </c>
      <c r="AS1438" s="393"/>
      <c r="AT1438" s="600">
        <v>27.261520000000001</v>
      </c>
      <c r="AU1438" s="394">
        <v>22.74325</v>
      </c>
      <c r="AV1438" s="394">
        <v>6.73733</v>
      </c>
      <c r="AW1438" s="394"/>
      <c r="AX1438" s="394"/>
      <c r="AY1438" s="394">
        <v>0</v>
      </c>
      <c r="AZ1438" s="394">
        <v>0</v>
      </c>
      <c r="BA1438" s="394">
        <v>1.0533399999999999</v>
      </c>
      <c r="BB1438" s="394">
        <v>6.73733</v>
      </c>
      <c r="BC1438" s="394"/>
      <c r="BD1438" s="381" t="s">
        <v>167</v>
      </c>
      <c r="BE1438" s="408" t="s">
        <v>175</v>
      </c>
      <c r="BF1438" s="385"/>
      <c r="BG1438" s="475">
        <v>563</v>
      </c>
      <c r="BH1438" s="395"/>
      <c r="BI1438" s="395">
        <f t="shared" si="879"/>
        <v>27.261520000000001</v>
      </c>
    </row>
    <row r="1439" spans="1:61" s="358" customFormat="1" ht="19.2" x14ac:dyDescent="0.3">
      <c r="A1439" s="359" t="s">
        <v>397</v>
      </c>
      <c r="B1439" s="602" t="s">
        <v>5275</v>
      </c>
      <c r="C1439" s="548" t="s">
        <v>5276</v>
      </c>
      <c r="D1439" s="360">
        <v>0.22</v>
      </c>
      <c r="E1439" s="528"/>
      <c r="F1439" s="523"/>
      <c r="G1439" s="393"/>
      <c r="H1439" s="394"/>
      <c r="I1439" s="394"/>
      <c r="J1439" s="394"/>
      <c r="K1439" s="394"/>
      <c r="L1439" s="394"/>
      <c r="M1439" s="394"/>
      <c r="N1439" s="394"/>
      <c r="O1439" s="394"/>
      <c r="P1439" s="394"/>
      <c r="Q1439" s="394"/>
      <c r="R1439" s="381"/>
      <c r="S1439" s="408"/>
      <c r="T1439" s="385"/>
      <c r="U1439" s="475"/>
      <c r="V1439" s="395"/>
      <c r="W1439" s="395"/>
      <c r="X1439" s="528"/>
      <c r="Y1439" s="523"/>
      <c r="Z1439" s="393"/>
      <c r="AA1439" s="394"/>
      <c r="AB1439" s="394"/>
      <c r="AC1439" s="394"/>
      <c r="AD1439" s="394"/>
      <c r="AE1439" s="394"/>
      <c r="AF1439" s="394"/>
      <c r="AG1439" s="394"/>
      <c r="AH1439" s="394"/>
      <c r="AI1439" s="394"/>
      <c r="AJ1439" s="394"/>
      <c r="AK1439" s="381"/>
      <c r="AL1439" s="408"/>
      <c r="AM1439" s="385"/>
      <c r="AN1439" s="475"/>
      <c r="AO1439" s="395"/>
      <c r="AP1439" s="395"/>
      <c r="AQ1439" s="528"/>
      <c r="AR1439" s="523">
        <v>1</v>
      </c>
      <c r="AS1439" s="393"/>
      <c r="AT1439" s="600">
        <v>12.430350000000001</v>
      </c>
      <c r="AU1439" s="394">
        <v>8.1259099999999993</v>
      </c>
      <c r="AV1439" s="394">
        <v>6.7373000000000003</v>
      </c>
      <c r="AW1439" s="394"/>
      <c r="AX1439" s="394"/>
      <c r="AY1439" s="394">
        <v>0</v>
      </c>
      <c r="AZ1439" s="394">
        <v>0</v>
      </c>
      <c r="BA1439" s="394">
        <v>1.00349</v>
      </c>
      <c r="BB1439" s="394">
        <v>6.7373000000000003</v>
      </c>
      <c r="BC1439" s="394"/>
      <c r="BD1439" s="381" t="s">
        <v>167</v>
      </c>
      <c r="BE1439" s="408" t="s">
        <v>175</v>
      </c>
      <c r="BF1439" s="385"/>
      <c r="BG1439" s="475">
        <v>564</v>
      </c>
      <c r="BH1439" s="395"/>
      <c r="BI1439" s="395">
        <f t="shared" ref="BI1439" si="905">AT1439/AR1439</f>
        <v>12.430350000000001</v>
      </c>
    </row>
    <row r="1440" spans="1:61" s="358" customFormat="1" ht="19.2" x14ac:dyDescent="0.3">
      <c r="A1440" s="359" t="s">
        <v>398</v>
      </c>
      <c r="B1440" s="602" t="s">
        <v>5277</v>
      </c>
      <c r="C1440" s="548" t="s">
        <v>5278</v>
      </c>
      <c r="D1440" s="360">
        <v>0.22</v>
      </c>
      <c r="E1440" s="528"/>
      <c r="F1440" s="523"/>
      <c r="G1440" s="393"/>
      <c r="H1440" s="394"/>
      <c r="I1440" s="394"/>
      <c r="J1440" s="394"/>
      <c r="K1440" s="394"/>
      <c r="L1440" s="394"/>
      <c r="M1440" s="394"/>
      <c r="N1440" s="394"/>
      <c r="O1440" s="394"/>
      <c r="P1440" s="394"/>
      <c r="Q1440" s="394"/>
      <c r="R1440" s="381"/>
      <c r="S1440" s="408"/>
      <c r="T1440" s="385"/>
      <c r="U1440" s="475"/>
      <c r="V1440" s="395"/>
      <c r="W1440" s="395"/>
      <c r="X1440" s="528"/>
      <c r="Y1440" s="523"/>
      <c r="Z1440" s="393"/>
      <c r="AA1440" s="394"/>
      <c r="AB1440" s="394"/>
      <c r="AC1440" s="394"/>
      <c r="AD1440" s="394"/>
      <c r="AE1440" s="394"/>
      <c r="AF1440" s="394"/>
      <c r="AG1440" s="394"/>
      <c r="AH1440" s="394"/>
      <c r="AI1440" s="394"/>
      <c r="AJ1440" s="394"/>
      <c r="AK1440" s="381"/>
      <c r="AL1440" s="408"/>
      <c r="AM1440" s="385"/>
      <c r="AN1440" s="475"/>
      <c r="AO1440" s="395"/>
      <c r="AP1440" s="395"/>
      <c r="AQ1440" s="528"/>
      <c r="AR1440" s="523">
        <v>1</v>
      </c>
      <c r="AS1440" s="393"/>
      <c r="AT1440" s="600">
        <v>12.430350000000001</v>
      </c>
      <c r="AU1440" s="394">
        <v>8.1259099999999993</v>
      </c>
      <c r="AV1440" s="394">
        <v>6.7373000000000003</v>
      </c>
      <c r="AW1440" s="394"/>
      <c r="AX1440" s="394"/>
      <c r="AY1440" s="394">
        <v>0</v>
      </c>
      <c r="AZ1440" s="394">
        <v>0</v>
      </c>
      <c r="BA1440" s="394">
        <v>1.00349</v>
      </c>
      <c r="BB1440" s="394">
        <v>6.7373000000000003</v>
      </c>
      <c r="BC1440" s="394"/>
      <c r="BD1440" s="381" t="s">
        <v>167</v>
      </c>
      <c r="BE1440" s="408" t="s">
        <v>175</v>
      </c>
      <c r="BF1440" s="385"/>
      <c r="BG1440" s="475">
        <v>565</v>
      </c>
      <c r="BH1440" s="395"/>
      <c r="BI1440" s="395">
        <f t="shared" si="879"/>
        <v>12.430350000000001</v>
      </c>
    </row>
    <row r="1441" spans="1:61" s="358" customFormat="1" ht="19.2" x14ac:dyDescent="0.3">
      <c r="A1441" s="359" t="s">
        <v>399</v>
      </c>
      <c r="B1441" s="602" t="s">
        <v>5279</v>
      </c>
      <c r="C1441" s="548" t="s">
        <v>5280</v>
      </c>
      <c r="D1441" s="360">
        <v>0.22</v>
      </c>
      <c r="E1441" s="528"/>
      <c r="F1441" s="523"/>
      <c r="G1441" s="393"/>
      <c r="H1441" s="394"/>
      <c r="I1441" s="394"/>
      <c r="J1441" s="394"/>
      <c r="K1441" s="394"/>
      <c r="L1441" s="394"/>
      <c r="M1441" s="394"/>
      <c r="N1441" s="394"/>
      <c r="O1441" s="394"/>
      <c r="P1441" s="394"/>
      <c r="Q1441" s="394"/>
      <c r="R1441" s="381"/>
      <c r="S1441" s="408"/>
      <c r="T1441" s="385"/>
      <c r="U1441" s="475"/>
      <c r="V1441" s="395"/>
      <c r="W1441" s="395"/>
      <c r="X1441" s="528"/>
      <c r="Y1441" s="523"/>
      <c r="Z1441" s="393"/>
      <c r="AA1441" s="394"/>
      <c r="AB1441" s="394"/>
      <c r="AC1441" s="394"/>
      <c r="AD1441" s="394"/>
      <c r="AE1441" s="394"/>
      <c r="AF1441" s="394"/>
      <c r="AG1441" s="394"/>
      <c r="AH1441" s="394"/>
      <c r="AI1441" s="394"/>
      <c r="AJ1441" s="394"/>
      <c r="AK1441" s="381"/>
      <c r="AL1441" s="408"/>
      <c r="AM1441" s="385"/>
      <c r="AN1441" s="475"/>
      <c r="AO1441" s="395"/>
      <c r="AP1441" s="395"/>
      <c r="AQ1441" s="528"/>
      <c r="AR1441" s="523">
        <v>1</v>
      </c>
      <c r="AS1441" s="393"/>
      <c r="AT1441" s="600">
        <v>12.43032</v>
      </c>
      <c r="AU1441" s="394">
        <v>8.1258800000000004</v>
      </c>
      <c r="AV1441" s="394">
        <v>6.7373000000000003</v>
      </c>
      <c r="AW1441" s="394"/>
      <c r="AX1441" s="394"/>
      <c r="AY1441" s="394">
        <v>0</v>
      </c>
      <c r="AZ1441" s="394">
        <v>0</v>
      </c>
      <c r="BA1441" s="394">
        <v>1.00349</v>
      </c>
      <c r="BB1441" s="394">
        <v>6.7373000000000003</v>
      </c>
      <c r="BC1441" s="394"/>
      <c r="BD1441" s="381" t="s">
        <v>167</v>
      </c>
      <c r="BE1441" s="408" t="s">
        <v>175</v>
      </c>
      <c r="BF1441" s="385"/>
      <c r="BG1441" s="475">
        <v>566</v>
      </c>
      <c r="BH1441" s="395"/>
      <c r="BI1441" s="395">
        <f t="shared" ref="BI1441" si="906">AT1441/AR1441</f>
        <v>12.43032</v>
      </c>
    </row>
    <row r="1442" spans="1:61" s="358" customFormat="1" ht="19.2" x14ac:dyDescent="0.3">
      <c r="A1442" s="359" t="s">
        <v>400</v>
      </c>
      <c r="B1442" s="602" t="s">
        <v>5281</v>
      </c>
      <c r="C1442" s="548" t="s">
        <v>5282</v>
      </c>
      <c r="D1442" s="360">
        <v>0.22</v>
      </c>
      <c r="E1442" s="528"/>
      <c r="F1442" s="523"/>
      <c r="G1442" s="393"/>
      <c r="H1442" s="394"/>
      <c r="I1442" s="394"/>
      <c r="J1442" s="394"/>
      <c r="K1442" s="394"/>
      <c r="L1442" s="394"/>
      <c r="M1442" s="394"/>
      <c r="N1442" s="394"/>
      <c r="O1442" s="394"/>
      <c r="P1442" s="394"/>
      <c r="Q1442" s="394"/>
      <c r="R1442" s="381"/>
      <c r="S1442" s="408"/>
      <c r="T1442" s="385"/>
      <c r="U1442" s="475"/>
      <c r="V1442" s="395"/>
      <c r="W1442" s="395"/>
      <c r="X1442" s="528"/>
      <c r="Y1442" s="523"/>
      <c r="Z1442" s="393"/>
      <c r="AA1442" s="394"/>
      <c r="AB1442" s="394"/>
      <c r="AC1442" s="394"/>
      <c r="AD1442" s="394"/>
      <c r="AE1442" s="394"/>
      <c r="AF1442" s="394"/>
      <c r="AG1442" s="394"/>
      <c r="AH1442" s="394"/>
      <c r="AI1442" s="394"/>
      <c r="AJ1442" s="394"/>
      <c r="AK1442" s="381"/>
      <c r="AL1442" s="408"/>
      <c r="AM1442" s="385"/>
      <c r="AN1442" s="475"/>
      <c r="AO1442" s="395"/>
      <c r="AP1442" s="395"/>
      <c r="AQ1442" s="528"/>
      <c r="AR1442" s="523">
        <v>1</v>
      </c>
      <c r="AS1442" s="393"/>
      <c r="AT1442" s="600">
        <v>12.43031</v>
      </c>
      <c r="AU1442" s="394">
        <v>8.1258700000000008</v>
      </c>
      <c r="AV1442" s="394">
        <v>6.7373000000000003</v>
      </c>
      <c r="AW1442" s="394"/>
      <c r="AX1442" s="394"/>
      <c r="AY1442" s="394">
        <v>0</v>
      </c>
      <c r="AZ1442" s="394">
        <v>0</v>
      </c>
      <c r="BA1442" s="394">
        <v>1.00349</v>
      </c>
      <c r="BB1442" s="394">
        <v>6.7373000000000003</v>
      </c>
      <c r="BC1442" s="394"/>
      <c r="BD1442" s="381" t="s">
        <v>167</v>
      </c>
      <c r="BE1442" s="408" t="s">
        <v>175</v>
      </c>
      <c r="BF1442" s="385"/>
      <c r="BG1442" s="475">
        <v>567</v>
      </c>
      <c r="BH1442" s="395"/>
      <c r="BI1442" s="395">
        <f t="shared" si="879"/>
        <v>12.43031</v>
      </c>
    </row>
    <row r="1443" spans="1:61" s="358" customFormat="1" ht="19.2" x14ac:dyDescent="0.3">
      <c r="A1443" s="359" t="s">
        <v>401</v>
      </c>
      <c r="B1443" s="602" t="s">
        <v>5365</v>
      </c>
      <c r="C1443" s="609" t="s">
        <v>5364</v>
      </c>
      <c r="D1443" s="360">
        <v>0.22</v>
      </c>
      <c r="E1443" s="528"/>
      <c r="F1443" s="523"/>
      <c r="G1443" s="393"/>
      <c r="H1443" s="394"/>
      <c r="I1443" s="394"/>
      <c r="J1443" s="394"/>
      <c r="K1443" s="394"/>
      <c r="L1443" s="394"/>
      <c r="M1443" s="394"/>
      <c r="N1443" s="394"/>
      <c r="O1443" s="394"/>
      <c r="P1443" s="394"/>
      <c r="Q1443" s="394"/>
      <c r="R1443" s="381"/>
      <c r="S1443" s="408"/>
      <c r="T1443" s="385"/>
      <c r="U1443" s="475"/>
      <c r="V1443" s="395"/>
      <c r="W1443" s="395"/>
      <c r="X1443" s="528"/>
      <c r="Y1443" s="523"/>
      <c r="Z1443" s="393"/>
      <c r="AA1443" s="394"/>
      <c r="AB1443" s="394"/>
      <c r="AC1443" s="394"/>
      <c r="AD1443" s="394"/>
      <c r="AE1443" s="394"/>
      <c r="AF1443" s="394"/>
      <c r="AG1443" s="394"/>
      <c r="AH1443" s="394"/>
      <c r="AI1443" s="394"/>
      <c r="AJ1443" s="394"/>
      <c r="AK1443" s="381"/>
      <c r="AL1443" s="408"/>
      <c r="AM1443" s="385"/>
      <c r="AN1443" s="475"/>
      <c r="AO1443" s="395"/>
      <c r="AP1443" s="395"/>
      <c r="AQ1443" s="528"/>
      <c r="AR1443" s="523">
        <v>1</v>
      </c>
      <c r="AS1443" s="393"/>
      <c r="AT1443" s="600">
        <v>7.7241600000000004</v>
      </c>
      <c r="AU1443" s="394">
        <v>6.83392</v>
      </c>
      <c r="AV1443" s="394">
        <v>6.73733</v>
      </c>
      <c r="AW1443" s="394"/>
      <c r="AX1443" s="394"/>
      <c r="AY1443" s="394">
        <v>0</v>
      </c>
      <c r="AZ1443" s="394">
        <v>0</v>
      </c>
      <c r="BA1443" s="394">
        <v>0.20754</v>
      </c>
      <c r="BB1443" s="394">
        <v>6.73733</v>
      </c>
      <c r="BC1443" s="394"/>
      <c r="BD1443" s="381" t="s">
        <v>167</v>
      </c>
      <c r="BE1443" s="408" t="s">
        <v>175</v>
      </c>
      <c r="BF1443" s="385"/>
      <c r="BG1443" s="475">
        <v>568</v>
      </c>
      <c r="BH1443" s="395"/>
      <c r="BI1443" s="395">
        <f t="shared" si="879"/>
        <v>7.7241600000000004</v>
      </c>
    </row>
    <row r="1444" spans="1:61" s="358" customFormat="1" ht="19.2" x14ac:dyDescent="0.3">
      <c r="A1444" s="359" t="s">
        <v>402</v>
      </c>
      <c r="B1444" s="602" t="s">
        <v>5367</v>
      </c>
      <c r="C1444" s="609" t="s">
        <v>5366</v>
      </c>
      <c r="D1444" s="360">
        <v>0.22</v>
      </c>
      <c r="E1444" s="528"/>
      <c r="F1444" s="523"/>
      <c r="G1444" s="393"/>
      <c r="H1444" s="394"/>
      <c r="I1444" s="394"/>
      <c r="J1444" s="394"/>
      <c r="K1444" s="394"/>
      <c r="L1444" s="394"/>
      <c r="M1444" s="394"/>
      <c r="N1444" s="394"/>
      <c r="O1444" s="394"/>
      <c r="P1444" s="394"/>
      <c r="Q1444" s="394"/>
      <c r="R1444" s="381"/>
      <c r="S1444" s="408"/>
      <c r="T1444" s="385"/>
      <c r="U1444" s="475"/>
      <c r="V1444" s="395"/>
      <c r="W1444" s="395"/>
      <c r="X1444" s="528"/>
      <c r="Y1444" s="523"/>
      <c r="Z1444" s="393"/>
      <c r="AA1444" s="394"/>
      <c r="AB1444" s="394"/>
      <c r="AC1444" s="394"/>
      <c r="AD1444" s="394"/>
      <c r="AE1444" s="394"/>
      <c r="AF1444" s="394"/>
      <c r="AG1444" s="394"/>
      <c r="AH1444" s="394"/>
      <c r="AI1444" s="394"/>
      <c r="AJ1444" s="394"/>
      <c r="AK1444" s="381"/>
      <c r="AL1444" s="408"/>
      <c r="AM1444" s="385"/>
      <c r="AN1444" s="475"/>
      <c r="AO1444" s="395"/>
      <c r="AP1444" s="395"/>
      <c r="AQ1444" s="528"/>
      <c r="AR1444" s="523">
        <v>1</v>
      </c>
      <c r="AS1444" s="393"/>
      <c r="AT1444" s="600">
        <v>7.72417</v>
      </c>
      <c r="AU1444" s="394">
        <v>6.8339299999999996</v>
      </c>
      <c r="AV1444" s="394">
        <v>6.73733</v>
      </c>
      <c r="AW1444" s="394"/>
      <c r="AX1444" s="394"/>
      <c r="AY1444" s="394">
        <v>0</v>
      </c>
      <c r="AZ1444" s="394">
        <v>0</v>
      </c>
      <c r="BA1444" s="394">
        <v>0.20754</v>
      </c>
      <c r="BB1444" s="394">
        <v>6.73733</v>
      </c>
      <c r="BC1444" s="394"/>
      <c r="BD1444" s="381" t="s">
        <v>167</v>
      </c>
      <c r="BE1444" s="408" t="s">
        <v>175</v>
      </c>
      <c r="BF1444" s="385"/>
      <c r="BG1444" s="475">
        <v>569</v>
      </c>
      <c r="BH1444" s="395"/>
      <c r="BI1444" s="395">
        <f t="shared" ref="BI1444" si="907">AT1444/AR1444</f>
        <v>7.72417</v>
      </c>
    </row>
    <row r="1445" spans="1:61" s="358" customFormat="1" ht="19.2" x14ac:dyDescent="0.3">
      <c r="A1445" s="359" t="s">
        <v>403</v>
      </c>
      <c r="B1445" s="602" t="s">
        <v>5369</v>
      </c>
      <c r="C1445" s="548" t="s">
        <v>5368</v>
      </c>
      <c r="D1445" s="360">
        <v>0.22</v>
      </c>
      <c r="E1445" s="528"/>
      <c r="F1445" s="523"/>
      <c r="G1445" s="393"/>
      <c r="H1445" s="394"/>
      <c r="I1445" s="394"/>
      <c r="J1445" s="394"/>
      <c r="K1445" s="394"/>
      <c r="L1445" s="394"/>
      <c r="M1445" s="394"/>
      <c r="N1445" s="394"/>
      <c r="O1445" s="394"/>
      <c r="P1445" s="394"/>
      <c r="Q1445" s="394"/>
      <c r="R1445" s="381"/>
      <c r="S1445" s="408"/>
      <c r="T1445" s="385"/>
      <c r="U1445" s="475"/>
      <c r="V1445" s="395"/>
      <c r="W1445" s="395"/>
      <c r="X1445" s="528"/>
      <c r="Y1445" s="523"/>
      <c r="Z1445" s="393"/>
      <c r="AA1445" s="394"/>
      <c r="AB1445" s="394"/>
      <c r="AC1445" s="394"/>
      <c r="AD1445" s="394"/>
      <c r="AE1445" s="394"/>
      <c r="AF1445" s="394"/>
      <c r="AG1445" s="394"/>
      <c r="AH1445" s="394"/>
      <c r="AI1445" s="394"/>
      <c r="AJ1445" s="394"/>
      <c r="AK1445" s="381"/>
      <c r="AL1445" s="408"/>
      <c r="AM1445" s="385"/>
      <c r="AN1445" s="475"/>
      <c r="AO1445" s="395"/>
      <c r="AP1445" s="395"/>
      <c r="AQ1445" s="528"/>
      <c r="AR1445" s="523">
        <v>1</v>
      </c>
      <c r="AS1445" s="393"/>
      <c r="AT1445" s="600">
        <v>7.7241600000000004</v>
      </c>
      <c r="AU1445" s="394">
        <v>6.83392</v>
      </c>
      <c r="AV1445" s="394">
        <v>6.73733</v>
      </c>
      <c r="AW1445" s="394"/>
      <c r="AX1445" s="394"/>
      <c r="AY1445" s="394">
        <v>0</v>
      </c>
      <c r="AZ1445" s="394">
        <v>0</v>
      </c>
      <c r="BA1445" s="394">
        <v>0.20754</v>
      </c>
      <c r="BB1445" s="394">
        <v>6.73733</v>
      </c>
      <c r="BC1445" s="394"/>
      <c r="BD1445" s="381" t="s">
        <v>167</v>
      </c>
      <c r="BE1445" s="408" t="s">
        <v>175</v>
      </c>
      <c r="BF1445" s="385"/>
      <c r="BG1445" s="475">
        <v>570</v>
      </c>
      <c r="BH1445" s="395"/>
      <c r="BI1445" s="395">
        <f t="shared" si="879"/>
        <v>7.7241600000000004</v>
      </c>
    </row>
    <row r="1446" spans="1:61" s="358" customFormat="1" ht="19.2" x14ac:dyDescent="0.3">
      <c r="A1446" s="359" t="s">
        <v>404</v>
      </c>
      <c r="B1446" s="602" t="s">
        <v>5371</v>
      </c>
      <c r="C1446" s="548" t="s">
        <v>5370</v>
      </c>
      <c r="D1446" s="360">
        <v>0.22</v>
      </c>
      <c r="E1446" s="528"/>
      <c r="F1446" s="523"/>
      <c r="G1446" s="393"/>
      <c r="H1446" s="394"/>
      <c r="I1446" s="394"/>
      <c r="J1446" s="394"/>
      <c r="K1446" s="394"/>
      <c r="L1446" s="394"/>
      <c r="M1446" s="394"/>
      <c r="N1446" s="394"/>
      <c r="O1446" s="394"/>
      <c r="P1446" s="394"/>
      <c r="Q1446" s="394"/>
      <c r="R1446" s="381"/>
      <c r="S1446" s="408"/>
      <c r="T1446" s="385"/>
      <c r="U1446" s="475"/>
      <c r="V1446" s="395"/>
      <c r="W1446" s="395"/>
      <c r="X1446" s="528"/>
      <c r="Y1446" s="523"/>
      <c r="Z1446" s="393"/>
      <c r="AA1446" s="394"/>
      <c r="AB1446" s="394"/>
      <c r="AC1446" s="394"/>
      <c r="AD1446" s="394"/>
      <c r="AE1446" s="394"/>
      <c r="AF1446" s="394"/>
      <c r="AG1446" s="394"/>
      <c r="AH1446" s="394"/>
      <c r="AI1446" s="394"/>
      <c r="AJ1446" s="394"/>
      <c r="AK1446" s="381"/>
      <c r="AL1446" s="408"/>
      <c r="AM1446" s="385"/>
      <c r="AN1446" s="475"/>
      <c r="AO1446" s="395"/>
      <c r="AP1446" s="395"/>
      <c r="AQ1446" s="528"/>
      <c r="AR1446" s="523">
        <v>1</v>
      </c>
      <c r="AS1446" s="393"/>
      <c r="AT1446" s="600">
        <v>7.7241799999999996</v>
      </c>
      <c r="AU1446" s="394">
        <v>6.8339400000000001</v>
      </c>
      <c r="AV1446" s="394">
        <v>6.73733</v>
      </c>
      <c r="AW1446" s="394"/>
      <c r="AX1446" s="394"/>
      <c r="AY1446" s="394">
        <v>0</v>
      </c>
      <c r="AZ1446" s="394">
        <v>0</v>
      </c>
      <c r="BA1446" s="394">
        <v>0.20754</v>
      </c>
      <c r="BB1446" s="394">
        <v>6.73733</v>
      </c>
      <c r="BC1446" s="394"/>
      <c r="BD1446" s="381" t="s">
        <v>167</v>
      </c>
      <c r="BE1446" s="408" t="s">
        <v>175</v>
      </c>
      <c r="BF1446" s="385"/>
      <c r="BG1446" s="475">
        <v>571</v>
      </c>
      <c r="BH1446" s="395"/>
      <c r="BI1446" s="395">
        <f t="shared" ref="BI1446" si="908">AT1446/AR1446</f>
        <v>7.7241799999999996</v>
      </c>
    </row>
    <row r="1447" spans="1:61" s="358" customFormat="1" ht="19.2" x14ac:dyDescent="0.3">
      <c r="A1447" s="359" t="s">
        <v>405</v>
      </c>
      <c r="B1447" s="602" t="s">
        <v>5372</v>
      </c>
      <c r="C1447" s="548" t="s">
        <v>5373</v>
      </c>
      <c r="D1447" s="360">
        <v>0.22</v>
      </c>
      <c r="E1447" s="528"/>
      <c r="F1447" s="523"/>
      <c r="G1447" s="393"/>
      <c r="H1447" s="394"/>
      <c r="I1447" s="394"/>
      <c r="J1447" s="394"/>
      <c r="K1447" s="394"/>
      <c r="L1447" s="394"/>
      <c r="M1447" s="394"/>
      <c r="N1447" s="394"/>
      <c r="O1447" s="394"/>
      <c r="P1447" s="394"/>
      <c r="Q1447" s="394"/>
      <c r="R1447" s="381"/>
      <c r="S1447" s="408"/>
      <c r="T1447" s="385"/>
      <c r="U1447" s="475"/>
      <c r="V1447" s="395"/>
      <c r="W1447" s="395"/>
      <c r="X1447" s="528"/>
      <c r="Y1447" s="523"/>
      <c r="Z1447" s="393"/>
      <c r="AA1447" s="394"/>
      <c r="AB1447" s="394"/>
      <c r="AC1447" s="394"/>
      <c r="AD1447" s="394"/>
      <c r="AE1447" s="394"/>
      <c r="AF1447" s="394"/>
      <c r="AG1447" s="394"/>
      <c r="AH1447" s="394"/>
      <c r="AI1447" s="394"/>
      <c r="AJ1447" s="394"/>
      <c r="AK1447" s="381"/>
      <c r="AL1447" s="408"/>
      <c r="AM1447" s="385"/>
      <c r="AN1447" s="475"/>
      <c r="AO1447" s="395"/>
      <c r="AP1447" s="395"/>
      <c r="AQ1447" s="528"/>
      <c r="AR1447" s="523">
        <v>1</v>
      </c>
      <c r="AS1447" s="393"/>
      <c r="AT1447" s="600">
        <v>7.7241600000000004</v>
      </c>
      <c r="AU1447" s="394">
        <v>6.83392</v>
      </c>
      <c r="AV1447" s="394">
        <v>6.73733</v>
      </c>
      <c r="AW1447" s="394"/>
      <c r="AX1447" s="394"/>
      <c r="AY1447" s="394">
        <v>0</v>
      </c>
      <c r="AZ1447" s="394">
        <v>0</v>
      </c>
      <c r="BA1447" s="394">
        <v>0.20754</v>
      </c>
      <c r="BB1447" s="394">
        <v>6.73733</v>
      </c>
      <c r="BC1447" s="394"/>
      <c r="BD1447" s="381" t="s">
        <v>167</v>
      </c>
      <c r="BE1447" s="408" t="s">
        <v>175</v>
      </c>
      <c r="BF1447" s="385"/>
      <c r="BG1447" s="475">
        <v>572</v>
      </c>
      <c r="BH1447" s="395"/>
      <c r="BI1447" s="395">
        <f t="shared" si="879"/>
        <v>7.7241600000000004</v>
      </c>
    </row>
    <row r="1448" spans="1:61" s="358" customFormat="1" ht="19.2" x14ac:dyDescent="0.3">
      <c r="A1448" s="359" t="s">
        <v>406</v>
      </c>
      <c r="B1448" s="602" t="s">
        <v>5374</v>
      </c>
      <c r="C1448" s="548" t="s">
        <v>5375</v>
      </c>
      <c r="D1448" s="360">
        <v>0.22</v>
      </c>
      <c r="E1448" s="528"/>
      <c r="F1448" s="523"/>
      <c r="G1448" s="393"/>
      <c r="H1448" s="394"/>
      <c r="I1448" s="394"/>
      <c r="J1448" s="394"/>
      <c r="K1448" s="394"/>
      <c r="L1448" s="394"/>
      <c r="M1448" s="394"/>
      <c r="N1448" s="394"/>
      <c r="O1448" s="394"/>
      <c r="P1448" s="394"/>
      <c r="Q1448" s="394"/>
      <c r="R1448" s="381"/>
      <c r="S1448" s="408"/>
      <c r="T1448" s="385"/>
      <c r="U1448" s="475"/>
      <c r="V1448" s="395"/>
      <c r="W1448" s="395"/>
      <c r="X1448" s="528"/>
      <c r="Y1448" s="523"/>
      <c r="Z1448" s="393"/>
      <c r="AA1448" s="394"/>
      <c r="AB1448" s="394"/>
      <c r="AC1448" s="394"/>
      <c r="AD1448" s="394"/>
      <c r="AE1448" s="394"/>
      <c r="AF1448" s="394"/>
      <c r="AG1448" s="394"/>
      <c r="AH1448" s="394"/>
      <c r="AI1448" s="394"/>
      <c r="AJ1448" s="394"/>
      <c r="AK1448" s="381"/>
      <c r="AL1448" s="408"/>
      <c r="AM1448" s="385"/>
      <c r="AN1448" s="475"/>
      <c r="AO1448" s="395"/>
      <c r="AP1448" s="395"/>
      <c r="AQ1448" s="528"/>
      <c r="AR1448" s="523">
        <v>1</v>
      </c>
      <c r="AS1448" s="393"/>
      <c r="AT1448" s="600">
        <v>12.06514</v>
      </c>
      <c r="AU1448" s="394">
        <v>7.7606999999999999</v>
      </c>
      <c r="AV1448" s="394">
        <v>6.73733</v>
      </c>
      <c r="AW1448" s="394"/>
      <c r="AX1448" s="394"/>
      <c r="AY1448" s="394">
        <v>0</v>
      </c>
      <c r="AZ1448" s="394">
        <v>0</v>
      </c>
      <c r="BA1448" s="394">
        <v>1.00349</v>
      </c>
      <c r="BB1448" s="394">
        <v>6.73733</v>
      </c>
      <c r="BC1448" s="394"/>
      <c r="BD1448" s="381" t="s">
        <v>167</v>
      </c>
      <c r="BE1448" s="408" t="s">
        <v>175</v>
      </c>
      <c r="BF1448" s="385"/>
      <c r="BG1448" s="475">
        <v>573</v>
      </c>
      <c r="BH1448" s="395"/>
      <c r="BI1448" s="395">
        <f t="shared" ref="BI1448" si="909">AT1448/AR1448</f>
        <v>12.06514</v>
      </c>
    </row>
    <row r="1449" spans="1:61" s="358" customFormat="1" ht="19.2" x14ac:dyDescent="0.3">
      <c r="A1449" s="359" t="s">
        <v>407</v>
      </c>
      <c r="B1449" s="602" t="s">
        <v>5376</v>
      </c>
      <c r="C1449" s="548" t="s">
        <v>5377</v>
      </c>
      <c r="D1449" s="360">
        <v>0.22</v>
      </c>
      <c r="E1449" s="528"/>
      <c r="F1449" s="523"/>
      <c r="G1449" s="393"/>
      <c r="H1449" s="394"/>
      <c r="I1449" s="394"/>
      <c r="J1449" s="394"/>
      <c r="K1449" s="394"/>
      <c r="L1449" s="394"/>
      <c r="M1449" s="394"/>
      <c r="N1449" s="394"/>
      <c r="O1449" s="394"/>
      <c r="P1449" s="394"/>
      <c r="Q1449" s="394"/>
      <c r="R1449" s="381"/>
      <c r="S1449" s="408"/>
      <c r="T1449" s="385"/>
      <c r="U1449" s="475"/>
      <c r="V1449" s="395"/>
      <c r="W1449" s="395"/>
      <c r="X1449" s="528"/>
      <c r="Y1449" s="523"/>
      <c r="Z1449" s="393"/>
      <c r="AA1449" s="394"/>
      <c r="AB1449" s="394"/>
      <c r="AC1449" s="394"/>
      <c r="AD1449" s="394"/>
      <c r="AE1449" s="394"/>
      <c r="AF1449" s="394"/>
      <c r="AG1449" s="394"/>
      <c r="AH1449" s="394"/>
      <c r="AI1449" s="394"/>
      <c r="AJ1449" s="394"/>
      <c r="AK1449" s="381"/>
      <c r="AL1449" s="408"/>
      <c r="AM1449" s="385"/>
      <c r="AN1449" s="475"/>
      <c r="AO1449" s="395"/>
      <c r="AP1449" s="395"/>
      <c r="AQ1449" s="528"/>
      <c r="AR1449" s="523">
        <v>1</v>
      </c>
      <c r="AS1449" s="393"/>
      <c r="AT1449" s="600">
        <v>12.065149999999999</v>
      </c>
      <c r="AU1449" s="394">
        <v>7.7607100000000004</v>
      </c>
      <c r="AV1449" s="394">
        <v>6.73733</v>
      </c>
      <c r="AW1449" s="394"/>
      <c r="AX1449" s="394"/>
      <c r="AY1449" s="394">
        <v>0</v>
      </c>
      <c r="AZ1449" s="394">
        <v>0</v>
      </c>
      <c r="BA1449" s="394">
        <v>1.00349</v>
      </c>
      <c r="BB1449" s="394">
        <v>6.73733</v>
      </c>
      <c r="BC1449" s="394"/>
      <c r="BD1449" s="381" t="s">
        <v>167</v>
      </c>
      <c r="BE1449" s="408" t="s">
        <v>175</v>
      </c>
      <c r="BF1449" s="385"/>
      <c r="BG1449" s="475">
        <v>574</v>
      </c>
      <c r="BH1449" s="395"/>
      <c r="BI1449" s="395">
        <f t="shared" si="879"/>
        <v>12.065149999999999</v>
      </c>
    </row>
    <row r="1450" spans="1:61" s="358" customFormat="1" ht="19.2" x14ac:dyDescent="0.3">
      <c r="A1450" s="359" t="s">
        <v>408</v>
      </c>
      <c r="B1450" s="602" t="s">
        <v>5379</v>
      </c>
      <c r="C1450" s="548" t="s">
        <v>5378</v>
      </c>
      <c r="D1450" s="360">
        <v>0.22</v>
      </c>
      <c r="E1450" s="528"/>
      <c r="F1450" s="523"/>
      <c r="G1450" s="393"/>
      <c r="H1450" s="394"/>
      <c r="I1450" s="394"/>
      <c r="J1450" s="394"/>
      <c r="K1450" s="394"/>
      <c r="L1450" s="394"/>
      <c r="M1450" s="394"/>
      <c r="N1450" s="394"/>
      <c r="O1450" s="394"/>
      <c r="P1450" s="394"/>
      <c r="Q1450" s="394"/>
      <c r="R1450" s="381"/>
      <c r="S1450" s="408"/>
      <c r="T1450" s="385"/>
      <c r="U1450" s="475"/>
      <c r="V1450" s="395"/>
      <c r="W1450" s="395"/>
      <c r="X1450" s="528"/>
      <c r="Y1450" s="523"/>
      <c r="Z1450" s="393"/>
      <c r="AA1450" s="394"/>
      <c r="AB1450" s="394"/>
      <c r="AC1450" s="394"/>
      <c r="AD1450" s="394"/>
      <c r="AE1450" s="394"/>
      <c r="AF1450" s="394"/>
      <c r="AG1450" s="394"/>
      <c r="AH1450" s="394"/>
      <c r="AI1450" s="394"/>
      <c r="AJ1450" s="394"/>
      <c r="AK1450" s="381"/>
      <c r="AL1450" s="408"/>
      <c r="AM1450" s="385"/>
      <c r="AN1450" s="475"/>
      <c r="AO1450" s="395"/>
      <c r="AP1450" s="395"/>
      <c r="AQ1450" s="528"/>
      <c r="AR1450" s="523">
        <v>1</v>
      </c>
      <c r="AS1450" s="393"/>
      <c r="AT1450" s="600">
        <v>12.06514</v>
      </c>
      <c r="AU1450" s="394">
        <v>7.7606999999999999</v>
      </c>
      <c r="AV1450" s="394">
        <v>6.73733</v>
      </c>
      <c r="AW1450" s="394"/>
      <c r="AX1450" s="394"/>
      <c r="AY1450" s="394">
        <v>0</v>
      </c>
      <c r="AZ1450" s="394">
        <v>0</v>
      </c>
      <c r="BA1450" s="394">
        <v>1.00349</v>
      </c>
      <c r="BB1450" s="394">
        <v>6.73733</v>
      </c>
      <c r="BC1450" s="394"/>
      <c r="BD1450" s="381" t="s">
        <v>167</v>
      </c>
      <c r="BE1450" s="408" t="s">
        <v>175</v>
      </c>
      <c r="BF1450" s="385"/>
      <c r="BG1450" s="475">
        <v>575</v>
      </c>
      <c r="BH1450" s="395"/>
      <c r="BI1450" s="395">
        <f t="shared" ref="BI1450" si="910">AT1450/AR1450</f>
        <v>12.06514</v>
      </c>
    </row>
    <row r="1451" spans="1:61" s="358" customFormat="1" ht="19.2" x14ac:dyDescent="0.3">
      <c r="A1451" s="359" t="s">
        <v>1858</v>
      </c>
      <c r="B1451" s="602" t="s">
        <v>5380</v>
      </c>
      <c r="C1451" s="548" t="s">
        <v>5381</v>
      </c>
      <c r="D1451" s="360">
        <v>0.22</v>
      </c>
      <c r="E1451" s="528"/>
      <c r="F1451" s="523"/>
      <c r="G1451" s="393"/>
      <c r="H1451" s="394"/>
      <c r="I1451" s="394"/>
      <c r="J1451" s="394"/>
      <c r="K1451" s="394"/>
      <c r="L1451" s="394"/>
      <c r="M1451" s="394"/>
      <c r="N1451" s="394"/>
      <c r="O1451" s="394"/>
      <c r="P1451" s="394"/>
      <c r="Q1451" s="394"/>
      <c r="R1451" s="381"/>
      <c r="S1451" s="408"/>
      <c r="T1451" s="385"/>
      <c r="U1451" s="475"/>
      <c r="V1451" s="395"/>
      <c r="W1451" s="395"/>
      <c r="X1451" s="528"/>
      <c r="Y1451" s="523"/>
      <c r="Z1451" s="393"/>
      <c r="AA1451" s="394"/>
      <c r="AB1451" s="394"/>
      <c r="AC1451" s="394"/>
      <c r="AD1451" s="394"/>
      <c r="AE1451" s="394"/>
      <c r="AF1451" s="394"/>
      <c r="AG1451" s="394"/>
      <c r="AH1451" s="394"/>
      <c r="AI1451" s="394"/>
      <c r="AJ1451" s="394"/>
      <c r="AK1451" s="381"/>
      <c r="AL1451" s="408"/>
      <c r="AM1451" s="385"/>
      <c r="AN1451" s="475"/>
      <c r="AO1451" s="395"/>
      <c r="AP1451" s="395"/>
      <c r="AQ1451" s="528"/>
      <c r="AR1451" s="523">
        <v>1</v>
      </c>
      <c r="AS1451" s="393"/>
      <c r="AT1451" s="600">
        <v>12.02628</v>
      </c>
      <c r="AU1451" s="394">
        <v>7.7218400000000003</v>
      </c>
      <c r="AV1451" s="394">
        <v>6.7373799999999999</v>
      </c>
      <c r="AW1451" s="394"/>
      <c r="AX1451" s="394"/>
      <c r="AY1451" s="394">
        <v>0</v>
      </c>
      <c r="AZ1451" s="394">
        <v>0</v>
      </c>
      <c r="BA1451" s="394">
        <v>1.00349</v>
      </c>
      <c r="BB1451" s="394">
        <v>6.7373799999999999</v>
      </c>
      <c r="BC1451" s="394"/>
      <c r="BD1451" s="381" t="s">
        <v>167</v>
      </c>
      <c r="BE1451" s="408" t="s">
        <v>175</v>
      </c>
      <c r="BF1451" s="385"/>
      <c r="BG1451" s="475">
        <v>576</v>
      </c>
      <c r="BH1451" s="395"/>
      <c r="BI1451" s="395">
        <f t="shared" si="879"/>
        <v>12.02628</v>
      </c>
    </row>
    <row r="1452" spans="1:61" s="358" customFormat="1" ht="19.2" x14ac:dyDescent="0.3">
      <c r="A1452" s="359" t="s">
        <v>1859</v>
      </c>
      <c r="B1452" s="602" t="s">
        <v>4763</v>
      </c>
      <c r="C1452" s="548" t="s">
        <v>4764</v>
      </c>
      <c r="D1452" s="360">
        <v>0.22</v>
      </c>
      <c r="E1452" s="528"/>
      <c r="F1452" s="523"/>
      <c r="G1452" s="393"/>
      <c r="H1452" s="394"/>
      <c r="I1452" s="394"/>
      <c r="J1452" s="394"/>
      <c r="K1452" s="394"/>
      <c r="L1452" s="394"/>
      <c r="M1452" s="394"/>
      <c r="N1452" s="394"/>
      <c r="O1452" s="394"/>
      <c r="P1452" s="394"/>
      <c r="Q1452" s="394"/>
      <c r="R1452" s="381"/>
      <c r="S1452" s="408"/>
      <c r="T1452" s="385"/>
      <c r="U1452" s="475"/>
      <c r="V1452" s="395"/>
      <c r="W1452" s="395"/>
      <c r="X1452" s="528"/>
      <c r="Y1452" s="523"/>
      <c r="Z1452" s="393"/>
      <c r="AA1452" s="394"/>
      <c r="AB1452" s="394"/>
      <c r="AC1452" s="394"/>
      <c r="AD1452" s="394"/>
      <c r="AE1452" s="394"/>
      <c r="AF1452" s="394"/>
      <c r="AG1452" s="394"/>
      <c r="AH1452" s="394"/>
      <c r="AI1452" s="394"/>
      <c r="AJ1452" s="394"/>
      <c r="AK1452" s="381"/>
      <c r="AL1452" s="408"/>
      <c r="AM1452" s="385"/>
      <c r="AN1452" s="475"/>
      <c r="AO1452" s="395"/>
      <c r="AP1452" s="395"/>
      <c r="AQ1452" s="528"/>
      <c r="AR1452" s="523">
        <v>1</v>
      </c>
      <c r="AS1452" s="393"/>
      <c r="AT1452" s="600">
        <v>12.065149999999999</v>
      </c>
      <c r="AU1452" s="394">
        <v>7.7607100000000004</v>
      </c>
      <c r="AV1452" s="394">
        <v>6.73733</v>
      </c>
      <c r="AW1452" s="394"/>
      <c r="AX1452" s="394"/>
      <c r="AY1452" s="394">
        <v>0</v>
      </c>
      <c r="AZ1452" s="394">
        <v>0</v>
      </c>
      <c r="BA1452" s="394">
        <v>1.00349</v>
      </c>
      <c r="BB1452" s="394">
        <v>6.73733</v>
      </c>
      <c r="BC1452" s="394"/>
      <c r="BD1452" s="381" t="s">
        <v>167</v>
      </c>
      <c r="BE1452" s="408" t="s">
        <v>175</v>
      </c>
      <c r="BF1452" s="385"/>
      <c r="BG1452" s="475">
        <v>577</v>
      </c>
      <c r="BH1452" s="395"/>
      <c r="BI1452" s="395">
        <f t="shared" ref="BI1452" si="911">AT1452/AR1452</f>
        <v>12.065149999999999</v>
      </c>
    </row>
    <row r="1453" spans="1:61" s="358" customFormat="1" ht="19.2" x14ac:dyDescent="0.3">
      <c r="A1453" s="359" t="s">
        <v>1860</v>
      </c>
      <c r="B1453" s="602" t="s">
        <v>4300</v>
      </c>
      <c r="C1453" s="548" t="s">
        <v>4722</v>
      </c>
      <c r="D1453" s="360">
        <v>0.22</v>
      </c>
      <c r="E1453" s="528"/>
      <c r="F1453" s="523"/>
      <c r="G1453" s="393"/>
      <c r="H1453" s="394"/>
      <c r="I1453" s="394"/>
      <c r="J1453" s="394"/>
      <c r="K1453" s="394"/>
      <c r="L1453" s="394"/>
      <c r="M1453" s="394"/>
      <c r="N1453" s="394"/>
      <c r="O1453" s="394"/>
      <c r="P1453" s="394"/>
      <c r="Q1453" s="394"/>
      <c r="R1453" s="381"/>
      <c r="S1453" s="408"/>
      <c r="T1453" s="385"/>
      <c r="U1453" s="475"/>
      <c r="V1453" s="395"/>
      <c r="W1453" s="395"/>
      <c r="X1453" s="528"/>
      <c r="Y1453" s="523"/>
      <c r="Z1453" s="393"/>
      <c r="AA1453" s="394"/>
      <c r="AB1453" s="394"/>
      <c r="AC1453" s="394"/>
      <c r="AD1453" s="394"/>
      <c r="AE1453" s="394"/>
      <c r="AF1453" s="394"/>
      <c r="AG1453" s="394"/>
      <c r="AH1453" s="394"/>
      <c r="AI1453" s="394"/>
      <c r="AJ1453" s="394"/>
      <c r="AK1453" s="381"/>
      <c r="AL1453" s="408"/>
      <c r="AM1453" s="385"/>
      <c r="AN1453" s="475"/>
      <c r="AO1453" s="395"/>
      <c r="AP1453" s="395"/>
      <c r="AQ1453" s="528"/>
      <c r="AR1453" s="523">
        <v>1</v>
      </c>
      <c r="AS1453" s="393"/>
      <c r="AT1453" s="600">
        <v>12.065149999999999</v>
      </c>
      <c r="AU1453" s="394">
        <v>7.7607100000000004</v>
      </c>
      <c r="AV1453" s="394">
        <v>6.73733</v>
      </c>
      <c r="AW1453" s="394"/>
      <c r="AX1453" s="394"/>
      <c r="AY1453" s="394">
        <v>0</v>
      </c>
      <c r="AZ1453" s="394">
        <v>0</v>
      </c>
      <c r="BA1453" s="394">
        <v>1.00349</v>
      </c>
      <c r="BB1453" s="394">
        <v>6.73733</v>
      </c>
      <c r="BC1453" s="394"/>
      <c r="BD1453" s="381" t="s">
        <v>167</v>
      </c>
      <c r="BE1453" s="408" t="s">
        <v>175</v>
      </c>
      <c r="BF1453" s="385"/>
      <c r="BG1453" s="475">
        <v>578</v>
      </c>
      <c r="BH1453" s="395"/>
      <c r="BI1453" s="395">
        <f t="shared" si="879"/>
        <v>12.065149999999999</v>
      </c>
    </row>
    <row r="1454" spans="1:61" s="358" customFormat="1" ht="19.2" x14ac:dyDescent="0.3">
      <c r="A1454" s="359" t="s">
        <v>1861</v>
      </c>
      <c r="B1454" s="602" t="s">
        <v>4730</v>
      </c>
      <c r="C1454" s="548" t="s">
        <v>4729</v>
      </c>
      <c r="D1454" s="360">
        <v>0.22</v>
      </c>
      <c r="E1454" s="528"/>
      <c r="F1454" s="523"/>
      <c r="G1454" s="393"/>
      <c r="H1454" s="394"/>
      <c r="I1454" s="394"/>
      <c r="J1454" s="394"/>
      <c r="K1454" s="394"/>
      <c r="L1454" s="394"/>
      <c r="M1454" s="394"/>
      <c r="N1454" s="394"/>
      <c r="O1454" s="394"/>
      <c r="P1454" s="394"/>
      <c r="Q1454" s="394"/>
      <c r="R1454" s="381"/>
      <c r="S1454" s="408"/>
      <c r="T1454" s="385"/>
      <c r="U1454" s="475"/>
      <c r="V1454" s="395"/>
      <c r="W1454" s="395"/>
      <c r="X1454" s="528"/>
      <c r="Y1454" s="523"/>
      <c r="Z1454" s="393"/>
      <c r="AA1454" s="394"/>
      <c r="AB1454" s="394"/>
      <c r="AC1454" s="394"/>
      <c r="AD1454" s="394"/>
      <c r="AE1454" s="394"/>
      <c r="AF1454" s="394"/>
      <c r="AG1454" s="394"/>
      <c r="AH1454" s="394"/>
      <c r="AI1454" s="394"/>
      <c r="AJ1454" s="394"/>
      <c r="AK1454" s="381"/>
      <c r="AL1454" s="408"/>
      <c r="AM1454" s="385"/>
      <c r="AN1454" s="475"/>
      <c r="AO1454" s="395"/>
      <c r="AP1454" s="395"/>
      <c r="AQ1454" s="528"/>
      <c r="AR1454" s="523">
        <v>1</v>
      </c>
      <c r="AS1454" s="393"/>
      <c r="AT1454" s="600">
        <v>12.06514</v>
      </c>
      <c r="AU1454" s="394">
        <v>7.7607100000000004</v>
      </c>
      <c r="AV1454" s="394">
        <v>6.73733</v>
      </c>
      <c r="AW1454" s="394"/>
      <c r="AX1454" s="394"/>
      <c r="AY1454" s="394">
        <v>0</v>
      </c>
      <c r="AZ1454" s="394">
        <v>0</v>
      </c>
      <c r="BA1454" s="394">
        <v>1.00349</v>
      </c>
      <c r="BB1454" s="394">
        <v>6.73733</v>
      </c>
      <c r="BC1454" s="394"/>
      <c r="BD1454" s="381" t="s">
        <v>167</v>
      </c>
      <c r="BE1454" s="408" t="s">
        <v>175</v>
      </c>
      <c r="BF1454" s="385"/>
      <c r="BG1454" s="475">
        <v>579</v>
      </c>
      <c r="BH1454" s="395"/>
      <c r="BI1454" s="395">
        <f t="shared" ref="BI1454" si="912">AT1454/AR1454</f>
        <v>12.06514</v>
      </c>
    </row>
    <row r="1455" spans="1:61" s="358" customFormat="1" ht="19.2" x14ac:dyDescent="0.3">
      <c r="A1455" s="359" t="s">
        <v>1862</v>
      </c>
      <c r="B1455" s="602" t="s">
        <v>5382</v>
      </c>
      <c r="C1455" s="548" t="s">
        <v>5383</v>
      </c>
      <c r="D1455" s="360">
        <v>0.22</v>
      </c>
      <c r="E1455" s="528"/>
      <c r="F1455" s="523"/>
      <c r="G1455" s="393"/>
      <c r="H1455" s="394"/>
      <c r="I1455" s="394"/>
      <c r="J1455" s="394"/>
      <c r="K1455" s="394"/>
      <c r="L1455" s="394"/>
      <c r="M1455" s="394"/>
      <c r="N1455" s="394"/>
      <c r="O1455" s="394"/>
      <c r="P1455" s="394"/>
      <c r="Q1455" s="394"/>
      <c r="R1455" s="381"/>
      <c r="S1455" s="408"/>
      <c r="T1455" s="385"/>
      <c r="U1455" s="475"/>
      <c r="V1455" s="395"/>
      <c r="W1455" s="395"/>
      <c r="X1455" s="528"/>
      <c r="Y1455" s="523"/>
      <c r="Z1455" s="393"/>
      <c r="AA1455" s="394"/>
      <c r="AB1455" s="394"/>
      <c r="AC1455" s="394"/>
      <c r="AD1455" s="394"/>
      <c r="AE1455" s="394"/>
      <c r="AF1455" s="394"/>
      <c r="AG1455" s="394"/>
      <c r="AH1455" s="394"/>
      <c r="AI1455" s="394"/>
      <c r="AJ1455" s="394"/>
      <c r="AK1455" s="381"/>
      <c r="AL1455" s="408"/>
      <c r="AM1455" s="385"/>
      <c r="AN1455" s="475"/>
      <c r="AO1455" s="395"/>
      <c r="AP1455" s="395"/>
      <c r="AQ1455" s="528"/>
      <c r="AR1455" s="523">
        <v>1</v>
      </c>
      <c r="AS1455" s="393"/>
      <c r="AT1455" s="600">
        <v>7.72417</v>
      </c>
      <c r="AU1455" s="394">
        <v>6.8339299999999996</v>
      </c>
      <c r="AV1455" s="394">
        <v>6.73733</v>
      </c>
      <c r="AW1455" s="394"/>
      <c r="AX1455" s="394"/>
      <c r="AY1455" s="394">
        <v>0</v>
      </c>
      <c r="AZ1455" s="394">
        <v>0</v>
      </c>
      <c r="BA1455" s="394">
        <v>0.20754</v>
      </c>
      <c r="BB1455" s="394">
        <v>6.73733</v>
      </c>
      <c r="BC1455" s="394"/>
      <c r="BD1455" s="381" t="s">
        <v>167</v>
      </c>
      <c r="BE1455" s="408" t="s">
        <v>175</v>
      </c>
      <c r="BF1455" s="385"/>
      <c r="BG1455" s="475">
        <v>580</v>
      </c>
      <c r="BH1455" s="395"/>
      <c r="BI1455" s="395">
        <f t="shared" si="879"/>
        <v>7.72417</v>
      </c>
    </row>
    <row r="1456" spans="1:61" s="358" customFormat="1" ht="19.2" x14ac:dyDescent="0.3">
      <c r="A1456" s="359" t="s">
        <v>1863</v>
      </c>
      <c r="B1456" s="602" t="s">
        <v>5384</v>
      </c>
      <c r="C1456" s="548" t="s">
        <v>5385</v>
      </c>
      <c r="D1456" s="360">
        <v>0.22</v>
      </c>
      <c r="E1456" s="528"/>
      <c r="F1456" s="523"/>
      <c r="G1456" s="393"/>
      <c r="H1456" s="394"/>
      <c r="I1456" s="394"/>
      <c r="J1456" s="394"/>
      <c r="K1456" s="394"/>
      <c r="L1456" s="394"/>
      <c r="M1456" s="394"/>
      <c r="N1456" s="394"/>
      <c r="O1456" s="394"/>
      <c r="P1456" s="394"/>
      <c r="Q1456" s="394"/>
      <c r="R1456" s="381"/>
      <c r="S1456" s="408"/>
      <c r="T1456" s="385"/>
      <c r="U1456" s="475"/>
      <c r="V1456" s="395"/>
      <c r="W1456" s="395"/>
      <c r="X1456" s="528"/>
      <c r="Y1456" s="523"/>
      <c r="Z1456" s="393"/>
      <c r="AA1456" s="394"/>
      <c r="AB1456" s="394"/>
      <c r="AC1456" s="394"/>
      <c r="AD1456" s="394"/>
      <c r="AE1456" s="394"/>
      <c r="AF1456" s="394"/>
      <c r="AG1456" s="394"/>
      <c r="AH1456" s="394"/>
      <c r="AI1456" s="394"/>
      <c r="AJ1456" s="394"/>
      <c r="AK1456" s="381"/>
      <c r="AL1456" s="408"/>
      <c r="AM1456" s="385"/>
      <c r="AN1456" s="475"/>
      <c r="AO1456" s="395"/>
      <c r="AP1456" s="395"/>
      <c r="AQ1456" s="528"/>
      <c r="AR1456" s="523">
        <v>1</v>
      </c>
      <c r="AS1456" s="393"/>
      <c r="AT1456" s="600">
        <v>7.72417</v>
      </c>
      <c r="AU1456" s="394">
        <v>6.8339299999999996</v>
      </c>
      <c r="AV1456" s="394">
        <v>6.73733</v>
      </c>
      <c r="AW1456" s="394"/>
      <c r="AX1456" s="394"/>
      <c r="AY1456" s="394">
        <v>0</v>
      </c>
      <c r="AZ1456" s="394">
        <v>0</v>
      </c>
      <c r="BA1456" s="394">
        <v>0.20754</v>
      </c>
      <c r="BB1456" s="394">
        <v>6.73733</v>
      </c>
      <c r="BC1456" s="394"/>
      <c r="BD1456" s="381" t="s">
        <v>167</v>
      </c>
      <c r="BE1456" s="408" t="s">
        <v>175</v>
      </c>
      <c r="BF1456" s="385"/>
      <c r="BG1456" s="475">
        <v>581</v>
      </c>
      <c r="BH1456" s="395"/>
      <c r="BI1456" s="395">
        <f t="shared" ref="BI1456" si="913">AT1456/AR1456</f>
        <v>7.72417</v>
      </c>
    </row>
    <row r="1457" spans="1:61" s="358" customFormat="1" ht="19.2" x14ac:dyDescent="0.3">
      <c r="A1457" s="359" t="s">
        <v>1864</v>
      </c>
      <c r="B1457" s="602" t="s">
        <v>5386</v>
      </c>
      <c r="C1457" s="548" t="s">
        <v>5387</v>
      </c>
      <c r="D1457" s="360">
        <v>0.22</v>
      </c>
      <c r="E1457" s="528"/>
      <c r="F1457" s="523"/>
      <c r="G1457" s="393"/>
      <c r="H1457" s="394"/>
      <c r="I1457" s="394"/>
      <c r="J1457" s="394"/>
      <c r="K1457" s="394"/>
      <c r="L1457" s="394"/>
      <c r="M1457" s="394"/>
      <c r="N1457" s="394"/>
      <c r="O1457" s="394"/>
      <c r="P1457" s="394"/>
      <c r="Q1457" s="394"/>
      <c r="R1457" s="381"/>
      <c r="S1457" s="408"/>
      <c r="T1457" s="385"/>
      <c r="U1457" s="475"/>
      <c r="V1457" s="395"/>
      <c r="W1457" s="395"/>
      <c r="X1457" s="528"/>
      <c r="Y1457" s="523"/>
      <c r="Z1457" s="393"/>
      <c r="AA1457" s="394"/>
      <c r="AB1457" s="394"/>
      <c r="AC1457" s="394"/>
      <c r="AD1457" s="394"/>
      <c r="AE1457" s="394"/>
      <c r="AF1457" s="394"/>
      <c r="AG1457" s="394"/>
      <c r="AH1457" s="394"/>
      <c r="AI1457" s="394"/>
      <c r="AJ1457" s="394"/>
      <c r="AK1457" s="381"/>
      <c r="AL1457" s="408"/>
      <c r="AM1457" s="385"/>
      <c r="AN1457" s="475"/>
      <c r="AO1457" s="395"/>
      <c r="AP1457" s="395"/>
      <c r="AQ1457" s="528"/>
      <c r="AR1457" s="523">
        <v>1</v>
      </c>
      <c r="AS1457" s="393"/>
      <c r="AT1457" s="600">
        <v>7.7241600000000004</v>
      </c>
      <c r="AU1457" s="394">
        <v>6.83392</v>
      </c>
      <c r="AV1457" s="394">
        <v>6.73733</v>
      </c>
      <c r="AW1457" s="394"/>
      <c r="AX1457" s="394"/>
      <c r="AY1457" s="394">
        <v>0</v>
      </c>
      <c r="AZ1457" s="394">
        <v>0</v>
      </c>
      <c r="BA1457" s="394">
        <v>0.20754</v>
      </c>
      <c r="BB1457" s="394">
        <v>6.73733</v>
      </c>
      <c r="BC1457" s="394"/>
      <c r="BD1457" s="381" t="s">
        <v>167</v>
      </c>
      <c r="BE1457" s="408" t="s">
        <v>175</v>
      </c>
      <c r="BF1457" s="385"/>
      <c r="BG1457" s="475">
        <v>582</v>
      </c>
      <c r="BH1457" s="395"/>
      <c r="BI1457" s="395">
        <f t="shared" si="879"/>
        <v>7.7241600000000004</v>
      </c>
    </row>
    <row r="1458" spans="1:61" s="358" customFormat="1" ht="19.2" x14ac:dyDescent="0.3">
      <c r="A1458" s="359" t="s">
        <v>1865</v>
      </c>
      <c r="B1458" s="602" t="s">
        <v>3572</v>
      </c>
      <c r="C1458" s="548" t="s">
        <v>5388</v>
      </c>
      <c r="D1458" s="360">
        <v>0.22</v>
      </c>
      <c r="E1458" s="528"/>
      <c r="F1458" s="523"/>
      <c r="G1458" s="393"/>
      <c r="H1458" s="394"/>
      <c r="I1458" s="394"/>
      <c r="J1458" s="394"/>
      <c r="K1458" s="394"/>
      <c r="L1458" s="394"/>
      <c r="M1458" s="394"/>
      <c r="N1458" s="394"/>
      <c r="O1458" s="394"/>
      <c r="P1458" s="394"/>
      <c r="Q1458" s="394"/>
      <c r="R1458" s="381"/>
      <c r="S1458" s="408"/>
      <c r="T1458" s="385"/>
      <c r="U1458" s="475"/>
      <c r="V1458" s="395"/>
      <c r="W1458" s="395"/>
      <c r="X1458" s="528"/>
      <c r="Y1458" s="523"/>
      <c r="Z1458" s="393"/>
      <c r="AA1458" s="394"/>
      <c r="AB1458" s="394"/>
      <c r="AC1458" s="394"/>
      <c r="AD1458" s="394"/>
      <c r="AE1458" s="394"/>
      <c r="AF1458" s="394"/>
      <c r="AG1458" s="394"/>
      <c r="AH1458" s="394"/>
      <c r="AI1458" s="394"/>
      <c r="AJ1458" s="394"/>
      <c r="AK1458" s="381"/>
      <c r="AL1458" s="408"/>
      <c r="AM1458" s="385"/>
      <c r="AN1458" s="475"/>
      <c r="AO1458" s="395"/>
      <c r="AP1458" s="395"/>
      <c r="AQ1458" s="528"/>
      <c r="AR1458" s="523">
        <v>1</v>
      </c>
      <c r="AS1458" s="393"/>
      <c r="AT1458" s="600">
        <v>12.02623</v>
      </c>
      <c r="AU1458" s="394">
        <v>7.7217900000000004</v>
      </c>
      <c r="AV1458" s="394">
        <v>6.73733</v>
      </c>
      <c r="AW1458" s="394"/>
      <c r="AX1458" s="394"/>
      <c r="AY1458" s="394">
        <v>0</v>
      </c>
      <c r="AZ1458" s="394">
        <v>0</v>
      </c>
      <c r="BA1458" s="394">
        <v>1.00349</v>
      </c>
      <c r="BB1458" s="394">
        <v>6.73733</v>
      </c>
      <c r="BC1458" s="394"/>
      <c r="BD1458" s="381" t="s">
        <v>167</v>
      </c>
      <c r="BE1458" s="408" t="s">
        <v>175</v>
      </c>
      <c r="BF1458" s="385"/>
      <c r="BG1458" s="475">
        <v>583</v>
      </c>
      <c r="BH1458" s="395"/>
      <c r="BI1458" s="395">
        <f t="shared" ref="BI1458" si="914">AT1458/AR1458</f>
        <v>12.02623</v>
      </c>
    </row>
    <row r="1459" spans="1:61" s="358" customFormat="1" ht="19.2" x14ac:dyDescent="0.3">
      <c r="A1459" s="359" t="s">
        <v>1866</v>
      </c>
      <c r="B1459" s="602" t="s">
        <v>5389</v>
      </c>
      <c r="C1459" s="548" t="s">
        <v>5390</v>
      </c>
      <c r="D1459" s="360">
        <v>0.22</v>
      </c>
      <c r="E1459" s="528"/>
      <c r="F1459" s="523"/>
      <c r="G1459" s="393"/>
      <c r="H1459" s="394"/>
      <c r="I1459" s="394"/>
      <c r="J1459" s="394"/>
      <c r="K1459" s="394"/>
      <c r="L1459" s="394"/>
      <c r="M1459" s="394"/>
      <c r="N1459" s="394"/>
      <c r="O1459" s="394"/>
      <c r="P1459" s="394"/>
      <c r="Q1459" s="394"/>
      <c r="R1459" s="381"/>
      <c r="S1459" s="408"/>
      <c r="T1459" s="385"/>
      <c r="U1459" s="475"/>
      <c r="V1459" s="395"/>
      <c r="W1459" s="395"/>
      <c r="X1459" s="528"/>
      <c r="Y1459" s="523"/>
      <c r="Z1459" s="393"/>
      <c r="AA1459" s="394"/>
      <c r="AB1459" s="394"/>
      <c r="AC1459" s="394"/>
      <c r="AD1459" s="394"/>
      <c r="AE1459" s="394"/>
      <c r="AF1459" s="394"/>
      <c r="AG1459" s="394"/>
      <c r="AH1459" s="394"/>
      <c r="AI1459" s="394"/>
      <c r="AJ1459" s="394"/>
      <c r="AK1459" s="381"/>
      <c r="AL1459" s="408"/>
      <c r="AM1459" s="385"/>
      <c r="AN1459" s="475"/>
      <c r="AO1459" s="395"/>
      <c r="AP1459" s="395"/>
      <c r="AQ1459" s="528"/>
      <c r="AR1459" s="523">
        <v>1</v>
      </c>
      <c r="AS1459" s="393"/>
      <c r="AT1459" s="600">
        <v>7.7241600000000004</v>
      </c>
      <c r="AU1459" s="394">
        <v>6.83392</v>
      </c>
      <c r="AV1459" s="394">
        <v>6.73733</v>
      </c>
      <c r="AW1459" s="394"/>
      <c r="AX1459" s="394"/>
      <c r="AY1459" s="394">
        <v>0</v>
      </c>
      <c r="AZ1459" s="394">
        <v>0</v>
      </c>
      <c r="BA1459" s="394">
        <v>0.20754</v>
      </c>
      <c r="BB1459" s="394">
        <v>6.73733</v>
      </c>
      <c r="BC1459" s="394"/>
      <c r="BD1459" s="381" t="s">
        <v>167</v>
      </c>
      <c r="BE1459" s="408" t="s">
        <v>175</v>
      </c>
      <c r="BF1459" s="385"/>
      <c r="BG1459" s="475">
        <v>584</v>
      </c>
      <c r="BH1459" s="395"/>
      <c r="BI1459" s="395">
        <f t="shared" si="879"/>
        <v>7.7241600000000004</v>
      </c>
    </row>
    <row r="1460" spans="1:61" s="358" customFormat="1" ht="19.2" x14ac:dyDescent="0.3">
      <c r="A1460" s="359" t="s">
        <v>1867</v>
      </c>
      <c r="B1460" s="602" t="s">
        <v>5391</v>
      </c>
      <c r="C1460" s="548" t="s">
        <v>5392</v>
      </c>
      <c r="D1460" s="360">
        <v>0.22</v>
      </c>
      <c r="E1460" s="528"/>
      <c r="F1460" s="523"/>
      <c r="G1460" s="393"/>
      <c r="H1460" s="394"/>
      <c r="I1460" s="394"/>
      <c r="J1460" s="394"/>
      <c r="K1460" s="394"/>
      <c r="L1460" s="394"/>
      <c r="M1460" s="394"/>
      <c r="N1460" s="394"/>
      <c r="O1460" s="394"/>
      <c r="P1460" s="394"/>
      <c r="Q1460" s="394"/>
      <c r="R1460" s="381"/>
      <c r="S1460" s="408"/>
      <c r="T1460" s="385"/>
      <c r="U1460" s="475"/>
      <c r="V1460" s="395"/>
      <c r="W1460" s="395"/>
      <c r="X1460" s="528"/>
      <c r="Y1460" s="523"/>
      <c r="Z1460" s="393"/>
      <c r="AA1460" s="394"/>
      <c r="AB1460" s="394"/>
      <c r="AC1460" s="394"/>
      <c r="AD1460" s="394"/>
      <c r="AE1460" s="394"/>
      <c r="AF1460" s="394"/>
      <c r="AG1460" s="394"/>
      <c r="AH1460" s="394"/>
      <c r="AI1460" s="394"/>
      <c r="AJ1460" s="394"/>
      <c r="AK1460" s="381"/>
      <c r="AL1460" s="408"/>
      <c r="AM1460" s="385"/>
      <c r="AN1460" s="475"/>
      <c r="AO1460" s="395"/>
      <c r="AP1460" s="395"/>
      <c r="AQ1460" s="528"/>
      <c r="AR1460" s="523">
        <v>1</v>
      </c>
      <c r="AS1460" s="393"/>
      <c r="AT1460" s="600">
        <v>12.065149999999999</v>
      </c>
      <c r="AU1460" s="394">
        <v>7.7607100000000004</v>
      </c>
      <c r="AV1460" s="394">
        <v>6.73733</v>
      </c>
      <c r="AW1460" s="394"/>
      <c r="AX1460" s="394"/>
      <c r="AY1460" s="394">
        <v>0</v>
      </c>
      <c r="AZ1460" s="394">
        <v>0</v>
      </c>
      <c r="BA1460" s="394">
        <v>1.00349</v>
      </c>
      <c r="BB1460" s="394">
        <v>6.73733</v>
      </c>
      <c r="BC1460" s="394"/>
      <c r="BD1460" s="381" t="s">
        <v>167</v>
      </c>
      <c r="BE1460" s="408" t="s">
        <v>175</v>
      </c>
      <c r="BF1460" s="385"/>
      <c r="BG1460" s="475">
        <v>585</v>
      </c>
      <c r="BH1460" s="395"/>
      <c r="BI1460" s="395">
        <f t="shared" ref="BI1460" si="915">AT1460/AR1460</f>
        <v>12.065149999999999</v>
      </c>
    </row>
    <row r="1461" spans="1:61" s="358" customFormat="1" ht="19.2" x14ac:dyDescent="0.3">
      <c r="A1461" s="359" t="s">
        <v>1868</v>
      </c>
      <c r="B1461" s="602" t="s">
        <v>5393</v>
      </c>
      <c r="C1461" s="548" t="s">
        <v>5394</v>
      </c>
      <c r="D1461" s="360">
        <v>0.22</v>
      </c>
      <c r="E1461" s="528"/>
      <c r="F1461" s="523"/>
      <c r="G1461" s="393"/>
      <c r="H1461" s="394"/>
      <c r="I1461" s="394"/>
      <c r="J1461" s="394"/>
      <c r="K1461" s="394"/>
      <c r="L1461" s="394"/>
      <c r="M1461" s="394"/>
      <c r="N1461" s="394"/>
      <c r="O1461" s="394"/>
      <c r="P1461" s="394"/>
      <c r="Q1461" s="394"/>
      <c r="R1461" s="381"/>
      <c r="S1461" s="408"/>
      <c r="T1461" s="385"/>
      <c r="U1461" s="475"/>
      <c r="V1461" s="395"/>
      <c r="W1461" s="395"/>
      <c r="X1461" s="528"/>
      <c r="Y1461" s="523"/>
      <c r="Z1461" s="393"/>
      <c r="AA1461" s="394"/>
      <c r="AB1461" s="394"/>
      <c r="AC1461" s="394"/>
      <c r="AD1461" s="394"/>
      <c r="AE1461" s="394"/>
      <c r="AF1461" s="394"/>
      <c r="AG1461" s="394"/>
      <c r="AH1461" s="394"/>
      <c r="AI1461" s="394"/>
      <c r="AJ1461" s="394"/>
      <c r="AK1461" s="381"/>
      <c r="AL1461" s="408"/>
      <c r="AM1461" s="385"/>
      <c r="AN1461" s="475"/>
      <c r="AO1461" s="395"/>
      <c r="AP1461" s="395"/>
      <c r="AQ1461" s="528"/>
      <c r="AR1461" s="523">
        <v>1</v>
      </c>
      <c r="AS1461" s="393"/>
      <c r="AT1461" s="600">
        <v>7.72417</v>
      </c>
      <c r="AU1461" s="394">
        <v>6.8339299999999996</v>
      </c>
      <c r="AV1461" s="394">
        <v>6.73733</v>
      </c>
      <c r="AW1461" s="394"/>
      <c r="AX1461" s="394"/>
      <c r="AY1461" s="394">
        <v>0</v>
      </c>
      <c r="AZ1461" s="394">
        <v>0</v>
      </c>
      <c r="BA1461" s="394">
        <v>0.20754</v>
      </c>
      <c r="BB1461" s="394">
        <v>6.73733</v>
      </c>
      <c r="BC1461" s="394"/>
      <c r="BD1461" s="381" t="s">
        <v>167</v>
      </c>
      <c r="BE1461" s="408" t="s">
        <v>175</v>
      </c>
      <c r="BF1461" s="385"/>
      <c r="BG1461" s="475">
        <v>586</v>
      </c>
      <c r="BH1461" s="395"/>
      <c r="BI1461" s="395">
        <f t="shared" si="879"/>
        <v>7.72417</v>
      </c>
    </row>
    <row r="1462" spans="1:61" s="358" customFormat="1" ht="19.2" x14ac:dyDescent="0.3">
      <c r="A1462" s="359" t="s">
        <v>1869</v>
      </c>
      <c r="B1462" s="602" t="s">
        <v>5447</v>
      </c>
      <c r="C1462" s="609" t="s">
        <v>5449</v>
      </c>
      <c r="D1462" s="360">
        <v>0.22</v>
      </c>
      <c r="E1462" s="528"/>
      <c r="F1462" s="523"/>
      <c r="G1462" s="393"/>
      <c r="H1462" s="394"/>
      <c r="I1462" s="394"/>
      <c r="J1462" s="394"/>
      <c r="K1462" s="394"/>
      <c r="L1462" s="394"/>
      <c r="M1462" s="394"/>
      <c r="N1462" s="394"/>
      <c r="O1462" s="394"/>
      <c r="P1462" s="394"/>
      <c r="Q1462" s="394"/>
      <c r="R1462" s="381"/>
      <c r="S1462" s="408"/>
      <c r="T1462" s="385"/>
      <c r="U1462" s="475"/>
      <c r="V1462" s="395"/>
      <c r="W1462" s="395"/>
      <c r="X1462" s="528"/>
      <c r="Y1462" s="523"/>
      <c r="Z1462" s="393"/>
      <c r="AA1462" s="394"/>
      <c r="AB1462" s="394"/>
      <c r="AC1462" s="394"/>
      <c r="AD1462" s="394"/>
      <c r="AE1462" s="394"/>
      <c r="AF1462" s="394"/>
      <c r="AG1462" s="394"/>
      <c r="AH1462" s="394"/>
      <c r="AI1462" s="394"/>
      <c r="AJ1462" s="394"/>
      <c r="AK1462" s="381"/>
      <c r="AL1462" s="408"/>
      <c r="AM1462" s="385"/>
      <c r="AN1462" s="475"/>
      <c r="AO1462" s="395"/>
      <c r="AP1462" s="395"/>
      <c r="AQ1462" s="528"/>
      <c r="AR1462" s="523">
        <v>1</v>
      </c>
      <c r="AS1462" s="393"/>
      <c r="AT1462" s="600">
        <v>7.72417</v>
      </c>
      <c r="AU1462" s="394">
        <v>6.8339299999999996</v>
      </c>
      <c r="AV1462" s="394">
        <v>6.73733</v>
      </c>
      <c r="AW1462" s="394"/>
      <c r="AX1462" s="394"/>
      <c r="AY1462" s="394">
        <v>0</v>
      </c>
      <c r="AZ1462" s="394">
        <v>0</v>
      </c>
      <c r="BA1462" s="394">
        <v>0.20754</v>
      </c>
      <c r="BB1462" s="394">
        <v>6.73733</v>
      </c>
      <c r="BC1462" s="394"/>
      <c r="BD1462" s="381" t="s">
        <v>167</v>
      </c>
      <c r="BE1462" s="408" t="s">
        <v>175</v>
      </c>
      <c r="BF1462" s="385"/>
      <c r="BG1462" s="475">
        <v>587</v>
      </c>
      <c r="BH1462" s="395"/>
      <c r="BI1462" s="395">
        <f t="shared" ref="BI1462" si="916">AT1462/AR1462</f>
        <v>7.72417</v>
      </c>
    </row>
    <row r="1463" spans="1:61" s="358" customFormat="1" ht="19.2" x14ac:dyDescent="0.3">
      <c r="A1463" s="359" t="s">
        <v>1870</v>
      </c>
      <c r="B1463" s="602" t="s">
        <v>5448</v>
      </c>
      <c r="C1463" s="609" t="s">
        <v>5450</v>
      </c>
      <c r="D1463" s="360">
        <v>0.22</v>
      </c>
      <c r="E1463" s="528"/>
      <c r="F1463" s="523"/>
      <c r="G1463" s="393"/>
      <c r="H1463" s="394"/>
      <c r="I1463" s="394"/>
      <c r="J1463" s="394"/>
      <c r="K1463" s="394"/>
      <c r="L1463" s="394"/>
      <c r="M1463" s="394"/>
      <c r="N1463" s="394"/>
      <c r="O1463" s="394"/>
      <c r="P1463" s="394"/>
      <c r="Q1463" s="394"/>
      <c r="R1463" s="381"/>
      <c r="S1463" s="408"/>
      <c r="T1463" s="385"/>
      <c r="U1463" s="475"/>
      <c r="V1463" s="395"/>
      <c r="W1463" s="395"/>
      <c r="X1463" s="528"/>
      <c r="Y1463" s="523"/>
      <c r="Z1463" s="393"/>
      <c r="AA1463" s="394"/>
      <c r="AB1463" s="394"/>
      <c r="AC1463" s="394"/>
      <c r="AD1463" s="394"/>
      <c r="AE1463" s="394"/>
      <c r="AF1463" s="394"/>
      <c r="AG1463" s="394"/>
      <c r="AH1463" s="394"/>
      <c r="AI1463" s="394"/>
      <c r="AJ1463" s="394"/>
      <c r="AK1463" s="381"/>
      <c r="AL1463" s="408"/>
      <c r="AM1463" s="385"/>
      <c r="AN1463" s="475"/>
      <c r="AO1463" s="395"/>
      <c r="AP1463" s="395"/>
      <c r="AQ1463" s="528"/>
      <c r="AR1463" s="523">
        <v>1</v>
      </c>
      <c r="AS1463" s="393"/>
      <c r="AT1463" s="600">
        <v>7.7241600000000004</v>
      </c>
      <c r="AU1463" s="394">
        <v>6.83392</v>
      </c>
      <c r="AV1463" s="394">
        <v>6.73733</v>
      </c>
      <c r="AW1463" s="394"/>
      <c r="AX1463" s="394"/>
      <c r="AY1463" s="394">
        <v>0</v>
      </c>
      <c r="AZ1463" s="394">
        <v>0</v>
      </c>
      <c r="BA1463" s="394">
        <v>0.20754</v>
      </c>
      <c r="BB1463" s="394">
        <v>6.73733</v>
      </c>
      <c r="BC1463" s="394"/>
      <c r="BD1463" s="381" t="s">
        <v>167</v>
      </c>
      <c r="BE1463" s="408" t="s">
        <v>175</v>
      </c>
      <c r="BF1463" s="385"/>
      <c r="BG1463" s="475">
        <v>588</v>
      </c>
      <c r="BH1463" s="395"/>
      <c r="BI1463" s="395">
        <f t="shared" si="879"/>
        <v>7.7241600000000004</v>
      </c>
    </row>
    <row r="1464" spans="1:61" s="358" customFormat="1" ht="19.2" x14ac:dyDescent="0.3">
      <c r="A1464" s="359" t="s">
        <v>1871</v>
      </c>
      <c r="B1464" s="602" t="s">
        <v>5451</v>
      </c>
      <c r="C1464" s="548" t="s">
        <v>5452</v>
      </c>
      <c r="D1464" s="360">
        <v>0.22</v>
      </c>
      <c r="E1464" s="528"/>
      <c r="F1464" s="523"/>
      <c r="G1464" s="393"/>
      <c r="H1464" s="394"/>
      <c r="I1464" s="394"/>
      <c r="J1464" s="394"/>
      <c r="K1464" s="394"/>
      <c r="L1464" s="394"/>
      <c r="M1464" s="394"/>
      <c r="N1464" s="394"/>
      <c r="O1464" s="394"/>
      <c r="P1464" s="394"/>
      <c r="Q1464" s="394"/>
      <c r="R1464" s="381"/>
      <c r="S1464" s="408"/>
      <c r="T1464" s="385"/>
      <c r="U1464" s="475"/>
      <c r="V1464" s="395"/>
      <c r="W1464" s="395"/>
      <c r="X1464" s="528"/>
      <c r="Y1464" s="523"/>
      <c r="Z1464" s="393"/>
      <c r="AA1464" s="394"/>
      <c r="AB1464" s="394"/>
      <c r="AC1464" s="394"/>
      <c r="AD1464" s="394"/>
      <c r="AE1464" s="394"/>
      <c r="AF1464" s="394"/>
      <c r="AG1464" s="394"/>
      <c r="AH1464" s="394"/>
      <c r="AI1464" s="394"/>
      <c r="AJ1464" s="394"/>
      <c r="AK1464" s="381"/>
      <c r="AL1464" s="408"/>
      <c r="AM1464" s="385"/>
      <c r="AN1464" s="475"/>
      <c r="AO1464" s="395"/>
      <c r="AP1464" s="395"/>
      <c r="AQ1464" s="528"/>
      <c r="AR1464" s="523">
        <v>1</v>
      </c>
      <c r="AS1464" s="393"/>
      <c r="AT1464" s="600">
        <v>11.96233</v>
      </c>
      <c r="AU1464" s="394">
        <v>7.6578900000000001</v>
      </c>
      <c r="AV1464" s="394">
        <v>6.73733</v>
      </c>
      <c r="AW1464" s="394"/>
      <c r="AX1464" s="394"/>
      <c r="AY1464" s="394">
        <v>0</v>
      </c>
      <c r="AZ1464" s="394">
        <v>0</v>
      </c>
      <c r="BA1464" s="394">
        <v>1.00349</v>
      </c>
      <c r="BB1464" s="394">
        <v>6.73733</v>
      </c>
      <c r="BC1464" s="394"/>
      <c r="BD1464" s="381" t="s">
        <v>167</v>
      </c>
      <c r="BE1464" s="408" t="s">
        <v>175</v>
      </c>
      <c r="BF1464" s="385"/>
      <c r="BG1464" s="475">
        <v>589</v>
      </c>
      <c r="BH1464" s="395"/>
      <c r="BI1464" s="395">
        <f t="shared" ref="BI1464:BI1543" si="917">AT1464/AR1464</f>
        <v>11.96233</v>
      </c>
    </row>
    <row r="1465" spans="1:61" s="358" customFormat="1" ht="19.2" x14ac:dyDescent="0.3">
      <c r="A1465" s="359" t="s">
        <v>1872</v>
      </c>
      <c r="B1465" s="602" t="s">
        <v>5453</v>
      </c>
      <c r="C1465" s="548" t="s">
        <v>5454</v>
      </c>
      <c r="D1465" s="360">
        <v>0.22</v>
      </c>
      <c r="E1465" s="528"/>
      <c r="F1465" s="523"/>
      <c r="G1465" s="393"/>
      <c r="H1465" s="394"/>
      <c r="I1465" s="394"/>
      <c r="J1465" s="394"/>
      <c r="K1465" s="394"/>
      <c r="L1465" s="394"/>
      <c r="M1465" s="394"/>
      <c r="N1465" s="394"/>
      <c r="O1465" s="394"/>
      <c r="P1465" s="394"/>
      <c r="Q1465" s="394"/>
      <c r="R1465" s="381"/>
      <c r="S1465" s="408"/>
      <c r="T1465" s="385"/>
      <c r="U1465" s="475"/>
      <c r="V1465" s="395"/>
      <c r="W1465" s="395"/>
      <c r="X1465" s="528"/>
      <c r="Y1465" s="523"/>
      <c r="Z1465" s="393"/>
      <c r="AA1465" s="394"/>
      <c r="AB1465" s="394"/>
      <c r="AC1465" s="394"/>
      <c r="AD1465" s="394"/>
      <c r="AE1465" s="394"/>
      <c r="AF1465" s="394"/>
      <c r="AG1465" s="394"/>
      <c r="AH1465" s="394"/>
      <c r="AI1465" s="394"/>
      <c r="AJ1465" s="394"/>
      <c r="AK1465" s="381"/>
      <c r="AL1465" s="408"/>
      <c r="AM1465" s="385"/>
      <c r="AN1465" s="475"/>
      <c r="AO1465" s="395"/>
      <c r="AP1465" s="395"/>
      <c r="AQ1465" s="528"/>
      <c r="AR1465" s="523">
        <v>1</v>
      </c>
      <c r="AS1465" s="393"/>
      <c r="AT1465" s="600">
        <v>11.96233</v>
      </c>
      <c r="AU1465" s="394">
        <v>7.6578900000000001</v>
      </c>
      <c r="AV1465" s="394">
        <v>6.73733</v>
      </c>
      <c r="AW1465" s="394"/>
      <c r="AX1465" s="394"/>
      <c r="AY1465" s="394">
        <v>0</v>
      </c>
      <c r="AZ1465" s="394">
        <v>0</v>
      </c>
      <c r="BA1465" s="394">
        <v>1.00349</v>
      </c>
      <c r="BB1465" s="394">
        <v>6.73733</v>
      </c>
      <c r="BC1465" s="394"/>
      <c r="BD1465" s="381" t="s">
        <v>167</v>
      </c>
      <c r="BE1465" s="408" t="s">
        <v>175</v>
      </c>
      <c r="BF1465" s="385"/>
      <c r="BG1465" s="475">
        <v>590</v>
      </c>
      <c r="BH1465" s="395"/>
      <c r="BI1465" s="395">
        <f t="shared" si="917"/>
        <v>11.96233</v>
      </c>
    </row>
    <row r="1466" spans="1:61" s="358" customFormat="1" ht="19.2" x14ac:dyDescent="0.3">
      <c r="A1466" s="359" t="s">
        <v>1873</v>
      </c>
      <c r="B1466" s="602" t="s">
        <v>5334</v>
      </c>
      <c r="C1466" s="548" t="s">
        <v>5455</v>
      </c>
      <c r="D1466" s="360">
        <v>0.22</v>
      </c>
      <c r="E1466" s="528"/>
      <c r="F1466" s="523"/>
      <c r="G1466" s="393"/>
      <c r="H1466" s="394"/>
      <c r="I1466" s="394"/>
      <c r="J1466" s="394"/>
      <c r="K1466" s="394"/>
      <c r="L1466" s="394"/>
      <c r="M1466" s="394"/>
      <c r="N1466" s="394"/>
      <c r="O1466" s="394"/>
      <c r="P1466" s="394"/>
      <c r="Q1466" s="394"/>
      <c r="R1466" s="381"/>
      <c r="S1466" s="408"/>
      <c r="T1466" s="385"/>
      <c r="U1466" s="475"/>
      <c r="V1466" s="395"/>
      <c r="W1466" s="395"/>
      <c r="X1466" s="528"/>
      <c r="Y1466" s="523"/>
      <c r="Z1466" s="393"/>
      <c r="AA1466" s="394"/>
      <c r="AB1466" s="394"/>
      <c r="AC1466" s="394"/>
      <c r="AD1466" s="394"/>
      <c r="AE1466" s="394"/>
      <c r="AF1466" s="394"/>
      <c r="AG1466" s="394"/>
      <c r="AH1466" s="394"/>
      <c r="AI1466" s="394"/>
      <c r="AJ1466" s="394"/>
      <c r="AK1466" s="381"/>
      <c r="AL1466" s="408"/>
      <c r="AM1466" s="385"/>
      <c r="AN1466" s="475"/>
      <c r="AO1466" s="395"/>
      <c r="AP1466" s="395"/>
      <c r="AQ1466" s="528"/>
      <c r="AR1466" s="523">
        <v>1</v>
      </c>
      <c r="AS1466" s="393"/>
      <c r="AT1466" s="600">
        <v>11.962350000000001</v>
      </c>
      <c r="AU1466" s="394">
        <v>7.6579100000000002</v>
      </c>
      <c r="AV1466" s="394">
        <v>6.73733</v>
      </c>
      <c r="AW1466" s="394"/>
      <c r="AX1466" s="394"/>
      <c r="AY1466" s="394">
        <v>0</v>
      </c>
      <c r="AZ1466" s="394">
        <v>0</v>
      </c>
      <c r="BA1466" s="394">
        <v>1.00349</v>
      </c>
      <c r="BB1466" s="394">
        <v>6.73733</v>
      </c>
      <c r="BC1466" s="394"/>
      <c r="BD1466" s="381" t="s">
        <v>167</v>
      </c>
      <c r="BE1466" s="408" t="s">
        <v>175</v>
      </c>
      <c r="BF1466" s="385"/>
      <c r="BG1466" s="475">
        <v>591</v>
      </c>
      <c r="BH1466" s="395"/>
      <c r="BI1466" s="395">
        <f t="shared" ref="BI1466" si="918">AT1466/AR1466</f>
        <v>11.962350000000001</v>
      </c>
    </row>
    <row r="1467" spans="1:61" s="358" customFormat="1" ht="19.2" x14ac:dyDescent="0.3">
      <c r="A1467" s="359" t="s">
        <v>1874</v>
      </c>
      <c r="B1467" s="602" t="s">
        <v>5456</v>
      </c>
      <c r="C1467" s="548" t="s">
        <v>5457</v>
      </c>
      <c r="D1467" s="360">
        <v>0.22</v>
      </c>
      <c r="E1467" s="528"/>
      <c r="F1467" s="523"/>
      <c r="G1467" s="393"/>
      <c r="H1467" s="394"/>
      <c r="I1467" s="394"/>
      <c r="J1467" s="394"/>
      <c r="K1467" s="394"/>
      <c r="L1467" s="394"/>
      <c r="M1467" s="394"/>
      <c r="N1467" s="394"/>
      <c r="O1467" s="394"/>
      <c r="P1467" s="394"/>
      <c r="Q1467" s="394"/>
      <c r="R1467" s="381"/>
      <c r="S1467" s="408"/>
      <c r="T1467" s="385"/>
      <c r="U1467" s="475"/>
      <c r="V1467" s="395"/>
      <c r="W1467" s="395"/>
      <c r="X1467" s="528"/>
      <c r="Y1467" s="523"/>
      <c r="Z1467" s="393"/>
      <c r="AA1467" s="394"/>
      <c r="AB1467" s="394"/>
      <c r="AC1467" s="394"/>
      <c r="AD1467" s="394"/>
      <c r="AE1467" s="394"/>
      <c r="AF1467" s="394"/>
      <c r="AG1467" s="394"/>
      <c r="AH1467" s="394"/>
      <c r="AI1467" s="394"/>
      <c r="AJ1467" s="394"/>
      <c r="AK1467" s="381"/>
      <c r="AL1467" s="408"/>
      <c r="AM1467" s="385"/>
      <c r="AN1467" s="475"/>
      <c r="AO1467" s="395"/>
      <c r="AP1467" s="395"/>
      <c r="AQ1467" s="528"/>
      <c r="AR1467" s="523">
        <v>1</v>
      </c>
      <c r="AS1467" s="393"/>
      <c r="AT1467" s="600">
        <v>7.7241600000000004</v>
      </c>
      <c r="AU1467" s="394">
        <v>6.83392</v>
      </c>
      <c r="AV1467" s="394">
        <v>6.73733</v>
      </c>
      <c r="AW1467" s="394"/>
      <c r="AX1467" s="394"/>
      <c r="AY1467" s="394">
        <v>0</v>
      </c>
      <c r="AZ1467" s="394">
        <v>0</v>
      </c>
      <c r="BA1467" s="394">
        <v>0.20754</v>
      </c>
      <c r="BB1467" s="394">
        <v>6.73733</v>
      </c>
      <c r="BC1467" s="394"/>
      <c r="BD1467" s="381" t="s">
        <v>167</v>
      </c>
      <c r="BE1467" s="408" t="s">
        <v>175</v>
      </c>
      <c r="BF1467" s="385"/>
      <c r="BG1467" s="475">
        <v>592</v>
      </c>
      <c r="BH1467" s="395"/>
      <c r="BI1467" s="395">
        <f t="shared" si="917"/>
        <v>7.7241600000000004</v>
      </c>
    </row>
    <row r="1468" spans="1:61" s="358" customFormat="1" ht="19.2" x14ac:dyDescent="0.3">
      <c r="A1468" s="359" t="s">
        <v>1875</v>
      </c>
      <c r="B1468" s="602" t="s">
        <v>5458</v>
      </c>
      <c r="C1468" s="548" t="s">
        <v>5459</v>
      </c>
      <c r="D1468" s="360">
        <v>0.22</v>
      </c>
      <c r="E1468" s="528"/>
      <c r="F1468" s="523"/>
      <c r="G1468" s="393"/>
      <c r="H1468" s="394"/>
      <c r="I1468" s="394"/>
      <c r="J1468" s="394"/>
      <c r="K1468" s="394"/>
      <c r="L1468" s="394"/>
      <c r="M1468" s="394"/>
      <c r="N1468" s="394"/>
      <c r="O1468" s="394"/>
      <c r="P1468" s="394"/>
      <c r="Q1468" s="394"/>
      <c r="R1468" s="381"/>
      <c r="S1468" s="408"/>
      <c r="T1468" s="385"/>
      <c r="U1468" s="475"/>
      <c r="V1468" s="395"/>
      <c r="W1468" s="395"/>
      <c r="X1468" s="528"/>
      <c r="Y1468" s="523"/>
      <c r="Z1468" s="393"/>
      <c r="AA1468" s="394"/>
      <c r="AB1468" s="394"/>
      <c r="AC1468" s="394"/>
      <c r="AD1468" s="394"/>
      <c r="AE1468" s="394"/>
      <c r="AF1468" s="394"/>
      <c r="AG1468" s="394"/>
      <c r="AH1468" s="394"/>
      <c r="AI1468" s="394"/>
      <c r="AJ1468" s="394"/>
      <c r="AK1468" s="381"/>
      <c r="AL1468" s="408"/>
      <c r="AM1468" s="385"/>
      <c r="AN1468" s="475"/>
      <c r="AO1468" s="395"/>
      <c r="AP1468" s="395"/>
      <c r="AQ1468" s="528"/>
      <c r="AR1468" s="523">
        <v>1</v>
      </c>
      <c r="AS1468" s="393"/>
      <c r="AT1468" s="600">
        <v>7.7241600000000004</v>
      </c>
      <c r="AU1468" s="394">
        <v>6.83392</v>
      </c>
      <c r="AV1468" s="394">
        <v>6.73733</v>
      </c>
      <c r="AW1468" s="394"/>
      <c r="AX1468" s="394"/>
      <c r="AY1468" s="394">
        <v>0</v>
      </c>
      <c r="AZ1468" s="394">
        <v>0</v>
      </c>
      <c r="BA1468" s="394">
        <v>0.20754</v>
      </c>
      <c r="BB1468" s="394">
        <v>6.73733</v>
      </c>
      <c r="BC1468" s="394"/>
      <c r="BD1468" s="381" t="s">
        <v>167</v>
      </c>
      <c r="BE1468" s="408" t="s">
        <v>175</v>
      </c>
      <c r="BF1468" s="385"/>
      <c r="BG1468" s="475">
        <v>593</v>
      </c>
      <c r="BH1468" s="395"/>
      <c r="BI1468" s="395">
        <f t="shared" ref="BI1468" si="919">AT1468/AR1468</f>
        <v>7.7241600000000004</v>
      </c>
    </row>
    <row r="1469" spans="1:61" s="358" customFormat="1" ht="19.2" x14ac:dyDescent="0.3">
      <c r="A1469" s="359" t="s">
        <v>1876</v>
      </c>
      <c r="B1469" s="602" t="s">
        <v>5460</v>
      </c>
      <c r="C1469" s="548" t="s">
        <v>5461</v>
      </c>
      <c r="D1469" s="360">
        <v>0.22</v>
      </c>
      <c r="E1469" s="528"/>
      <c r="F1469" s="523"/>
      <c r="G1469" s="393"/>
      <c r="H1469" s="394"/>
      <c r="I1469" s="394"/>
      <c r="J1469" s="394"/>
      <c r="K1469" s="394"/>
      <c r="L1469" s="394"/>
      <c r="M1469" s="394"/>
      <c r="N1469" s="394"/>
      <c r="O1469" s="394"/>
      <c r="P1469" s="394"/>
      <c r="Q1469" s="394"/>
      <c r="R1469" s="381"/>
      <c r="S1469" s="408"/>
      <c r="T1469" s="385"/>
      <c r="U1469" s="475"/>
      <c r="V1469" s="395"/>
      <c r="W1469" s="395"/>
      <c r="X1469" s="528"/>
      <c r="Y1469" s="523"/>
      <c r="Z1469" s="393"/>
      <c r="AA1469" s="394"/>
      <c r="AB1469" s="394"/>
      <c r="AC1469" s="394"/>
      <c r="AD1469" s="394"/>
      <c r="AE1469" s="394"/>
      <c r="AF1469" s="394"/>
      <c r="AG1469" s="394"/>
      <c r="AH1469" s="394"/>
      <c r="AI1469" s="394"/>
      <c r="AJ1469" s="394"/>
      <c r="AK1469" s="381"/>
      <c r="AL1469" s="408"/>
      <c r="AM1469" s="385"/>
      <c r="AN1469" s="475"/>
      <c r="AO1469" s="395"/>
      <c r="AP1469" s="395"/>
      <c r="AQ1469" s="528"/>
      <c r="AR1469" s="523">
        <v>1</v>
      </c>
      <c r="AS1469" s="393"/>
      <c r="AT1469" s="600">
        <v>7.7241600000000004</v>
      </c>
      <c r="AU1469" s="394">
        <v>6.83392</v>
      </c>
      <c r="AV1469" s="394">
        <v>6.73733</v>
      </c>
      <c r="AW1469" s="394"/>
      <c r="AX1469" s="394"/>
      <c r="AY1469" s="394">
        <v>0</v>
      </c>
      <c r="AZ1469" s="394">
        <v>0</v>
      </c>
      <c r="BA1469" s="394">
        <v>0.20754</v>
      </c>
      <c r="BB1469" s="394">
        <v>6.73733</v>
      </c>
      <c r="BC1469" s="394"/>
      <c r="BD1469" s="381" t="s">
        <v>167</v>
      </c>
      <c r="BE1469" s="408" t="s">
        <v>175</v>
      </c>
      <c r="BF1469" s="385"/>
      <c r="BG1469" s="475">
        <v>594</v>
      </c>
      <c r="BH1469" s="395"/>
      <c r="BI1469" s="395">
        <f t="shared" si="917"/>
        <v>7.7241600000000004</v>
      </c>
    </row>
    <row r="1470" spans="1:61" s="358" customFormat="1" ht="19.2" x14ac:dyDescent="0.3">
      <c r="A1470" s="359" t="s">
        <v>1877</v>
      </c>
      <c r="B1470" s="602" t="s">
        <v>5462</v>
      </c>
      <c r="C1470" s="548" t="s">
        <v>5463</v>
      </c>
      <c r="D1470" s="360">
        <v>0.22</v>
      </c>
      <c r="E1470" s="528"/>
      <c r="F1470" s="523"/>
      <c r="G1470" s="393"/>
      <c r="H1470" s="394"/>
      <c r="I1470" s="394"/>
      <c r="J1470" s="394"/>
      <c r="K1470" s="394"/>
      <c r="L1470" s="394"/>
      <c r="M1470" s="394"/>
      <c r="N1470" s="394"/>
      <c r="O1470" s="394"/>
      <c r="P1470" s="394"/>
      <c r="Q1470" s="394"/>
      <c r="R1470" s="381"/>
      <c r="S1470" s="408"/>
      <c r="T1470" s="385"/>
      <c r="U1470" s="475"/>
      <c r="V1470" s="395"/>
      <c r="W1470" s="395"/>
      <c r="X1470" s="528"/>
      <c r="Y1470" s="523"/>
      <c r="Z1470" s="393"/>
      <c r="AA1470" s="394"/>
      <c r="AB1470" s="394"/>
      <c r="AC1470" s="394"/>
      <c r="AD1470" s="394"/>
      <c r="AE1470" s="394"/>
      <c r="AF1470" s="394"/>
      <c r="AG1470" s="394"/>
      <c r="AH1470" s="394"/>
      <c r="AI1470" s="394"/>
      <c r="AJ1470" s="394"/>
      <c r="AK1470" s="381"/>
      <c r="AL1470" s="408"/>
      <c r="AM1470" s="385"/>
      <c r="AN1470" s="475"/>
      <c r="AO1470" s="395"/>
      <c r="AP1470" s="395"/>
      <c r="AQ1470" s="528"/>
      <c r="AR1470" s="523">
        <v>1</v>
      </c>
      <c r="AS1470" s="393"/>
      <c r="AT1470" s="600">
        <v>11.962350000000001</v>
      </c>
      <c r="AU1470" s="394">
        <v>7.6579100000000002</v>
      </c>
      <c r="AV1470" s="394">
        <v>6.73733</v>
      </c>
      <c r="AW1470" s="394"/>
      <c r="AX1470" s="394"/>
      <c r="AY1470" s="394">
        <v>0</v>
      </c>
      <c r="AZ1470" s="394">
        <v>0</v>
      </c>
      <c r="BA1470" s="394">
        <v>1.00349</v>
      </c>
      <c r="BB1470" s="394">
        <v>6.73733</v>
      </c>
      <c r="BC1470" s="394"/>
      <c r="BD1470" s="381" t="s">
        <v>167</v>
      </c>
      <c r="BE1470" s="408" t="s">
        <v>175</v>
      </c>
      <c r="BF1470" s="385"/>
      <c r="BG1470" s="475">
        <v>595</v>
      </c>
      <c r="BH1470" s="395"/>
      <c r="BI1470" s="395">
        <f t="shared" ref="BI1470" si="920">AT1470/AR1470</f>
        <v>11.962350000000001</v>
      </c>
    </row>
    <row r="1471" spans="1:61" s="358" customFormat="1" ht="19.2" x14ac:dyDescent="0.3">
      <c r="A1471" s="359" t="s">
        <v>1878</v>
      </c>
      <c r="B1471" s="602" t="s">
        <v>5464</v>
      </c>
      <c r="C1471" s="548" t="s">
        <v>5465</v>
      </c>
      <c r="D1471" s="360">
        <v>0.22</v>
      </c>
      <c r="E1471" s="528"/>
      <c r="F1471" s="523"/>
      <c r="G1471" s="393"/>
      <c r="H1471" s="394"/>
      <c r="I1471" s="394"/>
      <c r="J1471" s="394"/>
      <c r="K1471" s="394"/>
      <c r="L1471" s="394"/>
      <c r="M1471" s="394"/>
      <c r="N1471" s="394"/>
      <c r="O1471" s="394"/>
      <c r="P1471" s="394"/>
      <c r="Q1471" s="394"/>
      <c r="R1471" s="381"/>
      <c r="S1471" s="408"/>
      <c r="T1471" s="385"/>
      <c r="U1471" s="475"/>
      <c r="V1471" s="395"/>
      <c r="W1471" s="395"/>
      <c r="X1471" s="528"/>
      <c r="Y1471" s="523"/>
      <c r="Z1471" s="393"/>
      <c r="AA1471" s="394"/>
      <c r="AB1471" s="394"/>
      <c r="AC1471" s="394"/>
      <c r="AD1471" s="394"/>
      <c r="AE1471" s="394"/>
      <c r="AF1471" s="394"/>
      <c r="AG1471" s="394"/>
      <c r="AH1471" s="394"/>
      <c r="AI1471" s="394"/>
      <c r="AJ1471" s="394"/>
      <c r="AK1471" s="381"/>
      <c r="AL1471" s="408"/>
      <c r="AM1471" s="385"/>
      <c r="AN1471" s="475"/>
      <c r="AO1471" s="395"/>
      <c r="AP1471" s="395"/>
      <c r="AQ1471" s="528"/>
      <c r="AR1471" s="523">
        <v>1</v>
      </c>
      <c r="AS1471" s="393"/>
      <c r="AT1471" s="600">
        <v>11.962339999999999</v>
      </c>
      <c r="AU1471" s="394">
        <v>7.6578999999999997</v>
      </c>
      <c r="AV1471" s="394">
        <v>6.73733</v>
      </c>
      <c r="AW1471" s="394"/>
      <c r="AX1471" s="394"/>
      <c r="AY1471" s="394">
        <v>0</v>
      </c>
      <c r="AZ1471" s="394">
        <v>0</v>
      </c>
      <c r="BA1471" s="394">
        <v>1.00349</v>
      </c>
      <c r="BB1471" s="394">
        <v>6.73733</v>
      </c>
      <c r="BC1471" s="394"/>
      <c r="BD1471" s="381" t="s">
        <v>167</v>
      </c>
      <c r="BE1471" s="408" t="s">
        <v>175</v>
      </c>
      <c r="BF1471" s="385"/>
      <c r="BG1471" s="475">
        <v>596</v>
      </c>
      <c r="BH1471" s="395"/>
      <c r="BI1471" s="395">
        <f t="shared" si="917"/>
        <v>11.962339999999999</v>
      </c>
    </row>
    <row r="1472" spans="1:61" s="358" customFormat="1" ht="19.2" x14ac:dyDescent="0.3">
      <c r="A1472" s="359" t="s">
        <v>1879</v>
      </c>
      <c r="B1472" s="602" t="s">
        <v>5466</v>
      </c>
      <c r="C1472" s="548" t="s">
        <v>5467</v>
      </c>
      <c r="D1472" s="360">
        <v>0.22</v>
      </c>
      <c r="E1472" s="528"/>
      <c r="F1472" s="523"/>
      <c r="G1472" s="393"/>
      <c r="H1472" s="394"/>
      <c r="I1472" s="394"/>
      <c r="J1472" s="394"/>
      <c r="K1472" s="394"/>
      <c r="L1472" s="394"/>
      <c r="M1472" s="394"/>
      <c r="N1472" s="394"/>
      <c r="O1472" s="394"/>
      <c r="P1472" s="394"/>
      <c r="Q1472" s="394"/>
      <c r="R1472" s="381"/>
      <c r="S1472" s="408"/>
      <c r="T1472" s="385"/>
      <c r="U1472" s="475"/>
      <c r="V1472" s="395"/>
      <c r="W1472" s="395"/>
      <c r="X1472" s="528"/>
      <c r="Y1472" s="523"/>
      <c r="Z1472" s="393"/>
      <c r="AA1472" s="394"/>
      <c r="AB1472" s="394"/>
      <c r="AC1472" s="394"/>
      <c r="AD1472" s="394"/>
      <c r="AE1472" s="394"/>
      <c r="AF1472" s="394"/>
      <c r="AG1472" s="394"/>
      <c r="AH1472" s="394"/>
      <c r="AI1472" s="394"/>
      <c r="AJ1472" s="394"/>
      <c r="AK1472" s="381"/>
      <c r="AL1472" s="408"/>
      <c r="AM1472" s="385"/>
      <c r="AN1472" s="475"/>
      <c r="AO1472" s="395"/>
      <c r="AP1472" s="395"/>
      <c r="AQ1472" s="528"/>
      <c r="AR1472" s="523">
        <v>1</v>
      </c>
      <c r="AS1472" s="393"/>
      <c r="AT1472" s="600">
        <v>7.7241600000000004</v>
      </c>
      <c r="AU1472" s="394">
        <v>6.83392</v>
      </c>
      <c r="AV1472" s="394">
        <v>6.73733</v>
      </c>
      <c r="AW1472" s="394"/>
      <c r="AX1472" s="394"/>
      <c r="AY1472" s="394">
        <v>0</v>
      </c>
      <c r="AZ1472" s="394">
        <v>0</v>
      </c>
      <c r="BA1472" s="394">
        <v>0.20754</v>
      </c>
      <c r="BB1472" s="394">
        <v>6.73733</v>
      </c>
      <c r="BC1472" s="394"/>
      <c r="BD1472" s="381" t="s">
        <v>167</v>
      </c>
      <c r="BE1472" s="408" t="s">
        <v>175</v>
      </c>
      <c r="BF1472" s="385"/>
      <c r="BG1472" s="475">
        <v>597</v>
      </c>
      <c r="BH1472" s="395"/>
      <c r="BI1472" s="395">
        <f t="shared" ref="BI1472" si="921">AT1472/AR1472</f>
        <v>7.7241600000000004</v>
      </c>
    </row>
    <row r="1473" spans="1:61" s="358" customFormat="1" ht="19.2" x14ac:dyDescent="0.3">
      <c r="A1473" s="359" t="s">
        <v>1880</v>
      </c>
      <c r="B1473" s="602" t="s">
        <v>5468</v>
      </c>
      <c r="C1473" s="548" t="s">
        <v>5469</v>
      </c>
      <c r="D1473" s="360">
        <v>0.22</v>
      </c>
      <c r="E1473" s="528"/>
      <c r="F1473" s="523"/>
      <c r="G1473" s="393"/>
      <c r="H1473" s="394"/>
      <c r="I1473" s="394"/>
      <c r="J1473" s="394"/>
      <c r="K1473" s="394"/>
      <c r="L1473" s="394"/>
      <c r="M1473" s="394"/>
      <c r="N1473" s="394"/>
      <c r="O1473" s="394"/>
      <c r="P1473" s="394"/>
      <c r="Q1473" s="394"/>
      <c r="R1473" s="381"/>
      <c r="S1473" s="408"/>
      <c r="T1473" s="385"/>
      <c r="U1473" s="475"/>
      <c r="V1473" s="395"/>
      <c r="W1473" s="395"/>
      <c r="X1473" s="528"/>
      <c r="Y1473" s="523"/>
      <c r="Z1473" s="393"/>
      <c r="AA1473" s="394"/>
      <c r="AB1473" s="394"/>
      <c r="AC1473" s="394"/>
      <c r="AD1473" s="394"/>
      <c r="AE1473" s="394"/>
      <c r="AF1473" s="394"/>
      <c r="AG1473" s="394"/>
      <c r="AH1473" s="394"/>
      <c r="AI1473" s="394"/>
      <c r="AJ1473" s="394"/>
      <c r="AK1473" s="381"/>
      <c r="AL1473" s="408"/>
      <c r="AM1473" s="385"/>
      <c r="AN1473" s="475"/>
      <c r="AO1473" s="395"/>
      <c r="AP1473" s="395"/>
      <c r="AQ1473" s="528"/>
      <c r="AR1473" s="523">
        <v>1</v>
      </c>
      <c r="AS1473" s="393"/>
      <c r="AT1473" s="600">
        <v>11.962350000000001</v>
      </c>
      <c r="AU1473" s="394">
        <v>7.6579100000000002</v>
      </c>
      <c r="AV1473" s="394">
        <v>6.73733</v>
      </c>
      <c r="AW1473" s="394"/>
      <c r="AX1473" s="394"/>
      <c r="AY1473" s="394">
        <v>0</v>
      </c>
      <c r="AZ1473" s="394">
        <v>0</v>
      </c>
      <c r="BA1473" s="394">
        <v>1.00349</v>
      </c>
      <c r="BB1473" s="394">
        <v>6.73733</v>
      </c>
      <c r="BC1473" s="394"/>
      <c r="BD1473" s="381" t="s">
        <v>167</v>
      </c>
      <c r="BE1473" s="408" t="s">
        <v>175</v>
      </c>
      <c r="BF1473" s="385"/>
      <c r="BG1473" s="475">
        <v>598</v>
      </c>
      <c r="BH1473" s="395"/>
      <c r="BI1473" s="395">
        <f t="shared" si="917"/>
        <v>11.962350000000001</v>
      </c>
    </row>
    <row r="1474" spans="1:61" s="358" customFormat="1" ht="19.2" x14ac:dyDescent="0.3">
      <c r="A1474" s="359" t="s">
        <v>1881</v>
      </c>
      <c r="B1474" s="602" t="s">
        <v>5470</v>
      </c>
      <c r="C1474" s="548" t="s">
        <v>5471</v>
      </c>
      <c r="D1474" s="360">
        <v>0.22</v>
      </c>
      <c r="E1474" s="528"/>
      <c r="F1474" s="523"/>
      <c r="G1474" s="393"/>
      <c r="H1474" s="394"/>
      <c r="I1474" s="394"/>
      <c r="J1474" s="394"/>
      <c r="K1474" s="394"/>
      <c r="L1474" s="394"/>
      <c r="M1474" s="394"/>
      <c r="N1474" s="394"/>
      <c r="O1474" s="394"/>
      <c r="P1474" s="394"/>
      <c r="Q1474" s="394"/>
      <c r="R1474" s="381"/>
      <c r="S1474" s="408"/>
      <c r="T1474" s="385"/>
      <c r="U1474" s="475"/>
      <c r="V1474" s="395"/>
      <c r="W1474" s="395"/>
      <c r="X1474" s="528"/>
      <c r="Y1474" s="523"/>
      <c r="Z1474" s="393"/>
      <c r="AA1474" s="394"/>
      <c r="AB1474" s="394"/>
      <c r="AC1474" s="394"/>
      <c r="AD1474" s="394"/>
      <c r="AE1474" s="394"/>
      <c r="AF1474" s="394"/>
      <c r="AG1474" s="394"/>
      <c r="AH1474" s="394"/>
      <c r="AI1474" s="394"/>
      <c r="AJ1474" s="394"/>
      <c r="AK1474" s="381"/>
      <c r="AL1474" s="408"/>
      <c r="AM1474" s="385"/>
      <c r="AN1474" s="475"/>
      <c r="AO1474" s="395"/>
      <c r="AP1474" s="395"/>
      <c r="AQ1474" s="528"/>
      <c r="AR1474" s="523">
        <v>1</v>
      </c>
      <c r="AS1474" s="393"/>
      <c r="AT1474" s="600">
        <v>11.96232</v>
      </c>
      <c r="AU1474" s="394">
        <v>7.6578799999999996</v>
      </c>
      <c r="AV1474" s="394">
        <v>6.73733</v>
      </c>
      <c r="AW1474" s="394"/>
      <c r="AX1474" s="394"/>
      <c r="AY1474" s="394">
        <v>0</v>
      </c>
      <c r="AZ1474" s="394">
        <v>0</v>
      </c>
      <c r="BA1474" s="394">
        <v>1.00349</v>
      </c>
      <c r="BB1474" s="394">
        <v>6.73733</v>
      </c>
      <c r="BC1474" s="394"/>
      <c r="BD1474" s="381" t="s">
        <v>167</v>
      </c>
      <c r="BE1474" s="408" t="s">
        <v>175</v>
      </c>
      <c r="BF1474" s="385"/>
      <c r="BG1474" s="475">
        <v>599</v>
      </c>
      <c r="BH1474" s="395"/>
      <c r="BI1474" s="395">
        <f t="shared" si="917"/>
        <v>11.96232</v>
      </c>
    </row>
    <row r="1475" spans="1:61" s="358" customFormat="1" ht="19.2" x14ac:dyDescent="0.3">
      <c r="A1475" s="359" t="s">
        <v>1882</v>
      </c>
      <c r="B1475" s="602" t="s">
        <v>5472</v>
      </c>
      <c r="C1475" s="548" t="s">
        <v>5473</v>
      </c>
      <c r="D1475" s="360">
        <v>0.22</v>
      </c>
      <c r="E1475" s="528"/>
      <c r="F1475" s="523"/>
      <c r="G1475" s="393"/>
      <c r="H1475" s="394"/>
      <c r="I1475" s="394"/>
      <c r="J1475" s="394"/>
      <c r="K1475" s="394"/>
      <c r="L1475" s="394"/>
      <c r="M1475" s="394"/>
      <c r="N1475" s="394"/>
      <c r="O1475" s="394"/>
      <c r="P1475" s="394"/>
      <c r="Q1475" s="394"/>
      <c r="R1475" s="381"/>
      <c r="S1475" s="408"/>
      <c r="T1475" s="385"/>
      <c r="U1475" s="475"/>
      <c r="V1475" s="395"/>
      <c r="W1475" s="395"/>
      <c r="X1475" s="528"/>
      <c r="Y1475" s="523"/>
      <c r="Z1475" s="393"/>
      <c r="AA1475" s="394"/>
      <c r="AB1475" s="394"/>
      <c r="AC1475" s="394"/>
      <c r="AD1475" s="394"/>
      <c r="AE1475" s="394"/>
      <c r="AF1475" s="394"/>
      <c r="AG1475" s="394"/>
      <c r="AH1475" s="394"/>
      <c r="AI1475" s="394"/>
      <c r="AJ1475" s="394"/>
      <c r="AK1475" s="381"/>
      <c r="AL1475" s="408"/>
      <c r="AM1475" s="385"/>
      <c r="AN1475" s="475"/>
      <c r="AO1475" s="395"/>
      <c r="AP1475" s="395"/>
      <c r="AQ1475" s="528"/>
      <c r="AR1475" s="523">
        <v>1</v>
      </c>
      <c r="AS1475" s="393"/>
      <c r="AT1475" s="600">
        <v>11.96236</v>
      </c>
      <c r="AU1475" s="394">
        <v>7.6579199999999998</v>
      </c>
      <c r="AV1475" s="394">
        <v>6.73733</v>
      </c>
      <c r="AW1475" s="394"/>
      <c r="AX1475" s="394"/>
      <c r="AY1475" s="394">
        <v>0</v>
      </c>
      <c r="AZ1475" s="394">
        <v>0</v>
      </c>
      <c r="BA1475" s="394">
        <v>1.00349</v>
      </c>
      <c r="BB1475" s="394">
        <v>6.73733</v>
      </c>
      <c r="BC1475" s="394"/>
      <c r="BD1475" s="381" t="s">
        <v>167</v>
      </c>
      <c r="BE1475" s="408" t="s">
        <v>175</v>
      </c>
      <c r="BF1475" s="385"/>
      <c r="BG1475" s="475">
        <v>600</v>
      </c>
      <c r="BH1475" s="395"/>
      <c r="BI1475" s="395">
        <f t="shared" ref="BI1475" si="922">AT1475/AR1475</f>
        <v>11.96236</v>
      </c>
    </row>
    <row r="1476" spans="1:61" s="358" customFormat="1" ht="19.2" x14ac:dyDescent="0.3">
      <c r="A1476" s="359" t="s">
        <v>1883</v>
      </c>
      <c r="B1476" s="602" t="s">
        <v>5474</v>
      </c>
      <c r="C1476" s="548" t="s">
        <v>5475</v>
      </c>
      <c r="D1476" s="360">
        <v>0.22</v>
      </c>
      <c r="E1476" s="528"/>
      <c r="F1476" s="523"/>
      <c r="G1476" s="393"/>
      <c r="H1476" s="394"/>
      <c r="I1476" s="394"/>
      <c r="J1476" s="394"/>
      <c r="K1476" s="394"/>
      <c r="L1476" s="394"/>
      <c r="M1476" s="394"/>
      <c r="N1476" s="394"/>
      <c r="O1476" s="394"/>
      <c r="P1476" s="394"/>
      <c r="Q1476" s="394"/>
      <c r="R1476" s="381"/>
      <c r="S1476" s="408"/>
      <c r="T1476" s="385"/>
      <c r="U1476" s="475"/>
      <c r="V1476" s="395"/>
      <c r="W1476" s="395"/>
      <c r="X1476" s="528"/>
      <c r="Y1476" s="523"/>
      <c r="Z1476" s="393"/>
      <c r="AA1476" s="394"/>
      <c r="AB1476" s="394"/>
      <c r="AC1476" s="394"/>
      <c r="AD1476" s="394"/>
      <c r="AE1476" s="394"/>
      <c r="AF1476" s="394"/>
      <c r="AG1476" s="394"/>
      <c r="AH1476" s="394"/>
      <c r="AI1476" s="394"/>
      <c r="AJ1476" s="394"/>
      <c r="AK1476" s="381"/>
      <c r="AL1476" s="408"/>
      <c r="AM1476" s="385"/>
      <c r="AN1476" s="475"/>
      <c r="AO1476" s="395"/>
      <c r="AP1476" s="395"/>
      <c r="AQ1476" s="528"/>
      <c r="AR1476" s="523">
        <v>1</v>
      </c>
      <c r="AS1476" s="393"/>
      <c r="AT1476" s="600">
        <v>11.96236</v>
      </c>
      <c r="AU1476" s="394">
        <v>7.6579199999999998</v>
      </c>
      <c r="AV1476" s="394">
        <v>6.73733</v>
      </c>
      <c r="AW1476" s="394"/>
      <c r="AX1476" s="394"/>
      <c r="AY1476" s="394">
        <v>0</v>
      </c>
      <c r="AZ1476" s="394">
        <v>0</v>
      </c>
      <c r="BA1476" s="394">
        <v>1.00349</v>
      </c>
      <c r="BB1476" s="394">
        <v>6.73733</v>
      </c>
      <c r="BC1476" s="394"/>
      <c r="BD1476" s="381" t="s">
        <v>167</v>
      </c>
      <c r="BE1476" s="408" t="s">
        <v>175</v>
      </c>
      <c r="BF1476" s="385"/>
      <c r="BG1476" s="475">
        <v>601</v>
      </c>
      <c r="BH1476" s="395"/>
      <c r="BI1476" s="395">
        <f t="shared" si="917"/>
        <v>11.96236</v>
      </c>
    </row>
    <row r="1477" spans="1:61" s="358" customFormat="1" ht="19.2" x14ac:dyDescent="0.3">
      <c r="A1477" s="359" t="s">
        <v>1884</v>
      </c>
      <c r="B1477" s="602" t="s">
        <v>4745</v>
      </c>
      <c r="C1477" s="548" t="s">
        <v>4744</v>
      </c>
      <c r="D1477" s="360">
        <v>0.22</v>
      </c>
      <c r="E1477" s="528"/>
      <c r="F1477" s="523"/>
      <c r="G1477" s="393"/>
      <c r="H1477" s="394"/>
      <c r="I1477" s="394"/>
      <c r="J1477" s="394"/>
      <c r="K1477" s="394"/>
      <c r="L1477" s="394"/>
      <c r="M1477" s="394"/>
      <c r="N1477" s="394"/>
      <c r="O1477" s="394"/>
      <c r="P1477" s="394"/>
      <c r="Q1477" s="394"/>
      <c r="R1477" s="381"/>
      <c r="S1477" s="408"/>
      <c r="T1477" s="385"/>
      <c r="U1477" s="475"/>
      <c r="V1477" s="395"/>
      <c r="W1477" s="395"/>
      <c r="X1477" s="528"/>
      <c r="Y1477" s="523"/>
      <c r="Z1477" s="393"/>
      <c r="AA1477" s="394"/>
      <c r="AB1477" s="394"/>
      <c r="AC1477" s="394"/>
      <c r="AD1477" s="394"/>
      <c r="AE1477" s="394"/>
      <c r="AF1477" s="394"/>
      <c r="AG1477" s="394"/>
      <c r="AH1477" s="394"/>
      <c r="AI1477" s="394"/>
      <c r="AJ1477" s="394"/>
      <c r="AK1477" s="381"/>
      <c r="AL1477" s="408"/>
      <c r="AM1477" s="385"/>
      <c r="AN1477" s="475"/>
      <c r="AO1477" s="395"/>
      <c r="AP1477" s="395"/>
      <c r="AQ1477" s="528"/>
      <c r="AR1477" s="523">
        <v>1</v>
      </c>
      <c r="AS1477" s="393"/>
      <c r="AT1477" s="600">
        <v>11.964510000000001</v>
      </c>
      <c r="AU1477" s="394">
        <v>7.6600700000000002</v>
      </c>
      <c r="AV1477" s="394">
        <v>6.73733</v>
      </c>
      <c r="AW1477" s="394"/>
      <c r="AX1477" s="394"/>
      <c r="AY1477" s="394">
        <v>0</v>
      </c>
      <c r="AZ1477" s="394">
        <v>0</v>
      </c>
      <c r="BA1477" s="394">
        <v>1.00349</v>
      </c>
      <c r="BB1477" s="394">
        <v>6.73733</v>
      </c>
      <c r="BC1477" s="394"/>
      <c r="BD1477" s="381" t="s">
        <v>167</v>
      </c>
      <c r="BE1477" s="408" t="s">
        <v>175</v>
      </c>
      <c r="BF1477" s="385"/>
      <c r="BG1477" s="475">
        <v>602</v>
      </c>
      <c r="BH1477" s="395"/>
      <c r="BI1477" s="395">
        <f t="shared" ref="BI1477" si="923">AT1477/AR1477</f>
        <v>11.964510000000001</v>
      </c>
    </row>
    <row r="1478" spans="1:61" s="358" customFormat="1" ht="19.2" x14ac:dyDescent="0.3">
      <c r="A1478" s="359" t="s">
        <v>1885</v>
      </c>
      <c r="B1478" s="602" t="s">
        <v>4779</v>
      </c>
      <c r="C1478" s="548" t="s">
        <v>5476</v>
      </c>
      <c r="D1478" s="360">
        <v>0.22</v>
      </c>
      <c r="E1478" s="528"/>
      <c r="F1478" s="523"/>
      <c r="G1478" s="393"/>
      <c r="H1478" s="394"/>
      <c r="I1478" s="394"/>
      <c r="J1478" s="394"/>
      <c r="K1478" s="394"/>
      <c r="L1478" s="394"/>
      <c r="M1478" s="394"/>
      <c r="N1478" s="394"/>
      <c r="O1478" s="394"/>
      <c r="P1478" s="394"/>
      <c r="Q1478" s="394"/>
      <c r="R1478" s="381"/>
      <c r="S1478" s="408"/>
      <c r="T1478" s="385"/>
      <c r="U1478" s="475"/>
      <c r="V1478" s="395"/>
      <c r="W1478" s="395"/>
      <c r="X1478" s="528"/>
      <c r="Y1478" s="523"/>
      <c r="Z1478" s="393"/>
      <c r="AA1478" s="394"/>
      <c r="AB1478" s="394"/>
      <c r="AC1478" s="394"/>
      <c r="AD1478" s="394"/>
      <c r="AE1478" s="394"/>
      <c r="AF1478" s="394"/>
      <c r="AG1478" s="394"/>
      <c r="AH1478" s="394"/>
      <c r="AI1478" s="394"/>
      <c r="AJ1478" s="394"/>
      <c r="AK1478" s="381"/>
      <c r="AL1478" s="408"/>
      <c r="AM1478" s="385"/>
      <c r="AN1478" s="475"/>
      <c r="AO1478" s="395"/>
      <c r="AP1478" s="395"/>
      <c r="AQ1478" s="528"/>
      <c r="AR1478" s="523">
        <v>1</v>
      </c>
      <c r="AS1478" s="393"/>
      <c r="AT1478" s="600">
        <v>11.962350000000001</v>
      </c>
      <c r="AU1478" s="394">
        <v>7.6579100000000002</v>
      </c>
      <c r="AV1478" s="394">
        <v>6.73733</v>
      </c>
      <c r="AW1478" s="394"/>
      <c r="AX1478" s="394"/>
      <c r="AY1478" s="394">
        <v>0</v>
      </c>
      <c r="AZ1478" s="394">
        <v>0</v>
      </c>
      <c r="BA1478" s="394">
        <v>1.00349</v>
      </c>
      <c r="BB1478" s="394">
        <v>6.73733</v>
      </c>
      <c r="BC1478" s="394"/>
      <c r="BD1478" s="381" t="s">
        <v>167</v>
      </c>
      <c r="BE1478" s="408" t="s">
        <v>175</v>
      </c>
      <c r="BF1478" s="385"/>
      <c r="BG1478" s="475">
        <v>603</v>
      </c>
      <c r="BH1478" s="395"/>
      <c r="BI1478" s="395">
        <f t="shared" si="917"/>
        <v>11.962350000000001</v>
      </c>
    </row>
    <row r="1479" spans="1:61" s="358" customFormat="1" ht="19.2" x14ac:dyDescent="0.3">
      <c r="A1479" s="359" t="s">
        <v>1886</v>
      </c>
      <c r="B1479" s="602" t="s">
        <v>5477</v>
      </c>
      <c r="C1479" s="548" t="s">
        <v>5478</v>
      </c>
      <c r="D1479" s="360">
        <v>0.22</v>
      </c>
      <c r="E1479" s="528"/>
      <c r="F1479" s="523"/>
      <c r="G1479" s="393"/>
      <c r="H1479" s="394"/>
      <c r="I1479" s="394"/>
      <c r="J1479" s="394"/>
      <c r="K1479" s="394"/>
      <c r="L1479" s="394"/>
      <c r="M1479" s="394"/>
      <c r="N1479" s="394"/>
      <c r="O1479" s="394"/>
      <c r="P1479" s="394"/>
      <c r="Q1479" s="394"/>
      <c r="R1479" s="381"/>
      <c r="S1479" s="408"/>
      <c r="T1479" s="385"/>
      <c r="U1479" s="475"/>
      <c r="V1479" s="395"/>
      <c r="W1479" s="395"/>
      <c r="X1479" s="528"/>
      <c r="Y1479" s="523"/>
      <c r="Z1479" s="393"/>
      <c r="AA1479" s="394"/>
      <c r="AB1479" s="394"/>
      <c r="AC1479" s="394"/>
      <c r="AD1479" s="394"/>
      <c r="AE1479" s="394"/>
      <c r="AF1479" s="394"/>
      <c r="AG1479" s="394"/>
      <c r="AH1479" s="394"/>
      <c r="AI1479" s="394"/>
      <c r="AJ1479" s="394"/>
      <c r="AK1479" s="381"/>
      <c r="AL1479" s="408"/>
      <c r="AM1479" s="385"/>
      <c r="AN1479" s="475"/>
      <c r="AO1479" s="395"/>
      <c r="AP1479" s="395"/>
      <c r="AQ1479" s="528"/>
      <c r="AR1479" s="523">
        <v>1</v>
      </c>
      <c r="AS1479" s="393"/>
      <c r="AT1479" s="600">
        <v>11.962339999999999</v>
      </c>
      <c r="AU1479" s="394">
        <v>7.6578999999999997</v>
      </c>
      <c r="AV1479" s="394">
        <v>6.73733</v>
      </c>
      <c r="AW1479" s="394"/>
      <c r="AX1479" s="394"/>
      <c r="AY1479" s="394">
        <v>0</v>
      </c>
      <c r="AZ1479" s="394">
        <v>0</v>
      </c>
      <c r="BA1479" s="394">
        <v>1.00349</v>
      </c>
      <c r="BB1479" s="394">
        <v>6.73733</v>
      </c>
      <c r="BC1479" s="394"/>
      <c r="BD1479" s="381" t="s">
        <v>167</v>
      </c>
      <c r="BE1479" s="408" t="s">
        <v>175</v>
      </c>
      <c r="BF1479" s="385"/>
      <c r="BG1479" s="475">
        <v>604</v>
      </c>
      <c r="BH1479" s="395"/>
      <c r="BI1479" s="395">
        <f t="shared" ref="BI1479" si="924">AT1479/AR1479</f>
        <v>11.962339999999999</v>
      </c>
    </row>
    <row r="1480" spans="1:61" s="358" customFormat="1" ht="19.2" x14ac:dyDescent="0.3">
      <c r="A1480" s="359" t="s">
        <v>1887</v>
      </c>
      <c r="B1480" s="602" t="s">
        <v>5479</v>
      </c>
      <c r="C1480" s="548" t="s">
        <v>5480</v>
      </c>
      <c r="D1480" s="360">
        <v>0.22</v>
      </c>
      <c r="E1480" s="528"/>
      <c r="F1480" s="523"/>
      <c r="G1480" s="393"/>
      <c r="H1480" s="394"/>
      <c r="I1480" s="394"/>
      <c r="J1480" s="394"/>
      <c r="K1480" s="394"/>
      <c r="L1480" s="394"/>
      <c r="M1480" s="394"/>
      <c r="N1480" s="394"/>
      <c r="O1480" s="394"/>
      <c r="P1480" s="394"/>
      <c r="Q1480" s="394"/>
      <c r="R1480" s="381"/>
      <c r="S1480" s="408"/>
      <c r="T1480" s="385"/>
      <c r="U1480" s="475"/>
      <c r="V1480" s="395"/>
      <c r="W1480" s="395"/>
      <c r="X1480" s="528"/>
      <c r="Y1480" s="523"/>
      <c r="Z1480" s="393"/>
      <c r="AA1480" s="394"/>
      <c r="AB1480" s="394"/>
      <c r="AC1480" s="394"/>
      <c r="AD1480" s="394"/>
      <c r="AE1480" s="394"/>
      <c r="AF1480" s="394"/>
      <c r="AG1480" s="394"/>
      <c r="AH1480" s="394"/>
      <c r="AI1480" s="394"/>
      <c r="AJ1480" s="394"/>
      <c r="AK1480" s="381"/>
      <c r="AL1480" s="408"/>
      <c r="AM1480" s="385"/>
      <c r="AN1480" s="475"/>
      <c r="AO1480" s="395"/>
      <c r="AP1480" s="395"/>
      <c r="AQ1480" s="528"/>
      <c r="AR1480" s="523">
        <v>1</v>
      </c>
      <c r="AS1480" s="393"/>
      <c r="AT1480" s="600">
        <v>11.962339999999999</v>
      </c>
      <c r="AU1480" s="394">
        <v>7.6578999999999997</v>
      </c>
      <c r="AV1480" s="394">
        <v>6.73733</v>
      </c>
      <c r="AW1480" s="394"/>
      <c r="AX1480" s="394"/>
      <c r="AY1480" s="394">
        <v>0</v>
      </c>
      <c r="AZ1480" s="394">
        <v>0</v>
      </c>
      <c r="BA1480" s="394">
        <v>1.00349</v>
      </c>
      <c r="BB1480" s="394">
        <v>6.73733</v>
      </c>
      <c r="BC1480" s="394"/>
      <c r="BD1480" s="381" t="s">
        <v>167</v>
      </c>
      <c r="BE1480" s="408" t="s">
        <v>175</v>
      </c>
      <c r="BF1480" s="385"/>
      <c r="BG1480" s="475">
        <v>605</v>
      </c>
      <c r="BH1480" s="395"/>
      <c r="BI1480" s="395">
        <f t="shared" si="917"/>
        <v>11.962339999999999</v>
      </c>
    </row>
    <row r="1481" spans="1:61" s="358" customFormat="1" ht="19.2" x14ac:dyDescent="0.3">
      <c r="A1481" s="359" t="s">
        <v>1888</v>
      </c>
      <c r="B1481" s="602" t="s">
        <v>5481</v>
      </c>
      <c r="C1481" s="548" t="s">
        <v>5482</v>
      </c>
      <c r="D1481" s="360">
        <v>0.22</v>
      </c>
      <c r="E1481" s="528"/>
      <c r="F1481" s="523"/>
      <c r="G1481" s="393"/>
      <c r="H1481" s="394"/>
      <c r="I1481" s="394"/>
      <c r="J1481" s="394"/>
      <c r="K1481" s="394"/>
      <c r="L1481" s="394"/>
      <c r="M1481" s="394"/>
      <c r="N1481" s="394"/>
      <c r="O1481" s="394"/>
      <c r="P1481" s="394"/>
      <c r="Q1481" s="394"/>
      <c r="R1481" s="381"/>
      <c r="S1481" s="408"/>
      <c r="T1481" s="385"/>
      <c r="U1481" s="475"/>
      <c r="V1481" s="395"/>
      <c r="W1481" s="395"/>
      <c r="X1481" s="528"/>
      <c r="Y1481" s="523"/>
      <c r="Z1481" s="393"/>
      <c r="AA1481" s="394"/>
      <c r="AB1481" s="394"/>
      <c r="AC1481" s="394"/>
      <c r="AD1481" s="394"/>
      <c r="AE1481" s="394"/>
      <c r="AF1481" s="394"/>
      <c r="AG1481" s="394"/>
      <c r="AH1481" s="394"/>
      <c r="AI1481" s="394"/>
      <c r="AJ1481" s="394"/>
      <c r="AK1481" s="381"/>
      <c r="AL1481" s="408"/>
      <c r="AM1481" s="385"/>
      <c r="AN1481" s="475"/>
      <c r="AO1481" s="395"/>
      <c r="AP1481" s="395"/>
      <c r="AQ1481" s="528"/>
      <c r="AR1481" s="523">
        <v>1</v>
      </c>
      <c r="AS1481" s="393"/>
      <c r="AT1481" s="600">
        <v>11.96232</v>
      </c>
      <c r="AU1481" s="394">
        <v>7.6578799999999996</v>
      </c>
      <c r="AV1481" s="394">
        <v>6.73733</v>
      </c>
      <c r="AW1481" s="394"/>
      <c r="AX1481" s="394"/>
      <c r="AY1481" s="394">
        <v>0</v>
      </c>
      <c r="AZ1481" s="394">
        <v>0</v>
      </c>
      <c r="BA1481" s="394">
        <v>1.00349</v>
      </c>
      <c r="BB1481" s="394">
        <v>6.73733</v>
      </c>
      <c r="BC1481" s="394"/>
      <c r="BD1481" s="381" t="s">
        <v>167</v>
      </c>
      <c r="BE1481" s="408" t="s">
        <v>175</v>
      </c>
      <c r="BF1481" s="385"/>
      <c r="BG1481" s="475">
        <v>606</v>
      </c>
      <c r="BH1481" s="395"/>
      <c r="BI1481" s="395">
        <f t="shared" ref="BI1481" si="925">AT1481/AR1481</f>
        <v>11.96232</v>
      </c>
    </row>
    <row r="1482" spans="1:61" s="358" customFormat="1" ht="19.2" x14ac:dyDescent="0.3">
      <c r="A1482" s="359" t="s">
        <v>1889</v>
      </c>
      <c r="B1482" s="602" t="s">
        <v>5484</v>
      </c>
      <c r="C1482" s="548" t="s">
        <v>5483</v>
      </c>
      <c r="D1482" s="360">
        <v>0.22</v>
      </c>
      <c r="E1482" s="528"/>
      <c r="F1482" s="523"/>
      <c r="G1482" s="393"/>
      <c r="H1482" s="394"/>
      <c r="I1482" s="394"/>
      <c r="J1482" s="394"/>
      <c r="K1482" s="394"/>
      <c r="L1482" s="394"/>
      <c r="M1482" s="394"/>
      <c r="N1482" s="394"/>
      <c r="O1482" s="394"/>
      <c r="P1482" s="394"/>
      <c r="Q1482" s="394"/>
      <c r="R1482" s="381"/>
      <c r="S1482" s="408"/>
      <c r="T1482" s="385"/>
      <c r="U1482" s="475"/>
      <c r="V1482" s="395"/>
      <c r="W1482" s="395"/>
      <c r="X1482" s="528"/>
      <c r="Y1482" s="523"/>
      <c r="Z1482" s="393"/>
      <c r="AA1482" s="394"/>
      <c r="AB1482" s="394"/>
      <c r="AC1482" s="394"/>
      <c r="AD1482" s="394"/>
      <c r="AE1482" s="394"/>
      <c r="AF1482" s="394"/>
      <c r="AG1482" s="394"/>
      <c r="AH1482" s="394"/>
      <c r="AI1482" s="394"/>
      <c r="AJ1482" s="394"/>
      <c r="AK1482" s="381"/>
      <c r="AL1482" s="408"/>
      <c r="AM1482" s="385"/>
      <c r="AN1482" s="475"/>
      <c r="AO1482" s="395"/>
      <c r="AP1482" s="395"/>
      <c r="AQ1482" s="528"/>
      <c r="AR1482" s="523">
        <v>1</v>
      </c>
      <c r="AS1482" s="393"/>
      <c r="AT1482" s="600">
        <v>11.96236</v>
      </c>
      <c r="AU1482" s="394">
        <v>7.6579199999999998</v>
      </c>
      <c r="AV1482" s="394">
        <v>6.73733</v>
      </c>
      <c r="AW1482" s="394"/>
      <c r="AX1482" s="394"/>
      <c r="AY1482" s="394">
        <v>0</v>
      </c>
      <c r="AZ1482" s="394">
        <v>0</v>
      </c>
      <c r="BA1482" s="394">
        <v>1.00349</v>
      </c>
      <c r="BB1482" s="394">
        <v>6.73733</v>
      </c>
      <c r="BC1482" s="394"/>
      <c r="BD1482" s="381" t="s">
        <v>167</v>
      </c>
      <c r="BE1482" s="408" t="s">
        <v>175</v>
      </c>
      <c r="BF1482" s="385"/>
      <c r="BG1482" s="475">
        <v>607</v>
      </c>
      <c r="BH1482" s="395"/>
      <c r="BI1482" s="395">
        <f t="shared" si="917"/>
        <v>11.96236</v>
      </c>
    </row>
    <row r="1483" spans="1:61" s="358" customFormat="1" ht="19.2" x14ac:dyDescent="0.3">
      <c r="A1483" s="359" t="s">
        <v>1890</v>
      </c>
      <c r="B1483" s="602" t="s">
        <v>5485</v>
      </c>
      <c r="C1483" s="548" t="s">
        <v>5486</v>
      </c>
      <c r="D1483" s="360">
        <v>0.22</v>
      </c>
      <c r="E1483" s="528"/>
      <c r="F1483" s="523"/>
      <c r="G1483" s="393"/>
      <c r="H1483" s="394"/>
      <c r="I1483" s="394"/>
      <c r="J1483" s="394"/>
      <c r="K1483" s="394"/>
      <c r="L1483" s="394"/>
      <c r="M1483" s="394"/>
      <c r="N1483" s="394"/>
      <c r="O1483" s="394"/>
      <c r="P1483" s="394"/>
      <c r="Q1483" s="394"/>
      <c r="R1483" s="381"/>
      <c r="S1483" s="408"/>
      <c r="T1483" s="385"/>
      <c r="U1483" s="475"/>
      <c r="V1483" s="395"/>
      <c r="W1483" s="395"/>
      <c r="X1483" s="528"/>
      <c r="Y1483" s="523"/>
      <c r="Z1483" s="393"/>
      <c r="AA1483" s="394"/>
      <c r="AB1483" s="394"/>
      <c r="AC1483" s="394"/>
      <c r="AD1483" s="394"/>
      <c r="AE1483" s="394"/>
      <c r="AF1483" s="394"/>
      <c r="AG1483" s="394"/>
      <c r="AH1483" s="394"/>
      <c r="AI1483" s="394"/>
      <c r="AJ1483" s="394"/>
      <c r="AK1483" s="381"/>
      <c r="AL1483" s="408"/>
      <c r="AM1483" s="385"/>
      <c r="AN1483" s="475"/>
      <c r="AO1483" s="395"/>
      <c r="AP1483" s="395"/>
      <c r="AQ1483" s="528"/>
      <c r="AR1483" s="523">
        <v>1</v>
      </c>
      <c r="AS1483" s="393"/>
      <c r="AT1483" s="600">
        <v>11.962350000000001</v>
      </c>
      <c r="AU1483" s="394">
        <v>7.6579100000000002</v>
      </c>
      <c r="AV1483" s="394">
        <v>6.73733</v>
      </c>
      <c r="AW1483" s="394"/>
      <c r="AX1483" s="394"/>
      <c r="AY1483" s="394">
        <v>0</v>
      </c>
      <c r="AZ1483" s="394">
        <v>0</v>
      </c>
      <c r="BA1483" s="394">
        <v>1.00349</v>
      </c>
      <c r="BB1483" s="394">
        <v>6.73733</v>
      </c>
      <c r="BC1483" s="394"/>
      <c r="BD1483" s="381" t="s">
        <v>167</v>
      </c>
      <c r="BE1483" s="408" t="s">
        <v>175</v>
      </c>
      <c r="BF1483" s="385"/>
      <c r="BG1483" s="475">
        <v>608</v>
      </c>
      <c r="BH1483" s="395"/>
      <c r="BI1483" s="395">
        <f t="shared" ref="BI1483" si="926">AT1483/AR1483</f>
        <v>11.962350000000001</v>
      </c>
    </row>
    <row r="1484" spans="1:61" s="358" customFormat="1" ht="19.2" x14ac:dyDescent="0.3">
      <c r="A1484" s="359" t="s">
        <v>1891</v>
      </c>
      <c r="B1484" s="602" t="s">
        <v>2566</v>
      </c>
      <c r="C1484" s="548" t="s">
        <v>2565</v>
      </c>
      <c r="D1484" s="360">
        <v>0.22</v>
      </c>
      <c r="E1484" s="528"/>
      <c r="F1484" s="523"/>
      <c r="G1484" s="393"/>
      <c r="H1484" s="394"/>
      <c r="I1484" s="394"/>
      <c r="J1484" s="394"/>
      <c r="K1484" s="394"/>
      <c r="L1484" s="394"/>
      <c r="M1484" s="394"/>
      <c r="N1484" s="394"/>
      <c r="O1484" s="394"/>
      <c r="P1484" s="394"/>
      <c r="Q1484" s="394"/>
      <c r="R1484" s="381"/>
      <c r="S1484" s="408"/>
      <c r="T1484" s="385"/>
      <c r="U1484" s="475"/>
      <c r="V1484" s="395"/>
      <c r="W1484" s="395"/>
      <c r="X1484" s="528"/>
      <c r="Y1484" s="523"/>
      <c r="Z1484" s="393"/>
      <c r="AA1484" s="394"/>
      <c r="AB1484" s="394"/>
      <c r="AC1484" s="394"/>
      <c r="AD1484" s="394"/>
      <c r="AE1484" s="394"/>
      <c r="AF1484" s="394"/>
      <c r="AG1484" s="394"/>
      <c r="AH1484" s="394"/>
      <c r="AI1484" s="394"/>
      <c r="AJ1484" s="394"/>
      <c r="AK1484" s="381"/>
      <c r="AL1484" s="408"/>
      <c r="AM1484" s="385"/>
      <c r="AN1484" s="475"/>
      <c r="AO1484" s="395"/>
      <c r="AP1484" s="395"/>
      <c r="AQ1484" s="528"/>
      <c r="AR1484" s="523">
        <v>1</v>
      </c>
      <c r="AS1484" s="393"/>
      <c r="AT1484" s="600">
        <v>11.962350000000001</v>
      </c>
      <c r="AU1484" s="394">
        <v>7.6579100000000002</v>
      </c>
      <c r="AV1484" s="394">
        <v>6.73733</v>
      </c>
      <c r="AW1484" s="394"/>
      <c r="AX1484" s="394"/>
      <c r="AY1484" s="394">
        <v>0</v>
      </c>
      <c r="AZ1484" s="394">
        <v>0</v>
      </c>
      <c r="BA1484" s="394">
        <v>1.00349</v>
      </c>
      <c r="BB1484" s="394">
        <v>6.73733</v>
      </c>
      <c r="BC1484" s="394"/>
      <c r="BD1484" s="381" t="s">
        <v>167</v>
      </c>
      <c r="BE1484" s="408" t="s">
        <v>175</v>
      </c>
      <c r="BF1484" s="385"/>
      <c r="BG1484" s="475">
        <v>609</v>
      </c>
      <c r="BH1484" s="395"/>
      <c r="BI1484" s="395">
        <f t="shared" si="917"/>
        <v>11.962350000000001</v>
      </c>
    </row>
    <row r="1485" spans="1:61" s="358" customFormat="1" ht="19.2" x14ac:dyDescent="0.3">
      <c r="A1485" s="359" t="s">
        <v>1892</v>
      </c>
      <c r="B1485" s="602" t="s">
        <v>5487</v>
      </c>
      <c r="C1485" s="548" t="s">
        <v>5488</v>
      </c>
      <c r="D1485" s="360">
        <v>0.22</v>
      </c>
      <c r="E1485" s="528"/>
      <c r="F1485" s="523"/>
      <c r="G1485" s="393"/>
      <c r="H1485" s="394"/>
      <c r="I1485" s="394"/>
      <c r="J1485" s="394"/>
      <c r="K1485" s="394"/>
      <c r="L1485" s="394"/>
      <c r="M1485" s="394"/>
      <c r="N1485" s="394"/>
      <c r="O1485" s="394"/>
      <c r="P1485" s="394"/>
      <c r="Q1485" s="394"/>
      <c r="R1485" s="381"/>
      <c r="S1485" s="408"/>
      <c r="T1485" s="385"/>
      <c r="U1485" s="475"/>
      <c r="V1485" s="395"/>
      <c r="W1485" s="395"/>
      <c r="X1485" s="528"/>
      <c r="Y1485" s="523"/>
      <c r="Z1485" s="393"/>
      <c r="AA1485" s="394"/>
      <c r="AB1485" s="394"/>
      <c r="AC1485" s="394"/>
      <c r="AD1485" s="394"/>
      <c r="AE1485" s="394"/>
      <c r="AF1485" s="394"/>
      <c r="AG1485" s="394"/>
      <c r="AH1485" s="394"/>
      <c r="AI1485" s="394"/>
      <c r="AJ1485" s="394"/>
      <c r="AK1485" s="381"/>
      <c r="AL1485" s="408"/>
      <c r="AM1485" s="385"/>
      <c r="AN1485" s="475"/>
      <c r="AO1485" s="395"/>
      <c r="AP1485" s="395"/>
      <c r="AQ1485" s="528"/>
      <c r="AR1485" s="523">
        <v>1</v>
      </c>
      <c r="AS1485" s="393"/>
      <c r="AT1485" s="600">
        <v>11.962350000000001</v>
      </c>
      <c r="AU1485" s="394">
        <v>7.6579100000000002</v>
      </c>
      <c r="AV1485" s="394">
        <v>6.73733</v>
      </c>
      <c r="AW1485" s="394"/>
      <c r="AX1485" s="394"/>
      <c r="AY1485" s="394">
        <v>0</v>
      </c>
      <c r="AZ1485" s="394">
        <v>0</v>
      </c>
      <c r="BA1485" s="394">
        <v>1.00349</v>
      </c>
      <c r="BB1485" s="394">
        <v>6.73733</v>
      </c>
      <c r="BC1485" s="394"/>
      <c r="BD1485" s="381" t="s">
        <v>167</v>
      </c>
      <c r="BE1485" s="408" t="s">
        <v>175</v>
      </c>
      <c r="BF1485" s="385"/>
      <c r="BG1485" s="475">
        <v>610</v>
      </c>
      <c r="BH1485" s="395"/>
      <c r="BI1485" s="395">
        <f t="shared" ref="BI1485" si="927">AT1485/AR1485</f>
        <v>11.962350000000001</v>
      </c>
    </row>
    <row r="1486" spans="1:61" s="358" customFormat="1" ht="19.2" x14ac:dyDescent="0.3">
      <c r="A1486" s="359" t="s">
        <v>1893</v>
      </c>
      <c r="B1486" s="602" t="s">
        <v>5489</v>
      </c>
      <c r="C1486" s="548" t="s">
        <v>5490</v>
      </c>
      <c r="D1486" s="360">
        <v>0.22</v>
      </c>
      <c r="E1486" s="528"/>
      <c r="F1486" s="523"/>
      <c r="G1486" s="393"/>
      <c r="H1486" s="394"/>
      <c r="I1486" s="394"/>
      <c r="J1486" s="394"/>
      <c r="K1486" s="394"/>
      <c r="L1486" s="394"/>
      <c r="M1486" s="394"/>
      <c r="N1486" s="394"/>
      <c r="O1486" s="394"/>
      <c r="P1486" s="394"/>
      <c r="Q1486" s="394"/>
      <c r="R1486" s="381"/>
      <c r="S1486" s="408"/>
      <c r="T1486" s="385"/>
      <c r="U1486" s="475"/>
      <c r="V1486" s="395"/>
      <c r="W1486" s="395"/>
      <c r="X1486" s="528"/>
      <c r="Y1486" s="523"/>
      <c r="Z1486" s="393"/>
      <c r="AA1486" s="394"/>
      <c r="AB1486" s="394"/>
      <c r="AC1486" s="394"/>
      <c r="AD1486" s="394"/>
      <c r="AE1486" s="394"/>
      <c r="AF1486" s="394"/>
      <c r="AG1486" s="394"/>
      <c r="AH1486" s="394"/>
      <c r="AI1486" s="394"/>
      <c r="AJ1486" s="394"/>
      <c r="AK1486" s="381"/>
      <c r="AL1486" s="408"/>
      <c r="AM1486" s="385"/>
      <c r="AN1486" s="475"/>
      <c r="AO1486" s="395"/>
      <c r="AP1486" s="395"/>
      <c r="AQ1486" s="528"/>
      <c r="AR1486" s="523">
        <v>1</v>
      </c>
      <c r="AS1486" s="393"/>
      <c r="AT1486" s="600">
        <v>11.962339999999999</v>
      </c>
      <c r="AU1486" s="394">
        <v>7.6578999999999997</v>
      </c>
      <c r="AV1486" s="394">
        <v>6.73733</v>
      </c>
      <c r="AW1486" s="394"/>
      <c r="AX1486" s="394"/>
      <c r="AY1486" s="394">
        <v>0</v>
      </c>
      <c r="AZ1486" s="394">
        <v>0</v>
      </c>
      <c r="BA1486" s="394">
        <v>1.00349</v>
      </c>
      <c r="BB1486" s="394">
        <v>6.73733</v>
      </c>
      <c r="BC1486" s="394"/>
      <c r="BD1486" s="381" t="s">
        <v>167</v>
      </c>
      <c r="BE1486" s="408" t="s">
        <v>175</v>
      </c>
      <c r="BF1486" s="385"/>
      <c r="BG1486" s="475">
        <v>611</v>
      </c>
      <c r="BH1486" s="395"/>
      <c r="BI1486" s="395">
        <f t="shared" si="917"/>
        <v>11.962339999999999</v>
      </c>
    </row>
    <row r="1487" spans="1:61" s="358" customFormat="1" ht="19.2" x14ac:dyDescent="0.3">
      <c r="A1487" s="359" t="s">
        <v>1894</v>
      </c>
      <c r="B1487" s="602" t="s">
        <v>5376</v>
      </c>
      <c r="C1487" s="548" t="s">
        <v>5377</v>
      </c>
      <c r="D1487" s="360">
        <v>0.22</v>
      </c>
      <c r="E1487" s="528"/>
      <c r="F1487" s="523"/>
      <c r="G1487" s="393"/>
      <c r="H1487" s="394"/>
      <c r="I1487" s="394"/>
      <c r="J1487" s="394"/>
      <c r="K1487" s="394"/>
      <c r="L1487" s="394"/>
      <c r="M1487" s="394"/>
      <c r="N1487" s="394"/>
      <c r="O1487" s="394"/>
      <c r="P1487" s="394"/>
      <c r="Q1487" s="394"/>
      <c r="R1487" s="381"/>
      <c r="S1487" s="408"/>
      <c r="T1487" s="385"/>
      <c r="U1487" s="475"/>
      <c r="V1487" s="395"/>
      <c r="W1487" s="395"/>
      <c r="X1487" s="528"/>
      <c r="Y1487" s="523"/>
      <c r="Z1487" s="393"/>
      <c r="AA1487" s="394"/>
      <c r="AB1487" s="394"/>
      <c r="AC1487" s="394"/>
      <c r="AD1487" s="394"/>
      <c r="AE1487" s="394"/>
      <c r="AF1487" s="394"/>
      <c r="AG1487" s="394"/>
      <c r="AH1487" s="394"/>
      <c r="AI1487" s="394"/>
      <c r="AJ1487" s="394"/>
      <c r="AK1487" s="381"/>
      <c r="AL1487" s="408"/>
      <c r="AM1487" s="385"/>
      <c r="AN1487" s="475"/>
      <c r="AO1487" s="395"/>
      <c r="AP1487" s="395"/>
      <c r="AQ1487" s="528"/>
      <c r="AR1487" s="523">
        <v>1</v>
      </c>
      <c r="AS1487" s="393"/>
      <c r="AT1487" s="600">
        <v>12.02623</v>
      </c>
      <c r="AU1487" s="394">
        <v>7.7217900000000004</v>
      </c>
      <c r="AV1487" s="394">
        <v>6.73733</v>
      </c>
      <c r="AW1487" s="394"/>
      <c r="AX1487" s="394"/>
      <c r="AY1487" s="394">
        <v>0</v>
      </c>
      <c r="AZ1487" s="394">
        <v>0</v>
      </c>
      <c r="BA1487" s="394">
        <v>1.00349</v>
      </c>
      <c r="BB1487" s="394">
        <v>6.73733</v>
      </c>
      <c r="BC1487" s="394"/>
      <c r="BD1487" s="381" t="s">
        <v>167</v>
      </c>
      <c r="BE1487" s="408" t="s">
        <v>175</v>
      </c>
      <c r="BF1487" s="385"/>
      <c r="BG1487" s="475">
        <v>612</v>
      </c>
      <c r="BH1487" s="395"/>
      <c r="BI1487" s="395">
        <f t="shared" ref="BI1487" si="928">AT1487/AR1487</f>
        <v>12.02623</v>
      </c>
    </row>
    <row r="1488" spans="1:61" s="358" customFormat="1" ht="19.2" x14ac:dyDescent="0.3">
      <c r="A1488" s="359" t="s">
        <v>1895</v>
      </c>
      <c r="B1488" s="602" t="s">
        <v>5491</v>
      </c>
      <c r="C1488" s="548" t="s">
        <v>5492</v>
      </c>
      <c r="D1488" s="360">
        <v>0.22</v>
      </c>
      <c r="E1488" s="528"/>
      <c r="F1488" s="523"/>
      <c r="G1488" s="393"/>
      <c r="H1488" s="394"/>
      <c r="I1488" s="394"/>
      <c r="J1488" s="394"/>
      <c r="K1488" s="394"/>
      <c r="L1488" s="394"/>
      <c r="M1488" s="394"/>
      <c r="N1488" s="394"/>
      <c r="O1488" s="394"/>
      <c r="P1488" s="394"/>
      <c r="Q1488" s="394"/>
      <c r="R1488" s="381"/>
      <c r="S1488" s="408"/>
      <c r="T1488" s="385"/>
      <c r="U1488" s="475"/>
      <c r="V1488" s="395"/>
      <c r="W1488" s="395"/>
      <c r="X1488" s="528"/>
      <c r="Y1488" s="523"/>
      <c r="Z1488" s="393"/>
      <c r="AA1488" s="394"/>
      <c r="AB1488" s="394"/>
      <c r="AC1488" s="394"/>
      <c r="AD1488" s="394"/>
      <c r="AE1488" s="394"/>
      <c r="AF1488" s="394"/>
      <c r="AG1488" s="394"/>
      <c r="AH1488" s="394"/>
      <c r="AI1488" s="394"/>
      <c r="AJ1488" s="394"/>
      <c r="AK1488" s="381"/>
      <c r="AL1488" s="408"/>
      <c r="AM1488" s="385"/>
      <c r="AN1488" s="475"/>
      <c r="AO1488" s="395"/>
      <c r="AP1488" s="395"/>
      <c r="AQ1488" s="528"/>
      <c r="AR1488" s="523">
        <v>1</v>
      </c>
      <c r="AS1488" s="393"/>
      <c r="AT1488" s="600">
        <v>11.96232</v>
      </c>
      <c r="AU1488" s="394">
        <v>7.6578799999999996</v>
      </c>
      <c r="AV1488" s="394">
        <v>6.73733</v>
      </c>
      <c r="AW1488" s="394"/>
      <c r="AX1488" s="394"/>
      <c r="AY1488" s="394">
        <v>0</v>
      </c>
      <c r="AZ1488" s="394">
        <v>0</v>
      </c>
      <c r="BA1488" s="394">
        <v>1.00349</v>
      </c>
      <c r="BB1488" s="394">
        <v>6.73733</v>
      </c>
      <c r="BC1488" s="394"/>
      <c r="BD1488" s="381" t="s">
        <v>167</v>
      </c>
      <c r="BE1488" s="408" t="s">
        <v>175</v>
      </c>
      <c r="BF1488" s="385"/>
      <c r="BG1488" s="475">
        <v>613</v>
      </c>
      <c r="BH1488" s="395"/>
      <c r="BI1488" s="395">
        <f t="shared" si="917"/>
        <v>11.96232</v>
      </c>
    </row>
    <row r="1489" spans="1:61" s="358" customFormat="1" ht="19.2" x14ac:dyDescent="0.3">
      <c r="A1489" s="359" t="s">
        <v>1896</v>
      </c>
      <c r="B1489" s="602" t="s">
        <v>4774</v>
      </c>
      <c r="C1489" s="548" t="s">
        <v>4773</v>
      </c>
      <c r="D1489" s="360">
        <v>0.22</v>
      </c>
      <c r="E1489" s="528"/>
      <c r="F1489" s="523"/>
      <c r="G1489" s="393"/>
      <c r="H1489" s="394"/>
      <c r="I1489" s="394"/>
      <c r="J1489" s="394"/>
      <c r="K1489" s="394"/>
      <c r="L1489" s="394"/>
      <c r="M1489" s="394"/>
      <c r="N1489" s="394"/>
      <c r="O1489" s="394"/>
      <c r="P1489" s="394"/>
      <c r="Q1489" s="394"/>
      <c r="R1489" s="381"/>
      <c r="S1489" s="408"/>
      <c r="T1489" s="385"/>
      <c r="U1489" s="475"/>
      <c r="V1489" s="395"/>
      <c r="W1489" s="395"/>
      <c r="X1489" s="528"/>
      <c r="Y1489" s="523"/>
      <c r="Z1489" s="393"/>
      <c r="AA1489" s="394"/>
      <c r="AB1489" s="394"/>
      <c r="AC1489" s="394"/>
      <c r="AD1489" s="394"/>
      <c r="AE1489" s="394"/>
      <c r="AF1489" s="394"/>
      <c r="AG1489" s="394"/>
      <c r="AH1489" s="394"/>
      <c r="AI1489" s="394"/>
      <c r="AJ1489" s="394"/>
      <c r="AK1489" s="381"/>
      <c r="AL1489" s="408"/>
      <c r="AM1489" s="385"/>
      <c r="AN1489" s="475"/>
      <c r="AO1489" s="395"/>
      <c r="AP1489" s="395"/>
      <c r="AQ1489" s="528"/>
      <c r="AR1489" s="523">
        <v>1</v>
      </c>
      <c r="AS1489" s="393"/>
      <c r="AT1489" s="600">
        <v>11.962339999999999</v>
      </c>
      <c r="AU1489" s="394">
        <v>7.6578999999999997</v>
      </c>
      <c r="AV1489" s="394">
        <v>6.73733</v>
      </c>
      <c r="AW1489" s="394"/>
      <c r="AX1489" s="394"/>
      <c r="AY1489" s="394">
        <v>0</v>
      </c>
      <c r="AZ1489" s="394">
        <v>0</v>
      </c>
      <c r="BA1489" s="394">
        <v>1.00349</v>
      </c>
      <c r="BB1489" s="394">
        <v>6.73733</v>
      </c>
      <c r="BC1489" s="394"/>
      <c r="BD1489" s="381" t="s">
        <v>167</v>
      </c>
      <c r="BE1489" s="408" t="s">
        <v>175</v>
      </c>
      <c r="BF1489" s="385"/>
      <c r="BG1489" s="475">
        <v>614</v>
      </c>
      <c r="BH1489" s="395"/>
      <c r="BI1489" s="395">
        <f t="shared" ref="BI1489" si="929">AT1489/AR1489</f>
        <v>11.962339999999999</v>
      </c>
    </row>
    <row r="1490" spans="1:61" s="358" customFormat="1" ht="19.2" x14ac:dyDescent="0.3">
      <c r="A1490" s="359" t="s">
        <v>1897</v>
      </c>
      <c r="B1490" s="602" t="s">
        <v>5493</v>
      </c>
      <c r="C1490" s="548" t="s">
        <v>5494</v>
      </c>
      <c r="D1490" s="360">
        <v>0.22</v>
      </c>
      <c r="E1490" s="528"/>
      <c r="F1490" s="523"/>
      <c r="G1490" s="393"/>
      <c r="H1490" s="394"/>
      <c r="I1490" s="394"/>
      <c r="J1490" s="394"/>
      <c r="K1490" s="394"/>
      <c r="L1490" s="394"/>
      <c r="M1490" s="394"/>
      <c r="N1490" s="394"/>
      <c r="O1490" s="394"/>
      <c r="P1490" s="394"/>
      <c r="Q1490" s="394"/>
      <c r="R1490" s="381"/>
      <c r="S1490" s="408"/>
      <c r="T1490" s="385"/>
      <c r="U1490" s="475"/>
      <c r="V1490" s="395"/>
      <c r="W1490" s="395"/>
      <c r="X1490" s="528"/>
      <c r="Y1490" s="523"/>
      <c r="Z1490" s="393"/>
      <c r="AA1490" s="394"/>
      <c r="AB1490" s="394"/>
      <c r="AC1490" s="394"/>
      <c r="AD1490" s="394"/>
      <c r="AE1490" s="394"/>
      <c r="AF1490" s="394"/>
      <c r="AG1490" s="394"/>
      <c r="AH1490" s="394"/>
      <c r="AI1490" s="394"/>
      <c r="AJ1490" s="394"/>
      <c r="AK1490" s="381"/>
      <c r="AL1490" s="408"/>
      <c r="AM1490" s="385"/>
      <c r="AN1490" s="475"/>
      <c r="AO1490" s="395"/>
      <c r="AP1490" s="395"/>
      <c r="AQ1490" s="528"/>
      <c r="AR1490" s="523">
        <v>1</v>
      </c>
      <c r="AS1490" s="393"/>
      <c r="AT1490" s="600">
        <v>11.96236</v>
      </c>
      <c r="AU1490" s="394">
        <v>7.6579199999999998</v>
      </c>
      <c r="AV1490" s="394">
        <v>6.73733</v>
      </c>
      <c r="AW1490" s="394"/>
      <c r="AX1490" s="394"/>
      <c r="AY1490" s="394">
        <v>0</v>
      </c>
      <c r="AZ1490" s="394">
        <v>0</v>
      </c>
      <c r="BA1490" s="394">
        <v>1.00349</v>
      </c>
      <c r="BB1490" s="394">
        <v>6.73733</v>
      </c>
      <c r="BC1490" s="394"/>
      <c r="BD1490" s="381" t="s">
        <v>167</v>
      </c>
      <c r="BE1490" s="408" t="s">
        <v>175</v>
      </c>
      <c r="BF1490" s="385"/>
      <c r="BG1490" s="475">
        <v>615</v>
      </c>
      <c r="BH1490" s="395"/>
      <c r="BI1490" s="395">
        <f t="shared" si="917"/>
        <v>11.96236</v>
      </c>
    </row>
    <row r="1491" spans="1:61" s="358" customFormat="1" ht="19.2" x14ac:dyDescent="0.3">
      <c r="A1491" s="359" t="s">
        <v>1898</v>
      </c>
      <c r="B1491" s="602" t="s">
        <v>5495</v>
      </c>
      <c r="C1491" s="548" t="s">
        <v>5496</v>
      </c>
      <c r="D1491" s="360">
        <v>0.22</v>
      </c>
      <c r="E1491" s="528"/>
      <c r="F1491" s="523"/>
      <c r="G1491" s="393"/>
      <c r="H1491" s="394"/>
      <c r="I1491" s="394"/>
      <c r="J1491" s="394"/>
      <c r="K1491" s="394"/>
      <c r="L1491" s="394"/>
      <c r="M1491" s="394"/>
      <c r="N1491" s="394"/>
      <c r="O1491" s="394"/>
      <c r="P1491" s="394"/>
      <c r="Q1491" s="394"/>
      <c r="R1491" s="381"/>
      <c r="S1491" s="408"/>
      <c r="T1491" s="385"/>
      <c r="U1491" s="475"/>
      <c r="V1491" s="395"/>
      <c r="W1491" s="395"/>
      <c r="X1491" s="528"/>
      <c r="Y1491" s="523"/>
      <c r="Z1491" s="393"/>
      <c r="AA1491" s="394"/>
      <c r="AB1491" s="394"/>
      <c r="AC1491" s="394"/>
      <c r="AD1491" s="394"/>
      <c r="AE1491" s="394"/>
      <c r="AF1491" s="394"/>
      <c r="AG1491" s="394"/>
      <c r="AH1491" s="394"/>
      <c r="AI1491" s="394"/>
      <c r="AJ1491" s="394"/>
      <c r="AK1491" s="381"/>
      <c r="AL1491" s="408"/>
      <c r="AM1491" s="385"/>
      <c r="AN1491" s="475"/>
      <c r="AO1491" s="395"/>
      <c r="AP1491" s="395"/>
      <c r="AQ1491" s="528"/>
      <c r="AR1491" s="523">
        <v>1</v>
      </c>
      <c r="AS1491" s="393"/>
      <c r="AT1491" s="600">
        <v>11.96233</v>
      </c>
      <c r="AU1491" s="394">
        <v>7.6578900000000001</v>
      </c>
      <c r="AV1491" s="394">
        <v>6.73733</v>
      </c>
      <c r="AW1491" s="394"/>
      <c r="AX1491" s="394"/>
      <c r="AY1491" s="394">
        <v>0</v>
      </c>
      <c r="AZ1491" s="394">
        <v>0</v>
      </c>
      <c r="BA1491" s="394">
        <v>1.00349</v>
      </c>
      <c r="BB1491" s="394">
        <v>6.73733</v>
      </c>
      <c r="BC1491" s="394"/>
      <c r="BD1491" s="381" t="s">
        <v>167</v>
      </c>
      <c r="BE1491" s="408" t="s">
        <v>175</v>
      </c>
      <c r="BF1491" s="385"/>
      <c r="BG1491" s="475">
        <v>616</v>
      </c>
      <c r="BH1491" s="395"/>
      <c r="BI1491" s="395">
        <f t="shared" ref="BI1491" si="930">AT1491/AR1491</f>
        <v>11.96233</v>
      </c>
    </row>
    <row r="1492" spans="1:61" s="358" customFormat="1" ht="19.2" x14ac:dyDescent="0.3">
      <c r="A1492" s="359" t="s">
        <v>1899</v>
      </c>
      <c r="B1492" s="602" t="s">
        <v>4786</v>
      </c>
      <c r="C1492" s="548" t="s">
        <v>4785</v>
      </c>
      <c r="D1492" s="360">
        <v>0.22</v>
      </c>
      <c r="E1492" s="528"/>
      <c r="F1492" s="523"/>
      <c r="G1492" s="393"/>
      <c r="H1492" s="394"/>
      <c r="I1492" s="394"/>
      <c r="J1492" s="394"/>
      <c r="K1492" s="394"/>
      <c r="L1492" s="394"/>
      <c r="M1492" s="394"/>
      <c r="N1492" s="394"/>
      <c r="O1492" s="394"/>
      <c r="P1492" s="394"/>
      <c r="Q1492" s="394"/>
      <c r="R1492" s="381"/>
      <c r="S1492" s="408"/>
      <c r="T1492" s="385"/>
      <c r="U1492" s="475"/>
      <c r="V1492" s="395"/>
      <c r="W1492" s="395"/>
      <c r="X1492" s="528"/>
      <c r="Y1492" s="523"/>
      <c r="Z1492" s="393"/>
      <c r="AA1492" s="394"/>
      <c r="AB1492" s="394"/>
      <c r="AC1492" s="394"/>
      <c r="AD1492" s="394"/>
      <c r="AE1492" s="394"/>
      <c r="AF1492" s="394"/>
      <c r="AG1492" s="394"/>
      <c r="AH1492" s="394"/>
      <c r="AI1492" s="394"/>
      <c r="AJ1492" s="394"/>
      <c r="AK1492" s="381"/>
      <c r="AL1492" s="408"/>
      <c r="AM1492" s="385"/>
      <c r="AN1492" s="475"/>
      <c r="AO1492" s="395"/>
      <c r="AP1492" s="395"/>
      <c r="AQ1492" s="528"/>
      <c r="AR1492" s="523">
        <v>1</v>
      </c>
      <c r="AS1492" s="393"/>
      <c r="AT1492" s="600">
        <v>11.962339999999999</v>
      </c>
      <c r="AU1492" s="394">
        <v>7.6578999999999997</v>
      </c>
      <c r="AV1492" s="394">
        <v>6.73733</v>
      </c>
      <c r="AW1492" s="394"/>
      <c r="AX1492" s="394"/>
      <c r="AY1492" s="394">
        <v>0</v>
      </c>
      <c r="AZ1492" s="394">
        <v>0</v>
      </c>
      <c r="BA1492" s="394">
        <v>1.00349</v>
      </c>
      <c r="BB1492" s="394">
        <v>6.73733</v>
      </c>
      <c r="BC1492" s="394"/>
      <c r="BD1492" s="381" t="s">
        <v>167</v>
      </c>
      <c r="BE1492" s="408" t="s">
        <v>175</v>
      </c>
      <c r="BF1492" s="385"/>
      <c r="BG1492" s="475">
        <v>617</v>
      </c>
      <c r="BH1492" s="395"/>
      <c r="BI1492" s="395">
        <f t="shared" si="917"/>
        <v>11.962339999999999</v>
      </c>
    </row>
    <row r="1493" spans="1:61" s="358" customFormat="1" ht="19.2" x14ac:dyDescent="0.3">
      <c r="A1493" s="359" t="s">
        <v>1900</v>
      </c>
      <c r="B1493" s="602" t="s">
        <v>5497</v>
      </c>
      <c r="C1493" s="548" t="s">
        <v>5498</v>
      </c>
      <c r="D1493" s="360">
        <v>0.22</v>
      </c>
      <c r="E1493" s="528"/>
      <c r="F1493" s="523"/>
      <c r="G1493" s="393"/>
      <c r="H1493" s="394"/>
      <c r="I1493" s="394"/>
      <c r="J1493" s="394"/>
      <c r="K1493" s="394"/>
      <c r="L1493" s="394"/>
      <c r="M1493" s="394"/>
      <c r="N1493" s="394"/>
      <c r="O1493" s="394"/>
      <c r="P1493" s="394"/>
      <c r="Q1493" s="394"/>
      <c r="R1493" s="381"/>
      <c r="S1493" s="408"/>
      <c r="T1493" s="385"/>
      <c r="U1493" s="475"/>
      <c r="V1493" s="395"/>
      <c r="W1493" s="395"/>
      <c r="X1493" s="528"/>
      <c r="Y1493" s="523"/>
      <c r="Z1493" s="393"/>
      <c r="AA1493" s="394"/>
      <c r="AB1493" s="394"/>
      <c r="AC1493" s="394"/>
      <c r="AD1493" s="394"/>
      <c r="AE1493" s="394"/>
      <c r="AF1493" s="394"/>
      <c r="AG1493" s="394"/>
      <c r="AH1493" s="394"/>
      <c r="AI1493" s="394"/>
      <c r="AJ1493" s="394"/>
      <c r="AK1493" s="381"/>
      <c r="AL1493" s="408"/>
      <c r="AM1493" s="385"/>
      <c r="AN1493" s="475"/>
      <c r="AO1493" s="395"/>
      <c r="AP1493" s="395"/>
      <c r="AQ1493" s="528"/>
      <c r="AR1493" s="523">
        <v>1</v>
      </c>
      <c r="AS1493" s="393"/>
      <c r="AT1493" s="600">
        <v>11.964510000000001</v>
      </c>
      <c r="AU1493" s="394">
        <v>7.6607000000000003</v>
      </c>
      <c r="AV1493" s="394">
        <v>6.73733</v>
      </c>
      <c r="AW1493" s="394"/>
      <c r="AX1493" s="394"/>
      <c r="AY1493" s="394">
        <v>0</v>
      </c>
      <c r="AZ1493" s="394">
        <v>0</v>
      </c>
      <c r="BA1493" s="394">
        <v>1.00349</v>
      </c>
      <c r="BB1493" s="394">
        <v>6.73733</v>
      </c>
      <c r="BC1493" s="394"/>
      <c r="BD1493" s="381" t="s">
        <v>167</v>
      </c>
      <c r="BE1493" s="408" t="s">
        <v>175</v>
      </c>
      <c r="BF1493" s="385"/>
      <c r="BG1493" s="475">
        <v>618</v>
      </c>
      <c r="BH1493" s="395"/>
      <c r="BI1493" s="395">
        <f t="shared" ref="BI1493" si="931">AT1493/AR1493</f>
        <v>11.964510000000001</v>
      </c>
    </row>
    <row r="1494" spans="1:61" s="358" customFormat="1" ht="19.2" x14ac:dyDescent="0.3">
      <c r="A1494" s="359" t="s">
        <v>1901</v>
      </c>
      <c r="B1494" s="602" t="s">
        <v>5499</v>
      </c>
      <c r="C1494" s="548" t="s">
        <v>5500</v>
      </c>
      <c r="D1494" s="360">
        <v>0.22</v>
      </c>
      <c r="E1494" s="528"/>
      <c r="F1494" s="523"/>
      <c r="G1494" s="393"/>
      <c r="H1494" s="394"/>
      <c r="I1494" s="394"/>
      <c r="J1494" s="394"/>
      <c r="K1494" s="394"/>
      <c r="L1494" s="394"/>
      <c r="M1494" s="394"/>
      <c r="N1494" s="394"/>
      <c r="O1494" s="394"/>
      <c r="P1494" s="394"/>
      <c r="Q1494" s="394"/>
      <c r="R1494" s="381"/>
      <c r="S1494" s="408"/>
      <c r="T1494" s="385"/>
      <c r="U1494" s="475"/>
      <c r="V1494" s="395"/>
      <c r="W1494" s="395"/>
      <c r="X1494" s="528"/>
      <c r="Y1494" s="523"/>
      <c r="Z1494" s="393"/>
      <c r="AA1494" s="394"/>
      <c r="AB1494" s="394"/>
      <c r="AC1494" s="394"/>
      <c r="AD1494" s="394"/>
      <c r="AE1494" s="394"/>
      <c r="AF1494" s="394"/>
      <c r="AG1494" s="394"/>
      <c r="AH1494" s="394"/>
      <c r="AI1494" s="394"/>
      <c r="AJ1494" s="394"/>
      <c r="AK1494" s="381"/>
      <c r="AL1494" s="408"/>
      <c r="AM1494" s="385"/>
      <c r="AN1494" s="475"/>
      <c r="AO1494" s="395"/>
      <c r="AP1494" s="395"/>
      <c r="AQ1494" s="528"/>
      <c r="AR1494" s="523">
        <v>1</v>
      </c>
      <c r="AS1494" s="393"/>
      <c r="AT1494" s="600">
        <v>11.962339999999999</v>
      </c>
      <c r="AU1494" s="394">
        <v>7.6578999999999997</v>
      </c>
      <c r="AV1494" s="394">
        <v>6.73733</v>
      </c>
      <c r="AW1494" s="394"/>
      <c r="AX1494" s="394"/>
      <c r="AY1494" s="394">
        <v>0</v>
      </c>
      <c r="AZ1494" s="394">
        <v>0</v>
      </c>
      <c r="BA1494" s="394">
        <v>1.00349</v>
      </c>
      <c r="BB1494" s="394">
        <v>6.73733</v>
      </c>
      <c r="BC1494" s="394"/>
      <c r="BD1494" s="381" t="s">
        <v>167</v>
      </c>
      <c r="BE1494" s="408" t="s">
        <v>175</v>
      </c>
      <c r="BF1494" s="385"/>
      <c r="BG1494" s="475">
        <v>619</v>
      </c>
      <c r="BH1494" s="395"/>
      <c r="BI1494" s="395">
        <f t="shared" si="917"/>
        <v>11.962339999999999</v>
      </c>
    </row>
    <row r="1495" spans="1:61" s="358" customFormat="1" ht="19.2" x14ac:dyDescent="0.3">
      <c r="A1495" s="359" t="s">
        <v>1902</v>
      </c>
      <c r="B1495" s="602" t="s">
        <v>5501</v>
      </c>
      <c r="C1495" s="548" t="s">
        <v>5502</v>
      </c>
      <c r="D1495" s="360">
        <v>0.22</v>
      </c>
      <c r="E1495" s="528"/>
      <c r="F1495" s="523"/>
      <c r="G1495" s="393"/>
      <c r="H1495" s="394"/>
      <c r="I1495" s="394"/>
      <c r="J1495" s="394"/>
      <c r="K1495" s="394"/>
      <c r="L1495" s="394"/>
      <c r="M1495" s="394"/>
      <c r="N1495" s="394"/>
      <c r="O1495" s="394"/>
      <c r="P1495" s="394"/>
      <c r="Q1495" s="394"/>
      <c r="R1495" s="381"/>
      <c r="S1495" s="408"/>
      <c r="T1495" s="385"/>
      <c r="U1495" s="475"/>
      <c r="V1495" s="395"/>
      <c r="W1495" s="395"/>
      <c r="X1495" s="528"/>
      <c r="Y1495" s="523"/>
      <c r="Z1495" s="393"/>
      <c r="AA1495" s="394"/>
      <c r="AB1495" s="394"/>
      <c r="AC1495" s="394"/>
      <c r="AD1495" s="394"/>
      <c r="AE1495" s="394"/>
      <c r="AF1495" s="394"/>
      <c r="AG1495" s="394"/>
      <c r="AH1495" s="394"/>
      <c r="AI1495" s="394"/>
      <c r="AJ1495" s="394"/>
      <c r="AK1495" s="381"/>
      <c r="AL1495" s="408"/>
      <c r="AM1495" s="385"/>
      <c r="AN1495" s="475"/>
      <c r="AO1495" s="395"/>
      <c r="AP1495" s="395"/>
      <c r="AQ1495" s="528"/>
      <c r="AR1495" s="523">
        <v>1</v>
      </c>
      <c r="AS1495" s="393"/>
      <c r="AT1495" s="600">
        <v>11.964510000000001</v>
      </c>
      <c r="AU1495" s="394">
        <v>7.6607000000000003</v>
      </c>
      <c r="AV1495" s="394">
        <v>6.73733</v>
      </c>
      <c r="AW1495" s="394"/>
      <c r="AX1495" s="394"/>
      <c r="AY1495" s="394">
        <v>0</v>
      </c>
      <c r="AZ1495" s="394">
        <v>0</v>
      </c>
      <c r="BA1495" s="394">
        <v>1.00349</v>
      </c>
      <c r="BB1495" s="394">
        <v>6.73733</v>
      </c>
      <c r="BC1495" s="394"/>
      <c r="BD1495" s="381" t="s">
        <v>167</v>
      </c>
      <c r="BE1495" s="408" t="s">
        <v>175</v>
      </c>
      <c r="BF1495" s="385"/>
      <c r="BG1495" s="475">
        <v>620</v>
      </c>
      <c r="BH1495" s="395"/>
      <c r="BI1495" s="395">
        <f t="shared" ref="BI1495" si="932">AT1495/AR1495</f>
        <v>11.964510000000001</v>
      </c>
    </row>
    <row r="1496" spans="1:61" s="358" customFormat="1" ht="19.2" x14ac:dyDescent="0.3">
      <c r="A1496" s="359" t="s">
        <v>1903</v>
      </c>
      <c r="B1496" s="602" t="s">
        <v>4804</v>
      </c>
      <c r="C1496" s="548" t="s">
        <v>4803</v>
      </c>
      <c r="D1496" s="360">
        <v>0.22</v>
      </c>
      <c r="E1496" s="528"/>
      <c r="F1496" s="523"/>
      <c r="G1496" s="393"/>
      <c r="H1496" s="394"/>
      <c r="I1496" s="394"/>
      <c r="J1496" s="394"/>
      <c r="K1496" s="394"/>
      <c r="L1496" s="394"/>
      <c r="M1496" s="394"/>
      <c r="N1496" s="394"/>
      <c r="O1496" s="394"/>
      <c r="P1496" s="394"/>
      <c r="Q1496" s="394"/>
      <c r="R1496" s="381"/>
      <c r="S1496" s="408"/>
      <c r="T1496" s="385"/>
      <c r="U1496" s="475"/>
      <c r="V1496" s="395"/>
      <c r="W1496" s="395"/>
      <c r="X1496" s="528"/>
      <c r="Y1496" s="523"/>
      <c r="Z1496" s="393"/>
      <c r="AA1496" s="394"/>
      <c r="AB1496" s="394"/>
      <c r="AC1496" s="394"/>
      <c r="AD1496" s="394"/>
      <c r="AE1496" s="394"/>
      <c r="AF1496" s="394"/>
      <c r="AG1496" s="394"/>
      <c r="AH1496" s="394"/>
      <c r="AI1496" s="394"/>
      <c r="AJ1496" s="394"/>
      <c r="AK1496" s="381"/>
      <c r="AL1496" s="408"/>
      <c r="AM1496" s="385"/>
      <c r="AN1496" s="475"/>
      <c r="AO1496" s="395"/>
      <c r="AP1496" s="395"/>
      <c r="AQ1496" s="528"/>
      <c r="AR1496" s="523">
        <v>1</v>
      </c>
      <c r="AS1496" s="393"/>
      <c r="AT1496" s="600">
        <v>11.962339999999999</v>
      </c>
      <c r="AU1496" s="394">
        <v>7.6578999999999997</v>
      </c>
      <c r="AV1496" s="394">
        <v>6.73733</v>
      </c>
      <c r="AW1496" s="394"/>
      <c r="AX1496" s="394"/>
      <c r="AY1496" s="394">
        <v>0</v>
      </c>
      <c r="AZ1496" s="394">
        <v>0</v>
      </c>
      <c r="BA1496" s="394">
        <v>1.00349</v>
      </c>
      <c r="BB1496" s="394">
        <v>6.73733</v>
      </c>
      <c r="BC1496" s="394"/>
      <c r="BD1496" s="381" t="s">
        <v>167</v>
      </c>
      <c r="BE1496" s="408" t="s">
        <v>175</v>
      </c>
      <c r="BF1496" s="385"/>
      <c r="BG1496" s="475">
        <v>621</v>
      </c>
      <c r="BH1496" s="395"/>
      <c r="BI1496" s="395">
        <f t="shared" si="917"/>
        <v>11.962339999999999</v>
      </c>
    </row>
    <row r="1497" spans="1:61" s="358" customFormat="1" ht="19.2" x14ac:dyDescent="0.3">
      <c r="A1497" s="359" t="s">
        <v>1904</v>
      </c>
      <c r="B1497" s="602" t="s">
        <v>5503</v>
      </c>
      <c r="C1497" s="548" t="s">
        <v>5504</v>
      </c>
      <c r="D1497" s="360">
        <v>0.22</v>
      </c>
      <c r="E1497" s="528"/>
      <c r="F1497" s="523"/>
      <c r="G1497" s="393"/>
      <c r="H1497" s="394"/>
      <c r="I1497" s="394"/>
      <c r="J1497" s="394"/>
      <c r="K1497" s="394"/>
      <c r="L1497" s="394"/>
      <c r="M1497" s="394"/>
      <c r="N1497" s="394"/>
      <c r="O1497" s="394"/>
      <c r="P1497" s="394"/>
      <c r="Q1497" s="394"/>
      <c r="R1497" s="381"/>
      <c r="S1497" s="408"/>
      <c r="T1497" s="385"/>
      <c r="U1497" s="475"/>
      <c r="V1497" s="395"/>
      <c r="W1497" s="395"/>
      <c r="X1497" s="528"/>
      <c r="Y1497" s="523"/>
      <c r="Z1497" s="393"/>
      <c r="AA1497" s="394"/>
      <c r="AB1497" s="394"/>
      <c r="AC1497" s="394"/>
      <c r="AD1497" s="394"/>
      <c r="AE1497" s="394"/>
      <c r="AF1497" s="394"/>
      <c r="AG1497" s="394"/>
      <c r="AH1497" s="394"/>
      <c r="AI1497" s="394"/>
      <c r="AJ1497" s="394"/>
      <c r="AK1497" s="381"/>
      <c r="AL1497" s="408"/>
      <c r="AM1497" s="385"/>
      <c r="AN1497" s="475"/>
      <c r="AO1497" s="395"/>
      <c r="AP1497" s="395"/>
      <c r="AQ1497" s="528"/>
      <c r="AR1497" s="523">
        <v>1</v>
      </c>
      <c r="AS1497" s="393"/>
      <c r="AT1497" s="600">
        <v>11.96232</v>
      </c>
      <c r="AU1497" s="394">
        <v>7.6578799999999996</v>
      </c>
      <c r="AV1497" s="394">
        <v>6.73733</v>
      </c>
      <c r="AW1497" s="394"/>
      <c r="AX1497" s="394"/>
      <c r="AY1497" s="394">
        <v>0</v>
      </c>
      <c r="AZ1497" s="394">
        <v>0</v>
      </c>
      <c r="BA1497" s="394">
        <v>1.00349</v>
      </c>
      <c r="BB1497" s="394">
        <v>6.73733</v>
      </c>
      <c r="BC1497" s="394"/>
      <c r="BD1497" s="381" t="s">
        <v>167</v>
      </c>
      <c r="BE1497" s="408" t="s">
        <v>175</v>
      </c>
      <c r="BF1497" s="385"/>
      <c r="BG1497" s="475">
        <v>622</v>
      </c>
      <c r="BH1497" s="395"/>
      <c r="BI1497" s="395">
        <f t="shared" ref="BI1497" si="933">AT1497/AR1497</f>
        <v>11.96232</v>
      </c>
    </row>
    <row r="1498" spans="1:61" s="358" customFormat="1" ht="19.2" x14ac:dyDescent="0.3">
      <c r="A1498" s="359" t="s">
        <v>1905</v>
      </c>
      <c r="B1498" s="602" t="s">
        <v>4766</v>
      </c>
      <c r="C1498" s="548" t="s">
        <v>4765</v>
      </c>
      <c r="D1498" s="360">
        <v>0.22</v>
      </c>
      <c r="E1498" s="528"/>
      <c r="F1498" s="523"/>
      <c r="G1498" s="393"/>
      <c r="H1498" s="394"/>
      <c r="I1498" s="394"/>
      <c r="J1498" s="394"/>
      <c r="K1498" s="394"/>
      <c r="L1498" s="394"/>
      <c r="M1498" s="394"/>
      <c r="N1498" s="394"/>
      <c r="O1498" s="394"/>
      <c r="P1498" s="394"/>
      <c r="Q1498" s="394"/>
      <c r="R1498" s="381"/>
      <c r="S1498" s="408"/>
      <c r="T1498" s="385"/>
      <c r="U1498" s="475"/>
      <c r="V1498" s="395"/>
      <c r="W1498" s="395"/>
      <c r="X1498" s="528"/>
      <c r="Y1498" s="523"/>
      <c r="Z1498" s="393"/>
      <c r="AA1498" s="394"/>
      <c r="AB1498" s="394"/>
      <c r="AC1498" s="394"/>
      <c r="AD1498" s="394"/>
      <c r="AE1498" s="394"/>
      <c r="AF1498" s="394"/>
      <c r="AG1498" s="394"/>
      <c r="AH1498" s="394"/>
      <c r="AI1498" s="394"/>
      <c r="AJ1498" s="394"/>
      <c r="AK1498" s="381"/>
      <c r="AL1498" s="408"/>
      <c r="AM1498" s="385"/>
      <c r="AN1498" s="475"/>
      <c r="AO1498" s="395"/>
      <c r="AP1498" s="395"/>
      <c r="AQ1498" s="528"/>
      <c r="AR1498" s="523">
        <v>1</v>
      </c>
      <c r="AS1498" s="393"/>
      <c r="AT1498" s="600">
        <v>11.962339999999999</v>
      </c>
      <c r="AU1498" s="394">
        <v>7.6578999999999997</v>
      </c>
      <c r="AV1498" s="394">
        <v>6.73733</v>
      </c>
      <c r="AW1498" s="394"/>
      <c r="AX1498" s="394"/>
      <c r="AY1498" s="394">
        <v>0</v>
      </c>
      <c r="AZ1498" s="394">
        <v>0</v>
      </c>
      <c r="BA1498" s="394">
        <v>1.00349</v>
      </c>
      <c r="BB1498" s="394">
        <v>6.73733</v>
      </c>
      <c r="BC1498" s="394"/>
      <c r="BD1498" s="381" t="s">
        <v>167</v>
      </c>
      <c r="BE1498" s="408" t="s">
        <v>175</v>
      </c>
      <c r="BF1498" s="385"/>
      <c r="BG1498" s="475">
        <v>623</v>
      </c>
      <c r="BH1498" s="395"/>
      <c r="BI1498" s="395">
        <f t="shared" si="917"/>
        <v>11.962339999999999</v>
      </c>
    </row>
    <row r="1499" spans="1:61" s="358" customFormat="1" ht="19.2" x14ac:dyDescent="0.3">
      <c r="A1499" s="359" t="s">
        <v>1906</v>
      </c>
      <c r="B1499" s="602" t="s">
        <v>5391</v>
      </c>
      <c r="C1499" s="548" t="s">
        <v>5392</v>
      </c>
      <c r="D1499" s="360">
        <v>0.22</v>
      </c>
      <c r="E1499" s="528"/>
      <c r="F1499" s="523"/>
      <c r="G1499" s="393"/>
      <c r="H1499" s="394"/>
      <c r="I1499" s="394"/>
      <c r="J1499" s="394"/>
      <c r="K1499" s="394"/>
      <c r="L1499" s="394"/>
      <c r="M1499" s="394"/>
      <c r="N1499" s="394"/>
      <c r="O1499" s="394"/>
      <c r="P1499" s="394"/>
      <c r="Q1499" s="394"/>
      <c r="R1499" s="381"/>
      <c r="S1499" s="408"/>
      <c r="T1499" s="385"/>
      <c r="U1499" s="475"/>
      <c r="V1499" s="395"/>
      <c r="W1499" s="395"/>
      <c r="X1499" s="528"/>
      <c r="Y1499" s="523"/>
      <c r="Z1499" s="393"/>
      <c r="AA1499" s="394"/>
      <c r="AB1499" s="394"/>
      <c r="AC1499" s="394"/>
      <c r="AD1499" s="394"/>
      <c r="AE1499" s="394"/>
      <c r="AF1499" s="394"/>
      <c r="AG1499" s="394"/>
      <c r="AH1499" s="394"/>
      <c r="AI1499" s="394"/>
      <c r="AJ1499" s="394"/>
      <c r="AK1499" s="381"/>
      <c r="AL1499" s="408"/>
      <c r="AM1499" s="385"/>
      <c r="AN1499" s="475"/>
      <c r="AO1499" s="395"/>
      <c r="AP1499" s="395"/>
      <c r="AQ1499" s="528"/>
      <c r="AR1499" s="523">
        <v>1</v>
      </c>
      <c r="AS1499" s="393"/>
      <c r="AT1499" s="600">
        <v>12.026249999999999</v>
      </c>
      <c r="AU1499" s="394">
        <v>7.7218099999999996</v>
      </c>
      <c r="AV1499" s="394">
        <v>6.7373500000000002</v>
      </c>
      <c r="AW1499" s="394"/>
      <c r="AX1499" s="394"/>
      <c r="AY1499" s="394">
        <v>0</v>
      </c>
      <c r="AZ1499" s="394">
        <v>0</v>
      </c>
      <c r="BA1499" s="394">
        <v>1.00349</v>
      </c>
      <c r="BB1499" s="394">
        <v>6.7373500000000002</v>
      </c>
      <c r="BC1499" s="394"/>
      <c r="BD1499" s="381" t="s">
        <v>167</v>
      </c>
      <c r="BE1499" s="408" t="s">
        <v>175</v>
      </c>
      <c r="BF1499" s="385"/>
      <c r="BG1499" s="475">
        <v>624</v>
      </c>
      <c r="BH1499" s="395"/>
      <c r="BI1499" s="395">
        <f t="shared" ref="BI1499" si="934">AT1499/AR1499</f>
        <v>12.026249999999999</v>
      </c>
    </row>
    <row r="1500" spans="1:61" s="358" customFormat="1" ht="19.2" x14ac:dyDescent="0.3">
      <c r="A1500" s="359" t="s">
        <v>1907</v>
      </c>
      <c r="B1500" s="602" t="s">
        <v>5505</v>
      </c>
      <c r="C1500" s="548" t="s">
        <v>5506</v>
      </c>
      <c r="D1500" s="360">
        <v>0.22</v>
      </c>
      <c r="E1500" s="528"/>
      <c r="F1500" s="523"/>
      <c r="G1500" s="393"/>
      <c r="H1500" s="394"/>
      <c r="I1500" s="394"/>
      <c r="J1500" s="394"/>
      <c r="K1500" s="394"/>
      <c r="L1500" s="394"/>
      <c r="M1500" s="394"/>
      <c r="N1500" s="394"/>
      <c r="O1500" s="394"/>
      <c r="P1500" s="394"/>
      <c r="Q1500" s="394"/>
      <c r="R1500" s="381"/>
      <c r="S1500" s="408"/>
      <c r="T1500" s="385"/>
      <c r="U1500" s="475"/>
      <c r="V1500" s="395"/>
      <c r="W1500" s="395"/>
      <c r="X1500" s="528"/>
      <c r="Y1500" s="523"/>
      <c r="Z1500" s="393"/>
      <c r="AA1500" s="394"/>
      <c r="AB1500" s="394"/>
      <c r="AC1500" s="394"/>
      <c r="AD1500" s="394"/>
      <c r="AE1500" s="394"/>
      <c r="AF1500" s="394"/>
      <c r="AG1500" s="394"/>
      <c r="AH1500" s="394"/>
      <c r="AI1500" s="394"/>
      <c r="AJ1500" s="394"/>
      <c r="AK1500" s="381"/>
      <c r="AL1500" s="408"/>
      <c r="AM1500" s="385"/>
      <c r="AN1500" s="475"/>
      <c r="AO1500" s="395"/>
      <c r="AP1500" s="395"/>
      <c r="AQ1500" s="528"/>
      <c r="AR1500" s="523">
        <v>1</v>
      </c>
      <c r="AS1500" s="393"/>
      <c r="AT1500" s="600">
        <v>7.7241600000000004</v>
      </c>
      <c r="AU1500" s="394">
        <v>6.83392</v>
      </c>
      <c r="AV1500" s="394">
        <v>6.73733</v>
      </c>
      <c r="AW1500" s="394"/>
      <c r="AX1500" s="394"/>
      <c r="AY1500" s="394">
        <v>0</v>
      </c>
      <c r="AZ1500" s="394">
        <v>0</v>
      </c>
      <c r="BA1500" s="394">
        <v>0.20754</v>
      </c>
      <c r="BB1500" s="394">
        <v>6.73733</v>
      </c>
      <c r="BC1500" s="394"/>
      <c r="BD1500" s="381" t="s">
        <v>167</v>
      </c>
      <c r="BE1500" s="408" t="s">
        <v>175</v>
      </c>
      <c r="BF1500" s="385"/>
      <c r="BG1500" s="475">
        <v>625</v>
      </c>
      <c r="BH1500" s="395"/>
      <c r="BI1500" s="395">
        <f t="shared" si="917"/>
        <v>7.7241600000000004</v>
      </c>
    </row>
    <row r="1501" spans="1:61" s="358" customFormat="1" ht="19.2" x14ac:dyDescent="0.3">
      <c r="A1501" s="359" t="s">
        <v>1908</v>
      </c>
      <c r="B1501" s="602" t="s">
        <v>5507</v>
      </c>
      <c r="C1501" s="548" t="s">
        <v>5508</v>
      </c>
      <c r="D1501" s="360">
        <v>0.22</v>
      </c>
      <c r="E1501" s="528"/>
      <c r="F1501" s="523"/>
      <c r="G1501" s="393"/>
      <c r="H1501" s="394"/>
      <c r="I1501" s="394"/>
      <c r="J1501" s="394"/>
      <c r="K1501" s="394"/>
      <c r="L1501" s="394"/>
      <c r="M1501" s="394"/>
      <c r="N1501" s="394"/>
      <c r="O1501" s="394"/>
      <c r="P1501" s="394"/>
      <c r="Q1501" s="394"/>
      <c r="R1501" s="381"/>
      <c r="S1501" s="408"/>
      <c r="T1501" s="385"/>
      <c r="U1501" s="475"/>
      <c r="V1501" s="395"/>
      <c r="W1501" s="395"/>
      <c r="X1501" s="528"/>
      <c r="Y1501" s="523"/>
      <c r="Z1501" s="393"/>
      <c r="AA1501" s="394"/>
      <c r="AB1501" s="394"/>
      <c r="AC1501" s="394"/>
      <c r="AD1501" s="394"/>
      <c r="AE1501" s="394"/>
      <c r="AF1501" s="394"/>
      <c r="AG1501" s="394"/>
      <c r="AH1501" s="394"/>
      <c r="AI1501" s="394"/>
      <c r="AJ1501" s="394"/>
      <c r="AK1501" s="381"/>
      <c r="AL1501" s="408"/>
      <c r="AM1501" s="385"/>
      <c r="AN1501" s="475"/>
      <c r="AO1501" s="395"/>
      <c r="AP1501" s="395"/>
      <c r="AQ1501" s="528"/>
      <c r="AR1501" s="523">
        <v>1</v>
      </c>
      <c r="AS1501" s="393"/>
      <c r="AT1501" s="600">
        <v>11.96232</v>
      </c>
      <c r="AU1501" s="394">
        <v>7.6578799999999996</v>
      </c>
      <c r="AV1501" s="394">
        <v>6.73733</v>
      </c>
      <c r="AW1501" s="394"/>
      <c r="AX1501" s="394"/>
      <c r="AY1501" s="394">
        <v>0</v>
      </c>
      <c r="AZ1501" s="394">
        <v>0</v>
      </c>
      <c r="BA1501" s="394">
        <v>1.00349</v>
      </c>
      <c r="BB1501" s="394">
        <v>6.73733</v>
      </c>
      <c r="BC1501" s="394"/>
      <c r="BD1501" s="381" t="s">
        <v>167</v>
      </c>
      <c r="BE1501" s="408" t="s">
        <v>175</v>
      </c>
      <c r="BF1501" s="385"/>
      <c r="BG1501" s="475">
        <v>626</v>
      </c>
      <c r="BH1501" s="395"/>
      <c r="BI1501" s="395">
        <f t="shared" ref="BI1501" si="935">AT1501/AR1501</f>
        <v>11.96232</v>
      </c>
    </row>
    <row r="1502" spans="1:61" s="358" customFormat="1" ht="19.2" x14ac:dyDescent="0.3">
      <c r="A1502" s="359" t="s">
        <v>1909</v>
      </c>
      <c r="B1502" s="602" t="s">
        <v>5509</v>
      </c>
      <c r="C1502" s="548" t="s">
        <v>5510</v>
      </c>
      <c r="D1502" s="360">
        <v>0.22</v>
      </c>
      <c r="E1502" s="528"/>
      <c r="F1502" s="523"/>
      <c r="G1502" s="393"/>
      <c r="H1502" s="394"/>
      <c r="I1502" s="394"/>
      <c r="J1502" s="394"/>
      <c r="K1502" s="394"/>
      <c r="L1502" s="394"/>
      <c r="M1502" s="394"/>
      <c r="N1502" s="394"/>
      <c r="O1502" s="394"/>
      <c r="P1502" s="394"/>
      <c r="Q1502" s="394"/>
      <c r="R1502" s="381"/>
      <c r="S1502" s="408"/>
      <c r="T1502" s="385"/>
      <c r="U1502" s="475"/>
      <c r="V1502" s="395"/>
      <c r="W1502" s="395"/>
      <c r="X1502" s="528"/>
      <c r="Y1502" s="523"/>
      <c r="Z1502" s="393"/>
      <c r="AA1502" s="394"/>
      <c r="AB1502" s="394"/>
      <c r="AC1502" s="394"/>
      <c r="AD1502" s="394"/>
      <c r="AE1502" s="394"/>
      <c r="AF1502" s="394"/>
      <c r="AG1502" s="394"/>
      <c r="AH1502" s="394"/>
      <c r="AI1502" s="394"/>
      <c r="AJ1502" s="394"/>
      <c r="AK1502" s="381"/>
      <c r="AL1502" s="408"/>
      <c r="AM1502" s="385"/>
      <c r="AN1502" s="475"/>
      <c r="AO1502" s="395"/>
      <c r="AP1502" s="395"/>
      <c r="AQ1502" s="528"/>
      <c r="AR1502" s="523">
        <v>1</v>
      </c>
      <c r="AS1502" s="393"/>
      <c r="AT1502" s="600">
        <v>11.962339999999999</v>
      </c>
      <c r="AU1502" s="394">
        <v>7.6578999999999997</v>
      </c>
      <c r="AV1502" s="394">
        <v>6.73733</v>
      </c>
      <c r="AW1502" s="394"/>
      <c r="AX1502" s="394"/>
      <c r="AY1502" s="394">
        <v>0</v>
      </c>
      <c r="AZ1502" s="394">
        <v>0</v>
      </c>
      <c r="BA1502" s="394">
        <v>1.00349</v>
      </c>
      <c r="BB1502" s="394">
        <v>6.73733</v>
      </c>
      <c r="BC1502" s="394"/>
      <c r="BD1502" s="381" t="s">
        <v>167</v>
      </c>
      <c r="BE1502" s="408" t="s">
        <v>175</v>
      </c>
      <c r="BF1502" s="385"/>
      <c r="BG1502" s="475">
        <v>627</v>
      </c>
      <c r="BH1502" s="395"/>
      <c r="BI1502" s="395">
        <f t="shared" si="917"/>
        <v>11.962339999999999</v>
      </c>
    </row>
    <row r="1503" spans="1:61" s="358" customFormat="1" ht="19.2" x14ac:dyDescent="0.3">
      <c r="A1503" s="359" t="s">
        <v>1910</v>
      </c>
      <c r="B1503" s="602" t="s">
        <v>4225</v>
      </c>
      <c r="C1503" s="548" t="s">
        <v>5608</v>
      </c>
      <c r="D1503" s="360">
        <v>0.22</v>
      </c>
      <c r="E1503" s="528"/>
      <c r="F1503" s="523"/>
      <c r="G1503" s="393"/>
      <c r="H1503" s="394"/>
      <c r="I1503" s="394"/>
      <c r="J1503" s="394"/>
      <c r="K1503" s="394"/>
      <c r="L1503" s="394"/>
      <c r="M1503" s="394"/>
      <c r="N1503" s="394"/>
      <c r="O1503" s="394"/>
      <c r="P1503" s="394"/>
      <c r="Q1503" s="394"/>
      <c r="R1503" s="381"/>
      <c r="S1503" s="408"/>
      <c r="T1503" s="385"/>
      <c r="U1503" s="475"/>
      <c r="V1503" s="395"/>
      <c r="W1503" s="395"/>
      <c r="X1503" s="528"/>
      <c r="Y1503" s="523"/>
      <c r="Z1503" s="393"/>
      <c r="AA1503" s="394"/>
      <c r="AB1503" s="394"/>
      <c r="AC1503" s="394"/>
      <c r="AD1503" s="394"/>
      <c r="AE1503" s="394"/>
      <c r="AF1503" s="394"/>
      <c r="AG1503" s="394"/>
      <c r="AH1503" s="394"/>
      <c r="AI1503" s="394"/>
      <c r="AJ1503" s="394"/>
      <c r="AK1503" s="381"/>
      <c r="AL1503" s="408"/>
      <c r="AM1503" s="385"/>
      <c r="AN1503" s="475"/>
      <c r="AO1503" s="395"/>
      <c r="AP1503" s="395"/>
      <c r="AQ1503" s="528"/>
      <c r="AR1503" s="523">
        <v>1</v>
      </c>
      <c r="AS1503" s="393"/>
      <c r="AT1503" s="600">
        <v>11.963900000000001</v>
      </c>
      <c r="AU1503" s="394">
        <v>7.6594600000000002</v>
      </c>
      <c r="AV1503" s="394">
        <v>6.73733</v>
      </c>
      <c r="AW1503" s="394"/>
      <c r="AX1503" s="394"/>
      <c r="AY1503" s="394">
        <v>0</v>
      </c>
      <c r="AZ1503" s="394">
        <v>0</v>
      </c>
      <c r="BA1503" s="394">
        <v>1.00349</v>
      </c>
      <c r="BB1503" s="394">
        <v>6.73733</v>
      </c>
      <c r="BC1503" s="394"/>
      <c r="BD1503" s="381" t="s">
        <v>167</v>
      </c>
      <c r="BE1503" s="408" t="s">
        <v>175</v>
      </c>
      <c r="BF1503" s="385"/>
      <c r="BG1503" s="475">
        <v>628</v>
      </c>
      <c r="BH1503" s="395"/>
      <c r="BI1503" s="395">
        <f t="shared" ref="BI1503:BI1532" si="936">AT1503/AR1503</f>
        <v>11.963900000000001</v>
      </c>
    </row>
    <row r="1504" spans="1:61" s="358" customFormat="1" ht="19.2" x14ac:dyDescent="0.3">
      <c r="A1504" s="359" t="s">
        <v>1911</v>
      </c>
      <c r="B1504" s="602" t="s">
        <v>5609</v>
      </c>
      <c r="C1504" s="548" t="s">
        <v>5610</v>
      </c>
      <c r="D1504" s="360">
        <v>0.22</v>
      </c>
      <c r="E1504" s="528"/>
      <c r="F1504" s="523"/>
      <c r="G1504" s="393"/>
      <c r="H1504" s="394"/>
      <c r="I1504" s="394"/>
      <c r="J1504" s="394"/>
      <c r="K1504" s="394"/>
      <c r="L1504" s="394"/>
      <c r="M1504" s="394"/>
      <c r="N1504" s="394"/>
      <c r="O1504" s="394"/>
      <c r="P1504" s="394"/>
      <c r="Q1504" s="394"/>
      <c r="R1504" s="381"/>
      <c r="S1504" s="408"/>
      <c r="T1504" s="385"/>
      <c r="U1504" s="475"/>
      <c r="V1504" s="395"/>
      <c r="W1504" s="395"/>
      <c r="X1504" s="528"/>
      <c r="Y1504" s="523"/>
      <c r="Z1504" s="393"/>
      <c r="AA1504" s="394"/>
      <c r="AB1504" s="394"/>
      <c r="AC1504" s="394"/>
      <c r="AD1504" s="394"/>
      <c r="AE1504" s="394"/>
      <c r="AF1504" s="394"/>
      <c r="AG1504" s="394"/>
      <c r="AH1504" s="394"/>
      <c r="AI1504" s="394"/>
      <c r="AJ1504" s="394"/>
      <c r="AK1504" s="381"/>
      <c r="AL1504" s="408"/>
      <c r="AM1504" s="385"/>
      <c r="AN1504" s="475"/>
      <c r="AO1504" s="395"/>
      <c r="AP1504" s="395"/>
      <c r="AQ1504" s="528"/>
      <c r="AR1504" s="523">
        <v>1</v>
      </c>
      <c r="AS1504" s="393"/>
      <c r="AT1504" s="600">
        <v>11.96392</v>
      </c>
      <c r="AU1504" s="394">
        <v>7.6594800000000003</v>
      </c>
      <c r="AV1504" s="394">
        <v>6.73733</v>
      </c>
      <c r="AW1504" s="394"/>
      <c r="AX1504" s="394"/>
      <c r="AY1504" s="394">
        <v>0</v>
      </c>
      <c r="AZ1504" s="394">
        <v>0</v>
      </c>
      <c r="BA1504" s="394">
        <v>1.00349</v>
      </c>
      <c r="BB1504" s="394">
        <v>6.73733</v>
      </c>
      <c r="BC1504" s="394"/>
      <c r="BD1504" s="381" t="s">
        <v>167</v>
      </c>
      <c r="BE1504" s="408" t="s">
        <v>175</v>
      </c>
      <c r="BF1504" s="385"/>
      <c r="BG1504" s="475">
        <v>629</v>
      </c>
      <c r="BH1504" s="395"/>
      <c r="BI1504" s="395">
        <f t="shared" si="936"/>
        <v>11.96392</v>
      </c>
    </row>
    <row r="1505" spans="1:61" s="358" customFormat="1" ht="19.2" x14ac:dyDescent="0.3">
      <c r="A1505" s="359" t="s">
        <v>1912</v>
      </c>
      <c r="B1505" s="602" t="s">
        <v>5611</v>
      </c>
      <c r="C1505" s="548" t="s">
        <v>5612</v>
      </c>
      <c r="D1505" s="360">
        <v>0.22</v>
      </c>
      <c r="E1505" s="528"/>
      <c r="F1505" s="523"/>
      <c r="G1505" s="393"/>
      <c r="H1505" s="394"/>
      <c r="I1505" s="394"/>
      <c r="J1505" s="394"/>
      <c r="K1505" s="394"/>
      <c r="L1505" s="394"/>
      <c r="M1505" s="394"/>
      <c r="N1505" s="394"/>
      <c r="O1505" s="394"/>
      <c r="P1505" s="394"/>
      <c r="Q1505" s="394"/>
      <c r="R1505" s="381"/>
      <c r="S1505" s="408"/>
      <c r="T1505" s="385"/>
      <c r="U1505" s="475"/>
      <c r="V1505" s="395"/>
      <c r="W1505" s="395"/>
      <c r="X1505" s="528"/>
      <c r="Y1505" s="523"/>
      <c r="Z1505" s="393"/>
      <c r="AA1505" s="394"/>
      <c r="AB1505" s="394"/>
      <c r="AC1505" s="394"/>
      <c r="AD1505" s="394"/>
      <c r="AE1505" s="394"/>
      <c r="AF1505" s="394"/>
      <c r="AG1505" s="394"/>
      <c r="AH1505" s="394"/>
      <c r="AI1505" s="394"/>
      <c r="AJ1505" s="394"/>
      <c r="AK1505" s="381"/>
      <c r="AL1505" s="408"/>
      <c r="AM1505" s="385"/>
      <c r="AN1505" s="475"/>
      <c r="AO1505" s="395"/>
      <c r="AP1505" s="395"/>
      <c r="AQ1505" s="528"/>
      <c r="AR1505" s="523">
        <v>1</v>
      </c>
      <c r="AS1505" s="393"/>
      <c r="AT1505" s="600">
        <v>11.96392</v>
      </c>
      <c r="AU1505" s="394">
        <v>7.6594800000000003</v>
      </c>
      <c r="AV1505" s="394">
        <v>6.73733</v>
      </c>
      <c r="AW1505" s="394"/>
      <c r="AX1505" s="394"/>
      <c r="AY1505" s="394">
        <v>0</v>
      </c>
      <c r="AZ1505" s="394">
        <v>0</v>
      </c>
      <c r="BA1505" s="394">
        <v>1.00349</v>
      </c>
      <c r="BB1505" s="394">
        <v>6.73733</v>
      </c>
      <c r="BC1505" s="394"/>
      <c r="BD1505" s="381" t="s">
        <v>167</v>
      </c>
      <c r="BE1505" s="408" t="s">
        <v>175</v>
      </c>
      <c r="BF1505" s="385"/>
      <c r="BG1505" s="475">
        <v>630</v>
      </c>
      <c r="BH1505" s="395"/>
      <c r="BI1505" s="395">
        <f t="shared" ref="BI1505" si="937">AT1505/AR1505</f>
        <v>11.96392</v>
      </c>
    </row>
    <row r="1506" spans="1:61" s="358" customFormat="1" ht="19.2" x14ac:dyDescent="0.3">
      <c r="A1506" s="359" t="s">
        <v>1913</v>
      </c>
      <c r="B1506" s="602" t="s">
        <v>5613</v>
      </c>
      <c r="C1506" s="548" t="s">
        <v>5614</v>
      </c>
      <c r="D1506" s="360">
        <v>0.22</v>
      </c>
      <c r="E1506" s="528"/>
      <c r="F1506" s="523"/>
      <c r="G1506" s="393"/>
      <c r="H1506" s="394"/>
      <c r="I1506" s="394"/>
      <c r="J1506" s="394"/>
      <c r="K1506" s="394"/>
      <c r="L1506" s="394"/>
      <c r="M1506" s="394"/>
      <c r="N1506" s="394"/>
      <c r="O1506" s="394"/>
      <c r="P1506" s="394"/>
      <c r="Q1506" s="394"/>
      <c r="R1506" s="381"/>
      <c r="S1506" s="408"/>
      <c r="T1506" s="385"/>
      <c r="U1506" s="475"/>
      <c r="V1506" s="395"/>
      <c r="W1506" s="395"/>
      <c r="X1506" s="528"/>
      <c r="Y1506" s="523"/>
      <c r="Z1506" s="393"/>
      <c r="AA1506" s="394"/>
      <c r="AB1506" s="394"/>
      <c r="AC1506" s="394"/>
      <c r="AD1506" s="394"/>
      <c r="AE1506" s="394"/>
      <c r="AF1506" s="394"/>
      <c r="AG1506" s="394"/>
      <c r="AH1506" s="394"/>
      <c r="AI1506" s="394"/>
      <c r="AJ1506" s="394"/>
      <c r="AK1506" s="381"/>
      <c r="AL1506" s="408"/>
      <c r="AM1506" s="385"/>
      <c r="AN1506" s="475"/>
      <c r="AO1506" s="395"/>
      <c r="AP1506" s="395"/>
      <c r="AQ1506" s="528"/>
      <c r="AR1506" s="523">
        <v>1</v>
      </c>
      <c r="AS1506" s="393"/>
      <c r="AT1506" s="600">
        <v>11.96392</v>
      </c>
      <c r="AU1506" s="394">
        <v>7.6594800000000003</v>
      </c>
      <c r="AV1506" s="394">
        <v>6.73733</v>
      </c>
      <c r="AW1506" s="394"/>
      <c r="AX1506" s="394"/>
      <c r="AY1506" s="394">
        <v>0</v>
      </c>
      <c r="AZ1506" s="394">
        <v>0</v>
      </c>
      <c r="BA1506" s="394">
        <v>1.00349</v>
      </c>
      <c r="BB1506" s="394">
        <v>6.73733</v>
      </c>
      <c r="BC1506" s="394"/>
      <c r="BD1506" s="381" t="s">
        <v>167</v>
      </c>
      <c r="BE1506" s="408" t="s">
        <v>175</v>
      </c>
      <c r="BF1506" s="385"/>
      <c r="BG1506" s="475">
        <v>631</v>
      </c>
      <c r="BH1506" s="395"/>
      <c r="BI1506" s="395">
        <f t="shared" si="936"/>
        <v>11.96392</v>
      </c>
    </row>
    <row r="1507" spans="1:61" s="358" customFormat="1" ht="19.2" x14ac:dyDescent="0.3">
      <c r="A1507" s="359" t="s">
        <v>1914</v>
      </c>
      <c r="B1507" s="602" t="s">
        <v>5615</v>
      </c>
      <c r="C1507" s="548" t="s">
        <v>5616</v>
      </c>
      <c r="D1507" s="360">
        <v>0.22</v>
      </c>
      <c r="E1507" s="528"/>
      <c r="F1507" s="523"/>
      <c r="G1507" s="393"/>
      <c r="H1507" s="394"/>
      <c r="I1507" s="394"/>
      <c r="J1507" s="394"/>
      <c r="K1507" s="394"/>
      <c r="L1507" s="394"/>
      <c r="M1507" s="394"/>
      <c r="N1507" s="394"/>
      <c r="O1507" s="394"/>
      <c r="P1507" s="394"/>
      <c r="Q1507" s="394"/>
      <c r="R1507" s="381"/>
      <c r="S1507" s="408"/>
      <c r="T1507" s="385"/>
      <c r="U1507" s="475"/>
      <c r="V1507" s="395"/>
      <c r="W1507" s="395"/>
      <c r="X1507" s="528"/>
      <c r="Y1507" s="523"/>
      <c r="Z1507" s="393"/>
      <c r="AA1507" s="394"/>
      <c r="AB1507" s="394"/>
      <c r="AC1507" s="394"/>
      <c r="AD1507" s="394"/>
      <c r="AE1507" s="394"/>
      <c r="AF1507" s="394"/>
      <c r="AG1507" s="394"/>
      <c r="AH1507" s="394"/>
      <c r="AI1507" s="394"/>
      <c r="AJ1507" s="394"/>
      <c r="AK1507" s="381"/>
      <c r="AL1507" s="408"/>
      <c r="AM1507" s="385"/>
      <c r="AN1507" s="475"/>
      <c r="AO1507" s="395"/>
      <c r="AP1507" s="395"/>
      <c r="AQ1507" s="528"/>
      <c r="AR1507" s="523">
        <v>1</v>
      </c>
      <c r="AS1507" s="393"/>
      <c r="AT1507" s="600">
        <v>11.96393</v>
      </c>
      <c r="AU1507" s="394">
        <v>7.6594899999999999</v>
      </c>
      <c r="AV1507" s="394">
        <v>6.73733</v>
      </c>
      <c r="AW1507" s="394"/>
      <c r="AX1507" s="394"/>
      <c r="AY1507" s="394">
        <v>0</v>
      </c>
      <c r="AZ1507" s="394">
        <v>0</v>
      </c>
      <c r="BA1507" s="394">
        <v>1.00349</v>
      </c>
      <c r="BB1507" s="394">
        <v>6.73733</v>
      </c>
      <c r="BC1507" s="394"/>
      <c r="BD1507" s="381" t="s">
        <v>167</v>
      </c>
      <c r="BE1507" s="408" t="s">
        <v>175</v>
      </c>
      <c r="BF1507" s="385"/>
      <c r="BG1507" s="475">
        <v>632</v>
      </c>
      <c r="BH1507" s="395"/>
      <c r="BI1507" s="395">
        <f t="shared" ref="BI1507" si="938">AT1507/AR1507</f>
        <v>11.96393</v>
      </c>
    </row>
    <row r="1508" spans="1:61" s="358" customFormat="1" ht="19.2" x14ac:dyDescent="0.3">
      <c r="A1508" s="359" t="s">
        <v>1915</v>
      </c>
      <c r="B1508" s="602" t="s">
        <v>5617</v>
      </c>
      <c r="C1508" s="548" t="s">
        <v>5618</v>
      </c>
      <c r="D1508" s="360">
        <v>0.22</v>
      </c>
      <c r="E1508" s="528"/>
      <c r="F1508" s="523"/>
      <c r="G1508" s="393"/>
      <c r="H1508" s="394"/>
      <c r="I1508" s="394"/>
      <c r="J1508" s="394"/>
      <c r="K1508" s="394"/>
      <c r="L1508" s="394"/>
      <c r="M1508" s="394"/>
      <c r="N1508" s="394"/>
      <c r="O1508" s="394"/>
      <c r="P1508" s="394"/>
      <c r="Q1508" s="394"/>
      <c r="R1508" s="381"/>
      <c r="S1508" s="408"/>
      <c r="T1508" s="385"/>
      <c r="U1508" s="475"/>
      <c r="V1508" s="395"/>
      <c r="W1508" s="395"/>
      <c r="X1508" s="528"/>
      <c r="Y1508" s="523"/>
      <c r="Z1508" s="393"/>
      <c r="AA1508" s="394"/>
      <c r="AB1508" s="394"/>
      <c r="AC1508" s="394"/>
      <c r="AD1508" s="394"/>
      <c r="AE1508" s="394"/>
      <c r="AF1508" s="394"/>
      <c r="AG1508" s="394"/>
      <c r="AH1508" s="394"/>
      <c r="AI1508" s="394"/>
      <c r="AJ1508" s="394"/>
      <c r="AK1508" s="381"/>
      <c r="AL1508" s="408"/>
      <c r="AM1508" s="385"/>
      <c r="AN1508" s="475"/>
      <c r="AO1508" s="395"/>
      <c r="AP1508" s="395"/>
      <c r="AQ1508" s="528"/>
      <c r="AR1508" s="523">
        <v>1</v>
      </c>
      <c r="AS1508" s="393"/>
      <c r="AT1508" s="600">
        <v>7.7241600000000004</v>
      </c>
      <c r="AU1508" s="394">
        <v>6.83392</v>
      </c>
      <c r="AV1508" s="394">
        <v>6.73733</v>
      </c>
      <c r="AW1508" s="394"/>
      <c r="AX1508" s="394"/>
      <c r="AY1508" s="394">
        <v>0</v>
      </c>
      <c r="AZ1508" s="394">
        <v>0</v>
      </c>
      <c r="BA1508" s="394">
        <v>0.20754</v>
      </c>
      <c r="BB1508" s="394">
        <v>6.73733</v>
      </c>
      <c r="BC1508" s="394"/>
      <c r="BD1508" s="381" t="s">
        <v>167</v>
      </c>
      <c r="BE1508" s="408" t="s">
        <v>175</v>
      </c>
      <c r="BF1508" s="385"/>
      <c r="BG1508" s="475">
        <v>633</v>
      </c>
      <c r="BH1508" s="395"/>
      <c r="BI1508" s="395">
        <f t="shared" si="936"/>
        <v>7.7241600000000004</v>
      </c>
    </row>
    <row r="1509" spans="1:61" s="358" customFormat="1" ht="19.2" x14ac:dyDescent="0.3">
      <c r="A1509" s="359" t="s">
        <v>1916</v>
      </c>
      <c r="B1509" s="602" t="s">
        <v>5619</v>
      </c>
      <c r="C1509" s="548" t="s">
        <v>5620</v>
      </c>
      <c r="D1509" s="360">
        <v>0.22</v>
      </c>
      <c r="E1509" s="528"/>
      <c r="F1509" s="523"/>
      <c r="G1509" s="393"/>
      <c r="H1509" s="394"/>
      <c r="I1509" s="394"/>
      <c r="J1509" s="394"/>
      <c r="K1509" s="394"/>
      <c r="L1509" s="394"/>
      <c r="M1509" s="394"/>
      <c r="N1509" s="394"/>
      <c r="O1509" s="394"/>
      <c r="P1509" s="394"/>
      <c r="Q1509" s="394"/>
      <c r="R1509" s="381"/>
      <c r="S1509" s="408"/>
      <c r="T1509" s="385"/>
      <c r="U1509" s="475"/>
      <c r="V1509" s="395"/>
      <c r="W1509" s="395"/>
      <c r="X1509" s="528"/>
      <c r="Y1509" s="523"/>
      <c r="Z1509" s="393"/>
      <c r="AA1509" s="394"/>
      <c r="AB1509" s="394"/>
      <c r="AC1509" s="394"/>
      <c r="AD1509" s="394"/>
      <c r="AE1509" s="394"/>
      <c r="AF1509" s="394"/>
      <c r="AG1509" s="394"/>
      <c r="AH1509" s="394"/>
      <c r="AI1509" s="394"/>
      <c r="AJ1509" s="394"/>
      <c r="AK1509" s="381"/>
      <c r="AL1509" s="408"/>
      <c r="AM1509" s="385"/>
      <c r="AN1509" s="475"/>
      <c r="AO1509" s="395"/>
      <c r="AP1509" s="395"/>
      <c r="AQ1509" s="528"/>
      <c r="AR1509" s="523">
        <v>1</v>
      </c>
      <c r="AS1509" s="393"/>
      <c r="AT1509" s="600">
        <v>11.963900000000001</v>
      </c>
      <c r="AU1509" s="394">
        <v>7.6594600000000002</v>
      </c>
      <c r="AV1509" s="394">
        <v>6.73733</v>
      </c>
      <c r="AW1509" s="394"/>
      <c r="AX1509" s="394"/>
      <c r="AY1509" s="394">
        <v>0</v>
      </c>
      <c r="AZ1509" s="394">
        <v>0</v>
      </c>
      <c r="BA1509" s="394">
        <v>1.00349</v>
      </c>
      <c r="BB1509" s="394">
        <v>6.73733</v>
      </c>
      <c r="BC1509" s="394"/>
      <c r="BD1509" s="381" t="s">
        <v>167</v>
      </c>
      <c r="BE1509" s="408" t="s">
        <v>175</v>
      </c>
      <c r="BF1509" s="385"/>
      <c r="BG1509" s="475">
        <v>634</v>
      </c>
      <c r="BH1509" s="395"/>
      <c r="BI1509" s="395">
        <f t="shared" ref="BI1509" si="939">AT1509/AR1509</f>
        <v>11.963900000000001</v>
      </c>
    </row>
    <row r="1510" spans="1:61" s="358" customFormat="1" ht="19.2" x14ac:dyDescent="0.3">
      <c r="A1510" s="359" t="s">
        <v>1917</v>
      </c>
      <c r="B1510" s="602" t="s">
        <v>5621</v>
      </c>
      <c r="C1510" s="548" t="s">
        <v>5622</v>
      </c>
      <c r="D1510" s="360">
        <v>0.22</v>
      </c>
      <c r="E1510" s="528"/>
      <c r="F1510" s="523"/>
      <c r="G1510" s="393"/>
      <c r="H1510" s="394"/>
      <c r="I1510" s="394"/>
      <c r="J1510" s="394"/>
      <c r="K1510" s="394"/>
      <c r="L1510" s="394"/>
      <c r="M1510" s="394"/>
      <c r="N1510" s="394"/>
      <c r="O1510" s="394"/>
      <c r="P1510" s="394"/>
      <c r="Q1510" s="394"/>
      <c r="R1510" s="381"/>
      <c r="S1510" s="408"/>
      <c r="T1510" s="385"/>
      <c r="U1510" s="475"/>
      <c r="V1510" s="395"/>
      <c r="W1510" s="395"/>
      <c r="X1510" s="528"/>
      <c r="Y1510" s="523"/>
      <c r="Z1510" s="393"/>
      <c r="AA1510" s="394"/>
      <c r="AB1510" s="394"/>
      <c r="AC1510" s="394"/>
      <c r="AD1510" s="394"/>
      <c r="AE1510" s="394"/>
      <c r="AF1510" s="394"/>
      <c r="AG1510" s="394"/>
      <c r="AH1510" s="394"/>
      <c r="AI1510" s="394"/>
      <c r="AJ1510" s="394"/>
      <c r="AK1510" s="381"/>
      <c r="AL1510" s="408"/>
      <c r="AM1510" s="385"/>
      <c r="AN1510" s="475"/>
      <c r="AO1510" s="395"/>
      <c r="AP1510" s="395"/>
      <c r="AQ1510" s="528"/>
      <c r="AR1510" s="523">
        <v>1</v>
      </c>
      <c r="AS1510" s="393"/>
      <c r="AT1510" s="600">
        <v>11.963939999999999</v>
      </c>
      <c r="AU1510" s="394">
        <v>7.6595000000000004</v>
      </c>
      <c r="AV1510" s="394">
        <v>6.73733</v>
      </c>
      <c r="AW1510" s="394"/>
      <c r="AX1510" s="394"/>
      <c r="AY1510" s="394">
        <v>0</v>
      </c>
      <c r="AZ1510" s="394">
        <v>0</v>
      </c>
      <c r="BA1510" s="394">
        <v>1.00349</v>
      </c>
      <c r="BB1510" s="394">
        <v>6.73733</v>
      </c>
      <c r="BC1510" s="394"/>
      <c r="BD1510" s="381" t="s">
        <v>167</v>
      </c>
      <c r="BE1510" s="408" t="s">
        <v>175</v>
      </c>
      <c r="BF1510" s="385"/>
      <c r="BG1510" s="475">
        <v>635</v>
      </c>
      <c r="BH1510" s="395"/>
      <c r="BI1510" s="395">
        <f t="shared" si="936"/>
        <v>11.963939999999999</v>
      </c>
    </row>
    <row r="1511" spans="1:61" s="358" customFormat="1" ht="19.2" x14ac:dyDescent="0.3">
      <c r="A1511" s="359" t="s">
        <v>1918</v>
      </c>
      <c r="B1511" s="602" t="s">
        <v>5623</v>
      </c>
      <c r="C1511" s="548" t="s">
        <v>5624</v>
      </c>
      <c r="D1511" s="360">
        <v>0.22</v>
      </c>
      <c r="E1511" s="528"/>
      <c r="F1511" s="523"/>
      <c r="G1511" s="393"/>
      <c r="H1511" s="394"/>
      <c r="I1511" s="394"/>
      <c r="J1511" s="394"/>
      <c r="K1511" s="394"/>
      <c r="L1511" s="394"/>
      <c r="M1511" s="394"/>
      <c r="N1511" s="394"/>
      <c r="O1511" s="394"/>
      <c r="P1511" s="394"/>
      <c r="Q1511" s="394"/>
      <c r="R1511" s="381"/>
      <c r="S1511" s="408"/>
      <c r="T1511" s="385"/>
      <c r="U1511" s="475"/>
      <c r="V1511" s="395"/>
      <c r="W1511" s="395"/>
      <c r="X1511" s="528"/>
      <c r="Y1511" s="523"/>
      <c r="Z1511" s="393"/>
      <c r="AA1511" s="394"/>
      <c r="AB1511" s="394"/>
      <c r="AC1511" s="394"/>
      <c r="AD1511" s="394"/>
      <c r="AE1511" s="394"/>
      <c r="AF1511" s="394"/>
      <c r="AG1511" s="394"/>
      <c r="AH1511" s="394"/>
      <c r="AI1511" s="394"/>
      <c r="AJ1511" s="394"/>
      <c r="AK1511" s="381"/>
      <c r="AL1511" s="408"/>
      <c r="AM1511" s="385"/>
      <c r="AN1511" s="475"/>
      <c r="AO1511" s="395"/>
      <c r="AP1511" s="395"/>
      <c r="AQ1511" s="528"/>
      <c r="AR1511" s="523">
        <v>1</v>
      </c>
      <c r="AS1511" s="393"/>
      <c r="AT1511" s="600">
        <v>11.963939999999999</v>
      </c>
      <c r="AU1511" s="394">
        <v>7.6595000000000004</v>
      </c>
      <c r="AV1511" s="394">
        <v>6.73733</v>
      </c>
      <c r="AW1511" s="394"/>
      <c r="AX1511" s="394"/>
      <c r="AY1511" s="394">
        <v>0</v>
      </c>
      <c r="AZ1511" s="394">
        <v>0</v>
      </c>
      <c r="BA1511" s="394">
        <v>1.00349</v>
      </c>
      <c r="BB1511" s="394">
        <v>6.73733</v>
      </c>
      <c r="BC1511" s="394"/>
      <c r="BD1511" s="381" t="s">
        <v>167</v>
      </c>
      <c r="BE1511" s="408" t="s">
        <v>175</v>
      </c>
      <c r="BF1511" s="385"/>
      <c r="BG1511" s="475">
        <v>636</v>
      </c>
      <c r="BH1511" s="395"/>
      <c r="BI1511" s="395">
        <f t="shared" ref="BI1511" si="940">AT1511/AR1511</f>
        <v>11.963939999999999</v>
      </c>
    </row>
    <row r="1512" spans="1:61" s="358" customFormat="1" ht="19.2" x14ac:dyDescent="0.3">
      <c r="A1512" s="359" t="s">
        <v>1919</v>
      </c>
      <c r="B1512" s="602" t="s">
        <v>5625</v>
      </c>
      <c r="C1512" s="548" t="s">
        <v>5626</v>
      </c>
      <c r="D1512" s="360">
        <v>0.22</v>
      </c>
      <c r="E1512" s="528"/>
      <c r="F1512" s="523"/>
      <c r="G1512" s="393"/>
      <c r="H1512" s="394"/>
      <c r="I1512" s="394"/>
      <c r="J1512" s="394"/>
      <c r="K1512" s="394"/>
      <c r="L1512" s="394"/>
      <c r="M1512" s="394"/>
      <c r="N1512" s="394"/>
      <c r="O1512" s="394"/>
      <c r="P1512" s="394"/>
      <c r="Q1512" s="394"/>
      <c r="R1512" s="381"/>
      <c r="S1512" s="408"/>
      <c r="T1512" s="385"/>
      <c r="U1512" s="475"/>
      <c r="V1512" s="395"/>
      <c r="W1512" s="395"/>
      <c r="X1512" s="528"/>
      <c r="Y1512" s="523"/>
      <c r="Z1512" s="393"/>
      <c r="AA1512" s="394"/>
      <c r="AB1512" s="394"/>
      <c r="AC1512" s="394"/>
      <c r="AD1512" s="394"/>
      <c r="AE1512" s="394"/>
      <c r="AF1512" s="394"/>
      <c r="AG1512" s="394"/>
      <c r="AH1512" s="394"/>
      <c r="AI1512" s="394"/>
      <c r="AJ1512" s="394"/>
      <c r="AK1512" s="381"/>
      <c r="AL1512" s="408"/>
      <c r="AM1512" s="385"/>
      <c r="AN1512" s="475"/>
      <c r="AO1512" s="395"/>
      <c r="AP1512" s="395"/>
      <c r="AQ1512" s="528"/>
      <c r="AR1512" s="523">
        <v>1</v>
      </c>
      <c r="AS1512" s="393"/>
      <c r="AT1512" s="600">
        <v>11.963900000000001</v>
      </c>
      <c r="AU1512" s="394">
        <v>7.6594600000000002</v>
      </c>
      <c r="AV1512" s="394">
        <v>6.73733</v>
      </c>
      <c r="AW1512" s="394"/>
      <c r="AX1512" s="394"/>
      <c r="AY1512" s="394">
        <v>0</v>
      </c>
      <c r="AZ1512" s="394">
        <v>0</v>
      </c>
      <c r="BA1512" s="394">
        <v>1.00349</v>
      </c>
      <c r="BB1512" s="394">
        <v>6.73733</v>
      </c>
      <c r="BC1512" s="394"/>
      <c r="BD1512" s="381" t="s">
        <v>167</v>
      </c>
      <c r="BE1512" s="408" t="s">
        <v>175</v>
      </c>
      <c r="BF1512" s="385"/>
      <c r="BG1512" s="475">
        <v>637</v>
      </c>
      <c r="BH1512" s="395"/>
      <c r="BI1512" s="395">
        <f t="shared" si="936"/>
        <v>11.963900000000001</v>
      </c>
    </row>
    <row r="1513" spans="1:61" s="358" customFormat="1" ht="19.2" x14ac:dyDescent="0.3">
      <c r="A1513" s="359" t="s">
        <v>1920</v>
      </c>
      <c r="B1513" s="602" t="s">
        <v>5627</v>
      </c>
      <c r="C1513" s="548" t="s">
        <v>5628</v>
      </c>
      <c r="D1513" s="360">
        <v>0.22</v>
      </c>
      <c r="E1513" s="528"/>
      <c r="F1513" s="523"/>
      <c r="G1513" s="393"/>
      <c r="H1513" s="394"/>
      <c r="I1513" s="394"/>
      <c r="J1513" s="394"/>
      <c r="K1513" s="394"/>
      <c r="L1513" s="394"/>
      <c r="M1513" s="394"/>
      <c r="N1513" s="394"/>
      <c r="O1513" s="394"/>
      <c r="P1513" s="394"/>
      <c r="Q1513" s="394"/>
      <c r="R1513" s="381"/>
      <c r="S1513" s="408"/>
      <c r="T1513" s="385"/>
      <c r="U1513" s="475"/>
      <c r="V1513" s="395"/>
      <c r="W1513" s="395"/>
      <c r="X1513" s="528"/>
      <c r="Y1513" s="523"/>
      <c r="Z1513" s="393"/>
      <c r="AA1513" s="394"/>
      <c r="AB1513" s="394"/>
      <c r="AC1513" s="394"/>
      <c r="AD1513" s="394"/>
      <c r="AE1513" s="394"/>
      <c r="AF1513" s="394"/>
      <c r="AG1513" s="394"/>
      <c r="AH1513" s="394"/>
      <c r="AI1513" s="394"/>
      <c r="AJ1513" s="394"/>
      <c r="AK1513" s="381"/>
      <c r="AL1513" s="408"/>
      <c r="AM1513" s="385"/>
      <c r="AN1513" s="475"/>
      <c r="AO1513" s="395"/>
      <c r="AP1513" s="395"/>
      <c r="AQ1513" s="528"/>
      <c r="AR1513" s="523">
        <v>1</v>
      </c>
      <c r="AS1513" s="393"/>
      <c r="AT1513" s="600">
        <v>7.72417</v>
      </c>
      <c r="AU1513" s="394">
        <v>6.8339299999999996</v>
      </c>
      <c r="AV1513" s="394">
        <v>6.73733</v>
      </c>
      <c r="AW1513" s="394"/>
      <c r="AX1513" s="394"/>
      <c r="AY1513" s="394">
        <v>0</v>
      </c>
      <c r="AZ1513" s="394">
        <v>0</v>
      </c>
      <c r="BA1513" s="394">
        <v>0.20754</v>
      </c>
      <c r="BB1513" s="394">
        <v>6.73733</v>
      </c>
      <c r="BC1513" s="394"/>
      <c r="BD1513" s="381" t="s">
        <v>167</v>
      </c>
      <c r="BE1513" s="408" t="s">
        <v>175</v>
      </c>
      <c r="BF1513" s="385"/>
      <c r="BG1513" s="475">
        <v>638</v>
      </c>
      <c r="BH1513" s="395"/>
      <c r="BI1513" s="395">
        <f t="shared" ref="BI1513" si="941">AT1513/AR1513</f>
        <v>7.72417</v>
      </c>
    </row>
    <row r="1514" spans="1:61" s="358" customFormat="1" ht="19.2" x14ac:dyDescent="0.3">
      <c r="A1514" s="359" t="s">
        <v>1921</v>
      </c>
      <c r="B1514" s="602" t="s">
        <v>5629</v>
      </c>
      <c r="C1514" s="548" t="s">
        <v>5630</v>
      </c>
      <c r="D1514" s="360">
        <v>0.22</v>
      </c>
      <c r="E1514" s="528"/>
      <c r="F1514" s="523"/>
      <c r="G1514" s="393"/>
      <c r="H1514" s="394"/>
      <c r="I1514" s="394"/>
      <c r="J1514" s="394"/>
      <c r="K1514" s="394"/>
      <c r="L1514" s="394"/>
      <c r="M1514" s="394"/>
      <c r="N1514" s="394"/>
      <c r="O1514" s="394"/>
      <c r="P1514" s="394"/>
      <c r="Q1514" s="394"/>
      <c r="R1514" s="381"/>
      <c r="S1514" s="408"/>
      <c r="T1514" s="385"/>
      <c r="U1514" s="475"/>
      <c r="V1514" s="395"/>
      <c r="W1514" s="395"/>
      <c r="X1514" s="528"/>
      <c r="Y1514" s="523"/>
      <c r="Z1514" s="393"/>
      <c r="AA1514" s="394"/>
      <c r="AB1514" s="394"/>
      <c r="AC1514" s="394"/>
      <c r="AD1514" s="394"/>
      <c r="AE1514" s="394"/>
      <c r="AF1514" s="394"/>
      <c r="AG1514" s="394"/>
      <c r="AH1514" s="394"/>
      <c r="AI1514" s="394"/>
      <c r="AJ1514" s="394"/>
      <c r="AK1514" s="381"/>
      <c r="AL1514" s="408"/>
      <c r="AM1514" s="385"/>
      <c r="AN1514" s="475"/>
      <c r="AO1514" s="395"/>
      <c r="AP1514" s="395"/>
      <c r="AQ1514" s="528"/>
      <c r="AR1514" s="523">
        <v>1</v>
      </c>
      <c r="AS1514" s="393"/>
      <c r="AT1514" s="600">
        <v>7.72417</v>
      </c>
      <c r="AU1514" s="394">
        <v>6.8339299999999996</v>
      </c>
      <c r="AV1514" s="394">
        <v>6.73733</v>
      </c>
      <c r="AW1514" s="394"/>
      <c r="AX1514" s="394"/>
      <c r="AY1514" s="394">
        <v>0</v>
      </c>
      <c r="AZ1514" s="394">
        <v>0</v>
      </c>
      <c r="BA1514" s="394">
        <v>0.20754</v>
      </c>
      <c r="BB1514" s="394">
        <v>6.73733</v>
      </c>
      <c r="BC1514" s="394"/>
      <c r="BD1514" s="381" t="s">
        <v>167</v>
      </c>
      <c r="BE1514" s="408" t="s">
        <v>175</v>
      </c>
      <c r="BF1514" s="385"/>
      <c r="BG1514" s="475">
        <v>639</v>
      </c>
      <c r="BH1514" s="395"/>
      <c r="BI1514" s="395">
        <f t="shared" si="936"/>
        <v>7.72417</v>
      </c>
    </row>
    <row r="1515" spans="1:61" s="358" customFormat="1" ht="19.2" x14ac:dyDescent="0.3">
      <c r="A1515" s="359" t="s">
        <v>1922</v>
      </c>
      <c r="B1515" s="602" t="s">
        <v>5631</v>
      </c>
      <c r="C1515" s="548" t="s">
        <v>5632</v>
      </c>
      <c r="D1515" s="360">
        <v>0.22</v>
      </c>
      <c r="E1515" s="528"/>
      <c r="F1515" s="523"/>
      <c r="G1515" s="393"/>
      <c r="H1515" s="394"/>
      <c r="I1515" s="394"/>
      <c r="J1515" s="394"/>
      <c r="K1515" s="394"/>
      <c r="L1515" s="394"/>
      <c r="M1515" s="394"/>
      <c r="N1515" s="394"/>
      <c r="O1515" s="394"/>
      <c r="P1515" s="394"/>
      <c r="Q1515" s="394"/>
      <c r="R1515" s="381"/>
      <c r="S1515" s="408"/>
      <c r="T1515" s="385"/>
      <c r="U1515" s="475"/>
      <c r="V1515" s="395"/>
      <c r="W1515" s="395"/>
      <c r="X1515" s="528"/>
      <c r="Y1515" s="523"/>
      <c r="Z1515" s="393"/>
      <c r="AA1515" s="394"/>
      <c r="AB1515" s="394"/>
      <c r="AC1515" s="394"/>
      <c r="AD1515" s="394"/>
      <c r="AE1515" s="394"/>
      <c r="AF1515" s="394"/>
      <c r="AG1515" s="394"/>
      <c r="AH1515" s="394"/>
      <c r="AI1515" s="394"/>
      <c r="AJ1515" s="394"/>
      <c r="AK1515" s="381"/>
      <c r="AL1515" s="408"/>
      <c r="AM1515" s="385"/>
      <c r="AN1515" s="475"/>
      <c r="AO1515" s="395"/>
      <c r="AP1515" s="395"/>
      <c r="AQ1515" s="528"/>
      <c r="AR1515" s="523">
        <v>1</v>
      </c>
      <c r="AS1515" s="393"/>
      <c r="AT1515" s="600">
        <v>11.963900000000001</v>
      </c>
      <c r="AU1515" s="394">
        <v>7.6594699999999998</v>
      </c>
      <c r="AV1515" s="394">
        <v>6.73733</v>
      </c>
      <c r="AW1515" s="394"/>
      <c r="AX1515" s="394"/>
      <c r="AY1515" s="394">
        <v>0</v>
      </c>
      <c r="AZ1515" s="394">
        <v>0</v>
      </c>
      <c r="BA1515" s="394">
        <v>1.00349</v>
      </c>
      <c r="BB1515" s="394">
        <v>6.73733</v>
      </c>
      <c r="BC1515" s="394"/>
      <c r="BD1515" s="381" t="s">
        <v>167</v>
      </c>
      <c r="BE1515" s="408" t="s">
        <v>175</v>
      </c>
      <c r="BF1515" s="385"/>
      <c r="BG1515" s="475">
        <v>640</v>
      </c>
      <c r="BH1515" s="395"/>
      <c r="BI1515" s="395">
        <f t="shared" ref="BI1515" si="942">AT1515/AR1515</f>
        <v>11.963900000000001</v>
      </c>
    </row>
    <row r="1516" spans="1:61" s="358" customFormat="1" ht="19.2" x14ac:dyDescent="0.3">
      <c r="A1516" s="359" t="s">
        <v>1923</v>
      </c>
      <c r="B1516" s="602" t="s">
        <v>5633</v>
      </c>
      <c r="C1516" s="548" t="s">
        <v>5634</v>
      </c>
      <c r="D1516" s="360">
        <v>0.22</v>
      </c>
      <c r="E1516" s="528"/>
      <c r="F1516" s="523"/>
      <c r="G1516" s="393"/>
      <c r="H1516" s="394"/>
      <c r="I1516" s="394"/>
      <c r="J1516" s="394"/>
      <c r="K1516" s="394"/>
      <c r="L1516" s="394"/>
      <c r="M1516" s="394"/>
      <c r="N1516" s="394"/>
      <c r="O1516" s="394"/>
      <c r="P1516" s="394"/>
      <c r="Q1516" s="394"/>
      <c r="R1516" s="381"/>
      <c r="S1516" s="408"/>
      <c r="T1516" s="385"/>
      <c r="U1516" s="475"/>
      <c r="V1516" s="395"/>
      <c r="W1516" s="395"/>
      <c r="X1516" s="528"/>
      <c r="Y1516" s="523"/>
      <c r="Z1516" s="393"/>
      <c r="AA1516" s="394"/>
      <c r="AB1516" s="394"/>
      <c r="AC1516" s="394"/>
      <c r="AD1516" s="394"/>
      <c r="AE1516" s="394"/>
      <c r="AF1516" s="394"/>
      <c r="AG1516" s="394"/>
      <c r="AH1516" s="394"/>
      <c r="AI1516" s="394"/>
      <c r="AJ1516" s="394"/>
      <c r="AK1516" s="381"/>
      <c r="AL1516" s="408"/>
      <c r="AM1516" s="385"/>
      <c r="AN1516" s="475"/>
      <c r="AO1516" s="395"/>
      <c r="AP1516" s="395"/>
      <c r="AQ1516" s="528"/>
      <c r="AR1516" s="523">
        <v>1</v>
      </c>
      <c r="AS1516" s="393"/>
      <c r="AT1516" s="600">
        <v>7.72417</v>
      </c>
      <c r="AU1516" s="394">
        <v>6.8339299999999996</v>
      </c>
      <c r="AV1516" s="394">
        <v>6.73733</v>
      </c>
      <c r="AW1516" s="394"/>
      <c r="AX1516" s="394"/>
      <c r="AY1516" s="394">
        <v>0</v>
      </c>
      <c r="AZ1516" s="394">
        <v>0</v>
      </c>
      <c r="BA1516" s="394">
        <v>0.20754</v>
      </c>
      <c r="BB1516" s="394">
        <v>6.73733</v>
      </c>
      <c r="BC1516" s="394"/>
      <c r="BD1516" s="381" t="s">
        <v>167</v>
      </c>
      <c r="BE1516" s="408" t="s">
        <v>175</v>
      </c>
      <c r="BF1516" s="385"/>
      <c r="BG1516" s="475">
        <v>641</v>
      </c>
      <c r="BH1516" s="395"/>
      <c r="BI1516" s="395">
        <f t="shared" si="936"/>
        <v>7.72417</v>
      </c>
    </row>
    <row r="1517" spans="1:61" s="358" customFormat="1" ht="19.2" x14ac:dyDescent="0.3">
      <c r="A1517" s="359" t="s">
        <v>1924</v>
      </c>
      <c r="B1517" s="602" t="s">
        <v>5635</v>
      </c>
      <c r="C1517" s="548" t="s">
        <v>5636</v>
      </c>
      <c r="D1517" s="360">
        <v>0.22</v>
      </c>
      <c r="E1517" s="528"/>
      <c r="F1517" s="523"/>
      <c r="G1517" s="393"/>
      <c r="H1517" s="394"/>
      <c r="I1517" s="394"/>
      <c r="J1517" s="394"/>
      <c r="K1517" s="394"/>
      <c r="L1517" s="394"/>
      <c r="M1517" s="394"/>
      <c r="N1517" s="394"/>
      <c r="O1517" s="394"/>
      <c r="P1517" s="394"/>
      <c r="Q1517" s="394"/>
      <c r="R1517" s="381"/>
      <c r="S1517" s="408"/>
      <c r="T1517" s="385"/>
      <c r="U1517" s="475"/>
      <c r="V1517" s="395"/>
      <c r="W1517" s="395"/>
      <c r="X1517" s="528"/>
      <c r="Y1517" s="523"/>
      <c r="Z1517" s="393"/>
      <c r="AA1517" s="394"/>
      <c r="AB1517" s="394"/>
      <c r="AC1517" s="394"/>
      <c r="AD1517" s="394"/>
      <c r="AE1517" s="394"/>
      <c r="AF1517" s="394"/>
      <c r="AG1517" s="394"/>
      <c r="AH1517" s="394"/>
      <c r="AI1517" s="394"/>
      <c r="AJ1517" s="394"/>
      <c r="AK1517" s="381"/>
      <c r="AL1517" s="408"/>
      <c r="AM1517" s="385"/>
      <c r="AN1517" s="475"/>
      <c r="AO1517" s="395"/>
      <c r="AP1517" s="395"/>
      <c r="AQ1517" s="528"/>
      <c r="AR1517" s="523">
        <v>1</v>
      </c>
      <c r="AS1517" s="393"/>
      <c r="AT1517" s="600">
        <v>7.72417</v>
      </c>
      <c r="AU1517" s="394">
        <v>6.8339299999999996</v>
      </c>
      <c r="AV1517" s="394">
        <v>6.73733</v>
      </c>
      <c r="AW1517" s="394"/>
      <c r="AX1517" s="394"/>
      <c r="AY1517" s="394">
        <v>0</v>
      </c>
      <c r="AZ1517" s="394">
        <v>0</v>
      </c>
      <c r="BA1517" s="394">
        <v>0.20754</v>
      </c>
      <c r="BB1517" s="394">
        <v>6.73733</v>
      </c>
      <c r="BC1517" s="394"/>
      <c r="BD1517" s="381" t="s">
        <v>167</v>
      </c>
      <c r="BE1517" s="408" t="s">
        <v>175</v>
      </c>
      <c r="BF1517" s="385"/>
      <c r="BG1517" s="475">
        <v>642</v>
      </c>
      <c r="BH1517" s="395"/>
      <c r="BI1517" s="395">
        <f t="shared" ref="BI1517" si="943">AT1517/AR1517</f>
        <v>7.72417</v>
      </c>
    </row>
    <row r="1518" spans="1:61" s="358" customFormat="1" ht="19.2" x14ac:dyDescent="0.3">
      <c r="A1518" s="359" t="s">
        <v>1925</v>
      </c>
      <c r="B1518" s="602" t="s">
        <v>5637</v>
      </c>
      <c r="C1518" s="548" t="s">
        <v>5638</v>
      </c>
      <c r="D1518" s="360">
        <v>0.22</v>
      </c>
      <c r="E1518" s="528"/>
      <c r="F1518" s="523"/>
      <c r="G1518" s="393"/>
      <c r="H1518" s="394"/>
      <c r="I1518" s="394"/>
      <c r="J1518" s="394"/>
      <c r="K1518" s="394"/>
      <c r="L1518" s="394"/>
      <c r="M1518" s="394"/>
      <c r="N1518" s="394"/>
      <c r="O1518" s="394"/>
      <c r="P1518" s="394"/>
      <c r="Q1518" s="394"/>
      <c r="R1518" s="381"/>
      <c r="S1518" s="408"/>
      <c r="T1518" s="385"/>
      <c r="U1518" s="475"/>
      <c r="V1518" s="395"/>
      <c r="W1518" s="395"/>
      <c r="X1518" s="528"/>
      <c r="Y1518" s="523"/>
      <c r="Z1518" s="393"/>
      <c r="AA1518" s="394"/>
      <c r="AB1518" s="394"/>
      <c r="AC1518" s="394"/>
      <c r="AD1518" s="394"/>
      <c r="AE1518" s="394"/>
      <c r="AF1518" s="394"/>
      <c r="AG1518" s="394"/>
      <c r="AH1518" s="394"/>
      <c r="AI1518" s="394"/>
      <c r="AJ1518" s="394"/>
      <c r="AK1518" s="381"/>
      <c r="AL1518" s="408"/>
      <c r="AM1518" s="385"/>
      <c r="AN1518" s="475"/>
      <c r="AO1518" s="395"/>
      <c r="AP1518" s="395"/>
      <c r="AQ1518" s="528"/>
      <c r="AR1518" s="523">
        <v>1</v>
      </c>
      <c r="AS1518" s="393"/>
      <c r="AT1518" s="600">
        <v>11.96391</v>
      </c>
      <c r="AU1518" s="394">
        <v>7.6594699999999998</v>
      </c>
      <c r="AV1518" s="394">
        <v>6.73733</v>
      </c>
      <c r="AW1518" s="394"/>
      <c r="AX1518" s="394"/>
      <c r="AY1518" s="394">
        <v>0</v>
      </c>
      <c r="AZ1518" s="394">
        <v>0</v>
      </c>
      <c r="BA1518" s="394">
        <v>1.00349</v>
      </c>
      <c r="BB1518" s="394">
        <v>6.73733</v>
      </c>
      <c r="BC1518" s="394"/>
      <c r="BD1518" s="381" t="s">
        <v>167</v>
      </c>
      <c r="BE1518" s="408" t="s">
        <v>175</v>
      </c>
      <c r="BF1518" s="385"/>
      <c r="BG1518" s="475">
        <v>643</v>
      </c>
      <c r="BH1518" s="395"/>
      <c r="BI1518" s="395">
        <f t="shared" si="936"/>
        <v>11.96391</v>
      </c>
    </row>
    <row r="1519" spans="1:61" s="358" customFormat="1" ht="19.2" x14ac:dyDescent="0.3">
      <c r="A1519" s="359" t="s">
        <v>1926</v>
      </c>
      <c r="B1519" s="602" t="s">
        <v>5639</v>
      </c>
      <c r="C1519" s="548" t="s">
        <v>5640</v>
      </c>
      <c r="D1519" s="360">
        <v>0.22</v>
      </c>
      <c r="E1519" s="528"/>
      <c r="F1519" s="523"/>
      <c r="G1519" s="393"/>
      <c r="H1519" s="394"/>
      <c r="I1519" s="394"/>
      <c r="J1519" s="394"/>
      <c r="K1519" s="394"/>
      <c r="L1519" s="394"/>
      <c r="M1519" s="394"/>
      <c r="N1519" s="394"/>
      <c r="O1519" s="394"/>
      <c r="P1519" s="394"/>
      <c r="Q1519" s="394"/>
      <c r="R1519" s="381"/>
      <c r="S1519" s="408"/>
      <c r="T1519" s="385"/>
      <c r="U1519" s="475"/>
      <c r="V1519" s="395"/>
      <c r="W1519" s="395"/>
      <c r="X1519" s="528"/>
      <c r="Y1519" s="523"/>
      <c r="Z1519" s="393"/>
      <c r="AA1519" s="394"/>
      <c r="AB1519" s="394"/>
      <c r="AC1519" s="394"/>
      <c r="AD1519" s="394"/>
      <c r="AE1519" s="394"/>
      <c r="AF1519" s="394"/>
      <c r="AG1519" s="394"/>
      <c r="AH1519" s="394"/>
      <c r="AI1519" s="394"/>
      <c r="AJ1519" s="394"/>
      <c r="AK1519" s="381"/>
      <c r="AL1519" s="408"/>
      <c r="AM1519" s="385"/>
      <c r="AN1519" s="475"/>
      <c r="AO1519" s="395"/>
      <c r="AP1519" s="395"/>
      <c r="AQ1519" s="528"/>
      <c r="AR1519" s="523">
        <v>1</v>
      </c>
      <c r="AS1519" s="393"/>
      <c r="AT1519" s="600">
        <v>11.96393</v>
      </c>
      <c r="AU1519" s="394">
        <v>7.6594899999999999</v>
      </c>
      <c r="AV1519" s="394">
        <v>6.73733</v>
      </c>
      <c r="AW1519" s="394"/>
      <c r="AX1519" s="394"/>
      <c r="AY1519" s="394">
        <v>0</v>
      </c>
      <c r="AZ1519" s="394">
        <v>0</v>
      </c>
      <c r="BA1519" s="394">
        <v>1.00349</v>
      </c>
      <c r="BB1519" s="394">
        <v>6.73733</v>
      </c>
      <c r="BC1519" s="394"/>
      <c r="BD1519" s="381" t="s">
        <v>167</v>
      </c>
      <c r="BE1519" s="408" t="s">
        <v>175</v>
      </c>
      <c r="BF1519" s="385"/>
      <c r="BG1519" s="475">
        <v>644</v>
      </c>
      <c r="BH1519" s="395"/>
      <c r="BI1519" s="395">
        <f t="shared" ref="BI1519" si="944">AT1519/AR1519</f>
        <v>11.96393</v>
      </c>
    </row>
    <row r="1520" spans="1:61" s="358" customFormat="1" ht="19.2" x14ac:dyDescent="0.3">
      <c r="A1520" s="359" t="s">
        <v>1927</v>
      </c>
      <c r="B1520" s="602" t="s">
        <v>5641</v>
      </c>
      <c r="C1520" s="548" t="s">
        <v>5642</v>
      </c>
      <c r="D1520" s="360">
        <v>0.22</v>
      </c>
      <c r="E1520" s="528"/>
      <c r="F1520" s="523"/>
      <c r="G1520" s="393"/>
      <c r="H1520" s="394"/>
      <c r="I1520" s="394"/>
      <c r="J1520" s="394"/>
      <c r="K1520" s="394"/>
      <c r="L1520" s="394"/>
      <c r="M1520" s="394"/>
      <c r="N1520" s="394"/>
      <c r="O1520" s="394"/>
      <c r="P1520" s="394"/>
      <c r="Q1520" s="394"/>
      <c r="R1520" s="381"/>
      <c r="S1520" s="408"/>
      <c r="T1520" s="385"/>
      <c r="U1520" s="475"/>
      <c r="V1520" s="395"/>
      <c r="W1520" s="395"/>
      <c r="X1520" s="528"/>
      <c r="Y1520" s="523"/>
      <c r="Z1520" s="393"/>
      <c r="AA1520" s="394"/>
      <c r="AB1520" s="394"/>
      <c r="AC1520" s="394"/>
      <c r="AD1520" s="394"/>
      <c r="AE1520" s="394"/>
      <c r="AF1520" s="394"/>
      <c r="AG1520" s="394"/>
      <c r="AH1520" s="394"/>
      <c r="AI1520" s="394"/>
      <c r="AJ1520" s="394"/>
      <c r="AK1520" s="381"/>
      <c r="AL1520" s="408"/>
      <c r="AM1520" s="385"/>
      <c r="AN1520" s="475"/>
      <c r="AO1520" s="395"/>
      <c r="AP1520" s="395"/>
      <c r="AQ1520" s="528"/>
      <c r="AR1520" s="523">
        <v>1</v>
      </c>
      <c r="AS1520" s="393"/>
      <c r="AT1520" s="600">
        <v>11.96393</v>
      </c>
      <c r="AU1520" s="394">
        <v>7.6594899999999999</v>
      </c>
      <c r="AV1520" s="394">
        <v>6.73733</v>
      </c>
      <c r="AW1520" s="394"/>
      <c r="AX1520" s="394"/>
      <c r="AY1520" s="394">
        <v>0</v>
      </c>
      <c r="AZ1520" s="394">
        <v>0</v>
      </c>
      <c r="BA1520" s="394">
        <v>1.00349</v>
      </c>
      <c r="BB1520" s="394">
        <v>6.73733</v>
      </c>
      <c r="BC1520" s="394"/>
      <c r="BD1520" s="381" t="s">
        <v>167</v>
      </c>
      <c r="BE1520" s="408" t="s">
        <v>175</v>
      </c>
      <c r="BF1520" s="385"/>
      <c r="BG1520" s="475">
        <v>645</v>
      </c>
      <c r="BH1520" s="395"/>
      <c r="BI1520" s="395">
        <f t="shared" si="936"/>
        <v>11.96393</v>
      </c>
    </row>
    <row r="1521" spans="1:61" s="358" customFormat="1" ht="19.2" x14ac:dyDescent="0.3">
      <c r="A1521" s="359" t="s">
        <v>1928</v>
      </c>
      <c r="B1521" s="602" t="s">
        <v>5643</v>
      </c>
      <c r="C1521" s="548" t="s">
        <v>5644</v>
      </c>
      <c r="D1521" s="360">
        <v>0.22</v>
      </c>
      <c r="E1521" s="528"/>
      <c r="F1521" s="523"/>
      <c r="G1521" s="393"/>
      <c r="H1521" s="394"/>
      <c r="I1521" s="394"/>
      <c r="J1521" s="394"/>
      <c r="K1521" s="394"/>
      <c r="L1521" s="394"/>
      <c r="M1521" s="394"/>
      <c r="N1521" s="394"/>
      <c r="O1521" s="394"/>
      <c r="P1521" s="394"/>
      <c r="Q1521" s="394"/>
      <c r="R1521" s="381"/>
      <c r="S1521" s="408"/>
      <c r="T1521" s="385"/>
      <c r="U1521" s="475"/>
      <c r="V1521" s="395"/>
      <c r="W1521" s="395"/>
      <c r="X1521" s="528"/>
      <c r="Y1521" s="523"/>
      <c r="Z1521" s="393"/>
      <c r="AA1521" s="394"/>
      <c r="AB1521" s="394"/>
      <c r="AC1521" s="394"/>
      <c r="AD1521" s="394"/>
      <c r="AE1521" s="394"/>
      <c r="AF1521" s="394"/>
      <c r="AG1521" s="394"/>
      <c r="AH1521" s="394"/>
      <c r="AI1521" s="394"/>
      <c r="AJ1521" s="394"/>
      <c r="AK1521" s="381"/>
      <c r="AL1521" s="408"/>
      <c r="AM1521" s="385"/>
      <c r="AN1521" s="475"/>
      <c r="AO1521" s="395"/>
      <c r="AP1521" s="395"/>
      <c r="AQ1521" s="528"/>
      <c r="AR1521" s="523">
        <v>1</v>
      </c>
      <c r="AS1521" s="393"/>
      <c r="AT1521" s="600">
        <v>11.96393</v>
      </c>
      <c r="AU1521" s="394">
        <v>7.6594899999999999</v>
      </c>
      <c r="AV1521" s="394">
        <v>6.73733</v>
      </c>
      <c r="AW1521" s="394"/>
      <c r="AX1521" s="394"/>
      <c r="AY1521" s="394">
        <v>0</v>
      </c>
      <c r="AZ1521" s="394">
        <v>0</v>
      </c>
      <c r="BA1521" s="394">
        <v>1.00349</v>
      </c>
      <c r="BB1521" s="394">
        <v>6.73733</v>
      </c>
      <c r="BC1521" s="394"/>
      <c r="BD1521" s="381" t="s">
        <v>167</v>
      </c>
      <c r="BE1521" s="408" t="s">
        <v>175</v>
      </c>
      <c r="BF1521" s="385"/>
      <c r="BG1521" s="475">
        <v>646</v>
      </c>
      <c r="BH1521" s="395"/>
      <c r="BI1521" s="395">
        <f t="shared" ref="BI1521" si="945">AT1521/AR1521</f>
        <v>11.96393</v>
      </c>
    </row>
    <row r="1522" spans="1:61" s="358" customFormat="1" ht="19.2" x14ac:dyDescent="0.3">
      <c r="A1522" s="359" t="s">
        <v>1929</v>
      </c>
      <c r="B1522" s="602" t="s">
        <v>5645</v>
      </c>
      <c r="C1522" s="548" t="s">
        <v>5646</v>
      </c>
      <c r="D1522" s="360">
        <v>0.22</v>
      </c>
      <c r="E1522" s="528"/>
      <c r="F1522" s="523"/>
      <c r="G1522" s="393"/>
      <c r="H1522" s="394"/>
      <c r="I1522" s="394"/>
      <c r="J1522" s="394"/>
      <c r="K1522" s="394"/>
      <c r="L1522" s="394"/>
      <c r="M1522" s="394"/>
      <c r="N1522" s="394"/>
      <c r="O1522" s="394"/>
      <c r="P1522" s="394"/>
      <c r="Q1522" s="394"/>
      <c r="R1522" s="381"/>
      <c r="S1522" s="408"/>
      <c r="T1522" s="385"/>
      <c r="U1522" s="475"/>
      <c r="V1522" s="395"/>
      <c r="W1522" s="395"/>
      <c r="X1522" s="528"/>
      <c r="Y1522" s="523"/>
      <c r="Z1522" s="393"/>
      <c r="AA1522" s="394"/>
      <c r="AB1522" s="394"/>
      <c r="AC1522" s="394"/>
      <c r="AD1522" s="394"/>
      <c r="AE1522" s="394"/>
      <c r="AF1522" s="394"/>
      <c r="AG1522" s="394"/>
      <c r="AH1522" s="394"/>
      <c r="AI1522" s="394"/>
      <c r="AJ1522" s="394"/>
      <c r="AK1522" s="381"/>
      <c r="AL1522" s="408"/>
      <c r="AM1522" s="385"/>
      <c r="AN1522" s="475"/>
      <c r="AO1522" s="395"/>
      <c r="AP1522" s="395"/>
      <c r="AQ1522" s="528"/>
      <c r="AR1522" s="523">
        <v>1</v>
      </c>
      <c r="AS1522" s="393"/>
      <c r="AT1522" s="600">
        <v>11.96393</v>
      </c>
      <c r="AU1522" s="394">
        <v>7.6594899999999999</v>
      </c>
      <c r="AV1522" s="394">
        <v>6.73733</v>
      </c>
      <c r="AW1522" s="394"/>
      <c r="AX1522" s="394"/>
      <c r="AY1522" s="394">
        <v>0</v>
      </c>
      <c r="AZ1522" s="394">
        <v>0</v>
      </c>
      <c r="BA1522" s="394">
        <v>1.00349</v>
      </c>
      <c r="BB1522" s="394">
        <v>6.73733</v>
      </c>
      <c r="BC1522" s="394"/>
      <c r="BD1522" s="381" t="s">
        <v>167</v>
      </c>
      <c r="BE1522" s="408" t="s">
        <v>175</v>
      </c>
      <c r="BF1522" s="385"/>
      <c r="BG1522" s="475">
        <v>647</v>
      </c>
      <c r="BH1522" s="395"/>
      <c r="BI1522" s="395">
        <f t="shared" si="936"/>
        <v>11.96393</v>
      </c>
    </row>
    <row r="1523" spans="1:61" s="358" customFormat="1" ht="19.2" x14ac:dyDescent="0.3">
      <c r="A1523" s="359" t="s">
        <v>1930</v>
      </c>
      <c r="B1523" s="602" t="s">
        <v>5647</v>
      </c>
      <c r="C1523" s="548" t="s">
        <v>5648</v>
      </c>
      <c r="D1523" s="360">
        <v>0.22</v>
      </c>
      <c r="E1523" s="528"/>
      <c r="F1523" s="523"/>
      <c r="G1523" s="393"/>
      <c r="H1523" s="394"/>
      <c r="I1523" s="394"/>
      <c r="J1523" s="394"/>
      <c r="K1523" s="394"/>
      <c r="L1523" s="394"/>
      <c r="M1523" s="394"/>
      <c r="N1523" s="394"/>
      <c r="O1523" s="394"/>
      <c r="P1523" s="394"/>
      <c r="Q1523" s="394"/>
      <c r="R1523" s="381"/>
      <c r="S1523" s="408"/>
      <c r="T1523" s="385"/>
      <c r="U1523" s="475"/>
      <c r="V1523" s="395"/>
      <c r="W1523" s="395"/>
      <c r="X1523" s="528"/>
      <c r="Y1523" s="523"/>
      <c r="Z1523" s="393"/>
      <c r="AA1523" s="394"/>
      <c r="AB1523" s="394"/>
      <c r="AC1523" s="394"/>
      <c r="AD1523" s="394"/>
      <c r="AE1523" s="394"/>
      <c r="AF1523" s="394"/>
      <c r="AG1523" s="394"/>
      <c r="AH1523" s="394"/>
      <c r="AI1523" s="394"/>
      <c r="AJ1523" s="394"/>
      <c r="AK1523" s="381"/>
      <c r="AL1523" s="408"/>
      <c r="AM1523" s="385"/>
      <c r="AN1523" s="475"/>
      <c r="AO1523" s="395"/>
      <c r="AP1523" s="395"/>
      <c r="AQ1523" s="528"/>
      <c r="AR1523" s="523">
        <v>1</v>
      </c>
      <c r="AS1523" s="393"/>
      <c r="AT1523" s="600">
        <v>11.96392</v>
      </c>
      <c r="AU1523" s="394">
        <v>7.6594800000000003</v>
      </c>
      <c r="AV1523" s="394">
        <v>6.73733</v>
      </c>
      <c r="AW1523" s="394"/>
      <c r="AX1523" s="394"/>
      <c r="AY1523" s="394">
        <v>0</v>
      </c>
      <c r="AZ1523" s="394">
        <v>0</v>
      </c>
      <c r="BA1523" s="394">
        <v>1.00349</v>
      </c>
      <c r="BB1523" s="394">
        <v>6.73733</v>
      </c>
      <c r="BC1523" s="394"/>
      <c r="BD1523" s="381" t="s">
        <v>167</v>
      </c>
      <c r="BE1523" s="408" t="s">
        <v>175</v>
      </c>
      <c r="BF1523" s="385"/>
      <c r="BG1523" s="475">
        <v>648</v>
      </c>
      <c r="BH1523" s="395"/>
      <c r="BI1523" s="395">
        <f t="shared" ref="BI1523" si="946">AT1523/AR1523</f>
        <v>11.96392</v>
      </c>
    </row>
    <row r="1524" spans="1:61" s="358" customFormat="1" ht="19.2" x14ac:dyDescent="0.3">
      <c r="A1524" s="359" t="s">
        <v>1931</v>
      </c>
      <c r="B1524" s="602" t="s">
        <v>5649</v>
      </c>
      <c r="C1524" s="548" t="s">
        <v>5650</v>
      </c>
      <c r="D1524" s="360">
        <v>0.22</v>
      </c>
      <c r="E1524" s="528"/>
      <c r="F1524" s="523"/>
      <c r="G1524" s="393"/>
      <c r="H1524" s="394"/>
      <c r="I1524" s="394"/>
      <c r="J1524" s="394"/>
      <c r="K1524" s="394"/>
      <c r="L1524" s="394"/>
      <c r="M1524" s="394"/>
      <c r="N1524" s="394"/>
      <c r="O1524" s="394"/>
      <c r="P1524" s="394"/>
      <c r="Q1524" s="394"/>
      <c r="R1524" s="381"/>
      <c r="S1524" s="408"/>
      <c r="T1524" s="385"/>
      <c r="U1524" s="475"/>
      <c r="V1524" s="395"/>
      <c r="W1524" s="395"/>
      <c r="X1524" s="528"/>
      <c r="Y1524" s="523"/>
      <c r="Z1524" s="393"/>
      <c r="AA1524" s="394"/>
      <c r="AB1524" s="394"/>
      <c r="AC1524" s="394"/>
      <c r="AD1524" s="394"/>
      <c r="AE1524" s="394"/>
      <c r="AF1524" s="394"/>
      <c r="AG1524" s="394"/>
      <c r="AH1524" s="394"/>
      <c r="AI1524" s="394"/>
      <c r="AJ1524" s="394"/>
      <c r="AK1524" s="381"/>
      <c r="AL1524" s="408"/>
      <c r="AM1524" s="385"/>
      <c r="AN1524" s="475"/>
      <c r="AO1524" s="395"/>
      <c r="AP1524" s="395"/>
      <c r="AQ1524" s="528"/>
      <c r="AR1524" s="523">
        <v>1</v>
      </c>
      <c r="AS1524" s="393"/>
      <c r="AT1524" s="600">
        <v>11.96392</v>
      </c>
      <c r="AU1524" s="394">
        <v>7.6594800000000003</v>
      </c>
      <c r="AV1524" s="394">
        <v>6.73733</v>
      </c>
      <c r="AW1524" s="394"/>
      <c r="AX1524" s="394"/>
      <c r="AY1524" s="394">
        <v>0</v>
      </c>
      <c r="AZ1524" s="394">
        <v>0</v>
      </c>
      <c r="BA1524" s="394">
        <v>1.00349</v>
      </c>
      <c r="BB1524" s="394">
        <v>6.73733</v>
      </c>
      <c r="BC1524" s="394"/>
      <c r="BD1524" s="381" t="s">
        <v>167</v>
      </c>
      <c r="BE1524" s="408" t="s">
        <v>175</v>
      </c>
      <c r="BF1524" s="385"/>
      <c r="BG1524" s="475">
        <v>649</v>
      </c>
      <c r="BH1524" s="395"/>
      <c r="BI1524" s="395">
        <f t="shared" si="936"/>
        <v>11.96392</v>
      </c>
    </row>
    <row r="1525" spans="1:61" s="358" customFormat="1" ht="19.2" x14ac:dyDescent="0.3">
      <c r="A1525" s="359" t="s">
        <v>1932</v>
      </c>
      <c r="B1525" s="602" t="s">
        <v>5651</v>
      </c>
      <c r="C1525" s="548" t="s">
        <v>5652</v>
      </c>
      <c r="D1525" s="360">
        <v>0.22</v>
      </c>
      <c r="E1525" s="528"/>
      <c r="F1525" s="523"/>
      <c r="G1525" s="393"/>
      <c r="H1525" s="394"/>
      <c r="I1525" s="394"/>
      <c r="J1525" s="394"/>
      <c r="K1525" s="394"/>
      <c r="L1525" s="394"/>
      <c r="M1525" s="394"/>
      <c r="N1525" s="394"/>
      <c r="O1525" s="394"/>
      <c r="P1525" s="394"/>
      <c r="Q1525" s="394"/>
      <c r="R1525" s="381"/>
      <c r="S1525" s="408"/>
      <c r="T1525" s="385"/>
      <c r="U1525" s="475"/>
      <c r="V1525" s="395"/>
      <c r="W1525" s="395"/>
      <c r="X1525" s="528"/>
      <c r="Y1525" s="523"/>
      <c r="Z1525" s="393"/>
      <c r="AA1525" s="394"/>
      <c r="AB1525" s="394"/>
      <c r="AC1525" s="394"/>
      <c r="AD1525" s="394"/>
      <c r="AE1525" s="394"/>
      <c r="AF1525" s="394"/>
      <c r="AG1525" s="394"/>
      <c r="AH1525" s="394"/>
      <c r="AI1525" s="394"/>
      <c r="AJ1525" s="394"/>
      <c r="AK1525" s="381"/>
      <c r="AL1525" s="408"/>
      <c r="AM1525" s="385"/>
      <c r="AN1525" s="475"/>
      <c r="AO1525" s="395"/>
      <c r="AP1525" s="395"/>
      <c r="AQ1525" s="528"/>
      <c r="AR1525" s="523">
        <v>1</v>
      </c>
      <c r="AS1525" s="393"/>
      <c r="AT1525" s="600">
        <v>11.96393</v>
      </c>
      <c r="AU1525" s="394">
        <v>7.6594899999999999</v>
      </c>
      <c r="AV1525" s="394">
        <v>6.73733</v>
      </c>
      <c r="AW1525" s="394"/>
      <c r="AX1525" s="394"/>
      <c r="AY1525" s="394">
        <v>0</v>
      </c>
      <c r="AZ1525" s="394">
        <v>0</v>
      </c>
      <c r="BA1525" s="394">
        <v>1.00349</v>
      </c>
      <c r="BB1525" s="394">
        <v>6.73733</v>
      </c>
      <c r="BC1525" s="394"/>
      <c r="BD1525" s="381" t="s">
        <v>167</v>
      </c>
      <c r="BE1525" s="408" t="s">
        <v>175</v>
      </c>
      <c r="BF1525" s="385"/>
      <c r="BG1525" s="475">
        <v>650</v>
      </c>
      <c r="BH1525" s="395"/>
      <c r="BI1525" s="395">
        <f t="shared" ref="BI1525" si="947">AT1525/AR1525</f>
        <v>11.96393</v>
      </c>
    </row>
    <row r="1526" spans="1:61" s="358" customFormat="1" ht="19.2" x14ac:dyDescent="0.3">
      <c r="A1526" s="359" t="s">
        <v>1933</v>
      </c>
      <c r="B1526" s="602" t="s">
        <v>5653</v>
      </c>
      <c r="C1526" s="548" t="s">
        <v>5654</v>
      </c>
      <c r="D1526" s="360">
        <v>0.22</v>
      </c>
      <c r="E1526" s="528"/>
      <c r="F1526" s="523"/>
      <c r="G1526" s="393"/>
      <c r="H1526" s="394"/>
      <c r="I1526" s="394"/>
      <c r="J1526" s="394"/>
      <c r="K1526" s="394"/>
      <c r="L1526" s="394"/>
      <c r="M1526" s="394"/>
      <c r="N1526" s="394"/>
      <c r="O1526" s="394"/>
      <c r="P1526" s="394"/>
      <c r="Q1526" s="394"/>
      <c r="R1526" s="381"/>
      <c r="S1526" s="408"/>
      <c r="T1526" s="385"/>
      <c r="U1526" s="475"/>
      <c r="V1526" s="395"/>
      <c r="W1526" s="395"/>
      <c r="X1526" s="528"/>
      <c r="Y1526" s="523"/>
      <c r="Z1526" s="393"/>
      <c r="AA1526" s="394"/>
      <c r="AB1526" s="394"/>
      <c r="AC1526" s="394"/>
      <c r="AD1526" s="394"/>
      <c r="AE1526" s="394"/>
      <c r="AF1526" s="394"/>
      <c r="AG1526" s="394"/>
      <c r="AH1526" s="394"/>
      <c r="AI1526" s="394"/>
      <c r="AJ1526" s="394"/>
      <c r="AK1526" s="381"/>
      <c r="AL1526" s="408"/>
      <c r="AM1526" s="385"/>
      <c r="AN1526" s="475"/>
      <c r="AO1526" s="395"/>
      <c r="AP1526" s="395"/>
      <c r="AQ1526" s="528"/>
      <c r="AR1526" s="523">
        <v>1</v>
      </c>
      <c r="AS1526" s="393"/>
      <c r="AT1526" s="600">
        <v>11.96393</v>
      </c>
      <c r="AU1526" s="394">
        <v>7.6594899999999999</v>
      </c>
      <c r="AV1526" s="394">
        <v>6.73733</v>
      </c>
      <c r="AW1526" s="394"/>
      <c r="AX1526" s="394"/>
      <c r="AY1526" s="394">
        <v>0</v>
      </c>
      <c r="AZ1526" s="394">
        <v>0</v>
      </c>
      <c r="BA1526" s="394">
        <v>1.00349</v>
      </c>
      <c r="BB1526" s="394">
        <v>6.73733</v>
      </c>
      <c r="BC1526" s="394"/>
      <c r="BD1526" s="381" t="s">
        <v>167</v>
      </c>
      <c r="BE1526" s="408" t="s">
        <v>175</v>
      </c>
      <c r="BF1526" s="385"/>
      <c r="BG1526" s="475">
        <v>651</v>
      </c>
      <c r="BH1526" s="395"/>
      <c r="BI1526" s="395">
        <f t="shared" si="936"/>
        <v>11.96393</v>
      </c>
    </row>
    <row r="1527" spans="1:61" s="358" customFormat="1" ht="19.2" x14ac:dyDescent="0.3">
      <c r="A1527" s="359" t="s">
        <v>1934</v>
      </c>
      <c r="B1527" s="602" t="s">
        <v>5655</v>
      </c>
      <c r="C1527" s="548" t="s">
        <v>5656</v>
      </c>
      <c r="D1527" s="360">
        <v>0.22</v>
      </c>
      <c r="E1527" s="528"/>
      <c r="F1527" s="523"/>
      <c r="G1527" s="393"/>
      <c r="H1527" s="394"/>
      <c r="I1527" s="394"/>
      <c r="J1527" s="394"/>
      <c r="K1527" s="394"/>
      <c r="L1527" s="394"/>
      <c r="M1527" s="394"/>
      <c r="N1527" s="394"/>
      <c r="O1527" s="394"/>
      <c r="P1527" s="394"/>
      <c r="Q1527" s="394"/>
      <c r="R1527" s="381"/>
      <c r="S1527" s="408"/>
      <c r="T1527" s="385"/>
      <c r="U1527" s="475"/>
      <c r="V1527" s="395"/>
      <c r="W1527" s="395"/>
      <c r="X1527" s="528"/>
      <c r="Y1527" s="523"/>
      <c r="Z1527" s="393"/>
      <c r="AA1527" s="394"/>
      <c r="AB1527" s="394"/>
      <c r="AC1527" s="394"/>
      <c r="AD1527" s="394"/>
      <c r="AE1527" s="394"/>
      <c r="AF1527" s="394"/>
      <c r="AG1527" s="394"/>
      <c r="AH1527" s="394"/>
      <c r="AI1527" s="394"/>
      <c r="AJ1527" s="394"/>
      <c r="AK1527" s="381"/>
      <c r="AL1527" s="408"/>
      <c r="AM1527" s="385"/>
      <c r="AN1527" s="475"/>
      <c r="AO1527" s="395"/>
      <c r="AP1527" s="395"/>
      <c r="AQ1527" s="528"/>
      <c r="AR1527" s="523">
        <v>1</v>
      </c>
      <c r="AS1527" s="393"/>
      <c r="AT1527" s="600">
        <v>11.96393</v>
      </c>
      <c r="AU1527" s="394">
        <v>7.6594899999999999</v>
      </c>
      <c r="AV1527" s="394">
        <v>6.73733</v>
      </c>
      <c r="AW1527" s="394"/>
      <c r="AX1527" s="394"/>
      <c r="AY1527" s="394">
        <v>0</v>
      </c>
      <c r="AZ1527" s="394">
        <v>0</v>
      </c>
      <c r="BA1527" s="394">
        <v>1.00349</v>
      </c>
      <c r="BB1527" s="394">
        <v>6.73733</v>
      </c>
      <c r="BC1527" s="394"/>
      <c r="BD1527" s="381" t="s">
        <v>167</v>
      </c>
      <c r="BE1527" s="408" t="s">
        <v>175</v>
      </c>
      <c r="BF1527" s="385"/>
      <c r="BG1527" s="475">
        <v>652</v>
      </c>
      <c r="BH1527" s="395"/>
      <c r="BI1527" s="395">
        <f t="shared" ref="BI1527" si="948">AT1527/AR1527</f>
        <v>11.96393</v>
      </c>
    </row>
    <row r="1528" spans="1:61" s="358" customFormat="1" ht="19.2" x14ac:dyDescent="0.3">
      <c r="A1528" s="359" t="s">
        <v>1935</v>
      </c>
      <c r="B1528" s="602" t="s">
        <v>5658</v>
      </c>
      <c r="C1528" s="548" t="s">
        <v>5657</v>
      </c>
      <c r="D1528" s="360">
        <v>0.22</v>
      </c>
      <c r="E1528" s="528"/>
      <c r="F1528" s="523"/>
      <c r="G1528" s="393"/>
      <c r="H1528" s="394"/>
      <c r="I1528" s="394"/>
      <c r="J1528" s="394"/>
      <c r="K1528" s="394"/>
      <c r="L1528" s="394"/>
      <c r="M1528" s="394"/>
      <c r="N1528" s="394"/>
      <c r="O1528" s="394"/>
      <c r="P1528" s="394"/>
      <c r="Q1528" s="394"/>
      <c r="R1528" s="381"/>
      <c r="S1528" s="408"/>
      <c r="T1528" s="385"/>
      <c r="U1528" s="475"/>
      <c r="V1528" s="395"/>
      <c r="W1528" s="395"/>
      <c r="X1528" s="528"/>
      <c r="Y1528" s="523"/>
      <c r="Z1528" s="393"/>
      <c r="AA1528" s="394"/>
      <c r="AB1528" s="394"/>
      <c r="AC1528" s="394"/>
      <c r="AD1528" s="394"/>
      <c r="AE1528" s="394"/>
      <c r="AF1528" s="394"/>
      <c r="AG1528" s="394"/>
      <c r="AH1528" s="394"/>
      <c r="AI1528" s="394"/>
      <c r="AJ1528" s="394"/>
      <c r="AK1528" s="381"/>
      <c r="AL1528" s="408"/>
      <c r="AM1528" s="385"/>
      <c r="AN1528" s="475"/>
      <c r="AO1528" s="395"/>
      <c r="AP1528" s="395"/>
      <c r="AQ1528" s="528"/>
      <c r="AR1528" s="523">
        <v>1</v>
      </c>
      <c r="AS1528" s="393"/>
      <c r="AT1528" s="600">
        <v>11.96393</v>
      </c>
      <c r="AU1528" s="394">
        <v>7.6594899999999999</v>
      </c>
      <c r="AV1528" s="394">
        <v>6.73733</v>
      </c>
      <c r="AW1528" s="394"/>
      <c r="AX1528" s="394"/>
      <c r="AY1528" s="394">
        <v>0</v>
      </c>
      <c r="AZ1528" s="394">
        <v>0</v>
      </c>
      <c r="BA1528" s="394">
        <v>1.00349</v>
      </c>
      <c r="BB1528" s="394">
        <v>6.73733</v>
      </c>
      <c r="BC1528" s="394"/>
      <c r="BD1528" s="381" t="s">
        <v>167</v>
      </c>
      <c r="BE1528" s="408" t="s">
        <v>175</v>
      </c>
      <c r="BF1528" s="385"/>
      <c r="BG1528" s="475">
        <v>653</v>
      </c>
      <c r="BH1528" s="395"/>
      <c r="BI1528" s="395">
        <f t="shared" si="936"/>
        <v>11.96393</v>
      </c>
    </row>
    <row r="1529" spans="1:61" s="358" customFormat="1" ht="19.2" x14ac:dyDescent="0.3">
      <c r="A1529" s="359" t="s">
        <v>1936</v>
      </c>
      <c r="B1529" s="602" t="s">
        <v>5659</v>
      </c>
      <c r="C1529" s="548" t="s">
        <v>5660</v>
      </c>
      <c r="D1529" s="360">
        <v>0.22</v>
      </c>
      <c r="E1529" s="528"/>
      <c r="F1529" s="523"/>
      <c r="G1529" s="393"/>
      <c r="H1529" s="394"/>
      <c r="I1529" s="394"/>
      <c r="J1529" s="394"/>
      <c r="K1529" s="394"/>
      <c r="L1529" s="394"/>
      <c r="M1529" s="394"/>
      <c r="N1529" s="394"/>
      <c r="O1529" s="394"/>
      <c r="P1529" s="394"/>
      <c r="Q1529" s="394"/>
      <c r="R1529" s="381"/>
      <c r="S1529" s="408"/>
      <c r="T1529" s="385"/>
      <c r="U1529" s="475"/>
      <c r="V1529" s="395"/>
      <c r="W1529" s="395"/>
      <c r="X1529" s="528"/>
      <c r="Y1529" s="523"/>
      <c r="Z1529" s="393"/>
      <c r="AA1529" s="394"/>
      <c r="AB1529" s="394"/>
      <c r="AC1529" s="394"/>
      <c r="AD1529" s="394"/>
      <c r="AE1529" s="394"/>
      <c r="AF1529" s="394"/>
      <c r="AG1529" s="394"/>
      <c r="AH1529" s="394"/>
      <c r="AI1529" s="394"/>
      <c r="AJ1529" s="394"/>
      <c r="AK1529" s="381"/>
      <c r="AL1529" s="408"/>
      <c r="AM1529" s="385"/>
      <c r="AN1529" s="475"/>
      <c r="AO1529" s="395"/>
      <c r="AP1529" s="395"/>
      <c r="AQ1529" s="528"/>
      <c r="AR1529" s="523">
        <v>1</v>
      </c>
      <c r="AS1529" s="393"/>
      <c r="AT1529" s="600">
        <v>7.72417</v>
      </c>
      <c r="AU1529" s="394">
        <v>6.8339299999999996</v>
      </c>
      <c r="AV1529" s="394">
        <v>6.73733</v>
      </c>
      <c r="AW1529" s="394"/>
      <c r="AX1529" s="394"/>
      <c r="AY1529" s="394">
        <v>0</v>
      </c>
      <c r="AZ1529" s="394">
        <v>0</v>
      </c>
      <c r="BA1529" s="394">
        <v>0.20754</v>
      </c>
      <c r="BB1529" s="394">
        <v>6.73733</v>
      </c>
      <c r="BC1529" s="394"/>
      <c r="BD1529" s="381" t="s">
        <v>167</v>
      </c>
      <c r="BE1529" s="408" t="s">
        <v>175</v>
      </c>
      <c r="BF1529" s="385"/>
      <c r="BG1529" s="475">
        <v>654</v>
      </c>
      <c r="BH1529" s="395"/>
      <c r="BI1529" s="395">
        <f t="shared" ref="BI1529" si="949">AT1529/AR1529</f>
        <v>7.72417</v>
      </c>
    </row>
    <row r="1530" spans="1:61" s="358" customFormat="1" ht="19.2" x14ac:dyDescent="0.3">
      <c r="A1530" s="359" t="s">
        <v>1937</v>
      </c>
      <c r="B1530" s="602" t="s">
        <v>4038</v>
      </c>
      <c r="C1530" s="548" t="s">
        <v>5661</v>
      </c>
      <c r="D1530" s="360">
        <v>0.22</v>
      </c>
      <c r="E1530" s="528"/>
      <c r="F1530" s="523"/>
      <c r="G1530" s="393"/>
      <c r="H1530" s="394"/>
      <c r="I1530" s="394"/>
      <c r="J1530" s="394"/>
      <c r="K1530" s="394"/>
      <c r="L1530" s="394"/>
      <c r="M1530" s="394"/>
      <c r="N1530" s="394"/>
      <c r="O1530" s="394"/>
      <c r="P1530" s="394"/>
      <c r="Q1530" s="394"/>
      <c r="R1530" s="381"/>
      <c r="S1530" s="408"/>
      <c r="T1530" s="385"/>
      <c r="U1530" s="475"/>
      <c r="V1530" s="395"/>
      <c r="W1530" s="395"/>
      <c r="X1530" s="528"/>
      <c r="Y1530" s="523"/>
      <c r="Z1530" s="393"/>
      <c r="AA1530" s="394"/>
      <c r="AB1530" s="394"/>
      <c r="AC1530" s="394"/>
      <c r="AD1530" s="394"/>
      <c r="AE1530" s="394"/>
      <c r="AF1530" s="394"/>
      <c r="AG1530" s="394"/>
      <c r="AH1530" s="394"/>
      <c r="AI1530" s="394"/>
      <c r="AJ1530" s="394"/>
      <c r="AK1530" s="381"/>
      <c r="AL1530" s="408"/>
      <c r="AM1530" s="385"/>
      <c r="AN1530" s="475"/>
      <c r="AO1530" s="395"/>
      <c r="AP1530" s="395"/>
      <c r="AQ1530" s="528"/>
      <c r="AR1530" s="523">
        <v>1</v>
      </c>
      <c r="AS1530" s="393"/>
      <c r="AT1530" s="600">
        <v>7.72417</v>
      </c>
      <c r="AU1530" s="394">
        <v>6.8339299999999996</v>
      </c>
      <c r="AV1530" s="394">
        <v>6.73733</v>
      </c>
      <c r="AW1530" s="394"/>
      <c r="AX1530" s="394"/>
      <c r="AY1530" s="394">
        <v>0</v>
      </c>
      <c r="AZ1530" s="394">
        <v>0</v>
      </c>
      <c r="BA1530" s="394">
        <v>0.20754</v>
      </c>
      <c r="BB1530" s="394">
        <v>6.73733</v>
      </c>
      <c r="BC1530" s="394"/>
      <c r="BD1530" s="381" t="s">
        <v>167</v>
      </c>
      <c r="BE1530" s="408" t="s">
        <v>175</v>
      </c>
      <c r="BF1530" s="385"/>
      <c r="BG1530" s="475">
        <v>655</v>
      </c>
      <c r="BH1530" s="395"/>
      <c r="BI1530" s="395">
        <f t="shared" si="936"/>
        <v>7.72417</v>
      </c>
    </row>
    <row r="1531" spans="1:61" s="358" customFormat="1" ht="19.2" x14ac:dyDescent="0.3">
      <c r="A1531" s="359" t="s">
        <v>1938</v>
      </c>
      <c r="B1531" s="602" t="s">
        <v>5662</v>
      </c>
      <c r="C1531" s="548" t="s">
        <v>5663</v>
      </c>
      <c r="D1531" s="360">
        <v>0.22</v>
      </c>
      <c r="E1531" s="528"/>
      <c r="F1531" s="523"/>
      <c r="G1531" s="393"/>
      <c r="H1531" s="394"/>
      <c r="I1531" s="394"/>
      <c r="J1531" s="394"/>
      <c r="K1531" s="394"/>
      <c r="L1531" s="394"/>
      <c r="M1531" s="394"/>
      <c r="N1531" s="394"/>
      <c r="O1531" s="394"/>
      <c r="P1531" s="394"/>
      <c r="Q1531" s="394"/>
      <c r="R1531" s="381"/>
      <c r="S1531" s="408"/>
      <c r="T1531" s="385"/>
      <c r="U1531" s="475"/>
      <c r="V1531" s="395"/>
      <c r="W1531" s="395"/>
      <c r="X1531" s="528"/>
      <c r="Y1531" s="523"/>
      <c r="Z1531" s="393"/>
      <c r="AA1531" s="394"/>
      <c r="AB1531" s="394"/>
      <c r="AC1531" s="394"/>
      <c r="AD1531" s="394"/>
      <c r="AE1531" s="394"/>
      <c r="AF1531" s="394"/>
      <c r="AG1531" s="394"/>
      <c r="AH1531" s="394"/>
      <c r="AI1531" s="394"/>
      <c r="AJ1531" s="394"/>
      <c r="AK1531" s="381"/>
      <c r="AL1531" s="408"/>
      <c r="AM1531" s="385"/>
      <c r="AN1531" s="475"/>
      <c r="AO1531" s="395"/>
      <c r="AP1531" s="395"/>
      <c r="AQ1531" s="528"/>
      <c r="AR1531" s="523">
        <v>1</v>
      </c>
      <c r="AS1531" s="393"/>
      <c r="AT1531" s="600">
        <v>7.72417</v>
      </c>
      <c r="AU1531" s="394">
        <v>6.8339299999999996</v>
      </c>
      <c r="AV1531" s="394">
        <v>6.73733</v>
      </c>
      <c r="AW1531" s="394"/>
      <c r="AX1531" s="394"/>
      <c r="AY1531" s="394">
        <v>0</v>
      </c>
      <c r="AZ1531" s="394">
        <v>0</v>
      </c>
      <c r="BA1531" s="394">
        <v>0.20754</v>
      </c>
      <c r="BB1531" s="394">
        <v>6.73733</v>
      </c>
      <c r="BC1531" s="394"/>
      <c r="BD1531" s="381" t="s">
        <v>167</v>
      </c>
      <c r="BE1531" s="408" t="s">
        <v>175</v>
      </c>
      <c r="BF1531" s="385"/>
      <c r="BG1531" s="475">
        <v>656</v>
      </c>
      <c r="BH1531" s="395"/>
      <c r="BI1531" s="395">
        <f t="shared" ref="BI1531" si="950">AT1531/AR1531</f>
        <v>7.72417</v>
      </c>
    </row>
    <row r="1532" spans="1:61" s="358" customFormat="1" ht="19.2" x14ac:dyDescent="0.3">
      <c r="A1532" s="359" t="s">
        <v>1939</v>
      </c>
      <c r="B1532" s="602" t="s">
        <v>5664</v>
      </c>
      <c r="C1532" s="548" t="s">
        <v>5665</v>
      </c>
      <c r="D1532" s="360">
        <v>0.22</v>
      </c>
      <c r="E1532" s="528"/>
      <c r="F1532" s="523"/>
      <c r="G1532" s="393"/>
      <c r="H1532" s="394"/>
      <c r="I1532" s="394"/>
      <c r="J1532" s="394"/>
      <c r="K1532" s="394"/>
      <c r="L1532" s="394"/>
      <c r="M1532" s="394"/>
      <c r="N1532" s="394"/>
      <c r="O1532" s="394"/>
      <c r="P1532" s="394"/>
      <c r="Q1532" s="394"/>
      <c r="R1532" s="381"/>
      <c r="S1532" s="408"/>
      <c r="T1532" s="385"/>
      <c r="U1532" s="475"/>
      <c r="V1532" s="395"/>
      <c r="W1532" s="395"/>
      <c r="X1532" s="528"/>
      <c r="Y1532" s="523"/>
      <c r="Z1532" s="393"/>
      <c r="AA1532" s="394"/>
      <c r="AB1532" s="394"/>
      <c r="AC1532" s="394"/>
      <c r="AD1532" s="394"/>
      <c r="AE1532" s="394"/>
      <c r="AF1532" s="394"/>
      <c r="AG1532" s="394"/>
      <c r="AH1532" s="394"/>
      <c r="AI1532" s="394"/>
      <c r="AJ1532" s="394"/>
      <c r="AK1532" s="381"/>
      <c r="AL1532" s="408"/>
      <c r="AM1532" s="385"/>
      <c r="AN1532" s="475"/>
      <c r="AO1532" s="395"/>
      <c r="AP1532" s="395"/>
      <c r="AQ1532" s="528"/>
      <c r="AR1532" s="523">
        <v>1</v>
      </c>
      <c r="AS1532" s="393"/>
      <c r="AT1532" s="600">
        <v>7.72417</v>
      </c>
      <c r="AU1532" s="394">
        <v>6.8339299999999996</v>
      </c>
      <c r="AV1532" s="394">
        <v>6.73733</v>
      </c>
      <c r="AW1532" s="394"/>
      <c r="AX1532" s="394"/>
      <c r="AY1532" s="394">
        <v>0</v>
      </c>
      <c r="AZ1532" s="394">
        <v>0</v>
      </c>
      <c r="BA1532" s="394">
        <v>0.20754</v>
      </c>
      <c r="BB1532" s="394">
        <v>6.73733</v>
      </c>
      <c r="BC1532" s="394"/>
      <c r="BD1532" s="381" t="s">
        <v>167</v>
      </c>
      <c r="BE1532" s="408" t="s">
        <v>175</v>
      </c>
      <c r="BF1532" s="385"/>
      <c r="BG1532" s="475">
        <v>657</v>
      </c>
      <c r="BH1532" s="395"/>
      <c r="BI1532" s="395">
        <f t="shared" si="936"/>
        <v>7.72417</v>
      </c>
    </row>
    <row r="1533" spans="1:61" s="358" customFormat="1" ht="19.2" x14ac:dyDescent="0.3">
      <c r="A1533" s="359" t="s">
        <v>1940</v>
      </c>
      <c r="B1533" s="602" t="s">
        <v>5666</v>
      </c>
      <c r="C1533" s="548" t="s">
        <v>5667</v>
      </c>
      <c r="D1533" s="360">
        <v>0.22</v>
      </c>
      <c r="E1533" s="528"/>
      <c r="F1533" s="523"/>
      <c r="G1533" s="393"/>
      <c r="H1533" s="394"/>
      <c r="I1533" s="394"/>
      <c r="J1533" s="394"/>
      <c r="K1533" s="394"/>
      <c r="L1533" s="394"/>
      <c r="M1533" s="394"/>
      <c r="N1533" s="394"/>
      <c r="O1533" s="394"/>
      <c r="P1533" s="394"/>
      <c r="Q1533" s="394"/>
      <c r="R1533" s="381"/>
      <c r="S1533" s="408"/>
      <c r="T1533" s="385"/>
      <c r="U1533" s="475"/>
      <c r="V1533" s="395"/>
      <c r="W1533" s="395"/>
      <c r="X1533" s="528"/>
      <c r="Y1533" s="523"/>
      <c r="Z1533" s="393"/>
      <c r="AA1533" s="394"/>
      <c r="AB1533" s="394"/>
      <c r="AC1533" s="394"/>
      <c r="AD1533" s="394"/>
      <c r="AE1533" s="394"/>
      <c r="AF1533" s="394"/>
      <c r="AG1533" s="394"/>
      <c r="AH1533" s="394"/>
      <c r="AI1533" s="394"/>
      <c r="AJ1533" s="394"/>
      <c r="AK1533" s="381"/>
      <c r="AL1533" s="408"/>
      <c r="AM1533" s="385"/>
      <c r="AN1533" s="475"/>
      <c r="AO1533" s="395"/>
      <c r="AP1533" s="395"/>
      <c r="AQ1533" s="528"/>
      <c r="AR1533" s="523">
        <v>1</v>
      </c>
      <c r="AS1533" s="393"/>
      <c r="AT1533" s="600">
        <v>23.769770000000001</v>
      </c>
      <c r="AU1533" s="394">
        <v>16.854019999999998</v>
      </c>
      <c r="AV1533" s="394">
        <v>6.7372300000000003</v>
      </c>
      <c r="AW1533" s="394"/>
      <c r="AX1533" s="394"/>
      <c r="AY1533" s="394">
        <v>0</v>
      </c>
      <c r="AZ1533" s="394">
        <v>0</v>
      </c>
      <c r="BA1533" s="394">
        <v>1.61226</v>
      </c>
      <c r="BB1533" s="394">
        <v>6.7372300000000003</v>
      </c>
      <c r="BC1533" s="394"/>
      <c r="BD1533" s="381" t="s">
        <v>167</v>
      </c>
      <c r="BE1533" s="408" t="s">
        <v>175</v>
      </c>
      <c r="BF1533" s="385"/>
      <c r="BG1533" s="475">
        <v>658</v>
      </c>
      <c r="BH1533" s="395"/>
      <c r="BI1533" s="395">
        <f t="shared" si="917"/>
        <v>23.769770000000001</v>
      </c>
    </row>
    <row r="1534" spans="1:61" s="358" customFormat="1" ht="19.2" x14ac:dyDescent="0.3">
      <c r="A1534" s="359" t="s">
        <v>1941</v>
      </c>
      <c r="B1534" s="602" t="s">
        <v>5668</v>
      </c>
      <c r="C1534" s="548" t="s">
        <v>5669</v>
      </c>
      <c r="D1534" s="360">
        <v>0.22</v>
      </c>
      <c r="E1534" s="528"/>
      <c r="F1534" s="523"/>
      <c r="G1534" s="393"/>
      <c r="H1534" s="394"/>
      <c r="I1534" s="394"/>
      <c r="J1534" s="394"/>
      <c r="K1534" s="394"/>
      <c r="L1534" s="394"/>
      <c r="M1534" s="394"/>
      <c r="N1534" s="394"/>
      <c r="O1534" s="394"/>
      <c r="P1534" s="394"/>
      <c r="Q1534" s="394"/>
      <c r="R1534" s="381"/>
      <c r="S1534" s="408"/>
      <c r="T1534" s="385"/>
      <c r="U1534" s="475"/>
      <c r="V1534" s="395"/>
      <c r="W1534" s="395"/>
      <c r="X1534" s="528"/>
      <c r="Y1534" s="523"/>
      <c r="Z1534" s="393"/>
      <c r="AA1534" s="394"/>
      <c r="AB1534" s="394"/>
      <c r="AC1534" s="394"/>
      <c r="AD1534" s="394"/>
      <c r="AE1534" s="394"/>
      <c r="AF1534" s="394"/>
      <c r="AG1534" s="394"/>
      <c r="AH1534" s="394"/>
      <c r="AI1534" s="394"/>
      <c r="AJ1534" s="394"/>
      <c r="AK1534" s="381"/>
      <c r="AL1534" s="408"/>
      <c r="AM1534" s="385"/>
      <c r="AN1534" s="475"/>
      <c r="AO1534" s="395"/>
      <c r="AP1534" s="395"/>
      <c r="AQ1534" s="528"/>
      <c r="AR1534" s="523">
        <v>1</v>
      </c>
      <c r="AS1534" s="393"/>
      <c r="AT1534" s="600">
        <v>13.3743</v>
      </c>
      <c r="AU1534" s="394">
        <v>9.0698600000000003</v>
      </c>
      <c r="AV1534" s="394">
        <v>6.73733</v>
      </c>
      <c r="AW1534" s="394"/>
      <c r="AX1534" s="394"/>
      <c r="AY1534" s="394">
        <v>0</v>
      </c>
      <c r="AZ1534" s="394">
        <v>0</v>
      </c>
      <c r="BA1534" s="394">
        <v>1.00349</v>
      </c>
      <c r="BB1534" s="394">
        <v>6.73733</v>
      </c>
      <c r="BC1534" s="394"/>
      <c r="BD1534" s="381" t="s">
        <v>167</v>
      </c>
      <c r="BE1534" s="408" t="s">
        <v>175</v>
      </c>
      <c r="BF1534" s="385"/>
      <c r="BG1534" s="475">
        <v>670</v>
      </c>
      <c r="BH1534" s="395"/>
      <c r="BI1534" s="395">
        <f t="shared" ref="BI1534" si="951">AT1534/AR1534</f>
        <v>13.3743</v>
      </c>
    </row>
    <row r="1535" spans="1:61" s="358" customFormat="1" ht="19.2" x14ac:dyDescent="0.3">
      <c r="A1535" s="359" t="s">
        <v>1942</v>
      </c>
      <c r="B1535" s="602" t="s">
        <v>4829</v>
      </c>
      <c r="C1535" s="548" t="s">
        <v>4828</v>
      </c>
      <c r="D1535" s="360">
        <v>0.22</v>
      </c>
      <c r="E1535" s="528"/>
      <c r="F1535" s="523"/>
      <c r="G1535" s="393"/>
      <c r="H1535" s="394"/>
      <c r="I1535" s="394"/>
      <c r="J1535" s="394"/>
      <c r="K1535" s="394"/>
      <c r="L1535" s="394"/>
      <c r="M1535" s="394"/>
      <c r="N1535" s="394"/>
      <c r="O1535" s="394"/>
      <c r="P1535" s="394"/>
      <c r="Q1535" s="394"/>
      <c r="R1535" s="381"/>
      <c r="S1535" s="408"/>
      <c r="T1535" s="385"/>
      <c r="U1535" s="475"/>
      <c r="V1535" s="395"/>
      <c r="W1535" s="395"/>
      <c r="X1535" s="528"/>
      <c r="Y1535" s="523"/>
      <c r="Z1535" s="393"/>
      <c r="AA1535" s="394"/>
      <c r="AB1535" s="394"/>
      <c r="AC1535" s="394"/>
      <c r="AD1535" s="394"/>
      <c r="AE1535" s="394"/>
      <c r="AF1535" s="394"/>
      <c r="AG1535" s="394"/>
      <c r="AH1535" s="394"/>
      <c r="AI1535" s="394"/>
      <c r="AJ1535" s="394"/>
      <c r="AK1535" s="381"/>
      <c r="AL1535" s="408"/>
      <c r="AM1535" s="385"/>
      <c r="AN1535" s="475"/>
      <c r="AO1535" s="395"/>
      <c r="AP1535" s="395"/>
      <c r="AQ1535" s="528"/>
      <c r="AR1535" s="523">
        <v>1</v>
      </c>
      <c r="AS1535" s="393"/>
      <c r="AT1535" s="600">
        <v>11.96392</v>
      </c>
      <c r="AU1535" s="394">
        <v>7.6594800000000003</v>
      </c>
      <c r="AV1535" s="394">
        <v>6.73733</v>
      </c>
      <c r="AW1535" s="394"/>
      <c r="AX1535" s="394"/>
      <c r="AY1535" s="394">
        <v>0</v>
      </c>
      <c r="AZ1535" s="394">
        <v>0</v>
      </c>
      <c r="BA1535" s="394">
        <v>1.00349</v>
      </c>
      <c r="BB1535" s="394">
        <v>6.73733</v>
      </c>
      <c r="BC1535" s="394"/>
      <c r="BD1535" s="381" t="s">
        <v>167</v>
      </c>
      <c r="BE1535" s="408" t="s">
        <v>175</v>
      </c>
      <c r="BF1535" s="385"/>
      <c r="BG1535" s="475">
        <v>671</v>
      </c>
      <c r="BH1535" s="395"/>
      <c r="BI1535" s="395">
        <f t="shared" si="917"/>
        <v>11.96392</v>
      </c>
    </row>
    <row r="1536" spans="1:61" s="358" customFormat="1" ht="19.2" x14ac:dyDescent="0.3">
      <c r="A1536" s="359" t="s">
        <v>1943</v>
      </c>
      <c r="B1536" s="602" t="s">
        <v>5670</v>
      </c>
      <c r="C1536" s="548" t="s">
        <v>5671</v>
      </c>
      <c r="D1536" s="360">
        <v>0.22</v>
      </c>
      <c r="E1536" s="528"/>
      <c r="F1536" s="523"/>
      <c r="G1536" s="393"/>
      <c r="H1536" s="394"/>
      <c r="I1536" s="394"/>
      <c r="J1536" s="394"/>
      <c r="K1536" s="394"/>
      <c r="L1536" s="394"/>
      <c r="M1536" s="394"/>
      <c r="N1536" s="394"/>
      <c r="O1536" s="394"/>
      <c r="P1536" s="394"/>
      <c r="Q1536" s="394"/>
      <c r="R1536" s="381"/>
      <c r="S1536" s="408"/>
      <c r="T1536" s="385"/>
      <c r="U1536" s="475"/>
      <c r="V1536" s="395"/>
      <c r="W1536" s="395"/>
      <c r="X1536" s="528"/>
      <c r="Y1536" s="523"/>
      <c r="Z1536" s="393"/>
      <c r="AA1536" s="394"/>
      <c r="AB1536" s="394"/>
      <c r="AC1536" s="394"/>
      <c r="AD1536" s="394"/>
      <c r="AE1536" s="394"/>
      <c r="AF1536" s="394"/>
      <c r="AG1536" s="394"/>
      <c r="AH1536" s="394"/>
      <c r="AI1536" s="394"/>
      <c r="AJ1536" s="394"/>
      <c r="AK1536" s="381"/>
      <c r="AL1536" s="408"/>
      <c r="AM1536" s="385"/>
      <c r="AN1536" s="475"/>
      <c r="AO1536" s="395"/>
      <c r="AP1536" s="395"/>
      <c r="AQ1536" s="528"/>
      <c r="AR1536" s="523">
        <v>1</v>
      </c>
      <c r="AS1536" s="393"/>
      <c r="AT1536" s="600">
        <v>11.963900000000001</v>
      </c>
      <c r="AU1536" s="394">
        <v>7.6594600000000002</v>
      </c>
      <c r="AV1536" s="394">
        <v>6.73733</v>
      </c>
      <c r="AW1536" s="394"/>
      <c r="AX1536" s="394"/>
      <c r="AY1536" s="394">
        <v>0</v>
      </c>
      <c r="AZ1536" s="394">
        <v>0</v>
      </c>
      <c r="BA1536" s="394">
        <v>1.00349</v>
      </c>
      <c r="BB1536" s="394">
        <v>6.73733</v>
      </c>
      <c r="BC1536" s="394"/>
      <c r="BD1536" s="381" t="s">
        <v>167</v>
      </c>
      <c r="BE1536" s="408" t="s">
        <v>175</v>
      </c>
      <c r="BF1536" s="385"/>
      <c r="BG1536" s="475">
        <v>672</v>
      </c>
      <c r="BH1536" s="395"/>
      <c r="BI1536" s="395">
        <f t="shared" ref="BI1536" si="952">AT1536/AR1536</f>
        <v>11.963900000000001</v>
      </c>
    </row>
    <row r="1537" spans="1:61" s="358" customFormat="1" ht="19.2" x14ac:dyDescent="0.3">
      <c r="A1537" s="359" t="s">
        <v>1944</v>
      </c>
      <c r="B1537" s="602" t="s">
        <v>5672</v>
      </c>
      <c r="C1537" s="548" t="s">
        <v>5673</v>
      </c>
      <c r="D1537" s="360">
        <v>0.22</v>
      </c>
      <c r="E1537" s="528"/>
      <c r="F1537" s="523"/>
      <c r="G1537" s="393"/>
      <c r="H1537" s="394"/>
      <c r="I1537" s="394"/>
      <c r="J1537" s="394"/>
      <c r="K1537" s="394"/>
      <c r="L1537" s="394"/>
      <c r="M1537" s="394"/>
      <c r="N1537" s="394"/>
      <c r="O1537" s="394"/>
      <c r="P1537" s="394"/>
      <c r="Q1537" s="394"/>
      <c r="R1537" s="381"/>
      <c r="S1537" s="408"/>
      <c r="T1537" s="385"/>
      <c r="U1537" s="475"/>
      <c r="V1537" s="395"/>
      <c r="W1537" s="395"/>
      <c r="X1537" s="528"/>
      <c r="Y1537" s="523"/>
      <c r="Z1537" s="393"/>
      <c r="AA1537" s="394"/>
      <c r="AB1537" s="394"/>
      <c r="AC1537" s="394"/>
      <c r="AD1537" s="394"/>
      <c r="AE1537" s="394"/>
      <c r="AF1537" s="394"/>
      <c r="AG1537" s="394"/>
      <c r="AH1537" s="394"/>
      <c r="AI1537" s="394"/>
      <c r="AJ1537" s="394"/>
      <c r="AK1537" s="381"/>
      <c r="AL1537" s="408"/>
      <c r="AM1537" s="385"/>
      <c r="AN1537" s="475"/>
      <c r="AO1537" s="395"/>
      <c r="AP1537" s="395"/>
      <c r="AQ1537" s="528"/>
      <c r="AR1537" s="523">
        <v>1</v>
      </c>
      <c r="AS1537" s="393"/>
      <c r="AT1537" s="600">
        <v>11.963939999999999</v>
      </c>
      <c r="AU1537" s="394">
        <v>7.6595000000000004</v>
      </c>
      <c r="AV1537" s="394">
        <v>6.73733</v>
      </c>
      <c r="AW1537" s="394"/>
      <c r="AX1537" s="394"/>
      <c r="AY1537" s="394">
        <v>0</v>
      </c>
      <c r="AZ1537" s="394">
        <v>0</v>
      </c>
      <c r="BA1537" s="394">
        <v>1.00349</v>
      </c>
      <c r="BB1537" s="394">
        <v>6.73733</v>
      </c>
      <c r="BC1537" s="394"/>
      <c r="BD1537" s="381" t="s">
        <v>167</v>
      </c>
      <c r="BE1537" s="408" t="s">
        <v>175</v>
      </c>
      <c r="BF1537" s="385"/>
      <c r="BG1537" s="475">
        <v>673</v>
      </c>
      <c r="BH1537" s="395"/>
      <c r="BI1537" s="395">
        <f t="shared" si="917"/>
        <v>11.963939999999999</v>
      </c>
    </row>
    <row r="1538" spans="1:61" s="358" customFormat="1" ht="19.2" x14ac:dyDescent="0.3">
      <c r="A1538" s="359" t="s">
        <v>1945</v>
      </c>
      <c r="B1538" s="602" t="s">
        <v>4656</v>
      </c>
      <c r="C1538" s="548" t="s">
        <v>4655</v>
      </c>
      <c r="D1538" s="360">
        <v>0.22</v>
      </c>
      <c r="E1538" s="528"/>
      <c r="F1538" s="523"/>
      <c r="G1538" s="393"/>
      <c r="H1538" s="394"/>
      <c r="I1538" s="394"/>
      <c r="J1538" s="394"/>
      <c r="K1538" s="394"/>
      <c r="L1538" s="394"/>
      <c r="M1538" s="394"/>
      <c r="N1538" s="394"/>
      <c r="O1538" s="394"/>
      <c r="P1538" s="394"/>
      <c r="Q1538" s="394"/>
      <c r="R1538" s="381"/>
      <c r="S1538" s="408"/>
      <c r="T1538" s="385"/>
      <c r="U1538" s="475"/>
      <c r="V1538" s="395"/>
      <c r="W1538" s="395"/>
      <c r="X1538" s="528"/>
      <c r="Y1538" s="523"/>
      <c r="Z1538" s="393"/>
      <c r="AA1538" s="394"/>
      <c r="AB1538" s="394"/>
      <c r="AC1538" s="394"/>
      <c r="AD1538" s="394"/>
      <c r="AE1538" s="394"/>
      <c r="AF1538" s="394"/>
      <c r="AG1538" s="394"/>
      <c r="AH1538" s="394"/>
      <c r="AI1538" s="394"/>
      <c r="AJ1538" s="394"/>
      <c r="AK1538" s="381"/>
      <c r="AL1538" s="408"/>
      <c r="AM1538" s="385"/>
      <c r="AN1538" s="475"/>
      <c r="AO1538" s="395"/>
      <c r="AP1538" s="395"/>
      <c r="AQ1538" s="528"/>
      <c r="AR1538" s="523">
        <v>1</v>
      </c>
      <c r="AS1538" s="393"/>
      <c r="AT1538" s="600">
        <v>11.96393</v>
      </c>
      <c r="AU1538" s="394">
        <v>7.6594899999999999</v>
      </c>
      <c r="AV1538" s="394">
        <v>6.73733</v>
      </c>
      <c r="AW1538" s="394"/>
      <c r="AX1538" s="394"/>
      <c r="AY1538" s="394">
        <v>0</v>
      </c>
      <c r="AZ1538" s="394">
        <v>0</v>
      </c>
      <c r="BA1538" s="394">
        <v>1.00349</v>
      </c>
      <c r="BB1538" s="394">
        <v>6.73733</v>
      </c>
      <c r="BC1538" s="394"/>
      <c r="BD1538" s="381" t="s">
        <v>167</v>
      </c>
      <c r="BE1538" s="408" t="s">
        <v>175</v>
      </c>
      <c r="BF1538" s="385"/>
      <c r="BG1538" s="475">
        <v>674</v>
      </c>
      <c r="BH1538" s="395"/>
      <c r="BI1538" s="395">
        <f t="shared" ref="BI1538" si="953">AT1538/AR1538</f>
        <v>11.96393</v>
      </c>
    </row>
    <row r="1539" spans="1:61" s="358" customFormat="1" ht="19.2" x14ac:dyDescent="0.3">
      <c r="A1539" s="359" t="s">
        <v>1946</v>
      </c>
      <c r="B1539" s="602" t="s">
        <v>5674</v>
      </c>
      <c r="C1539" s="548" t="s">
        <v>5675</v>
      </c>
      <c r="D1539" s="360">
        <v>0.22</v>
      </c>
      <c r="E1539" s="528"/>
      <c r="F1539" s="523"/>
      <c r="G1539" s="393"/>
      <c r="H1539" s="394"/>
      <c r="I1539" s="394"/>
      <c r="J1539" s="394"/>
      <c r="K1539" s="394"/>
      <c r="L1539" s="394"/>
      <c r="M1539" s="394"/>
      <c r="N1539" s="394"/>
      <c r="O1539" s="394"/>
      <c r="P1539" s="394"/>
      <c r="Q1539" s="394"/>
      <c r="R1539" s="381"/>
      <c r="S1539" s="408"/>
      <c r="T1539" s="385"/>
      <c r="U1539" s="475"/>
      <c r="V1539" s="395"/>
      <c r="W1539" s="395"/>
      <c r="X1539" s="528"/>
      <c r="Y1539" s="523"/>
      <c r="Z1539" s="393"/>
      <c r="AA1539" s="394"/>
      <c r="AB1539" s="394"/>
      <c r="AC1539" s="394"/>
      <c r="AD1539" s="394"/>
      <c r="AE1539" s="394"/>
      <c r="AF1539" s="394"/>
      <c r="AG1539" s="394"/>
      <c r="AH1539" s="394"/>
      <c r="AI1539" s="394"/>
      <c r="AJ1539" s="394"/>
      <c r="AK1539" s="381"/>
      <c r="AL1539" s="408"/>
      <c r="AM1539" s="385"/>
      <c r="AN1539" s="475"/>
      <c r="AO1539" s="395"/>
      <c r="AP1539" s="395"/>
      <c r="AQ1539" s="528"/>
      <c r="AR1539" s="523">
        <v>1</v>
      </c>
      <c r="AS1539" s="393"/>
      <c r="AT1539" s="600">
        <v>11.96393</v>
      </c>
      <c r="AU1539" s="394">
        <v>7.6594899999999999</v>
      </c>
      <c r="AV1539" s="394">
        <v>6.73733</v>
      </c>
      <c r="AW1539" s="394"/>
      <c r="AX1539" s="394"/>
      <c r="AY1539" s="394">
        <v>0</v>
      </c>
      <c r="AZ1539" s="394">
        <v>0</v>
      </c>
      <c r="BA1539" s="394">
        <v>1.00349</v>
      </c>
      <c r="BB1539" s="394">
        <v>6.73733</v>
      </c>
      <c r="BC1539" s="394"/>
      <c r="BD1539" s="381" t="s">
        <v>167</v>
      </c>
      <c r="BE1539" s="408" t="s">
        <v>175</v>
      </c>
      <c r="BF1539" s="385"/>
      <c r="BG1539" s="475">
        <v>675</v>
      </c>
      <c r="BH1539" s="395"/>
      <c r="BI1539" s="395">
        <f t="shared" si="917"/>
        <v>11.96393</v>
      </c>
    </row>
    <row r="1540" spans="1:61" s="358" customFormat="1" ht="19.2" x14ac:dyDescent="0.3">
      <c r="A1540" s="359" t="s">
        <v>1947</v>
      </c>
      <c r="B1540" s="602" t="s">
        <v>5676</v>
      </c>
      <c r="C1540" s="548" t="s">
        <v>5677</v>
      </c>
      <c r="D1540" s="360">
        <v>0.22</v>
      </c>
      <c r="E1540" s="528"/>
      <c r="F1540" s="523"/>
      <c r="G1540" s="393"/>
      <c r="H1540" s="394"/>
      <c r="I1540" s="394"/>
      <c r="J1540" s="394"/>
      <c r="K1540" s="394"/>
      <c r="L1540" s="394"/>
      <c r="M1540" s="394"/>
      <c r="N1540" s="394"/>
      <c r="O1540" s="394"/>
      <c r="P1540" s="394"/>
      <c r="Q1540" s="394"/>
      <c r="R1540" s="381"/>
      <c r="S1540" s="408"/>
      <c r="T1540" s="385"/>
      <c r="U1540" s="475"/>
      <c r="V1540" s="395"/>
      <c r="W1540" s="395"/>
      <c r="X1540" s="528"/>
      <c r="Y1540" s="523"/>
      <c r="Z1540" s="393"/>
      <c r="AA1540" s="394"/>
      <c r="AB1540" s="394"/>
      <c r="AC1540" s="394"/>
      <c r="AD1540" s="394"/>
      <c r="AE1540" s="394"/>
      <c r="AF1540" s="394"/>
      <c r="AG1540" s="394"/>
      <c r="AH1540" s="394"/>
      <c r="AI1540" s="394"/>
      <c r="AJ1540" s="394"/>
      <c r="AK1540" s="381"/>
      <c r="AL1540" s="408"/>
      <c r="AM1540" s="385"/>
      <c r="AN1540" s="475"/>
      <c r="AO1540" s="395"/>
      <c r="AP1540" s="395"/>
      <c r="AQ1540" s="528"/>
      <c r="AR1540" s="523">
        <v>1</v>
      </c>
      <c r="AS1540" s="393"/>
      <c r="AT1540" s="600">
        <v>7.72417</v>
      </c>
      <c r="AU1540" s="394">
        <v>6.8339299999999996</v>
      </c>
      <c r="AV1540" s="394">
        <v>6.73733</v>
      </c>
      <c r="AW1540" s="394"/>
      <c r="AX1540" s="394"/>
      <c r="AY1540" s="394">
        <v>0</v>
      </c>
      <c r="AZ1540" s="394">
        <v>0</v>
      </c>
      <c r="BA1540" s="394">
        <v>0.20754</v>
      </c>
      <c r="BB1540" s="394">
        <v>6.73733</v>
      </c>
      <c r="BC1540" s="394"/>
      <c r="BD1540" s="381" t="s">
        <v>167</v>
      </c>
      <c r="BE1540" s="408" t="s">
        <v>175</v>
      </c>
      <c r="BF1540" s="385"/>
      <c r="BG1540" s="475">
        <v>676</v>
      </c>
      <c r="BH1540" s="395"/>
      <c r="BI1540" s="395">
        <f t="shared" ref="BI1540" si="954">AT1540/AR1540</f>
        <v>7.72417</v>
      </c>
    </row>
    <row r="1541" spans="1:61" s="358" customFormat="1" ht="19.2" x14ac:dyDescent="0.3">
      <c r="A1541" s="359" t="s">
        <v>1948</v>
      </c>
      <c r="B1541" s="602" t="s">
        <v>5678</v>
      </c>
      <c r="C1541" s="548" t="s">
        <v>5679</v>
      </c>
      <c r="D1541" s="360">
        <v>0.22</v>
      </c>
      <c r="E1541" s="528"/>
      <c r="F1541" s="523"/>
      <c r="G1541" s="393"/>
      <c r="H1541" s="394"/>
      <c r="I1541" s="394"/>
      <c r="J1541" s="394"/>
      <c r="K1541" s="394"/>
      <c r="L1541" s="394"/>
      <c r="M1541" s="394"/>
      <c r="N1541" s="394"/>
      <c r="O1541" s="394"/>
      <c r="P1541" s="394"/>
      <c r="Q1541" s="394"/>
      <c r="R1541" s="381"/>
      <c r="S1541" s="408"/>
      <c r="T1541" s="385"/>
      <c r="U1541" s="475"/>
      <c r="V1541" s="395"/>
      <c r="W1541" s="395"/>
      <c r="X1541" s="528"/>
      <c r="Y1541" s="523"/>
      <c r="Z1541" s="393"/>
      <c r="AA1541" s="394"/>
      <c r="AB1541" s="394"/>
      <c r="AC1541" s="394"/>
      <c r="AD1541" s="394"/>
      <c r="AE1541" s="394"/>
      <c r="AF1541" s="394"/>
      <c r="AG1541" s="394"/>
      <c r="AH1541" s="394"/>
      <c r="AI1541" s="394"/>
      <c r="AJ1541" s="394"/>
      <c r="AK1541" s="381"/>
      <c r="AL1541" s="408"/>
      <c r="AM1541" s="385"/>
      <c r="AN1541" s="475"/>
      <c r="AO1541" s="395"/>
      <c r="AP1541" s="395"/>
      <c r="AQ1541" s="528"/>
      <c r="AR1541" s="523">
        <v>1</v>
      </c>
      <c r="AS1541" s="393"/>
      <c r="AT1541" s="600">
        <v>11.96392</v>
      </c>
      <c r="AU1541" s="394">
        <v>7.6594800000000003</v>
      </c>
      <c r="AV1541" s="394">
        <v>6.73733</v>
      </c>
      <c r="AW1541" s="394"/>
      <c r="AX1541" s="394"/>
      <c r="AY1541" s="394">
        <v>0</v>
      </c>
      <c r="AZ1541" s="394">
        <v>0</v>
      </c>
      <c r="BA1541" s="394">
        <v>1.00349</v>
      </c>
      <c r="BB1541" s="394">
        <v>6.73733</v>
      </c>
      <c r="BC1541" s="394"/>
      <c r="BD1541" s="381" t="s">
        <v>167</v>
      </c>
      <c r="BE1541" s="408" t="s">
        <v>175</v>
      </c>
      <c r="BF1541" s="385"/>
      <c r="BG1541" s="475">
        <v>677</v>
      </c>
      <c r="BH1541" s="395"/>
      <c r="BI1541" s="395">
        <f t="shared" si="917"/>
        <v>11.96392</v>
      </c>
    </row>
    <row r="1542" spans="1:61" s="358" customFormat="1" ht="19.2" x14ac:dyDescent="0.3">
      <c r="A1542" s="359" t="s">
        <v>1949</v>
      </c>
      <c r="B1542" s="602" t="s">
        <v>5680</v>
      </c>
      <c r="C1542" s="548" t="s">
        <v>5681</v>
      </c>
      <c r="D1542" s="360">
        <v>0.22</v>
      </c>
      <c r="E1542" s="528"/>
      <c r="F1542" s="523"/>
      <c r="G1542" s="393"/>
      <c r="H1542" s="394"/>
      <c r="I1542" s="394"/>
      <c r="J1542" s="394"/>
      <c r="K1542" s="394"/>
      <c r="L1542" s="394"/>
      <c r="M1542" s="394"/>
      <c r="N1542" s="394"/>
      <c r="O1542" s="394"/>
      <c r="P1542" s="394"/>
      <c r="Q1542" s="394"/>
      <c r="R1542" s="381"/>
      <c r="S1542" s="408"/>
      <c r="T1542" s="385"/>
      <c r="U1542" s="475"/>
      <c r="V1542" s="395"/>
      <c r="W1542" s="395"/>
      <c r="X1542" s="528"/>
      <c r="Y1542" s="523"/>
      <c r="Z1542" s="393"/>
      <c r="AA1542" s="394"/>
      <c r="AB1542" s="394"/>
      <c r="AC1542" s="394"/>
      <c r="AD1542" s="394"/>
      <c r="AE1542" s="394"/>
      <c r="AF1542" s="394"/>
      <c r="AG1542" s="394"/>
      <c r="AH1542" s="394"/>
      <c r="AI1542" s="394"/>
      <c r="AJ1542" s="394"/>
      <c r="AK1542" s="381"/>
      <c r="AL1542" s="408"/>
      <c r="AM1542" s="385"/>
      <c r="AN1542" s="475"/>
      <c r="AO1542" s="395"/>
      <c r="AP1542" s="395"/>
      <c r="AQ1542" s="528"/>
      <c r="AR1542" s="523">
        <v>1</v>
      </c>
      <c r="AS1542" s="393"/>
      <c r="AT1542" s="600">
        <v>11.963939999999999</v>
      </c>
      <c r="AU1542" s="394">
        <v>7.6595000000000004</v>
      </c>
      <c r="AV1542" s="394">
        <v>6.73733</v>
      </c>
      <c r="AW1542" s="394"/>
      <c r="AX1542" s="394"/>
      <c r="AY1542" s="394">
        <v>0</v>
      </c>
      <c r="AZ1542" s="394">
        <v>0</v>
      </c>
      <c r="BA1542" s="394">
        <v>1.00349</v>
      </c>
      <c r="BB1542" s="394">
        <v>6.73733</v>
      </c>
      <c r="BC1542" s="394"/>
      <c r="BD1542" s="381" t="s">
        <v>167</v>
      </c>
      <c r="BE1542" s="408" t="s">
        <v>175</v>
      </c>
      <c r="BF1542" s="385"/>
      <c r="BG1542" s="475">
        <v>678</v>
      </c>
      <c r="BH1542" s="395"/>
      <c r="BI1542" s="395">
        <f t="shared" ref="BI1542" si="955">AT1542/AR1542</f>
        <v>11.963939999999999</v>
      </c>
    </row>
    <row r="1543" spans="1:61" s="358" customFormat="1" ht="19.2" x14ac:dyDescent="0.3">
      <c r="A1543" s="359" t="s">
        <v>1950</v>
      </c>
      <c r="B1543" s="602" t="s">
        <v>5682</v>
      </c>
      <c r="C1543" s="548" t="s">
        <v>5683</v>
      </c>
      <c r="D1543" s="360">
        <v>0.22</v>
      </c>
      <c r="E1543" s="528"/>
      <c r="F1543" s="523"/>
      <c r="G1543" s="393"/>
      <c r="H1543" s="394"/>
      <c r="I1543" s="394"/>
      <c r="J1543" s="394"/>
      <c r="K1543" s="394"/>
      <c r="L1543" s="394"/>
      <c r="M1543" s="394"/>
      <c r="N1543" s="394"/>
      <c r="O1543" s="394"/>
      <c r="P1543" s="394"/>
      <c r="Q1543" s="394"/>
      <c r="R1543" s="381"/>
      <c r="S1543" s="408"/>
      <c r="T1543" s="385"/>
      <c r="U1543" s="475"/>
      <c r="V1543" s="395"/>
      <c r="W1543" s="395"/>
      <c r="X1543" s="528"/>
      <c r="Y1543" s="523"/>
      <c r="Z1543" s="393"/>
      <c r="AA1543" s="394"/>
      <c r="AB1543" s="394"/>
      <c r="AC1543" s="394"/>
      <c r="AD1543" s="394"/>
      <c r="AE1543" s="394"/>
      <c r="AF1543" s="394"/>
      <c r="AG1543" s="394"/>
      <c r="AH1543" s="394"/>
      <c r="AI1543" s="394"/>
      <c r="AJ1543" s="394"/>
      <c r="AK1543" s="381"/>
      <c r="AL1543" s="408"/>
      <c r="AM1543" s="385"/>
      <c r="AN1543" s="475"/>
      <c r="AO1543" s="395"/>
      <c r="AP1543" s="395"/>
      <c r="AQ1543" s="528"/>
      <c r="AR1543" s="523">
        <v>1</v>
      </c>
      <c r="AS1543" s="393"/>
      <c r="AT1543" s="600">
        <v>11.96393</v>
      </c>
      <c r="AU1543" s="394">
        <v>7.6594899999999999</v>
      </c>
      <c r="AV1543" s="394">
        <v>6.73733</v>
      </c>
      <c r="AW1543" s="394"/>
      <c r="AX1543" s="394"/>
      <c r="AY1543" s="394">
        <v>0</v>
      </c>
      <c r="AZ1543" s="394">
        <v>0</v>
      </c>
      <c r="BA1543" s="394">
        <v>1.00349</v>
      </c>
      <c r="BB1543" s="394">
        <v>6.73733</v>
      </c>
      <c r="BC1543" s="394"/>
      <c r="BD1543" s="381" t="s">
        <v>167</v>
      </c>
      <c r="BE1543" s="408" t="s">
        <v>175</v>
      </c>
      <c r="BF1543" s="385"/>
      <c r="BG1543" s="475">
        <v>679</v>
      </c>
      <c r="BH1543" s="395"/>
      <c r="BI1543" s="395">
        <f t="shared" si="917"/>
        <v>11.96393</v>
      </c>
    </row>
    <row r="1544" spans="1:61" s="358" customFormat="1" ht="19.2" x14ac:dyDescent="0.3">
      <c r="A1544" s="359" t="s">
        <v>1953</v>
      </c>
      <c r="B1544" s="602" t="s">
        <v>5684</v>
      </c>
      <c r="C1544" s="548" t="s">
        <v>5685</v>
      </c>
      <c r="D1544" s="360">
        <v>0.22</v>
      </c>
      <c r="E1544" s="528"/>
      <c r="F1544" s="523"/>
      <c r="G1544" s="393"/>
      <c r="H1544" s="394"/>
      <c r="I1544" s="394"/>
      <c r="J1544" s="394"/>
      <c r="K1544" s="394"/>
      <c r="L1544" s="394"/>
      <c r="M1544" s="394"/>
      <c r="N1544" s="394"/>
      <c r="O1544" s="394"/>
      <c r="P1544" s="394"/>
      <c r="Q1544" s="394"/>
      <c r="R1544" s="381"/>
      <c r="S1544" s="408"/>
      <c r="T1544" s="385"/>
      <c r="U1544" s="475"/>
      <c r="V1544" s="395"/>
      <c r="W1544" s="395"/>
      <c r="X1544" s="528"/>
      <c r="Y1544" s="523"/>
      <c r="Z1544" s="393"/>
      <c r="AA1544" s="394"/>
      <c r="AB1544" s="394"/>
      <c r="AC1544" s="394"/>
      <c r="AD1544" s="394"/>
      <c r="AE1544" s="394"/>
      <c r="AF1544" s="394"/>
      <c r="AG1544" s="394"/>
      <c r="AH1544" s="394"/>
      <c r="AI1544" s="394"/>
      <c r="AJ1544" s="394"/>
      <c r="AK1544" s="381"/>
      <c r="AL1544" s="408"/>
      <c r="AM1544" s="385"/>
      <c r="AN1544" s="475"/>
      <c r="AO1544" s="395"/>
      <c r="AP1544" s="395"/>
      <c r="AQ1544" s="528"/>
      <c r="AR1544" s="523">
        <v>1</v>
      </c>
      <c r="AS1544" s="393"/>
      <c r="AT1544" s="600">
        <v>11.963900000000001</v>
      </c>
      <c r="AU1544" s="394">
        <v>7.6594600000000002</v>
      </c>
      <c r="AV1544" s="394">
        <v>6.73733</v>
      </c>
      <c r="AW1544" s="394"/>
      <c r="AX1544" s="394"/>
      <c r="AY1544" s="394">
        <v>0</v>
      </c>
      <c r="AZ1544" s="394">
        <v>0</v>
      </c>
      <c r="BA1544" s="394">
        <v>1.00349</v>
      </c>
      <c r="BB1544" s="394">
        <v>6.73733</v>
      </c>
      <c r="BC1544" s="394"/>
      <c r="BD1544" s="381" t="s">
        <v>167</v>
      </c>
      <c r="BE1544" s="408" t="s">
        <v>175</v>
      </c>
      <c r="BF1544" s="385"/>
      <c r="BG1544" s="475">
        <v>680</v>
      </c>
      <c r="BH1544" s="395"/>
      <c r="BI1544" s="395">
        <f t="shared" si="879"/>
        <v>11.963900000000001</v>
      </c>
    </row>
    <row r="1545" spans="1:61" s="358" customFormat="1" ht="19.2" x14ac:dyDescent="0.3">
      <c r="A1545" s="359" t="s">
        <v>1954</v>
      </c>
      <c r="B1545" s="602" t="s">
        <v>5686</v>
      </c>
      <c r="C1545" s="548" t="s">
        <v>5687</v>
      </c>
      <c r="D1545" s="360">
        <v>0.22</v>
      </c>
      <c r="E1545" s="528"/>
      <c r="F1545" s="523"/>
      <c r="G1545" s="393"/>
      <c r="H1545" s="394"/>
      <c r="I1545" s="394"/>
      <c r="J1545" s="394"/>
      <c r="K1545" s="394"/>
      <c r="L1545" s="394"/>
      <c r="M1545" s="394"/>
      <c r="N1545" s="394"/>
      <c r="O1545" s="394"/>
      <c r="P1545" s="394"/>
      <c r="Q1545" s="394"/>
      <c r="R1545" s="381"/>
      <c r="S1545" s="408"/>
      <c r="T1545" s="385"/>
      <c r="U1545" s="475"/>
      <c r="V1545" s="395"/>
      <c r="W1545" s="395"/>
      <c r="X1545" s="528"/>
      <c r="Y1545" s="523"/>
      <c r="Z1545" s="393"/>
      <c r="AA1545" s="394"/>
      <c r="AB1545" s="394"/>
      <c r="AC1545" s="394"/>
      <c r="AD1545" s="394"/>
      <c r="AE1545" s="394"/>
      <c r="AF1545" s="394"/>
      <c r="AG1545" s="394"/>
      <c r="AH1545" s="394"/>
      <c r="AI1545" s="394"/>
      <c r="AJ1545" s="394"/>
      <c r="AK1545" s="381"/>
      <c r="AL1545" s="408"/>
      <c r="AM1545" s="385"/>
      <c r="AN1545" s="475"/>
      <c r="AO1545" s="395"/>
      <c r="AP1545" s="395"/>
      <c r="AQ1545" s="528"/>
      <c r="AR1545" s="523">
        <v>1</v>
      </c>
      <c r="AS1545" s="393"/>
      <c r="AT1545" s="600">
        <v>7.72417</v>
      </c>
      <c r="AU1545" s="394">
        <v>6.8339299999999996</v>
      </c>
      <c r="AV1545" s="394">
        <v>6.73733</v>
      </c>
      <c r="AW1545" s="394"/>
      <c r="AX1545" s="394"/>
      <c r="AY1545" s="394">
        <v>0</v>
      </c>
      <c r="AZ1545" s="394">
        <v>0</v>
      </c>
      <c r="BA1545" s="394">
        <v>0.20754</v>
      </c>
      <c r="BB1545" s="394">
        <v>6.73733</v>
      </c>
      <c r="BC1545" s="394"/>
      <c r="BD1545" s="381" t="s">
        <v>167</v>
      </c>
      <c r="BE1545" s="408" t="s">
        <v>175</v>
      </c>
      <c r="BF1545" s="385"/>
      <c r="BG1545" s="475">
        <v>681</v>
      </c>
      <c r="BH1545" s="395"/>
      <c r="BI1545" s="395">
        <f t="shared" ref="BI1545" si="956">AT1545/AR1545</f>
        <v>7.72417</v>
      </c>
    </row>
    <row r="1546" spans="1:61" s="358" customFormat="1" ht="19.2" x14ac:dyDescent="0.3">
      <c r="A1546" s="359" t="s">
        <v>1955</v>
      </c>
      <c r="B1546" s="602" t="s">
        <v>5688</v>
      </c>
      <c r="C1546" s="548" t="s">
        <v>5689</v>
      </c>
      <c r="D1546" s="360">
        <v>0.22</v>
      </c>
      <c r="E1546" s="528"/>
      <c r="F1546" s="523"/>
      <c r="G1546" s="393"/>
      <c r="H1546" s="394"/>
      <c r="I1546" s="394"/>
      <c r="J1546" s="394"/>
      <c r="K1546" s="394"/>
      <c r="L1546" s="394"/>
      <c r="M1546" s="394"/>
      <c r="N1546" s="394"/>
      <c r="O1546" s="394"/>
      <c r="P1546" s="394"/>
      <c r="Q1546" s="394"/>
      <c r="R1546" s="381"/>
      <c r="S1546" s="408"/>
      <c r="T1546" s="385"/>
      <c r="U1546" s="475"/>
      <c r="V1546" s="395"/>
      <c r="W1546" s="395"/>
      <c r="X1546" s="528"/>
      <c r="Y1546" s="523"/>
      <c r="Z1546" s="393"/>
      <c r="AA1546" s="394"/>
      <c r="AB1546" s="394"/>
      <c r="AC1546" s="394"/>
      <c r="AD1546" s="394"/>
      <c r="AE1546" s="394"/>
      <c r="AF1546" s="394"/>
      <c r="AG1546" s="394"/>
      <c r="AH1546" s="394"/>
      <c r="AI1546" s="394"/>
      <c r="AJ1546" s="394"/>
      <c r="AK1546" s="381"/>
      <c r="AL1546" s="408"/>
      <c r="AM1546" s="385"/>
      <c r="AN1546" s="475"/>
      <c r="AO1546" s="395"/>
      <c r="AP1546" s="395"/>
      <c r="AQ1546" s="528"/>
      <c r="AR1546" s="523">
        <v>1</v>
      </c>
      <c r="AS1546" s="393"/>
      <c r="AT1546" s="600">
        <v>7.72417</v>
      </c>
      <c r="AU1546" s="394">
        <v>6.8339299999999996</v>
      </c>
      <c r="AV1546" s="394">
        <v>6.73733</v>
      </c>
      <c r="AW1546" s="394"/>
      <c r="AX1546" s="394"/>
      <c r="AY1546" s="394">
        <v>0</v>
      </c>
      <c r="AZ1546" s="394">
        <v>0</v>
      </c>
      <c r="BA1546" s="394">
        <v>0.20754</v>
      </c>
      <c r="BB1546" s="394">
        <v>6.73733</v>
      </c>
      <c r="BC1546" s="394"/>
      <c r="BD1546" s="381" t="s">
        <v>167</v>
      </c>
      <c r="BE1546" s="408" t="s">
        <v>175</v>
      </c>
      <c r="BF1546" s="385"/>
      <c r="BG1546" s="475">
        <v>682</v>
      </c>
      <c r="BH1546" s="395"/>
      <c r="BI1546" s="395">
        <f t="shared" si="879"/>
        <v>7.72417</v>
      </c>
    </row>
    <row r="1547" spans="1:61" s="358" customFormat="1" ht="19.2" x14ac:dyDescent="0.3">
      <c r="A1547" s="359" t="s">
        <v>1956</v>
      </c>
      <c r="B1547" s="602" t="s">
        <v>5750</v>
      </c>
      <c r="C1547" s="548" t="s">
        <v>5751</v>
      </c>
      <c r="D1547" s="360">
        <v>0.22</v>
      </c>
      <c r="E1547" s="528"/>
      <c r="F1547" s="523"/>
      <c r="G1547" s="393"/>
      <c r="H1547" s="394"/>
      <c r="I1547" s="394"/>
      <c r="J1547" s="394"/>
      <c r="K1547" s="394"/>
      <c r="L1547" s="394"/>
      <c r="M1547" s="394"/>
      <c r="N1547" s="394"/>
      <c r="O1547" s="394"/>
      <c r="P1547" s="394"/>
      <c r="Q1547" s="394"/>
      <c r="R1547" s="381"/>
      <c r="S1547" s="408"/>
      <c r="T1547" s="385"/>
      <c r="U1547" s="475"/>
      <c r="V1547" s="395"/>
      <c r="W1547" s="395"/>
      <c r="X1547" s="528"/>
      <c r="Y1547" s="523"/>
      <c r="Z1547" s="393"/>
      <c r="AA1547" s="394"/>
      <c r="AB1547" s="394"/>
      <c r="AC1547" s="394"/>
      <c r="AD1547" s="394"/>
      <c r="AE1547" s="394"/>
      <c r="AF1547" s="394"/>
      <c r="AG1547" s="394"/>
      <c r="AH1547" s="394"/>
      <c r="AI1547" s="394"/>
      <c r="AJ1547" s="394"/>
      <c r="AK1547" s="381"/>
      <c r="AL1547" s="408"/>
      <c r="AM1547" s="385"/>
      <c r="AN1547" s="475"/>
      <c r="AO1547" s="395"/>
      <c r="AP1547" s="395"/>
      <c r="AQ1547" s="528"/>
      <c r="AR1547" s="523">
        <v>1</v>
      </c>
      <c r="AS1547" s="393"/>
      <c r="AT1547" s="600">
        <v>8.2967200000000005</v>
      </c>
      <c r="AU1547" s="394">
        <v>7.4064800000000002</v>
      </c>
      <c r="AV1547" s="394">
        <v>7.3098799999999997</v>
      </c>
      <c r="AW1547" s="394"/>
      <c r="AX1547" s="394"/>
      <c r="AY1547" s="394">
        <v>0</v>
      </c>
      <c r="AZ1547" s="394">
        <v>0</v>
      </c>
      <c r="BA1547" s="394">
        <v>0.20754</v>
      </c>
      <c r="BB1547" s="394">
        <v>7.3098799999999997</v>
      </c>
      <c r="BC1547" s="394"/>
      <c r="BD1547" s="381" t="s">
        <v>167</v>
      </c>
      <c r="BE1547" s="408" t="s">
        <v>175</v>
      </c>
      <c r="BF1547" s="385"/>
      <c r="BG1547" s="475">
        <v>683</v>
      </c>
      <c r="BH1547" s="395"/>
      <c r="BI1547" s="395">
        <f t="shared" ref="BI1547" si="957">AT1547/AR1547</f>
        <v>8.2967200000000005</v>
      </c>
    </row>
    <row r="1548" spans="1:61" s="358" customFormat="1" ht="19.2" x14ac:dyDescent="0.3">
      <c r="A1548" s="359" t="s">
        <v>1957</v>
      </c>
      <c r="B1548" s="602" t="s">
        <v>5752</v>
      </c>
      <c r="C1548" s="548" t="s">
        <v>5753</v>
      </c>
      <c r="D1548" s="360">
        <v>0.22</v>
      </c>
      <c r="E1548" s="528"/>
      <c r="F1548" s="523"/>
      <c r="G1548" s="393"/>
      <c r="H1548" s="394"/>
      <c r="I1548" s="394"/>
      <c r="J1548" s="394"/>
      <c r="K1548" s="394"/>
      <c r="L1548" s="394"/>
      <c r="M1548" s="394"/>
      <c r="N1548" s="394"/>
      <c r="O1548" s="394"/>
      <c r="P1548" s="394"/>
      <c r="Q1548" s="394"/>
      <c r="R1548" s="381"/>
      <c r="S1548" s="408"/>
      <c r="T1548" s="385"/>
      <c r="U1548" s="475"/>
      <c r="V1548" s="395"/>
      <c r="W1548" s="395"/>
      <c r="X1548" s="528"/>
      <c r="Y1548" s="523"/>
      <c r="Z1548" s="393"/>
      <c r="AA1548" s="394"/>
      <c r="AB1548" s="394"/>
      <c r="AC1548" s="394"/>
      <c r="AD1548" s="394"/>
      <c r="AE1548" s="394"/>
      <c r="AF1548" s="394"/>
      <c r="AG1548" s="394"/>
      <c r="AH1548" s="394"/>
      <c r="AI1548" s="394"/>
      <c r="AJ1548" s="394"/>
      <c r="AK1548" s="381"/>
      <c r="AL1548" s="408"/>
      <c r="AM1548" s="385"/>
      <c r="AN1548" s="475"/>
      <c r="AO1548" s="395"/>
      <c r="AP1548" s="395"/>
      <c r="AQ1548" s="528"/>
      <c r="AR1548" s="523">
        <v>1</v>
      </c>
      <c r="AS1548" s="393"/>
      <c r="AT1548" s="600">
        <v>8.2908399999999993</v>
      </c>
      <c r="AU1548" s="394">
        <v>7.4005999999999998</v>
      </c>
      <c r="AV1548" s="394">
        <v>7.3041999999999998</v>
      </c>
      <c r="AW1548" s="394"/>
      <c r="AX1548" s="394"/>
      <c r="AY1548" s="394">
        <v>0</v>
      </c>
      <c r="AZ1548" s="394">
        <v>0</v>
      </c>
      <c r="BA1548" s="394">
        <v>0.20754</v>
      </c>
      <c r="BB1548" s="394">
        <v>7.3041999999999998</v>
      </c>
      <c r="BC1548" s="394"/>
      <c r="BD1548" s="381" t="s">
        <v>167</v>
      </c>
      <c r="BE1548" s="408" t="s">
        <v>175</v>
      </c>
      <c r="BF1548" s="385"/>
      <c r="BG1548" s="475">
        <v>684</v>
      </c>
      <c r="BH1548" s="395"/>
      <c r="BI1548" s="395">
        <f t="shared" ref="BI1548" si="958">AT1548/AR1548</f>
        <v>8.2908399999999993</v>
      </c>
    </row>
    <row r="1549" spans="1:61" s="358" customFormat="1" ht="19.2" x14ac:dyDescent="0.3">
      <c r="A1549" s="359" t="s">
        <v>1958</v>
      </c>
      <c r="B1549" s="602" t="s">
        <v>5754</v>
      </c>
      <c r="C1549" s="548" t="s">
        <v>5755</v>
      </c>
      <c r="D1549" s="360">
        <v>0.22</v>
      </c>
      <c r="E1549" s="528"/>
      <c r="F1549" s="523"/>
      <c r="G1549" s="393"/>
      <c r="H1549" s="394"/>
      <c r="I1549" s="394"/>
      <c r="J1549" s="394"/>
      <c r="K1549" s="394"/>
      <c r="L1549" s="394"/>
      <c r="M1549" s="394"/>
      <c r="N1549" s="394"/>
      <c r="O1549" s="394"/>
      <c r="P1549" s="394"/>
      <c r="Q1549" s="394"/>
      <c r="R1549" s="381"/>
      <c r="S1549" s="408"/>
      <c r="T1549" s="385"/>
      <c r="U1549" s="475"/>
      <c r="V1549" s="395"/>
      <c r="W1549" s="395"/>
      <c r="X1549" s="528"/>
      <c r="Y1549" s="523"/>
      <c r="Z1549" s="393"/>
      <c r="AA1549" s="394"/>
      <c r="AB1549" s="394"/>
      <c r="AC1549" s="394"/>
      <c r="AD1549" s="394"/>
      <c r="AE1549" s="394"/>
      <c r="AF1549" s="394"/>
      <c r="AG1549" s="394"/>
      <c r="AH1549" s="394"/>
      <c r="AI1549" s="394"/>
      <c r="AJ1549" s="394"/>
      <c r="AK1549" s="381"/>
      <c r="AL1549" s="408"/>
      <c r="AM1549" s="385"/>
      <c r="AN1549" s="475"/>
      <c r="AO1549" s="395"/>
      <c r="AP1549" s="395"/>
      <c r="AQ1549" s="528"/>
      <c r="AR1549" s="523">
        <v>1</v>
      </c>
      <c r="AS1549" s="393"/>
      <c r="AT1549" s="600">
        <v>8.2908399999999993</v>
      </c>
      <c r="AU1549" s="394">
        <v>7.4005999999999998</v>
      </c>
      <c r="AV1549" s="394">
        <v>7.3041999999999998</v>
      </c>
      <c r="AW1549" s="394"/>
      <c r="AX1549" s="394"/>
      <c r="AY1549" s="394">
        <v>0</v>
      </c>
      <c r="AZ1549" s="394">
        <v>0</v>
      </c>
      <c r="BA1549" s="394">
        <v>0.20754</v>
      </c>
      <c r="BB1549" s="394">
        <v>7.3041999999999998</v>
      </c>
      <c r="BC1549" s="394"/>
      <c r="BD1549" s="381" t="s">
        <v>167</v>
      </c>
      <c r="BE1549" s="408" t="s">
        <v>175</v>
      </c>
      <c r="BF1549" s="385"/>
      <c r="BG1549" s="475">
        <v>685</v>
      </c>
      <c r="BH1549" s="395"/>
      <c r="BI1549" s="395">
        <f t="shared" ref="BI1549" si="959">AT1549/AR1549</f>
        <v>8.2908399999999993</v>
      </c>
    </row>
    <row r="1550" spans="1:61" s="358" customFormat="1" ht="19.2" x14ac:dyDescent="0.3">
      <c r="A1550" s="359" t="s">
        <v>1959</v>
      </c>
      <c r="B1550" s="602" t="s">
        <v>4848</v>
      </c>
      <c r="C1550" s="548" t="s">
        <v>4847</v>
      </c>
      <c r="D1550" s="360">
        <v>0.22</v>
      </c>
      <c r="E1550" s="528"/>
      <c r="F1550" s="523"/>
      <c r="G1550" s="393"/>
      <c r="H1550" s="394"/>
      <c r="I1550" s="394"/>
      <c r="J1550" s="394"/>
      <c r="K1550" s="394"/>
      <c r="L1550" s="394"/>
      <c r="M1550" s="394"/>
      <c r="N1550" s="394"/>
      <c r="O1550" s="394"/>
      <c r="P1550" s="394"/>
      <c r="Q1550" s="394"/>
      <c r="R1550" s="381"/>
      <c r="S1550" s="408"/>
      <c r="T1550" s="385"/>
      <c r="U1550" s="475"/>
      <c r="V1550" s="395"/>
      <c r="W1550" s="395"/>
      <c r="X1550" s="528"/>
      <c r="Y1550" s="523"/>
      <c r="Z1550" s="393"/>
      <c r="AA1550" s="394"/>
      <c r="AB1550" s="394"/>
      <c r="AC1550" s="394"/>
      <c r="AD1550" s="394"/>
      <c r="AE1550" s="394"/>
      <c r="AF1550" s="394"/>
      <c r="AG1550" s="394"/>
      <c r="AH1550" s="394"/>
      <c r="AI1550" s="394"/>
      <c r="AJ1550" s="394"/>
      <c r="AK1550" s="381"/>
      <c r="AL1550" s="408"/>
      <c r="AM1550" s="385"/>
      <c r="AN1550" s="475"/>
      <c r="AO1550" s="395"/>
      <c r="AP1550" s="395"/>
      <c r="AQ1550" s="528"/>
      <c r="AR1550" s="523">
        <v>1</v>
      </c>
      <c r="AS1550" s="393"/>
      <c r="AT1550" s="600">
        <v>12.57452</v>
      </c>
      <c r="AU1550" s="394">
        <v>8.2700800000000001</v>
      </c>
      <c r="AV1550" s="394">
        <v>7.33127</v>
      </c>
      <c r="AW1550" s="394"/>
      <c r="AX1550" s="394"/>
      <c r="AY1550" s="394">
        <v>0</v>
      </c>
      <c r="AZ1550" s="394">
        <v>0</v>
      </c>
      <c r="BA1550" s="394">
        <v>1.00349</v>
      </c>
      <c r="BB1550" s="394">
        <v>7.33127</v>
      </c>
      <c r="BC1550" s="394"/>
      <c r="BD1550" s="381" t="s">
        <v>167</v>
      </c>
      <c r="BE1550" s="408" t="s">
        <v>175</v>
      </c>
      <c r="BF1550" s="385"/>
      <c r="BG1550" s="475">
        <v>686</v>
      </c>
      <c r="BH1550" s="395"/>
      <c r="BI1550" s="395">
        <f t="shared" ref="BI1550:BI1557" si="960">AT1550/AR1550</f>
        <v>12.57452</v>
      </c>
    </row>
    <row r="1551" spans="1:61" s="358" customFormat="1" ht="19.2" x14ac:dyDescent="0.3">
      <c r="A1551" s="359" t="s">
        <v>1960</v>
      </c>
      <c r="B1551" s="602" t="s">
        <v>5800</v>
      </c>
      <c r="C1551" s="548" t="s">
        <v>5801</v>
      </c>
      <c r="D1551" s="360">
        <v>0.22</v>
      </c>
      <c r="E1551" s="528"/>
      <c r="F1551" s="523"/>
      <c r="G1551" s="393"/>
      <c r="H1551" s="394"/>
      <c r="I1551" s="394"/>
      <c r="J1551" s="394"/>
      <c r="K1551" s="394"/>
      <c r="L1551" s="394"/>
      <c r="M1551" s="394"/>
      <c r="N1551" s="394"/>
      <c r="O1551" s="394"/>
      <c r="P1551" s="394"/>
      <c r="Q1551" s="394"/>
      <c r="R1551" s="381"/>
      <c r="S1551" s="408"/>
      <c r="T1551" s="385"/>
      <c r="U1551" s="475"/>
      <c r="V1551" s="395"/>
      <c r="W1551" s="395"/>
      <c r="X1551" s="528"/>
      <c r="Y1551" s="523"/>
      <c r="Z1551" s="393"/>
      <c r="AA1551" s="394"/>
      <c r="AB1551" s="394"/>
      <c r="AC1551" s="394"/>
      <c r="AD1551" s="394"/>
      <c r="AE1551" s="394"/>
      <c r="AF1551" s="394"/>
      <c r="AG1551" s="394"/>
      <c r="AH1551" s="394"/>
      <c r="AI1551" s="394"/>
      <c r="AJ1551" s="394"/>
      <c r="AK1551" s="381"/>
      <c r="AL1551" s="408"/>
      <c r="AM1551" s="385"/>
      <c r="AN1551" s="475"/>
      <c r="AO1551" s="395"/>
      <c r="AP1551" s="395"/>
      <c r="AQ1551" s="528"/>
      <c r="AR1551" s="523">
        <v>1</v>
      </c>
      <c r="AS1551" s="393"/>
      <c r="AT1551" s="600">
        <v>12.57455</v>
      </c>
      <c r="AU1551" s="394">
        <v>8.2700999999999993</v>
      </c>
      <c r="AV1551" s="394">
        <v>7.33127</v>
      </c>
      <c r="AW1551" s="394"/>
      <c r="AX1551" s="394"/>
      <c r="AY1551" s="394">
        <v>0</v>
      </c>
      <c r="AZ1551" s="394">
        <v>0</v>
      </c>
      <c r="BA1551" s="394">
        <v>1.00349</v>
      </c>
      <c r="BB1551" s="394">
        <v>7.33127</v>
      </c>
      <c r="BC1551" s="394"/>
      <c r="BD1551" s="381" t="s">
        <v>167</v>
      </c>
      <c r="BE1551" s="408" t="s">
        <v>175</v>
      </c>
      <c r="BF1551" s="385"/>
      <c r="BG1551" s="475">
        <v>687</v>
      </c>
      <c r="BH1551" s="395"/>
      <c r="BI1551" s="395">
        <f t="shared" si="960"/>
        <v>12.57455</v>
      </c>
    </row>
    <row r="1552" spans="1:61" s="358" customFormat="1" ht="19.2" x14ac:dyDescent="0.3">
      <c r="A1552" s="359" t="s">
        <v>1961</v>
      </c>
      <c r="B1552" s="602" t="s">
        <v>5802</v>
      </c>
      <c r="C1552" s="548" t="s">
        <v>5803</v>
      </c>
      <c r="D1552" s="360">
        <v>0.22</v>
      </c>
      <c r="E1552" s="528"/>
      <c r="F1552" s="523"/>
      <c r="G1552" s="393"/>
      <c r="H1552" s="394"/>
      <c r="I1552" s="394"/>
      <c r="J1552" s="394"/>
      <c r="K1552" s="394"/>
      <c r="L1552" s="394"/>
      <c r="M1552" s="394"/>
      <c r="N1552" s="394"/>
      <c r="O1552" s="394"/>
      <c r="P1552" s="394"/>
      <c r="Q1552" s="394"/>
      <c r="R1552" s="381"/>
      <c r="S1552" s="408"/>
      <c r="T1552" s="385"/>
      <c r="U1552" s="475"/>
      <c r="V1552" s="395"/>
      <c r="W1552" s="395"/>
      <c r="X1552" s="528"/>
      <c r="Y1552" s="523"/>
      <c r="Z1552" s="393"/>
      <c r="AA1552" s="394"/>
      <c r="AB1552" s="394"/>
      <c r="AC1552" s="394"/>
      <c r="AD1552" s="394"/>
      <c r="AE1552" s="394"/>
      <c r="AF1552" s="394"/>
      <c r="AG1552" s="394"/>
      <c r="AH1552" s="394"/>
      <c r="AI1552" s="394"/>
      <c r="AJ1552" s="394"/>
      <c r="AK1552" s="381"/>
      <c r="AL1552" s="408"/>
      <c r="AM1552" s="385"/>
      <c r="AN1552" s="475"/>
      <c r="AO1552" s="395"/>
      <c r="AP1552" s="395"/>
      <c r="AQ1552" s="528"/>
      <c r="AR1552" s="523">
        <v>1</v>
      </c>
      <c r="AS1552" s="393"/>
      <c r="AT1552" s="600">
        <v>12.574490000000001</v>
      </c>
      <c r="AU1552" s="394">
        <v>8.2700999999999993</v>
      </c>
      <c r="AV1552" s="394">
        <v>7.33127</v>
      </c>
      <c r="AW1552" s="394"/>
      <c r="AX1552" s="394"/>
      <c r="AY1552" s="394">
        <v>0</v>
      </c>
      <c r="AZ1552" s="394">
        <v>0</v>
      </c>
      <c r="BA1552" s="394">
        <v>1.00349</v>
      </c>
      <c r="BB1552" s="394">
        <v>7.33127</v>
      </c>
      <c r="BC1552" s="394"/>
      <c r="BD1552" s="381" t="s">
        <v>167</v>
      </c>
      <c r="BE1552" s="408" t="s">
        <v>175</v>
      </c>
      <c r="BF1552" s="385"/>
      <c r="BG1552" s="475">
        <v>688</v>
      </c>
      <c r="BH1552" s="395"/>
      <c r="BI1552" s="395">
        <f t="shared" ref="BI1552" si="961">AT1552/AR1552</f>
        <v>12.574490000000001</v>
      </c>
    </row>
    <row r="1553" spans="1:61" s="358" customFormat="1" ht="19.2" x14ac:dyDescent="0.3">
      <c r="A1553" s="359" t="s">
        <v>1962</v>
      </c>
      <c r="B1553" s="602" t="s">
        <v>5804</v>
      </c>
      <c r="C1553" s="548" t="s">
        <v>5805</v>
      </c>
      <c r="D1553" s="360">
        <v>0.22</v>
      </c>
      <c r="E1553" s="528"/>
      <c r="F1553" s="523"/>
      <c r="G1553" s="393"/>
      <c r="H1553" s="394"/>
      <c r="I1553" s="394"/>
      <c r="J1553" s="394"/>
      <c r="K1553" s="394"/>
      <c r="L1553" s="394"/>
      <c r="M1553" s="394"/>
      <c r="N1553" s="394"/>
      <c r="O1553" s="394"/>
      <c r="P1553" s="394"/>
      <c r="Q1553" s="394"/>
      <c r="R1553" s="381"/>
      <c r="S1553" s="408"/>
      <c r="T1553" s="385"/>
      <c r="U1553" s="475"/>
      <c r="V1553" s="395"/>
      <c r="W1553" s="395"/>
      <c r="X1553" s="528"/>
      <c r="Y1553" s="523"/>
      <c r="Z1553" s="393"/>
      <c r="AA1553" s="394"/>
      <c r="AB1553" s="394"/>
      <c r="AC1553" s="394"/>
      <c r="AD1553" s="394"/>
      <c r="AE1553" s="394"/>
      <c r="AF1553" s="394"/>
      <c r="AG1553" s="394"/>
      <c r="AH1553" s="394"/>
      <c r="AI1553" s="394"/>
      <c r="AJ1553" s="394"/>
      <c r="AK1553" s="381"/>
      <c r="AL1553" s="408"/>
      <c r="AM1553" s="385"/>
      <c r="AN1553" s="475"/>
      <c r="AO1553" s="395"/>
      <c r="AP1553" s="395"/>
      <c r="AQ1553" s="528"/>
      <c r="AR1553" s="523">
        <v>1</v>
      </c>
      <c r="AS1553" s="393"/>
      <c r="AT1553" s="600">
        <v>12.57455</v>
      </c>
      <c r="AU1553" s="394">
        <v>8.2700999999999993</v>
      </c>
      <c r="AV1553" s="394">
        <v>7.33127</v>
      </c>
      <c r="AW1553" s="394"/>
      <c r="AX1553" s="394"/>
      <c r="AY1553" s="394">
        <v>0</v>
      </c>
      <c r="AZ1553" s="394">
        <v>0</v>
      </c>
      <c r="BA1553" s="394">
        <v>1.00349</v>
      </c>
      <c r="BB1553" s="394">
        <v>7.33127</v>
      </c>
      <c r="BC1553" s="394"/>
      <c r="BD1553" s="381" t="s">
        <v>167</v>
      </c>
      <c r="BE1553" s="408" t="s">
        <v>175</v>
      </c>
      <c r="BF1553" s="385"/>
      <c r="BG1553" s="475">
        <v>689</v>
      </c>
      <c r="BH1553" s="395"/>
      <c r="BI1553" s="395">
        <f t="shared" si="960"/>
        <v>12.57455</v>
      </c>
    </row>
    <row r="1554" spans="1:61" s="358" customFormat="1" ht="19.2" x14ac:dyDescent="0.3">
      <c r="A1554" s="359" t="s">
        <v>1963</v>
      </c>
      <c r="B1554" s="602" t="s">
        <v>5806</v>
      </c>
      <c r="C1554" s="548" t="s">
        <v>5807</v>
      </c>
      <c r="D1554" s="360">
        <v>0.22</v>
      </c>
      <c r="E1554" s="528"/>
      <c r="F1554" s="523"/>
      <c r="G1554" s="393"/>
      <c r="H1554" s="394"/>
      <c r="I1554" s="394"/>
      <c r="J1554" s="394"/>
      <c r="K1554" s="394"/>
      <c r="L1554" s="394"/>
      <c r="M1554" s="394"/>
      <c r="N1554" s="394"/>
      <c r="O1554" s="394"/>
      <c r="P1554" s="394"/>
      <c r="Q1554" s="394"/>
      <c r="R1554" s="381"/>
      <c r="S1554" s="408"/>
      <c r="T1554" s="385"/>
      <c r="U1554" s="475"/>
      <c r="V1554" s="395"/>
      <c r="W1554" s="395"/>
      <c r="X1554" s="528"/>
      <c r="Y1554" s="523"/>
      <c r="Z1554" s="393"/>
      <c r="AA1554" s="394"/>
      <c r="AB1554" s="394"/>
      <c r="AC1554" s="394"/>
      <c r="AD1554" s="394"/>
      <c r="AE1554" s="394"/>
      <c r="AF1554" s="394"/>
      <c r="AG1554" s="394"/>
      <c r="AH1554" s="394"/>
      <c r="AI1554" s="394"/>
      <c r="AJ1554" s="394"/>
      <c r="AK1554" s="381"/>
      <c r="AL1554" s="408"/>
      <c r="AM1554" s="385"/>
      <c r="AN1554" s="475"/>
      <c r="AO1554" s="395"/>
      <c r="AP1554" s="395"/>
      <c r="AQ1554" s="528"/>
      <c r="AR1554" s="523">
        <v>1</v>
      </c>
      <c r="AS1554" s="393"/>
      <c r="AT1554" s="600">
        <v>12.574540000000001</v>
      </c>
      <c r="AU1554" s="394">
        <v>8.2700999999999993</v>
      </c>
      <c r="AV1554" s="394">
        <v>7.33127</v>
      </c>
      <c r="AW1554" s="394"/>
      <c r="AX1554" s="394"/>
      <c r="AY1554" s="394">
        <v>0</v>
      </c>
      <c r="AZ1554" s="394">
        <v>0</v>
      </c>
      <c r="BA1554" s="394">
        <v>1.00349</v>
      </c>
      <c r="BB1554" s="394">
        <v>7.33127</v>
      </c>
      <c r="BC1554" s="394"/>
      <c r="BD1554" s="381" t="s">
        <v>167</v>
      </c>
      <c r="BE1554" s="408" t="s">
        <v>175</v>
      </c>
      <c r="BF1554" s="385"/>
      <c r="BG1554" s="475">
        <v>690</v>
      </c>
      <c r="BH1554" s="395"/>
      <c r="BI1554" s="395">
        <f t="shared" ref="BI1554" si="962">AT1554/AR1554</f>
        <v>12.574540000000001</v>
      </c>
    </row>
    <row r="1555" spans="1:61" s="358" customFormat="1" ht="19.2" x14ac:dyDescent="0.3">
      <c r="A1555" s="359" t="s">
        <v>1964</v>
      </c>
      <c r="B1555" s="602" t="s">
        <v>5808</v>
      </c>
      <c r="C1555" s="548" t="s">
        <v>5809</v>
      </c>
      <c r="D1555" s="360">
        <v>0.22</v>
      </c>
      <c r="E1555" s="528"/>
      <c r="F1555" s="523"/>
      <c r="G1555" s="393"/>
      <c r="H1555" s="394"/>
      <c r="I1555" s="394"/>
      <c r="J1555" s="394"/>
      <c r="K1555" s="394"/>
      <c r="L1555" s="394"/>
      <c r="M1555" s="394"/>
      <c r="N1555" s="394"/>
      <c r="O1555" s="394"/>
      <c r="P1555" s="394"/>
      <c r="Q1555" s="394"/>
      <c r="R1555" s="381"/>
      <c r="S1555" s="408"/>
      <c r="T1555" s="385"/>
      <c r="U1555" s="475"/>
      <c r="V1555" s="395"/>
      <c r="W1555" s="395"/>
      <c r="X1555" s="528"/>
      <c r="Y1555" s="523"/>
      <c r="Z1555" s="393"/>
      <c r="AA1555" s="394"/>
      <c r="AB1555" s="394"/>
      <c r="AC1555" s="394"/>
      <c r="AD1555" s="394"/>
      <c r="AE1555" s="394"/>
      <c r="AF1555" s="394"/>
      <c r="AG1555" s="394"/>
      <c r="AH1555" s="394"/>
      <c r="AI1555" s="394"/>
      <c r="AJ1555" s="394"/>
      <c r="AK1555" s="381"/>
      <c r="AL1555" s="408"/>
      <c r="AM1555" s="385"/>
      <c r="AN1555" s="475"/>
      <c r="AO1555" s="395"/>
      <c r="AP1555" s="395"/>
      <c r="AQ1555" s="528"/>
      <c r="AR1555" s="523">
        <v>1</v>
      </c>
      <c r="AS1555" s="393"/>
      <c r="AT1555" s="600">
        <v>12.574490000000001</v>
      </c>
      <c r="AU1555" s="394">
        <v>8.2700499999999995</v>
      </c>
      <c r="AV1555" s="394">
        <v>7.33127</v>
      </c>
      <c r="AW1555" s="394"/>
      <c r="AX1555" s="394"/>
      <c r="AY1555" s="394">
        <v>0</v>
      </c>
      <c r="AZ1555" s="394">
        <v>0</v>
      </c>
      <c r="BA1555" s="394">
        <v>1.00349</v>
      </c>
      <c r="BB1555" s="394">
        <v>7.33127</v>
      </c>
      <c r="BC1555" s="394"/>
      <c r="BD1555" s="381" t="s">
        <v>167</v>
      </c>
      <c r="BE1555" s="408" t="s">
        <v>175</v>
      </c>
      <c r="BF1555" s="385"/>
      <c r="BG1555" s="475">
        <v>691</v>
      </c>
      <c r="BH1555" s="395"/>
      <c r="BI1555" s="395">
        <f t="shared" si="960"/>
        <v>12.574490000000001</v>
      </c>
    </row>
    <row r="1556" spans="1:61" s="358" customFormat="1" ht="19.2" x14ac:dyDescent="0.3">
      <c r="A1556" s="359" t="s">
        <v>1965</v>
      </c>
      <c r="B1556" s="602" t="s">
        <v>5810</v>
      </c>
      <c r="C1556" s="548" t="s">
        <v>5811</v>
      </c>
      <c r="D1556" s="360">
        <v>0.22</v>
      </c>
      <c r="E1556" s="528"/>
      <c r="F1556" s="523"/>
      <c r="G1556" s="393"/>
      <c r="H1556" s="394"/>
      <c r="I1556" s="394"/>
      <c r="J1556" s="394"/>
      <c r="K1556" s="394"/>
      <c r="L1556" s="394"/>
      <c r="M1556" s="394"/>
      <c r="N1556" s="394"/>
      <c r="O1556" s="394"/>
      <c r="P1556" s="394"/>
      <c r="Q1556" s="394"/>
      <c r="R1556" s="381"/>
      <c r="S1556" s="408"/>
      <c r="T1556" s="385"/>
      <c r="U1556" s="475"/>
      <c r="V1556" s="395"/>
      <c r="W1556" s="395"/>
      <c r="X1556" s="528"/>
      <c r="Y1556" s="523"/>
      <c r="Z1556" s="393"/>
      <c r="AA1556" s="394"/>
      <c r="AB1556" s="394"/>
      <c r="AC1556" s="394"/>
      <c r="AD1556" s="394"/>
      <c r="AE1556" s="394"/>
      <c r="AF1556" s="394"/>
      <c r="AG1556" s="394"/>
      <c r="AH1556" s="394"/>
      <c r="AI1556" s="394"/>
      <c r="AJ1556" s="394"/>
      <c r="AK1556" s="381"/>
      <c r="AL1556" s="408"/>
      <c r="AM1556" s="385"/>
      <c r="AN1556" s="475"/>
      <c r="AO1556" s="395"/>
      <c r="AP1556" s="395"/>
      <c r="AQ1556" s="528"/>
      <c r="AR1556" s="523">
        <v>1</v>
      </c>
      <c r="AS1556" s="393"/>
      <c r="AT1556" s="600">
        <v>12.574540000000001</v>
      </c>
      <c r="AU1556" s="394">
        <v>8.2700999999999993</v>
      </c>
      <c r="AV1556" s="394">
        <v>7.33127</v>
      </c>
      <c r="AW1556" s="394"/>
      <c r="AX1556" s="394"/>
      <c r="AY1556" s="394">
        <v>0</v>
      </c>
      <c r="AZ1556" s="394">
        <v>0</v>
      </c>
      <c r="BA1556" s="394">
        <v>1.00349</v>
      </c>
      <c r="BB1556" s="394">
        <v>7.33127</v>
      </c>
      <c r="BC1556" s="394"/>
      <c r="BD1556" s="381" t="s">
        <v>167</v>
      </c>
      <c r="BE1556" s="408" t="s">
        <v>175</v>
      </c>
      <c r="BF1556" s="385"/>
      <c r="BG1556" s="475">
        <v>692</v>
      </c>
      <c r="BH1556" s="395"/>
      <c r="BI1556" s="395">
        <f t="shared" ref="BI1556" si="963">AT1556/AR1556</f>
        <v>12.574540000000001</v>
      </c>
    </row>
    <row r="1557" spans="1:61" s="358" customFormat="1" ht="19.2" x14ac:dyDescent="0.3">
      <c r="A1557" s="359" t="s">
        <v>1966</v>
      </c>
      <c r="B1557" s="602" t="s">
        <v>5812</v>
      </c>
      <c r="C1557" s="548" t="s">
        <v>5813</v>
      </c>
      <c r="D1557" s="360">
        <v>0.22</v>
      </c>
      <c r="E1557" s="528"/>
      <c r="F1557" s="523"/>
      <c r="G1557" s="393"/>
      <c r="H1557" s="394"/>
      <c r="I1557" s="394"/>
      <c r="J1557" s="394"/>
      <c r="K1557" s="394"/>
      <c r="L1557" s="394"/>
      <c r="M1557" s="394"/>
      <c r="N1557" s="394"/>
      <c r="O1557" s="394"/>
      <c r="P1557" s="394"/>
      <c r="Q1557" s="394"/>
      <c r="R1557" s="381"/>
      <c r="S1557" s="408"/>
      <c r="T1557" s="385"/>
      <c r="U1557" s="475"/>
      <c r="V1557" s="395"/>
      <c r="W1557" s="395"/>
      <c r="X1557" s="528"/>
      <c r="Y1557" s="523"/>
      <c r="Z1557" s="393"/>
      <c r="AA1557" s="394"/>
      <c r="AB1557" s="394"/>
      <c r="AC1557" s="394"/>
      <c r="AD1557" s="394"/>
      <c r="AE1557" s="394"/>
      <c r="AF1557" s="394"/>
      <c r="AG1557" s="394"/>
      <c r="AH1557" s="394"/>
      <c r="AI1557" s="394"/>
      <c r="AJ1557" s="394"/>
      <c r="AK1557" s="381"/>
      <c r="AL1557" s="408"/>
      <c r="AM1557" s="385"/>
      <c r="AN1557" s="475"/>
      <c r="AO1557" s="395"/>
      <c r="AP1557" s="395"/>
      <c r="AQ1557" s="528"/>
      <c r="AR1557" s="523">
        <v>1</v>
      </c>
      <c r="AS1557" s="393"/>
      <c r="AT1557" s="600">
        <v>12.57455</v>
      </c>
      <c r="AU1557" s="394">
        <v>8.2700999999999993</v>
      </c>
      <c r="AV1557" s="394">
        <v>7.33127</v>
      </c>
      <c r="AW1557" s="394"/>
      <c r="AX1557" s="394"/>
      <c r="AY1557" s="394">
        <v>0</v>
      </c>
      <c r="AZ1557" s="394">
        <v>0</v>
      </c>
      <c r="BA1557" s="394">
        <v>1.00349</v>
      </c>
      <c r="BB1557" s="394">
        <v>7.33127</v>
      </c>
      <c r="BC1557" s="394"/>
      <c r="BD1557" s="381" t="s">
        <v>167</v>
      </c>
      <c r="BE1557" s="408" t="s">
        <v>175</v>
      </c>
      <c r="BF1557" s="385"/>
      <c r="BG1557" s="475">
        <v>693</v>
      </c>
      <c r="BH1557" s="395"/>
      <c r="BI1557" s="395">
        <f t="shared" si="960"/>
        <v>12.57455</v>
      </c>
    </row>
    <row r="1558" spans="1:61" s="358" customFormat="1" ht="19.2" x14ac:dyDescent="0.3">
      <c r="A1558" s="359" t="s">
        <v>1967</v>
      </c>
      <c r="B1558" s="602" t="s">
        <v>5572</v>
      </c>
      <c r="C1558" s="548" t="s">
        <v>5573</v>
      </c>
      <c r="D1558" s="360">
        <v>0.22</v>
      </c>
      <c r="E1558" s="528"/>
      <c r="F1558" s="523"/>
      <c r="G1558" s="393"/>
      <c r="H1558" s="394"/>
      <c r="I1558" s="394"/>
      <c r="J1558" s="394"/>
      <c r="K1558" s="394"/>
      <c r="L1558" s="394"/>
      <c r="M1558" s="394"/>
      <c r="N1558" s="394"/>
      <c r="O1558" s="394"/>
      <c r="P1558" s="394"/>
      <c r="Q1558" s="394"/>
      <c r="R1558" s="381"/>
      <c r="S1558" s="408"/>
      <c r="T1558" s="385"/>
      <c r="U1558" s="475"/>
      <c r="V1558" s="395"/>
      <c r="W1558" s="395"/>
      <c r="X1558" s="528"/>
      <c r="Y1558" s="523"/>
      <c r="Z1558" s="393"/>
      <c r="AA1558" s="394"/>
      <c r="AB1558" s="394"/>
      <c r="AC1558" s="394"/>
      <c r="AD1558" s="394"/>
      <c r="AE1558" s="394"/>
      <c r="AF1558" s="394"/>
      <c r="AG1558" s="394"/>
      <c r="AH1558" s="394"/>
      <c r="AI1558" s="394"/>
      <c r="AJ1558" s="394"/>
      <c r="AK1558" s="381"/>
      <c r="AL1558" s="408"/>
      <c r="AM1558" s="385"/>
      <c r="AN1558" s="475"/>
      <c r="AO1558" s="395"/>
      <c r="AP1558" s="395"/>
      <c r="AQ1558" s="528"/>
      <c r="AR1558" s="523">
        <v>1</v>
      </c>
      <c r="AS1558" s="393"/>
      <c r="AT1558" s="600">
        <v>12.57455</v>
      </c>
      <c r="AU1558" s="394">
        <v>8.2700999999999993</v>
      </c>
      <c r="AV1558" s="394">
        <v>7.33127</v>
      </c>
      <c r="AW1558" s="394"/>
      <c r="AX1558" s="394"/>
      <c r="AY1558" s="394">
        <v>0</v>
      </c>
      <c r="AZ1558" s="394">
        <v>0</v>
      </c>
      <c r="BA1558" s="394">
        <v>1.00349</v>
      </c>
      <c r="BB1558" s="394">
        <v>7.33127</v>
      </c>
      <c r="BC1558" s="394"/>
      <c r="BD1558" s="381" t="s">
        <v>167</v>
      </c>
      <c r="BE1558" s="408" t="s">
        <v>175</v>
      </c>
      <c r="BF1558" s="385"/>
      <c r="BG1558" s="475">
        <v>694</v>
      </c>
      <c r="BH1558" s="395"/>
      <c r="BI1558" s="395">
        <f t="shared" ref="BI1558" si="964">AT1558/AR1558</f>
        <v>12.57455</v>
      </c>
    </row>
    <row r="1559" spans="1:61" s="358" customFormat="1" ht="19.2" x14ac:dyDescent="0.3">
      <c r="A1559" s="359" t="s">
        <v>1968</v>
      </c>
      <c r="B1559" s="602" t="s">
        <v>294</v>
      </c>
      <c r="C1559" s="548" t="s">
        <v>5814</v>
      </c>
      <c r="D1559" s="360">
        <v>0.22</v>
      </c>
      <c r="E1559" s="528"/>
      <c r="F1559" s="523"/>
      <c r="G1559" s="393"/>
      <c r="H1559" s="394"/>
      <c r="I1559" s="394"/>
      <c r="J1559" s="394"/>
      <c r="K1559" s="394"/>
      <c r="L1559" s="394"/>
      <c r="M1559" s="394"/>
      <c r="N1559" s="394"/>
      <c r="O1559" s="394"/>
      <c r="P1559" s="394"/>
      <c r="Q1559" s="394"/>
      <c r="R1559" s="381"/>
      <c r="S1559" s="408"/>
      <c r="T1559" s="385"/>
      <c r="U1559" s="475"/>
      <c r="V1559" s="395"/>
      <c r="W1559" s="395"/>
      <c r="X1559" s="528"/>
      <c r="Y1559" s="523"/>
      <c r="Z1559" s="393"/>
      <c r="AA1559" s="394"/>
      <c r="AB1559" s="394"/>
      <c r="AC1559" s="394"/>
      <c r="AD1559" s="394"/>
      <c r="AE1559" s="394"/>
      <c r="AF1559" s="394"/>
      <c r="AG1559" s="394"/>
      <c r="AH1559" s="394"/>
      <c r="AI1559" s="394"/>
      <c r="AJ1559" s="394"/>
      <c r="AK1559" s="381"/>
      <c r="AL1559" s="408"/>
      <c r="AM1559" s="385"/>
      <c r="AN1559" s="475"/>
      <c r="AO1559" s="395"/>
      <c r="AP1559" s="395"/>
      <c r="AQ1559" s="528"/>
      <c r="AR1559" s="523">
        <v>1</v>
      </c>
      <c r="AS1559" s="393"/>
      <c r="AT1559" s="600">
        <v>12.57452</v>
      </c>
      <c r="AU1559" s="394">
        <v>8.2700800000000001</v>
      </c>
      <c r="AV1559" s="394">
        <v>7.33127</v>
      </c>
      <c r="AW1559" s="394"/>
      <c r="AX1559" s="394"/>
      <c r="AY1559" s="394">
        <v>0</v>
      </c>
      <c r="AZ1559" s="394">
        <v>0</v>
      </c>
      <c r="BA1559" s="394">
        <v>1.00349</v>
      </c>
      <c r="BB1559" s="394">
        <v>7.33127</v>
      </c>
      <c r="BC1559" s="394"/>
      <c r="BD1559" s="381" t="s">
        <v>167</v>
      </c>
      <c r="BE1559" s="408" t="s">
        <v>175</v>
      </c>
      <c r="BF1559" s="385"/>
      <c r="BG1559" s="475">
        <v>695</v>
      </c>
      <c r="BH1559" s="395"/>
      <c r="BI1559" s="395">
        <f t="shared" ref="BI1559" si="965">AT1559/AR1559</f>
        <v>12.57452</v>
      </c>
    </row>
    <row r="1560" spans="1:61" s="358" customFormat="1" ht="19.2" x14ac:dyDescent="0.3">
      <c r="A1560" s="359" t="s">
        <v>1969</v>
      </c>
      <c r="B1560" s="602" t="s">
        <v>5815</v>
      </c>
      <c r="C1560" s="548" t="s">
        <v>5816</v>
      </c>
      <c r="D1560" s="360">
        <v>0.22</v>
      </c>
      <c r="E1560" s="528"/>
      <c r="F1560" s="523"/>
      <c r="G1560" s="393"/>
      <c r="H1560" s="394"/>
      <c r="I1560" s="394"/>
      <c r="J1560" s="394"/>
      <c r="K1560" s="394"/>
      <c r="L1560" s="394"/>
      <c r="M1560" s="394"/>
      <c r="N1560" s="394"/>
      <c r="O1560" s="394"/>
      <c r="P1560" s="394"/>
      <c r="Q1560" s="394"/>
      <c r="R1560" s="381"/>
      <c r="S1560" s="408"/>
      <c r="T1560" s="385"/>
      <c r="U1560" s="475"/>
      <c r="V1560" s="395"/>
      <c r="W1560" s="395"/>
      <c r="X1560" s="528"/>
      <c r="Y1560" s="523"/>
      <c r="Z1560" s="393"/>
      <c r="AA1560" s="394"/>
      <c r="AB1560" s="394"/>
      <c r="AC1560" s="394"/>
      <c r="AD1560" s="394"/>
      <c r="AE1560" s="394"/>
      <c r="AF1560" s="394"/>
      <c r="AG1560" s="394"/>
      <c r="AH1560" s="394"/>
      <c r="AI1560" s="394"/>
      <c r="AJ1560" s="394"/>
      <c r="AK1560" s="381"/>
      <c r="AL1560" s="408"/>
      <c r="AM1560" s="385"/>
      <c r="AN1560" s="475"/>
      <c r="AO1560" s="395"/>
      <c r="AP1560" s="395"/>
      <c r="AQ1560" s="528"/>
      <c r="AR1560" s="523">
        <v>1</v>
      </c>
      <c r="AS1560" s="393"/>
      <c r="AT1560" s="600">
        <v>12.57455</v>
      </c>
      <c r="AU1560" s="394">
        <v>8.2700999999999993</v>
      </c>
      <c r="AV1560" s="394">
        <v>7.33127</v>
      </c>
      <c r="AW1560" s="394"/>
      <c r="AX1560" s="394"/>
      <c r="AY1560" s="394">
        <v>0</v>
      </c>
      <c r="AZ1560" s="394">
        <v>0</v>
      </c>
      <c r="BA1560" s="394">
        <v>1.00349</v>
      </c>
      <c r="BB1560" s="394">
        <v>7.33127</v>
      </c>
      <c r="BC1560" s="394"/>
      <c r="BD1560" s="381" t="s">
        <v>167</v>
      </c>
      <c r="BE1560" s="408" t="s">
        <v>175</v>
      </c>
      <c r="BF1560" s="385"/>
      <c r="BG1560" s="475">
        <v>696</v>
      </c>
      <c r="BH1560" s="395"/>
      <c r="BI1560" s="395">
        <f t="shared" ref="BI1560" si="966">AT1560/AR1560</f>
        <v>12.57455</v>
      </c>
    </row>
    <row r="1561" spans="1:61" s="358" customFormat="1" ht="19.2" x14ac:dyDescent="0.3">
      <c r="A1561" s="359" t="s">
        <v>1970</v>
      </c>
      <c r="B1561" s="602" t="s">
        <v>4907</v>
      </c>
      <c r="C1561" s="548" t="s">
        <v>4906</v>
      </c>
      <c r="D1561" s="360">
        <v>0.22</v>
      </c>
      <c r="E1561" s="528"/>
      <c r="F1561" s="523"/>
      <c r="G1561" s="393"/>
      <c r="H1561" s="394"/>
      <c r="I1561" s="394"/>
      <c r="J1561" s="394"/>
      <c r="K1561" s="394"/>
      <c r="L1561" s="394"/>
      <c r="M1561" s="394"/>
      <c r="N1561" s="394"/>
      <c r="O1561" s="394"/>
      <c r="P1561" s="394"/>
      <c r="Q1561" s="394"/>
      <c r="R1561" s="381"/>
      <c r="S1561" s="408"/>
      <c r="T1561" s="385"/>
      <c r="U1561" s="475"/>
      <c r="V1561" s="395"/>
      <c r="W1561" s="395"/>
      <c r="X1561" s="528"/>
      <c r="Y1561" s="523"/>
      <c r="Z1561" s="393"/>
      <c r="AA1561" s="394"/>
      <c r="AB1561" s="394"/>
      <c r="AC1561" s="394"/>
      <c r="AD1561" s="394"/>
      <c r="AE1561" s="394"/>
      <c r="AF1561" s="394"/>
      <c r="AG1561" s="394"/>
      <c r="AH1561" s="394"/>
      <c r="AI1561" s="394"/>
      <c r="AJ1561" s="394"/>
      <c r="AK1561" s="381"/>
      <c r="AL1561" s="408"/>
      <c r="AM1561" s="385"/>
      <c r="AN1561" s="475"/>
      <c r="AO1561" s="395"/>
      <c r="AP1561" s="395"/>
      <c r="AQ1561" s="528"/>
      <c r="AR1561" s="523">
        <v>1</v>
      </c>
      <c r="AS1561" s="393"/>
      <c r="AT1561" s="600">
        <v>12.574490000000001</v>
      </c>
      <c r="AU1561" s="394">
        <v>8.2700499999999995</v>
      </c>
      <c r="AV1561" s="394">
        <v>7.33127</v>
      </c>
      <c r="AW1561" s="394"/>
      <c r="AX1561" s="394"/>
      <c r="AY1561" s="394">
        <v>0</v>
      </c>
      <c r="AZ1561" s="394">
        <v>0</v>
      </c>
      <c r="BA1561" s="394">
        <v>1.00349</v>
      </c>
      <c r="BB1561" s="394">
        <v>7.33127</v>
      </c>
      <c r="BC1561" s="394"/>
      <c r="BD1561" s="381" t="s">
        <v>167</v>
      </c>
      <c r="BE1561" s="408" t="s">
        <v>175</v>
      </c>
      <c r="BF1561" s="385"/>
      <c r="BG1561" s="475">
        <v>697</v>
      </c>
      <c r="BH1561" s="395"/>
      <c r="BI1561" s="395">
        <f t="shared" ref="BI1561" si="967">AT1561/AR1561</f>
        <v>12.574490000000001</v>
      </c>
    </row>
    <row r="1562" spans="1:61" s="358" customFormat="1" ht="19.2" x14ac:dyDescent="0.3">
      <c r="A1562" s="359" t="s">
        <v>1971</v>
      </c>
      <c r="B1562" s="602" t="s">
        <v>5884</v>
      </c>
      <c r="C1562" s="548" t="s">
        <v>5885</v>
      </c>
      <c r="D1562" s="360">
        <v>0.22</v>
      </c>
      <c r="E1562" s="528"/>
      <c r="F1562" s="523"/>
      <c r="G1562" s="393"/>
      <c r="H1562" s="394"/>
      <c r="I1562" s="394"/>
      <c r="J1562" s="394"/>
      <c r="K1562" s="394"/>
      <c r="L1562" s="394"/>
      <c r="M1562" s="394"/>
      <c r="N1562" s="394"/>
      <c r="O1562" s="394"/>
      <c r="P1562" s="394"/>
      <c r="Q1562" s="394"/>
      <c r="R1562" s="381"/>
      <c r="S1562" s="408"/>
      <c r="T1562" s="385"/>
      <c r="U1562" s="475"/>
      <c r="V1562" s="395"/>
      <c r="W1562" s="395"/>
      <c r="X1562" s="528"/>
      <c r="Y1562" s="523"/>
      <c r="Z1562" s="393"/>
      <c r="AA1562" s="394"/>
      <c r="AB1562" s="394"/>
      <c r="AC1562" s="394"/>
      <c r="AD1562" s="394"/>
      <c r="AE1562" s="394"/>
      <c r="AF1562" s="394"/>
      <c r="AG1562" s="394"/>
      <c r="AH1562" s="394"/>
      <c r="AI1562" s="394"/>
      <c r="AJ1562" s="394"/>
      <c r="AK1562" s="381"/>
      <c r="AL1562" s="408"/>
      <c r="AM1562" s="385"/>
      <c r="AN1562" s="475"/>
      <c r="AO1562" s="395"/>
      <c r="AP1562" s="395"/>
      <c r="AQ1562" s="528"/>
      <c r="AR1562" s="523">
        <v>1</v>
      </c>
      <c r="AS1562" s="393"/>
      <c r="AT1562" s="600">
        <v>8.4373000000000005</v>
      </c>
      <c r="AU1562" s="394">
        <v>7.5470600000000001</v>
      </c>
      <c r="AV1562" s="394">
        <v>7.4206899999999996</v>
      </c>
      <c r="AW1562" s="394"/>
      <c r="AX1562" s="394"/>
      <c r="AY1562" s="394">
        <v>0</v>
      </c>
      <c r="AZ1562" s="394">
        <v>0</v>
      </c>
      <c r="BA1562" s="394">
        <v>0.20754</v>
      </c>
      <c r="BB1562" s="394">
        <v>7.4206899999999996</v>
      </c>
      <c r="BC1562" s="394"/>
      <c r="BD1562" s="381" t="s">
        <v>167</v>
      </c>
      <c r="BE1562" s="408" t="s">
        <v>175</v>
      </c>
      <c r="BF1562" s="385"/>
      <c r="BG1562" s="475">
        <v>698</v>
      </c>
      <c r="BH1562" s="395"/>
      <c r="BI1562" s="395">
        <f t="shared" ref="BI1562" si="968">AT1562/AR1562</f>
        <v>8.4373000000000005</v>
      </c>
    </row>
    <row r="1563" spans="1:61" s="358" customFormat="1" ht="19.2" x14ac:dyDescent="0.3">
      <c r="A1563" s="359" t="s">
        <v>1972</v>
      </c>
      <c r="B1563" s="602" t="s">
        <v>5886</v>
      </c>
      <c r="C1563" s="548" t="s">
        <v>5887</v>
      </c>
      <c r="D1563" s="360">
        <v>0.22</v>
      </c>
      <c r="E1563" s="528"/>
      <c r="F1563" s="523"/>
      <c r="G1563" s="393"/>
      <c r="H1563" s="394"/>
      <c r="I1563" s="394"/>
      <c r="J1563" s="394"/>
      <c r="K1563" s="394"/>
      <c r="L1563" s="394"/>
      <c r="M1563" s="394"/>
      <c r="N1563" s="394"/>
      <c r="O1563" s="394"/>
      <c r="P1563" s="394"/>
      <c r="Q1563" s="394"/>
      <c r="R1563" s="381"/>
      <c r="S1563" s="408"/>
      <c r="T1563" s="385"/>
      <c r="U1563" s="475"/>
      <c r="V1563" s="395"/>
      <c r="W1563" s="395"/>
      <c r="X1563" s="528"/>
      <c r="Y1563" s="523"/>
      <c r="Z1563" s="393"/>
      <c r="AA1563" s="394"/>
      <c r="AB1563" s="394"/>
      <c r="AC1563" s="394"/>
      <c r="AD1563" s="394"/>
      <c r="AE1563" s="394"/>
      <c r="AF1563" s="394"/>
      <c r="AG1563" s="394"/>
      <c r="AH1563" s="394"/>
      <c r="AI1563" s="394"/>
      <c r="AJ1563" s="394"/>
      <c r="AK1563" s="381"/>
      <c r="AL1563" s="408"/>
      <c r="AM1563" s="385"/>
      <c r="AN1563" s="475"/>
      <c r="AO1563" s="395"/>
      <c r="AP1563" s="395"/>
      <c r="AQ1563" s="528"/>
      <c r="AR1563" s="523">
        <v>1</v>
      </c>
      <c r="AS1563" s="393"/>
      <c r="AT1563" s="600">
        <v>8.4373000000000005</v>
      </c>
      <c r="AU1563" s="394">
        <v>7.5470600000000001</v>
      </c>
      <c r="AV1563" s="394">
        <v>7.4206899999999996</v>
      </c>
      <c r="AW1563" s="394"/>
      <c r="AX1563" s="394"/>
      <c r="AY1563" s="394">
        <v>0</v>
      </c>
      <c r="AZ1563" s="394">
        <v>0</v>
      </c>
      <c r="BA1563" s="394">
        <v>0.20754</v>
      </c>
      <c r="BB1563" s="394">
        <v>7.4206899999999996</v>
      </c>
      <c r="BC1563" s="394"/>
      <c r="BD1563" s="381" t="s">
        <v>167</v>
      </c>
      <c r="BE1563" s="408" t="s">
        <v>175</v>
      </c>
      <c r="BF1563" s="385"/>
      <c r="BG1563" s="475">
        <v>699</v>
      </c>
      <c r="BH1563" s="395"/>
      <c r="BI1563" s="395">
        <f t="shared" ref="BI1563" si="969">AT1563/AR1563</f>
        <v>8.4373000000000005</v>
      </c>
    </row>
    <row r="1564" spans="1:61" s="358" customFormat="1" ht="19.2" x14ac:dyDescent="0.3">
      <c r="A1564" s="359" t="s">
        <v>1973</v>
      </c>
      <c r="B1564" s="602" t="s">
        <v>4892</v>
      </c>
      <c r="C1564" s="548" t="s">
        <v>4891</v>
      </c>
      <c r="D1564" s="360">
        <v>0.22</v>
      </c>
      <c r="E1564" s="528"/>
      <c r="F1564" s="523"/>
      <c r="G1564" s="393"/>
      <c r="H1564" s="394"/>
      <c r="I1564" s="394"/>
      <c r="J1564" s="394"/>
      <c r="K1564" s="394"/>
      <c r="L1564" s="394"/>
      <c r="M1564" s="394"/>
      <c r="N1564" s="394"/>
      <c r="O1564" s="394"/>
      <c r="P1564" s="394"/>
      <c r="Q1564" s="394"/>
      <c r="R1564" s="381"/>
      <c r="S1564" s="408"/>
      <c r="T1564" s="385"/>
      <c r="U1564" s="475"/>
      <c r="V1564" s="395"/>
      <c r="W1564" s="395"/>
      <c r="X1564" s="528"/>
      <c r="Y1564" s="523"/>
      <c r="Z1564" s="393"/>
      <c r="AA1564" s="394"/>
      <c r="AB1564" s="394"/>
      <c r="AC1564" s="394"/>
      <c r="AD1564" s="394"/>
      <c r="AE1564" s="394"/>
      <c r="AF1564" s="394"/>
      <c r="AG1564" s="394"/>
      <c r="AH1564" s="394"/>
      <c r="AI1564" s="394"/>
      <c r="AJ1564" s="394"/>
      <c r="AK1564" s="381"/>
      <c r="AL1564" s="408"/>
      <c r="AM1564" s="385"/>
      <c r="AN1564" s="475"/>
      <c r="AO1564" s="395"/>
      <c r="AP1564" s="395"/>
      <c r="AQ1564" s="528"/>
      <c r="AR1564" s="523">
        <v>1</v>
      </c>
      <c r="AS1564" s="393"/>
      <c r="AT1564" s="600">
        <v>12.859030000000001</v>
      </c>
      <c r="AU1564" s="394">
        <v>8.5545899999999993</v>
      </c>
      <c r="AV1564" s="394">
        <v>7.3608200000000004</v>
      </c>
      <c r="AW1564" s="394"/>
      <c r="AX1564" s="394"/>
      <c r="AY1564" s="394">
        <v>0</v>
      </c>
      <c r="AZ1564" s="394">
        <v>0</v>
      </c>
      <c r="BA1564" s="394">
        <v>1.00349</v>
      </c>
      <c r="BB1564" s="394">
        <v>7.3608200000000004</v>
      </c>
      <c r="BC1564" s="394"/>
      <c r="BD1564" s="381" t="s">
        <v>167</v>
      </c>
      <c r="BE1564" s="408" t="s">
        <v>175</v>
      </c>
      <c r="BF1564" s="385"/>
      <c r="BG1564" s="475">
        <v>700</v>
      </c>
      <c r="BH1564" s="395"/>
      <c r="BI1564" s="395">
        <f t="shared" ref="BI1564" si="970">AT1564/AR1564</f>
        <v>12.859030000000001</v>
      </c>
    </row>
    <row r="1565" spans="1:61" s="358" customFormat="1" ht="19.2" x14ac:dyDescent="0.3">
      <c r="A1565" s="359" t="s">
        <v>1974</v>
      </c>
      <c r="B1565" s="602" t="s">
        <v>5888</v>
      </c>
      <c r="C1565" s="548" t="s">
        <v>5889</v>
      </c>
      <c r="D1565" s="360">
        <v>0.22</v>
      </c>
      <c r="E1565" s="528"/>
      <c r="F1565" s="523"/>
      <c r="G1565" s="393"/>
      <c r="H1565" s="394"/>
      <c r="I1565" s="394"/>
      <c r="J1565" s="394"/>
      <c r="K1565" s="394"/>
      <c r="L1565" s="394"/>
      <c r="M1565" s="394"/>
      <c r="N1565" s="394"/>
      <c r="O1565" s="394"/>
      <c r="P1565" s="394"/>
      <c r="Q1565" s="394"/>
      <c r="R1565" s="381"/>
      <c r="S1565" s="408"/>
      <c r="T1565" s="385"/>
      <c r="U1565" s="475"/>
      <c r="V1565" s="395"/>
      <c r="W1565" s="395"/>
      <c r="X1565" s="528"/>
      <c r="Y1565" s="523"/>
      <c r="Z1565" s="393"/>
      <c r="AA1565" s="394"/>
      <c r="AB1565" s="394"/>
      <c r="AC1565" s="394"/>
      <c r="AD1565" s="394"/>
      <c r="AE1565" s="394"/>
      <c r="AF1565" s="394"/>
      <c r="AG1565" s="394"/>
      <c r="AH1565" s="394"/>
      <c r="AI1565" s="394"/>
      <c r="AJ1565" s="394"/>
      <c r="AK1565" s="381"/>
      <c r="AL1565" s="408"/>
      <c r="AM1565" s="385"/>
      <c r="AN1565" s="475"/>
      <c r="AO1565" s="395"/>
      <c r="AP1565" s="395"/>
      <c r="AQ1565" s="528"/>
      <c r="AR1565" s="523">
        <v>1</v>
      </c>
      <c r="AS1565" s="393"/>
      <c r="AT1565" s="600">
        <v>8.4372900000000008</v>
      </c>
      <c r="AU1565" s="394">
        <v>7.5470499999999996</v>
      </c>
      <c r="AV1565" s="394">
        <v>7.4206899999999996</v>
      </c>
      <c r="AW1565" s="394"/>
      <c r="AX1565" s="394"/>
      <c r="AY1565" s="394">
        <v>0</v>
      </c>
      <c r="AZ1565" s="394">
        <v>0</v>
      </c>
      <c r="BA1565" s="394">
        <v>0.20754</v>
      </c>
      <c r="BB1565" s="394">
        <v>7.4206899999999996</v>
      </c>
      <c r="BC1565" s="394"/>
      <c r="BD1565" s="381" t="s">
        <v>167</v>
      </c>
      <c r="BE1565" s="408" t="s">
        <v>175</v>
      </c>
      <c r="BF1565" s="385"/>
      <c r="BG1565" s="475">
        <v>701</v>
      </c>
      <c r="BH1565" s="395"/>
      <c r="BI1565" s="395">
        <f t="shared" ref="BI1565" si="971">AT1565/AR1565</f>
        <v>8.4372900000000008</v>
      </c>
    </row>
    <row r="1566" spans="1:61" s="358" customFormat="1" ht="19.2" x14ac:dyDescent="0.3">
      <c r="A1566" s="359" t="s">
        <v>1975</v>
      </c>
      <c r="B1566" s="602" t="s">
        <v>5890</v>
      </c>
      <c r="C1566" s="548" t="s">
        <v>5891</v>
      </c>
      <c r="D1566" s="360">
        <v>0.22</v>
      </c>
      <c r="E1566" s="528"/>
      <c r="F1566" s="523"/>
      <c r="G1566" s="393"/>
      <c r="H1566" s="394"/>
      <c r="I1566" s="394"/>
      <c r="J1566" s="394"/>
      <c r="K1566" s="394"/>
      <c r="L1566" s="394"/>
      <c r="M1566" s="394"/>
      <c r="N1566" s="394"/>
      <c r="O1566" s="394"/>
      <c r="P1566" s="394"/>
      <c r="Q1566" s="394"/>
      <c r="R1566" s="381"/>
      <c r="S1566" s="408"/>
      <c r="T1566" s="385"/>
      <c r="U1566" s="475"/>
      <c r="V1566" s="395"/>
      <c r="W1566" s="395"/>
      <c r="X1566" s="528"/>
      <c r="Y1566" s="523"/>
      <c r="Z1566" s="393"/>
      <c r="AA1566" s="394"/>
      <c r="AB1566" s="394"/>
      <c r="AC1566" s="394"/>
      <c r="AD1566" s="394"/>
      <c r="AE1566" s="394"/>
      <c r="AF1566" s="394"/>
      <c r="AG1566" s="394"/>
      <c r="AH1566" s="394"/>
      <c r="AI1566" s="394"/>
      <c r="AJ1566" s="394"/>
      <c r="AK1566" s="381"/>
      <c r="AL1566" s="408"/>
      <c r="AM1566" s="385"/>
      <c r="AN1566" s="475"/>
      <c r="AO1566" s="395"/>
      <c r="AP1566" s="395"/>
      <c r="AQ1566" s="528"/>
      <c r="AR1566" s="523">
        <v>1</v>
      </c>
      <c r="AS1566" s="393"/>
      <c r="AT1566" s="600">
        <v>8.4373000000000005</v>
      </c>
      <c r="AU1566" s="394">
        <v>7.5470600000000001</v>
      </c>
      <c r="AV1566" s="394">
        <v>7.4206899999999996</v>
      </c>
      <c r="AW1566" s="394"/>
      <c r="AX1566" s="394"/>
      <c r="AY1566" s="394">
        <v>0</v>
      </c>
      <c r="AZ1566" s="394">
        <v>0</v>
      </c>
      <c r="BA1566" s="394">
        <v>0.20754</v>
      </c>
      <c r="BB1566" s="394">
        <v>7.4206899999999996</v>
      </c>
      <c r="BC1566" s="394"/>
      <c r="BD1566" s="381" t="s">
        <v>167</v>
      </c>
      <c r="BE1566" s="408" t="s">
        <v>175</v>
      </c>
      <c r="BF1566" s="385"/>
      <c r="BG1566" s="475">
        <v>702</v>
      </c>
      <c r="BH1566" s="395"/>
      <c r="BI1566" s="395">
        <f t="shared" ref="BI1566" si="972">AT1566/AR1566</f>
        <v>8.4373000000000005</v>
      </c>
    </row>
    <row r="1567" spans="1:61" s="358" customFormat="1" ht="19.2" x14ac:dyDescent="0.3">
      <c r="A1567" s="359" t="s">
        <v>1976</v>
      </c>
      <c r="B1567" s="602" t="s">
        <v>5892</v>
      </c>
      <c r="C1567" s="548" t="s">
        <v>5893</v>
      </c>
      <c r="D1567" s="360">
        <v>0.22</v>
      </c>
      <c r="E1567" s="528"/>
      <c r="F1567" s="523"/>
      <c r="G1567" s="393"/>
      <c r="H1567" s="394"/>
      <c r="I1567" s="394"/>
      <c r="J1567" s="394"/>
      <c r="K1567" s="394"/>
      <c r="L1567" s="394"/>
      <c r="M1567" s="394"/>
      <c r="N1567" s="394"/>
      <c r="O1567" s="394"/>
      <c r="P1567" s="394"/>
      <c r="Q1567" s="394"/>
      <c r="R1567" s="381"/>
      <c r="S1567" s="408"/>
      <c r="T1567" s="385"/>
      <c r="U1567" s="475"/>
      <c r="V1567" s="395"/>
      <c r="W1567" s="395"/>
      <c r="X1567" s="528"/>
      <c r="Y1567" s="523"/>
      <c r="Z1567" s="393"/>
      <c r="AA1567" s="394"/>
      <c r="AB1567" s="394"/>
      <c r="AC1567" s="394"/>
      <c r="AD1567" s="394"/>
      <c r="AE1567" s="394"/>
      <c r="AF1567" s="394"/>
      <c r="AG1567" s="394"/>
      <c r="AH1567" s="394"/>
      <c r="AI1567" s="394"/>
      <c r="AJ1567" s="394"/>
      <c r="AK1567" s="381"/>
      <c r="AL1567" s="408"/>
      <c r="AM1567" s="385"/>
      <c r="AN1567" s="475"/>
      <c r="AO1567" s="395"/>
      <c r="AP1567" s="395"/>
      <c r="AQ1567" s="528"/>
      <c r="AR1567" s="523">
        <v>1</v>
      </c>
      <c r="AS1567" s="393"/>
      <c r="AT1567" s="600">
        <v>12.85901</v>
      </c>
      <c r="AU1567" s="394">
        <v>8.55457</v>
      </c>
      <c r="AV1567" s="394">
        <v>7.3608200000000004</v>
      </c>
      <c r="AW1567" s="394"/>
      <c r="AX1567" s="394"/>
      <c r="AY1567" s="394">
        <v>0</v>
      </c>
      <c r="AZ1567" s="394">
        <v>0</v>
      </c>
      <c r="BA1567" s="394">
        <v>1.00349</v>
      </c>
      <c r="BB1567" s="394">
        <v>7.3608200000000004</v>
      </c>
      <c r="BC1567" s="394"/>
      <c r="BD1567" s="381" t="s">
        <v>167</v>
      </c>
      <c r="BE1567" s="408" t="s">
        <v>175</v>
      </c>
      <c r="BF1567" s="385"/>
      <c r="BG1567" s="475">
        <v>703</v>
      </c>
      <c r="BH1567" s="395"/>
      <c r="BI1567" s="395">
        <f t="shared" ref="BI1567" si="973">AT1567/AR1567</f>
        <v>12.85901</v>
      </c>
    </row>
    <row r="1568" spans="1:61" s="358" customFormat="1" ht="19.2" x14ac:dyDescent="0.3">
      <c r="A1568" s="359" t="s">
        <v>1977</v>
      </c>
      <c r="B1568" s="602" t="s">
        <v>5894</v>
      </c>
      <c r="C1568" s="548" t="s">
        <v>5895</v>
      </c>
      <c r="D1568" s="360">
        <v>0.22</v>
      </c>
      <c r="E1568" s="528"/>
      <c r="F1568" s="523"/>
      <c r="G1568" s="393"/>
      <c r="H1568" s="394"/>
      <c r="I1568" s="394"/>
      <c r="J1568" s="394"/>
      <c r="K1568" s="394"/>
      <c r="L1568" s="394"/>
      <c r="M1568" s="394"/>
      <c r="N1568" s="394"/>
      <c r="O1568" s="394"/>
      <c r="P1568" s="394"/>
      <c r="Q1568" s="394"/>
      <c r="R1568" s="381"/>
      <c r="S1568" s="408"/>
      <c r="T1568" s="385"/>
      <c r="U1568" s="475"/>
      <c r="V1568" s="395"/>
      <c r="W1568" s="395"/>
      <c r="X1568" s="528"/>
      <c r="Y1568" s="523"/>
      <c r="Z1568" s="393"/>
      <c r="AA1568" s="394"/>
      <c r="AB1568" s="394"/>
      <c r="AC1568" s="394"/>
      <c r="AD1568" s="394"/>
      <c r="AE1568" s="394"/>
      <c r="AF1568" s="394"/>
      <c r="AG1568" s="394"/>
      <c r="AH1568" s="394"/>
      <c r="AI1568" s="394"/>
      <c r="AJ1568" s="394"/>
      <c r="AK1568" s="381"/>
      <c r="AL1568" s="408"/>
      <c r="AM1568" s="385"/>
      <c r="AN1568" s="475"/>
      <c r="AO1568" s="395"/>
      <c r="AP1568" s="395"/>
      <c r="AQ1568" s="528"/>
      <c r="AR1568" s="523">
        <v>1</v>
      </c>
      <c r="AS1568" s="393"/>
      <c r="AT1568" s="600">
        <v>12.85905</v>
      </c>
      <c r="AU1568" s="394">
        <v>8.5546100000000003</v>
      </c>
      <c r="AV1568" s="394">
        <v>7.3608200000000004</v>
      </c>
      <c r="AW1568" s="394"/>
      <c r="AX1568" s="394"/>
      <c r="AY1568" s="394">
        <v>0</v>
      </c>
      <c r="AZ1568" s="394">
        <v>0</v>
      </c>
      <c r="BA1568" s="394">
        <v>1.00349</v>
      </c>
      <c r="BB1568" s="394">
        <v>7.3608200000000004</v>
      </c>
      <c r="BC1568" s="394"/>
      <c r="BD1568" s="381" t="s">
        <v>167</v>
      </c>
      <c r="BE1568" s="408" t="s">
        <v>175</v>
      </c>
      <c r="BF1568" s="385"/>
      <c r="BG1568" s="475">
        <v>704</v>
      </c>
      <c r="BH1568" s="395"/>
      <c r="BI1568" s="395">
        <f t="shared" ref="BI1568" si="974">AT1568/AR1568</f>
        <v>12.85905</v>
      </c>
    </row>
    <row r="1569" spans="1:61" s="358" customFormat="1" ht="19.2" x14ac:dyDescent="0.3">
      <c r="A1569" s="359" t="s">
        <v>1978</v>
      </c>
      <c r="B1569" s="602" t="s">
        <v>5896</v>
      </c>
      <c r="C1569" s="548" t="s">
        <v>5897</v>
      </c>
      <c r="D1569" s="360">
        <v>0.22</v>
      </c>
      <c r="E1569" s="528"/>
      <c r="F1569" s="523"/>
      <c r="G1569" s="393"/>
      <c r="H1569" s="394"/>
      <c r="I1569" s="394"/>
      <c r="J1569" s="394"/>
      <c r="K1569" s="394"/>
      <c r="L1569" s="394"/>
      <c r="M1569" s="394"/>
      <c r="N1569" s="394"/>
      <c r="O1569" s="394"/>
      <c r="P1569" s="394"/>
      <c r="Q1569" s="394"/>
      <c r="R1569" s="381"/>
      <c r="S1569" s="408"/>
      <c r="T1569" s="385"/>
      <c r="U1569" s="475"/>
      <c r="V1569" s="395"/>
      <c r="W1569" s="395"/>
      <c r="X1569" s="528"/>
      <c r="Y1569" s="523"/>
      <c r="Z1569" s="393"/>
      <c r="AA1569" s="394"/>
      <c r="AB1569" s="394"/>
      <c r="AC1569" s="394"/>
      <c r="AD1569" s="394"/>
      <c r="AE1569" s="394"/>
      <c r="AF1569" s="394"/>
      <c r="AG1569" s="394"/>
      <c r="AH1569" s="394"/>
      <c r="AI1569" s="394"/>
      <c r="AJ1569" s="394"/>
      <c r="AK1569" s="381"/>
      <c r="AL1569" s="408"/>
      <c r="AM1569" s="385"/>
      <c r="AN1569" s="475"/>
      <c r="AO1569" s="395"/>
      <c r="AP1569" s="395"/>
      <c r="AQ1569" s="528"/>
      <c r="AR1569" s="523">
        <v>1</v>
      </c>
      <c r="AS1569" s="393"/>
      <c r="AT1569" s="600">
        <v>8.4373000000000005</v>
      </c>
      <c r="AU1569" s="394">
        <v>7.5470600000000001</v>
      </c>
      <c r="AV1569" s="394">
        <v>7.4206899999999996</v>
      </c>
      <c r="AW1569" s="394"/>
      <c r="AX1569" s="394"/>
      <c r="AY1569" s="394">
        <v>0</v>
      </c>
      <c r="AZ1569" s="394">
        <v>0</v>
      </c>
      <c r="BA1569" s="394">
        <v>0.20754</v>
      </c>
      <c r="BB1569" s="394">
        <v>7.4206899999999996</v>
      </c>
      <c r="BC1569" s="394"/>
      <c r="BD1569" s="381" t="s">
        <v>167</v>
      </c>
      <c r="BE1569" s="408" t="s">
        <v>175</v>
      </c>
      <c r="BF1569" s="385"/>
      <c r="BG1569" s="475">
        <v>705</v>
      </c>
      <c r="BH1569" s="395"/>
      <c r="BI1569" s="395">
        <f t="shared" ref="BI1569:BI1610" si="975">AT1569/AR1569</f>
        <v>8.4373000000000005</v>
      </c>
    </row>
    <row r="1570" spans="1:61" s="358" customFormat="1" ht="19.2" x14ac:dyDescent="0.3">
      <c r="A1570" s="359" t="s">
        <v>1979</v>
      </c>
      <c r="B1570" s="602" t="s">
        <v>5560</v>
      </c>
      <c r="C1570" s="548" t="s">
        <v>5898</v>
      </c>
      <c r="D1570" s="360">
        <v>0.22</v>
      </c>
      <c r="E1570" s="528"/>
      <c r="F1570" s="523"/>
      <c r="G1570" s="393"/>
      <c r="H1570" s="394"/>
      <c r="I1570" s="394"/>
      <c r="J1570" s="394"/>
      <c r="K1570" s="394"/>
      <c r="L1570" s="394"/>
      <c r="M1570" s="394"/>
      <c r="N1570" s="394"/>
      <c r="O1570" s="394"/>
      <c r="P1570" s="394"/>
      <c r="Q1570" s="394"/>
      <c r="R1570" s="381"/>
      <c r="S1570" s="408"/>
      <c r="T1570" s="385"/>
      <c r="U1570" s="475"/>
      <c r="V1570" s="395"/>
      <c r="W1570" s="395"/>
      <c r="X1570" s="528"/>
      <c r="Y1570" s="523"/>
      <c r="Z1570" s="393"/>
      <c r="AA1570" s="394"/>
      <c r="AB1570" s="394"/>
      <c r="AC1570" s="394"/>
      <c r="AD1570" s="394"/>
      <c r="AE1570" s="394"/>
      <c r="AF1570" s="394"/>
      <c r="AG1570" s="394"/>
      <c r="AH1570" s="394"/>
      <c r="AI1570" s="394"/>
      <c r="AJ1570" s="394"/>
      <c r="AK1570" s="381"/>
      <c r="AL1570" s="408"/>
      <c r="AM1570" s="385"/>
      <c r="AN1570" s="475"/>
      <c r="AO1570" s="395"/>
      <c r="AP1570" s="395"/>
      <c r="AQ1570" s="528"/>
      <c r="AR1570" s="523">
        <v>1</v>
      </c>
      <c r="AS1570" s="393"/>
      <c r="AT1570" s="600">
        <v>12.85905</v>
      </c>
      <c r="AU1570" s="394">
        <v>8.5546100000000003</v>
      </c>
      <c r="AV1570" s="394">
        <v>7.3608200000000004</v>
      </c>
      <c r="AW1570" s="394"/>
      <c r="AX1570" s="394"/>
      <c r="AY1570" s="394">
        <v>0</v>
      </c>
      <c r="AZ1570" s="394">
        <v>0</v>
      </c>
      <c r="BA1570" s="394">
        <v>1.00349</v>
      </c>
      <c r="BB1570" s="394">
        <v>7.3608200000000004</v>
      </c>
      <c r="BC1570" s="394"/>
      <c r="BD1570" s="381" t="s">
        <v>167</v>
      </c>
      <c r="BE1570" s="408" t="s">
        <v>175</v>
      </c>
      <c r="BF1570" s="385"/>
      <c r="BG1570" s="475">
        <v>706</v>
      </c>
      <c r="BH1570" s="395"/>
      <c r="BI1570" s="395">
        <f t="shared" ref="BI1570" si="976">AT1570/AR1570</f>
        <v>12.85905</v>
      </c>
    </row>
    <row r="1571" spans="1:61" s="358" customFormat="1" ht="19.2" x14ac:dyDescent="0.3">
      <c r="A1571" s="359" t="s">
        <v>1980</v>
      </c>
      <c r="B1571" s="602" t="s">
        <v>5899</v>
      </c>
      <c r="C1571" s="548" t="s">
        <v>5900</v>
      </c>
      <c r="D1571" s="360">
        <v>0.22</v>
      </c>
      <c r="E1571" s="528"/>
      <c r="F1571" s="523"/>
      <c r="G1571" s="393"/>
      <c r="H1571" s="394"/>
      <c r="I1571" s="394"/>
      <c r="J1571" s="394"/>
      <c r="K1571" s="394"/>
      <c r="L1571" s="394"/>
      <c r="M1571" s="394"/>
      <c r="N1571" s="394"/>
      <c r="O1571" s="394"/>
      <c r="P1571" s="394"/>
      <c r="Q1571" s="394"/>
      <c r="R1571" s="381"/>
      <c r="S1571" s="408"/>
      <c r="T1571" s="385"/>
      <c r="U1571" s="475"/>
      <c r="V1571" s="395"/>
      <c r="W1571" s="395"/>
      <c r="X1571" s="528"/>
      <c r="Y1571" s="523"/>
      <c r="Z1571" s="393"/>
      <c r="AA1571" s="394"/>
      <c r="AB1571" s="394"/>
      <c r="AC1571" s="394"/>
      <c r="AD1571" s="394"/>
      <c r="AE1571" s="394"/>
      <c r="AF1571" s="394"/>
      <c r="AG1571" s="394"/>
      <c r="AH1571" s="394"/>
      <c r="AI1571" s="394"/>
      <c r="AJ1571" s="394"/>
      <c r="AK1571" s="381"/>
      <c r="AL1571" s="408"/>
      <c r="AM1571" s="385"/>
      <c r="AN1571" s="475"/>
      <c r="AO1571" s="395"/>
      <c r="AP1571" s="395"/>
      <c r="AQ1571" s="528"/>
      <c r="AR1571" s="523">
        <v>1</v>
      </c>
      <c r="AS1571" s="393"/>
      <c r="AT1571" s="600">
        <v>12.859059999999999</v>
      </c>
      <c r="AU1571" s="394">
        <v>8.5546199999999999</v>
      </c>
      <c r="AV1571" s="394">
        <v>7.3608200000000004</v>
      </c>
      <c r="AW1571" s="394"/>
      <c r="AX1571" s="394"/>
      <c r="AY1571" s="394">
        <v>0</v>
      </c>
      <c r="AZ1571" s="394">
        <v>0</v>
      </c>
      <c r="BA1571" s="394">
        <v>1.00349</v>
      </c>
      <c r="BB1571" s="394">
        <v>7.3608200000000004</v>
      </c>
      <c r="BC1571" s="394"/>
      <c r="BD1571" s="381" t="s">
        <v>167</v>
      </c>
      <c r="BE1571" s="408" t="s">
        <v>175</v>
      </c>
      <c r="BF1571" s="385"/>
      <c r="BG1571" s="475">
        <v>707</v>
      </c>
      <c r="BH1571" s="395"/>
      <c r="BI1571" s="395">
        <f t="shared" si="975"/>
        <v>12.859059999999999</v>
      </c>
    </row>
    <row r="1572" spans="1:61" s="358" customFormat="1" ht="19.2" x14ac:dyDescent="0.3">
      <c r="A1572" s="359" t="s">
        <v>1981</v>
      </c>
      <c r="B1572" s="602" t="s">
        <v>5901</v>
      </c>
      <c r="C1572" s="548" t="s">
        <v>5902</v>
      </c>
      <c r="D1572" s="360">
        <v>0.22</v>
      </c>
      <c r="E1572" s="528"/>
      <c r="F1572" s="523"/>
      <c r="G1572" s="393"/>
      <c r="H1572" s="394"/>
      <c r="I1572" s="394"/>
      <c r="J1572" s="394"/>
      <c r="K1572" s="394"/>
      <c r="L1572" s="394"/>
      <c r="M1572" s="394"/>
      <c r="N1572" s="394"/>
      <c r="O1572" s="394"/>
      <c r="P1572" s="394"/>
      <c r="Q1572" s="394"/>
      <c r="R1572" s="381"/>
      <c r="S1572" s="408"/>
      <c r="T1572" s="385"/>
      <c r="U1572" s="475"/>
      <c r="V1572" s="395"/>
      <c r="W1572" s="395"/>
      <c r="X1572" s="528"/>
      <c r="Y1572" s="523"/>
      <c r="Z1572" s="393"/>
      <c r="AA1572" s="394"/>
      <c r="AB1572" s="394"/>
      <c r="AC1572" s="394"/>
      <c r="AD1572" s="394"/>
      <c r="AE1572" s="394"/>
      <c r="AF1572" s="394"/>
      <c r="AG1572" s="394"/>
      <c r="AH1572" s="394"/>
      <c r="AI1572" s="394"/>
      <c r="AJ1572" s="394"/>
      <c r="AK1572" s="381"/>
      <c r="AL1572" s="408"/>
      <c r="AM1572" s="385"/>
      <c r="AN1572" s="475"/>
      <c r="AO1572" s="395"/>
      <c r="AP1572" s="395"/>
      <c r="AQ1572" s="528"/>
      <c r="AR1572" s="523">
        <v>1</v>
      </c>
      <c r="AS1572" s="393"/>
      <c r="AT1572" s="600">
        <v>12.859059999999999</v>
      </c>
      <c r="AU1572" s="394">
        <v>8.5546199999999999</v>
      </c>
      <c r="AV1572" s="394">
        <v>7.3608200000000004</v>
      </c>
      <c r="AW1572" s="394"/>
      <c r="AX1572" s="394"/>
      <c r="AY1572" s="394">
        <v>0</v>
      </c>
      <c r="AZ1572" s="394">
        <v>0</v>
      </c>
      <c r="BA1572" s="394">
        <v>1.00349</v>
      </c>
      <c r="BB1572" s="394">
        <v>7.3608200000000004</v>
      </c>
      <c r="BC1572" s="394"/>
      <c r="BD1572" s="381" t="s">
        <v>167</v>
      </c>
      <c r="BE1572" s="408" t="s">
        <v>175</v>
      </c>
      <c r="BF1572" s="385"/>
      <c r="BG1572" s="475">
        <v>708</v>
      </c>
      <c r="BH1572" s="395"/>
      <c r="BI1572" s="395">
        <f t="shared" ref="BI1572" si="977">AT1572/AR1572</f>
        <v>12.859059999999999</v>
      </c>
    </row>
    <row r="1573" spans="1:61" s="358" customFormat="1" ht="19.2" x14ac:dyDescent="0.3">
      <c r="A1573" s="359" t="s">
        <v>1982</v>
      </c>
      <c r="B1573" s="602" t="s">
        <v>5903</v>
      </c>
      <c r="C1573" s="548" t="s">
        <v>5904</v>
      </c>
      <c r="D1573" s="360">
        <v>0.22</v>
      </c>
      <c r="E1573" s="528"/>
      <c r="F1573" s="523"/>
      <c r="G1573" s="393"/>
      <c r="H1573" s="394"/>
      <c r="I1573" s="394"/>
      <c r="J1573" s="394"/>
      <c r="K1573" s="394"/>
      <c r="L1573" s="394"/>
      <c r="M1573" s="394"/>
      <c r="N1573" s="394"/>
      <c r="O1573" s="394"/>
      <c r="P1573" s="394"/>
      <c r="Q1573" s="394"/>
      <c r="R1573" s="381"/>
      <c r="S1573" s="408"/>
      <c r="T1573" s="385"/>
      <c r="U1573" s="475"/>
      <c r="V1573" s="395"/>
      <c r="W1573" s="395"/>
      <c r="X1573" s="528"/>
      <c r="Y1573" s="523"/>
      <c r="Z1573" s="393"/>
      <c r="AA1573" s="394"/>
      <c r="AB1573" s="394"/>
      <c r="AC1573" s="394"/>
      <c r="AD1573" s="394"/>
      <c r="AE1573" s="394"/>
      <c r="AF1573" s="394"/>
      <c r="AG1573" s="394"/>
      <c r="AH1573" s="394"/>
      <c r="AI1573" s="394"/>
      <c r="AJ1573" s="394"/>
      <c r="AK1573" s="381"/>
      <c r="AL1573" s="408"/>
      <c r="AM1573" s="385"/>
      <c r="AN1573" s="475"/>
      <c r="AO1573" s="395"/>
      <c r="AP1573" s="395"/>
      <c r="AQ1573" s="528"/>
      <c r="AR1573" s="523">
        <v>1</v>
      </c>
      <c r="AS1573" s="393"/>
      <c r="AT1573" s="600">
        <v>12.85905</v>
      </c>
      <c r="AU1573" s="394">
        <v>8.5546100000000003</v>
      </c>
      <c r="AV1573" s="394">
        <v>7.3608200000000004</v>
      </c>
      <c r="AW1573" s="394"/>
      <c r="AX1573" s="394"/>
      <c r="AY1573" s="394">
        <v>0</v>
      </c>
      <c r="AZ1573" s="394">
        <v>0</v>
      </c>
      <c r="BA1573" s="394">
        <v>1.00349</v>
      </c>
      <c r="BB1573" s="394">
        <v>7.3608200000000004</v>
      </c>
      <c r="BC1573" s="394"/>
      <c r="BD1573" s="381" t="s">
        <v>167</v>
      </c>
      <c r="BE1573" s="408" t="s">
        <v>175</v>
      </c>
      <c r="BF1573" s="385"/>
      <c r="BG1573" s="475">
        <v>709</v>
      </c>
      <c r="BH1573" s="395"/>
      <c r="BI1573" s="395">
        <f t="shared" si="975"/>
        <v>12.85905</v>
      </c>
    </row>
    <row r="1574" spans="1:61" s="358" customFormat="1" ht="19.2" x14ac:dyDescent="0.3">
      <c r="A1574" s="359" t="s">
        <v>1983</v>
      </c>
      <c r="B1574" s="602" t="s">
        <v>3844</v>
      </c>
      <c r="C1574" s="548" t="s">
        <v>5905</v>
      </c>
      <c r="D1574" s="360">
        <v>0.22</v>
      </c>
      <c r="E1574" s="528"/>
      <c r="F1574" s="523"/>
      <c r="G1574" s="393"/>
      <c r="H1574" s="394"/>
      <c r="I1574" s="394"/>
      <c r="J1574" s="394"/>
      <c r="K1574" s="394"/>
      <c r="L1574" s="394"/>
      <c r="M1574" s="394"/>
      <c r="N1574" s="394"/>
      <c r="O1574" s="394"/>
      <c r="P1574" s="394"/>
      <c r="Q1574" s="394"/>
      <c r="R1574" s="381"/>
      <c r="S1574" s="408"/>
      <c r="T1574" s="385"/>
      <c r="U1574" s="475"/>
      <c r="V1574" s="395"/>
      <c r="W1574" s="395"/>
      <c r="X1574" s="528"/>
      <c r="Y1574" s="523"/>
      <c r="Z1574" s="393"/>
      <c r="AA1574" s="394"/>
      <c r="AB1574" s="394"/>
      <c r="AC1574" s="394"/>
      <c r="AD1574" s="394"/>
      <c r="AE1574" s="394"/>
      <c r="AF1574" s="394"/>
      <c r="AG1574" s="394"/>
      <c r="AH1574" s="394"/>
      <c r="AI1574" s="394"/>
      <c r="AJ1574" s="394"/>
      <c r="AK1574" s="381"/>
      <c r="AL1574" s="408"/>
      <c r="AM1574" s="385"/>
      <c r="AN1574" s="475"/>
      <c r="AO1574" s="395"/>
      <c r="AP1574" s="395"/>
      <c r="AQ1574" s="528"/>
      <c r="AR1574" s="523">
        <v>1</v>
      </c>
      <c r="AS1574" s="393"/>
      <c r="AT1574" s="600">
        <v>12.859030000000001</v>
      </c>
      <c r="AU1574" s="394">
        <v>8.5545899999999993</v>
      </c>
      <c r="AV1574" s="394">
        <v>7.3608200000000004</v>
      </c>
      <c r="AW1574" s="394"/>
      <c r="AX1574" s="394"/>
      <c r="AY1574" s="394">
        <v>0</v>
      </c>
      <c r="AZ1574" s="394">
        <v>0</v>
      </c>
      <c r="BA1574" s="394">
        <v>1.00349</v>
      </c>
      <c r="BB1574" s="394">
        <v>7.3608200000000004</v>
      </c>
      <c r="BC1574" s="394"/>
      <c r="BD1574" s="381" t="s">
        <v>167</v>
      </c>
      <c r="BE1574" s="408" t="s">
        <v>175</v>
      </c>
      <c r="BF1574" s="385"/>
      <c r="BG1574" s="475">
        <v>710</v>
      </c>
      <c r="BH1574" s="395"/>
      <c r="BI1574" s="395">
        <f t="shared" ref="BI1574" si="978">AT1574/AR1574</f>
        <v>12.859030000000001</v>
      </c>
    </row>
    <row r="1575" spans="1:61" s="358" customFormat="1" ht="19.2" x14ac:dyDescent="0.3">
      <c r="A1575" s="359" t="s">
        <v>1984</v>
      </c>
      <c r="B1575" s="602" t="s">
        <v>5906</v>
      </c>
      <c r="C1575" s="548" t="s">
        <v>5907</v>
      </c>
      <c r="D1575" s="360">
        <v>0.22</v>
      </c>
      <c r="E1575" s="528"/>
      <c r="F1575" s="523"/>
      <c r="G1575" s="393"/>
      <c r="H1575" s="394"/>
      <c r="I1575" s="394"/>
      <c r="J1575" s="394"/>
      <c r="K1575" s="394"/>
      <c r="L1575" s="394"/>
      <c r="M1575" s="394"/>
      <c r="N1575" s="394"/>
      <c r="O1575" s="394"/>
      <c r="P1575" s="394"/>
      <c r="Q1575" s="394"/>
      <c r="R1575" s="381"/>
      <c r="S1575" s="408"/>
      <c r="T1575" s="385"/>
      <c r="U1575" s="475"/>
      <c r="V1575" s="395"/>
      <c r="W1575" s="395"/>
      <c r="X1575" s="528"/>
      <c r="Y1575" s="523"/>
      <c r="Z1575" s="393"/>
      <c r="AA1575" s="394"/>
      <c r="AB1575" s="394"/>
      <c r="AC1575" s="394"/>
      <c r="AD1575" s="394"/>
      <c r="AE1575" s="394"/>
      <c r="AF1575" s="394"/>
      <c r="AG1575" s="394"/>
      <c r="AH1575" s="394"/>
      <c r="AI1575" s="394"/>
      <c r="AJ1575" s="394"/>
      <c r="AK1575" s="381"/>
      <c r="AL1575" s="408"/>
      <c r="AM1575" s="385"/>
      <c r="AN1575" s="475"/>
      <c r="AO1575" s="395"/>
      <c r="AP1575" s="395"/>
      <c r="AQ1575" s="528"/>
      <c r="AR1575" s="523">
        <v>1</v>
      </c>
      <c r="AS1575" s="393"/>
      <c r="AT1575" s="600">
        <v>8.4373000000000005</v>
      </c>
      <c r="AU1575" s="394">
        <v>7.5470600000000001</v>
      </c>
      <c r="AV1575" s="394">
        <v>7.4206899999999996</v>
      </c>
      <c r="AW1575" s="394"/>
      <c r="AX1575" s="394"/>
      <c r="AY1575" s="394">
        <v>0</v>
      </c>
      <c r="AZ1575" s="394">
        <v>0</v>
      </c>
      <c r="BA1575" s="394">
        <v>0.20754</v>
      </c>
      <c r="BB1575" s="394">
        <v>7.4206899999999996</v>
      </c>
      <c r="BC1575" s="394"/>
      <c r="BD1575" s="381" t="s">
        <v>167</v>
      </c>
      <c r="BE1575" s="408" t="s">
        <v>175</v>
      </c>
      <c r="BF1575" s="385"/>
      <c r="BG1575" s="475">
        <v>711</v>
      </c>
      <c r="BH1575" s="395"/>
      <c r="BI1575" s="395">
        <f t="shared" si="975"/>
        <v>8.4373000000000005</v>
      </c>
    </row>
    <row r="1576" spans="1:61" s="358" customFormat="1" ht="19.2" x14ac:dyDescent="0.3">
      <c r="A1576" s="359" t="s">
        <v>1985</v>
      </c>
      <c r="B1576" s="602" t="s">
        <v>5908</v>
      </c>
      <c r="C1576" s="548" t="s">
        <v>5909</v>
      </c>
      <c r="D1576" s="360">
        <v>0.22</v>
      </c>
      <c r="E1576" s="528"/>
      <c r="F1576" s="523"/>
      <c r="G1576" s="393"/>
      <c r="H1576" s="394"/>
      <c r="I1576" s="394"/>
      <c r="J1576" s="394"/>
      <c r="K1576" s="394"/>
      <c r="L1576" s="394"/>
      <c r="M1576" s="394"/>
      <c r="N1576" s="394"/>
      <c r="O1576" s="394"/>
      <c r="P1576" s="394"/>
      <c r="Q1576" s="394"/>
      <c r="R1576" s="381"/>
      <c r="S1576" s="408"/>
      <c r="T1576" s="385"/>
      <c r="U1576" s="475"/>
      <c r="V1576" s="395"/>
      <c r="W1576" s="395"/>
      <c r="X1576" s="528"/>
      <c r="Y1576" s="523"/>
      <c r="Z1576" s="393"/>
      <c r="AA1576" s="394"/>
      <c r="AB1576" s="394"/>
      <c r="AC1576" s="394"/>
      <c r="AD1576" s="394"/>
      <c r="AE1576" s="394"/>
      <c r="AF1576" s="394"/>
      <c r="AG1576" s="394"/>
      <c r="AH1576" s="394"/>
      <c r="AI1576" s="394"/>
      <c r="AJ1576" s="394"/>
      <c r="AK1576" s="381"/>
      <c r="AL1576" s="408"/>
      <c r="AM1576" s="385"/>
      <c r="AN1576" s="475"/>
      <c r="AO1576" s="395"/>
      <c r="AP1576" s="395"/>
      <c r="AQ1576" s="528"/>
      <c r="AR1576" s="523">
        <v>1</v>
      </c>
      <c r="AS1576" s="393"/>
      <c r="AT1576" s="600">
        <v>12.859059999999999</v>
      </c>
      <c r="AU1576" s="394">
        <v>8.5546199999999999</v>
      </c>
      <c r="AV1576" s="394">
        <v>7.3608200000000004</v>
      </c>
      <c r="AW1576" s="394"/>
      <c r="AX1576" s="394"/>
      <c r="AY1576" s="394">
        <v>0</v>
      </c>
      <c r="AZ1576" s="394">
        <v>0</v>
      </c>
      <c r="BA1576" s="394">
        <v>1.00349</v>
      </c>
      <c r="BB1576" s="394">
        <v>7.3608200000000004</v>
      </c>
      <c r="BC1576" s="394"/>
      <c r="BD1576" s="381" t="s">
        <v>167</v>
      </c>
      <c r="BE1576" s="408" t="s">
        <v>175</v>
      </c>
      <c r="BF1576" s="385"/>
      <c r="BG1576" s="475">
        <v>712</v>
      </c>
      <c r="BH1576" s="395"/>
      <c r="BI1576" s="395">
        <f t="shared" ref="BI1576" si="979">AT1576/AR1576</f>
        <v>12.859059999999999</v>
      </c>
    </row>
    <row r="1577" spans="1:61" s="358" customFormat="1" ht="19.2" x14ac:dyDescent="0.3">
      <c r="A1577" s="359" t="s">
        <v>1986</v>
      </c>
      <c r="B1577" s="602" t="s">
        <v>5910</v>
      </c>
      <c r="C1577" s="548" t="s">
        <v>5911</v>
      </c>
      <c r="D1577" s="360">
        <v>0.22</v>
      </c>
      <c r="E1577" s="528"/>
      <c r="F1577" s="523"/>
      <c r="G1577" s="393"/>
      <c r="H1577" s="394"/>
      <c r="I1577" s="394"/>
      <c r="J1577" s="394"/>
      <c r="K1577" s="394"/>
      <c r="L1577" s="394"/>
      <c r="M1577" s="394"/>
      <c r="N1577" s="394"/>
      <c r="O1577" s="394"/>
      <c r="P1577" s="394"/>
      <c r="Q1577" s="394"/>
      <c r="R1577" s="381"/>
      <c r="S1577" s="408"/>
      <c r="T1577" s="385"/>
      <c r="U1577" s="475"/>
      <c r="V1577" s="395"/>
      <c r="W1577" s="395"/>
      <c r="X1577" s="528"/>
      <c r="Y1577" s="523"/>
      <c r="Z1577" s="393"/>
      <c r="AA1577" s="394"/>
      <c r="AB1577" s="394"/>
      <c r="AC1577" s="394"/>
      <c r="AD1577" s="394"/>
      <c r="AE1577" s="394"/>
      <c r="AF1577" s="394"/>
      <c r="AG1577" s="394"/>
      <c r="AH1577" s="394"/>
      <c r="AI1577" s="394"/>
      <c r="AJ1577" s="394"/>
      <c r="AK1577" s="381"/>
      <c r="AL1577" s="408"/>
      <c r="AM1577" s="385"/>
      <c r="AN1577" s="475"/>
      <c r="AO1577" s="395"/>
      <c r="AP1577" s="395"/>
      <c r="AQ1577" s="528"/>
      <c r="AR1577" s="523">
        <v>1</v>
      </c>
      <c r="AS1577" s="393"/>
      <c r="AT1577" s="600">
        <v>8.4373000000000005</v>
      </c>
      <c r="AU1577" s="394">
        <v>7.5470600000000001</v>
      </c>
      <c r="AV1577" s="394">
        <v>7.4206899999999996</v>
      </c>
      <c r="AW1577" s="394"/>
      <c r="AX1577" s="394"/>
      <c r="AY1577" s="394">
        <v>0</v>
      </c>
      <c r="AZ1577" s="394">
        <v>0</v>
      </c>
      <c r="BA1577" s="394">
        <v>0.20754</v>
      </c>
      <c r="BB1577" s="394">
        <v>7.4206899999999996</v>
      </c>
      <c r="BC1577" s="394"/>
      <c r="BD1577" s="381" t="s">
        <v>167</v>
      </c>
      <c r="BE1577" s="408" t="s">
        <v>175</v>
      </c>
      <c r="BF1577" s="385"/>
      <c r="BG1577" s="475">
        <v>713</v>
      </c>
      <c r="BH1577" s="395"/>
      <c r="BI1577" s="395">
        <f t="shared" si="975"/>
        <v>8.4373000000000005</v>
      </c>
    </row>
    <row r="1578" spans="1:61" s="358" customFormat="1" ht="19.2" x14ac:dyDescent="0.3">
      <c r="A1578" s="359" t="s">
        <v>1987</v>
      </c>
      <c r="B1578" s="602" t="s">
        <v>5912</v>
      </c>
      <c r="C1578" s="548" t="s">
        <v>5913</v>
      </c>
      <c r="D1578" s="360">
        <v>0.22</v>
      </c>
      <c r="E1578" s="528"/>
      <c r="F1578" s="523"/>
      <c r="G1578" s="393"/>
      <c r="H1578" s="394"/>
      <c r="I1578" s="394"/>
      <c r="J1578" s="394"/>
      <c r="K1578" s="394"/>
      <c r="L1578" s="394"/>
      <c r="M1578" s="394"/>
      <c r="N1578" s="394"/>
      <c r="O1578" s="394"/>
      <c r="P1578" s="394"/>
      <c r="Q1578" s="394"/>
      <c r="R1578" s="381"/>
      <c r="S1578" s="408"/>
      <c r="T1578" s="385"/>
      <c r="U1578" s="475"/>
      <c r="V1578" s="395"/>
      <c r="W1578" s="395"/>
      <c r="X1578" s="528"/>
      <c r="Y1578" s="523"/>
      <c r="Z1578" s="393"/>
      <c r="AA1578" s="394"/>
      <c r="AB1578" s="394"/>
      <c r="AC1578" s="394"/>
      <c r="AD1578" s="394"/>
      <c r="AE1578" s="394"/>
      <c r="AF1578" s="394"/>
      <c r="AG1578" s="394"/>
      <c r="AH1578" s="394"/>
      <c r="AI1578" s="394"/>
      <c r="AJ1578" s="394"/>
      <c r="AK1578" s="381"/>
      <c r="AL1578" s="408"/>
      <c r="AM1578" s="385"/>
      <c r="AN1578" s="475"/>
      <c r="AO1578" s="395"/>
      <c r="AP1578" s="395"/>
      <c r="AQ1578" s="528"/>
      <c r="AR1578" s="523">
        <v>1</v>
      </c>
      <c r="AS1578" s="393"/>
      <c r="AT1578" s="600">
        <v>12.859030000000001</v>
      </c>
      <c r="AU1578" s="394">
        <v>8.5545899999999993</v>
      </c>
      <c r="AV1578" s="394">
        <v>7.3608200000000004</v>
      </c>
      <c r="AW1578" s="394"/>
      <c r="AX1578" s="394"/>
      <c r="AY1578" s="394">
        <v>0</v>
      </c>
      <c r="AZ1578" s="394">
        <v>0</v>
      </c>
      <c r="BA1578" s="394">
        <v>1.00349</v>
      </c>
      <c r="BB1578" s="394">
        <v>7.3608200000000004</v>
      </c>
      <c r="BC1578" s="394"/>
      <c r="BD1578" s="381" t="s">
        <v>167</v>
      </c>
      <c r="BE1578" s="408" t="s">
        <v>175</v>
      </c>
      <c r="BF1578" s="385"/>
      <c r="BG1578" s="475">
        <v>714</v>
      </c>
      <c r="BH1578" s="395"/>
      <c r="BI1578" s="395">
        <f t="shared" ref="BI1578" si="980">AT1578/AR1578</f>
        <v>12.859030000000001</v>
      </c>
    </row>
    <row r="1579" spans="1:61" s="358" customFormat="1" ht="19.2" x14ac:dyDescent="0.3">
      <c r="A1579" s="359" t="s">
        <v>1988</v>
      </c>
      <c r="B1579" s="602" t="s">
        <v>5910</v>
      </c>
      <c r="C1579" s="548" t="s">
        <v>5914</v>
      </c>
      <c r="D1579" s="360">
        <v>0.22</v>
      </c>
      <c r="E1579" s="528"/>
      <c r="F1579" s="523"/>
      <c r="G1579" s="393"/>
      <c r="H1579" s="394"/>
      <c r="I1579" s="394"/>
      <c r="J1579" s="394"/>
      <c r="K1579" s="394"/>
      <c r="L1579" s="394"/>
      <c r="M1579" s="394"/>
      <c r="N1579" s="394"/>
      <c r="O1579" s="394"/>
      <c r="P1579" s="394"/>
      <c r="Q1579" s="394"/>
      <c r="R1579" s="381"/>
      <c r="S1579" s="408"/>
      <c r="T1579" s="385"/>
      <c r="U1579" s="475"/>
      <c r="V1579" s="395"/>
      <c r="W1579" s="395"/>
      <c r="X1579" s="528"/>
      <c r="Y1579" s="523"/>
      <c r="Z1579" s="393"/>
      <c r="AA1579" s="394"/>
      <c r="AB1579" s="394"/>
      <c r="AC1579" s="394"/>
      <c r="AD1579" s="394"/>
      <c r="AE1579" s="394"/>
      <c r="AF1579" s="394"/>
      <c r="AG1579" s="394"/>
      <c r="AH1579" s="394"/>
      <c r="AI1579" s="394"/>
      <c r="AJ1579" s="394"/>
      <c r="AK1579" s="381"/>
      <c r="AL1579" s="408"/>
      <c r="AM1579" s="385"/>
      <c r="AN1579" s="475"/>
      <c r="AO1579" s="395"/>
      <c r="AP1579" s="395"/>
      <c r="AQ1579" s="528"/>
      <c r="AR1579" s="523">
        <v>1</v>
      </c>
      <c r="AS1579" s="393"/>
      <c r="AT1579" s="600">
        <v>8.4373000000000005</v>
      </c>
      <c r="AU1579" s="394">
        <v>7.5470600000000001</v>
      </c>
      <c r="AV1579" s="394">
        <v>7.4206899999999996</v>
      </c>
      <c r="AW1579" s="394"/>
      <c r="AX1579" s="394"/>
      <c r="AY1579" s="394">
        <v>0</v>
      </c>
      <c r="AZ1579" s="394">
        <v>0</v>
      </c>
      <c r="BA1579" s="394">
        <v>0.20754</v>
      </c>
      <c r="BB1579" s="394">
        <v>7.4206899999999996</v>
      </c>
      <c r="BC1579" s="394"/>
      <c r="BD1579" s="381" t="s">
        <v>167</v>
      </c>
      <c r="BE1579" s="408" t="s">
        <v>175</v>
      </c>
      <c r="BF1579" s="385"/>
      <c r="BG1579" s="475">
        <v>715</v>
      </c>
      <c r="BH1579" s="395"/>
      <c r="BI1579" s="395">
        <f t="shared" si="975"/>
        <v>8.4373000000000005</v>
      </c>
    </row>
    <row r="1580" spans="1:61" s="358" customFormat="1" ht="19.2" x14ac:dyDescent="0.3">
      <c r="A1580" s="359" t="s">
        <v>1989</v>
      </c>
      <c r="B1580" s="602" t="s">
        <v>5915</v>
      </c>
      <c r="C1580" s="548" t="s">
        <v>5916</v>
      </c>
      <c r="D1580" s="360">
        <v>0.22</v>
      </c>
      <c r="E1580" s="528"/>
      <c r="F1580" s="523"/>
      <c r="G1580" s="393"/>
      <c r="H1580" s="394"/>
      <c r="I1580" s="394"/>
      <c r="J1580" s="394"/>
      <c r="K1580" s="394"/>
      <c r="L1580" s="394"/>
      <c r="M1580" s="394"/>
      <c r="N1580" s="394"/>
      <c r="O1580" s="394"/>
      <c r="P1580" s="394"/>
      <c r="Q1580" s="394"/>
      <c r="R1580" s="381"/>
      <c r="S1580" s="408"/>
      <c r="T1580" s="385"/>
      <c r="U1580" s="475"/>
      <c r="V1580" s="395"/>
      <c r="W1580" s="395"/>
      <c r="X1580" s="528"/>
      <c r="Y1580" s="523"/>
      <c r="Z1580" s="393"/>
      <c r="AA1580" s="394"/>
      <c r="AB1580" s="394"/>
      <c r="AC1580" s="394"/>
      <c r="AD1580" s="394"/>
      <c r="AE1580" s="394"/>
      <c r="AF1580" s="394"/>
      <c r="AG1580" s="394"/>
      <c r="AH1580" s="394"/>
      <c r="AI1580" s="394"/>
      <c r="AJ1580" s="394"/>
      <c r="AK1580" s="381"/>
      <c r="AL1580" s="408"/>
      <c r="AM1580" s="385"/>
      <c r="AN1580" s="475"/>
      <c r="AO1580" s="395"/>
      <c r="AP1580" s="395"/>
      <c r="AQ1580" s="528"/>
      <c r="AR1580" s="523">
        <v>1</v>
      </c>
      <c r="AS1580" s="393"/>
      <c r="AT1580" s="600">
        <v>8.4372900000000008</v>
      </c>
      <c r="AU1580" s="394">
        <v>7.5470499999999996</v>
      </c>
      <c r="AV1580" s="394">
        <v>7.4206899999999996</v>
      </c>
      <c r="AW1580" s="394"/>
      <c r="AX1580" s="394"/>
      <c r="AY1580" s="394">
        <v>0</v>
      </c>
      <c r="AZ1580" s="394">
        <v>0</v>
      </c>
      <c r="BA1580" s="394">
        <v>0.20754</v>
      </c>
      <c r="BB1580" s="394">
        <v>7.4206899999999996</v>
      </c>
      <c r="BC1580" s="394"/>
      <c r="BD1580" s="381" t="s">
        <v>167</v>
      </c>
      <c r="BE1580" s="408" t="s">
        <v>175</v>
      </c>
      <c r="BF1580" s="385"/>
      <c r="BG1580" s="475">
        <v>716</v>
      </c>
      <c r="BH1580" s="395"/>
      <c r="BI1580" s="395">
        <f t="shared" ref="BI1580" si="981">AT1580/AR1580</f>
        <v>8.4372900000000008</v>
      </c>
    </row>
    <row r="1581" spans="1:61" s="358" customFormat="1" ht="19.2" x14ac:dyDescent="0.3">
      <c r="A1581" s="359" t="s">
        <v>1990</v>
      </c>
      <c r="B1581" s="602" t="s">
        <v>5917</v>
      </c>
      <c r="C1581" s="548" t="s">
        <v>5918</v>
      </c>
      <c r="D1581" s="360">
        <v>0.22</v>
      </c>
      <c r="E1581" s="528"/>
      <c r="F1581" s="523"/>
      <c r="G1581" s="393"/>
      <c r="H1581" s="394"/>
      <c r="I1581" s="394"/>
      <c r="J1581" s="394"/>
      <c r="K1581" s="394"/>
      <c r="L1581" s="394"/>
      <c r="M1581" s="394"/>
      <c r="N1581" s="394"/>
      <c r="O1581" s="394"/>
      <c r="P1581" s="394"/>
      <c r="Q1581" s="394"/>
      <c r="R1581" s="381"/>
      <c r="S1581" s="408"/>
      <c r="T1581" s="385"/>
      <c r="U1581" s="475"/>
      <c r="V1581" s="395"/>
      <c r="W1581" s="395"/>
      <c r="X1581" s="528"/>
      <c r="Y1581" s="523"/>
      <c r="Z1581" s="393"/>
      <c r="AA1581" s="394"/>
      <c r="AB1581" s="394"/>
      <c r="AC1581" s="394"/>
      <c r="AD1581" s="394"/>
      <c r="AE1581" s="394"/>
      <c r="AF1581" s="394"/>
      <c r="AG1581" s="394"/>
      <c r="AH1581" s="394"/>
      <c r="AI1581" s="394"/>
      <c r="AJ1581" s="394"/>
      <c r="AK1581" s="381"/>
      <c r="AL1581" s="408"/>
      <c r="AM1581" s="385"/>
      <c r="AN1581" s="475"/>
      <c r="AO1581" s="395"/>
      <c r="AP1581" s="395"/>
      <c r="AQ1581" s="528"/>
      <c r="AR1581" s="523">
        <v>1</v>
      </c>
      <c r="AS1581" s="393"/>
      <c r="AT1581" s="600">
        <v>8.4373000000000005</v>
      </c>
      <c r="AU1581" s="394">
        <v>7.5470600000000001</v>
      </c>
      <c r="AV1581" s="394">
        <v>7.4206899999999996</v>
      </c>
      <c r="AW1581" s="394"/>
      <c r="AX1581" s="394"/>
      <c r="AY1581" s="394">
        <v>0</v>
      </c>
      <c r="AZ1581" s="394">
        <v>0</v>
      </c>
      <c r="BA1581" s="394">
        <v>0.20754</v>
      </c>
      <c r="BB1581" s="394">
        <v>7.4206899999999996</v>
      </c>
      <c r="BC1581" s="394"/>
      <c r="BD1581" s="381" t="s">
        <v>167</v>
      </c>
      <c r="BE1581" s="408" t="s">
        <v>175</v>
      </c>
      <c r="BF1581" s="385"/>
      <c r="BG1581" s="475">
        <v>717</v>
      </c>
      <c r="BH1581" s="395"/>
      <c r="BI1581" s="395">
        <f t="shared" si="975"/>
        <v>8.4373000000000005</v>
      </c>
    </row>
    <row r="1582" spans="1:61" s="358" customFormat="1" ht="19.2" x14ac:dyDescent="0.3">
      <c r="A1582" s="359" t="s">
        <v>1991</v>
      </c>
      <c r="B1582" s="602" t="s">
        <v>4866</v>
      </c>
      <c r="C1582" s="548" t="s">
        <v>4865</v>
      </c>
      <c r="D1582" s="360">
        <v>0.22</v>
      </c>
      <c r="E1582" s="528"/>
      <c r="F1582" s="523"/>
      <c r="G1582" s="393"/>
      <c r="H1582" s="394"/>
      <c r="I1582" s="394"/>
      <c r="J1582" s="394"/>
      <c r="K1582" s="394"/>
      <c r="L1582" s="394"/>
      <c r="M1582" s="394"/>
      <c r="N1582" s="394"/>
      <c r="O1582" s="394"/>
      <c r="P1582" s="394"/>
      <c r="Q1582" s="394"/>
      <c r="R1582" s="381"/>
      <c r="S1582" s="408"/>
      <c r="T1582" s="385"/>
      <c r="U1582" s="475"/>
      <c r="V1582" s="395"/>
      <c r="W1582" s="395"/>
      <c r="X1582" s="528"/>
      <c r="Y1582" s="523"/>
      <c r="Z1582" s="393"/>
      <c r="AA1582" s="394"/>
      <c r="AB1582" s="394"/>
      <c r="AC1582" s="394"/>
      <c r="AD1582" s="394"/>
      <c r="AE1582" s="394"/>
      <c r="AF1582" s="394"/>
      <c r="AG1582" s="394"/>
      <c r="AH1582" s="394"/>
      <c r="AI1582" s="394"/>
      <c r="AJ1582" s="394"/>
      <c r="AK1582" s="381"/>
      <c r="AL1582" s="408"/>
      <c r="AM1582" s="385"/>
      <c r="AN1582" s="475"/>
      <c r="AO1582" s="395"/>
      <c r="AP1582" s="395"/>
      <c r="AQ1582" s="528"/>
      <c r="AR1582" s="523">
        <v>1</v>
      </c>
      <c r="AS1582" s="393"/>
      <c r="AT1582" s="600">
        <v>12.85901</v>
      </c>
      <c r="AU1582" s="394">
        <v>8.55457</v>
      </c>
      <c r="AV1582" s="394">
        <v>7.3608200000000004</v>
      </c>
      <c r="AW1582" s="394"/>
      <c r="AX1582" s="394"/>
      <c r="AY1582" s="394">
        <v>0</v>
      </c>
      <c r="AZ1582" s="394">
        <v>0</v>
      </c>
      <c r="BA1582" s="394">
        <v>1.00349</v>
      </c>
      <c r="BB1582" s="394">
        <v>7.3608200000000004</v>
      </c>
      <c r="BC1582" s="394"/>
      <c r="BD1582" s="381" t="s">
        <v>167</v>
      </c>
      <c r="BE1582" s="408" t="s">
        <v>175</v>
      </c>
      <c r="BF1582" s="385"/>
      <c r="BG1582" s="475">
        <v>718</v>
      </c>
      <c r="BH1582" s="395"/>
      <c r="BI1582" s="395">
        <f t="shared" ref="BI1582" si="982">AT1582/AR1582</f>
        <v>12.85901</v>
      </c>
    </row>
    <row r="1583" spans="1:61" s="358" customFormat="1" ht="19.2" x14ac:dyDescent="0.3">
      <c r="A1583" s="359" t="s">
        <v>1992</v>
      </c>
      <c r="B1583" s="602" t="s">
        <v>5919</v>
      </c>
      <c r="C1583" s="548" t="s">
        <v>5920</v>
      </c>
      <c r="D1583" s="360">
        <v>0.22</v>
      </c>
      <c r="E1583" s="528"/>
      <c r="F1583" s="523"/>
      <c r="G1583" s="393"/>
      <c r="H1583" s="394"/>
      <c r="I1583" s="394"/>
      <c r="J1583" s="394"/>
      <c r="K1583" s="394"/>
      <c r="L1583" s="394"/>
      <c r="M1583" s="394"/>
      <c r="N1583" s="394"/>
      <c r="O1583" s="394"/>
      <c r="P1583" s="394"/>
      <c r="Q1583" s="394"/>
      <c r="R1583" s="381"/>
      <c r="S1583" s="408"/>
      <c r="T1583" s="385"/>
      <c r="U1583" s="475"/>
      <c r="V1583" s="395"/>
      <c r="W1583" s="395"/>
      <c r="X1583" s="528"/>
      <c r="Y1583" s="523"/>
      <c r="Z1583" s="393"/>
      <c r="AA1583" s="394"/>
      <c r="AB1583" s="394"/>
      <c r="AC1583" s="394"/>
      <c r="AD1583" s="394"/>
      <c r="AE1583" s="394"/>
      <c r="AF1583" s="394"/>
      <c r="AG1583" s="394"/>
      <c r="AH1583" s="394"/>
      <c r="AI1583" s="394"/>
      <c r="AJ1583" s="394"/>
      <c r="AK1583" s="381"/>
      <c r="AL1583" s="408"/>
      <c r="AM1583" s="385"/>
      <c r="AN1583" s="475"/>
      <c r="AO1583" s="395"/>
      <c r="AP1583" s="395"/>
      <c r="AQ1583" s="528"/>
      <c r="AR1583" s="523">
        <v>1</v>
      </c>
      <c r="AS1583" s="393"/>
      <c r="AT1583" s="600">
        <v>12.85901</v>
      </c>
      <c r="AU1583" s="394">
        <v>8.55457</v>
      </c>
      <c r="AV1583" s="394">
        <v>7.3608200000000004</v>
      </c>
      <c r="AW1583" s="394"/>
      <c r="AX1583" s="394"/>
      <c r="AY1583" s="394">
        <v>0</v>
      </c>
      <c r="AZ1583" s="394">
        <v>0</v>
      </c>
      <c r="BA1583" s="394">
        <v>1.00349</v>
      </c>
      <c r="BB1583" s="394">
        <v>7.3608200000000004</v>
      </c>
      <c r="BC1583" s="394"/>
      <c r="BD1583" s="381" t="s">
        <v>167</v>
      </c>
      <c r="BE1583" s="408" t="s">
        <v>175</v>
      </c>
      <c r="BF1583" s="385"/>
      <c r="BG1583" s="475">
        <v>719</v>
      </c>
      <c r="BH1583" s="395"/>
      <c r="BI1583" s="395">
        <f t="shared" si="975"/>
        <v>12.85901</v>
      </c>
    </row>
    <row r="1584" spans="1:61" s="358" customFormat="1" ht="19.2" x14ac:dyDescent="0.3">
      <c r="A1584" s="359" t="s">
        <v>1993</v>
      </c>
      <c r="B1584" s="602" t="s">
        <v>5921</v>
      </c>
      <c r="C1584" s="548" t="s">
        <v>5922</v>
      </c>
      <c r="D1584" s="360">
        <v>0.22</v>
      </c>
      <c r="E1584" s="528"/>
      <c r="F1584" s="523"/>
      <c r="G1584" s="393"/>
      <c r="H1584" s="394"/>
      <c r="I1584" s="394"/>
      <c r="J1584" s="394"/>
      <c r="K1584" s="394"/>
      <c r="L1584" s="394"/>
      <c r="M1584" s="394"/>
      <c r="N1584" s="394"/>
      <c r="O1584" s="394"/>
      <c r="P1584" s="394"/>
      <c r="Q1584" s="394"/>
      <c r="R1584" s="381"/>
      <c r="S1584" s="408"/>
      <c r="T1584" s="385"/>
      <c r="U1584" s="475"/>
      <c r="V1584" s="395"/>
      <c r="W1584" s="395"/>
      <c r="X1584" s="528"/>
      <c r="Y1584" s="523"/>
      <c r="Z1584" s="393"/>
      <c r="AA1584" s="394"/>
      <c r="AB1584" s="394"/>
      <c r="AC1584" s="394"/>
      <c r="AD1584" s="394"/>
      <c r="AE1584" s="394"/>
      <c r="AF1584" s="394"/>
      <c r="AG1584" s="394"/>
      <c r="AH1584" s="394"/>
      <c r="AI1584" s="394"/>
      <c r="AJ1584" s="394"/>
      <c r="AK1584" s="381"/>
      <c r="AL1584" s="408"/>
      <c r="AM1584" s="385"/>
      <c r="AN1584" s="475"/>
      <c r="AO1584" s="395"/>
      <c r="AP1584" s="395"/>
      <c r="AQ1584" s="528"/>
      <c r="AR1584" s="523">
        <v>1</v>
      </c>
      <c r="AS1584" s="393"/>
      <c r="AT1584" s="600">
        <v>12.859030000000001</v>
      </c>
      <c r="AU1584" s="394">
        <v>8.5545899999999993</v>
      </c>
      <c r="AV1584" s="394">
        <v>7.3608200000000004</v>
      </c>
      <c r="AW1584" s="394"/>
      <c r="AX1584" s="394"/>
      <c r="AY1584" s="394">
        <v>0</v>
      </c>
      <c r="AZ1584" s="394">
        <v>0</v>
      </c>
      <c r="BA1584" s="394">
        <v>1.00349</v>
      </c>
      <c r="BB1584" s="394">
        <v>7.3608200000000004</v>
      </c>
      <c r="BC1584" s="394"/>
      <c r="BD1584" s="381" t="s">
        <v>167</v>
      </c>
      <c r="BE1584" s="408" t="s">
        <v>175</v>
      </c>
      <c r="BF1584" s="385"/>
      <c r="BG1584" s="475">
        <v>720</v>
      </c>
      <c r="BH1584" s="395"/>
      <c r="BI1584" s="395">
        <f t="shared" ref="BI1584" si="983">AT1584/AR1584</f>
        <v>12.859030000000001</v>
      </c>
    </row>
    <row r="1585" spans="1:61" s="358" customFormat="1" ht="19.2" x14ac:dyDescent="0.3">
      <c r="A1585" s="359" t="s">
        <v>1994</v>
      </c>
      <c r="B1585" s="602" t="s">
        <v>5923</v>
      </c>
      <c r="C1585" s="548" t="s">
        <v>5924</v>
      </c>
      <c r="D1585" s="360">
        <v>0.22</v>
      </c>
      <c r="E1585" s="528"/>
      <c r="F1585" s="523"/>
      <c r="G1585" s="393"/>
      <c r="H1585" s="394"/>
      <c r="I1585" s="394"/>
      <c r="J1585" s="394"/>
      <c r="K1585" s="394"/>
      <c r="L1585" s="394"/>
      <c r="M1585" s="394"/>
      <c r="N1585" s="394"/>
      <c r="O1585" s="394"/>
      <c r="P1585" s="394"/>
      <c r="Q1585" s="394"/>
      <c r="R1585" s="381"/>
      <c r="S1585" s="408"/>
      <c r="T1585" s="385"/>
      <c r="U1585" s="475"/>
      <c r="V1585" s="395"/>
      <c r="W1585" s="395"/>
      <c r="X1585" s="528"/>
      <c r="Y1585" s="523"/>
      <c r="Z1585" s="393"/>
      <c r="AA1585" s="394"/>
      <c r="AB1585" s="394"/>
      <c r="AC1585" s="394"/>
      <c r="AD1585" s="394"/>
      <c r="AE1585" s="394"/>
      <c r="AF1585" s="394"/>
      <c r="AG1585" s="394"/>
      <c r="AH1585" s="394"/>
      <c r="AI1585" s="394"/>
      <c r="AJ1585" s="394"/>
      <c r="AK1585" s="381"/>
      <c r="AL1585" s="408"/>
      <c r="AM1585" s="385"/>
      <c r="AN1585" s="475"/>
      <c r="AO1585" s="395"/>
      <c r="AP1585" s="395"/>
      <c r="AQ1585" s="528"/>
      <c r="AR1585" s="523">
        <v>1</v>
      </c>
      <c r="AS1585" s="393"/>
      <c r="AT1585" s="600">
        <v>12.85901</v>
      </c>
      <c r="AU1585" s="394">
        <v>8.55457</v>
      </c>
      <c r="AV1585" s="394">
        <v>7.3608200000000004</v>
      </c>
      <c r="AW1585" s="394"/>
      <c r="AX1585" s="394"/>
      <c r="AY1585" s="394">
        <v>0</v>
      </c>
      <c r="AZ1585" s="394">
        <v>0</v>
      </c>
      <c r="BA1585" s="394">
        <v>1.00349</v>
      </c>
      <c r="BB1585" s="394">
        <v>7.3608200000000004</v>
      </c>
      <c r="BC1585" s="394"/>
      <c r="BD1585" s="381" t="s">
        <v>167</v>
      </c>
      <c r="BE1585" s="408" t="s">
        <v>175</v>
      </c>
      <c r="BF1585" s="385"/>
      <c r="BG1585" s="475">
        <v>721</v>
      </c>
      <c r="BH1585" s="395"/>
      <c r="BI1585" s="395">
        <f t="shared" si="975"/>
        <v>12.85901</v>
      </c>
    </row>
    <row r="1586" spans="1:61" s="358" customFormat="1" ht="19.2" x14ac:dyDescent="0.3">
      <c r="A1586" s="359" t="s">
        <v>1995</v>
      </c>
      <c r="B1586" s="602" t="s">
        <v>4896</v>
      </c>
      <c r="C1586" s="548" t="s">
        <v>4895</v>
      </c>
      <c r="D1586" s="360">
        <v>0.22</v>
      </c>
      <c r="E1586" s="528"/>
      <c r="F1586" s="523"/>
      <c r="G1586" s="393"/>
      <c r="H1586" s="394"/>
      <c r="I1586" s="394"/>
      <c r="J1586" s="394"/>
      <c r="K1586" s="394"/>
      <c r="L1586" s="394"/>
      <c r="M1586" s="394"/>
      <c r="N1586" s="394"/>
      <c r="O1586" s="394"/>
      <c r="P1586" s="394"/>
      <c r="Q1586" s="394"/>
      <c r="R1586" s="381"/>
      <c r="S1586" s="408"/>
      <c r="T1586" s="385"/>
      <c r="U1586" s="475"/>
      <c r="V1586" s="395"/>
      <c r="W1586" s="395"/>
      <c r="X1586" s="528"/>
      <c r="Y1586" s="523"/>
      <c r="Z1586" s="393"/>
      <c r="AA1586" s="394"/>
      <c r="AB1586" s="394"/>
      <c r="AC1586" s="394"/>
      <c r="AD1586" s="394"/>
      <c r="AE1586" s="394"/>
      <c r="AF1586" s="394"/>
      <c r="AG1586" s="394"/>
      <c r="AH1586" s="394"/>
      <c r="AI1586" s="394"/>
      <c r="AJ1586" s="394"/>
      <c r="AK1586" s="381"/>
      <c r="AL1586" s="408"/>
      <c r="AM1586" s="385"/>
      <c r="AN1586" s="475"/>
      <c r="AO1586" s="395"/>
      <c r="AP1586" s="395"/>
      <c r="AQ1586" s="528"/>
      <c r="AR1586" s="523">
        <v>1</v>
      </c>
      <c r="AS1586" s="393"/>
      <c r="AT1586" s="600">
        <v>12.85905</v>
      </c>
      <c r="AU1586" s="394">
        <v>8.5546100000000003</v>
      </c>
      <c r="AV1586" s="394">
        <v>7.3608200000000004</v>
      </c>
      <c r="AW1586" s="394"/>
      <c r="AX1586" s="394"/>
      <c r="AY1586" s="394">
        <v>0</v>
      </c>
      <c r="AZ1586" s="394">
        <v>0</v>
      </c>
      <c r="BA1586" s="394">
        <v>1.00349</v>
      </c>
      <c r="BB1586" s="394">
        <v>7.3608200000000004</v>
      </c>
      <c r="BC1586" s="394"/>
      <c r="BD1586" s="381" t="s">
        <v>167</v>
      </c>
      <c r="BE1586" s="408" t="s">
        <v>175</v>
      </c>
      <c r="BF1586" s="385"/>
      <c r="BG1586" s="475">
        <v>722</v>
      </c>
      <c r="BH1586" s="395"/>
      <c r="BI1586" s="395">
        <f t="shared" ref="BI1586" si="984">AT1586/AR1586</f>
        <v>12.85905</v>
      </c>
    </row>
    <row r="1587" spans="1:61" s="358" customFormat="1" ht="27.6" x14ac:dyDescent="0.3">
      <c r="A1587" s="359" t="s">
        <v>1996</v>
      </c>
      <c r="B1587" s="610" t="s">
        <v>6004</v>
      </c>
      <c r="C1587" s="548" t="s">
        <v>6005</v>
      </c>
      <c r="D1587" s="360">
        <v>0.22</v>
      </c>
      <c r="E1587" s="528"/>
      <c r="F1587" s="523"/>
      <c r="G1587" s="393"/>
      <c r="H1587" s="394"/>
      <c r="I1587" s="394"/>
      <c r="J1587" s="394"/>
      <c r="K1587" s="394"/>
      <c r="L1587" s="394"/>
      <c r="M1587" s="394"/>
      <c r="N1587" s="394"/>
      <c r="O1587" s="394"/>
      <c r="P1587" s="394"/>
      <c r="Q1587" s="394"/>
      <c r="R1587" s="381"/>
      <c r="S1587" s="408"/>
      <c r="T1587" s="385"/>
      <c r="U1587" s="475"/>
      <c r="V1587" s="395"/>
      <c r="W1587" s="395"/>
      <c r="X1587" s="528"/>
      <c r="Y1587" s="523"/>
      <c r="Z1587" s="393"/>
      <c r="AA1587" s="394"/>
      <c r="AB1587" s="394"/>
      <c r="AC1587" s="394"/>
      <c r="AD1587" s="394"/>
      <c r="AE1587" s="394"/>
      <c r="AF1587" s="394"/>
      <c r="AG1587" s="394"/>
      <c r="AH1587" s="394"/>
      <c r="AI1587" s="394"/>
      <c r="AJ1587" s="394"/>
      <c r="AK1587" s="381"/>
      <c r="AL1587" s="408"/>
      <c r="AM1587" s="385"/>
      <c r="AN1587" s="475"/>
      <c r="AO1587" s="395"/>
      <c r="AP1587" s="395"/>
      <c r="AQ1587" s="528"/>
      <c r="AR1587" s="523">
        <v>1</v>
      </c>
      <c r="AS1587" s="393"/>
      <c r="AT1587" s="600">
        <v>12.721880000000001</v>
      </c>
      <c r="AU1587" s="394">
        <v>8.4174399999999991</v>
      </c>
      <c r="AV1587" s="394">
        <v>7.46462</v>
      </c>
      <c r="AW1587" s="394"/>
      <c r="AX1587" s="394"/>
      <c r="AY1587" s="394">
        <v>0</v>
      </c>
      <c r="AZ1587" s="394">
        <v>0</v>
      </c>
      <c r="BA1587" s="394">
        <v>1.00349</v>
      </c>
      <c r="BB1587" s="394">
        <v>7.46462</v>
      </c>
      <c r="BC1587" s="394"/>
      <c r="BD1587" s="381" t="s">
        <v>167</v>
      </c>
      <c r="BE1587" s="408" t="s">
        <v>175</v>
      </c>
      <c r="BF1587" s="385"/>
      <c r="BG1587" s="475">
        <v>723</v>
      </c>
      <c r="BH1587" s="395"/>
      <c r="BI1587" s="395">
        <f t="shared" si="975"/>
        <v>12.721880000000001</v>
      </c>
    </row>
    <row r="1588" spans="1:61" s="358" customFormat="1" ht="27.6" x14ac:dyDescent="0.3">
      <c r="A1588" s="359" t="s">
        <v>1997</v>
      </c>
      <c r="B1588" s="610" t="s">
        <v>6004</v>
      </c>
      <c r="C1588" s="548" t="s">
        <v>6006</v>
      </c>
      <c r="D1588" s="360">
        <v>0.22</v>
      </c>
      <c r="E1588" s="528"/>
      <c r="F1588" s="523"/>
      <c r="G1588" s="393"/>
      <c r="H1588" s="394"/>
      <c r="I1588" s="394"/>
      <c r="J1588" s="394"/>
      <c r="K1588" s="394"/>
      <c r="L1588" s="394"/>
      <c r="M1588" s="394"/>
      <c r="N1588" s="394"/>
      <c r="O1588" s="394"/>
      <c r="P1588" s="394"/>
      <c r="Q1588" s="394"/>
      <c r="R1588" s="381"/>
      <c r="S1588" s="408"/>
      <c r="T1588" s="385"/>
      <c r="U1588" s="475"/>
      <c r="V1588" s="395"/>
      <c r="W1588" s="395"/>
      <c r="X1588" s="528"/>
      <c r="Y1588" s="523"/>
      <c r="Z1588" s="393"/>
      <c r="AA1588" s="394"/>
      <c r="AB1588" s="394"/>
      <c r="AC1588" s="394"/>
      <c r="AD1588" s="394"/>
      <c r="AE1588" s="394"/>
      <c r="AF1588" s="394"/>
      <c r="AG1588" s="394"/>
      <c r="AH1588" s="394"/>
      <c r="AI1588" s="394"/>
      <c r="AJ1588" s="394"/>
      <c r="AK1588" s="381"/>
      <c r="AL1588" s="408"/>
      <c r="AM1588" s="385"/>
      <c r="AN1588" s="475"/>
      <c r="AO1588" s="395"/>
      <c r="AP1588" s="395"/>
      <c r="AQ1588" s="528"/>
      <c r="AR1588" s="523">
        <v>1</v>
      </c>
      <c r="AS1588" s="393"/>
      <c r="AT1588" s="600">
        <v>12.72189</v>
      </c>
      <c r="AU1588" s="394">
        <v>8.4174500000000005</v>
      </c>
      <c r="AV1588" s="394">
        <v>7.46462</v>
      </c>
      <c r="AW1588" s="394"/>
      <c r="AX1588" s="394"/>
      <c r="AY1588" s="394">
        <v>0</v>
      </c>
      <c r="AZ1588" s="394">
        <v>0</v>
      </c>
      <c r="BA1588" s="394">
        <v>1.00349</v>
      </c>
      <c r="BB1588" s="394">
        <v>7.46462</v>
      </c>
      <c r="BC1588" s="394"/>
      <c r="BD1588" s="381" t="s">
        <v>167</v>
      </c>
      <c r="BE1588" s="408" t="s">
        <v>175</v>
      </c>
      <c r="BF1588" s="385"/>
      <c r="BG1588" s="475">
        <v>724</v>
      </c>
      <c r="BH1588" s="395"/>
      <c r="BI1588" s="395">
        <f t="shared" si="975"/>
        <v>12.72189</v>
      </c>
    </row>
    <row r="1589" spans="1:61" s="358" customFormat="1" ht="19.2" x14ac:dyDescent="0.3">
      <c r="A1589" s="359" t="s">
        <v>1998</v>
      </c>
      <c r="B1589" s="602" t="s">
        <v>4898</v>
      </c>
      <c r="C1589" s="548" t="s">
        <v>4897</v>
      </c>
      <c r="D1589" s="360">
        <v>0.22</v>
      </c>
      <c r="E1589" s="528"/>
      <c r="F1589" s="523"/>
      <c r="G1589" s="393"/>
      <c r="H1589" s="394"/>
      <c r="I1589" s="394"/>
      <c r="J1589" s="394"/>
      <c r="K1589" s="394"/>
      <c r="L1589" s="394"/>
      <c r="M1589" s="394"/>
      <c r="N1589" s="394"/>
      <c r="O1589" s="394"/>
      <c r="P1589" s="394"/>
      <c r="Q1589" s="394"/>
      <c r="R1589" s="381"/>
      <c r="S1589" s="408"/>
      <c r="T1589" s="385"/>
      <c r="U1589" s="475"/>
      <c r="V1589" s="395"/>
      <c r="W1589" s="395"/>
      <c r="X1589" s="528"/>
      <c r="Y1589" s="523"/>
      <c r="Z1589" s="393"/>
      <c r="AA1589" s="394"/>
      <c r="AB1589" s="394"/>
      <c r="AC1589" s="394"/>
      <c r="AD1589" s="394"/>
      <c r="AE1589" s="394"/>
      <c r="AF1589" s="394"/>
      <c r="AG1589" s="394"/>
      <c r="AH1589" s="394"/>
      <c r="AI1589" s="394"/>
      <c r="AJ1589" s="394"/>
      <c r="AK1589" s="381"/>
      <c r="AL1589" s="408"/>
      <c r="AM1589" s="385"/>
      <c r="AN1589" s="475"/>
      <c r="AO1589" s="395"/>
      <c r="AP1589" s="395"/>
      <c r="AQ1589" s="528"/>
      <c r="AR1589" s="523">
        <v>1</v>
      </c>
      <c r="AS1589" s="393"/>
      <c r="AT1589" s="600">
        <v>12.721880000000001</v>
      </c>
      <c r="AU1589" s="394">
        <v>8.4174399999999991</v>
      </c>
      <c r="AV1589" s="394">
        <v>7.46462</v>
      </c>
      <c r="AW1589" s="394"/>
      <c r="AX1589" s="394"/>
      <c r="AY1589" s="394">
        <v>0</v>
      </c>
      <c r="AZ1589" s="394">
        <v>0</v>
      </c>
      <c r="BA1589" s="394">
        <v>1.00349</v>
      </c>
      <c r="BB1589" s="394">
        <v>7.46462</v>
      </c>
      <c r="BC1589" s="394"/>
      <c r="BD1589" s="381" t="s">
        <v>167</v>
      </c>
      <c r="BE1589" s="408" t="s">
        <v>175</v>
      </c>
      <c r="BF1589" s="385"/>
      <c r="BG1589" s="475">
        <v>725</v>
      </c>
      <c r="BH1589" s="395"/>
      <c r="BI1589" s="395">
        <f t="shared" si="975"/>
        <v>12.721880000000001</v>
      </c>
    </row>
    <row r="1590" spans="1:61" s="358" customFormat="1" ht="19.2" x14ac:dyDescent="0.3">
      <c r="A1590" s="359" t="s">
        <v>1999</v>
      </c>
      <c r="B1590" s="602" t="s">
        <v>4933</v>
      </c>
      <c r="C1590" s="548" t="s">
        <v>4932</v>
      </c>
      <c r="D1590" s="360">
        <v>0.22</v>
      </c>
      <c r="E1590" s="528"/>
      <c r="F1590" s="523"/>
      <c r="G1590" s="393"/>
      <c r="H1590" s="394"/>
      <c r="I1590" s="394"/>
      <c r="J1590" s="394"/>
      <c r="K1590" s="394"/>
      <c r="L1590" s="394"/>
      <c r="M1590" s="394"/>
      <c r="N1590" s="394"/>
      <c r="O1590" s="394"/>
      <c r="P1590" s="394"/>
      <c r="Q1590" s="394"/>
      <c r="R1590" s="381"/>
      <c r="S1590" s="408"/>
      <c r="T1590" s="385"/>
      <c r="U1590" s="475"/>
      <c r="V1590" s="395"/>
      <c r="W1590" s="395"/>
      <c r="X1590" s="528"/>
      <c r="Y1590" s="523"/>
      <c r="Z1590" s="393"/>
      <c r="AA1590" s="394"/>
      <c r="AB1590" s="394"/>
      <c r="AC1590" s="394"/>
      <c r="AD1590" s="394"/>
      <c r="AE1590" s="394"/>
      <c r="AF1590" s="394"/>
      <c r="AG1590" s="394"/>
      <c r="AH1590" s="394"/>
      <c r="AI1590" s="394"/>
      <c r="AJ1590" s="394"/>
      <c r="AK1590" s="381"/>
      <c r="AL1590" s="408"/>
      <c r="AM1590" s="385"/>
      <c r="AN1590" s="475"/>
      <c r="AO1590" s="395"/>
      <c r="AP1590" s="395"/>
      <c r="AQ1590" s="528"/>
      <c r="AR1590" s="523">
        <v>1</v>
      </c>
      <c r="AS1590" s="393"/>
      <c r="AT1590" s="600">
        <v>12.721909999999999</v>
      </c>
      <c r="AU1590" s="394">
        <v>8.4174699999999998</v>
      </c>
      <c r="AV1590" s="394">
        <v>7.46462</v>
      </c>
      <c r="AW1590" s="394"/>
      <c r="AX1590" s="394"/>
      <c r="AY1590" s="394">
        <v>0</v>
      </c>
      <c r="AZ1590" s="394">
        <v>0</v>
      </c>
      <c r="BA1590" s="394">
        <v>1.00349</v>
      </c>
      <c r="BB1590" s="394">
        <v>7.46462</v>
      </c>
      <c r="BC1590" s="394"/>
      <c r="BD1590" s="381" t="s">
        <v>167</v>
      </c>
      <c r="BE1590" s="408" t="s">
        <v>175</v>
      </c>
      <c r="BF1590" s="385"/>
      <c r="BG1590" s="475">
        <v>726</v>
      </c>
      <c r="BH1590" s="395"/>
      <c r="BI1590" s="395">
        <f t="shared" si="975"/>
        <v>12.721909999999999</v>
      </c>
    </row>
    <row r="1591" spans="1:61" s="358" customFormat="1" ht="19.2" x14ac:dyDescent="0.3">
      <c r="A1591" s="359" t="s">
        <v>2000</v>
      </c>
      <c r="B1591" s="602" t="s">
        <v>6007</v>
      </c>
      <c r="C1591" s="548" t="s">
        <v>6008</v>
      </c>
      <c r="D1591" s="360">
        <v>0.22</v>
      </c>
      <c r="E1591" s="528"/>
      <c r="F1591" s="523"/>
      <c r="G1591" s="393"/>
      <c r="H1591" s="394"/>
      <c r="I1591" s="394"/>
      <c r="J1591" s="394"/>
      <c r="K1591" s="394"/>
      <c r="L1591" s="394"/>
      <c r="M1591" s="394"/>
      <c r="N1591" s="394"/>
      <c r="O1591" s="394"/>
      <c r="P1591" s="394"/>
      <c r="Q1591" s="394"/>
      <c r="R1591" s="381"/>
      <c r="S1591" s="408"/>
      <c r="T1591" s="385"/>
      <c r="U1591" s="475"/>
      <c r="V1591" s="395"/>
      <c r="W1591" s="395"/>
      <c r="X1591" s="528"/>
      <c r="Y1591" s="523"/>
      <c r="Z1591" s="393"/>
      <c r="AA1591" s="394"/>
      <c r="AB1591" s="394"/>
      <c r="AC1591" s="394"/>
      <c r="AD1591" s="394"/>
      <c r="AE1591" s="394"/>
      <c r="AF1591" s="394"/>
      <c r="AG1591" s="394"/>
      <c r="AH1591" s="394"/>
      <c r="AI1591" s="394"/>
      <c r="AJ1591" s="394"/>
      <c r="AK1591" s="381"/>
      <c r="AL1591" s="408"/>
      <c r="AM1591" s="385"/>
      <c r="AN1591" s="475"/>
      <c r="AO1591" s="395"/>
      <c r="AP1591" s="395"/>
      <c r="AQ1591" s="528"/>
      <c r="AR1591" s="523">
        <v>1</v>
      </c>
      <c r="AS1591" s="393"/>
      <c r="AT1591" s="600">
        <v>8.4930199999999996</v>
      </c>
      <c r="AU1591" s="394">
        <v>7.6027800000000001</v>
      </c>
      <c r="AV1591" s="394">
        <v>7.4764099999999996</v>
      </c>
      <c r="AW1591" s="394"/>
      <c r="AX1591" s="394"/>
      <c r="AY1591" s="394">
        <v>0</v>
      </c>
      <c r="AZ1591" s="394">
        <v>0</v>
      </c>
      <c r="BA1591" s="394">
        <v>0.20754</v>
      </c>
      <c r="BB1591" s="394">
        <v>7.4764099999999996</v>
      </c>
      <c r="BC1591" s="394"/>
      <c r="BD1591" s="381" t="s">
        <v>167</v>
      </c>
      <c r="BE1591" s="408" t="s">
        <v>175</v>
      </c>
      <c r="BF1591" s="385"/>
      <c r="BG1591" s="475">
        <v>727</v>
      </c>
      <c r="BH1591" s="395"/>
      <c r="BI1591" s="395">
        <f t="shared" ref="BI1591" si="985">AT1591/AR1591</f>
        <v>8.4930199999999996</v>
      </c>
    </row>
    <row r="1592" spans="1:61" s="358" customFormat="1" ht="19.2" x14ac:dyDescent="0.3">
      <c r="A1592" s="359" t="s">
        <v>2001</v>
      </c>
      <c r="B1592" s="602" t="s">
        <v>4919</v>
      </c>
      <c r="C1592" s="548" t="s">
        <v>4918</v>
      </c>
      <c r="D1592" s="360">
        <v>0.22</v>
      </c>
      <c r="E1592" s="528"/>
      <c r="F1592" s="523"/>
      <c r="G1592" s="393"/>
      <c r="H1592" s="394"/>
      <c r="I1592" s="394"/>
      <c r="J1592" s="394"/>
      <c r="K1592" s="394"/>
      <c r="L1592" s="394"/>
      <c r="M1592" s="394"/>
      <c r="N1592" s="394"/>
      <c r="O1592" s="394"/>
      <c r="P1592" s="394"/>
      <c r="Q1592" s="394"/>
      <c r="R1592" s="381"/>
      <c r="S1592" s="408"/>
      <c r="T1592" s="385"/>
      <c r="U1592" s="475"/>
      <c r="V1592" s="395"/>
      <c r="W1592" s="395"/>
      <c r="X1592" s="528"/>
      <c r="Y1592" s="523"/>
      <c r="Z1592" s="393"/>
      <c r="AA1592" s="394"/>
      <c r="AB1592" s="394"/>
      <c r="AC1592" s="394"/>
      <c r="AD1592" s="394"/>
      <c r="AE1592" s="394"/>
      <c r="AF1592" s="394"/>
      <c r="AG1592" s="394"/>
      <c r="AH1592" s="394"/>
      <c r="AI1592" s="394"/>
      <c r="AJ1592" s="394"/>
      <c r="AK1592" s="381"/>
      <c r="AL1592" s="408"/>
      <c r="AM1592" s="385"/>
      <c r="AN1592" s="475"/>
      <c r="AO1592" s="395"/>
      <c r="AP1592" s="395"/>
      <c r="AQ1592" s="528"/>
      <c r="AR1592" s="523">
        <v>1</v>
      </c>
      <c r="AS1592" s="393"/>
      <c r="AT1592" s="600">
        <v>12.72186</v>
      </c>
      <c r="AU1592" s="394">
        <v>8.4174199999999999</v>
      </c>
      <c r="AV1592" s="394">
        <v>7.46462</v>
      </c>
      <c r="AW1592" s="394"/>
      <c r="AX1592" s="394"/>
      <c r="AY1592" s="394">
        <v>0</v>
      </c>
      <c r="AZ1592" s="394">
        <v>0</v>
      </c>
      <c r="BA1592" s="394">
        <v>1.00349</v>
      </c>
      <c r="BB1592" s="394">
        <v>7.46462</v>
      </c>
      <c r="BC1592" s="394"/>
      <c r="BD1592" s="381" t="s">
        <v>167</v>
      </c>
      <c r="BE1592" s="408" t="s">
        <v>175</v>
      </c>
      <c r="BF1592" s="385"/>
      <c r="BG1592" s="475">
        <v>728</v>
      </c>
      <c r="BH1592" s="395"/>
      <c r="BI1592" s="395">
        <f t="shared" si="975"/>
        <v>12.72186</v>
      </c>
    </row>
    <row r="1593" spans="1:61" s="358" customFormat="1" ht="19.2" x14ac:dyDescent="0.3">
      <c r="A1593" s="359" t="s">
        <v>2002</v>
      </c>
      <c r="B1593" s="602" t="s">
        <v>6009</v>
      </c>
      <c r="C1593" s="548" t="s">
        <v>6010</v>
      </c>
      <c r="D1593" s="360">
        <v>0.22</v>
      </c>
      <c r="E1593" s="528"/>
      <c r="F1593" s="523"/>
      <c r="G1593" s="393"/>
      <c r="H1593" s="394"/>
      <c r="I1593" s="394"/>
      <c r="J1593" s="394"/>
      <c r="K1593" s="394"/>
      <c r="L1593" s="394"/>
      <c r="M1593" s="394"/>
      <c r="N1593" s="394"/>
      <c r="O1593" s="394"/>
      <c r="P1593" s="394"/>
      <c r="Q1593" s="394"/>
      <c r="R1593" s="381"/>
      <c r="S1593" s="408"/>
      <c r="T1593" s="385"/>
      <c r="U1593" s="475"/>
      <c r="V1593" s="395"/>
      <c r="W1593" s="395"/>
      <c r="X1593" s="528"/>
      <c r="Y1593" s="523"/>
      <c r="Z1593" s="393"/>
      <c r="AA1593" s="394"/>
      <c r="AB1593" s="394"/>
      <c r="AC1593" s="394"/>
      <c r="AD1593" s="394"/>
      <c r="AE1593" s="394"/>
      <c r="AF1593" s="394"/>
      <c r="AG1593" s="394"/>
      <c r="AH1593" s="394"/>
      <c r="AI1593" s="394"/>
      <c r="AJ1593" s="394"/>
      <c r="AK1593" s="381"/>
      <c r="AL1593" s="408"/>
      <c r="AM1593" s="385"/>
      <c r="AN1593" s="475"/>
      <c r="AO1593" s="395"/>
      <c r="AP1593" s="395"/>
      <c r="AQ1593" s="528"/>
      <c r="AR1593" s="523">
        <v>1</v>
      </c>
      <c r="AS1593" s="393"/>
      <c r="AT1593" s="600">
        <v>12.721880000000001</v>
      </c>
      <c r="AU1593" s="394">
        <v>8.4174399999999991</v>
      </c>
      <c r="AV1593" s="394">
        <v>7.46462</v>
      </c>
      <c r="AW1593" s="394"/>
      <c r="AX1593" s="394"/>
      <c r="AY1593" s="394">
        <v>0</v>
      </c>
      <c r="AZ1593" s="394">
        <v>0</v>
      </c>
      <c r="BA1593" s="394">
        <v>1.00349</v>
      </c>
      <c r="BB1593" s="394">
        <v>7.46462</v>
      </c>
      <c r="BC1593" s="394"/>
      <c r="BD1593" s="381" t="s">
        <v>167</v>
      </c>
      <c r="BE1593" s="408" t="s">
        <v>175</v>
      </c>
      <c r="BF1593" s="385"/>
      <c r="BG1593" s="475">
        <v>729</v>
      </c>
      <c r="BH1593" s="395"/>
      <c r="BI1593" s="395">
        <f t="shared" ref="BI1593:BI1607" si="986">AT1593/AR1593</f>
        <v>12.721880000000001</v>
      </c>
    </row>
    <row r="1594" spans="1:61" s="358" customFormat="1" ht="19.2" x14ac:dyDescent="0.3">
      <c r="A1594" s="359" t="s">
        <v>2003</v>
      </c>
      <c r="B1594" s="602" t="s">
        <v>6011</v>
      </c>
      <c r="C1594" s="548" t="s">
        <v>6012</v>
      </c>
      <c r="D1594" s="360">
        <v>0.22</v>
      </c>
      <c r="E1594" s="528"/>
      <c r="F1594" s="523"/>
      <c r="G1594" s="393"/>
      <c r="H1594" s="394"/>
      <c r="I1594" s="394"/>
      <c r="J1594" s="394"/>
      <c r="K1594" s="394"/>
      <c r="L1594" s="394"/>
      <c r="M1594" s="394"/>
      <c r="N1594" s="394"/>
      <c r="O1594" s="394"/>
      <c r="P1594" s="394"/>
      <c r="Q1594" s="394"/>
      <c r="R1594" s="381"/>
      <c r="S1594" s="408"/>
      <c r="T1594" s="385"/>
      <c r="U1594" s="475"/>
      <c r="V1594" s="395"/>
      <c r="W1594" s="395"/>
      <c r="X1594" s="528"/>
      <c r="Y1594" s="523"/>
      <c r="Z1594" s="393"/>
      <c r="AA1594" s="394"/>
      <c r="AB1594" s="394"/>
      <c r="AC1594" s="394"/>
      <c r="AD1594" s="394"/>
      <c r="AE1594" s="394"/>
      <c r="AF1594" s="394"/>
      <c r="AG1594" s="394"/>
      <c r="AH1594" s="394"/>
      <c r="AI1594" s="394"/>
      <c r="AJ1594" s="394"/>
      <c r="AK1594" s="381"/>
      <c r="AL1594" s="408"/>
      <c r="AM1594" s="385"/>
      <c r="AN1594" s="475"/>
      <c r="AO1594" s="395"/>
      <c r="AP1594" s="395"/>
      <c r="AQ1594" s="528"/>
      <c r="AR1594" s="523">
        <v>1</v>
      </c>
      <c r="AS1594" s="393"/>
      <c r="AT1594" s="600">
        <v>12.72186</v>
      </c>
      <c r="AU1594" s="394">
        <v>8.4174199999999999</v>
      </c>
      <c r="AV1594" s="394">
        <v>7.46462</v>
      </c>
      <c r="AW1594" s="394"/>
      <c r="AX1594" s="394"/>
      <c r="AY1594" s="394">
        <v>0</v>
      </c>
      <c r="AZ1594" s="394">
        <v>0</v>
      </c>
      <c r="BA1594" s="394">
        <v>1.00349</v>
      </c>
      <c r="BB1594" s="394">
        <v>7.46462</v>
      </c>
      <c r="BC1594" s="394"/>
      <c r="BD1594" s="381" t="s">
        <v>167</v>
      </c>
      <c r="BE1594" s="408" t="s">
        <v>175</v>
      </c>
      <c r="BF1594" s="385"/>
      <c r="BG1594" s="475">
        <v>730</v>
      </c>
      <c r="BH1594" s="395"/>
      <c r="BI1594" s="395">
        <f t="shared" ref="BI1594" si="987">AT1594/AR1594</f>
        <v>12.72186</v>
      </c>
    </row>
    <row r="1595" spans="1:61" s="358" customFormat="1" ht="19.2" x14ac:dyDescent="0.3">
      <c r="A1595" s="359" t="s">
        <v>2004</v>
      </c>
      <c r="B1595" s="602" t="s">
        <v>6013</v>
      </c>
      <c r="C1595" s="548" t="s">
        <v>6014</v>
      </c>
      <c r="D1595" s="360">
        <v>0.22</v>
      </c>
      <c r="E1595" s="528"/>
      <c r="F1595" s="523"/>
      <c r="G1595" s="393"/>
      <c r="H1595" s="394"/>
      <c r="I1595" s="394"/>
      <c r="J1595" s="394"/>
      <c r="K1595" s="394"/>
      <c r="L1595" s="394"/>
      <c r="M1595" s="394"/>
      <c r="N1595" s="394"/>
      <c r="O1595" s="394"/>
      <c r="P1595" s="394"/>
      <c r="Q1595" s="394"/>
      <c r="R1595" s="381"/>
      <c r="S1595" s="408"/>
      <c r="T1595" s="385"/>
      <c r="U1595" s="475"/>
      <c r="V1595" s="395"/>
      <c r="W1595" s="395"/>
      <c r="X1595" s="528"/>
      <c r="Y1595" s="523"/>
      <c r="Z1595" s="393"/>
      <c r="AA1595" s="394"/>
      <c r="AB1595" s="394"/>
      <c r="AC1595" s="394"/>
      <c r="AD1595" s="394"/>
      <c r="AE1595" s="394"/>
      <c r="AF1595" s="394"/>
      <c r="AG1595" s="394"/>
      <c r="AH1595" s="394"/>
      <c r="AI1595" s="394"/>
      <c r="AJ1595" s="394"/>
      <c r="AK1595" s="381"/>
      <c r="AL1595" s="408"/>
      <c r="AM1595" s="385"/>
      <c r="AN1595" s="475"/>
      <c r="AO1595" s="395"/>
      <c r="AP1595" s="395"/>
      <c r="AQ1595" s="528"/>
      <c r="AR1595" s="523">
        <v>1</v>
      </c>
      <c r="AS1595" s="393"/>
      <c r="AT1595" s="600">
        <v>12.721920000000001</v>
      </c>
      <c r="AU1595" s="394">
        <v>8.4174799999999994</v>
      </c>
      <c r="AV1595" s="394">
        <v>7.46462</v>
      </c>
      <c r="AW1595" s="394"/>
      <c r="AX1595" s="394"/>
      <c r="AY1595" s="394">
        <v>0</v>
      </c>
      <c r="AZ1595" s="394">
        <v>0</v>
      </c>
      <c r="BA1595" s="394">
        <v>1.00349</v>
      </c>
      <c r="BB1595" s="394">
        <v>7.46462</v>
      </c>
      <c r="BC1595" s="394"/>
      <c r="BD1595" s="381" t="s">
        <v>167</v>
      </c>
      <c r="BE1595" s="408" t="s">
        <v>175</v>
      </c>
      <c r="BF1595" s="385"/>
      <c r="BG1595" s="475">
        <v>731</v>
      </c>
      <c r="BH1595" s="395"/>
      <c r="BI1595" s="395">
        <f t="shared" si="986"/>
        <v>12.721920000000001</v>
      </c>
    </row>
    <row r="1596" spans="1:61" s="358" customFormat="1" ht="19.2" x14ac:dyDescent="0.3">
      <c r="A1596" s="359" t="s">
        <v>2005</v>
      </c>
      <c r="B1596" s="602" t="s">
        <v>6015</v>
      </c>
      <c r="C1596" s="548" t="s">
        <v>6016</v>
      </c>
      <c r="D1596" s="360">
        <v>0.22</v>
      </c>
      <c r="E1596" s="528"/>
      <c r="F1596" s="523"/>
      <c r="G1596" s="393"/>
      <c r="H1596" s="394"/>
      <c r="I1596" s="394"/>
      <c r="J1596" s="394"/>
      <c r="K1596" s="394"/>
      <c r="L1596" s="394"/>
      <c r="M1596" s="394"/>
      <c r="N1596" s="394"/>
      <c r="O1596" s="394"/>
      <c r="P1596" s="394"/>
      <c r="Q1596" s="394"/>
      <c r="R1596" s="381"/>
      <c r="S1596" s="408"/>
      <c r="T1596" s="385"/>
      <c r="U1596" s="475"/>
      <c r="V1596" s="395"/>
      <c r="W1596" s="395"/>
      <c r="X1596" s="528"/>
      <c r="Y1596" s="523"/>
      <c r="Z1596" s="393"/>
      <c r="AA1596" s="394"/>
      <c r="AB1596" s="394"/>
      <c r="AC1596" s="394"/>
      <c r="AD1596" s="394"/>
      <c r="AE1596" s="394"/>
      <c r="AF1596" s="394"/>
      <c r="AG1596" s="394"/>
      <c r="AH1596" s="394"/>
      <c r="AI1596" s="394"/>
      <c r="AJ1596" s="394"/>
      <c r="AK1596" s="381"/>
      <c r="AL1596" s="408"/>
      <c r="AM1596" s="385"/>
      <c r="AN1596" s="475"/>
      <c r="AO1596" s="395"/>
      <c r="AP1596" s="395"/>
      <c r="AQ1596" s="528"/>
      <c r="AR1596" s="523">
        <v>1</v>
      </c>
      <c r="AS1596" s="393"/>
      <c r="AT1596" s="600">
        <v>12.72186</v>
      </c>
      <c r="AU1596" s="394">
        <v>8.4174199999999999</v>
      </c>
      <c r="AV1596" s="394">
        <v>7.46462</v>
      </c>
      <c r="AW1596" s="394"/>
      <c r="AX1596" s="394"/>
      <c r="AY1596" s="394">
        <v>0</v>
      </c>
      <c r="AZ1596" s="394">
        <v>0</v>
      </c>
      <c r="BA1596" s="394">
        <v>1.00349</v>
      </c>
      <c r="BB1596" s="394">
        <v>7.46462</v>
      </c>
      <c r="BC1596" s="394"/>
      <c r="BD1596" s="381" t="s">
        <v>167</v>
      </c>
      <c r="BE1596" s="408" t="s">
        <v>175</v>
      </c>
      <c r="BF1596" s="385"/>
      <c r="BG1596" s="475">
        <v>732</v>
      </c>
      <c r="BH1596" s="395"/>
      <c r="BI1596" s="395">
        <f t="shared" ref="BI1596" si="988">AT1596/AR1596</f>
        <v>12.72186</v>
      </c>
    </row>
    <row r="1597" spans="1:61" s="358" customFormat="1" ht="19.2" x14ac:dyDescent="0.3">
      <c r="A1597" s="359" t="s">
        <v>2006</v>
      </c>
      <c r="B1597" s="602" t="s">
        <v>6017</v>
      </c>
      <c r="C1597" s="548" t="s">
        <v>6018</v>
      </c>
      <c r="D1597" s="360">
        <v>0.22</v>
      </c>
      <c r="E1597" s="528"/>
      <c r="F1597" s="523"/>
      <c r="G1597" s="393"/>
      <c r="H1597" s="394"/>
      <c r="I1597" s="394"/>
      <c r="J1597" s="394"/>
      <c r="K1597" s="394"/>
      <c r="L1597" s="394"/>
      <c r="M1597" s="394"/>
      <c r="N1597" s="394"/>
      <c r="O1597" s="394"/>
      <c r="P1597" s="394"/>
      <c r="Q1597" s="394"/>
      <c r="R1597" s="381"/>
      <c r="S1597" s="408"/>
      <c r="T1597" s="385"/>
      <c r="U1597" s="475"/>
      <c r="V1597" s="395"/>
      <c r="W1597" s="395"/>
      <c r="X1597" s="528"/>
      <c r="Y1597" s="523"/>
      <c r="Z1597" s="393"/>
      <c r="AA1597" s="394"/>
      <c r="AB1597" s="394"/>
      <c r="AC1597" s="394"/>
      <c r="AD1597" s="394"/>
      <c r="AE1597" s="394"/>
      <c r="AF1597" s="394"/>
      <c r="AG1597" s="394"/>
      <c r="AH1597" s="394"/>
      <c r="AI1597" s="394"/>
      <c r="AJ1597" s="394"/>
      <c r="AK1597" s="381"/>
      <c r="AL1597" s="408"/>
      <c r="AM1597" s="385"/>
      <c r="AN1597" s="475"/>
      <c r="AO1597" s="395"/>
      <c r="AP1597" s="395"/>
      <c r="AQ1597" s="528"/>
      <c r="AR1597" s="523">
        <v>1</v>
      </c>
      <c r="AS1597" s="393"/>
      <c r="AT1597" s="600">
        <v>12.721880000000001</v>
      </c>
      <c r="AU1597" s="394">
        <v>8.4174399999999991</v>
      </c>
      <c r="AV1597" s="394">
        <v>7.46462</v>
      </c>
      <c r="AW1597" s="394"/>
      <c r="AX1597" s="394"/>
      <c r="AY1597" s="394">
        <v>0</v>
      </c>
      <c r="AZ1597" s="394">
        <v>0</v>
      </c>
      <c r="BA1597" s="394">
        <v>1.00349</v>
      </c>
      <c r="BB1597" s="394">
        <v>7.46462</v>
      </c>
      <c r="BC1597" s="394"/>
      <c r="BD1597" s="381" t="s">
        <v>167</v>
      </c>
      <c r="BE1597" s="408" t="s">
        <v>175</v>
      </c>
      <c r="BF1597" s="385"/>
      <c r="BG1597" s="475">
        <v>733</v>
      </c>
      <c r="BH1597" s="395"/>
      <c r="BI1597" s="395">
        <f t="shared" si="986"/>
        <v>12.721880000000001</v>
      </c>
    </row>
    <row r="1598" spans="1:61" s="358" customFormat="1" ht="19.2" x14ac:dyDescent="0.3">
      <c r="A1598" s="359" t="s">
        <v>2007</v>
      </c>
      <c r="B1598" s="602" t="s">
        <v>6019</v>
      </c>
      <c r="C1598" s="548" t="s">
        <v>6020</v>
      </c>
      <c r="D1598" s="360">
        <v>0.22</v>
      </c>
      <c r="E1598" s="528"/>
      <c r="F1598" s="523"/>
      <c r="G1598" s="393"/>
      <c r="H1598" s="394"/>
      <c r="I1598" s="394"/>
      <c r="J1598" s="394"/>
      <c r="K1598" s="394"/>
      <c r="L1598" s="394"/>
      <c r="M1598" s="394"/>
      <c r="N1598" s="394"/>
      <c r="O1598" s="394"/>
      <c r="P1598" s="394"/>
      <c r="Q1598" s="394"/>
      <c r="R1598" s="381"/>
      <c r="S1598" s="408"/>
      <c r="T1598" s="385"/>
      <c r="U1598" s="475"/>
      <c r="V1598" s="395"/>
      <c r="W1598" s="395"/>
      <c r="X1598" s="528"/>
      <c r="Y1598" s="523"/>
      <c r="Z1598" s="393"/>
      <c r="AA1598" s="394"/>
      <c r="AB1598" s="394"/>
      <c r="AC1598" s="394"/>
      <c r="AD1598" s="394"/>
      <c r="AE1598" s="394"/>
      <c r="AF1598" s="394"/>
      <c r="AG1598" s="394"/>
      <c r="AH1598" s="394"/>
      <c r="AI1598" s="394"/>
      <c r="AJ1598" s="394"/>
      <c r="AK1598" s="381"/>
      <c r="AL1598" s="408"/>
      <c r="AM1598" s="385"/>
      <c r="AN1598" s="475"/>
      <c r="AO1598" s="395"/>
      <c r="AP1598" s="395"/>
      <c r="AQ1598" s="528"/>
      <c r="AR1598" s="523">
        <v>1</v>
      </c>
      <c r="AS1598" s="393"/>
      <c r="AT1598" s="600">
        <v>12.721920000000001</v>
      </c>
      <c r="AU1598" s="394">
        <v>8.4174799999999994</v>
      </c>
      <c r="AV1598" s="394">
        <v>7.46462</v>
      </c>
      <c r="AW1598" s="394"/>
      <c r="AX1598" s="394"/>
      <c r="AY1598" s="394">
        <v>0</v>
      </c>
      <c r="AZ1598" s="394">
        <v>0</v>
      </c>
      <c r="BA1598" s="394">
        <v>1.00349</v>
      </c>
      <c r="BB1598" s="394">
        <v>7.46462</v>
      </c>
      <c r="BC1598" s="394"/>
      <c r="BD1598" s="381" t="s">
        <v>167</v>
      </c>
      <c r="BE1598" s="408" t="s">
        <v>175</v>
      </c>
      <c r="BF1598" s="385"/>
      <c r="BG1598" s="475">
        <v>734</v>
      </c>
      <c r="BH1598" s="395"/>
      <c r="BI1598" s="395">
        <f t="shared" ref="BI1598" si="989">AT1598/AR1598</f>
        <v>12.721920000000001</v>
      </c>
    </row>
    <row r="1599" spans="1:61" s="358" customFormat="1" ht="19.2" x14ac:dyDescent="0.3">
      <c r="A1599" s="359" t="s">
        <v>2008</v>
      </c>
      <c r="B1599" s="602" t="s">
        <v>6021</v>
      </c>
      <c r="C1599" s="548" t="s">
        <v>6022</v>
      </c>
      <c r="D1599" s="360">
        <v>0.22</v>
      </c>
      <c r="E1599" s="528"/>
      <c r="F1599" s="523"/>
      <c r="G1599" s="393"/>
      <c r="H1599" s="394"/>
      <c r="I1599" s="394"/>
      <c r="J1599" s="394"/>
      <c r="K1599" s="394"/>
      <c r="L1599" s="394"/>
      <c r="M1599" s="394"/>
      <c r="N1599" s="394"/>
      <c r="O1599" s="394"/>
      <c r="P1599" s="394"/>
      <c r="Q1599" s="394"/>
      <c r="R1599" s="381"/>
      <c r="S1599" s="408"/>
      <c r="T1599" s="385"/>
      <c r="U1599" s="475"/>
      <c r="V1599" s="395"/>
      <c r="W1599" s="395"/>
      <c r="X1599" s="528"/>
      <c r="Y1599" s="523"/>
      <c r="Z1599" s="393"/>
      <c r="AA1599" s="394"/>
      <c r="AB1599" s="394"/>
      <c r="AC1599" s="394"/>
      <c r="AD1599" s="394"/>
      <c r="AE1599" s="394"/>
      <c r="AF1599" s="394"/>
      <c r="AG1599" s="394"/>
      <c r="AH1599" s="394"/>
      <c r="AI1599" s="394"/>
      <c r="AJ1599" s="394"/>
      <c r="AK1599" s="381"/>
      <c r="AL1599" s="408"/>
      <c r="AM1599" s="385"/>
      <c r="AN1599" s="475"/>
      <c r="AO1599" s="395"/>
      <c r="AP1599" s="395"/>
      <c r="AQ1599" s="528"/>
      <c r="AR1599" s="523">
        <v>1</v>
      </c>
      <c r="AS1599" s="393"/>
      <c r="AT1599" s="600">
        <v>12.721909999999999</v>
      </c>
      <c r="AU1599" s="394">
        <v>8.4174699999999998</v>
      </c>
      <c r="AV1599" s="394">
        <v>7.46462</v>
      </c>
      <c r="AW1599" s="394"/>
      <c r="AX1599" s="394"/>
      <c r="AY1599" s="394">
        <v>0</v>
      </c>
      <c r="AZ1599" s="394">
        <v>0</v>
      </c>
      <c r="BA1599" s="394">
        <v>1.00349</v>
      </c>
      <c r="BB1599" s="394">
        <v>7.46462</v>
      </c>
      <c r="BC1599" s="394"/>
      <c r="BD1599" s="381" t="s">
        <v>167</v>
      </c>
      <c r="BE1599" s="408" t="s">
        <v>175</v>
      </c>
      <c r="BF1599" s="385"/>
      <c r="BG1599" s="475">
        <v>735</v>
      </c>
      <c r="BH1599" s="395"/>
      <c r="BI1599" s="395">
        <f t="shared" si="986"/>
        <v>12.721909999999999</v>
      </c>
    </row>
    <row r="1600" spans="1:61" s="358" customFormat="1" ht="19.2" x14ac:dyDescent="0.3">
      <c r="A1600" s="359" t="s">
        <v>2009</v>
      </c>
      <c r="B1600" s="602" t="s">
        <v>6023</v>
      </c>
      <c r="C1600" s="548" t="s">
        <v>6024</v>
      </c>
      <c r="D1600" s="360">
        <v>0.22</v>
      </c>
      <c r="E1600" s="528"/>
      <c r="F1600" s="523"/>
      <c r="G1600" s="393"/>
      <c r="H1600" s="394"/>
      <c r="I1600" s="394"/>
      <c r="J1600" s="394"/>
      <c r="K1600" s="394"/>
      <c r="L1600" s="394"/>
      <c r="M1600" s="394"/>
      <c r="N1600" s="394"/>
      <c r="O1600" s="394"/>
      <c r="P1600" s="394"/>
      <c r="Q1600" s="394"/>
      <c r="R1600" s="381"/>
      <c r="S1600" s="408"/>
      <c r="T1600" s="385"/>
      <c r="U1600" s="475"/>
      <c r="V1600" s="395"/>
      <c r="W1600" s="395"/>
      <c r="X1600" s="528"/>
      <c r="Y1600" s="523"/>
      <c r="Z1600" s="393"/>
      <c r="AA1600" s="394"/>
      <c r="AB1600" s="394"/>
      <c r="AC1600" s="394"/>
      <c r="AD1600" s="394"/>
      <c r="AE1600" s="394"/>
      <c r="AF1600" s="394"/>
      <c r="AG1600" s="394"/>
      <c r="AH1600" s="394"/>
      <c r="AI1600" s="394"/>
      <c r="AJ1600" s="394"/>
      <c r="AK1600" s="381"/>
      <c r="AL1600" s="408"/>
      <c r="AM1600" s="385"/>
      <c r="AN1600" s="475"/>
      <c r="AO1600" s="395"/>
      <c r="AP1600" s="395"/>
      <c r="AQ1600" s="528"/>
      <c r="AR1600" s="523">
        <v>1</v>
      </c>
      <c r="AS1600" s="393"/>
      <c r="AT1600" s="600">
        <v>8.4930199999999996</v>
      </c>
      <c r="AU1600" s="394">
        <v>7.6027800000000001</v>
      </c>
      <c r="AV1600" s="394">
        <v>7.4764099999999996</v>
      </c>
      <c r="AW1600" s="394"/>
      <c r="AX1600" s="394"/>
      <c r="AY1600" s="394">
        <v>0</v>
      </c>
      <c r="AZ1600" s="394">
        <v>0</v>
      </c>
      <c r="BA1600" s="394">
        <v>0.20754</v>
      </c>
      <c r="BB1600" s="394">
        <v>7.4764099999999996</v>
      </c>
      <c r="BC1600" s="394"/>
      <c r="BD1600" s="381" t="s">
        <v>167</v>
      </c>
      <c r="BE1600" s="408" t="s">
        <v>175</v>
      </c>
      <c r="BF1600" s="385"/>
      <c r="BG1600" s="475">
        <v>736</v>
      </c>
      <c r="BH1600" s="395"/>
      <c r="BI1600" s="395">
        <f t="shared" ref="BI1600" si="990">AT1600/AR1600</f>
        <v>8.4930199999999996</v>
      </c>
    </row>
    <row r="1601" spans="1:61" s="358" customFormat="1" ht="19.2" x14ac:dyDescent="0.3">
      <c r="A1601" s="359" t="s">
        <v>2010</v>
      </c>
      <c r="B1601" s="602" t="s">
        <v>6025</v>
      </c>
      <c r="C1601" s="548" t="s">
        <v>6026</v>
      </c>
      <c r="D1601" s="360">
        <v>0.22</v>
      </c>
      <c r="E1601" s="528"/>
      <c r="F1601" s="523"/>
      <c r="G1601" s="393"/>
      <c r="H1601" s="394"/>
      <c r="I1601" s="394"/>
      <c r="J1601" s="394"/>
      <c r="K1601" s="394"/>
      <c r="L1601" s="394"/>
      <c r="M1601" s="394"/>
      <c r="N1601" s="394"/>
      <c r="O1601" s="394"/>
      <c r="P1601" s="394"/>
      <c r="Q1601" s="394"/>
      <c r="R1601" s="381"/>
      <c r="S1601" s="408"/>
      <c r="T1601" s="385"/>
      <c r="U1601" s="475"/>
      <c r="V1601" s="395"/>
      <c r="W1601" s="395"/>
      <c r="X1601" s="528"/>
      <c r="Y1601" s="523"/>
      <c r="Z1601" s="393"/>
      <c r="AA1601" s="394"/>
      <c r="AB1601" s="394"/>
      <c r="AC1601" s="394"/>
      <c r="AD1601" s="394"/>
      <c r="AE1601" s="394"/>
      <c r="AF1601" s="394"/>
      <c r="AG1601" s="394"/>
      <c r="AH1601" s="394"/>
      <c r="AI1601" s="394"/>
      <c r="AJ1601" s="394"/>
      <c r="AK1601" s="381"/>
      <c r="AL1601" s="408"/>
      <c r="AM1601" s="385"/>
      <c r="AN1601" s="475"/>
      <c r="AO1601" s="395"/>
      <c r="AP1601" s="395"/>
      <c r="AQ1601" s="528"/>
      <c r="AR1601" s="523">
        <v>1</v>
      </c>
      <c r="AS1601" s="393"/>
      <c r="AT1601" s="600">
        <v>12.721909999999999</v>
      </c>
      <c r="AU1601" s="394">
        <v>8.4174699999999998</v>
      </c>
      <c r="AV1601" s="394">
        <v>7.46462</v>
      </c>
      <c r="AW1601" s="394"/>
      <c r="AX1601" s="394"/>
      <c r="AY1601" s="394">
        <v>0</v>
      </c>
      <c r="AZ1601" s="394">
        <v>0</v>
      </c>
      <c r="BA1601" s="394">
        <v>1.00349</v>
      </c>
      <c r="BB1601" s="394">
        <v>7.46462</v>
      </c>
      <c r="BC1601" s="394"/>
      <c r="BD1601" s="381" t="s">
        <v>167</v>
      </c>
      <c r="BE1601" s="408" t="s">
        <v>175</v>
      </c>
      <c r="BF1601" s="385"/>
      <c r="BG1601" s="475">
        <v>737</v>
      </c>
      <c r="BH1601" s="395"/>
      <c r="BI1601" s="395">
        <f t="shared" si="986"/>
        <v>12.721909999999999</v>
      </c>
    </row>
    <row r="1602" spans="1:61" s="358" customFormat="1" ht="19.2" x14ac:dyDescent="0.3">
      <c r="A1602" s="359" t="s">
        <v>2011</v>
      </c>
      <c r="B1602" s="602" t="s">
        <v>6027</v>
      </c>
      <c r="C1602" s="548" t="s">
        <v>6028</v>
      </c>
      <c r="D1602" s="360">
        <v>0.22</v>
      </c>
      <c r="E1602" s="528"/>
      <c r="F1602" s="523"/>
      <c r="G1602" s="393"/>
      <c r="H1602" s="394"/>
      <c r="I1602" s="394"/>
      <c r="J1602" s="394"/>
      <c r="K1602" s="394"/>
      <c r="L1602" s="394"/>
      <c r="M1602" s="394"/>
      <c r="N1602" s="394"/>
      <c r="O1602" s="394"/>
      <c r="P1602" s="394"/>
      <c r="Q1602" s="394"/>
      <c r="R1602" s="381"/>
      <c r="S1602" s="408"/>
      <c r="T1602" s="385"/>
      <c r="U1602" s="475"/>
      <c r="V1602" s="395"/>
      <c r="W1602" s="395"/>
      <c r="X1602" s="528"/>
      <c r="Y1602" s="523"/>
      <c r="Z1602" s="393"/>
      <c r="AA1602" s="394"/>
      <c r="AB1602" s="394"/>
      <c r="AC1602" s="394"/>
      <c r="AD1602" s="394"/>
      <c r="AE1602" s="394"/>
      <c r="AF1602" s="394"/>
      <c r="AG1602" s="394"/>
      <c r="AH1602" s="394"/>
      <c r="AI1602" s="394"/>
      <c r="AJ1602" s="394"/>
      <c r="AK1602" s="381"/>
      <c r="AL1602" s="408"/>
      <c r="AM1602" s="385"/>
      <c r="AN1602" s="475"/>
      <c r="AO1602" s="395"/>
      <c r="AP1602" s="395"/>
      <c r="AQ1602" s="528"/>
      <c r="AR1602" s="523">
        <v>1</v>
      </c>
      <c r="AS1602" s="393"/>
      <c r="AT1602" s="600">
        <v>8.4930199999999996</v>
      </c>
      <c r="AU1602" s="394">
        <v>7.6027800000000001</v>
      </c>
      <c r="AV1602" s="394">
        <v>7.4764099999999996</v>
      </c>
      <c r="AW1602" s="394"/>
      <c r="AX1602" s="394"/>
      <c r="AY1602" s="394">
        <v>0</v>
      </c>
      <c r="AZ1602" s="394">
        <v>0</v>
      </c>
      <c r="BA1602" s="394">
        <v>0.20754</v>
      </c>
      <c r="BB1602" s="394">
        <v>7.4764099999999996</v>
      </c>
      <c r="BC1602" s="394"/>
      <c r="BD1602" s="381" t="s">
        <v>167</v>
      </c>
      <c r="BE1602" s="408" t="s">
        <v>175</v>
      </c>
      <c r="BF1602" s="385"/>
      <c r="BG1602" s="475">
        <v>738</v>
      </c>
      <c r="BH1602" s="395"/>
      <c r="BI1602" s="395">
        <f t="shared" ref="BI1602" si="991">AT1602/AR1602</f>
        <v>8.4930199999999996</v>
      </c>
    </row>
    <row r="1603" spans="1:61" s="358" customFormat="1" ht="19.2" x14ac:dyDescent="0.3">
      <c r="A1603" s="359" t="s">
        <v>2012</v>
      </c>
      <c r="B1603" s="602" t="s">
        <v>4213</v>
      </c>
      <c r="C1603" s="548" t="s">
        <v>6029</v>
      </c>
      <c r="D1603" s="360">
        <v>0.22</v>
      </c>
      <c r="E1603" s="528"/>
      <c r="F1603" s="523"/>
      <c r="G1603" s="393"/>
      <c r="H1603" s="394"/>
      <c r="I1603" s="394"/>
      <c r="J1603" s="394"/>
      <c r="K1603" s="394"/>
      <c r="L1603" s="394"/>
      <c r="M1603" s="394"/>
      <c r="N1603" s="394"/>
      <c r="O1603" s="394"/>
      <c r="P1603" s="394"/>
      <c r="Q1603" s="394"/>
      <c r="R1603" s="381"/>
      <c r="S1603" s="408"/>
      <c r="T1603" s="385"/>
      <c r="U1603" s="475"/>
      <c r="V1603" s="395"/>
      <c r="W1603" s="395"/>
      <c r="X1603" s="528"/>
      <c r="Y1603" s="523"/>
      <c r="Z1603" s="393"/>
      <c r="AA1603" s="394"/>
      <c r="AB1603" s="394"/>
      <c r="AC1603" s="394"/>
      <c r="AD1603" s="394"/>
      <c r="AE1603" s="394"/>
      <c r="AF1603" s="394"/>
      <c r="AG1603" s="394"/>
      <c r="AH1603" s="394"/>
      <c r="AI1603" s="394"/>
      <c r="AJ1603" s="394"/>
      <c r="AK1603" s="381"/>
      <c r="AL1603" s="408"/>
      <c r="AM1603" s="385"/>
      <c r="AN1603" s="475"/>
      <c r="AO1603" s="395"/>
      <c r="AP1603" s="395"/>
      <c r="AQ1603" s="528"/>
      <c r="AR1603" s="523">
        <v>1</v>
      </c>
      <c r="AS1603" s="393"/>
      <c r="AT1603" s="600">
        <v>8.4930199999999996</v>
      </c>
      <c r="AU1603" s="394">
        <v>7.6027800000000001</v>
      </c>
      <c r="AV1603" s="394">
        <v>7.4764099999999996</v>
      </c>
      <c r="AW1603" s="394"/>
      <c r="AX1603" s="394"/>
      <c r="AY1603" s="394">
        <v>0</v>
      </c>
      <c r="AZ1603" s="394">
        <v>0</v>
      </c>
      <c r="BA1603" s="394">
        <v>0.20754</v>
      </c>
      <c r="BB1603" s="394">
        <v>7.4764099999999996</v>
      </c>
      <c r="BC1603" s="394"/>
      <c r="BD1603" s="381" t="s">
        <v>167</v>
      </c>
      <c r="BE1603" s="408" t="s">
        <v>175</v>
      </c>
      <c r="BF1603" s="385"/>
      <c r="BG1603" s="475">
        <v>739</v>
      </c>
      <c r="BH1603" s="395"/>
      <c r="BI1603" s="395">
        <f t="shared" si="986"/>
        <v>8.4930199999999996</v>
      </c>
    </row>
    <row r="1604" spans="1:61" s="358" customFormat="1" ht="19.2" x14ac:dyDescent="0.3">
      <c r="A1604" s="359" t="s">
        <v>2013</v>
      </c>
      <c r="B1604" s="602" t="s">
        <v>6030</v>
      </c>
      <c r="C1604" s="548" t="s">
        <v>6031</v>
      </c>
      <c r="D1604" s="360">
        <v>0.22</v>
      </c>
      <c r="E1604" s="528"/>
      <c r="F1604" s="523"/>
      <c r="G1604" s="393"/>
      <c r="H1604" s="394"/>
      <c r="I1604" s="394"/>
      <c r="J1604" s="394"/>
      <c r="K1604" s="394"/>
      <c r="L1604" s="394"/>
      <c r="M1604" s="394"/>
      <c r="N1604" s="394"/>
      <c r="O1604" s="394"/>
      <c r="P1604" s="394"/>
      <c r="Q1604" s="394"/>
      <c r="R1604" s="381"/>
      <c r="S1604" s="408"/>
      <c r="T1604" s="385"/>
      <c r="U1604" s="475"/>
      <c r="V1604" s="395"/>
      <c r="W1604" s="395"/>
      <c r="X1604" s="528"/>
      <c r="Y1604" s="523"/>
      <c r="Z1604" s="393"/>
      <c r="AA1604" s="394"/>
      <c r="AB1604" s="394"/>
      <c r="AC1604" s="394"/>
      <c r="AD1604" s="394"/>
      <c r="AE1604" s="394"/>
      <c r="AF1604" s="394"/>
      <c r="AG1604" s="394"/>
      <c r="AH1604" s="394"/>
      <c r="AI1604" s="394"/>
      <c r="AJ1604" s="394"/>
      <c r="AK1604" s="381"/>
      <c r="AL1604" s="408"/>
      <c r="AM1604" s="385"/>
      <c r="AN1604" s="475"/>
      <c r="AO1604" s="395"/>
      <c r="AP1604" s="395"/>
      <c r="AQ1604" s="528"/>
      <c r="AR1604" s="523">
        <v>1</v>
      </c>
      <c r="AS1604" s="393"/>
      <c r="AT1604" s="600">
        <v>8.4930199999999996</v>
      </c>
      <c r="AU1604" s="394">
        <v>7.6027800000000001</v>
      </c>
      <c r="AV1604" s="394">
        <v>7.4764099999999996</v>
      </c>
      <c r="AW1604" s="394"/>
      <c r="AX1604" s="394"/>
      <c r="AY1604" s="394">
        <v>0</v>
      </c>
      <c r="AZ1604" s="394">
        <v>0</v>
      </c>
      <c r="BA1604" s="394">
        <v>0.20754</v>
      </c>
      <c r="BB1604" s="394">
        <v>7.4764099999999996</v>
      </c>
      <c r="BC1604" s="394"/>
      <c r="BD1604" s="381" t="s">
        <v>167</v>
      </c>
      <c r="BE1604" s="408" t="s">
        <v>175</v>
      </c>
      <c r="BF1604" s="385"/>
      <c r="BG1604" s="475">
        <v>740</v>
      </c>
      <c r="BH1604" s="395"/>
      <c r="BI1604" s="395">
        <f t="shared" ref="BI1604" si="992">AT1604/AR1604</f>
        <v>8.4930199999999996</v>
      </c>
    </row>
    <row r="1605" spans="1:61" s="358" customFormat="1" ht="19.2" x14ac:dyDescent="0.3">
      <c r="A1605" s="359" t="s">
        <v>2014</v>
      </c>
      <c r="B1605" s="602" t="s">
        <v>6032</v>
      </c>
      <c r="C1605" s="548" t="s">
        <v>6033</v>
      </c>
      <c r="D1605" s="360">
        <v>0.22</v>
      </c>
      <c r="E1605" s="528"/>
      <c r="F1605" s="523"/>
      <c r="G1605" s="393"/>
      <c r="H1605" s="394"/>
      <c r="I1605" s="394"/>
      <c r="J1605" s="394"/>
      <c r="K1605" s="394"/>
      <c r="L1605" s="394"/>
      <c r="M1605" s="394"/>
      <c r="N1605" s="394"/>
      <c r="O1605" s="394"/>
      <c r="P1605" s="394"/>
      <c r="Q1605" s="394"/>
      <c r="R1605" s="381"/>
      <c r="S1605" s="408"/>
      <c r="T1605" s="385"/>
      <c r="U1605" s="475"/>
      <c r="V1605" s="395"/>
      <c r="W1605" s="395"/>
      <c r="X1605" s="528"/>
      <c r="Y1605" s="523"/>
      <c r="Z1605" s="393"/>
      <c r="AA1605" s="394"/>
      <c r="AB1605" s="394"/>
      <c r="AC1605" s="394"/>
      <c r="AD1605" s="394"/>
      <c r="AE1605" s="394"/>
      <c r="AF1605" s="394"/>
      <c r="AG1605" s="394"/>
      <c r="AH1605" s="394"/>
      <c r="AI1605" s="394"/>
      <c r="AJ1605" s="394"/>
      <c r="AK1605" s="381"/>
      <c r="AL1605" s="408"/>
      <c r="AM1605" s="385"/>
      <c r="AN1605" s="475"/>
      <c r="AO1605" s="395"/>
      <c r="AP1605" s="395"/>
      <c r="AQ1605" s="528"/>
      <c r="AR1605" s="523">
        <v>1</v>
      </c>
      <c r="AS1605" s="393"/>
      <c r="AT1605" s="600">
        <v>8.4930199999999996</v>
      </c>
      <c r="AU1605" s="394">
        <v>7.6027800000000001</v>
      </c>
      <c r="AV1605" s="394">
        <v>7.4764099999999996</v>
      </c>
      <c r="AW1605" s="394"/>
      <c r="AX1605" s="394"/>
      <c r="AY1605" s="394">
        <v>0</v>
      </c>
      <c r="AZ1605" s="394">
        <v>0</v>
      </c>
      <c r="BA1605" s="394">
        <v>0.20754</v>
      </c>
      <c r="BB1605" s="394">
        <v>7.4764099999999996</v>
      </c>
      <c r="BC1605" s="394"/>
      <c r="BD1605" s="381" t="s">
        <v>167</v>
      </c>
      <c r="BE1605" s="408" t="s">
        <v>175</v>
      </c>
      <c r="BF1605" s="385"/>
      <c r="BG1605" s="475">
        <v>741</v>
      </c>
      <c r="BH1605" s="395"/>
      <c r="BI1605" s="395">
        <f t="shared" si="986"/>
        <v>8.4930199999999996</v>
      </c>
    </row>
    <row r="1606" spans="1:61" s="358" customFormat="1" ht="19.2" x14ac:dyDescent="0.3">
      <c r="A1606" s="359" t="s">
        <v>2015</v>
      </c>
      <c r="B1606" s="602" t="s">
        <v>6034</v>
      </c>
      <c r="C1606" s="548" t="s">
        <v>6035</v>
      </c>
      <c r="D1606" s="360">
        <v>0.22</v>
      </c>
      <c r="E1606" s="528"/>
      <c r="F1606" s="523"/>
      <c r="G1606" s="393"/>
      <c r="H1606" s="394"/>
      <c r="I1606" s="394"/>
      <c r="J1606" s="394"/>
      <c r="K1606" s="394"/>
      <c r="L1606" s="394"/>
      <c r="M1606" s="394"/>
      <c r="N1606" s="394"/>
      <c r="O1606" s="394"/>
      <c r="P1606" s="394"/>
      <c r="Q1606" s="394"/>
      <c r="R1606" s="381"/>
      <c r="S1606" s="408"/>
      <c r="T1606" s="385"/>
      <c r="U1606" s="475"/>
      <c r="V1606" s="395"/>
      <c r="W1606" s="395"/>
      <c r="X1606" s="528"/>
      <c r="Y1606" s="523"/>
      <c r="Z1606" s="393"/>
      <c r="AA1606" s="394"/>
      <c r="AB1606" s="394"/>
      <c r="AC1606" s="394"/>
      <c r="AD1606" s="394"/>
      <c r="AE1606" s="394"/>
      <c r="AF1606" s="394"/>
      <c r="AG1606" s="394"/>
      <c r="AH1606" s="394"/>
      <c r="AI1606" s="394"/>
      <c r="AJ1606" s="394"/>
      <c r="AK1606" s="381"/>
      <c r="AL1606" s="408"/>
      <c r="AM1606" s="385"/>
      <c r="AN1606" s="475"/>
      <c r="AO1606" s="395"/>
      <c r="AP1606" s="395"/>
      <c r="AQ1606" s="528"/>
      <c r="AR1606" s="523">
        <v>1</v>
      </c>
      <c r="AS1606" s="393"/>
      <c r="AT1606" s="600">
        <v>12.721880000000001</v>
      </c>
      <c r="AU1606" s="394">
        <v>8.4174399999999991</v>
      </c>
      <c r="AV1606" s="394">
        <v>7.46462</v>
      </c>
      <c r="AW1606" s="394"/>
      <c r="AX1606" s="394"/>
      <c r="AY1606" s="394">
        <v>0</v>
      </c>
      <c r="AZ1606" s="394">
        <v>0</v>
      </c>
      <c r="BA1606" s="394">
        <v>1.00349</v>
      </c>
      <c r="BB1606" s="394">
        <v>7.46462</v>
      </c>
      <c r="BC1606" s="394"/>
      <c r="BD1606" s="381" t="s">
        <v>167</v>
      </c>
      <c r="BE1606" s="408" t="s">
        <v>175</v>
      </c>
      <c r="BF1606" s="385"/>
      <c r="BG1606" s="475">
        <v>742</v>
      </c>
      <c r="BH1606" s="395"/>
      <c r="BI1606" s="395">
        <f t="shared" ref="BI1606" si="993">AT1606/AR1606</f>
        <v>12.721880000000001</v>
      </c>
    </row>
    <row r="1607" spans="1:61" s="358" customFormat="1" ht="19.2" x14ac:dyDescent="0.3">
      <c r="A1607" s="359" t="s">
        <v>2016</v>
      </c>
      <c r="B1607" s="602" t="s">
        <v>4878</v>
      </c>
      <c r="C1607" s="548" t="s">
        <v>4877</v>
      </c>
      <c r="D1607" s="360">
        <v>0.22</v>
      </c>
      <c r="E1607" s="528"/>
      <c r="F1607" s="523"/>
      <c r="G1607" s="393"/>
      <c r="H1607" s="394"/>
      <c r="I1607" s="394"/>
      <c r="J1607" s="394"/>
      <c r="K1607" s="394"/>
      <c r="L1607" s="394"/>
      <c r="M1607" s="394"/>
      <c r="N1607" s="394"/>
      <c r="O1607" s="394"/>
      <c r="P1607" s="394"/>
      <c r="Q1607" s="394"/>
      <c r="R1607" s="381"/>
      <c r="S1607" s="408"/>
      <c r="T1607" s="385"/>
      <c r="U1607" s="475"/>
      <c r="V1607" s="395"/>
      <c r="W1607" s="395"/>
      <c r="X1607" s="528"/>
      <c r="Y1607" s="523"/>
      <c r="Z1607" s="393"/>
      <c r="AA1607" s="394"/>
      <c r="AB1607" s="394"/>
      <c r="AC1607" s="394"/>
      <c r="AD1607" s="394"/>
      <c r="AE1607" s="394"/>
      <c r="AF1607" s="394"/>
      <c r="AG1607" s="394"/>
      <c r="AH1607" s="394"/>
      <c r="AI1607" s="394"/>
      <c r="AJ1607" s="394"/>
      <c r="AK1607" s="381"/>
      <c r="AL1607" s="408"/>
      <c r="AM1607" s="385"/>
      <c r="AN1607" s="475"/>
      <c r="AO1607" s="395"/>
      <c r="AP1607" s="395"/>
      <c r="AQ1607" s="528"/>
      <c r="AR1607" s="523">
        <v>1</v>
      </c>
      <c r="AS1607" s="393"/>
      <c r="AT1607" s="600">
        <v>12.721920000000001</v>
      </c>
      <c r="AU1607" s="394">
        <v>8.4174799999999994</v>
      </c>
      <c r="AV1607" s="394">
        <v>7.46462</v>
      </c>
      <c r="AW1607" s="394"/>
      <c r="AX1607" s="394"/>
      <c r="AY1607" s="394">
        <v>0</v>
      </c>
      <c r="AZ1607" s="394">
        <v>0</v>
      </c>
      <c r="BA1607" s="394">
        <v>1.00349</v>
      </c>
      <c r="BB1607" s="394">
        <v>7.46462</v>
      </c>
      <c r="BC1607" s="394"/>
      <c r="BD1607" s="381" t="s">
        <v>167</v>
      </c>
      <c r="BE1607" s="408" t="s">
        <v>175</v>
      </c>
      <c r="BF1607" s="385"/>
      <c r="BG1607" s="475">
        <v>743</v>
      </c>
      <c r="BH1607" s="395"/>
      <c r="BI1607" s="395">
        <f t="shared" si="986"/>
        <v>12.721920000000001</v>
      </c>
    </row>
    <row r="1608" spans="1:61" s="358" customFormat="1" ht="19.2" x14ac:dyDescent="0.3">
      <c r="A1608" s="359" t="s">
        <v>2017</v>
      </c>
      <c r="B1608" s="602" t="s">
        <v>6036</v>
      </c>
      <c r="C1608" s="548" t="s">
        <v>6037</v>
      </c>
      <c r="D1608" s="360">
        <v>0.22</v>
      </c>
      <c r="E1608" s="528"/>
      <c r="F1608" s="523"/>
      <c r="G1608" s="393"/>
      <c r="H1608" s="394"/>
      <c r="I1608" s="394"/>
      <c r="J1608" s="394"/>
      <c r="K1608" s="394"/>
      <c r="L1608" s="394"/>
      <c r="M1608" s="394"/>
      <c r="N1608" s="394"/>
      <c r="O1608" s="394"/>
      <c r="P1608" s="394"/>
      <c r="Q1608" s="394"/>
      <c r="R1608" s="381"/>
      <c r="S1608" s="408"/>
      <c r="T1608" s="385"/>
      <c r="U1608" s="475"/>
      <c r="V1608" s="395"/>
      <c r="W1608" s="395"/>
      <c r="X1608" s="528"/>
      <c r="Y1608" s="523"/>
      <c r="Z1608" s="393"/>
      <c r="AA1608" s="394"/>
      <c r="AB1608" s="394"/>
      <c r="AC1608" s="394"/>
      <c r="AD1608" s="394"/>
      <c r="AE1608" s="394"/>
      <c r="AF1608" s="394"/>
      <c r="AG1608" s="394"/>
      <c r="AH1608" s="394"/>
      <c r="AI1608" s="394"/>
      <c r="AJ1608" s="394"/>
      <c r="AK1608" s="381"/>
      <c r="AL1608" s="408"/>
      <c r="AM1608" s="385"/>
      <c r="AN1608" s="475"/>
      <c r="AO1608" s="395"/>
      <c r="AP1608" s="395"/>
      <c r="AQ1608" s="528"/>
      <c r="AR1608" s="523">
        <v>1</v>
      </c>
      <c r="AS1608" s="393"/>
      <c r="AT1608" s="600">
        <v>12.72186</v>
      </c>
      <c r="AU1608" s="394">
        <v>8.4174199999999999</v>
      </c>
      <c r="AV1608" s="394">
        <v>7.46462</v>
      </c>
      <c r="AW1608" s="394"/>
      <c r="AX1608" s="394"/>
      <c r="AY1608" s="394">
        <v>0</v>
      </c>
      <c r="AZ1608" s="394">
        <v>0</v>
      </c>
      <c r="BA1608" s="394">
        <v>1.00349</v>
      </c>
      <c r="BB1608" s="394">
        <v>7.46462</v>
      </c>
      <c r="BC1608" s="394"/>
      <c r="BD1608" s="381" t="s">
        <v>167</v>
      </c>
      <c r="BE1608" s="408" t="s">
        <v>175</v>
      </c>
      <c r="BF1608" s="385"/>
      <c r="BG1608" s="475">
        <v>744</v>
      </c>
      <c r="BH1608" s="395"/>
      <c r="BI1608" s="395">
        <f t="shared" si="975"/>
        <v>12.72186</v>
      </c>
    </row>
    <row r="1609" spans="1:61" s="358" customFormat="1" ht="19.2" x14ac:dyDescent="0.3">
      <c r="A1609" s="359" t="s">
        <v>2018</v>
      </c>
      <c r="B1609" s="602" t="s">
        <v>1826</v>
      </c>
      <c r="C1609" s="548" t="s">
        <v>6038</v>
      </c>
      <c r="D1609" s="360">
        <v>0.22</v>
      </c>
      <c r="E1609" s="528"/>
      <c r="F1609" s="523"/>
      <c r="G1609" s="393"/>
      <c r="H1609" s="394"/>
      <c r="I1609" s="394"/>
      <c r="J1609" s="394"/>
      <c r="K1609" s="394"/>
      <c r="L1609" s="394"/>
      <c r="M1609" s="394"/>
      <c r="N1609" s="394"/>
      <c r="O1609" s="394"/>
      <c r="P1609" s="394"/>
      <c r="Q1609" s="394"/>
      <c r="R1609" s="381"/>
      <c r="S1609" s="408"/>
      <c r="T1609" s="385"/>
      <c r="U1609" s="475"/>
      <c r="V1609" s="395"/>
      <c r="W1609" s="395"/>
      <c r="X1609" s="528"/>
      <c r="Y1609" s="523"/>
      <c r="Z1609" s="393"/>
      <c r="AA1609" s="394"/>
      <c r="AB1609" s="394"/>
      <c r="AC1609" s="394"/>
      <c r="AD1609" s="394"/>
      <c r="AE1609" s="394"/>
      <c r="AF1609" s="394"/>
      <c r="AG1609" s="394"/>
      <c r="AH1609" s="394"/>
      <c r="AI1609" s="394"/>
      <c r="AJ1609" s="394"/>
      <c r="AK1609" s="381"/>
      <c r="AL1609" s="408"/>
      <c r="AM1609" s="385"/>
      <c r="AN1609" s="475"/>
      <c r="AO1609" s="395"/>
      <c r="AP1609" s="395"/>
      <c r="AQ1609" s="528"/>
      <c r="AR1609" s="523">
        <v>1</v>
      </c>
      <c r="AS1609" s="393"/>
      <c r="AT1609" s="600">
        <v>8.4930199999999996</v>
      </c>
      <c r="AU1609" s="394">
        <v>7.6027800000000001</v>
      </c>
      <c r="AV1609" s="394">
        <v>7.4764099999999996</v>
      </c>
      <c r="AW1609" s="394"/>
      <c r="AX1609" s="394"/>
      <c r="AY1609" s="394">
        <v>0</v>
      </c>
      <c r="AZ1609" s="394">
        <v>0</v>
      </c>
      <c r="BA1609" s="394">
        <v>0.20754</v>
      </c>
      <c r="BB1609" s="394">
        <v>7.4764099999999996</v>
      </c>
      <c r="BC1609" s="394"/>
      <c r="BD1609" s="381" t="s">
        <v>167</v>
      </c>
      <c r="BE1609" s="408" t="s">
        <v>175</v>
      </c>
      <c r="BF1609" s="385"/>
      <c r="BG1609" s="475">
        <v>745</v>
      </c>
      <c r="BH1609" s="395"/>
      <c r="BI1609" s="395">
        <f t="shared" ref="BI1609" si="994">AT1609/AR1609</f>
        <v>8.4930199999999996</v>
      </c>
    </row>
    <row r="1610" spans="1:61" s="358" customFormat="1" ht="19.2" x14ac:dyDescent="0.3">
      <c r="A1610" s="359" t="s">
        <v>2019</v>
      </c>
      <c r="B1610" s="602" t="s">
        <v>6039</v>
      </c>
      <c r="C1610" s="548" t="s">
        <v>6040</v>
      </c>
      <c r="D1610" s="360">
        <v>0.22</v>
      </c>
      <c r="E1610" s="528"/>
      <c r="F1610" s="523"/>
      <c r="G1610" s="393"/>
      <c r="H1610" s="394"/>
      <c r="I1610" s="394"/>
      <c r="J1610" s="394"/>
      <c r="K1610" s="394"/>
      <c r="L1610" s="394"/>
      <c r="M1610" s="394"/>
      <c r="N1610" s="394"/>
      <c r="O1610" s="394"/>
      <c r="P1610" s="394"/>
      <c r="Q1610" s="394"/>
      <c r="R1610" s="381"/>
      <c r="S1610" s="408"/>
      <c r="T1610" s="385"/>
      <c r="U1610" s="475"/>
      <c r="V1610" s="395"/>
      <c r="W1610" s="395"/>
      <c r="X1610" s="528"/>
      <c r="Y1610" s="523"/>
      <c r="Z1610" s="393"/>
      <c r="AA1610" s="394"/>
      <c r="AB1610" s="394"/>
      <c r="AC1610" s="394"/>
      <c r="AD1610" s="394"/>
      <c r="AE1610" s="394"/>
      <c r="AF1610" s="394"/>
      <c r="AG1610" s="394"/>
      <c r="AH1610" s="394"/>
      <c r="AI1610" s="394"/>
      <c r="AJ1610" s="394"/>
      <c r="AK1610" s="381"/>
      <c r="AL1610" s="408"/>
      <c r="AM1610" s="385"/>
      <c r="AN1610" s="475"/>
      <c r="AO1610" s="395"/>
      <c r="AP1610" s="395"/>
      <c r="AQ1610" s="528"/>
      <c r="AR1610" s="523">
        <v>1</v>
      </c>
      <c r="AS1610" s="393"/>
      <c r="AT1610" s="600">
        <v>12.721880000000001</v>
      </c>
      <c r="AU1610" s="394">
        <v>8.4174399999999991</v>
      </c>
      <c r="AV1610" s="394">
        <v>7.46462</v>
      </c>
      <c r="AW1610" s="394"/>
      <c r="AX1610" s="394"/>
      <c r="AY1610" s="394">
        <v>0</v>
      </c>
      <c r="AZ1610" s="394">
        <v>0</v>
      </c>
      <c r="BA1610" s="394">
        <v>1.00349</v>
      </c>
      <c r="BB1610" s="394">
        <v>7.46462</v>
      </c>
      <c r="BC1610" s="394"/>
      <c r="BD1610" s="381" t="s">
        <v>167</v>
      </c>
      <c r="BE1610" s="408" t="s">
        <v>175</v>
      </c>
      <c r="BF1610" s="385"/>
      <c r="BG1610" s="475">
        <v>746</v>
      </c>
      <c r="BH1610" s="395"/>
      <c r="BI1610" s="395">
        <f t="shared" si="975"/>
        <v>12.721880000000001</v>
      </c>
    </row>
    <row r="1611" spans="1:61" s="358" customFormat="1" ht="19.2" x14ac:dyDescent="0.3">
      <c r="A1611" s="359" t="s">
        <v>2020</v>
      </c>
      <c r="B1611" s="602" t="s">
        <v>6140</v>
      </c>
      <c r="C1611" s="609" t="s">
        <v>6141</v>
      </c>
      <c r="D1611" s="360">
        <v>0.22</v>
      </c>
      <c r="E1611" s="528"/>
      <c r="F1611" s="523"/>
      <c r="G1611" s="393"/>
      <c r="H1611" s="394"/>
      <c r="I1611" s="394"/>
      <c r="J1611" s="394"/>
      <c r="K1611" s="394"/>
      <c r="L1611" s="394"/>
      <c r="M1611" s="394"/>
      <c r="N1611" s="394"/>
      <c r="O1611" s="394"/>
      <c r="P1611" s="394"/>
      <c r="Q1611" s="394"/>
      <c r="R1611" s="381"/>
      <c r="S1611" s="408"/>
      <c r="T1611" s="385"/>
      <c r="U1611" s="475"/>
      <c r="V1611" s="395"/>
      <c r="W1611" s="395"/>
      <c r="X1611" s="528"/>
      <c r="Y1611" s="523"/>
      <c r="Z1611" s="393"/>
      <c r="AA1611" s="394"/>
      <c r="AB1611" s="394"/>
      <c r="AC1611" s="394"/>
      <c r="AD1611" s="394"/>
      <c r="AE1611" s="394"/>
      <c r="AF1611" s="394"/>
      <c r="AG1611" s="394"/>
      <c r="AH1611" s="394"/>
      <c r="AI1611" s="394"/>
      <c r="AJ1611" s="394"/>
      <c r="AK1611" s="381"/>
      <c r="AL1611" s="408"/>
      <c r="AM1611" s="385"/>
      <c r="AN1611" s="475"/>
      <c r="AO1611" s="395"/>
      <c r="AP1611" s="395"/>
      <c r="AQ1611" s="528"/>
      <c r="AR1611" s="523">
        <v>1</v>
      </c>
      <c r="AS1611" s="393"/>
      <c r="AT1611" s="600">
        <v>8.4957200000000004</v>
      </c>
      <c r="AU1611" s="394">
        <v>7.60548</v>
      </c>
      <c r="AV1611" s="394">
        <v>7.4791100000000004</v>
      </c>
      <c r="AW1611" s="394"/>
      <c r="AX1611" s="394"/>
      <c r="AY1611" s="394">
        <v>0</v>
      </c>
      <c r="AZ1611" s="394">
        <v>0</v>
      </c>
      <c r="BA1611" s="394">
        <v>0.20754</v>
      </c>
      <c r="BB1611" s="394">
        <v>7.4791100000000004</v>
      </c>
      <c r="BC1611" s="394"/>
      <c r="BD1611" s="381" t="s">
        <v>167</v>
      </c>
      <c r="BE1611" s="408" t="s">
        <v>175</v>
      </c>
      <c r="BF1611" s="385"/>
      <c r="BG1611" s="475">
        <v>747</v>
      </c>
      <c r="BH1611" s="395"/>
      <c r="BI1611" s="395">
        <f t="shared" ref="BI1611:BI1621" si="995">AT1611/AR1611</f>
        <v>8.4957200000000004</v>
      </c>
    </row>
    <row r="1612" spans="1:61" s="358" customFormat="1" ht="19.2" x14ac:dyDescent="0.3">
      <c r="A1612" s="359" t="s">
        <v>2021</v>
      </c>
      <c r="B1612" s="602" t="s">
        <v>6142</v>
      </c>
      <c r="C1612" s="548" t="s">
        <v>6143</v>
      </c>
      <c r="D1612" s="360">
        <v>0.22</v>
      </c>
      <c r="E1612" s="528"/>
      <c r="F1612" s="523"/>
      <c r="G1612" s="393"/>
      <c r="H1612" s="394"/>
      <c r="I1612" s="394"/>
      <c r="J1612" s="394"/>
      <c r="K1612" s="394"/>
      <c r="L1612" s="394"/>
      <c r="M1612" s="394"/>
      <c r="N1612" s="394"/>
      <c r="O1612" s="394"/>
      <c r="P1612" s="394"/>
      <c r="Q1612" s="394"/>
      <c r="R1612" s="381"/>
      <c r="S1612" s="408"/>
      <c r="T1612" s="385"/>
      <c r="U1612" s="475"/>
      <c r="V1612" s="395"/>
      <c r="W1612" s="395"/>
      <c r="X1612" s="528"/>
      <c r="Y1612" s="523"/>
      <c r="Z1612" s="393"/>
      <c r="AA1612" s="394"/>
      <c r="AB1612" s="394"/>
      <c r="AC1612" s="394"/>
      <c r="AD1612" s="394"/>
      <c r="AE1612" s="394"/>
      <c r="AF1612" s="394"/>
      <c r="AG1612" s="394"/>
      <c r="AH1612" s="394"/>
      <c r="AI1612" s="394"/>
      <c r="AJ1612" s="394"/>
      <c r="AK1612" s="381"/>
      <c r="AL1612" s="408"/>
      <c r="AM1612" s="385"/>
      <c r="AN1612" s="475"/>
      <c r="AO1612" s="395"/>
      <c r="AP1612" s="395"/>
      <c r="AQ1612" s="528"/>
      <c r="AR1612" s="523">
        <v>1</v>
      </c>
      <c r="AS1612" s="393"/>
      <c r="AT1612" s="600">
        <v>12.763210000000001</v>
      </c>
      <c r="AU1612" s="394">
        <v>8.4587699999999995</v>
      </c>
      <c r="AV1612" s="394">
        <v>7.4790700000000001</v>
      </c>
      <c r="AW1612" s="394"/>
      <c r="AX1612" s="394"/>
      <c r="AY1612" s="394">
        <v>0</v>
      </c>
      <c r="AZ1612" s="394">
        <v>0</v>
      </c>
      <c r="BA1612" s="394">
        <v>1.00349</v>
      </c>
      <c r="BB1612" s="394">
        <v>7.4790700000000001</v>
      </c>
      <c r="BC1612" s="394"/>
      <c r="BD1612" s="381" t="s">
        <v>167</v>
      </c>
      <c r="BE1612" s="408" t="s">
        <v>175</v>
      </c>
      <c r="BF1612" s="385"/>
      <c r="BG1612" s="475">
        <v>748</v>
      </c>
      <c r="BH1612" s="395"/>
      <c r="BI1612" s="395">
        <f t="shared" ref="BI1612:BI1615" si="996">AT1612/AR1612</f>
        <v>12.763210000000001</v>
      </c>
    </row>
    <row r="1613" spans="1:61" s="358" customFormat="1" ht="19.2" x14ac:dyDescent="0.3">
      <c r="A1613" s="359" t="s">
        <v>2022</v>
      </c>
      <c r="B1613" s="602" t="s">
        <v>4923</v>
      </c>
      <c r="C1613" s="548" t="s">
        <v>4922</v>
      </c>
      <c r="D1613" s="360">
        <v>0.22</v>
      </c>
      <c r="E1613" s="528"/>
      <c r="F1613" s="523"/>
      <c r="G1613" s="393"/>
      <c r="H1613" s="394"/>
      <c r="I1613" s="394"/>
      <c r="J1613" s="394"/>
      <c r="K1613" s="394"/>
      <c r="L1613" s="394"/>
      <c r="M1613" s="394"/>
      <c r="N1613" s="394"/>
      <c r="O1613" s="394"/>
      <c r="P1613" s="394"/>
      <c r="Q1613" s="394"/>
      <c r="R1613" s="381"/>
      <c r="S1613" s="408"/>
      <c r="T1613" s="385"/>
      <c r="U1613" s="475"/>
      <c r="V1613" s="395"/>
      <c r="W1613" s="395"/>
      <c r="X1613" s="528"/>
      <c r="Y1613" s="523"/>
      <c r="Z1613" s="393"/>
      <c r="AA1613" s="394"/>
      <c r="AB1613" s="394"/>
      <c r="AC1613" s="394"/>
      <c r="AD1613" s="394"/>
      <c r="AE1613" s="394"/>
      <c r="AF1613" s="394"/>
      <c r="AG1613" s="394"/>
      <c r="AH1613" s="394"/>
      <c r="AI1613" s="394"/>
      <c r="AJ1613" s="394"/>
      <c r="AK1613" s="381"/>
      <c r="AL1613" s="408"/>
      <c r="AM1613" s="385"/>
      <c r="AN1613" s="475"/>
      <c r="AO1613" s="395"/>
      <c r="AP1613" s="395"/>
      <c r="AQ1613" s="528"/>
      <c r="AR1613" s="523">
        <v>1</v>
      </c>
      <c r="AS1613" s="393"/>
      <c r="AT1613" s="600">
        <v>12.763210000000001</v>
      </c>
      <c r="AU1613" s="394">
        <v>8.4587699999999995</v>
      </c>
      <c r="AV1613" s="394">
        <v>7.4790700000000001</v>
      </c>
      <c r="AW1613" s="394"/>
      <c r="AX1613" s="394"/>
      <c r="AY1613" s="394">
        <v>0</v>
      </c>
      <c r="AZ1613" s="394">
        <v>0</v>
      </c>
      <c r="BA1613" s="394">
        <v>1.00349</v>
      </c>
      <c r="BB1613" s="394">
        <v>7.4790700000000001</v>
      </c>
      <c r="BC1613" s="394"/>
      <c r="BD1613" s="381" t="s">
        <v>167</v>
      </c>
      <c r="BE1613" s="408" t="s">
        <v>175</v>
      </c>
      <c r="BF1613" s="385"/>
      <c r="BG1613" s="475">
        <v>749</v>
      </c>
      <c r="BH1613" s="395"/>
      <c r="BI1613" s="395">
        <f t="shared" si="996"/>
        <v>12.763210000000001</v>
      </c>
    </row>
    <row r="1614" spans="1:61" s="358" customFormat="1" ht="19.2" x14ac:dyDescent="0.3">
      <c r="A1614" s="359" t="s">
        <v>2023</v>
      </c>
      <c r="B1614" s="602" t="s">
        <v>6144</v>
      </c>
      <c r="C1614" s="548" t="s">
        <v>6145</v>
      </c>
      <c r="D1614" s="360">
        <v>0.22</v>
      </c>
      <c r="E1614" s="528"/>
      <c r="F1614" s="523"/>
      <c r="G1614" s="393"/>
      <c r="H1614" s="394"/>
      <c r="I1614" s="394"/>
      <c r="J1614" s="394"/>
      <c r="K1614" s="394"/>
      <c r="L1614" s="394"/>
      <c r="M1614" s="394"/>
      <c r="N1614" s="394"/>
      <c r="O1614" s="394"/>
      <c r="P1614" s="394"/>
      <c r="Q1614" s="394"/>
      <c r="R1614" s="381"/>
      <c r="S1614" s="408"/>
      <c r="T1614" s="385"/>
      <c r="U1614" s="475"/>
      <c r="V1614" s="395"/>
      <c r="W1614" s="395"/>
      <c r="X1614" s="528"/>
      <c r="Y1614" s="523"/>
      <c r="Z1614" s="393"/>
      <c r="AA1614" s="394"/>
      <c r="AB1614" s="394"/>
      <c r="AC1614" s="394"/>
      <c r="AD1614" s="394"/>
      <c r="AE1614" s="394"/>
      <c r="AF1614" s="394"/>
      <c r="AG1614" s="394"/>
      <c r="AH1614" s="394"/>
      <c r="AI1614" s="394"/>
      <c r="AJ1614" s="394"/>
      <c r="AK1614" s="381"/>
      <c r="AL1614" s="408"/>
      <c r="AM1614" s="385"/>
      <c r="AN1614" s="475"/>
      <c r="AO1614" s="395"/>
      <c r="AP1614" s="395"/>
      <c r="AQ1614" s="528"/>
      <c r="AR1614" s="523">
        <v>1</v>
      </c>
      <c r="AS1614" s="393"/>
      <c r="AT1614" s="600">
        <v>8.4957200000000004</v>
      </c>
      <c r="AU1614" s="394">
        <v>7.60548</v>
      </c>
      <c r="AV1614" s="394">
        <v>7.4791100000000004</v>
      </c>
      <c r="AW1614" s="394"/>
      <c r="AX1614" s="394"/>
      <c r="AY1614" s="394">
        <v>0</v>
      </c>
      <c r="AZ1614" s="394">
        <v>0</v>
      </c>
      <c r="BA1614" s="394">
        <v>0.20754</v>
      </c>
      <c r="BB1614" s="394">
        <v>7.4791100000000004</v>
      </c>
      <c r="BC1614" s="394"/>
      <c r="BD1614" s="381" t="s">
        <v>167</v>
      </c>
      <c r="BE1614" s="408" t="s">
        <v>175</v>
      </c>
      <c r="BF1614" s="385"/>
      <c r="BG1614" s="475">
        <v>750</v>
      </c>
      <c r="BH1614" s="395"/>
      <c r="BI1614" s="395">
        <f t="shared" si="996"/>
        <v>8.4957200000000004</v>
      </c>
    </row>
    <row r="1615" spans="1:61" s="358" customFormat="1" ht="19.2" x14ac:dyDescent="0.3">
      <c r="A1615" s="359" t="s">
        <v>2024</v>
      </c>
      <c r="B1615" s="602" t="s">
        <v>1390</v>
      </c>
      <c r="C1615" s="548" t="s">
        <v>6146</v>
      </c>
      <c r="D1615" s="360">
        <v>0.22</v>
      </c>
      <c r="E1615" s="528"/>
      <c r="F1615" s="523"/>
      <c r="G1615" s="393"/>
      <c r="H1615" s="394"/>
      <c r="I1615" s="394"/>
      <c r="J1615" s="394"/>
      <c r="K1615" s="394"/>
      <c r="L1615" s="394"/>
      <c r="M1615" s="394"/>
      <c r="N1615" s="394"/>
      <c r="O1615" s="394"/>
      <c r="P1615" s="394"/>
      <c r="Q1615" s="394"/>
      <c r="R1615" s="381"/>
      <c r="S1615" s="408"/>
      <c r="T1615" s="385"/>
      <c r="U1615" s="475"/>
      <c r="V1615" s="395"/>
      <c r="W1615" s="395"/>
      <c r="X1615" s="528"/>
      <c r="Y1615" s="523"/>
      <c r="Z1615" s="393"/>
      <c r="AA1615" s="394"/>
      <c r="AB1615" s="394"/>
      <c r="AC1615" s="394"/>
      <c r="AD1615" s="394"/>
      <c r="AE1615" s="394"/>
      <c r="AF1615" s="394"/>
      <c r="AG1615" s="394"/>
      <c r="AH1615" s="394"/>
      <c r="AI1615" s="394"/>
      <c r="AJ1615" s="394"/>
      <c r="AK1615" s="381"/>
      <c r="AL1615" s="408"/>
      <c r="AM1615" s="385"/>
      <c r="AN1615" s="475"/>
      <c r="AO1615" s="395"/>
      <c r="AP1615" s="395"/>
      <c r="AQ1615" s="528"/>
      <c r="AR1615" s="523">
        <v>1</v>
      </c>
      <c r="AS1615" s="393"/>
      <c r="AT1615" s="600">
        <v>12.76324</v>
      </c>
      <c r="AU1615" s="394">
        <v>8.4588000000000001</v>
      </c>
      <c r="AV1615" s="394">
        <v>7.4790700000000001</v>
      </c>
      <c r="AW1615" s="394"/>
      <c r="AX1615" s="394"/>
      <c r="AY1615" s="394">
        <v>0</v>
      </c>
      <c r="AZ1615" s="394">
        <v>0</v>
      </c>
      <c r="BA1615" s="394">
        <v>1.00349</v>
      </c>
      <c r="BB1615" s="394">
        <v>7.4790700000000001</v>
      </c>
      <c r="BC1615" s="394"/>
      <c r="BD1615" s="381" t="s">
        <v>167</v>
      </c>
      <c r="BE1615" s="408" t="s">
        <v>175</v>
      </c>
      <c r="BF1615" s="385"/>
      <c r="BG1615" s="475">
        <v>751</v>
      </c>
      <c r="BH1615" s="395"/>
      <c r="BI1615" s="395">
        <f t="shared" si="996"/>
        <v>12.76324</v>
      </c>
    </row>
    <row r="1616" spans="1:61" s="358" customFormat="1" ht="19.2" x14ac:dyDescent="0.3">
      <c r="A1616" s="359" t="s">
        <v>2025</v>
      </c>
      <c r="B1616" s="602" t="s">
        <v>6147</v>
      </c>
      <c r="C1616" s="548" t="s">
        <v>6148</v>
      </c>
      <c r="D1616" s="360">
        <v>0.22</v>
      </c>
      <c r="E1616" s="528"/>
      <c r="F1616" s="523"/>
      <c r="G1616" s="393"/>
      <c r="H1616" s="394"/>
      <c r="I1616" s="394"/>
      <c r="J1616" s="394"/>
      <c r="K1616" s="394"/>
      <c r="L1616" s="394"/>
      <c r="M1616" s="394"/>
      <c r="N1616" s="394"/>
      <c r="O1616" s="394"/>
      <c r="P1616" s="394"/>
      <c r="Q1616" s="394"/>
      <c r="R1616" s="381"/>
      <c r="S1616" s="408"/>
      <c r="T1616" s="385"/>
      <c r="U1616" s="475"/>
      <c r="V1616" s="395"/>
      <c r="W1616" s="395"/>
      <c r="X1616" s="528"/>
      <c r="Y1616" s="523"/>
      <c r="Z1616" s="393"/>
      <c r="AA1616" s="394"/>
      <c r="AB1616" s="394"/>
      <c r="AC1616" s="394"/>
      <c r="AD1616" s="394"/>
      <c r="AE1616" s="394"/>
      <c r="AF1616" s="394"/>
      <c r="AG1616" s="394"/>
      <c r="AH1616" s="394"/>
      <c r="AI1616" s="394"/>
      <c r="AJ1616" s="394"/>
      <c r="AK1616" s="381"/>
      <c r="AL1616" s="408"/>
      <c r="AM1616" s="385"/>
      <c r="AN1616" s="475"/>
      <c r="AO1616" s="395"/>
      <c r="AP1616" s="395"/>
      <c r="AQ1616" s="528"/>
      <c r="AR1616" s="523">
        <v>1</v>
      </c>
      <c r="AS1616" s="393"/>
      <c r="AT1616" s="600">
        <v>12.76324</v>
      </c>
      <c r="AU1616" s="394">
        <v>8.4588000000000001</v>
      </c>
      <c r="AV1616" s="394">
        <v>7.4790700000000001</v>
      </c>
      <c r="AW1616" s="394"/>
      <c r="AX1616" s="394"/>
      <c r="AY1616" s="394">
        <v>0</v>
      </c>
      <c r="AZ1616" s="394">
        <v>0</v>
      </c>
      <c r="BA1616" s="394">
        <v>1.00349</v>
      </c>
      <c r="BB1616" s="394">
        <v>7.4790700000000001</v>
      </c>
      <c r="BC1616" s="394"/>
      <c r="BD1616" s="381" t="s">
        <v>167</v>
      </c>
      <c r="BE1616" s="408" t="s">
        <v>175</v>
      </c>
      <c r="BF1616" s="385"/>
      <c r="BG1616" s="475">
        <v>752</v>
      </c>
      <c r="BH1616" s="395"/>
      <c r="BI1616" s="395">
        <f t="shared" ref="BI1616" si="997">AT1616/AR1616</f>
        <v>12.76324</v>
      </c>
    </row>
    <row r="1617" spans="1:61" s="358" customFormat="1" ht="19.2" x14ac:dyDescent="0.3">
      <c r="A1617" s="359" t="s">
        <v>2026</v>
      </c>
      <c r="B1617" s="602" t="s">
        <v>1683</v>
      </c>
      <c r="C1617" s="548" t="s">
        <v>6149</v>
      </c>
      <c r="D1617" s="360">
        <v>0.22</v>
      </c>
      <c r="E1617" s="528"/>
      <c r="F1617" s="523"/>
      <c r="G1617" s="393"/>
      <c r="H1617" s="394"/>
      <c r="I1617" s="394"/>
      <c r="J1617" s="394"/>
      <c r="K1617" s="394"/>
      <c r="L1617" s="394"/>
      <c r="M1617" s="394"/>
      <c r="N1617" s="394"/>
      <c r="O1617" s="394"/>
      <c r="P1617" s="394"/>
      <c r="Q1617" s="394"/>
      <c r="R1617" s="381"/>
      <c r="S1617" s="408"/>
      <c r="T1617" s="385"/>
      <c r="U1617" s="475"/>
      <c r="V1617" s="395"/>
      <c r="W1617" s="395"/>
      <c r="X1617" s="528"/>
      <c r="Y1617" s="523"/>
      <c r="Z1617" s="393"/>
      <c r="AA1617" s="394"/>
      <c r="AB1617" s="394"/>
      <c r="AC1617" s="394"/>
      <c r="AD1617" s="394"/>
      <c r="AE1617" s="394"/>
      <c r="AF1617" s="394"/>
      <c r="AG1617" s="394"/>
      <c r="AH1617" s="394"/>
      <c r="AI1617" s="394"/>
      <c r="AJ1617" s="394"/>
      <c r="AK1617" s="381"/>
      <c r="AL1617" s="408"/>
      <c r="AM1617" s="385"/>
      <c r="AN1617" s="475"/>
      <c r="AO1617" s="395"/>
      <c r="AP1617" s="395"/>
      <c r="AQ1617" s="528"/>
      <c r="AR1617" s="523">
        <v>1</v>
      </c>
      <c r="AS1617" s="393"/>
      <c r="AT1617" s="600">
        <v>12.76324</v>
      </c>
      <c r="AU1617" s="394">
        <v>8.4588000000000001</v>
      </c>
      <c r="AV1617" s="394">
        <v>7.4790700000000001</v>
      </c>
      <c r="AW1617" s="394"/>
      <c r="AX1617" s="394"/>
      <c r="AY1617" s="394">
        <v>0</v>
      </c>
      <c r="AZ1617" s="394">
        <v>0</v>
      </c>
      <c r="BA1617" s="394">
        <v>1.00349</v>
      </c>
      <c r="BB1617" s="394">
        <v>7.4790700000000001</v>
      </c>
      <c r="BC1617" s="394"/>
      <c r="BD1617" s="381" t="s">
        <v>167</v>
      </c>
      <c r="BE1617" s="408" t="s">
        <v>175</v>
      </c>
      <c r="BF1617" s="385"/>
      <c r="BG1617" s="475">
        <v>753</v>
      </c>
      <c r="BH1617" s="395"/>
      <c r="BI1617" s="395">
        <f t="shared" si="995"/>
        <v>12.76324</v>
      </c>
    </row>
    <row r="1618" spans="1:61" s="358" customFormat="1" ht="19.2" x14ac:dyDescent="0.3">
      <c r="A1618" s="359" t="s">
        <v>2027</v>
      </c>
      <c r="B1618" s="602" t="s">
        <v>6150</v>
      </c>
      <c r="C1618" s="548" t="s">
        <v>6151</v>
      </c>
      <c r="D1618" s="360">
        <v>0.22</v>
      </c>
      <c r="E1618" s="528"/>
      <c r="F1618" s="523"/>
      <c r="G1618" s="393"/>
      <c r="H1618" s="394"/>
      <c r="I1618" s="394"/>
      <c r="J1618" s="394"/>
      <c r="K1618" s="394"/>
      <c r="L1618" s="394"/>
      <c r="M1618" s="394"/>
      <c r="N1618" s="394"/>
      <c r="O1618" s="394"/>
      <c r="P1618" s="394"/>
      <c r="Q1618" s="394"/>
      <c r="R1618" s="381"/>
      <c r="S1618" s="408"/>
      <c r="T1618" s="385"/>
      <c r="U1618" s="475"/>
      <c r="V1618" s="395"/>
      <c r="W1618" s="395"/>
      <c r="X1618" s="528"/>
      <c r="Y1618" s="523"/>
      <c r="Z1618" s="393"/>
      <c r="AA1618" s="394"/>
      <c r="AB1618" s="394"/>
      <c r="AC1618" s="394"/>
      <c r="AD1618" s="394"/>
      <c r="AE1618" s="394"/>
      <c r="AF1618" s="394"/>
      <c r="AG1618" s="394"/>
      <c r="AH1618" s="394"/>
      <c r="AI1618" s="394"/>
      <c r="AJ1618" s="394"/>
      <c r="AK1618" s="381"/>
      <c r="AL1618" s="408"/>
      <c r="AM1618" s="385"/>
      <c r="AN1618" s="475"/>
      <c r="AO1618" s="395"/>
      <c r="AP1618" s="395"/>
      <c r="AQ1618" s="528"/>
      <c r="AR1618" s="523">
        <v>1</v>
      </c>
      <c r="AS1618" s="393"/>
      <c r="AT1618" s="600">
        <v>8.4957200000000004</v>
      </c>
      <c r="AU1618" s="394">
        <v>7.60548</v>
      </c>
      <c r="AV1618" s="394">
        <v>7.4791100000000004</v>
      </c>
      <c r="AW1618" s="394"/>
      <c r="AX1618" s="394"/>
      <c r="AY1618" s="394">
        <v>0</v>
      </c>
      <c r="AZ1618" s="394">
        <v>0</v>
      </c>
      <c r="BA1618" s="394">
        <v>0.20754</v>
      </c>
      <c r="BB1618" s="394">
        <v>7.4791100000000004</v>
      </c>
      <c r="BC1618" s="394"/>
      <c r="BD1618" s="381" t="s">
        <v>167</v>
      </c>
      <c r="BE1618" s="408" t="s">
        <v>175</v>
      </c>
      <c r="BF1618" s="385"/>
      <c r="BG1618" s="475">
        <v>754</v>
      </c>
      <c r="BH1618" s="395"/>
      <c r="BI1618" s="395">
        <f t="shared" ref="BI1618" si="998">AT1618/AR1618</f>
        <v>8.4957200000000004</v>
      </c>
    </row>
    <row r="1619" spans="1:61" s="358" customFormat="1" ht="19.2" x14ac:dyDescent="0.3">
      <c r="A1619" s="359" t="s">
        <v>2028</v>
      </c>
      <c r="B1619" s="602" t="s">
        <v>6152</v>
      </c>
      <c r="C1619" s="548" t="s">
        <v>6153</v>
      </c>
      <c r="D1619" s="360">
        <v>0.22</v>
      </c>
      <c r="E1619" s="528"/>
      <c r="F1619" s="523"/>
      <c r="G1619" s="393"/>
      <c r="H1619" s="394"/>
      <c r="I1619" s="394"/>
      <c r="J1619" s="394"/>
      <c r="K1619" s="394"/>
      <c r="L1619" s="394"/>
      <c r="M1619" s="394"/>
      <c r="N1619" s="394"/>
      <c r="O1619" s="394"/>
      <c r="P1619" s="394"/>
      <c r="Q1619" s="394"/>
      <c r="R1619" s="381"/>
      <c r="S1619" s="408"/>
      <c r="T1619" s="385"/>
      <c r="U1619" s="475"/>
      <c r="V1619" s="395"/>
      <c r="W1619" s="395"/>
      <c r="X1619" s="528"/>
      <c r="Y1619" s="523"/>
      <c r="Z1619" s="393"/>
      <c r="AA1619" s="394"/>
      <c r="AB1619" s="394"/>
      <c r="AC1619" s="394"/>
      <c r="AD1619" s="394"/>
      <c r="AE1619" s="394"/>
      <c r="AF1619" s="394"/>
      <c r="AG1619" s="394"/>
      <c r="AH1619" s="394"/>
      <c r="AI1619" s="394"/>
      <c r="AJ1619" s="394"/>
      <c r="AK1619" s="381"/>
      <c r="AL1619" s="408"/>
      <c r="AM1619" s="385"/>
      <c r="AN1619" s="475"/>
      <c r="AO1619" s="395"/>
      <c r="AP1619" s="395"/>
      <c r="AQ1619" s="528"/>
      <c r="AR1619" s="523">
        <v>1</v>
      </c>
      <c r="AS1619" s="393"/>
      <c r="AT1619" s="600">
        <v>8.4957200000000004</v>
      </c>
      <c r="AU1619" s="394">
        <v>7.60548</v>
      </c>
      <c r="AV1619" s="394">
        <v>7.4791100000000004</v>
      </c>
      <c r="AW1619" s="394"/>
      <c r="AX1619" s="394"/>
      <c r="AY1619" s="394">
        <v>0</v>
      </c>
      <c r="AZ1619" s="394">
        <v>0</v>
      </c>
      <c r="BA1619" s="394">
        <v>0.20754</v>
      </c>
      <c r="BB1619" s="394">
        <v>7.4791100000000004</v>
      </c>
      <c r="BC1619" s="394"/>
      <c r="BD1619" s="381" t="s">
        <v>167</v>
      </c>
      <c r="BE1619" s="408" t="s">
        <v>175</v>
      </c>
      <c r="BF1619" s="385"/>
      <c r="BG1619" s="475">
        <v>755</v>
      </c>
      <c r="BH1619" s="395"/>
      <c r="BI1619" s="395">
        <f t="shared" si="995"/>
        <v>8.4957200000000004</v>
      </c>
    </row>
    <row r="1620" spans="1:61" s="358" customFormat="1" ht="28.8" x14ac:dyDescent="0.3">
      <c r="A1620" s="359" t="s">
        <v>2029</v>
      </c>
      <c r="B1620" s="602" t="s">
        <v>6154</v>
      </c>
      <c r="C1620" s="548" t="s">
        <v>4934</v>
      </c>
      <c r="D1620" s="360">
        <v>0.22</v>
      </c>
      <c r="E1620" s="528"/>
      <c r="F1620" s="523"/>
      <c r="G1620" s="393"/>
      <c r="H1620" s="394"/>
      <c r="I1620" s="394"/>
      <c r="J1620" s="394"/>
      <c r="K1620" s="394"/>
      <c r="L1620" s="394"/>
      <c r="M1620" s="394"/>
      <c r="N1620" s="394"/>
      <c r="O1620" s="394"/>
      <c r="P1620" s="394"/>
      <c r="Q1620" s="394"/>
      <c r="R1620" s="381"/>
      <c r="S1620" s="408"/>
      <c r="T1620" s="385"/>
      <c r="U1620" s="475"/>
      <c r="V1620" s="395"/>
      <c r="W1620" s="395"/>
      <c r="X1620" s="528"/>
      <c r="Y1620" s="523"/>
      <c r="Z1620" s="393"/>
      <c r="AA1620" s="394"/>
      <c r="AB1620" s="394"/>
      <c r="AC1620" s="394"/>
      <c r="AD1620" s="394"/>
      <c r="AE1620" s="394"/>
      <c r="AF1620" s="394"/>
      <c r="AG1620" s="394"/>
      <c r="AH1620" s="394"/>
      <c r="AI1620" s="394"/>
      <c r="AJ1620" s="394"/>
      <c r="AK1620" s="381"/>
      <c r="AL1620" s="408"/>
      <c r="AM1620" s="385"/>
      <c r="AN1620" s="475"/>
      <c r="AO1620" s="395"/>
      <c r="AP1620" s="395"/>
      <c r="AQ1620" s="528"/>
      <c r="AR1620" s="523">
        <v>1</v>
      </c>
      <c r="AS1620" s="393"/>
      <c r="AT1620" s="600">
        <v>12.76324</v>
      </c>
      <c r="AU1620" s="394">
        <v>8.4588000000000001</v>
      </c>
      <c r="AV1620" s="394">
        <v>7.4790700000000001</v>
      </c>
      <c r="AW1620" s="394"/>
      <c r="AX1620" s="394"/>
      <c r="AY1620" s="394">
        <v>0</v>
      </c>
      <c r="AZ1620" s="394">
        <v>0</v>
      </c>
      <c r="BA1620" s="394">
        <v>1.00349</v>
      </c>
      <c r="BB1620" s="394">
        <v>7.4790700000000001</v>
      </c>
      <c r="BC1620" s="394"/>
      <c r="BD1620" s="381" t="s">
        <v>167</v>
      </c>
      <c r="BE1620" s="408" t="s">
        <v>175</v>
      </c>
      <c r="BF1620" s="385"/>
      <c r="BG1620" s="475">
        <v>756</v>
      </c>
      <c r="BH1620" s="395"/>
      <c r="BI1620" s="395">
        <f t="shared" ref="BI1620" si="999">AT1620/AR1620</f>
        <v>12.76324</v>
      </c>
    </row>
    <row r="1621" spans="1:61" s="358" customFormat="1" ht="19.2" x14ac:dyDescent="0.3">
      <c r="A1621" s="359" t="s">
        <v>2030</v>
      </c>
      <c r="B1621" s="602" t="s">
        <v>6155</v>
      </c>
      <c r="C1621" s="548" t="s">
        <v>6156</v>
      </c>
      <c r="D1621" s="360">
        <v>0.22</v>
      </c>
      <c r="E1621" s="528"/>
      <c r="F1621" s="523"/>
      <c r="G1621" s="393"/>
      <c r="H1621" s="394"/>
      <c r="I1621" s="394"/>
      <c r="J1621" s="394"/>
      <c r="K1621" s="394"/>
      <c r="L1621" s="394"/>
      <c r="M1621" s="394"/>
      <c r="N1621" s="394"/>
      <c r="O1621" s="394"/>
      <c r="P1621" s="394"/>
      <c r="Q1621" s="394"/>
      <c r="R1621" s="381"/>
      <c r="S1621" s="408"/>
      <c r="T1621" s="385"/>
      <c r="U1621" s="475"/>
      <c r="V1621" s="395"/>
      <c r="W1621" s="395"/>
      <c r="X1621" s="528"/>
      <c r="Y1621" s="523"/>
      <c r="Z1621" s="393"/>
      <c r="AA1621" s="394"/>
      <c r="AB1621" s="394"/>
      <c r="AC1621" s="394"/>
      <c r="AD1621" s="394"/>
      <c r="AE1621" s="394"/>
      <c r="AF1621" s="394"/>
      <c r="AG1621" s="394"/>
      <c r="AH1621" s="394"/>
      <c r="AI1621" s="394"/>
      <c r="AJ1621" s="394"/>
      <c r="AK1621" s="381"/>
      <c r="AL1621" s="408"/>
      <c r="AM1621" s="385"/>
      <c r="AN1621" s="475"/>
      <c r="AO1621" s="395"/>
      <c r="AP1621" s="395"/>
      <c r="AQ1621" s="528"/>
      <c r="AR1621" s="523">
        <v>1</v>
      </c>
      <c r="AS1621" s="393"/>
      <c r="AT1621" s="600">
        <v>8.4957200000000004</v>
      </c>
      <c r="AU1621" s="394">
        <v>7.60548</v>
      </c>
      <c r="AV1621" s="394">
        <v>7.4791100000000004</v>
      </c>
      <c r="AW1621" s="394"/>
      <c r="AX1621" s="394"/>
      <c r="AY1621" s="394">
        <v>0</v>
      </c>
      <c r="AZ1621" s="394">
        <v>0</v>
      </c>
      <c r="BA1621" s="394">
        <v>0.20754</v>
      </c>
      <c r="BB1621" s="394">
        <v>7.4791100000000004</v>
      </c>
      <c r="BC1621" s="394"/>
      <c r="BD1621" s="381" t="s">
        <v>167</v>
      </c>
      <c r="BE1621" s="408" t="s">
        <v>175</v>
      </c>
      <c r="BF1621" s="385"/>
      <c r="BG1621" s="475">
        <v>757</v>
      </c>
      <c r="BH1621" s="395"/>
      <c r="BI1621" s="395">
        <f t="shared" si="995"/>
        <v>8.4957200000000004</v>
      </c>
    </row>
    <row r="1622" spans="1:61" s="358" customFormat="1" x14ac:dyDescent="0.3">
      <c r="A1622" s="359"/>
      <c r="B1622" s="378"/>
      <c r="C1622" s="546"/>
      <c r="D1622" s="360"/>
      <c r="E1622" s="393"/>
      <c r="F1622" s="523"/>
      <c r="G1622" s="393"/>
      <c r="H1622" s="394"/>
      <c r="I1622" s="394"/>
      <c r="J1622" s="394"/>
      <c r="K1622" s="394"/>
      <c r="L1622" s="394"/>
      <c r="M1622" s="394"/>
      <c r="N1622" s="394"/>
      <c r="O1622" s="394"/>
      <c r="P1622" s="394"/>
      <c r="Q1622" s="394"/>
      <c r="R1622" s="385"/>
      <c r="S1622" s="385"/>
      <c r="T1622" s="385"/>
      <c r="U1622" s="475"/>
      <c r="V1622" s="395"/>
      <c r="W1622" s="395" t="e">
        <f t="shared" si="838"/>
        <v>#DIV/0!</v>
      </c>
      <c r="X1622" s="393"/>
      <c r="Y1622" s="523"/>
      <c r="Z1622" s="393"/>
      <c r="AA1622" s="394"/>
      <c r="AB1622" s="394"/>
      <c r="AC1622" s="394"/>
      <c r="AD1622" s="394"/>
      <c r="AE1622" s="394"/>
      <c r="AF1622" s="394"/>
      <c r="AG1622" s="394"/>
      <c r="AH1622" s="394"/>
      <c r="AI1622" s="394"/>
      <c r="AJ1622" s="394"/>
      <c r="AK1622" s="385"/>
      <c r="AL1622" s="385"/>
      <c r="AM1622" s="385"/>
      <c r="AN1622" s="475"/>
      <c r="AO1622" s="395"/>
      <c r="AP1622" s="395" t="e">
        <f t="shared" si="864"/>
        <v>#DIV/0!</v>
      </c>
      <c r="AQ1622" s="393"/>
      <c r="AR1622" s="523"/>
      <c r="AS1622" s="393"/>
      <c r="AT1622" s="394"/>
      <c r="AU1622" s="394"/>
      <c r="AV1622" s="394"/>
      <c r="AW1622" s="394"/>
      <c r="AX1622" s="394"/>
      <c r="AY1622" s="394"/>
      <c r="AZ1622" s="394"/>
      <c r="BA1622" s="394"/>
      <c r="BB1622" s="394"/>
      <c r="BC1622" s="394"/>
      <c r="BD1622" s="385"/>
      <c r="BE1622" s="385"/>
      <c r="BF1622" s="385"/>
      <c r="BG1622" s="475"/>
      <c r="BH1622" s="395"/>
      <c r="BI1622" s="395" t="e">
        <f t="shared" si="865"/>
        <v>#DIV/0!</v>
      </c>
    </row>
    <row r="1623" spans="1:61" s="358" customFormat="1" ht="43.2" x14ac:dyDescent="0.3">
      <c r="A1623" s="508" t="s">
        <v>290</v>
      </c>
      <c r="B1623" s="516" t="s">
        <v>6335</v>
      </c>
      <c r="C1623" s="594"/>
      <c r="D1623" s="515">
        <v>0.4</v>
      </c>
      <c r="E1623" s="509">
        <f t="shared" ref="E1623:Q1623" si="1000">SUM(E1624:E3327)</f>
        <v>0</v>
      </c>
      <c r="F1623" s="509">
        <f t="shared" si="1000"/>
        <v>496</v>
      </c>
      <c r="G1623" s="509">
        <f t="shared" si="1000"/>
        <v>0</v>
      </c>
      <c r="H1623" s="510">
        <f t="shared" si="1000"/>
        <v>6657.0417500000085</v>
      </c>
      <c r="I1623" s="510">
        <f t="shared" si="1000"/>
        <v>5676.8716400000221</v>
      </c>
      <c r="J1623" s="510">
        <f t="shared" si="1000"/>
        <v>5027.954850000011</v>
      </c>
      <c r="K1623" s="510">
        <f t="shared" si="1000"/>
        <v>0</v>
      </c>
      <c r="L1623" s="510">
        <f t="shared" si="1000"/>
        <v>0</v>
      </c>
      <c r="M1623" s="510">
        <f t="shared" si="1000"/>
        <v>0</v>
      </c>
      <c r="N1623" s="510">
        <f t="shared" si="1000"/>
        <v>0</v>
      </c>
      <c r="O1623" s="510">
        <f t="shared" si="1000"/>
        <v>228.49684999999971</v>
      </c>
      <c r="P1623" s="510">
        <f t="shared" si="1000"/>
        <v>5027.9547700000112</v>
      </c>
      <c r="Q1623" s="510">
        <f t="shared" si="1000"/>
        <v>0</v>
      </c>
      <c r="R1623" s="511"/>
      <c r="S1623" s="511"/>
      <c r="T1623" s="511"/>
      <c r="U1623" s="512"/>
      <c r="V1623" s="513"/>
      <c r="W1623" s="513">
        <f t="shared" si="838"/>
        <v>13.42145514112905</v>
      </c>
      <c r="X1623" s="509">
        <f t="shared" ref="X1623:AJ1623" si="1001">SUM(X1624:X3327)</f>
        <v>0</v>
      </c>
      <c r="Y1623" s="509">
        <f t="shared" si="1001"/>
        <v>688</v>
      </c>
      <c r="Z1623" s="509">
        <f t="shared" si="1001"/>
        <v>0</v>
      </c>
      <c r="AA1623" s="510">
        <f t="shared" si="1001"/>
        <v>11954.506340000022</v>
      </c>
      <c r="AB1623" s="510">
        <f t="shared" si="1001"/>
        <v>10282.113000000001</v>
      </c>
      <c r="AC1623" s="510">
        <f t="shared" si="1001"/>
        <v>9362.6054800000293</v>
      </c>
      <c r="AD1623" s="510">
        <f t="shared" si="1001"/>
        <v>9.2254299999999994</v>
      </c>
      <c r="AE1623" s="510">
        <f t="shared" si="1001"/>
        <v>0</v>
      </c>
      <c r="AF1623" s="510">
        <f t="shared" si="1001"/>
        <v>0</v>
      </c>
      <c r="AG1623" s="510">
        <f t="shared" si="1001"/>
        <v>0</v>
      </c>
      <c r="AH1623" s="510">
        <f t="shared" si="1001"/>
        <v>394.07661999999834</v>
      </c>
      <c r="AI1623" s="510">
        <f t="shared" si="1001"/>
        <v>9292.5813300000264</v>
      </c>
      <c r="AJ1623" s="510">
        <f t="shared" si="1001"/>
        <v>9.2254299999999994</v>
      </c>
      <c r="AK1623" s="511"/>
      <c r="AL1623" s="511"/>
      <c r="AM1623" s="511"/>
      <c r="AN1623" s="512"/>
      <c r="AO1623" s="513"/>
      <c r="AP1623" s="513">
        <f t="shared" si="864"/>
        <v>17.375735959302357</v>
      </c>
      <c r="AQ1623" s="509">
        <f t="shared" ref="AQ1623:BC1623" si="1002">SUM(AQ1624:AQ3327)</f>
        <v>0</v>
      </c>
      <c r="AR1623" s="509">
        <f t="shared" si="1002"/>
        <v>519</v>
      </c>
      <c r="AS1623" s="509">
        <f t="shared" si="1002"/>
        <v>0</v>
      </c>
      <c r="AT1623" s="510">
        <f t="shared" si="1002"/>
        <v>10158.215840000035</v>
      </c>
      <c r="AU1623" s="510">
        <f t="shared" si="1002"/>
        <v>8510.9990399999842</v>
      </c>
      <c r="AV1623" s="510">
        <f t="shared" si="1002"/>
        <v>7895.5512000000026</v>
      </c>
      <c r="AW1623" s="510">
        <f t="shared" si="1002"/>
        <v>0.59533999999999998</v>
      </c>
      <c r="AX1623" s="510">
        <f t="shared" si="1002"/>
        <v>0</v>
      </c>
      <c r="AY1623" s="510">
        <f t="shared" si="1002"/>
        <v>0</v>
      </c>
      <c r="AZ1623" s="510">
        <f t="shared" si="1002"/>
        <v>0</v>
      </c>
      <c r="BA1623" s="510">
        <f t="shared" si="1002"/>
        <v>383.67667000000267</v>
      </c>
      <c r="BB1623" s="510">
        <f t="shared" si="1002"/>
        <v>7880.2781400000022</v>
      </c>
      <c r="BC1623" s="510">
        <f t="shared" si="1002"/>
        <v>0.59533999999999998</v>
      </c>
      <c r="BD1623" s="511"/>
      <c r="BE1623" s="511"/>
      <c r="BF1623" s="511"/>
      <c r="BG1623" s="512"/>
      <c r="BH1623" s="513"/>
      <c r="BI1623" s="513">
        <f t="shared" si="865"/>
        <v>19.572670211946118</v>
      </c>
    </row>
    <row r="1624" spans="1:61" s="358" customFormat="1" ht="19.2" x14ac:dyDescent="0.3">
      <c r="A1624" s="359" t="s">
        <v>178</v>
      </c>
      <c r="B1624" s="537" t="s">
        <v>298</v>
      </c>
      <c r="C1624" s="546" t="s">
        <v>278</v>
      </c>
      <c r="D1624" s="360">
        <v>0.4</v>
      </c>
      <c r="E1624" s="393"/>
      <c r="F1624" s="337">
        <v>1</v>
      </c>
      <c r="G1624" s="337"/>
      <c r="H1624" s="544">
        <v>14.02251</v>
      </c>
      <c r="I1624" s="394">
        <v>12.32602</v>
      </c>
      <c r="J1624" s="394">
        <v>10.464</v>
      </c>
      <c r="K1624" s="394"/>
      <c r="L1624" s="394"/>
      <c r="M1624" s="394">
        <v>0</v>
      </c>
      <c r="N1624" s="394">
        <v>0</v>
      </c>
      <c r="O1624" s="394">
        <v>0.39550000000000002</v>
      </c>
      <c r="P1624" s="394">
        <v>10.464</v>
      </c>
      <c r="Q1624" s="394"/>
      <c r="R1624" s="381" t="s">
        <v>167</v>
      </c>
      <c r="S1624" s="408" t="s">
        <v>175</v>
      </c>
      <c r="T1624" s="385"/>
      <c r="U1624" s="475">
        <v>540</v>
      </c>
      <c r="V1624" s="395"/>
      <c r="W1624" s="395">
        <f t="shared" ref="W1624:W3328" si="1003">H1624/F1624</f>
        <v>14.02251</v>
      </c>
      <c r="X1624" s="393"/>
      <c r="Y1624" s="337"/>
      <c r="Z1624" s="337"/>
      <c r="AA1624" s="544"/>
      <c r="AB1624" s="394"/>
      <c r="AC1624" s="394"/>
      <c r="AD1624" s="394"/>
      <c r="AE1624" s="394"/>
      <c r="AF1624" s="394"/>
      <c r="AG1624" s="394"/>
      <c r="AH1624" s="394"/>
      <c r="AI1624" s="394"/>
      <c r="AJ1624" s="394"/>
      <c r="AK1624" s="381"/>
      <c r="AL1624" s="408"/>
      <c r="AM1624" s="385"/>
      <c r="AN1624" s="475"/>
      <c r="AO1624" s="395"/>
      <c r="AP1624" s="395" t="e">
        <f t="shared" ref="AP1624:AP1674" si="1004">AA1624/Y1624</f>
        <v>#DIV/0!</v>
      </c>
      <c r="AQ1624" s="393"/>
      <c r="AR1624" s="337"/>
      <c r="AS1624" s="337"/>
      <c r="AT1624" s="544"/>
      <c r="AU1624" s="394"/>
      <c r="AV1624" s="394"/>
      <c r="AW1624" s="394"/>
      <c r="AX1624" s="394"/>
      <c r="AY1624" s="394"/>
      <c r="AZ1624" s="394"/>
      <c r="BA1624" s="394"/>
      <c r="BB1624" s="394"/>
      <c r="BC1624" s="394"/>
      <c r="BD1624" s="381"/>
      <c r="BE1624" s="408"/>
      <c r="BF1624" s="385"/>
      <c r="BG1624" s="475"/>
      <c r="BH1624" s="395"/>
      <c r="BI1624" s="395" t="e">
        <f t="shared" ref="BI1624:BI1686" si="1005">AT1624/AR1624</f>
        <v>#DIV/0!</v>
      </c>
    </row>
    <row r="1625" spans="1:61" s="358" customFormat="1" ht="19.2" x14ac:dyDescent="0.3">
      <c r="A1625" s="359" t="s">
        <v>182</v>
      </c>
      <c r="B1625" s="537" t="s">
        <v>1439</v>
      </c>
      <c r="C1625" s="546" t="s">
        <v>838</v>
      </c>
      <c r="D1625" s="360">
        <v>0.4</v>
      </c>
      <c r="E1625" s="393"/>
      <c r="F1625" s="337">
        <v>1</v>
      </c>
      <c r="G1625" s="497"/>
      <c r="H1625" s="544">
        <v>13.37505</v>
      </c>
      <c r="I1625" s="394">
        <v>11.678559999999999</v>
      </c>
      <c r="J1625" s="394">
        <v>10.464</v>
      </c>
      <c r="K1625" s="394"/>
      <c r="L1625" s="394"/>
      <c r="M1625" s="394">
        <v>0</v>
      </c>
      <c r="N1625" s="394">
        <v>0</v>
      </c>
      <c r="O1625" s="394">
        <v>0.39550000000000002</v>
      </c>
      <c r="P1625" s="394">
        <v>10.464</v>
      </c>
      <c r="Q1625" s="394"/>
      <c r="R1625" s="381" t="s">
        <v>167</v>
      </c>
      <c r="S1625" s="408" t="s">
        <v>175</v>
      </c>
      <c r="T1625" s="385"/>
      <c r="U1625" s="475">
        <v>541</v>
      </c>
      <c r="V1625" s="395"/>
      <c r="W1625" s="395">
        <f t="shared" ref="W1625:W1659" si="1006">H1625/F1625</f>
        <v>13.37505</v>
      </c>
      <c r="X1625" s="393"/>
      <c r="Y1625" s="337"/>
      <c r="Z1625" s="497"/>
      <c r="AA1625" s="544"/>
      <c r="AB1625" s="394"/>
      <c r="AC1625" s="394"/>
      <c r="AD1625" s="394"/>
      <c r="AE1625" s="394"/>
      <c r="AF1625" s="394"/>
      <c r="AG1625" s="394"/>
      <c r="AH1625" s="394"/>
      <c r="AI1625" s="394"/>
      <c r="AJ1625" s="394"/>
      <c r="AK1625" s="381"/>
      <c r="AL1625" s="408"/>
      <c r="AM1625" s="385"/>
      <c r="AN1625" s="475"/>
      <c r="AO1625" s="395"/>
      <c r="AP1625" s="395" t="e">
        <f t="shared" si="1004"/>
        <v>#DIV/0!</v>
      </c>
      <c r="AQ1625" s="393"/>
      <c r="AR1625" s="337"/>
      <c r="AS1625" s="497"/>
      <c r="AT1625" s="544"/>
      <c r="AU1625" s="394"/>
      <c r="AV1625" s="394"/>
      <c r="AW1625" s="394"/>
      <c r="AX1625" s="394"/>
      <c r="AY1625" s="394"/>
      <c r="AZ1625" s="394"/>
      <c r="BA1625" s="394"/>
      <c r="BB1625" s="394"/>
      <c r="BC1625" s="394"/>
      <c r="BD1625" s="381"/>
      <c r="BE1625" s="408"/>
      <c r="BF1625" s="385"/>
      <c r="BG1625" s="475"/>
      <c r="BH1625" s="395"/>
      <c r="BI1625" s="395" t="e">
        <f t="shared" si="1005"/>
        <v>#DIV/0!</v>
      </c>
    </row>
    <row r="1626" spans="1:61" s="358" customFormat="1" ht="19.2" x14ac:dyDescent="0.3">
      <c r="A1626" s="359" t="s">
        <v>184</v>
      </c>
      <c r="B1626" s="537" t="s">
        <v>1440</v>
      </c>
      <c r="C1626" s="546" t="s">
        <v>839</v>
      </c>
      <c r="D1626" s="360">
        <v>0.4</v>
      </c>
      <c r="E1626" s="393"/>
      <c r="F1626" s="337">
        <v>1</v>
      </c>
      <c r="G1626" s="497"/>
      <c r="H1626" s="544">
        <v>14.02251</v>
      </c>
      <c r="I1626" s="394">
        <v>12.32602</v>
      </c>
      <c r="J1626" s="394">
        <v>10.464</v>
      </c>
      <c r="K1626" s="394"/>
      <c r="L1626" s="394"/>
      <c r="M1626" s="394">
        <v>0</v>
      </c>
      <c r="N1626" s="394">
        <v>0</v>
      </c>
      <c r="O1626" s="394">
        <v>0.39550000000000002</v>
      </c>
      <c r="P1626" s="394">
        <v>10.464</v>
      </c>
      <c r="Q1626" s="394"/>
      <c r="R1626" s="381" t="s">
        <v>167</v>
      </c>
      <c r="S1626" s="408" t="s">
        <v>175</v>
      </c>
      <c r="T1626" s="385"/>
      <c r="U1626" s="475">
        <v>542</v>
      </c>
      <c r="V1626" s="395"/>
      <c r="W1626" s="395">
        <f t="shared" si="1006"/>
        <v>14.02251</v>
      </c>
      <c r="X1626" s="393"/>
      <c r="Y1626" s="337"/>
      <c r="Z1626" s="497"/>
      <c r="AA1626" s="544"/>
      <c r="AB1626" s="394"/>
      <c r="AC1626" s="394"/>
      <c r="AD1626" s="394"/>
      <c r="AE1626" s="394"/>
      <c r="AF1626" s="394"/>
      <c r="AG1626" s="394"/>
      <c r="AH1626" s="394"/>
      <c r="AI1626" s="394"/>
      <c r="AJ1626" s="394"/>
      <c r="AK1626" s="381"/>
      <c r="AL1626" s="408"/>
      <c r="AM1626" s="385"/>
      <c r="AN1626" s="475"/>
      <c r="AO1626" s="395"/>
      <c r="AP1626" s="395" t="e">
        <f t="shared" si="1004"/>
        <v>#DIV/0!</v>
      </c>
      <c r="AQ1626" s="393"/>
      <c r="AR1626" s="337"/>
      <c r="AS1626" s="497"/>
      <c r="AT1626" s="544"/>
      <c r="AU1626" s="394"/>
      <c r="AV1626" s="394"/>
      <c r="AW1626" s="394"/>
      <c r="AX1626" s="394"/>
      <c r="AY1626" s="394"/>
      <c r="AZ1626" s="394"/>
      <c r="BA1626" s="394"/>
      <c r="BB1626" s="394"/>
      <c r="BC1626" s="394"/>
      <c r="BD1626" s="381"/>
      <c r="BE1626" s="408"/>
      <c r="BF1626" s="385"/>
      <c r="BG1626" s="475"/>
      <c r="BH1626" s="395"/>
      <c r="BI1626" s="395" t="e">
        <f t="shared" si="1005"/>
        <v>#DIV/0!</v>
      </c>
    </row>
    <row r="1627" spans="1:61" s="358" customFormat="1" ht="19.2" x14ac:dyDescent="0.3">
      <c r="A1627" s="359" t="s">
        <v>329</v>
      </c>
      <c r="B1627" s="537" t="s">
        <v>1441</v>
      </c>
      <c r="C1627" s="546" t="s">
        <v>840</v>
      </c>
      <c r="D1627" s="360">
        <v>0.4</v>
      </c>
      <c r="E1627" s="393"/>
      <c r="F1627" s="337">
        <v>1</v>
      </c>
      <c r="G1627" s="497"/>
      <c r="H1627" s="544">
        <v>14.02251</v>
      </c>
      <c r="I1627" s="394">
        <v>12.32602</v>
      </c>
      <c r="J1627" s="394">
        <v>10.464</v>
      </c>
      <c r="K1627" s="394"/>
      <c r="L1627" s="394"/>
      <c r="M1627" s="394">
        <v>0</v>
      </c>
      <c r="N1627" s="394">
        <v>0</v>
      </c>
      <c r="O1627" s="394">
        <v>0.39550000000000002</v>
      </c>
      <c r="P1627" s="394">
        <v>10.464</v>
      </c>
      <c r="Q1627" s="394"/>
      <c r="R1627" s="381" t="s">
        <v>167</v>
      </c>
      <c r="S1627" s="408" t="s">
        <v>175</v>
      </c>
      <c r="T1627" s="385"/>
      <c r="U1627" s="475">
        <v>543</v>
      </c>
      <c r="V1627" s="395"/>
      <c r="W1627" s="395">
        <f t="shared" si="1006"/>
        <v>14.02251</v>
      </c>
      <c r="X1627" s="393"/>
      <c r="Y1627" s="337"/>
      <c r="Z1627" s="497"/>
      <c r="AA1627" s="544"/>
      <c r="AB1627" s="394"/>
      <c r="AC1627" s="394"/>
      <c r="AD1627" s="394"/>
      <c r="AE1627" s="394"/>
      <c r="AF1627" s="394"/>
      <c r="AG1627" s="394"/>
      <c r="AH1627" s="394"/>
      <c r="AI1627" s="394"/>
      <c r="AJ1627" s="394"/>
      <c r="AK1627" s="381"/>
      <c r="AL1627" s="408"/>
      <c r="AM1627" s="385"/>
      <c r="AN1627" s="475"/>
      <c r="AO1627" s="395"/>
      <c r="AP1627" s="395" t="e">
        <f t="shared" si="1004"/>
        <v>#DIV/0!</v>
      </c>
      <c r="AQ1627" s="393"/>
      <c r="AR1627" s="337"/>
      <c r="AS1627" s="497"/>
      <c r="AT1627" s="544"/>
      <c r="AU1627" s="394"/>
      <c r="AV1627" s="394"/>
      <c r="AW1627" s="394"/>
      <c r="AX1627" s="394"/>
      <c r="AY1627" s="394"/>
      <c r="AZ1627" s="394"/>
      <c r="BA1627" s="394"/>
      <c r="BB1627" s="394"/>
      <c r="BC1627" s="394"/>
      <c r="BD1627" s="381"/>
      <c r="BE1627" s="408"/>
      <c r="BF1627" s="385"/>
      <c r="BG1627" s="475"/>
      <c r="BH1627" s="395"/>
      <c r="BI1627" s="395" t="e">
        <f t="shared" si="1005"/>
        <v>#DIV/0!</v>
      </c>
    </row>
    <row r="1628" spans="1:61" s="358" customFormat="1" ht="19.2" x14ac:dyDescent="0.3">
      <c r="A1628" s="359" t="s">
        <v>189</v>
      </c>
      <c r="B1628" s="537" t="s">
        <v>1442</v>
      </c>
      <c r="C1628" s="546" t="s">
        <v>841</v>
      </c>
      <c r="D1628" s="360">
        <v>0.4</v>
      </c>
      <c r="E1628" s="393"/>
      <c r="F1628" s="337">
        <v>1</v>
      </c>
      <c r="G1628" s="497"/>
      <c r="H1628" s="544">
        <v>14.02251</v>
      </c>
      <c r="I1628" s="394">
        <v>12.32602</v>
      </c>
      <c r="J1628" s="394">
        <v>10.464</v>
      </c>
      <c r="K1628" s="394"/>
      <c r="L1628" s="394"/>
      <c r="M1628" s="394">
        <v>0</v>
      </c>
      <c r="N1628" s="394">
        <v>0</v>
      </c>
      <c r="O1628" s="394">
        <v>0.39550000000000002</v>
      </c>
      <c r="P1628" s="394">
        <v>10.464</v>
      </c>
      <c r="Q1628" s="394"/>
      <c r="R1628" s="381" t="s">
        <v>167</v>
      </c>
      <c r="S1628" s="408" t="s">
        <v>175</v>
      </c>
      <c r="T1628" s="385"/>
      <c r="U1628" s="475">
        <v>544</v>
      </c>
      <c r="V1628" s="395"/>
      <c r="W1628" s="395">
        <f t="shared" si="1006"/>
        <v>14.02251</v>
      </c>
      <c r="X1628" s="393"/>
      <c r="Y1628" s="337"/>
      <c r="Z1628" s="497"/>
      <c r="AA1628" s="544"/>
      <c r="AB1628" s="394"/>
      <c r="AC1628" s="394"/>
      <c r="AD1628" s="394"/>
      <c r="AE1628" s="394"/>
      <c r="AF1628" s="394"/>
      <c r="AG1628" s="394"/>
      <c r="AH1628" s="394"/>
      <c r="AI1628" s="394"/>
      <c r="AJ1628" s="394"/>
      <c r="AK1628" s="381"/>
      <c r="AL1628" s="408"/>
      <c r="AM1628" s="385"/>
      <c r="AN1628" s="475"/>
      <c r="AO1628" s="395"/>
      <c r="AP1628" s="395" t="e">
        <f t="shared" si="1004"/>
        <v>#DIV/0!</v>
      </c>
      <c r="AQ1628" s="393"/>
      <c r="AR1628" s="337"/>
      <c r="AS1628" s="497"/>
      <c r="AT1628" s="544"/>
      <c r="AU1628" s="394"/>
      <c r="AV1628" s="394"/>
      <c r="AW1628" s="394"/>
      <c r="AX1628" s="394"/>
      <c r="AY1628" s="394"/>
      <c r="AZ1628" s="394"/>
      <c r="BA1628" s="394"/>
      <c r="BB1628" s="394"/>
      <c r="BC1628" s="394"/>
      <c r="BD1628" s="381"/>
      <c r="BE1628" s="408"/>
      <c r="BF1628" s="385"/>
      <c r="BG1628" s="475"/>
      <c r="BH1628" s="395"/>
      <c r="BI1628" s="395" t="e">
        <f t="shared" si="1005"/>
        <v>#DIV/0!</v>
      </c>
    </row>
    <row r="1629" spans="1:61" s="358" customFormat="1" ht="19.2" x14ac:dyDescent="0.3">
      <c r="A1629" s="359" t="s">
        <v>267</v>
      </c>
      <c r="B1629" s="537" t="s">
        <v>1443</v>
      </c>
      <c r="C1629" s="546" t="s">
        <v>842</v>
      </c>
      <c r="D1629" s="360">
        <v>0.4</v>
      </c>
      <c r="E1629" s="393"/>
      <c r="F1629" s="337">
        <v>1</v>
      </c>
      <c r="G1629" s="497"/>
      <c r="H1629" s="544">
        <v>14.02251</v>
      </c>
      <c r="I1629" s="394">
        <v>12.32602</v>
      </c>
      <c r="J1629" s="394">
        <v>10.464</v>
      </c>
      <c r="K1629" s="394"/>
      <c r="L1629" s="394"/>
      <c r="M1629" s="394">
        <v>0</v>
      </c>
      <c r="N1629" s="394">
        <v>0</v>
      </c>
      <c r="O1629" s="394">
        <v>0.39550000000000002</v>
      </c>
      <c r="P1629" s="394">
        <v>10.464</v>
      </c>
      <c r="Q1629" s="394"/>
      <c r="R1629" s="381" t="s">
        <v>167</v>
      </c>
      <c r="S1629" s="408" t="s">
        <v>175</v>
      </c>
      <c r="T1629" s="385"/>
      <c r="U1629" s="475">
        <v>545</v>
      </c>
      <c r="V1629" s="395"/>
      <c r="W1629" s="395">
        <f t="shared" si="1006"/>
        <v>14.02251</v>
      </c>
      <c r="X1629" s="393"/>
      <c r="Y1629" s="337"/>
      <c r="Z1629" s="497"/>
      <c r="AA1629" s="544"/>
      <c r="AB1629" s="394"/>
      <c r="AC1629" s="394"/>
      <c r="AD1629" s="394"/>
      <c r="AE1629" s="394"/>
      <c r="AF1629" s="394"/>
      <c r="AG1629" s="394"/>
      <c r="AH1629" s="394"/>
      <c r="AI1629" s="394"/>
      <c r="AJ1629" s="394"/>
      <c r="AK1629" s="381"/>
      <c r="AL1629" s="408"/>
      <c r="AM1629" s="385"/>
      <c r="AN1629" s="475"/>
      <c r="AO1629" s="395"/>
      <c r="AP1629" s="395" t="e">
        <f t="shared" si="1004"/>
        <v>#DIV/0!</v>
      </c>
      <c r="AQ1629" s="393"/>
      <c r="AR1629" s="337"/>
      <c r="AS1629" s="497"/>
      <c r="AT1629" s="544"/>
      <c r="AU1629" s="394"/>
      <c r="AV1629" s="394"/>
      <c r="AW1629" s="394"/>
      <c r="AX1629" s="394"/>
      <c r="AY1629" s="394"/>
      <c r="AZ1629" s="394"/>
      <c r="BA1629" s="394"/>
      <c r="BB1629" s="394"/>
      <c r="BC1629" s="394"/>
      <c r="BD1629" s="381"/>
      <c r="BE1629" s="408"/>
      <c r="BF1629" s="385"/>
      <c r="BG1629" s="475"/>
      <c r="BH1629" s="395"/>
      <c r="BI1629" s="395" t="e">
        <f t="shared" si="1005"/>
        <v>#DIV/0!</v>
      </c>
    </row>
    <row r="1630" spans="1:61" s="358" customFormat="1" ht="19.2" x14ac:dyDescent="0.3">
      <c r="A1630" s="359" t="s">
        <v>268</v>
      </c>
      <c r="B1630" s="537" t="s">
        <v>1447</v>
      </c>
      <c r="C1630" s="546" t="s">
        <v>843</v>
      </c>
      <c r="D1630" s="360">
        <v>0.4</v>
      </c>
      <c r="E1630" s="393"/>
      <c r="F1630" s="337">
        <v>1</v>
      </c>
      <c r="G1630" s="497"/>
      <c r="H1630" s="544">
        <v>13.37505</v>
      </c>
      <c r="I1630" s="394">
        <v>11.678559999999999</v>
      </c>
      <c r="J1630" s="394">
        <v>10.464</v>
      </c>
      <c r="K1630" s="394"/>
      <c r="L1630" s="394"/>
      <c r="M1630" s="394">
        <v>0</v>
      </c>
      <c r="N1630" s="394">
        <v>0</v>
      </c>
      <c r="O1630" s="394">
        <v>0.39550000000000002</v>
      </c>
      <c r="P1630" s="394">
        <v>10.464</v>
      </c>
      <c r="Q1630" s="394"/>
      <c r="R1630" s="381" t="s">
        <v>167</v>
      </c>
      <c r="S1630" s="408" t="s">
        <v>175</v>
      </c>
      <c r="T1630" s="385"/>
      <c r="U1630" s="475">
        <v>546</v>
      </c>
      <c r="V1630" s="395"/>
      <c r="W1630" s="395">
        <f t="shared" si="1006"/>
        <v>13.37505</v>
      </c>
      <c r="X1630" s="393"/>
      <c r="Y1630" s="337"/>
      <c r="Z1630" s="497"/>
      <c r="AA1630" s="544"/>
      <c r="AB1630" s="394"/>
      <c r="AC1630" s="394"/>
      <c r="AD1630" s="394"/>
      <c r="AE1630" s="394"/>
      <c r="AF1630" s="394"/>
      <c r="AG1630" s="394"/>
      <c r="AH1630" s="394"/>
      <c r="AI1630" s="394"/>
      <c r="AJ1630" s="394"/>
      <c r="AK1630" s="381"/>
      <c r="AL1630" s="408"/>
      <c r="AM1630" s="385"/>
      <c r="AN1630" s="475"/>
      <c r="AO1630" s="395"/>
      <c r="AP1630" s="395" t="e">
        <f t="shared" si="1004"/>
        <v>#DIV/0!</v>
      </c>
      <c r="AQ1630" s="393"/>
      <c r="AR1630" s="337"/>
      <c r="AS1630" s="497"/>
      <c r="AT1630" s="544"/>
      <c r="AU1630" s="394"/>
      <c r="AV1630" s="394"/>
      <c r="AW1630" s="394"/>
      <c r="AX1630" s="394"/>
      <c r="AY1630" s="394"/>
      <c r="AZ1630" s="394"/>
      <c r="BA1630" s="394"/>
      <c r="BB1630" s="394"/>
      <c r="BC1630" s="394"/>
      <c r="BD1630" s="381"/>
      <c r="BE1630" s="408"/>
      <c r="BF1630" s="385"/>
      <c r="BG1630" s="475"/>
      <c r="BH1630" s="395"/>
      <c r="BI1630" s="395" t="e">
        <f t="shared" si="1005"/>
        <v>#DIV/0!</v>
      </c>
    </row>
    <row r="1631" spans="1:61" s="358" customFormat="1" ht="19.2" x14ac:dyDescent="0.3">
      <c r="A1631" s="359" t="s">
        <v>333</v>
      </c>
      <c r="B1631" s="537" t="s">
        <v>1445</v>
      </c>
      <c r="C1631" s="546" t="s">
        <v>844</v>
      </c>
      <c r="D1631" s="360">
        <v>0.4</v>
      </c>
      <c r="E1631" s="393"/>
      <c r="F1631" s="337">
        <v>1</v>
      </c>
      <c r="G1631" s="497"/>
      <c r="H1631" s="544">
        <v>13.37505</v>
      </c>
      <c r="I1631" s="394">
        <v>11.678559999999999</v>
      </c>
      <c r="J1631" s="394">
        <v>10.464</v>
      </c>
      <c r="K1631" s="394"/>
      <c r="L1631" s="394"/>
      <c r="M1631" s="394">
        <v>0</v>
      </c>
      <c r="N1631" s="394">
        <v>0</v>
      </c>
      <c r="O1631" s="394">
        <v>0.39550000000000002</v>
      </c>
      <c r="P1631" s="394">
        <v>10.464</v>
      </c>
      <c r="Q1631" s="394"/>
      <c r="R1631" s="381" t="s">
        <v>167</v>
      </c>
      <c r="S1631" s="408" t="s">
        <v>175</v>
      </c>
      <c r="T1631" s="385"/>
      <c r="U1631" s="475">
        <v>547</v>
      </c>
      <c r="V1631" s="395"/>
      <c r="W1631" s="395">
        <f t="shared" si="1006"/>
        <v>13.37505</v>
      </c>
      <c r="X1631" s="393"/>
      <c r="Y1631" s="337"/>
      <c r="Z1631" s="497"/>
      <c r="AA1631" s="544"/>
      <c r="AB1631" s="394"/>
      <c r="AC1631" s="394"/>
      <c r="AD1631" s="394"/>
      <c r="AE1631" s="394"/>
      <c r="AF1631" s="394"/>
      <c r="AG1631" s="394"/>
      <c r="AH1631" s="394"/>
      <c r="AI1631" s="394"/>
      <c r="AJ1631" s="394"/>
      <c r="AK1631" s="381"/>
      <c r="AL1631" s="408"/>
      <c r="AM1631" s="385"/>
      <c r="AN1631" s="475"/>
      <c r="AO1631" s="395"/>
      <c r="AP1631" s="395" t="e">
        <f t="shared" si="1004"/>
        <v>#DIV/0!</v>
      </c>
      <c r="AQ1631" s="393"/>
      <c r="AR1631" s="337"/>
      <c r="AS1631" s="497"/>
      <c r="AT1631" s="544"/>
      <c r="AU1631" s="394"/>
      <c r="AV1631" s="394"/>
      <c r="AW1631" s="394"/>
      <c r="AX1631" s="394"/>
      <c r="AY1631" s="394"/>
      <c r="AZ1631" s="394"/>
      <c r="BA1631" s="394"/>
      <c r="BB1631" s="394"/>
      <c r="BC1631" s="394"/>
      <c r="BD1631" s="381"/>
      <c r="BE1631" s="408"/>
      <c r="BF1631" s="385"/>
      <c r="BG1631" s="475"/>
      <c r="BH1631" s="395"/>
      <c r="BI1631" s="395" t="e">
        <f t="shared" si="1005"/>
        <v>#DIV/0!</v>
      </c>
    </row>
    <row r="1632" spans="1:61" s="358" customFormat="1" ht="19.2" x14ac:dyDescent="0.3">
      <c r="A1632" s="359" t="s">
        <v>270</v>
      </c>
      <c r="B1632" s="537" t="s">
        <v>1446</v>
      </c>
      <c r="C1632" s="546" t="s">
        <v>845</v>
      </c>
      <c r="D1632" s="360">
        <v>0.4</v>
      </c>
      <c r="E1632" s="393"/>
      <c r="F1632" s="337">
        <v>1</v>
      </c>
      <c r="G1632" s="497"/>
      <c r="H1632" s="544">
        <v>11.4527</v>
      </c>
      <c r="I1632" s="394">
        <v>9.7562099999999994</v>
      </c>
      <c r="J1632" s="394">
        <v>8.5416600000000003</v>
      </c>
      <c r="K1632" s="394"/>
      <c r="L1632" s="394"/>
      <c r="M1632" s="394">
        <v>0</v>
      </c>
      <c r="N1632" s="394">
        <v>0</v>
      </c>
      <c r="O1632" s="394">
        <v>0.39550000000000002</v>
      </c>
      <c r="P1632" s="394">
        <v>8.5416600000000003</v>
      </c>
      <c r="Q1632" s="394"/>
      <c r="R1632" s="381" t="s">
        <v>167</v>
      </c>
      <c r="S1632" s="408" t="s">
        <v>175</v>
      </c>
      <c r="T1632" s="385"/>
      <c r="U1632" s="475">
        <v>548</v>
      </c>
      <c r="V1632" s="395"/>
      <c r="W1632" s="395">
        <f t="shared" si="1006"/>
        <v>11.4527</v>
      </c>
      <c r="X1632" s="393"/>
      <c r="Y1632" s="337"/>
      <c r="Z1632" s="497"/>
      <c r="AA1632" s="544"/>
      <c r="AB1632" s="394"/>
      <c r="AC1632" s="394"/>
      <c r="AD1632" s="394"/>
      <c r="AE1632" s="394"/>
      <c r="AF1632" s="394"/>
      <c r="AG1632" s="394"/>
      <c r="AH1632" s="394"/>
      <c r="AI1632" s="394"/>
      <c r="AJ1632" s="394"/>
      <c r="AK1632" s="381"/>
      <c r="AL1632" s="408"/>
      <c r="AM1632" s="385"/>
      <c r="AN1632" s="475"/>
      <c r="AO1632" s="395"/>
      <c r="AP1632" s="395" t="e">
        <f t="shared" si="1004"/>
        <v>#DIV/0!</v>
      </c>
      <c r="AQ1632" s="393"/>
      <c r="AR1632" s="337"/>
      <c r="AS1632" s="497"/>
      <c r="AT1632" s="544"/>
      <c r="AU1632" s="394"/>
      <c r="AV1632" s="394"/>
      <c r="AW1632" s="394"/>
      <c r="AX1632" s="394"/>
      <c r="AY1632" s="394"/>
      <c r="AZ1632" s="394"/>
      <c r="BA1632" s="394"/>
      <c r="BB1632" s="394"/>
      <c r="BC1632" s="394"/>
      <c r="BD1632" s="381"/>
      <c r="BE1632" s="408"/>
      <c r="BF1632" s="385"/>
      <c r="BG1632" s="475"/>
      <c r="BH1632" s="395"/>
      <c r="BI1632" s="395" t="e">
        <f t="shared" si="1005"/>
        <v>#DIV/0!</v>
      </c>
    </row>
    <row r="1633" spans="1:61" s="358" customFormat="1" ht="19.2" x14ac:dyDescent="0.3">
      <c r="A1633" s="359" t="s">
        <v>271</v>
      </c>
      <c r="B1633" s="537" t="s">
        <v>1448</v>
      </c>
      <c r="C1633" s="546" t="s">
        <v>846</v>
      </c>
      <c r="D1633" s="360">
        <v>0.4</v>
      </c>
      <c r="E1633" s="393"/>
      <c r="F1633" s="337">
        <v>1</v>
      </c>
      <c r="G1633" s="497"/>
      <c r="H1633" s="544">
        <v>14.02251</v>
      </c>
      <c r="I1633" s="394">
        <v>12.32602</v>
      </c>
      <c r="J1633" s="394">
        <v>10.464</v>
      </c>
      <c r="K1633" s="394"/>
      <c r="L1633" s="394"/>
      <c r="M1633" s="394">
        <v>0</v>
      </c>
      <c r="N1633" s="394">
        <v>0</v>
      </c>
      <c r="O1633" s="394">
        <v>0.39550000000000002</v>
      </c>
      <c r="P1633" s="394">
        <v>10.464</v>
      </c>
      <c r="Q1633" s="394"/>
      <c r="R1633" s="381" t="s">
        <v>167</v>
      </c>
      <c r="S1633" s="408" t="s">
        <v>175</v>
      </c>
      <c r="T1633" s="385"/>
      <c r="U1633" s="475">
        <v>549</v>
      </c>
      <c r="V1633" s="395"/>
      <c r="W1633" s="395">
        <f t="shared" si="1006"/>
        <v>14.02251</v>
      </c>
      <c r="X1633" s="393"/>
      <c r="Y1633" s="337"/>
      <c r="Z1633" s="497"/>
      <c r="AA1633" s="544"/>
      <c r="AB1633" s="394"/>
      <c r="AC1633" s="394"/>
      <c r="AD1633" s="394"/>
      <c r="AE1633" s="394"/>
      <c r="AF1633" s="394"/>
      <c r="AG1633" s="394"/>
      <c r="AH1633" s="394"/>
      <c r="AI1633" s="394"/>
      <c r="AJ1633" s="394"/>
      <c r="AK1633" s="381"/>
      <c r="AL1633" s="408"/>
      <c r="AM1633" s="385"/>
      <c r="AN1633" s="475"/>
      <c r="AO1633" s="395"/>
      <c r="AP1633" s="395" t="e">
        <f t="shared" si="1004"/>
        <v>#DIV/0!</v>
      </c>
      <c r="AQ1633" s="393"/>
      <c r="AR1633" s="337"/>
      <c r="AS1633" s="497"/>
      <c r="AT1633" s="544"/>
      <c r="AU1633" s="394"/>
      <c r="AV1633" s="394"/>
      <c r="AW1633" s="394"/>
      <c r="AX1633" s="394"/>
      <c r="AY1633" s="394"/>
      <c r="AZ1633" s="394"/>
      <c r="BA1633" s="394"/>
      <c r="BB1633" s="394"/>
      <c r="BC1633" s="394"/>
      <c r="BD1633" s="381"/>
      <c r="BE1633" s="408"/>
      <c r="BF1633" s="385"/>
      <c r="BG1633" s="475"/>
      <c r="BH1633" s="395"/>
      <c r="BI1633" s="395" t="e">
        <f t="shared" si="1005"/>
        <v>#DIV/0!</v>
      </c>
    </row>
    <row r="1634" spans="1:61" s="358" customFormat="1" ht="19.2" x14ac:dyDescent="0.3">
      <c r="A1634" s="359"/>
      <c r="B1634" s="537" t="s">
        <v>1449</v>
      </c>
      <c r="C1634" s="546" t="s">
        <v>847</v>
      </c>
      <c r="D1634" s="360">
        <v>0.4</v>
      </c>
      <c r="E1634" s="393"/>
      <c r="F1634" s="337">
        <v>1</v>
      </c>
      <c r="G1634" s="497"/>
      <c r="H1634" s="544">
        <v>11.45269</v>
      </c>
      <c r="I1634" s="394">
        <v>9.7561999999999998</v>
      </c>
      <c r="J1634" s="394">
        <v>8.5416600000000003</v>
      </c>
      <c r="K1634" s="394"/>
      <c r="L1634" s="394"/>
      <c r="M1634" s="394">
        <v>0</v>
      </c>
      <c r="N1634" s="394">
        <v>0</v>
      </c>
      <c r="O1634" s="394">
        <v>0.39550000000000002</v>
      </c>
      <c r="P1634" s="394">
        <v>8.5416600000000003</v>
      </c>
      <c r="Q1634" s="394"/>
      <c r="R1634" s="381" t="s">
        <v>167</v>
      </c>
      <c r="S1634" s="408" t="s">
        <v>175</v>
      </c>
      <c r="T1634" s="385"/>
      <c r="U1634" s="475">
        <v>550</v>
      </c>
      <c r="V1634" s="395"/>
      <c r="W1634" s="395">
        <f t="shared" si="1006"/>
        <v>11.45269</v>
      </c>
      <c r="X1634" s="393"/>
      <c r="Y1634" s="337"/>
      <c r="Z1634" s="497"/>
      <c r="AA1634" s="544"/>
      <c r="AB1634" s="394"/>
      <c r="AC1634" s="394"/>
      <c r="AD1634" s="394"/>
      <c r="AE1634" s="394"/>
      <c r="AF1634" s="394"/>
      <c r="AG1634" s="394"/>
      <c r="AH1634" s="394"/>
      <c r="AI1634" s="394"/>
      <c r="AJ1634" s="394"/>
      <c r="AK1634" s="381"/>
      <c r="AL1634" s="408"/>
      <c r="AM1634" s="385"/>
      <c r="AN1634" s="475"/>
      <c r="AO1634" s="395"/>
      <c r="AP1634" s="395" t="e">
        <f t="shared" si="1004"/>
        <v>#DIV/0!</v>
      </c>
      <c r="AQ1634" s="393"/>
      <c r="AR1634" s="337"/>
      <c r="AS1634" s="497"/>
      <c r="AT1634" s="544"/>
      <c r="AU1634" s="394"/>
      <c r="AV1634" s="394"/>
      <c r="AW1634" s="394"/>
      <c r="AX1634" s="394"/>
      <c r="AY1634" s="394"/>
      <c r="AZ1634" s="394"/>
      <c r="BA1634" s="394"/>
      <c r="BB1634" s="394"/>
      <c r="BC1634" s="394"/>
      <c r="BD1634" s="381"/>
      <c r="BE1634" s="408"/>
      <c r="BF1634" s="385"/>
      <c r="BG1634" s="475"/>
      <c r="BH1634" s="395"/>
      <c r="BI1634" s="395" t="e">
        <f t="shared" si="1005"/>
        <v>#DIV/0!</v>
      </c>
    </row>
    <row r="1635" spans="1:61" s="358" customFormat="1" ht="19.2" x14ac:dyDescent="0.3">
      <c r="A1635" s="359" t="s">
        <v>273</v>
      </c>
      <c r="B1635" s="537" t="s">
        <v>1450</v>
      </c>
      <c r="C1635" s="546" t="s">
        <v>848</v>
      </c>
      <c r="D1635" s="360">
        <v>0.4</v>
      </c>
      <c r="E1635" s="393"/>
      <c r="F1635" s="337">
        <v>1</v>
      </c>
      <c r="G1635" s="337"/>
      <c r="H1635" s="544">
        <v>11.4527</v>
      </c>
      <c r="I1635" s="394">
        <v>9.7561999999999998</v>
      </c>
      <c r="J1635" s="394">
        <v>8.5416600000000003</v>
      </c>
      <c r="K1635" s="394"/>
      <c r="L1635" s="394"/>
      <c r="M1635" s="394">
        <v>0</v>
      </c>
      <c r="N1635" s="394">
        <v>0</v>
      </c>
      <c r="O1635" s="394">
        <v>0.39550000000000002</v>
      </c>
      <c r="P1635" s="394">
        <v>8.5416600000000003</v>
      </c>
      <c r="Q1635" s="394"/>
      <c r="R1635" s="381" t="s">
        <v>167</v>
      </c>
      <c r="S1635" s="408" t="s">
        <v>175</v>
      </c>
      <c r="T1635" s="385"/>
      <c r="U1635" s="475">
        <v>551</v>
      </c>
      <c r="V1635" s="395"/>
      <c r="W1635" s="395">
        <f t="shared" si="1006"/>
        <v>11.4527</v>
      </c>
      <c r="X1635" s="393"/>
      <c r="Y1635" s="337"/>
      <c r="Z1635" s="337"/>
      <c r="AA1635" s="544"/>
      <c r="AB1635" s="394"/>
      <c r="AC1635" s="394"/>
      <c r="AD1635" s="394"/>
      <c r="AE1635" s="394"/>
      <c r="AF1635" s="394"/>
      <c r="AG1635" s="394"/>
      <c r="AH1635" s="394"/>
      <c r="AI1635" s="394"/>
      <c r="AJ1635" s="394"/>
      <c r="AK1635" s="381"/>
      <c r="AL1635" s="408"/>
      <c r="AM1635" s="385"/>
      <c r="AN1635" s="475"/>
      <c r="AO1635" s="395"/>
      <c r="AP1635" s="395" t="e">
        <f t="shared" si="1004"/>
        <v>#DIV/0!</v>
      </c>
      <c r="AQ1635" s="393"/>
      <c r="AR1635" s="337"/>
      <c r="AS1635" s="337"/>
      <c r="AT1635" s="544"/>
      <c r="AU1635" s="394"/>
      <c r="AV1635" s="394"/>
      <c r="AW1635" s="394"/>
      <c r="AX1635" s="394"/>
      <c r="AY1635" s="394"/>
      <c r="AZ1635" s="394"/>
      <c r="BA1635" s="394"/>
      <c r="BB1635" s="394"/>
      <c r="BC1635" s="394"/>
      <c r="BD1635" s="381"/>
      <c r="BE1635" s="408"/>
      <c r="BF1635" s="385"/>
      <c r="BG1635" s="475"/>
      <c r="BH1635" s="395"/>
      <c r="BI1635" s="395" t="e">
        <f t="shared" si="1005"/>
        <v>#DIV/0!</v>
      </c>
    </row>
    <row r="1636" spans="1:61" s="358" customFormat="1" ht="19.2" x14ac:dyDescent="0.3">
      <c r="A1636" s="359" t="s">
        <v>274</v>
      </c>
      <c r="B1636" s="537" t="s">
        <v>1451</v>
      </c>
      <c r="C1636" s="546" t="s">
        <v>849</v>
      </c>
      <c r="D1636" s="360">
        <v>0.4</v>
      </c>
      <c r="E1636" s="393"/>
      <c r="F1636" s="337">
        <v>1</v>
      </c>
      <c r="G1636" s="497"/>
      <c r="H1636" s="544">
        <v>13.37505</v>
      </c>
      <c r="I1636" s="394">
        <v>11.678559999999999</v>
      </c>
      <c r="J1636" s="394">
        <v>10.464</v>
      </c>
      <c r="K1636" s="394"/>
      <c r="L1636" s="394"/>
      <c r="M1636" s="394">
        <v>0</v>
      </c>
      <c r="N1636" s="394">
        <v>0</v>
      </c>
      <c r="O1636" s="394">
        <v>0.39550000000000002</v>
      </c>
      <c r="P1636" s="394">
        <v>10.464</v>
      </c>
      <c r="Q1636" s="394"/>
      <c r="R1636" s="381" t="s">
        <v>167</v>
      </c>
      <c r="S1636" s="408" t="s">
        <v>175</v>
      </c>
      <c r="T1636" s="385"/>
      <c r="U1636" s="475">
        <v>552</v>
      </c>
      <c r="V1636" s="395"/>
      <c r="W1636" s="395">
        <f t="shared" si="1006"/>
        <v>13.37505</v>
      </c>
      <c r="X1636" s="393"/>
      <c r="Y1636" s="337"/>
      <c r="Z1636" s="497"/>
      <c r="AA1636" s="544"/>
      <c r="AB1636" s="394"/>
      <c r="AC1636" s="394"/>
      <c r="AD1636" s="394"/>
      <c r="AE1636" s="394"/>
      <c r="AF1636" s="394"/>
      <c r="AG1636" s="394"/>
      <c r="AH1636" s="394"/>
      <c r="AI1636" s="394"/>
      <c r="AJ1636" s="394"/>
      <c r="AK1636" s="381"/>
      <c r="AL1636" s="408"/>
      <c r="AM1636" s="385"/>
      <c r="AN1636" s="475"/>
      <c r="AO1636" s="395"/>
      <c r="AP1636" s="395" t="e">
        <f t="shared" si="1004"/>
        <v>#DIV/0!</v>
      </c>
      <c r="AQ1636" s="393"/>
      <c r="AR1636" s="337"/>
      <c r="AS1636" s="497"/>
      <c r="AT1636" s="544"/>
      <c r="AU1636" s="394"/>
      <c r="AV1636" s="394"/>
      <c r="AW1636" s="394"/>
      <c r="AX1636" s="394"/>
      <c r="AY1636" s="394"/>
      <c r="AZ1636" s="394"/>
      <c r="BA1636" s="394"/>
      <c r="BB1636" s="394"/>
      <c r="BC1636" s="394"/>
      <c r="BD1636" s="381"/>
      <c r="BE1636" s="408"/>
      <c r="BF1636" s="385"/>
      <c r="BG1636" s="475"/>
      <c r="BH1636" s="395"/>
      <c r="BI1636" s="395" t="e">
        <f t="shared" si="1005"/>
        <v>#DIV/0!</v>
      </c>
    </row>
    <row r="1637" spans="1:61" s="358" customFormat="1" ht="19.2" x14ac:dyDescent="0.3">
      <c r="A1637" s="359" t="s">
        <v>275</v>
      </c>
      <c r="B1637" s="537" t="s">
        <v>1452</v>
      </c>
      <c r="C1637" s="546" t="s">
        <v>850</v>
      </c>
      <c r="D1637" s="360">
        <v>0.4</v>
      </c>
      <c r="E1637" s="393"/>
      <c r="F1637" s="337">
        <v>1</v>
      </c>
      <c r="G1637" s="497"/>
      <c r="H1637" s="544">
        <v>11.45269</v>
      </c>
      <c r="I1637" s="394">
        <v>9.7561999999999998</v>
      </c>
      <c r="J1637" s="394">
        <v>8.5416600000000003</v>
      </c>
      <c r="K1637" s="394"/>
      <c r="L1637" s="394"/>
      <c r="M1637" s="394">
        <v>0</v>
      </c>
      <c r="N1637" s="394">
        <v>0</v>
      </c>
      <c r="O1637" s="394">
        <v>0.39550000000000002</v>
      </c>
      <c r="P1637" s="394">
        <v>8.5416600000000003</v>
      </c>
      <c r="Q1637" s="394"/>
      <c r="R1637" s="381" t="s">
        <v>167</v>
      </c>
      <c r="S1637" s="408" t="s">
        <v>175</v>
      </c>
      <c r="T1637" s="385"/>
      <c r="U1637" s="475">
        <v>553</v>
      </c>
      <c r="V1637" s="395"/>
      <c r="W1637" s="395">
        <f t="shared" si="1006"/>
        <v>11.45269</v>
      </c>
      <c r="X1637" s="393"/>
      <c r="Y1637" s="337"/>
      <c r="Z1637" s="497"/>
      <c r="AA1637" s="544"/>
      <c r="AB1637" s="394"/>
      <c r="AC1637" s="394"/>
      <c r="AD1637" s="394"/>
      <c r="AE1637" s="394"/>
      <c r="AF1637" s="394"/>
      <c r="AG1637" s="394"/>
      <c r="AH1637" s="394"/>
      <c r="AI1637" s="394"/>
      <c r="AJ1637" s="394"/>
      <c r="AK1637" s="381"/>
      <c r="AL1637" s="408"/>
      <c r="AM1637" s="385"/>
      <c r="AN1637" s="475"/>
      <c r="AO1637" s="395"/>
      <c r="AP1637" s="395" t="e">
        <f t="shared" si="1004"/>
        <v>#DIV/0!</v>
      </c>
      <c r="AQ1637" s="393"/>
      <c r="AR1637" s="337"/>
      <c r="AS1637" s="497"/>
      <c r="AT1637" s="544"/>
      <c r="AU1637" s="394"/>
      <c r="AV1637" s="394"/>
      <c r="AW1637" s="394"/>
      <c r="AX1637" s="394"/>
      <c r="AY1637" s="394"/>
      <c r="AZ1637" s="394"/>
      <c r="BA1637" s="394"/>
      <c r="BB1637" s="394"/>
      <c r="BC1637" s="394"/>
      <c r="BD1637" s="381"/>
      <c r="BE1637" s="408"/>
      <c r="BF1637" s="385"/>
      <c r="BG1637" s="475"/>
      <c r="BH1637" s="395"/>
      <c r="BI1637" s="395" t="e">
        <f t="shared" si="1005"/>
        <v>#DIV/0!</v>
      </c>
    </row>
    <row r="1638" spans="1:61" s="358" customFormat="1" ht="19.2" x14ac:dyDescent="0.3">
      <c r="A1638" s="359" t="s">
        <v>276</v>
      </c>
      <c r="B1638" s="537" t="s">
        <v>1453</v>
      </c>
      <c r="C1638" s="546" t="s">
        <v>851</v>
      </c>
      <c r="D1638" s="360">
        <v>0.4</v>
      </c>
      <c r="E1638" s="393"/>
      <c r="F1638" s="337">
        <v>1</v>
      </c>
      <c r="G1638" s="497"/>
      <c r="H1638" s="544">
        <v>14.02251</v>
      </c>
      <c r="I1638" s="394">
        <v>12.32602</v>
      </c>
      <c r="J1638" s="394">
        <v>10.464</v>
      </c>
      <c r="K1638" s="394"/>
      <c r="L1638" s="394"/>
      <c r="M1638" s="394">
        <v>0</v>
      </c>
      <c r="N1638" s="394">
        <v>0</v>
      </c>
      <c r="O1638" s="394">
        <v>0.39550000000000002</v>
      </c>
      <c r="P1638" s="394">
        <v>10.464</v>
      </c>
      <c r="Q1638" s="394"/>
      <c r="R1638" s="381" t="s">
        <v>167</v>
      </c>
      <c r="S1638" s="408" t="s">
        <v>175</v>
      </c>
      <c r="T1638" s="385"/>
      <c r="U1638" s="475">
        <v>554</v>
      </c>
      <c r="V1638" s="395"/>
      <c r="W1638" s="395">
        <f t="shared" si="1006"/>
        <v>14.02251</v>
      </c>
      <c r="X1638" s="393"/>
      <c r="Y1638" s="337"/>
      <c r="Z1638" s="497"/>
      <c r="AA1638" s="544"/>
      <c r="AB1638" s="394"/>
      <c r="AC1638" s="394"/>
      <c r="AD1638" s="394"/>
      <c r="AE1638" s="394"/>
      <c r="AF1638" s="394"/>
      <c r="AG1638" s="394"/>
      <c r="AH1638" s="394"/>
      <c r="AI1638" s="394"/>
      <c r="AJ1638" s="394"/>
      <c r="AK1638" s="381"/>
      <c r="AL1638" s="408"/>
      <c r="AM1638" s="385"/>
      <c r="AN1638" s="475"/>
      <c r="AO1638" s="395"/>
      <c r="AP1638" s="395" t="e">
        <f t="shared" si="1004"/>
        <v>#DIV/0!</v>
      </c>
      <c r="AQ1638" s="393"/>
      <c r="AR1638" s="337"/>
      <c r="AS1638" s="497"/>
      <c r="AT1638" s="544"/>
      <c r="AU1638" s="394"/>
      <c r="AV1638" s="394"/>
      <c r="AW1638" s="394"/>
      <c r="AX1638" s="394"/>
      <c r="AY1638" s="394"/>
      <c r="AZ1638" s="394"/>
      <c r="BA1638" s="394"/>
      <c r="BB1638" s="394"/>
      <c r="BC1638" s="394"/>
      <c r="BD1638" s="381"/>
      <c r="BE1638" s="408"/>
      <c r="BF1638" s="385"/>
      <c r="BG1638" s="475"/>
      <c r="BH1638" s="395"/>
      <c r="BI1638" s="395" t="e">
        <f t="shared" si="1005"/>
        <v>#DIV/0!</v>
      </c>
    </row>
    <row r="1639" spans="1:61" s="358" customFormat="1" ht="19.2" x14ac:dyDescent="0.3">
      <c r="A1639" s="359" t="s">
        <v>277</v>
      </c>
      <c r="B1639" s="537" t="s">
        <v>1454</v>
      </c>
      <c r="C1639" s="546" t="s">
        <v>852</v>
      </c>
      <c r="D1639" s="360">
        <v>0.4</v>
      </c>
      <c r="E1639" s="393"/>
      <c r="F1639" s="337">
        <v>1</v>
      </c>
      <c r="G1639" s="497"/>
      <c r="H1639" s="544">
        <v>14.02253</v>
      </c>
      <c r="I1639" s="394">
        <v>12.32602</v>
      </c>
      <c r="J1639" s="394">
        <v>10.464</v>
      </c>
      <c r="K1639" s="394"/>
      <c r="L1639" s="394"/>
      <c r="M1639" s="394">
        <v>0</v>
      </c>
      <c r="N1639" s="394">
        <v>0</v>
      </c>
      <c r="O1639" s="394">
        <v>0.39550000000000002</v>
      </c>
      <c r="P1639" s="394">
        <v>10.464</v>
      </c>
      <c r="Q1639" s="394"/>
      <c r="R1639" s="381" t="s">
        <v>167</v>
      </c>
      <c r="S1639" s="408" t="s">
        <v>175</v>
      </c>
      <c r="T1639" s="385"/>
      <c r="U1639" s="475">
        <v>555</v>
      </c>
      <c r="V1639" s="395"/>
      <c r="W1639" s="395">
        <f t="shared" si="1006"/>
        <v>14.02253</v>
      </c>
      <c r="X1639" s="393"/>
      <c r="Y1639" s="337"/>
      <c r="Z1639" s="497"/>
      <c r="AA1639" s="544"/>
      <c r="AB1639" s="394"/>
      <c r="AC1639" s="394"/>
      <c r="AD1639" s="394"/>
      <c r="AE1639" s="394"/>
      <c r="AF1639" s="394"/>
      <c r="AG1639" s="394"/>
      <c r="AH1639" s="394"/>
      <c r="AI1639" s="394"/>
      <c r="AJ1639" s="394"/>
      <c r="AK1639" s="381"/>
      <c r="AL1639" s="408"/>
      <c r="AM1639" s="385"/>
      <c r="AN1639" s="475"/>
      <c r="AO1639" s="395"/>
      <c r="AP1639" s="395" t="e">
        <f t="shared" si="1004"/>
        <v>#DIV/0!</v>
      </c>
      <c r="AQ1639" s="393"/>
      <c r="AR1639" s="337"/>
      <c r="AS1639" s="497"/>
      <c r="AT1639" s="544"/>
      <c r="AU1639" s="394"/>
      <c r="AV1639" s="394"/>
      <c r="AW1639" s="394"/>
      <c r="AX1639" s="394"/>
      <c r="AY1639" s="394"/>
      <c r="AZ1639" s="394"/>
      <c r="BA1639" s="394"/>
      <c r="BB1639" s="394"/>
      <c r="BC1639" s="394"/>
      <c r="BD1639" s="381"/>
      <c r="BE1639" s="408"/>
      <c r="BF1639" s="385"/>
      <c r="BG1639" s="475"/>
      <c r="BH1639" s="395"/>
      <c r="BI1639" s="395" t="e">
        <f t="shared" si="1005"/>
        <v>#DIV/0!</v>
      </c>
    </row>
    <row r="1640" spans="1:61" s="358" customFormat="1" ht="19.2" x14ac:dyDescent="0.3">
      <c r="A1640" s="359" t="s">
        <v>326</v>
      </c>
      <c r="B1640" s="537" t="s">
        <v>551</v>
      </c>
      <c r="C1640" s="546" t="s">
        <v>416</v>
      </c>
      <c r="D1640" s="360">
        <v>0.4</v>
      </c>
      <c r="E1640" s="393"/>
      <c r="F1640" s="337">
        <v>1</v>
      </c>
      <c r="G1640" s="497"/>
      <c r="H1640" s="544">
        <v>14.02252</v>
      </c>
      <c r="I1640" s="394">
        <v>12.32602</v>
      </c>
      <c r="J1640" s="394">
        <v>10.464</v>
      </c>
      <c r="K1640" s="394"/>
      <c r="L1640" s="394"/>
      <c r="M1640" s="394">
        <v>0</v>
      </c>
      <c r="N1640" s="394">
        <v>0</v>
      </c>
      <c r="O1640" s="394">
        <v>0.39550000000000002</v>
      </c>
      <c r="P1640" s="394">
        <v>10.464</v>
      </c>
      <c r="Q1640" s="394"/>
      <c r="R1640" s="381" t="s">
        <v>167</v>
      </c>
      <c r="S1640" s="408" t="s">
        <v>175</v>
      </c>
      <c r="T1640" s="385"/>
      <c r="U1640" s="475">
        <v>556</v>
      </c>
      <c r="V1640" s="395"/>
      <c r="W1640" s="395">
        <f t="shared" si="1006"/>
        <v>14.02252</v>
      </c>
      <c r="X1640" s="393"/>
      <c r="Y1640" s="337"/>
      <c r="Z1640" s="497"/>
      <c r="AA1640" s="544"/>
      <c r="AB1640" s="394"/>
      <c r="AC1640" s="394"/>
      <c r="AD1640" s="394"/>
      <c r="AE1640" s="394"/>
      <c r="AF1640" s="394"/>
      <c r="AG1640" s="394"/>
      <c r="AH1640" s="394"/>
      <c r="AI1640" s="394"/>
      <c r="AJ1640" s="394"/>
      <c r="AK1640" s="381"/>
      <c r="AL1640" s="408"/>
      <c r="AM1640" s="385"/>
      <c r="AN1640" s="475"/>
      <c r="AO1640" s="395"/>
      <c r="AP1640" s="395" t="e">
        <f t="shared" si="1004"/>
        <v>#DIV/0!</v>
      </c>
      <c r="AQ1640" s="393"/>
      <c r="AR1640" s="337"/>
      <c r="AS1640" s="497"/>
      <c r="AT1640" s="544"/>
      <c r="AU1640" s="394"/>
      <c r="AV1640" s="394"/>
      <c r="AW1640" s="394"/>
      <c r="AX1640" s="394"/>
      <c r="AY1640" s="394"/>
      <c r="AZ1640" s="394"/>
      <c r="BA1640" s="394"/>
      <c r="BB1640" s="394"/>
      <c r="BC1640" s="394"/>
      <c r="BD1640" s="381"/>
      <c r="BE1640" s="408"/>
      <c r="BF1640" s="385"/>
      <c r="BG1640" s="475"/>
      <c r="BH1640" s="395"/>
      <c r="BI1640" s="395" t="e">
        <f t="shared" si="1005"/>
        <v>#DIV/0!</v>
      </c>
    </row>
    <row r="1641" spans="1:61" s="358" customFormat="1" ht="19.2" x14ac:dyDescent="0.3">
      <c r="A1641" s="359" t="s">
        <v>327</v>
      </c>
      <c r="B1641" s="537" t="s">
        <v>1455</v>
      </c>
      <c r="C1641" s="546" t="s">
        <v>853</v>
      </c>
      <c r="D1641" s="360">
        <v>0.4</v>
      </c>
      <c r="E1641" s="393"/>
      <c r="F1641" s="337">
        <v>1</v>
      </c>
      <c r="G1641" s="497"/>
      <c r="H1641" s="544">
        <v>14.02253</v>
      </c>
      <c r="I1641" s="394">
        <v>12.32602</v>
      </c>
      <c r="J1641" s="394">
        <v>10.464</v>
      </c>
      <c r="K1641" s="394"/>
      <c r="L1641" s="394"/>
      <c r="M1641" s="394">
        <v>0</v>
      </c>
      <c r="N1641" s="394">
        <v>0</v>
      </c>
      <c r="O1641" s="394">
        <v>0.39550000000000002</v>
      </c>
      <c r="P1641" s="394">
        <v>10.464</v>
      </c>
      <c r="Q1641" s="394"/>
      <c r="R1641" s="381" t="s">
        <v>167</v>
      </c>
      <c r="S1641" s="408" t="s">
        <v>175</v>
      </c>
      <c r="T1641" s="385"/>
      <c r="U1641" s="475">
        <v>557</v>
      </c>
      <c r="V1641" s="395"/>
      <c r="W1641" s="395">
        <f t="shared" si="1006"/>
        <v>14.02253</v>
      </c>
      <c r="X1641" s="393"/>
      <c r="Y1641" s="337"/>
      <c r="Z1641" s="497"/>
      <c r="AA1641" s="544"/>
      <c r="AB1641" s="394"/>
      <c r="AC1641" s="394"/>
      <c r="AD1641" s="394"/>
      <c r="AE1641" s="394"/>
      <c r="AF1641" s="394"/>
      <c r="AG1641" s="394"/>
      <c r="AH1641" s="394"/>
      <c r="AI1641" s="394"/>
      <c r="AJ1641" s="394"/>
      <c r="AK1641" s="381"/>
      <c r="AL1641" s="408"/>
      <c r="AM1641" s="385"/>
      <c r="AN1641" s="475"/>
      <c r="AO1641" s="395"/>
      <c r="AP1641" s="395" t="e">
        <f t="shared" si="1004"/>
        <v>#DIV/0!</v>
      </c>
      <c r="AQ1641" s="393"/>
      <c r="AR1641" s="337"/>
      <c r="AS1641" s="497"/>
      <c r="AT1641" s="544"/>
      <c r="AU1641" s="394"/>
      <c r="AV1641" s="394"/>
      <c r="AW1641" s="394"/>
      <c r="AX1641" s="394"/>
      <c r="AY1641" s="394"/>
      <c r="AZ1641" s="394"/>
      <c r="BA1641" s="394"/>
      <c r="BB1641" s="394"/>
      <c r="BC1641" s="394"/>
      <c r="BD1641" s="381"/>
      <c r="BE1641" s="408"/>
      <c r="BF1641" s="385"/>
      <c r="BG1641" s="475"/>
      <c r="BH1641" s="395"/>
      <c r="BI1641" s="395" t="e">
        <f t="shared" si="1005"/>
        <v>#DIV/0!</v>
      </c>
    </row>
    <row r="1642" spans="1:61" s="358" customFormat="1" ht="19.2" x14ac:dyDescent="0.3">
      <c r="A1642" s="359" t="s">
        <v>328</v>
      </c>
      <c r="B1642" s="537" t="s">
        <v>1456</v>
      </c>
      <c r="C1642" s="546" t="s">
        <v>854</v>
      </c>
      <c r="D1642" s="360">
        <v>0.4</v>
      </c>
      <c r="E1642" s="393"/>
      <c r="F1642" s="337">
        <v>1</v>
      </c>
      <c r="G1642" s="497"/>
      <c r="H1642" s="544">
        <v>14.02252</v>
      </c>
      <c r="I1642" s="394">
        <v>12.32602</v>
      </c>
      <c r="J1642" s="394">
        <v>10.464</v>
      </c>
      <c r="K1642" s="394"/>
      <c r="L1642" s="394"/>
      <c r="M1642" s="394">
        <v>0</v>
      </c>
      <c r="N1642" s="394">
        <v>0</v>
      </c>
      <c r="O1642" s="394">
        <v>0.39550000000000002</v>
      </c>
      <c r="P1642" s="394">
        <v>10.464</v>
      </c>
      <c r="Q1642" s="394"/>
      <c r="R1642" s="381" t="s">
        <v>167</v>
      </c>
      <c r="S1642" s="408" t="s">
        <v>175</v>
      </c>
      <c r="T1642" s="385"/>
      <c r="U1642" s="475">
        <v>558</v>
      </c>
      <c r="V1642" s="395"/>
      <c r="W1642" s="395">
        <f t="shared" si="1006"/>
        <v>14.02252</v>
      </c>
      <c r="X1642" s="393"/>
      <c r="Y1642" s="337"/>
      <c r="Z1642" s="497"/>
      <c r="AA1642" s="544"/>
      <c r="AB1642" s="394"/>
      <c r="AC1642" s="394"/>
      <c r="AD1642" s="394"/>
      <c r="AE1642" s="394"/>
      <c r="AF1642" s="394"/>
      <c r="AG1642" s="394"/>
      <c r="AH1642" s="394"/>
      <c r="AI1642" s="394"/>
      <c r="AJ1642" s="394"/>
      <c r="AK1642" s="381"/>
      <c r="AL1642" s="408"/>
      <c r="AM1642" s="385"/>
      <c r="AN1642" s="475"/>
      <c r="AO1642" s="395"/>
      <c r="AP1642" s="395" t="e">
        <f t="shared" si="1004"/>
        <v>#DIV/0!</v>
      </c>
      <c r="AQ1642" s="393"/>
      <c r="AR1642" s="337"/>
      <c r="AS1642" s="497"/>
      <c r="AT1642" s="544"/>
      <c r="AU1642" s="394"/>
      <c r="AV1642" s="394"/>
      <c r="AW1642" s="394"/>
      <c r="AX1642" s="394"/>
      <c r="AY1642" s="394"/>
      <c r="AZ1642" s="394"/>
      <c r="BA1642" s="394"/>
      <c r="BB1642" s="394"/>
      <c r="BC1642" s="394"/>
      <c r="BD1642" s="381"/>
      <c r="BE1642" s="408"/>
      <c r="BF1642" s="385"/>
      <c r="BG1642" s="475"/>
      <c r="BH1642" s="395"/>
      <c r="BI1642" s="395" t="e">
        <f t="shared" si="1005"/>
        <v>#DIV/0!</v>
      </c>
    </row>
    <row r="1643" spans="1:61" s="358" customFormat="1" ht="19.2" x14ac:dyDescent="0.3">
      <c r="A1643" s="359" t="s">
        <v>345</v>
      </c>
      <c r="B1643" s="537" t="s">
        <v>1457</v>
      </c>
      <c r="C1643" s="546" t="s">
        <v>855</v>
      </c>
      <c r="D1643" s="360">
        <v>0.4</v>
      </c>
      <c r="E1643" s="393"/>
      <c r="F1643" s="337">
        <v>1</v>
      </c>
      <c r="G1643" s="497"/>
      <c r="H1643" s="544">
        <v>14.02253</v>
      </c>
      <c r="I1643" s="394">
        <v>12.32602</v>
      </c>
      <c r="J1643" s="394">
        <v>10.464</v>
      </c>
      <c r="K1643" s="394"/>
      <c r="L1643" s="394"/>
      <c r="M1643" s="394">
        <v>0</v>
      </c>
      <c r="N1643" s="394">
        <v>0</v>
      </c>
      <c r="O1643" s="394">
        <v>0.39550000000000002</v>
      </c>
      <c r="P1643" s="394">
        <v>10.464</v>
      </c>
      <c r="Q1643" s="394"/>
      <c r="R1643" s="381" t="s">
        <v>167</v>
      </c>
      <c r="S1643" s="408" t="s">
        <v>175</v>
      </c>
      <c r="T1643" s="385"/>
      <c r="U1643" s="475">
        <v>559</v>
      </c>
      <c r="V1643" s="395"/>
      <c r="W1643" s="395">
        <f t="shared" si="1006"/>
        <v>14.02253</v>
      </c>
      <c r="X1643" s="393"/>
      <c r="Y1643" s="337"/>
      <c r="Z1643" s="497"/>
      <c r="AA1643" s="544"/>
      <c r="AB1643" s="394"/>
      <c r="AC1643" s="394"/>
      <c r="AD1643" s="394"/>
      <c r="AE1643" s="394"/>
      <c r="AF1643" s="394"/>
      <c r="AG1643" s="394"/>
      <c r="AH1643" s="394"/>
      <c r="AI1643" s="394"/>
      <c r="AJ1643" s="394"/>
      <c r="AK1643" s="381"/>
      <c r="AL1643" s="408"/>
      <c r="AM1643" s="385"/>
      <c r="AN1643" s="475"/>
      <c r="AO1643" s="395"/>
      <c r="AP1643" s="395" t="e">
        <f t="shared" si="1004"/>
        <v>#DIV/0!</v>
      </c>
      <c r="AQ1643" s="393"/>
      <c r="AR1643" s="337"/>
      <c r="AS1643" s="497"/>
      <c r="AT1643" s="544"/>
      <c r="AU1643" s="394"/>
      <c r="AV1643" s="394"/>
      <c r="AW1643" s="394"/>
      <c r="AX1643" s="394"/>
      <c r="AY1643" s="394"/>
      <c r="AZ1643" s="394"/>
      <c r="BA1643" s="394"/>
      <c r="BB1643" s="394"/>
      <c r="BC1643" s="394"/>
      <c r="BD1643" s="381"/>
      <c r="BE1643" s="408"/>
      <c r="BF1643" s="385"/>
      <c r="BG1643" s="475"/>
      <c r="BH1643" s="395"/>
      <c r="BI1643" s="395" t="e">
        <f t="shared" si="1005"/>
        <v>#DIV/0!</v>
      </c>
    </row>
    <row r="1644" spans="1:61" s="358" customFormat="1" ht="19.2" x14ac:dyDescent="0.3">
      <c r="A1644" s="359" t="s">
        <v>330</v>
      </c>
      <c r="B1644" s="537" t="s">
        <v>1458</v>
      </c>
      <c r="C1644" s="546" t="s">
        <v>856</v>
      </c>
      <c r="D1644" s="360">
        <v>0.4</v>
      </c>
      <c r="E1644" s="393"/>
      <c r="F1644" s="337">
        <v>1</v>
      </c>
      <c r="G1644" s="497"/>
      <c r="H1644" s="544">
        <v>14.02252</v>
      </c>
      <c r="I1644" s="394">
        <v>12.32602</v>
      </c>
      <c r="J1644" s="394">
        <v>10.464</v>
      </c>
      <c r="K1644" s="394"/>
      <c r="L1644" s="394"/>
      <c r="M1644" s="394">
        <v>0</v>
      </c>
      <c r="N1644" s="394">
        <v>0</v>
      </c>
      <c r="O1644" s="394">
        <v>0.39550000000000002</v>
      </c>
      <c r="P1644" s="394">
        <v>10.464</v>
      </c>
      <c r="Q1644" s="394"/>
      <c r="R1644" s="381" t="s">
        <v>167</v>
      </c>
      <c r="S1644" s="408" t="s">
        <v>175</v>
      </c>
      <c r="T1644" s="385"/>
      <c r="U1644" s="475">
        <v>560</v>
      </c>
      <c r="V1644" s="395"/>
      <c r="W1644" s="395">
        <f t="shared" si="1006"/>
        <v>14.02252</v>
      </c>
      <c r="X1644" s="393"/>
      <c r="Y1644" s="337"/>
      <c r="Z1644" s="497"/>
      <c r="AA1644" s="544"/>
      <c r="AB1644" s="394"/>
      <c r="AC1644" s="394"/>
      <c r="AD1644" s="394"/>
      <c r="AE1644" s="394"/>
      <c r="AF1644" s="394"/>
      <c r="AG1644" s="394"/>
      <c r="AH1644" s="394"/>
      <c r="AI1644" s="394"/>
      <c r="AJ1644" s="394"/>
      <c r="AK1644" s="381"/>
      <c r="AL1644" s="408"/>
      <c r="AM1644" s="385"/>
      <c r="AN1644" s="475"/>
      <c r="AO1644" s="395"/>
      <c r="AP1644" s="395" t="e">
        <f t="shared" si="1004"/>
        <v>#DIV/0!</v>
      </c>
      <c r="AQ1644" s="393"/>
      <c r="AR1644" s="337"/>
      <c r="AS1644" s="497"/>
      <c r="AT1644" s="544"/>
      <c r="AU1644" s="394"/>
      <c r="AV1644" s="394"/>
      <c r="AW1644" s="394"/>
      <c r="AX1644" s="394"/>
      <c r="AY1644" s="394"/>
      <c r="AZ1644" s="394"/>
      <c r="BA1644" s="394"/>
      <c r="BB1644" s="394"/>
      <c r="BC1644" s="394"/>
      <c r="BD1644" s="381"/>
      <c r="BE1644" s="408"/>
      <c r="BF1644" s="385"/>
      <c r="BG1644" s="475"/>
      <c r="BH1644" s="395"/>
      <c r="BI1644" s="395" t="e">
        <f t="shared" si="1005"/>
        <v>#DIV/0!</v>
      </c>
    </row>
    <row r="1645" spans="1:61" s="358" customFormat="1" ht="19.2" x14ac:dyDescent="0.3">
      <c r="A1645" s="359" t="s">
        <v>331</v>
      </c>
      <c r="B1645" s="537" t="s">
        <v>550</v>
      </c>
      <c r="C1645" s="546" t="s">
        <v>413</v>
      </c>
      <c r="D1645" s="360">
        <v>0.4</v>
      </c>
      <c r="E1645" s="393"/>
      <c r="F1645" s="337">
        <v>1</v>
      </c>
      <c r="G1645" s="497"/>
      <c r="H1645" s="544">
        <v>11.5176</v>
      </c>
      <c r="I1645" s="394">
        <v>9.8211099999999991</v>
      </c>
      <c r="J1645" s="394">
        <v>8.60656</v>
      </c>
      <c r="K1645" s="394"/>
      <c r="L1645" s="394"/>
      <c r="M1645" s="394">
        <v>0</v>
      </c>
      <c r="N1645" s="394">
        <v>0</v>
      </c>
      <c r="O1645" s="394">
        <v>0.39550000000000002</v>
      </c>
      <c r="P1645" s="394">
        <v>8.60656</v>
      </c>
      <c r="Q1645" s="394"/>
      <c r="R1645" s="381" t="s">
        <v>167</v>
      </c>
      <c r="S1645" s="408" t="s">
        <v>175</v>
      </c>
      <c r="T1645" s="385"/>
      <c r="U1645" s="475">
        <v>561</v>
      </c>
      <c r="V1645" s="395"/>
      <c r="W1645" s="395">
        <f t="shared" si="1006"/>
        <v>11.5176</v>
      </c>
      <c r="X1645" s="393"/>
      <c r="Y1645" s="337"/>
      <c r="Z1645" s="497"/>
      <c r="AA1645" s="544"/>
      <c r="AB1645" s="394"/>
      <c r="AC1645" s="394"/>
      <c r="AD1645" s="394"/>
      <c r="AE1645" s="394"/>
      <c r="AF1645" s="394"/>
      <c r="AG1645" s="394"/>
      <c r="AH1645" s="394"/>
      <c r="AI1645" s="394"/>
      <c r="AJ1645" s="394"/>
      <c r="AK1645" s="381"/>
      <c r="AL1645" s="408"/>
      <c r="AM1645" s="385"/>
      <c r="AN1645" s="475"/>
      <c r="AO1645" s="395"/>
      <c r="AP1645" s="395" t="e">
        <f t="shared" si="1004"/>
        <v>#DIV/0!</v>
      </c>
      <c r="AQ1645" s="393"/>
      <c r="AR1645" s="337"/>
      <c r="AS1645" s="497"/>
      <c r="AT1645" s="544"/>
      <c r="AU1645" s="394"/>
      <c r="AV1645" s="394"/>
      <c r="AW1645" s="394"/>
      <c r="AX1645" s="394"/>
      <c r="AY1645" s="394"/>
      <c r="AZ1645" s="394"/>
      <c r="BA1645" s="394"/>
      <c r="BB1645" s="394"/>
      <c r="BC1645" s="394"/>
      <c r="BD1645" s="381"/>
      <c r="BE1645" s="408"/>
      <c r="BF1645" s="385"/>
      <c r="BG1645" s="475"/>
      <c r="BH1645" s="395"/>
      <c r="BI1645" s="395" t="e">
        <f t="shared" si="1005"/>
        <v>#DIV/0!</v>
      </c>
    </row>
    <row r="1646" spans="1:61" s="358" customFormat="1" ht="19.2" x14ac:dyDescent="0.3">
      <c r="A1646" s="359" t="s">
        <v>332</v>
      </c>
      <c r="B1646" s="537" t="s">
        <v>1459</v>
      </c>
      <c r="C1646" s="546" t="s">
        <v>857</v>
      </c>
      <c r="D1646" s="360">
        <v>0.4</v>
      </c>
      <c r="E1646" s="393"/>
      <c r="F1646" s="337">
        <v>1</v>
      </c>
      <c r="G1646" s="497"/>
      <c r="H1646" s="544">
        <v>13.637029999999999</v>
      </c>
      <c r="I1646" s="394">
        <v>11.94054</v>
      </c>
      <c r="J1646" s="394">
        <v>10.464040000000001</v>
      </c>
      <c r="K1646" s="394"/>
      <c r="L1646" s="394"/>
      <c r="M1646" s="394">
        <v>0</v>
      </c>
      <c r="N1646" s="394">
        <v>0</v>
      </c>
      <c r="O1646" s="394">
        <v>0.39550000000000002</v>
      </c>
      <c r="P1646" s="394">
        <v>10.464040000000001</v>
      </c>
      <c r="Q1646" s="394"/>
      <c r="R1646" s="381" t="s">
        <v>167</v>
      </c>
      <c r="S1646" s="408" t="s">
        <v>175</v>
      </c>
      <c r="T1646" s="385"/>
      <c r="U1646" s="475">
        <v>562</v>
      </c>
      <c r="V1646" s="395"/>
      <c r="W1646" s="395">
        <f t="shared" si="1006"/>
        <v>13.637029999999999</v>
      </c>
      <c r="X1646" s="393"/>
      <c r="Y1646" s="337"/>
      <c r="Z1646" s="497"/>
      <c r="AA1646" s="544"/>
      <c r="AB1646" s="394"/>
      <c r="AC1646" s="394"/>
      <c r="AD1646" s="394"/>
      <c r="AE1646" s="394"/>
      <c r="AF1646" s="394"/>
      <c r="AG1646" s="394"/>
      <c r="AH1646" s="394"/>
      <c r="AI1646" s="394"/>
      <c r="AJ1646" s="394"/>
      <c r="AK1646" s="381"/>
      <c r="AL1646" s="408"/>
      <c r="AM1646" s="385"/>
      <c r="AN1646" s="475"/>
      <c r="AO1646" s="395"/>
      <c r="AP1646" s="395" t="e">
        <f t="shared" si="1004"/>
        <v>#DIV/0!</v>
      </c>
      <c r="AQ1646" s="393"/>
      <c r="AR1646" s="337"/>
      <c r="AS1646" s="497"/>
      <c r="AT1646" s="544"/>
      <c r="AU1646" s="394"/>
      <c r="AV1646" s="394"/>
      <c r="AW1646" s="394"/>
      <c r="AX1646" s="394"/>
      <c r="AY1646" s="394"/>
      <c r="AZ1646" s="394"/>
      <c r="BA1646" s="394"/>
      <c r="BB1646" s="394"/>
      <c r="BC1646" s="394"/>
      <c r="BD1646" s="381"/>
      <c r="BE1646" s="408"/>
      <c r="BF1646" s="385"/>
      <c r="BG1646" s="475"/>
      <c r="BH1646" s="395"/>
      <c r="BI1646" s="395" t="e">
        <f t="shared" si="1005"/>
        <v>#DIV/0!</v>
      </c>
    </row>
    <row r="1647" spans="1:61" s="358" customFormat="1" ht="19.2" x14ac:dyDescent="0.3">
      <c r="A1647" s="359" t="s">
        <v>349</v>
      </c>
      <c r="B1647" s="537" t="s">
        <v>1460</v>
      </c>
      <c r="C1647" s="546" t="s">
        <v>858</v>
      </c>
      <c r="D1647" s="360">
        <v>0.4</v>
      </c>
      <c r="E1647" s="393"/>
      <c r="F1647" s="337">
        <v>1</v>
      </c>
      <c r="G1647" s="497"/>
      <c r="H1647" s="544">
        <v>13.636979999999999</v>
      </c>
      <c r="I1647" s="394">
        <v>11.94049</v>
      </c>
      <c r="J1647" s="394">
        <v>10.464</v>
      </c>
      <c r="K1647" s="394"/>
      <c r="L1647" s="394"/>
      <c r="M1647" s="394">
        <v>0</v>
      </c>
      <c r="N1647" s="394">
        <v>0</v>
      </c>
      <c r="O1647" s="394">
        <v>0.39550000000000002</v>
      </c>
      <c r="P1647" s="394">
        <v>10.464</v>
      </c>
      <c r="Q1647" s="394"/>
      <c r="R1647" s="381" t="s">
        <v>167</v>
      </c>
      <c r="S1647" s="408" t="s">
        <v>175</v>
      </c>
      <c r="T1647" s="385"/>
      <c r="U1647" s="475">
        <v>563</v>
      </c>
      <c r="V1647" s="395"/>
      <c r="W1647" s="395">
        <f t="shared" si="1006"/>
        <v>13.636979999999999</v>
      </c>
      <c r="X1647" s="393"/>
      <c r="Y1647" s="337"/>
      <c r="Z1647" s="497"/>
      <c r="AA1647" s="544"/>
      <c r="AB1647" s="394"/>
      <c r="AC1647" s="394"/>
      <c r="AD1647" s="394"/>
      <c r="AE1647" s="394"/>
      <c r="AF1647" s="394"/>
      <c r="AG1647" s="394"/>
      <c r="AH1647" s="394"/>
      <c r="AI1647" s="394"/>
      <c r="AJ1647" s="394"/>
      <c r="AK1647" s="381"/>
      <c r="AL1647" s="408"/>
      <c r="AM1647" s="385"/>
      <c r="AN1647" s="475"/>
      <c r="AO1647" s="395"/>
      <c r="AP1647" s="395" t="e">
        <f t="shared" si="1004"/>
        <v>#DIV/0!</v>
      </c>
      <c r="AQ1647" s="393"/>
      <c r="AR1647" s="337"/>
      <c r="AS1647" s="497"/>
      <c r="AT1647" s="544"/>
      <c r="AU1647" s="394"/>
      <c r="AV1647" s="394"/>
      <c r="AW1647" s="394"/>
      <c r="AX1647" s="394"/>
      <c r="AY1647" s="394"/>
      <c r="AZ1647" s="394"/>
      <c r="BA1647" s="394"/>
      <c r="BB1647" s="394"/>
      <c r="BC1647" s="394"/>
      <c r="BD1647" s="381"/>
      <c r="BE1647" s="408"/>
      <c r="BF1647" s="385"/>
      <c r="BG1647" s="475"/>
      <c r="BH1647" s="395"/>
      <c r="BI1647" s="395" t="e">
        <f t="shared" si="1005"/>
        <v>#DIV/0!</v>
      </c>
    </row>
    <row r="1648" spans="1:61" s="358" customFormat="1" ht="19.2" x14ac:dyDescent="0.3">
      <c r="A1648" s="359" t="s">
        <v>334</v>
      </c>
      <c r="B1648" s="537" t="s">
        <v>295</v>
      </c>
      <c r="C1648" s="546" t="s">
        <v>286</v>
      </c>
      <c r="D1648" s="360">
        <v>0.4</v>
      </c>
      <c r="E1648" s="393"/>
      <c r="F1648" s="337">
        <v>1</v>
      </c>
      <c r="G1648" s="497"/>
      <c r="H1648" s="544">
        <v>13.375069999999999</v>
      </c>
      <c r="I1648" s="394">
        <v>11.678559999999999</v>
      </c>
      <c r="J1648" s="394">
        <v>10.464</v>
      </c>
      <c r="K1648" s="394"/>
      <c r="L1648" s="394"/>
      <c r="M1648" s="394">
        <v>0</v>
      </c>
      <c r="N1648" s="394">
        <v>0</v>
      </c>
      <c r="O1648" s="394">
        <v>0.39550000000000002</v>
      </c>
      <c r="P1648" s="394">
        <v>10.464</v>
      </c>
      <c r="Q1648" s="394"/>
      <c r="R1648" s="381" t="s">
        <v>167</v>
      </c>
      <c r="S1648" s="408" t="s">
        <v>175</v>
      </c>
      <c r="T1648" s="385"/>
      <c r="U1648" s="475">
        <v>564</v>
      </c>
      <c r="V1648" s="395"/>
      <c r="W1648" s="395">
        <f t="shared" si="1006"/>
        <v>13.375069999999999</v>
      </c>
      <c r="X1648" s="393"/>
      <c r="Y1648" s="337"/>
      <c r="Z1648" s="497"/>
      <c r="AA1648" s="544"/>
      <c r="AB1648" s="394"/>
      <c r="AC1648" s="394"/>
      <c r="AD1648" s="394"/>
      <c r="AE1648" s="394"/>
      <c r="AF1648" s="394"/>
      <c r="AG1648" s="394"/>
      <c r="AH1648" s="394"/>
      <c r="AI1648" s="394"/>
      <c r="AJ1648" s="394"/>
      <c r="AK1648" s="381"/>
      <c r="AL1648" s="408"/>
      <c r="AM1648" s="385"/>
      <c r="AN1648" s="475"/>
      <c r="AO1648" s="395"/>
      <c r="AP1648" s="395" t="e">
        <f t="shared" si="1004"/>
        <v>#DIV/0!</v>
      </c>
      <c r="AQ1648" s="393"/>
      <c r="AR1648" s="337"/>
      <c r="AS1648" s="497"/>
      <c r="AT1648" s="544"/>
      <c r="AU1648" s="394"/>
      <c r="AV1648" s="394"/>
      <c r="AW1648" s="394"/>
      <c r="AX1648" s="394"/>
      <c r="AY1648" s="394"/>
      <c r="AZ1648" s="394"/>
      <c r="BA1648" s="394"/>
      <c r="BB1648" s="394"/>
      <c r="BC1648" s="394"/>
      <c r="BD1648" s="381"/>
      <c r="BE1648" s="408"/>
      <c r="BF1648" s="385"/>
      <c r="BG1648" s="475"/>
      <c r="BH1648" s="395"/>
      <c r="BI1648" s="395" t="e">
        <f t="shared" si="1005"/>
        <v>#DIV/0!</v>
      </c>
    </row>
    <row r="1649" spans="1:61" s="358" customFormat="1" ht="19.2" x14ac:dyDescent="0.3">
      <c r="A1649" s="359" t="s">
        <v>335</v>
      </c>
      <c r="B1649" s="537" t="s">
        <v>1461</v>
      </c>
      <c r="C1649" s="546" t="s">
        <v>859</v>
      </c>
      <c r="D1649" s="360">
        <v>0.4</v>
      </c>
      <c r="E1649" s="393"/>
      <c r="F1649" s="337">
        <v>1</v>
      </c>
      <c r="G1649" s="497"/>
      <c r="H1649" s="544">
        <v>13.636979999999999</v>
      </c>
      <c r="I1649" s="394">
        <v>11.94049</v>
      </c>
      <c r="J1649" s="394">
        <v>10.464</v>
      </c>
      <c r="K1649" s="394"/>
      <c r="L1649" s="394"/>
      <c r="M1649" s="394">
        <v>0</v>
      </c>
      <c r="N1649" s="394">
        <v>0</v>
      </c>
      <c r="O1649" s="394">
        <v>0.39550000000000002</v>
      </c>
      <c r="P1649" s="394">
        <v>10.464</v>
      </c>
      <c r="Q1649" s="394"/>
      <c r="R1649" s="381" t="s">
        <v>167</v>
      </c>
      <c r="S1649" s="408" t="s">
        <v>175</v>
      </c>
      <c r="T1649" s="385"/>
      <c r="U1649" s="475">
        <v>565</v>
      </c>
      <c r="V1649" s="395"/>
      <c r="W1649" s="395">
        <f t="shared" si="1006"/>
        <v>13.636979999999999</v>
      </c>
      <c r="X1649" s="393"/>
      <c r="Y1649" s="337"/>
      <c r="Z1649" s="497"/>
      <c r="AA1649" s="544"/>
      <c r="AB1649" s="394"/>
      <c r="AC1649" s="394"/>
      <c r="AD1649" s="394"/>
      <c r="AE1649" s="394"/>
      <c r="AF1649" s="394"/>
      <c r="AG1649" s="394"/>
      <c r="AH1649" s="394"/>
      <c r="AI1649" s="394"/>
      <c r="AJ1649" s="394"/>
      <c r="AK1649" s="381"/>
      <c r="AL1649" s="408"/>
      <c r="AM1649" s="385"/>
      <c r="AN1649" s="475"/>
      <c r="AO1649" s="395"/>
      <c r="AP1649" s="395" t="e">
        <f t="shared" si="1004"/>
        <v>#DIV/0!</v>
      </c>
      <c r="AQ1649" s="393"/>
      <c r="AR1649" s="337"/>
      <c r="AS1649" s="497"/>
      <c r="AT1649" s="544"/>
      <c r="AU1649" s="394"/>
      <c r="AV1649" s="394"/>
      <c r="AW1649" s="394"/>
      <c r="AX1649" s="394"/>
      <c r="AY1649" s="394"/>
      <c r="AZ1649" s="394"/>
      <c r="BA1649" s="394"/>
      <c r="BB1649" s="394"/>
      <c r="BC1649" s="394"/>
      <c r="BD1649" s="381"/>
      <c r="BE1649" s="408"/>
      <c r="BF1649" s="385"/>
      <c r="BG1649" s="475"/>
      <c r="BH1649" s="395"/>
      <c r="BI1649" s="395" t="e">
        <f t="shared" si="1005"/>
        <v>#DIV/0!</v>
      </c>
    </row>
    <row r="1650" spans="1:61" s="358" customFormat="1" ht="19.2" x14ac:dyDescent="0.3">
      <c r="A1650" s="359" t="s">
        <v>272</v>
      </c>
      <c r="B1650" s="537" t="s">
        <v>1462</v>
      </c>
      <c r="C1650" s="546" t="s">
        <v>860</v>
      </c>
      <c r="D1650" s="360">
        <v>0.4</v>
      </c>
      <c r="E1650" s="393"/>
      <c r="F1650" s="337">
        <v>1</v>
      </c>
      <c r="G1650" s="497"/>
      <c r="H1650" s="544">
        <v>13.37506</v>
      </c>
      <c r="I1650" s="394">
        <v>11.678559999999999</v>
      </c>
      <c r="J1650" s="394">
        <v>10.464</v>
      </c>
      <c r="K1650" s="394"/>
      <c r="L1650" s="394"/>
      <c r="M1650" s="394">
        <v>0</v>
      </c>
      <c r="N1650" s="394">
        <v>0</v>
      </c>
      <c r="O1650" s="394">
        <v>0.39550000000000002</v>
      </c>
      <c r="P1650" s="394">
        <v>10.464</v>
      </c>
      <c r="Q1650" s="394"/>
      <c r="R1650" s="381" t="s">
        <v>167</v>
      </c>
      <c r="S1650" s="408" t="s">
        <v>175</v>
      </c>
      <c r="T1650" s="385"/>
      <c r="U1650" s="475">
        <v>566</v>
      </c>
      <c r="V1650" s="395"/>
      <c r="W1650" s="395">
        <f t="shared" si="1006"/>
        <v>13.37506</v>
      </c>
      <c r="X1650" s="393"/>
      <c r="Y1650" s="337"/>
      <c r="Z1650" s="497"/>
      <c r="AA1650" s="544"/>
      <c r="AB1650" s="394"/>
      <c r="AC1650" s="394"/>
      <c r="AD1650" s="394"/>
      <c r="AE1650" s="394"/>
      <c r="AF1650" s="394"/>
      <c r="AG1650" s="394"/>
      <c r="AH1650" s="394"/>
      <c r="AI1650" s="394"/>
      <c r="AJ1650" s="394"/>
      <c r="AK1650" s="381"/>
      <c r="AL1650" s="408"/>
      <c r="AM1650" s="385"/>
      <c r="AN1650" s="475"/>
      <c r="AO1650" s="395"/>
      <c r="AP1650" s="395" t="e">
        <f t="shared" si="1004"/>
        <v>#DIV/0!</v>
      </c>
      <c r="AQ1650" s="393"/>
      <c r="AR1650" s="337"/>
      <c r="AS1650" s="497"/>
      <c r="AT1650" s="544"/>
      <c r="AU1650" s="394"/>
      <c r="AV1650" s="394"/>
      <c r="AW1650" s="394"/>
      <c r="AX1650" s="394"/>
      <c r="AY1650" s="394"/>
      <c r="AZ1650" s="394"/>
      <c r="BA1650" s="394"/>
      <c r="BB1650" s="394"/>
      <c r="BC1650" s="394"/>
      <c r="BD1650" s="381"/>
      <c r="BE1650" s="408"/>
      <c r="BF1650" s="385"/>
      <c r="BG1650" s="475"/>
      <c r="BH1650" s="395"/>
      <c r="BI1650" s="395" t="e">
        <f t="shared" si="1005"/>
        <v>#DIV/0!</v>
      </c>
    </row>
    <row r="1651" spans="1:61" s="358" customFormat="1" ht="19.2" x14ac:dyDescent="0.3">
      <c r="A1651" s="359" t="s">
        <v>337</v>
      </c>
      <c r="B1651" s="537" t="s">
        <v>1463</v>
      </c>
      <c r="C1651" s="546" t="s">
        <v>861</v>
      </c>
      <c r="D1651" s="360">
        <v>0.4</v>
      </c>
      <c r="E1651" s="393"/>
      <c r="F1651" s="337">
        <v>1</v>
      </c>
      <c r="G1651" s="497"/>
      <c r="H1651" s="544">
        <v>13.636979999999999</v>
      </c>
      <c r="I1651" s="394">
        <v>11.94049</v>
      </c>
      <c r="J1651" s="394">
        <v>10.464</v>
      </c>
      <c r="K1651" s="394"/>
      <c r="L1651" s="394"/>
      <c r="M1651" s="394">
        <v>0</v>
      </c>
      <c r="N1651" s="394">
        <v>0</v>
      </c>
      <c r="O1651" s="394">
        <v>0.39550000000000002</v>
      </c>
      <c r="P1651" s="394">
        <v>10.464</v>
      </c>
      <c r="Q1651" s="394"/>
      <c r="R1651" s="381" t="s">
        <v>167</v>
      </c>
      <c r="S1651" s="408" t="s">
        <v>175</v>
      </c>
      <c r="T1651" s="385"/>
      <c r="U1651" s="475">
        <v>567</v>
      </c>
      <c r="V1651" s="395"/>
      <c r="W1651" s="395">
        <f t="shared" si="1006"/>
        <v>13.636979999999999</v>
      </c>
      <c r="X1651" s="393"/>
      <c r="Y1651" s="337"/>
      <c r="Z1651" s="497"/>
      <c r="AA1651" s="544"/>
      <c r="AB1651" s="394"/>
      <c r="AC1651" s="394"/>
      <c r="AD1651" s="394"/>
      <c r="AE1651" s="394"/>
      <c r="AF1651" s="394"/>
      <c r="AG1651" s="394"/>
      <c r="AH1651" s="394"/>
      <c r="AI1651" s="394"/>
      <c r="AJ1651" s="394"/>
      <c r="AK1651" s="381"/>
      <c r="AL1651" s="408"/>
      <c r="AM1651" s="385"/>
      <c r="AN1651" s="475"/>
      <c r="AO1651" s="395"/>
      <c r="AP1651" s="395" t="e">
        <f t="shared" si="1004"/>
        <v>#DIV/0!</v>
      </c>
      <c r="AQ1651" s="393"/>
      <c r="AR1651" s="337"/>
      <c r="AS1651" s="497"/>
      <c r="AT1651" s="544"/>
      <c r="AU1651" s="394"/>
      <c r="AV1651" s="394"/>
      <c r="AW1651" s="394"/>
      <c r="AX1651" s="394"/>
      <c r="AY1651" s="394"/>
      <c r="AZ1651" s="394"/>
      <c r="BA1651" s="394"/>
      <c r="BB1651" s="394"/>
      <c r="BC1651" s="394"/>
      <c r="BD1651" s="381"/>
      <c r="BE1651" s="408"/>
      <c r="BF1651" s="385"/>
      <c r="BG1651" s="475"/>
      <c r="BH1651" s="395"/>
      <c r="BI1651" s="395" t="e">
        <f t="shared" si="1005"/>
        <v>#DIV/0!</v>
      </c>
    </row>
    <row r="1652" spans="1:61" s="358" customFormat="1" ht="19.2" x14ac:dyDescent="0.3">
      <c r="A1652" s="359" t="s">
        <v>338</v>
      </c>
      <c r="B1652" s="537" t="s">
        <v>251</v>
      </c>
      <c r="C1652" s="546" t="s">
        <v>862</v>
      </c>
      <c r="D1652" s="360">
        <v>0.4</v>
      </c>
      <c r="E1652" s="393"/>
      <c r="F1652" s="337">
        <v>1</v>
      </c>
      <c r="G1652" s="497"/>
      <c r="H1652" s="544">
        <v>13.637</v>
      </c>
      <c r="I1652" s="394">
        <v>11.94051</v>
      </c>
      <c r="J1652" s="394">
        <v>10.46402</v>
      </c>
      <c r="K1652" s="394"/>
      <c r="L1652" s="394"/>
      <c r="M1652" s="394">
        <v>0</v>
      </c>
      <c r="N1652" s="394">
        <v>0</v>
      </c>
      <c r="O1652" s="394">
        <v>0.39550000000000002</v>
      </c>
      <c r="P1652" s="394">
        <v>10.46402</v>
      </c>
      <c r="Q1652" s="394"/>
      <c r="R1652" s="381" t="s">
        <v>167</v>
      </c>
      <c r="S1652" s="408" t="s">
        <v>175</v>
      </c>
      <c r="T1652" s="385"/>
      <c r="U1652" s="475">
        <v>568</v>
      </c>
      <c r="V1652" s="395"/>
      <c r="W1652" s="395">
        <f t="shared" si="1006"/>
        <v>13.637</v>
      </c>
      <c r="X1652" s="393"/>
      <c r="Y1652" s="337"/>
      <c r="Z1652" s="497"/>
      <c r="AA1652" s="544"/>
      <c r="AB1652" s="394"/>
      <c r="AC1652" s="394"/>
      <c r="AD1652" s="394"/>
      <c r="AE1652" s="394"/>
      <c r="AF1652" s="394"/>
      <c r="AG1652" s="394"/>
      <c r="AH1652" s="394"/>
      <c r="AI1652" s="394"/>
      <c r="AJ1652" s="394"/>
      <c r="AK1652" s="381"/>
      <c r="AL1652" s="408"/>
      <c r="AM1652" s="385"/>
      <c r="AN1652" s="475"/>
      <c r="AO1652" s="395"/>
      <c r="AP1652" s="395" t="e">
        <f t="shared" si="1004"/>
        <v>#DIV/0!</v>
      </c>
      <c r="AQ1652" s="393"/>
      <c r="AR1652" s="337"/>
      <c r="AS1652" s="497"/>
      <c r="AT1652" s="544"/>
      <c r="AU1652" s="394"/>
      <c r="AV1652" s="394"/>
      <c r="AW1652" s="394"/>
      <c r="AX1652" s="394"/>
      <c r="AY1652" s="394"/>
      <c r="AZ1652" s="394"/>
      <c r="BA1652" s="394"/>
      <c r="BB1652" s="394"/>
      <c r="BC1652" s="394"/>
      <c r="BD1652" s="381"/>
      <c r="BE1652" s="408"/>
      <c r="BF1652" s="385"/>
      <c r="BG1652" s="475"/>
      <c r="BH1652" s="395"/>
      <c r="BI1652" s="395" t="e">
        <f t="shared" si="1005"/>
        <v>#DIV/0!</v>
      </c>
    </row>
    <row r="1653" spans="1:61" s="358" customFormat="1" ht="19.2" x14ac:dyDescent="0.3">
      <c r="A1653" s="359" t="s">
        <v>339</v>
      </c>
      <c r="B1653" s="537" t="s">
        <v>1464</v>
      </c>
      <c r="C1653" s="546" t="s">
        <v>863</v>
      </c>
      <c r="D1653" s="360">
        <v>0.4</v>
      </c>
      <c r="E1653" s="393"/>
      <c r="F1653" s="337">
        <v>1</v>
      </c>
      <c r="G1653" s="497"/>
      <c r="H1653" s="544">
        <v>13.163069999999999</v>
      </c>
      <c r="I1653" s="394">
        <v>11.46658</v>
      </c>
      <c r="J1653" s="394">
        <v>10.45974</v>
      </c>
      <c r="K1653" s="394"/>
      <c r="L1653" s="394"/>
      <c r="M1653" s="394">
        <v>0</v>
      </c>
      <c r="N1653" s="394">
        <v>0</v>
      </c>
      <c r="O1653" s="394">
        <v>0.39550000000000002</v>
      </c>
      <c r="P1653" s="394">
        <v>10.45974</v>
      </c>
      <c r="Q1653" s="394"/>
      <c r="R1653" s="381" t="s">
        <v>167</v>
      </c>
      <c r="S1653" s="408" t="s">
        <v>175</v>
      </c>
      <c r="T1653" s="385"/>
      <c r="U1653" s="475">
        <v>569</v>
      </c>
      <c r="V1653" s="395"/>
      <c r="W1653" s="395">
        <f t="shared" si="1006"/>
        <v>13.163069999999999</v>
      </c>
      <c r="X1653" s="393"/>
      <c r="Y1653" s="337"/>
      <c r="Z1653" s="497"/>
      <c r="AA1653" s="544"/>
      <c r="AB1653" s="394"/>
      <c r="AC1653" s="394"/>
      <c r="AD1653" s="394"/>
      <c r="AE1653" s="394"/>
      <c r="AF1653" s="394"/>
      <c r="AG1653" s="394"/>
      <c r="AH1653" s="394"/>
      <c r="AI1653" s="394"/>
      <c r="AJ1653" s="394"/>
      <c r="AK1653" s="381"/>
      <c r="AL1653" s="408"/>
      <c r="AM1653" s="385"/>
      <c r="AN1653" s="475"/>
      <c r="AO1653" s="395"/>
      <c r="AP1653" s="395" t="e">
        <f t="shared" si="1004"/>
        <v>#DIV/0!</v>
      </c>
      <c r="AQ1653" s="393"/>
      <c r="AR1653" s="337"/>
      <c r="AS1653" s="497"/>
      <c r="AT1653" s="544"/>
      <c r="AU1653" s="394"/>
      <c r="AV1653" s="394"/>
      <c r="AW1653" s="394"/>
      <c r="AX1653" s="394"/>
      <c r="AY1653" s="394"/>
      <c r="AZ1653" s="394"/>
      <c r="BA1653" s="394"/>
      <c r="BB1653" s="394"/>
      <c r="BC1653" s="394"/>
      <c r="BD1653" s="381"/>
      <c r="BE1653" s="408"/>
      <c r="BF1653" s="385"/>
      <c r="BG1653" s="475"/>
      <c r="BH1653" s="395"/>
      <c r="BI1653" s="395" t="e">
        <f t="shared" si="1005"/>
        <v>#DIV/0!</v>
      </c>
    </row>
    <row r="1654" spans="1:61" s="358" customFormat="1" ht="19.2" x14ac:dyDescent="0.3">
      <c r="A1654" s="359" t="s">
        <v>340</v>
      </c>
      <c r="B1654" s="537" t="s">
        <v>596</v>
      </c>
      <c r="C1654" s="546" t="s">
        <v>864</v>
      </c>
      <c r="D1654" s="360">
        <v>0.4</v>
      </c>
      <c r="E1654" s="393"/>
      <c r="F1654" s="337">
        <v>1</v>
      </c>
      <c r="G1654" s="497"/>
      <c r="H1654" s="544">
        <v>13.163069999999999</v>
      </c>
      <c r="I1654" s="394">
        <v>11.46658</v>
      </c>
      <c r="J1654" s="394">
        <v>10.45974</v>
      </c>
      <c r="K1654" s="394"/>
      <c r="L1654" s="394"/>
      <c r="M1654" s="394">
        <v>0</v>
      </c>
      <c r="N1654" s="394">
        <v>0</v>
      </c>
      <c r="O1654" s="394">
        <v>0.39550000000000002</v>
      </c>
      <c r="P1654" s="394">
        <v>10.45974</v>
      </c>
      <c r="Q1654" s="394"/>
      <c r="R1654" s="381" t="s">
        <v>167</v>
      </c>
      <c r="S1654" s="408" t="s">
        <v>175</v>
      </c>
      <c r="T1654" s="385"/>
      <c r="U1654" s="475">
        <v>570</v>
      </c>
      <c r="V1654" s="395"/>
      <c r="W1654" s="395">
        <f t="shared" si="1006"/>
        <v>13.163069999999999</v>
      </c>
      <c r="X1654" s="393"/>
      <c r="Y1654" s="337"/>
      <c r="Z1654" s="497"/>
      <c r="AA1654" s="544"/>
      <c r="AB1654" s="394"/>
      <c r="AC1654" s="394"/>
      <c r="AD1654" s="394"/>
      <c r="AE1654" s="394"/>
      <c r="AF1654" s="394"/>
      <c r="AG1654" s="394"/>
      <c r="AH1654" s="394"/>
      <c r="AI1654" s="394"/>
      <c r="AJ1654" s="394"/>
      <c r="AK1654" s="381"/>
      <c r="AL1654" s="408"/>
      <c r="AM1654" s="385"/>
      <c r="AN1654" s="475"/>
      <c r="AO1654" s="395"/>
      <c r="AP1654" s="395" t="e">
        <f t="shared" si="1004"/>
        <v>#DIV/0!</v>
      </c>
      <c r="AQ1654" s="393"/>
      <c r="AR1654" s="337"/>
      <c r="AS1654" s="497"/>
      <c r="AT1654" s="544"/>
      <c r="AU1654" s="394"/>
      <c r="AV1654" s="394"/>
      <c r="AW1654" s="394"/>
      <c r="AX1654" s="394"/>
      <c r="AY1654" s="394"/>
      <c r="AZ1654" s="394"/>
      <c r="BA1654" s="394"/>
      <c r="BB1654" s="394"/>
      <c r="BC1654" s="394"/>
      <c r="BD1654" s="381"/>
      <c r="BE1654" s="408"/>
      <c r="BF1654" s="385"/>
      <c r="BG1654" s="475"/>
      <c r="BH1654" s="395"/>
      <c r="BI1654" s="395" t="e">
        <f t="shared" si="1005"/>
        <v>#DIV/0!</v>
      </c>
    </row>
    <row r="1655" spans="1:61" s="358" customFormat="1" ht="19.2" x14ac:dyDescent="0.3">
      <c r="A1655" s="359" t="s">
        <v>341</v>
      </c>
      <c r="B1655" s="537" t="s">
        <v>1465</v>
      </c>
      <c r="C1655" s="546" t="s">
        <v>865</v>
      </c>
      <c r="D1655" s="360">
        <v>0.4</v>
      </c>
      <c r="E1655" s="393"/>
      <c r="F1655" s="337">
        <v>1</v>
      </c>
      <c r="G1655" s="497"/>
      <c r="H1655" s="544">
        <v>14.019959999999999</v>
      </c>
      <c r="I1655" s="394">
        <v>12.32347</v>
      </c>
      <c r="J1655" s="394">
        <v>10.45973</v>
      </c>
      <c r="K1655" s="394"/>
      <c r="L1655" s="394"/>
      <c r="M1655" s="394">
        <v>0</v>
      </c>
      <c r="N1655" s="394">
        <v>0</v>
      </c>
      <c r="O1655" s="394">
        <v>0.39550000000000002</v>
      </c>
      <c r="P1655" s="394">
        <v>10.45973</v>
      </c>
      <c r="Q1655" s="394"/>
      <c r="R1655" s="381" t="s">
        <v>167</v>
      </c>
      <c r="S1655" s="408" t="s">
        <v>175</v>
      </c>
      <c r="T1655" s="385"/>
      <c r="U1655" s="475">
        <v>571</v>
      </c>
      <c r="V1655" s="395"/>
      <c r="W1655" s="395">
        <f t="shared" si="1006"/>
        <v>14.019959999999999</v>
      </c>
      <c r="X1655" s="393"/>
      <c r="Y1655" s="337"/>
      <c r="Z1655" s="497"/>
      <c r="AA1655" s="544"/>
      <c r="AB1655" s="394"/>
      <c r="AC1655" s="394"/>
      <c r="AD1655" s="394"/>
      <c r="AE1655" s="394"/>
      <c r="AF1655" s="394"/>
      <c r="AG1655" s="394"/>
      <c r="AH1655" s="394"/>
      <c r="AI1655" s="394"/>
      <c r="AJ1655" s="394"/>
      <c r="AK1655" s="381"/>
      <c r="AL1655" s="408"/>
      <c r="AM1655" s="385"/>
      <c r="AN1655" s="475"/>
      <c r="AO1655" s="395"/>
      <c r="AP1655" s="395" t="e">
        <f t="shared" si="1004"/>
        <v>#DIV/0!</v>
      </c>
      <c r="AQ1655" s="393"/>
      <c r="AR1655" s="337"/>
      <c r="AS1655" s="497"/>
      <c r="AT1655" s="544"/>
      <c r="AU1655" s="394"/>
      <c r="AV1655" s="394"/>
      <c r="AW1655" s="394"/>
      <c r="AX1655" s="394"/>
      <c r="AY1655" s="394"/>
      <c r="AZ1655" s="394"/>
      <c r="BA1655" s="394"/>
      <c r="BB1655" s="394"/>
      <c r="BC1655" s="394"/>
      <c r="BD1655" s="381"/>
      <c r="BE1655" s="408"/>
      <c r="BF1655" s="385"/>
      <c r="BG1655" s="475"/>
      <c r="BH1655" s="395"/>
      <c r="BI1655" s="395" t="e">
        <f t="shared" si="1005"/>
        <v>#DIV/0!</v>
      </c>
    </row>
    <row r="1656" spans="1:61" s="358" customFormat="1" ht="19.2" x14ac:dyDescent="0.3">
      <c r="A1656" s="359" t="s">
        <v>342</v>
      </c>
      <c r="B1656" s="537" t="s">
        <v>1466</v>
      </c>
      <c r="C1656" s="546" t="s">
        <v>866</v>
      </c>
      <c r="D1656" s="360">
        <v>0.4</v>
      </c>
      <c r="E1656" s="393"/>
      <c r="F1656" s="337">
        <v>1</v>
      </c>
      <c r="G1656" s="497"/>
      <c r="H1656" s="544">
        <v>11.245010000000001</v>
      </c>
      <c r="I1656" s="394">
        <v>9.5485199999999999</v>
      </c>
      <c r="J1656" s="394">
        <v>8.5416699999999999</v>
      </c>
      <c r="K1656" s="394"/>
      <c r="L1656" s="394"/>
      <c r="M1656" s="394">
        <v>0</v>
      </c>
      <c r="N1656" s="394">
        <v>0</v>
      </c>
      <c r="O1656" s="394">
        <v>0.39550000000000002</v>
      </c>
      <c r="P1656" s="394">
        <v>8.5416699999999999</v>
      </c>
      <c r="Q1656" s="394"/>
      <c r="R1656" s="381" t="s">
        <v>167</v>
      </c>
      <c r="S1656" s="408" t="s">
        <v>175</v>
      </c>
      <c r="T1656" s="385"/>
      <c r="U1656" s="475">
        <v>572</v>
      </c>
      <c r="V1656" s="395"/>
      <c r="W1656" s="395">
        <f t="shared" si="1006"/>
        <v>11.245010000000001</v>
      </c>
      <c r="X1656" s="393"/>
      <c r="Y1656" s="337"/>
      <c r="Z1656" s="497"/>
      <c r="AA1656" s="544"/>
      <c r="AB1656" s="394"/>
      <c r="AC1656" s="394"/>
      <c r="AD1656" s="394"/>
      <c r="AE1656" s="394"/>
      <c r="AF1656" s="394"/>
      <c r="AG1656" s="394"/>
      <c r="AH1656" s="394"/>
      <c r="AI1656" s="394"/>
      <c r="AJ1656" s="394"/>
      <c r="AK1656" s="381"/>
      <c r="AL1656" s="408"/>
      <c r="AM1656" s="385"/>
      <c r="AN1656" s="475"/>
      <c r="AO1656" s="395"/>
      <c r="AP1656" s="395" t="e">
        <f t="shared" si="1004"/>
        <v>#DIV/0!</v>
      </c>
      <c r="AQ1656" s="393"/>
      <c r="AR1656" s="337"/>
      <c r="AS1656" s="497"/>
      <c r="AT1656" s="544"/>
      <c r="AU1656" s="394"/>
      <c r="AV1656" s="394"/>
      <c r="AW1656" s="394"/>
      <c r="AX1656" s="394"/>
      <c r="AY1656" s="394"/>
      <c r="AZ1656" s="394"/>
      <c r="BA1656" s="394"/>
      <c r="BB1656" s="394"/>
      <c r="BC1656" s="394"/>
      <c r="BD1656" s="381"/>
      <c r="BE1656" s="408"/>
      <c r="BF1656" s="385"/>
      <c r="BG1656" s="475"/>
      <c r="BH1656" s="395"/>
      <c r="BI1656" s="395" t="e">
        <f t="shared" si="1005"/>
        <v>#DIV/0!</v>
      </c>
    </row>
    <row r="1657" spans="1:61" s="358" customFormat="1" ht="19.2" x14ac:dyDescent="0.3">
      <c r="A1657" s="359" t="s">
        <v>343</v>
      </c>
      <c r="B1657" s="537" t="s">
        <v>1467</v>
      </c>
      <c r="C1657" s="546" t="s">
        <v>867</v>
      </c>
      <c r="D1657" s="360">
        <v>0.4</v>
      </c>
      <c r="E1657" s="393"/>
      <c r="F1657" s="337">
        <v>1</v>
      </c>
      <c r="G1657" s="497"/>
      <c r="H1657" s="544">
        <v>11.245010000000001</v>
      </c>
      <c r="I1657" s="394">
        <v>9.5485199999999999</v>
      </c>
      <c r="J1657" s="394">
        <v>8.5416699999999999</v>
      </c>
      <c r="K1657" s="394"/>
      <c r="L1657" s="394"/>
      <c r="M1657" s="394">
        <v>0</v>
      </c>
      <c r="N1657" s="394">
        <v>0</v>
      </c>
      <c r="O1657" s="394">
        <v>0.39550000000000002</v>
      </c>
      <c r="P1657" s="394">
        <v>8.5416699999999999</v>
      </c>
      <c r="Q1657" s="394"/>
      <c r="R1657" s="381" t="s">
        <v>167</v>
      </c>
      <c r="S1657" s="408" t="s">
        <v>175</v>
      </c>
      <c r="T1657" s="385"/>
      <c r="U1657" s="475">
        <v>573</v>
      </c>
      <c r="V1657" s="395"/>
      <c r="W1657" s="395">
        <f t="shared" si="1006"/>
        <v>11.245010000000001</v>
      </c>
      <c r="X1657" s="393"/>
      <c r="Y1657" s="337"/>
      <c r="Z1657" s="497"/>
      <c r="AA1657" s="544"/>
      <c r="AB1657" s="394"/>
      <c r="AC1657" s="394"/>
      <c r="AD1657" s="394"/>
      <c r="AE1657" s="394"/>
      <c r="AF1657" s="394"/>
      <c r="AG1657" s="394"/>
      <c r="AH1657" s="394"/>
      <c r="AI1657" s="394"/>
      <c r="AJ1657" s="394"/>
      <c r="AK1657" s="381"/>
      <c r="AL1657" s="408"/>
      <c r="AM1657" s="385"/>
      <c r="AN1657" s="475"/>
      <c r="AO1657" s="395"/>
      <c r="AP1657" s="395" t="e">
        <f t="shared" si="1004"/>
        <v>#DIV/0!</v>
      </c>
      <c r="AQ1657" s="393"/>
      <c r="AR1657" s="337"/>
      <c r="AS1657" s="497"/>
      <c r="AT1657" s="544"/>
      <c r="AU1657" s="394"/>
      <c r="AV1657" s="394"/>
      <c r="AW1657" s="394"/>
      <c r="AX1657" s="394"/>
      <c r="AY1657" s="394"/>
      <c r="AZ1657" s="394"/>
      <c r="BA1657" s="394"/>
      <c r="BB1657" s="394"/>
      <c r="BC1657" s="394"/>
      <c r="BD1657" s="381"/>
      <c r="BE1657" s="408"/>
      <c r="BF1657" s="385"/>
      <c r="BG1657" s="475"/>
      <c r="BH1657" s="395"/>
      <c r="BI1657" s="395" t="e">
        <f t="shared" si="1005"/>
        <v>#DIV/0!</v>
      </c>
    </row>
    <row r="1658" spans="1:61" s="358" customFormat="1" ht="19.2" x14ac:dyDescent="0.3">
      <c r="A1658" s="359" t="s">
        <v>344</v>
      </c>
      <c r="B1658" s="537" t="s">
        <v>1468</v>
      </c>
      <c r="C1658" s="546" t="s">
        <v>868</v>
      </c>
      <c r="D1658" s="360">
        <v>0.4</v>
      </c>
      <c r="E1658" s="393"/>
      <c r="F1658" s="337">
        <v>1</v>
      </c>
      <c r="G1658" s="497"/>
      <c r="H1658" s="544">
        <v>11.244999999999999</v>
      </c>
      <c r="I1658" s="394">
        <v>9.5485100000000003</v>
      </c>
      <c r="J1658" s="394">
        <v>8.5416699999999999</v>
      </c>
      <c r="K1658" s="394"/>
      <c r="L1658" s="394"/>
      <c r="M1658" s="394">
        <v>0</v>
      </c>
      <c r="N1658" s="394">
        <v>0</v>
      </c>
      <c r="O1658" s="394">
        <v>0.39550000000000002</v>
      </c>
      <c r="P1658" s="394">
        <v>8.5416699999999999</v>
      </c>
      <c r="Q1658" s="394"/>
      <c r="R1658" s="381" t="s">
        <v>167</v>
      </c>
      <c r="S1658" s="408" t="s">
        <v>175</v>
      </c>
      <c r="T1658" s="385"/>
      <c r="U1658" s="475">
        <v>574</v>
      </c>
      <c r="V1658" s="395"/>
      <c r="W1658" s="395">
        <f t="shared" si="1006"/>
        <v>11.244999999999999</v>
      </c>
      <c r="X1658" s="393"/>
      <c r="Y1658" s="337"/>
      <c r="Z1658" s="497"/>
      <c r="AA1658" s="544"/>
      <c r="AB1658" s="394"/>
      <c r="AC1658" s="394"/>
      <c r="AD1658" s="394"/>
      <c r="AE1658" s="394"/>
      <c r="AF1658" s="394"/>
      <c r="AG1658" s="394"/>
      <c r="AH1658" s="394"/>
      <c r="AI1658" s="394"/>
      <c r="AJ1658" s="394"/>
      <c r="AK1658" s="381"/>
      <c r="AL1658" s="408"/>
      <c r="AM1658" s="385"/>
      <c r="AN1658" s="475"/>
      <c r="AO1658" s="395"/>
      <c r="AP1658" s="395" t="e">
        <f t="shared" si="1004"/>
        <v>#DIV/0!</v>
      </c>
      <c r="AQ1658" s="393"/>
      <c r="AR1658" s="337"/>
      <c r="AS1658" s="497"/>
      <c r="AT1658" s="544"/>
      <c r="AU1658" s="394"/>
      <c r="AV1658" s="394"/>
      <c r="AW1658" s="394"/>
      <c r="AX1658" s="394"/>
      <c r="AY1658" s="394"/>
      <c r="AZ1658" s="394"/>
      <c r="BA1658" s="394"/>
      <c r="BB1658" s="394"/>
      <c r="BC1658" s="394"/>
      <c r="BD1658" s="381"/>
      <c r="BE1658" s="408"/>
      <c r="BF1658" s="385"/>
      <c r="BG1658" s="475"/>
      <c r="BH1658" s="395"/>
      <c r="BI1658" s="395" t="e">
        <f t="shared" si="1005"/>
        <v>#DIV/0!</v>
      </c>
    </row>
    <row r="1659" spans="1:61" s="358" customFormat="1" ht="19.2" x14ac:dyDescent="0.3">
      <c r="A1659" s="359" t="s">
        <v>361</v>
      </c>
      <c r="B1659" s="537" t="s">
        <v>252</v>
      </c>
      <c r="C1659" s="546" t="s">
        <v>869</v>
      </c>
      <c r="D1659" s="360">
        <v>0.4</v>
      </c>
      <c r="E1659" s="393"/>
      <c r="F1659" s="337">
        <v>1</v>
      </c>
      <c r="G1659" s="497"/>
      <c r="H1659" s="544">
        <v>13.163069999999999</v>
      </c>
      <c r="I1659" s="394">
        <v>11.46658</v>
      </c>
      <c r="J1659" s="394">
        <v>10.45974</v>
      </c>
      <c r="K1659" s="394"/>
      <c r="L1659" s="394"/>
      <c r="M1659" s="394">
        <v>0</v>
      </c>
      <c r="N1659" s="394">
        <v>0</v>
      </c>
      <c r="O1659" s="394">
        <v>0.39550000000000002</v>
      </c>
      <c r="P1659" s="394">
        <v>10.45974</v>
      </c>
      <c r="Q1659" s="394"/>
      <c r="R1659" s="381" t="s">
        <v>167</v>
      </c>
      <c r="S1659" s="408" t="s">
        <v>175</v>
      </c>
      <c r="T1659" s="385"/>
      <c r="U1659" s="475">
        <v>575</v>
      </c>
      <c r="V1659" s="395"/>
      <c r="W1659" s="395">
        <f t="shared" si="1006"/>
        <v>13.163069999999999</v>
      </c>
      <c r="X1659" s="393"/>
      <c r="Y1659" s="337"/>
      <c r="Z1659" s="497"/>
      <c r="AA1659" s="544"/>
      <c r="AB1659" s="394"/>
      <c r="AC1659" s="394"/>
      <c r="AD1659" s="394"/>
      <c r="AE1659" s="394"/>
      <c r="AF1659" s="394"/>
      <c r="AG1659" s="394"/>
      <c r="AH1659" s="394"/>
      <c r="AI1659" s="394"/>
      <c r="AJ1659" s="394"/>
      <c r="AK1659" s="381"/>
      <c r="AL1659" s="408"/>
      <c r="AM1659" s="385"/>
      <c r="AN1659" s="475"/>
      <c r="AO1659" s="395"/>
      <c r="AP1659" s="395" t="e">
        <f t="shared" si="1004"/>
        <v>#DIV/0!</v>
      </c>
      <c r="AQ1659" s="393"/>
      <c r="AR1659" s="337"/>
      <c r="AS1659" s="497"/>
      <c r="AT1659" s="544"/>
      <c r="AU1659" s="394"/>
      <c r="AV1659" s="394"/>
      <c r="AW1659" s="394"/>
      <c r="AX1659" s="394"/>
      <c r="AY1659" s="394"/>
      <c r="AZ1659" s="394"/>
      <c r="BA1659" s="394"/>
      <c r="BB1659" s="394"/>
      <c r="BC1659" s="394"/>
      <c r="BD1659" s="381"/>
      <c r="BE1659" s="408"/>
      <c r="BF1659" s="385"/>
      <c r="BG1659" s="475"/>
      <c r="BH1659" s="395"/>
      <c r="BI1659" s="395" t="e">
        <f t="shared" si="1005"/>
        <v>#DIV/0!</v>
      </c>
    </row>
    <row r="1660" spans="1:61" s="358" customFormat="1" ht="19.2" x14ac:dyDescent="0.3">
      <c r="A1660" s="359" t="s">
        <v>346</v>
      </c>
      <c r="B1660" s="537" t="s">
        <v>1469</v>
      </c>
      <c r="C1660" s="546" t="s">
        <v>870</v>
      </c>
      <c r="D1660" s="360">
        <v>0.4</v>
      </c>
      <c r="E1660" s="393"/>
      <c r="F1660" s="337">
        <v>1</v>
      </c>
      <c r="G1660" s="497"/>
      <c r="H1660" s="544">
        <v>13.16306</v>
      </c>
      <c r="I1660" s="394">
        <v>11.46658</v>
      </c>
      <c r="J1660" s="394">
        <v>10.45974</v>
      </c>
      <c r="K1660" s="394"/>
      <c r="L1660" s="394"/>
      <c r="M1660" s="394">
        <v>0</v>
      </c>
      <c r="N1660" s="394">
        <v>0</v>
      </c>
      <c r="O1660" s="394">
        <v>0.39550000000000002</v>
      </c>
      <c r="P1660" s="394">
        <v>10.45974</v>
      </c>
      <c r="Q1660" s="394"/>
      <c r="R1660" s="381" t="s">
        <v>167</v>
      </c>
      <c r="S1660" s="408" t="s">
        <v>175</v>
      </c>
      <c r="T1660" s="385"/>
      <c r="U1660" s="475">
        <v>576</v>
      </c>
      <c r="V1660" s="395"/>
      <c r="W1660" s="395">
        <f t="shared" ref="W1660:W1722" si="1007">H1660/F1660</f>
        <v>13.16306</v>
      </c>
      <c r="X1660" s="393"/>
      <c r="Y1660" s="337"/>
      <c r="Z1660" s="497"/>
      <c r="AA1660" s="544"/>
      <c r="AB1660" s="394"/>
      <c r="AC1660" s="394"/>
      <c r="AD1660" s="394"/>
      <c r="AE1660" s="394"/>
      <c r="AF1660" s="394"/>
      <c r="AG1660" s="394"/>
      <c r="AH1660" s="394"/>
      <c r="AI1660" s="394"/>
      <c r="AJ1660" s="394"/>
      <c r="AK1660" s="381"/>
      <c r="AL1660" s="408"/>
      <c r="AM1660" s="385"/>
      <c r="AN1660" s="475"/>
      <c r="AO1660" s="395"/>
      <c r="AP1660" s="395" t="e">
        <f t="shared" si="1004"/>
        <v>#DIV/0!</v>
      </c>
      <c r="AQ1660" s="393"/>
      <c r="AR1660" s="337"/>
      <c r="AS1660" s="497"/>
      <c r="AT1660" s="544"/>
      <c r="AU1660" s="394"/>
      <c r="AV1660" s="394"/>
      <c r="AW1660" s="394"/>
      <c r="AX1660" s="394"/>
      <c r="AY1660" s="394"/>
      <c r="AZ1660" s="394"/>
      <c r="BA1660" s="394"/>
      <c r="BB1660" s="394"/>
      <c r="BC1660" s="394"/>
      <c r="BD1660" s="381"/>
      <c r="BE1660" s="408"/>
      <c r="BF1660" s="385"/>
      <c r="BG1660" s="475"/>
      <c r="BH1660" s="395"/>
      <c r="BI1660" s="395" t="e">
        <f t="shared" si="1005"/>
        <v>#DIV/0!</v>
      </c>
    </row>
    <row r="1661" spans="1:61" s="358" customFormat="1" ht="19.2" x14ac:dyDescent="0.3">
      <c r="A1661" s="359" t="s">
        <v>347</v>
      </c>
      <c r="B1661" s="537" t="s">
        <v>1470</v>
      </c>
      <c r="C1661" s="546" t="s">
        <v>871</v>
      </c>
      <c r="D1661" s="360">
        <v>0.4</v>
      </c>
      <c r="E1661" s="393"/>
      <c r="F1661" s="337">
        <v>1</v>
      </c>
      <c r="G1661" s="497"/>
      <c r="H1661" s="544">
        <v>13.163069999999999</v>
      </c>
      <c r="I1661" s="394">
        <v>11.46658</v>
      </c>
      <c r="J1661" s="394">
        <v>10.45974</v>
      </c>
      <c r="K1661" s="394"/>
      <c r="L1661" s="394"/>
      <c r="M1661" s="394">
        <v>0</v>
      </c>
      <c r="N1661" s="394">
        <v>0</v>
      </c>
      <c r="O1661" s="394">
        <v>0.39550000000000002</v>
      </c>
      <c r="P1661" s="394">
        <v>10.45974</v>
      </c>
      <c r="Q1661" s="394"/>
      <c r="R1661" s="381" t="s">
        <v>167</v>
      </c>
      <c r="S1661" s="408" t="s">
        <v>175</v>
      </c>
      <c r="T1661" s="385"/>
      <c r="U1661" s="475">
        <v>577</v>
      </c>
      <c r="V1661" s="395"/>
      <c r="W1661" s="395">
        <f t="shared" si="1007"/>
        <v>13.163069999999999</v>
      </c>
      <c r="X1661" s="393"/>
      <c r="Y1661" s="337"/>
      <c r="Z1661" s="497"/>
      <c r="AA1661" s="544"/>
      <c r="AB1661" s="394"/>
      <c r="AC1661" s="394"/>
      <c r="AD1661" s="394"/>
      <c r="AE1661" s="394"/>
      <c r="AF1661" s="394"/>
      <c r="AG1661" s="394"/>
      <c r="AH1661" s="394"/>
      <c r="AI1661" s="394"/>
      <c r="AJ1661" s="394"/>
      <c r="AK1661" s="381"/>
      <c r="AL1661" s="408"/>
      <c r="AM1661" s="385"/>
      <c r="AN1661" s="475"/>
      <c r="AO1661" s="395"/>
      <c r="AP1661" s="395" t="e">
        <f t="shared" si="1004"/>
        <v>#DIV/0!</v>
      </c>
      <c r="AQ1661" s="393"/>
      <c r="AR1661" s="337"/>
      <c r="AS1661" s="497"/>
      <c r="AT1661" s="544"/>
      <c r="AU1661" s="394"/>
      <c r="AV1661" s="394"/>
      <c r="AW1661" s="394"/>
      <c r="AX1661" s="394"/>
      <c r="AY1661" s="394"/>
      <c r="AZ1661" s="394"/>
      <c r="BA1661" s="394"/>
      <c r="BB1661" s="394"/>
      <c r="BC1661" s="394"/>
      <c r="BD1661" s="381"/>
      <c r="BE1661" s="408"/>
      <c r="BF1661" s="385"/>
      <c r="BG1661" s="475"/>
      <c r="BH1661" s="395"/>
      <c r="BI1661" s="395" t="e">
        <f t="shared" si="1005"/>
        <v>#DIV/0!</v>
      </c>
    </row>
    <row r="1662" spans="1:61" s="358" customFormat="1" ht="19.2" x14ac:dyDescent="0.3">
      <c r="A1662" s="359" t="s">
        <v>348</v>
      </c>
      <c r="B1662" s="537" t="s">
        <v>552</v>
      </c>
      <c r="C1662" s="546" t="s">
        <v>417</v>
      </c>
      <c r="D1662" s="360">
        <v>0.4</v>
      </c>
      <c r="E1662" s="393"/>
      <c r="F1662" s="337">
        <v>1</v>
      </c>
      <c r="G1662" s="497"/>
      <c r="H1662" s="544">
        <v>13.16306</v>
      </c>
      <c r="I1662" s="394">
        <v>11.46658</v>
      </c>
      <c r="J1662" s="394">
        <v>10.45974</v>
      </c>
      <c r="K1662" s="394"/>
      <c r="L1662" s="394"/>
      <c r="M1662" s="394">
        <v>0</v>
      </c>
      <c r="N1662" s="394">
        <v>0</v>
      </c>
      <c r="O1662" s="394">
        <v>0.39550000000000002</v>
      </c>
      <c r="P1662" s="394">
        <v>10.45974</v>
      </c>
      <c r="Q1662" s="394"/>
      <c r="R1662" s="381" t="s">
        <v>167</v>
      </c>
      <c r="S1662" s="408" t="s">
        <v>175</v>
      </c>
      <c r="T1662" s="385"/>
      <c r="U1662" s="475">
        <v>578</v>
      </c>
      <c r="V1662" s="395"/>
      <c r="W1662" s="395">
        <f t="shared" si="1007"/>
        <v>13.16306</v>
      </c>
      <c r="X1662" s="393"/>
      <c r="Y1662" s="337"/>
      <c r="Z1662" s="497"/>
      <c r="AA1662" s="544"/>
      <c r="AB1662" s="394"/>
      <c r="AC1662" s="394"/>
      <c r="AD1662" s="394"/>
      <c r="AE1662" s="394"/>
      <c r="AF1662" s="394"/>
      <c r="AG1662" s="394"/>
      <c r="AH1662" s="394"/>
      <c r="AI1662" s="394"/>
      <c r="AJ1662" s="394"/>
      <c r="AK1662" s="381"/>
      <c r="AL1662" s="408"/>
      <c r="AM1662" s="385"/>
      <c r="AN1662" s="475"/>
      <c r="AO1662" s="395"/>
      <c r="AP1662" s="395" t="e">
        <f t="shared" si="1004"/>
        <v>#DIV/0!</v>
      </c>
      <c r="AQ1662" s="393"/>
      <c r="AR1662" s="337"/>
      <c r="AS1662" s="497"/>
      <c r="AT1662" s="544"/>
      <c r="AU1662" s="394"/>
      <c r="AV1662" s="394"/>
      <c r="AW1662" s="394"/>
      <c r="AX1662" s="394"/>
      <c r="AY1662" s="394"/>
      <c r="AZ1662" s="394"/>
      <c r="BA1662" s="394"/>
      <c r="BB1662" s="394"/>
      <c r="BC1662" s="394"/>
      <c r="BD1662" s="381"/>
      <c r="BE1662" s="408"/>
      <c r="BF1662" s="385"/>
      <c r="BG1662" s="475"/>
      <c r="BH1662" s="395"/>
      <c r="BI1662" s="395" t="e">
        <f t="shared" si="1005"/>
        <v>#DIV/0!</v>
      </c>
    </row>
    <row r="1663" spans="1:61" s="358" customFormat="1" ht="19.2" x14ac:dyDescent="0.3">
      <c r="A1663" s="359" t="s">
        <v>365</v>
      </c>
      <c r="B1663" s="537" t="s">
        <v>582</v>
      </c>
      <c r="C1663" s="546" t="s">
        <v>452</v>
      </c>
      <c r="D1663" s="360">
        <v>0.4</v>
      </c>
      <c r="E1663" s="393"/>
      <c r="F1663" s="337">
        <v>1</v>
      </c>
      <c r="G1663" s="497"/>
      <c r="H1663" s="544">
        <v>13.163069999999999</v>
      </c>
      <c r="I1663" s="394">
        <v>11.46658</v>
      </c>
      <c r="J1663" s="394">
        <v>10.45974</v>
      </c>
      <c r="K1663" s="394"/>
      <c r="L1663" s="394"/>
      <c r="M1663" s="394">
        <v>0</v>
      </c>
      <c r="N1663" s="394">
        <v>0</v>
      </c>
      <c r="O1663" s="394">
        <v>0.39550000000000002</v>
      </c>
      <c r="P1663" s="394">
        <v>10.45974</v>
      </c>
      <c r="Q1663" s="394"/>
      <c r="R1663" s="381" t="s">
        <v>167</v>
      </c>
      <c r="S1663" s="408" t="s">
        <v>175</v>
      </c>
      <c r="T1663" s="385"/>
      <c r="U1663" s="475">
        <v>579</v>
      </c>
      <c r="V1663" s="395"/>
      <c r="W1663" s="395">
        <f t="shared" si="1007"/>
        <v>13.163069999999999</v>
      </c>
      <c r="X1663" s="393"/>
      <c r="Y1663" s="337"/>
      <c r="Z1663" s="497"/>
      <c r="AA1663" s="544"/>
      <c r="AB1663" s="394"/>
      <c r="AC1663" s="394"/>
      <c r="AD1663" s="394"/>
      <c r="AE1663" s="394"/>
      <c r="AF1663" s="394"/>
      <c r="AG1663" s="394"/>
      <c r="AH1663" s="394"/>
      <c r="AI1663" s="394"/>
      <c r="AJ1663" s="394"/>
      <c r="AK1663" s="381"/>
      <c r="AL1663" s="408"/>
      <c r="AM1663" s="385"/>
      <c r="AN1663" s="475"/>
      <c r="AO1663" s="395"/>
      <c r="AP1663" s="395" t="e">
        <f t="shared" si="1004"/>
        <v>#DIV/0!</v>
      </c>
      <c r="AQ1663" s="393"/>
      <c r="AR1663" s="337"/>
      <c r="AS1663" s="497"/>
      <c r="AT1663" s="544"/>
      <c r="AU1663" s="394"/>
      <c r="AV1663" s="394"/>
      <c r="AW1663" s="394"/>
      <c r="AX1663" s="394"/>
      <c r="AY1663" s="394"/>
      <c r="AZ1663" s="394"/>
      <c r="BA1663" s="394"/>
      <c r="BB1663" s="394"/>
      <c r="BC1663" s="394"/>
      <c r="BD1663" s="381"/>
      <c r="BE1663" s="408"/>
      <c r="BF1663" s="385"/>
      <c r="BG1663" s="475"/>
      <c r="BH1663" s="395"/>
      <c r="BI1663" s="395" t="e">
        <f t="shared" si="1005"/>
        <v>#DIV/0!</v>
      </c>
    </row>
    <row r="1664" spans="1:61" s="358" customFormat="1" ht="19.2" x14ac:dyDescent="0.3">
      <c r="A1664" s="359" t="s">
        <v>350</v>
      </c>
      <c r="B1664" s="537" t="s">
        <v>1471</v>
      </c>
      <c r="C1664" s="546" t="s">
        <v>872</v>
      </c>
      <c r="D1664" s="360">
        <v>0.4</v>
      </c>
      <c r="E1664" s="393"/>
      <c r="F1664" s="337">
        <v>1</v>
      </c>
      <c r="G1664" s="497"/>
      <c r="H1664" s="544">
        <v>13.16306</v>
      </c>
      <c r="I1664" s="394">
        <v>11.46658</v>
      </c>
      <c r="J1664" s="394">
        <v>10.45974</v>
      </c>
      <c r="K1664" s="394"/>
      <c r="L1664" s="394"/>
      <c r="M1664" s="394">
        <v>0</v>
      </c>
      <c r="N1664" s="394">
        <v>0</v>
      </c>
      <c r="O1664" s="394">
        <v>0.39550000000000002</v>
      </c>
      <c r="P1664" s="394">
        <v>10.45974</v>
      </c>
      <c r="Q1664" s="394"/>
      <c r="R1664" s="381" t="s">
        <v>167</v>
      </c>
      <c r="S1664" s="408" t="s">
        <v>175</v>
      </c>
      <c r="T1664" s="385"/>
      <c r="U1664" s="475">
        <v>580</v>
      </c>
      <c r="V1664" s="395"/>
      <c r="W1664" s="395">
        <f t="shared" si="1007"/>
        <v>13.16306</v>
      </c>
      <c r="X1664" s="393"/>
      <c r="Y1664" s="337"/>
      <c r="Z1664" s="497"/>
      <c r="AA1664" s="544"/>
      <c r="AB1664" s="394"/>
      <c r="AC1664" s="394"/>
      <c r="AD1664" s="394"/>
      <c r="AE1664" s="394"/>
      <c r="AF1664" s="394"/>
      <c r="AG1664" s="394"/>
      <c r="AH1664" s="394"/>
      <c r="AI1664" s="394"/>
      <c r="AJ1664" s="394"/>
      <c r="AK1664" s="381"/>
      <c r="AL1664" s="408"/>
      <c r="AM1664" s="385"/>
      <c r="AN1664" s="475"/>
      <c r="AO1664" s="395"/>
      <c r="AP1664" s="395" t="e">
        <f t="shared" si="1004"/>
        <v>#DIV/0!</v>
      </c>
      <c r="AQ1664" s="393"/>
      <c r="AR1664" s="337"/>
      <c r="AS1664" s="497"/>
      <c r="AT1664" s="544"/>
      <c r="AU1664" s="394"/>
      <c r="AV1664" s="394"/>
      <c r="AW1664" s="394"/>
      <c r="AX1664" s="394"/>
      <c r="AY1664" s="394"/>
      <c r="AZ1664" s="394"/>
      <c r="BA1664" s="394"/>
      <c r="BB1664" s="394"/>
      <c r="BC1664" s="394"/>
      <c r="BD1664" s="381"/>
      <c r="BE1664" s="408"/>
      <c r="BF1664" s="385"/>
      <c r="BG1664" s="475"/>
      <c r="BH1664" s="395"/>
      <c r="BI1664" s="395" t="e">
        <f t="shared" si="1005"/>
        <v>#DIV/0!</v>
      </c>
    </row>
    <row r="1665" spans="1:61" s="358" customFormat="1" ht="19.2" x14ac:dyDescent="0.3">
      <c r="A1665" s="359" t="s">
        <v>351</v>
      </c>
      <c r="B1665" s="537" t="s">
        <v>1472</v>
      </c>
      <c r="C1665" s="546" t="s">
        <v>873</v>
      </c>
      <c r="D1665" s="360">
        <v>0.4</v>
      </c>
      <c r="E1665" s="393"/>
      <c r="F1665" s="337">
        <v>1</v>
      </c>
      <c r="G1665" s="497"/>
      <c r="H1665" s="544">
        <v>13.163069999999999</v>
      </c>
      <c r="I1665" s="394">
        <v>11.46658</v>
      </c>
      <c r="J1665" s="394">
        <v>10.45974</v>
      </c>
      <c r="K1665" s="394"/>
      <c r="L1665" s="394"/>
      <c r="M1665" s="394">
        <v>0</v>
      </c>
      <c r="N1665" s="394">
        <v>0</v>
      </c>
      <c r="O1665" s="394">
        <v>0.39550000000000002</v>
      </c>
      <c r="P1665" s="394">
        <v>10.45974</v>
      </c>
      <c r="Q1665" s="394"/>
      <c r="R1665" s="381" t="s">
        <v>167</v>
      </c>
      <c r="S1665" s="408" t="s">
        <v>175</v>
      </c>
      <c r="T1665" s="385"/>
      <c r="U1665" s="475">
        <v>581</v>
      </c>
      <c r="V1665" s="395"/>
      <c r="W1665" s="395">
        <f t="shared" si="1007"/>
        <v>13.163069999999999</v>
      </c>
      <c r="X1665" s="393"/>
      <c r="Y1665" s="337"/>
      <c r="Z1665" s="497"/>
      <c r="AA1665" s="544"/>
      <c r="AB1665" s="394"/>
      <c r="AC1665" s="394"/>
      <c r="AD1665" s="394"/>
      <c r="AE1665" s="394"/>
      <c r="AF1665" s="394"/>
      <c r="AG1665" s="394"/>
      <c r="AH1665" s="394"/>
      <c r="AI1665" s="394"/>
      <c r="AJ1665" s="394"/>
      <c r="AK1665" s="381"/>
      <c r="AL1665" s="408"/>
      <c r="AM1665" s="385"/>
      <c r="AN1665" s="475"/>
      <c r="AO1665" s="395"/>
      <c r="AP1665" s="395" t="e">
        <f t="shared" si="1004"/>
        <v>#DIV/0!</v>
      </c>
      <c r="AQ1665" s="393"/>
      <c r="AR1665" s="337"/>
      <c r="AS1665" s="497"/>
      <c r="AT1665" s="544"/>
      <c r="AU1665" s="394"/>
      <c r="AV1665" s="394"/>
      <c r="AW1665" s="394"/>
      <c r="AX1665" s="394"/>
      <c r="AY1665" s="394"/>
      <c r="AZ1665" s="394"/>
      <c r="BA1665" s="394"/>
      <c r="BB1665" s="394"/>
      <c r="BC1665" s="394"/>
      <c r="BD1665" s="381"/>
      <c r="BE1665" s="408"/>
      <c r="BF1665" s="385"/>
      <c r="BG1665" s="475"/>
      <c r="BH1665" s="395"/>
      <c r="BI1665" s="395" t="e">
        <f t="shared" si="1005"/>
        <v>#DIV/0!</v>
      </c>
    </row>
    <row r="1666" spans="1:61" s="358" customFormat="1" ht="19.2" x14ac:dyDescent="0.3">
      <c r="A1666" s="359" t="s">
        <v>336</v>
      </c>
      <c r="B1666" s="537" t="s">
        <v>1473</v>
      </c>
      <c r="C1666" s="546" t="s">
        <v>874</v>
      </c>
      <c r="D1666" s="360">
        <v>0.4</v>
      </c>
      <c r="E1666" s="393"/>
      <c r="F1666" s="337">
        <v>1</v>
      </c>
      <c r="G1666" s="497"/>
      <c r="H1666" s="544">
        <v>13.16306</v>
      </c>
      <c r="I1666" s="394">
        <v>11.46658</v>
      </c>
      <c r="J1666" s="394">
        <v>10.45974</v>
      </c>
      <c r="K1666" s="394"/>
      <c r="L1666" s="394"/>
      <c r="M1666" s="394">
        <v>0</v>
      </c>
      <c r="N1666" s="394">
        <v>0</v>
      </c>
      <c r="O1666" s="394">
        <v>0.39550000000000002</v>
      </c>
      <c r="P1666" s="394">
        <v>10.45974</v>
      </c>
      <c r="Q1666" s="394"/>
      <c r="R1666" s="381" t="s">
        <v>167</v>
      </c>
      <c r="S1666" s="408" t="s">
        <v>175</v>
      </c>
      <c r="T1666" s="385"/>
      <c r="U1666" s="475">
        <v>582</v>
      </c>
      <c r="V1666" s="395"/>
      <c r="W1666" s="395">
        <f t="shared" si="1007"/>
        <v>13.16306</v>
      </c>
      <c r="X1666" s="393"/>
      <c r="Y1666" s="337"/>
      <c r="Z1666" s="497"/>
      <c r="AA1666" s="544"/>
      <c r="AB1666" s="394"/>
      <c r="AC1666" s="394"/>
      <c r="AD1666" s="394"/>
      <c r="AE1666" s="394"/>
      <c r="AF1666" s="394"/>
      <c r="AG1666" s="394"/>
      <c r="AH1666" s="394"/>
      <c r="AI1666" s="394"/>
      <c r="AJ1666" s="394"/>
      <c r="AK1666" s="381"/>
      <c r="AL1666" s="408"/>
      <c r="AM1666" s="385"/>
      <c r="AN1666" s="475"/>
      <c r="AO1666" s="395"/>
      <c r="AP1666" s="395" t="e">
        <f t="shared" si="1004"/>
        <v>#DIV/0!</v>
      </c>
      <c r="AQ1666" s="393"/>
      <c r="AR1666" s="337"/>
      <c r="AS1666" s="497"/>
      <c r="AT1666" s="544"/>
      <c r="AU1666" s="394"/>
      <c r="AV1666" s="394"/>
      <c r="AW1666" s="394"/>
      <c r="AX1666" s="394"/>
      <c r="AY1666" s="394"/>
      <c r="AZ1666" s="394"/>
      <c r="BA1666" s="394"/>
      <c r="BB1666" s="394"/>
      <c r="BC1666" s="394"/>
      <c r="BD1666" s="381"/>
      <c r="BE1666" s="408"/>
      <c r="BF1666" s="385"/>
      <c r="BG1666" s="475"/>
      <c r="BH1666" s="395"/>
      <c r="BI1666" s="395" t="e">
        <f t="shared" si="1005"/>
        <v>#DIV/0!</v>
      </c>
    </row>
    <row r="1667" spans="1:61" s="358" customFormat="1" ht="19.2" x14ac:dyDescent="0.3">
      <c r="A1667" s="359" t="s">
        <v>353</v>
      </c>
      <c r="B1667" s="537" t="s">
        <v>555</v>
      </c>
      <c r="C1667" s="546" t="s">
        <v>420</v>
      </c>
      <c r="D1667" s="360">
        <v>0.4</v>
      </c>
      <c r="E1667" s="393"/>
      <c r="F1667" s="337">
        <v>1</v>
      </c>
      <c r="G1667" s="497"/>
      <c r="H1667" s="544">
        <v>13.163069999999999</v>
      </c>
      <c r="I1667" s="394">
        <v>11.46658</v>
      </c>
      <c r="J1667" s="394">
        <v>10.45974</v>
      </c>
      <c r="K1667" s="394"/>
      <c r="L1667" s="394"/>
      <c r="M1667" s="394">
        <v>0</v>
      </c>
      <c r="N1667" s="394">
        <v>0</v>
      </c>
      <c r="O1667" s="394">
        <v>0.39550000000000002</v>
      </c>
      <c r="P1667" s="394">
        <v>10.45974</v>
      </c>
      <c r="Q1667" s="394"/>
      <c r="R1667" s="381" t="s">
        <v>167</v>
      </c>
      <c r="S1667" s="408" t="s">
        <v>175</v>
      </c>
      <c r="T1667" s="385"/>
      <c r="U1667" s="475">
        <v>583</v>
      </c>
      <c r="V1667" s="395"/>
      <c r="W1667" s="395">
        <f t="shared" si="1007"/>
        <v>13.163069999999999</v>
      </c>
      <c r="X1667" s="393"/>
      <c r="Y1667" s="337"/>
      <c r="Z1667" s="497"/>
      <c r="AA1667" s="544"/>
      <c r="AB1667" s="394"/>
      <c r="AC1667" s="394"/>
      <c r="AD1667" s="394"/>
      <c r="AE1667" s="394"/>
      <c r="AF1667" s="394"/>
      <c r="AG1667" s="394"/>
      <c r="AH1667" s="394"/>
      <c r="AI1667" s="394"/>
      <c r="AJ1667" s="394"/>
      <c r="AK1667" s="381"/>
      <c r="AL1667" s="408"/>
      <c r="AM1667" s="385"/>
      <c r="AN1667" s="475"/>
      <c r="AO1667" s="395"/>
      <c r="AP1667" s="395" t="e">
        <f t="shared" si="1004"/>
        <v>#DIV/0!</v>
      </c>
      <c r="AQ1667" s="393"/>
      <c r="AR1667" s="337"/>
      <c r="AS1667" s="497"/>
      <c r="AT1667" s="544"/>
      <c r="AU1667" s="394"/>
      <c r="AV1667" s="394"/>
      <c r="AW1667" s="394"/>
      <c r="AX1667" s="394"/>
      <c r="AY1667" s="394"/>
      <c r="AZ1667" s="394"/>
      <c r="BA1667" s="394"/>
      <c r="BB1667" s="394"/>
      <c r="BC1667" s="394"/>
      <c r="BD1667" s="381"/>
      <c r="BE1667" s="408"/>
      <c r="BF1667" s="385"/>
      <c r="BG1667" s="475"/>
      <c r="BH1667" s="395"/>
      <c r="BI1667" s="395" t="e">
        <f t="shared" si="1005"/>
        <v>#DIV/0!</v>
      </c>
    </row>
    <row r="1668" spans="1:61" s="358" customFormat="1" ht="19.2" x14ac:dyDescent="0.3">
      <c r="A1668" s="359" t="s">
        <v>354</v>
      </c>
      <c r="B1668" s="537" t="s">
        <v>1474</v>
      </c>
      <c r="C1668" s="546" t="s">
        <v>875</v>
      </c>
      <c r="D1668" s="360">
        <v>0.4</v>
      </c>
      <c r="E1668" s="393"/>
      <c r="F1668" s="337">
        <v>1</v>
      </c>
      <c r="G1668" s="497"/>
      <c r="H1668" s="544">
        <v>13.16306</v>
      </c>
      <c r="I1668" s="394">
        <v>11.46658</v>
      </c>
      <c r="J1668" s="394">
        <v>10.45974</v>
      </c>
      <c r="K1668" s="394"/>
      <c r="L1668" s="394"/>
      <c r="M1668" s="394">
        <v>0</v>
      </c>
      <c r="N1668" s="394">
        <v>0</v>
      </c>
      <c r="O1668" s="394">
        <v>0.39550000000000002</v>
      </c>
      <c r="P1668" s="394">
        <v>10.45974</v>
      </c>
      <c r="Q1668" s="394"/>
      <c r="R1668" s="381" t="s">
        <v>167</v>
      </c>
      <c r="S1668" s="408" t="s">
        <v>175</v>
      </c>
      <c r="T1668" s="385"/>
      <c r="U1668" s="475">
        <v>584</v>
      </c>
      <c r="V1668" s="395"/>
      <c r="W1668" s="395">
        <f t="shared" si="1007"/>
        <v>13.16306</v>
      </c>
      <c r="X1668" s="393"/>
      <c r="Y1668" s="337"/>
      <c r="Z1668" s="497"/>
      <c r="AA1668" s="544"/>
      <c r="AB1668" s="394"/>
      <c r="AC1668" s="394"/>
      <c r="AD1668" s="394"/>
      <c r="AE1668" s="394"/>
      <c r="AF1668" s="394"/>
      <c r="AG1668" s="394"/>
      <c r="AH1668" s="394"/>
      <c r="AI1668" s="394"/>
      <c r="AJ1668" s="394"/>
      <c r="AK1668" s="381"/>
      <c r="AL1668" s="408"/>
      <c r="AM1668" s="385"/>
      <c r="AN1668" s="475"/>
      <c r="AO1668" s="395"/>
      <c r="AP1668" s="395" t="e">
        <f t="shared" si="1004"/>
        <v>#DIV/0!</v>
      </c>
      <c r="AQ1668" s="393"/>
      <c r="AR1668" s="337"/>
      <c r="AS1668" s="497"/>
      <c r="AT1668" s="544"/>
      <c r="AU1668" s="394"/>
      <c r="AV1668" s="394"/>
      <c r="AW1668" s="394"/>
      <c r="AX1668" s="394"/>
      <c r="AY1668" s="394"/>
      <c r="AZ1668" s="394"/>
      <c r="BA1668" s="394"/>
      <c r="BB1668" s="394"/>
      <c r="BC1668" s="394"/>
      <c r="BD1668" s="381"/>
      <c r="BE1668" s="408"/>
      <c r="BF1668" s="385"/>
      <c r="BG1668" s="475"/>
      <c r="BH1668" s="395"/>
      <c r="BI1668" s="395" t="e">
        <f t="shared" si="1005"/>
        <v>#DIV/0!</v>
      </c>
    </row>
    <row r="1669" spans="1:61" s="358" customFormat="1" ht="19.2" x14ac:dyDescent="0.3">
      <c r="A1669" s="359" t="s">
        <v>355</v>
      </c>
      <c r="B1669" s="537" t="s">
        <v>1475</v>
      </c>
      <c r="C1669" s="546" t="s">
        <v>876</v>
      </c>
      <c r="D1669" s="360">
        <v>0.4</v>
      </c>
      <c r="E1669" s="393"/>
      <c r="F1669" s="337">
        <v>1</v>
      </c>
      <c r="G1669" s="497"/>
      <c r="H1669" s="544">
        <v>13.163069999999999</v>
      </c>
      <c r="I1669" s="394">
        <v>11.46658</v>
      </c>
      <c r="J1669" s="394">
        <v>10.45974</v>
      </c>
      <c r="K1669" s="394"/>
      <c r="L1669" s="394"/>
      <c r="M1669" s="394">
        <v>0</v>
      </c>
      <c r="N1669" s="394">
        <v>0</v>
      </c>
      <c r="O1669" s="394">
        <v>0.39550000000000002</v>
      </c>
      <c r="P1669" s="394">
        <v>10.45974</v>
      </c>
      <c r="Q1669" s="394"/>
      <c r="R1669" s="381" t="s">
        <v>167</v>
      </c>
      <c r="S1669" s="408" t="s">
        <v>175</v>
      </c>
      <c r="T1669" s="385"/>
      <c r="U1669" s="475">
        <v>585</v>
      </c>
      <c r="V1669" s="395"/>
      <c r="W1669" s="395">
        <f t="shared" si="1007"/>
        <v>13.163069999999999</v>
      </c>
      <c r="X1669" s="393"/>
      <c r="Y1669" s="337"/>
      <c r="Z1669" s="497"/>
      <c r="AA1669" s="544"/>
      <c r="AB1669" s="394"/>
      <c r="AC1669" s="394"/>
      <c r="AD1669" s="394"/>
      <c r="AE1669" s="394"/>
      <c r="AF1669" s="394"/>
      <c r="AG1669" s="394"/>
      <c r="AH1669" s="394"/>
      <c r="AI1669" s="394"/>
      <c r="AJ1669" s="394"/>
      <c r="AK1669" s="381"/>
      <c r="AL1669" s="408"/>
      <c r="AM1669" s="385"/>
      <c r="AN1669" s="475"/>
      <c r="AO1669" s="395"/>
      <c r="AP1669" s="395" t="e">
        <f t="shared" si="1004"/>
        <v>#DIV/0!</v>
      </c>
      <c r="AQ1669" s="393"/>
      <c r="AR1669" s="337"/>
      <c r="AS1669" s="497"/>
      <c r="AT1669" s="544"/>
      <c r="AU1669" s="394"/>
      <c r="AV1669" s="394"/>
      <c r="AW1669" s="394"/>
      <c r="AX1669" s="394"/>
      <c r="AY1669" s="394"/>
      <c r="AZ1669" s="394"/>
      <c r="BA1669" s="394"/>
      <c r="BB1669" s="394"/>
      <c r="BC1669" s="394"/>
      <c r="BD1669" s="381"/>
      <c r="BE1669" s="408"/>
      <c r="BF1669" s="385"/>
      <c r="BG1669" s="475"/>
      <c r="BH1669" s="395"/>
      <c r="BI1669" s="395" t="e">
        <f t="shared" si="1005"/>
        <v>#DIV/0!</v>
      </c>
    </row>
    <row r="1670" spans="1:61" s="358" customFormat="1" ht="19.2" x14ac:dyDescent="0.3">
      <c r="A1670" s="359" t="s">
        <v>356</v>
      </c>
      <c r="B1670" s="537" t="s">
        <v>1476</v>
      </c>
      <c r="C1670" s="546" t="s">
        <v>877</v>
      </c>
      <c r="D1670" s="360">
        <v>0.4</v>
      </c>
      <c r="E1670" s="393"/>
      <c r="F1670" s="337">
        <v>1</v>
      </c>
      <c r="G1670" s="497"/>
      <c r="H1670" s="544">
        <v>13.16306</v>
      </c>
      <c r="I1670" s="394">
        <v>11.46658</v>
      </c>
      <c r="J1670" s="394">
        <v>10.45974</v>
      </c>
      <c r="K1670" s="394"/>
      <c r="L1670" s="394"/>
      <c r="M1670" s="394">
        <v>0</v>
      </c>
      <c r="N1670" s="394">
        <v>0</v>
      </c>
      <c r="O1670" s="394">
        <v>0.39550000000000002</v>
      </c>
      <c r="P1670" s="394">
        <v>10.45974</v>
      </c>
      <c r="Q1670" s="394"/>
      <c r="R1670" s="381" t="s">
        <v>167</v>
      </c>
      <c r="S1670" s="408" t="s">
        <v>175</v>
      </c>
      <c r="T1670" s="385"/>
      <c r="U1670" s="475">
        <v>586</v>
      </c>
      <c r="V1670" s="395"/>
      <c r="W1670" s="395">
        <f t="shared" si="1007"/>
        <v>13.16306</v>
      </c>
      <c r="X1670" s="393"/>
      <c r="Y1670" s="337"/>
      <c r="Z1670" s="497"/>
      <c r="AA1670" s="544"/>
      <c r="AB1670" s="394"/>
      <c r="AC1670" s="394"/>
      <c r="AD1670" s="394"/>
      <c r="AE1670" s="394"/>
      <c r="AF1670" s="394"/>
      <c r="AG1670" s="394"/>
      <c r="AH1670" s="394"/>
      <c r="AI1670" s="394"/>
      <c r="AJ1670" s="394"/>
      <c r="AK1670" s="381"/>
      <c r="AL1670" s="408"/>
      <c r="AM1670" s="385"/>
      <c r="AN1670" s="475"/>
      <c r="AO1670" s="395"/>
      <c r="AP1670" s="395" t="e">
        <f t="shared" si="1004"/>
        <v>#DIV/0!</v>
      </c>
      <c r="AQ1670" s="393"/>
      <c r="AR1670" s="337"/>
      <c r="AS1670" s="497"/>
      <c r="AT1670" s="544"/>
      <c r="AU1670" s="394"/>
      <c r="AV1670" s="394"/>
      <c r="AW1670" s="394"/>
      <c r="AX1670" s="394"/>
      <c r="AY1670" s="394"/>
      <c r="AZ1670" s="394"/>
      <c r="BA1670" s="394"/>
      <c r="BB1670" s="394"/>
      <c r="BC1670" s="394"/>
      <c r="BD1670" s="381"/>
      <c r="BE1670" s="408"/>
      <c r="BF1670" s="385"/>
      <c r="BG1670" s="475"/>
      <c r="BH1670" s="395"/>
      <c r="BI1670" s="395" t="e">
        <f t="shared" si="1005"/>
        <v>#DIV/0!</v>
      </c>
    </row>
    <row r="1671" spans="1:61" s="358" customFormat="1" ht="19.2" x14ac:dyDescent="0.3">
      <c r="A1671" s="359" t="s">
        <v>357</v>
      </c>
      <c r="B1671" s="537" t="s">
        <v>1477</v>
      </c>
      <c r="C1671" s="546" t="s">
        <v>878</v>
      </c>
      <c r="D1671" s="360">
        <v>0.4</v>
      </c>
      <c r="E1671" s="393"/>
      <c r="F1671" s="337">
        <v>1</v>
      </c>
      <c r="G1671" s="497"/>
      <c r="H1671" s="544">
        <v>13.163080000000001</v>
      </c>
      <c r="I1671" s="394">
        <v>11.46658</v>
      </c>
      <c r="J1671" s="394">
        <v>10.45974</v>
      </c>
      <c r="K1671" s="394"/>
      <c r="L1671" s="394"/>
      <c r="M1671" s="394">
        <v>0</v>
      </c>
      <c r="N1671" s="394">
        <v>0</v>
      </c>
      <c r="O1671" s="394">
        <v>0.39550000000000002</v>
      </c>
      <c r="P1671" s="394">
        <v>10.45974</v>
      </c>
      <c r="Q1671" s="394"/>
      <c r="R1671" s="381" t="s">
        <v>167</v>
      </c>
      <c r="S1671" s="408" t="s">
        <v>175</v>
      </c>
      <c r="T1671" s="385"/>
      <c r="U1671" s="475">
        <v>587</v>
      </c>
      <c r="V1671" s="395"/>
      <c r="W1671" s="395">
        <f t="shared" si="1007"/>
        <v>13.163080000000001</v>
      </c>
      <c r="X1671" s="393"/>
      <c r="Y1671" s="337"/>
      <c r="Z1671" s="497"/>
      <c r="AA1671" s="544"/>
      <c r="AB1671" s="394"/>
      <c r="AC1671" s="394"/>
      <c r="AD1671" s="394"/>
      <c r="AE1671" s="394"/>
      <c r="AF1671" s="394"/>
      <c r="AG1671" s="394"/>
      <c r="AH1671" s="394"/>
      <c r="AI1671" s="394"/>
      <c r="AJ1671" s="394"/>
      <c r="AK1671" s="381"/>
      <c r="AL1671" s="408"/>
      <c r="AM1671" s="385"/>
      <c r="AN1671" s="475"/>
      <c r="AO1671" s="395"/>
      <c r="AP1671" s="395" t="e">
        <f t="shared" si="1004"/>
        <v>#DIV/0!</v>
      </c>
      <c r="AQ1671" s="393"/>
      <c r="AR1671" s="337"/>
      <c r="AS1671" s="497"/>
      <c r="AT1671" s="544"/>
      <c r="AU1671" s="394"/>
      <c r="AV1671" s="394"/>
      <c r="AW1671" s="394"/>
      <c r="AX1671" s="394"/>
      <c r="AY1671" s="394"/>
      <c r="AZ1671" s="394"/>
      <c r="BA1671" s="394"/>
      <c r="BB1671" s="394"/>
      <c r="BC1671" s="394"/>
      <c r="BD1671" s="381"/>
      <c r="BE1671" s="408"/>
      <c r="BF1671" s="385"/>
      <c r="BG1671" s="475"/>
      <c r="BH1671" s="395"/>
      <c r="BI1671" s="395" t="e">
        <f t="shared" si="1005"/>
        <v>#DIV/0!</v>
      </c>
    </row>
    <row r="1672" spans="1:61" s="358" customFormat="1" ht="19.2" x14ac:dyDescent="0.3">
      <c r="A1672" s="359" t="s">
        <v>358</v>
      </c>
      <c r="B1672" s="537" t="s">
        <v>1478</v>
      </c>
      <c r="C1672" s="546" t="s">
        <v>879</v>
      </c>
      <c r="D1672" s="360">
        <v>0.4</v>
      </c>
      <c r="E1672" s="393"/>
      <c r="F1672" s="337">
        <v>1</v>
      </c>
      <c r="G1672" s="497"/>
      <c r="H1672" s="544">
        <v>13.16306</v>
      </c>
      <c r="I1672" s="394">
        <v>11.46658</v>
      </c>
      <c r="J1672" s="394">
        <v>10.45974</v>
      </c>
      <c r="K1672" s="394"/>
      <c r="L1672" s="394"/>
      <c r="M1672" s="394">
        <v>0</v>
      </c>
      <c r="N1672" s="394">
        <v>0</v>
      </c>
      <c r="O1672" s="394">
        <v>0.39550000000000002</v>
      </c>
      <c r="P1672" s="394">
        <v>10.45974</v>
      </c>
      <c r="Q1672" s="394"/>
      <c r="R1672" s="381" t="s">
        <v>167</v>
      </c>
      <c r="S1672" s="408" t="s">
        <v>175</v>
      </c>
      <c r="T1672" s="385"/>
      <c r="U1672" s="475">
        <v>588</v>
      </c>
      <c r="V1672" s="395"/>
      <c r="W1672" s="395">
        <f t="shared" si="1007"/>
        <v>13.16306</v>
      </c>
      <c r="X1672" s="393"/>
      <c r="Y1672" s="337"/>
      <c r="Z1672" s="497"/>
      <c r="AA1672" s="544"/>
      <c r="AB1672" s="394"/>
      <c r="AC1672" s="394"/>
      <c r="AD1672" s="394"/>
      <c r="AE1672" s="394"/>
      <c r="AF1672" s="394"/>
      <c r="AG1672" s="394"/>
      <c r="AH1672" s="394"/>
      <c r="AI1672" s="394"/>
      <c r="AJ1672" s="394"/>
      <c r="AK1672" s="381"/>
      <c r="AL1672" s="408"/>
      <c r="AM1672" s="385"/>
      <c r="AN1672" s="475"/>
      <c r="AO1672" s="395"/>
      <c r="AP1672" s="395" t="e">
        <f t="shared" si="1004"/>
        <v>#DIV/0!</v>
      </c>
      <c r="AQ1672" s="393"/>
      <c r="AR1672" s="337"/>
      <c r="AS1672" s="497"/>
      <c r="AT1672" s="544"/>
      <c r="AU1672" s="394"/>
      <c r="AV1672" s="394"/>
      <c r="AW1672" s="394"/>
      <c r="AX1672" s="394"/>
      <c r="AY1672" s="394"/>
      <c r="AZ1672" s="394"/>
      <c r="BA1672" s="394"/>
      <c r="BB1672" s="394"/>
      <c r="BC1672" s="394"/>
      <c r="BD1672" s="381"/>
      <c r="BE1672" s="408"/>
      <c r="BF1672" s="385"/>
      <c r="BG1672" s="475"/>
      <c r="BH1672" s="395"/>
      <c r="BI1672" s="395" t="e">
        <f t="shared" si="1005"/>
        <v>#DIV/0!</v>
      </c>
    </row>
    <row r="1673" spans="1:61" s="358" customFormat="1" ht="19.2" x14ac:dyDescent="0.3">
      <c r="A1673" s="359" t="s">
        <v>359</v>
      </c>
      <c r="B1673" s="537" t="s">
        <v>1479</v>
      </c>
      <c r="C1673" s="546" t="s">
        <v>880</v>
      </c>
      <c r="D1673" s="360">
        <v>0.4</v>
      </c>
      <c r="E1673" s="393"/>
      <c r="F1673" s="337">
        <v>1</v>
      </c>
      <c r="G1673" s="497"/>
      <c r="H1673" s="544">
        <v>13.163080000000001</v>
      </c>
      <c r="I1673" s="394">
        <v>11.46658</v>
      </c>
      <c r="J1673" s="394">
        <v>10.45974</v>
      </c>
      <c r="K1673" s="394"/>
      <c r="L1673" s="394"/>
      <c r="M1673" s="394">
        <v>0</v>
      </c>
      <c r="N1673" s="394">
        <v>0</v>
      </c>
      <c r="O1673" s="394">
        <v>0.39550000000000002</v>
      </c>
      <c r="P1673" s="394">
        <v>10.45974</v>
      </c>
      <c r="Q1673" s="394"/>
      <c r="R1673" s="381" t="s">
        <v>167</v>
      </c>
      <c r="S1673" s="408" t="s">
        <v>175</v>
      </c>
      <c r="T1673" s="385"/>
      <c r="U1673" s="475">
        <v>589</v>
      </c>
      <c r="V1673" s="395"/>
      <c r="W1673" s="395">
        <f t="shared" si="1007"/>
        <v>13.163080000000001</v>
      </c>
      <c r="X1673" s="393"/>
      <c r="Y1673" s="337"/>
      <c r="Z1673" s="497"/>
      <c r="AA1673" s="544"/>
      <c r="AB1673" s="394"/>
      <c r="AC1673" s="394"/>
      <c r="AD1673" s="394"/>
      <c r="AE1673" s="394"/>
      <c r="AF1673" s="394"/>
      <c r="AG1673" s="394"/>
      <c r="AH1673" s="394"/>
      <c r="AI1673" s="394"/>
      <c r="AJ1673" s="394"/>
      <c r="AK1673" s="381"/>
      <c r="AL1673" s="408"/>
      <c r="AM1673" s="385"/>
      <c r="AN1673" s="475"/>
      <c r="AO1673" s="395"/>
      <c r="AP1673" s="395" t="e">
        <f t="shared" si="1004"/>
        <v>#DIV/0!</v>
      </c>
      <c r="AQ1673" s="393"/>
      <c r="AR1673" s="337"/>
      <c r="AS1673" s="497"/>
      <c r="AT1673" s="544"/>
      <c r="AU1673" s="394"/>
      <c r="AV1673" s="394"/>
      <c r="AW1673" s="394"/>
      <c r="AX1673" s="394"/>
      <c r="AY1673" s="394"/>
      <c r="AZ1673" s="394"/>
      <c r="BA1673" s="394"/>
      <c r="BB1673" s="394"/>
      <c r="BC1673" s="394"/>
      <c r="BD1673" s="381"/>
      <c r="BE1673" s="408"/>
      <c r="BF1673" s="385"/>
      <c r="BG1673" s="475"/>
      <c r="BH1673" s="395"/>
      <c r="BI1673" s="395" t="e">
        <f t="shared" si="1005"/>
        <v>#DIV/0!</v>
      </c>
    </row>
    <row r="1674" spans="1:61" s="358" customFormat="1" ht="19.2" x14ac:dyDescent="0.3">
      <c r="A1674" s="359" t="s">
        <v>360</v>
      </c>
      <c r="B1674" s="537" t="s">
        <v>1480</v>
      </c>
      <c r="C1674" s="546" t="s">
        <v>881</v>
      </c>
      <c r="D1674" s="360">
        <v>0.4</v>
      </c>
      <c r="E1674" s="393"/>
      <c r="F1674" s="337">
        <v>1</v>
      </c>
      <c r="G1674" s="497"/>
      <c r="H1674" s="544">
        <v>13.163080000000001</v>
      </c>
      <c r="I1674" s="394">
        <v>11.46658</v>
      </c>
      <c r="J1674" s="394">
        <v>10.45974</v>
      </c>
      <c r="K1674" s="394"/>
      <c r="L1674" s="394"/>
      <c r="M1674" s="394">
        <v>0</v>
      </c>
      <c r="N1674" s="394">
        <v>0</v>
      </c>
      <c r="O1674" s="394">
        <v>0.39550000000000002</v>
      </c>
      <c r="P1674" s="394">
        <v>10.45974</v>
      </c>
      <c r="Q1674" s="394"/>
      <c r="R1674" s="381" t="s">
        <v>167</v>
      </c>
      <c r="S1674" s="408" t="s">
        <v>175</v>
      </c>
      <c r="T1674" s="385"/>
      <c r="U1674" s="475">
        <v>590</v>
      </c>
      <c r="V1674" s="395"/>
      <c r="W1674" s="395">
        <f t="shared" si="1007"/>
        <v>13.163080000000001</v>
      </c>
      <c r="X1674" s="393"/>
      <c r="Y1674" s="337"/>
      <c r="Z1674" s="497"/>
      <c r="AA1674" s="544"/>
      <c r="AB1674" s="394"/>
      <c r="AC1674" s="394"/>
      <c r="AD1674" s="394"/>
      <c r="AE1674" s="394"/>
      <c r="AF1674" s="394"/>
      <c r="AG1674" s="394"/>
      <c r="AH1674" s="394"/>
      <c r="AI1674" s="394"/>
      <c r="AJ1674" s="394"/>
      <c r="AK1674" s="381"/>
      <c r="AL1674" s="408"/>
      <c r="AM1674" s="385"/>
      <c r="AN1674" s="475"/>
      <c r="AO1674" s="395"/>
      <c r="AP1674" s="395" t="e">
        <f t="shared" si="1004"/>
        <v>#DIV/0!</v>
      </c>
      <c r="AQ1674" s="393"/>
      <c r="AR1674" s="337"/>
      <c r="AS1674" s="497"/>
      <c r="AT1674" s="544"/>
      <c r="AU1674" s="394"/>
      <c r="AV1674" s="394"/>
      <c r="AW1674" s="394"/>
      <c r="AX1674" s="394"/>
      <c r="AY1674" s="394"/>
      <c r="AZ1674" s="394"/>
      <c r="BA1674" s="394"/>
      <c r="BB1674" s="394"/>
      <c r="BC1674" s="394"/>
      <c r="BD1674" s="381"/>
      <c r="BE1674" s="408"/>
      <c r="BF1674" s="385"/>
      <c r="BG1674" s="475"/>
      <c r="BH1674" s="395"/>
      <c r="BI1674" s="395" t="e">
        <f t="shared" si="1005"/>
        <v>#DIV/0!</v>
      </c>
    </row>
    <row r="1675" spans="1:61" s="358" customFormat="1" ht="19.2" x14ac:dyDescent="0.3">
      <c r="A1675" s="359" t="s">
        <v>377</v>
      </c>
      <c r="B1675" s="537" t="s">
        <v>1481</v>
      </c>
      <c r="C1675" s="546" t="s">
        <v>882</v>
      </c>
      <c r="D1675" s="360">
        <v>0.4</v>
      </c>
      <c r="E1675" s="393"/>
      <c r="F1675" s="337">
        <v>1</v>
      </c>
      <c r="G1675" s="497"/>
      <c r="H1675" s="544">
        <v>13.16306</v>
      </c>
      <c r="I1675" s="394">
        <v>11.46658</v>
      </c>
      <c r="J1675" s="394">
        <v>10.45974</v>
      </c>
      <c r="K1675" s="394"/>
      <c r="L1675" s="394"/>
      <c r="M1675" s="394">
        <v>0</v>
      </c>
      <c r="N1675" s="394">
        <v>0</v>
      </c>
      <c r="O1675" s="394">
        <v>0.39550000000000002</v>
      </c>
      <c r="P1675" s="394">
        <v>10.45974</v>
      </c>
      <c r="Q1675" s="394"/>
      <c r="R1675" s="381" t="s">
        <v>167</v>
      </c>
      <c r="S1675" s="408" t="s">
        <v>175</v>
      </c>
      <c r="T1675" s="385"/>
      <c r="U1675" s="475">
        <v>591</v>
      </c>
      <c r="V1675" s="395"/>
      <c r="W1675" s="395">
        <f t="shared" si="1007"/>
        <v>13.16306</v>
      </c>
      <c r="X1675" s="393"/>
      <c r="Y1675" s="337"/>
      <c r="Z1675" s="497"/>
      <c r="AA1675" s="544"/>
      <c r="AB1675" s="394"/>
      <c r="AC1675" s="394"/>
      <c r="AD1675" s="394"/>
      <c r="AE1675" s="394"/>
      <c r="AF1675" s="394"/>
      <c r="AG1675" s="394"/>
      <c r="AH1675" s="394"/>
      <c r="AI1675" s="394"/>
      <c r="AJ1675" s="394"/>
      <c r="AK1675" s="381"/>
      <c r="AL1675" s="408"/>
      <c r="AM1675" s="385"/>
      <c r="AN1675" s="475"/>
      <c r="AO1675" s="395"/>
      <c r="AP1675" s="395" t="e">
        <f t="shared" ref="AP1675:AP1738" si="1008">AA1675/Y1675</f>
        <v>#DIV/0!</v>
      </c>
      <c r="AQ1675" s="393"/>
      <c r="AR1675" s="337"/>
      <c r="AS1675" s="497"/>
      <c r="AT1675" s="544"/>
      <c r="AU1675" s="394"/>
      <c r="AV1675" s="394"/>
      <c r="AW1675" s="394"/>
      <c r="AX1675" s="394"/>
      <c r="AY1675" s="394"/>
      <c r="AZ1675" s="394"/>
      <c r="BA1675" s="394"/>
      <c r="BB1675" s="394"/>
      <c r="BC1675" s="394"/>
      <c r="BD1675" s="381"/>
      <c r="BE1675" s="408"/>
      <c r="BF1675" s="385"/>
      <c r="BG1675" s="475"/>
      <c r="BH1675" s="395"/>
      <c r="BI1675" s="395" t="e">
        <f t="shared" si="1005"/>
        <v>#DIV/0!</v>
      </c>
    </row>
    <row r="1676" spans="1:61" s="358" customFormat="1" ht="19.2" x14ac:dyDescent="0.3">
      <c r="A1676" s="359" t="s">
        <v>362</v>
      </c>
      <c r="B1676" s="537" t="s">
        <v>300</v>
      </c>
      <c r="C1676" s="546" t="s">
        <v>282</v>
      </c>
      <c r="D1676" s="360">
        <v>0.4</v>
      </c>
      <c r="E1676" s="393"/>
      <c r="F1676" s="337">
        <v>1</v>
      </c>
      <c r="G1676" s="497"/>
      <c r="H1676" s="544">
        <v>13.163080000000001</v>
      </c>
      <c r="I1676" s="394">
        <v>11.46658</v>
      </c>
      <c r="J1676" s="394">
        <v>10.45974</v>
      </c>
      <c r="K1676" s="394"/>
      <c r="L1676" s="394"/>
      <c r="M1676" s="394">
        <v>0</v>
      </c>
      <c r="N1676" s="394">
        <v>0</v>
      </c>
      <c r="O1676" s="394">
        <v>0.39550000000000002</v>
      </c>
      <c r="P1676" s="394">
        <v>10.45974</v>
      </c>
      <c r="Q1676" s="394"/>
      <c r="R1676" s="381" t="s">
        <v>167</v>
      </c>
      <c r="S1676" s="408" t="s">
        <v>175</v>
      </c>
      <c r="T1676" s="385"/>
      <c r="U1676" s="475">
        <v>592</v>
      </c>
      <c r="V1676" s="395"/>
      <c r="W1676" s="395">
        <f t="shared" si="1007"/>
        <v>13.163080000000001</v>
      </c>
      <c r="X1676" s="393"/>
      <c r="Y1676" s="337"/>
      <c r="Z1676" s="497"/>
      <c r="AA1676" s="544"/>
      <c r="AB1676" s="394"/>
      <c r="AC1676" s="394"/>
      <c r="AD1676" s="394"/>
      <c r="AE1676" s="394"/>
      <c r="AF1676" s="394"/>
      <c r="AG1676" s="394"/>
      <c r="AH1676" s="394"/>
      <c r="AI1676" s="394"/>
      <c r="AJ1676" s="394"/>
      <c r="AK1676" s="381"/>
      <c r="AL1676" s="408"/>
      <c r="AM1676" s="385"/>
      <c r="AN1676" s="475"/>
      <c r="AO1676" s="395"/>
      <c r="AP1676" s="395" t="e">
        <f t="shared" si="1008"/>
        <v>#DIV/0!</v>
      </c>
      <c r="AQ1676" s="393"/>
      <c r="AR1676" s="337"/>
      <c r="AS1676" s="497"/>
      <c r="AT1676" s="544"/>
      <c r="AU1676" s="394"/>
      <c r="AV1676" s="394"/>
      <c r="AW1676" s="394"/>
      <c r="AX1676" s="394"/>
      <c r="AY1676" s="394"/>
      <c r="AZ1676" s="394"/>
      <c r="BA1676" s="394"/>
      <c r="BB1676" s="394"/>
      <c r="BC1676" s="394"/>
      <c r="BD1676" s="381"/>
      <c r="BE1676" s="408"/>
      <c r="BF1676" s="385"/>
      <c r="BG1676" s="475"/>
      <c r="BH1676" s="395"/>
      <c r="BI1676" s="395" t="e">
        <f t="shared" si="1005"/>
        <v>#DIV/0!</v>
      </c>
    </row>
    <row r="1677" spans="1:61" s="358" customFormat="1" ht="19.2" x14ac:dyDescent="0.3">
      <c r="A1677" s="359" t="s">
        <v>363</v>
      </c>
      <c r="B1677" s="537" t="s">
        <v>1482</v>
      </c>
      <c r="C1677" s="546" t="s">
        <v>883</v>
      </c>
      <c r="D1677" s="360">
        <v>0.4</v>
      </c>
      <c r="E1677" s="393"/>
      <c r="F1677" s="337">
        <v>1</v>
      </c>
      <c r="G1677" s="497"/>
      <c r="H1677" s="544">
        <v>13.16306</v>
      </c>
      <c r="I1677" s="394">
        <v>11.46658</v>
      </c>
      <c r="J1677" s="394">
        <v>10.45974</v>
      </c>
      <c r="K1677" s="394"/>
      <c r="L1677" s="394"/>
      <c r="M1677" s="394">
        <v>0</v>
      </c>
      <c r="N1677" s="394">
        <v>0</v>
      </c>
      <c r="O1677" s="394">
        <v>0.39550000000000002</v>
      </c>
      <c r="P1677" s="394">
        <v>10.45974</v>
      </c>
      <c r="Q1677" s="394"/>
      <c r="R1677" s="381" t="s">
        <v>167</v>
      </c>
      <c r="S1677" s="408" t="s">
        <v>175</v>
      </c>
      <c r="T1677" s="385"/>
      <c r="U1677" s="475">
        <v>593</v>
      </c>
      <c r="V1677" s="395"/>
      <c r="W1677" s="395">
        <f t="shared" si="1007"/>
        <v>13.16306</v>
      </c>
      <c r="X1677" s="393"/>
      <c r="Y1677" s="337"/>
      <c r="Z1677" s="497"/>
      <c r="AA1677" s="544"/>
      <c r="AB1677" s="394"/>
      <c r="AC1677" s="394"/>
      <c r="AD1677" s="394"/>
      <c r="AE1677" s="394"/>
      <c r="AF1677" s="394"/>
      <c r="AG1677" s="394"/>
      <c r="AH1677" s="394"/>
      <c r="AI1677" s="394"/>
      <c r="AJ1677" s="394"/>
      <c r="AK1677" s="381"/>
      <c r="AL1677" s="408"/>
      <c r="AM1677" s="385"/>
      <c r="AN1677" s="475"/>
      <c r="AO1677" s="395"/>
      <c r="AP1677" s="395" t="e">
        <f t="shared" si="1008"/>
        <v>#DIV/0!</v>
      </c>
      <c r="AQ1677" s="393"/>
      <c r="AR1677" s="337"/>
      <c r="AS1677" s="497"/>
      <c r="AT1677" s="544"/>
      <c r="AU1677" s="394"/>
      <c r="AV1677" s="394"/>
      <c r="AW1677" s="394"/>
      <c r="AX1677" s="394"/>
      <c r="AY1677" s="394"/>
      <c r="AZ1677" s="394"/>
      <c r="BA1677" s="394"/>
      <c r="BB1677" s="394"/>
      <c r="BC1677" s="394"/>
      <c r="BD1677" s="381"/>
      <c r="BE1677" s="408"/>
      <c r="BF1677" s="385"/>
      <c r="BG1677" s="475"/>
      <c r="BH1677" s="395"/>
      <c r="BI1677" s="395" t="e">
        <f t="shared" si="1005"/>
        <v>#DIV/0!</v>
      </c>
    </row>
    <row r="1678" spans="1:61" s="358" customFormat="1" ht="19.2" x14ac:dyDescent="0.3">
      <c r="A1678" s="359" t="s">
        <v>364</v>
      </c>
      <c r="B1678" s="537" t="s">
        <v>1857</v>
      </c>
      <c r="C1678" s="546" t="s">
        <v>884</v>
      </c>
      <c r="D1678" s="360">
        <v>0.4</v>
      </c>
      <c r="E1678" s="393"/>
      <c r="F1678" s="337">
        <v>1</v>
      </c>
      <c r="G1678" s="497"/>
      <c r="H1678" s="544">
        <v>13.163080000000001</v>
      </c>
      <c r="I1678" s="394">
        <v>11.46658</v>
      </c>
      <c r="J1678" s="394">
        <v>10.45974</v>
      </c>
      <c r="K1678" s="394"/>
      <c r="L1678" s="394"/>
      <c r="M1678" s="394">
        <v>0</v>
      </c>
      <c r="N1678" s="394">
        <v>0</v>
      </c>
      <c r="O1678" s="394">
        <v>0.39550000000000002</v>
      </c>
      <c r="P1678" s="394">
        <v>10.45974</v>
      </c>
      <c r="Q1678" s="394"/>
      <c r="R1678" s="381" t="s">
        <v>167</v>
      </c>
      <c r="S1678" s="408" t="s">
        <v>175</v>
      </c>
      <c r="T1678" s="385"/>
      <c r="U1678" s="475">
        <v>594</v>
      </c>
      <c r="V1678" s="395"/>
      <c r="W1678" s="395">
        <f t="shared" si="1007"/>
        <v>13.163080000000001</v>
      </c>
      <c r="X1678" s="393"/>
      <c r="Y1678" s="337"/>
      <c r="Z1678" s="497"/>
      <c r="AA1678" s="544"/>
      <c r="AB1678" s="394"/>
      <c r="AC1678" s="394"/>
      <c r="AD1678" s="394"/>
      <c r="AE1678" s="394"/>
      <c r="AF1678" s="394"/>
      <c r="AG1678" s="394"/>
      <c r="AH1678" s="394"/>
      <c r="AI1678" s="394"/>
      <c r="AJ1678" s="394"/>
      <c r="AK1678" s="381"/>
      <c r="AL1678" s="408"/>
      <c r="AM1678" s="385"/>
      <c r="AN1678" s="475"/>
      <c r="AO1678" s="395"/>
      <c r="AP1678" s="395" t="e">
        <f t="shared" si="1008"/>
        <v>#DIV/0!</v>
      </c>
      <c r="AQ1678" s="393"/>
      <c r="AR1678" s="337"/>
      <c r="AS1678" s="497"/>
      <c r="AT1678" s="544"/>
      <c r="AU1678" s="394"/>
      <c r="AV1678" s="394"/>
      <c r="AW1678" s="394"/>
      <c r="AX1678" s="394"/>
      <c r="AY1678" s="394"/>
      <c r="AZ1678" s="394"/>
      <c r="BA1678" s="394"/>
      <c r="BB1678" s="394"/>
      <c r="BC1678" s="394"/>
      <c r="BD1678" s="381"/>
      <c r="BE1678" s="408"/>
      <c r="BF1678" s="385"/>
      <c r="BG1678" s="475"/>
      <c r="BH1678" s="395"/>
      <c r="BI1678" s="395" t="e">
        <f t="shared" si="1005"/>
        <v>#DIV/0!</v>
      </c>
    </row>
    <row r="1679" spans="1:61" s="358" customFormat="1" ht="19.2" x14ac:dyDescent="0.3">
      <c r="A1679" s="359" t="s">
        <v>381</v>
      </c>
      <c r="B1679" s="537" t="s">
        <v>1483</v>
      </c>
      <c r="C1679" s="546" t="s">
        <v>885</v>
      </c>
      <c r="D1679" s="360">
        <v>0.4</v>
      </c>
      <c r="E1679" s="393"/>
      <c r="F1679" s="337">
        <v>1</v>
      </c>
      <c r="G1679" s="497"/>
      <c r="H1679" s="544">
        <v>13.16306</v>
      </c>
      <c r="I1679" s="394">
        <v>11.46658</v>
      </c>
      <c r="J1679" s="394">
        <v>10.45974</v>
      </c>
      <c r="K1679" s="394"/>
      <c r="L1679" s="394"/>
      <c r="M1679" s="394">
        <v>0</v>
      </c>
      <c r="N1679" s="394">
        <v>0</v>
      </c>
      <c r="O1679" s="394">
        <v>0.39550000000000002</v>
      </c>
      <c r="P1679" s="394">
        <v>10.45974</v>
      </c>
      <c r="Q1679" s="394"/>
      <c r="R1679" s="381" t="s">
        <v>167</v>
      </c>
      <c r="S1679" s="408" t="s">
        <v>175</v>
      </c>
      <c r="T1679" s="385"/>
      <c r="U1679" s="475">
        <v>595</v>
      </c>
      <c r="V1679" s="395"/>
      <c r="W1679" s="395">
        <f t="shared" si="1007"/>
        <v>13.16306</v>
      </c>
      <c r="X1679" s="393"/>
      <c r="Y1679" s="337"/>
      <c r="Z1679" s="497"/>
      <c r="AA1679" s="544"/>
      <c r="AB1679" s="394"/>
      <c r="AC1679" s="394"/>
      <c r="AD1679" s="394"/>
      <c r="AE1679" s="394"/>
      <c r="AF1679" s="394"/>
      <c r="AG1679" s="394"/>
      <c r="AH1679" s="394"/>
      <c r="AI1679" s="394"/>
      <c r="AJ1679" s="394"/>
      <c r="AK1679" s="381"/>
      <c r="AL1679" s="408"/>
      <c r="AM1679" s="385"/>
      <c r="AN1679" s="475"/>
      <c r="AO1679" s="395"/>
      <c r="AP1679" s="395" t="e">
        <f t="shared" si="1008"/>
        <v>#DIV/0!</v>
      </c>
      <c r="AQ1679" s="393"/>
      <c r="AR1679" s="337"/>
      <c r="AS1679" s="497"/>
      <c r="AT1679" s="544"/>
      <c r="AU1679" s="394"/>
      <c r="AV1679" s="394"/>
      <c r="AW1679" s="394"/>
      <c r="AX1679" s="394"/>
      <c r="AY1679" s="394"/>
      <c r="AZ1679" s="394"/>
      <c r="BA1679" s="394"/>
      <c r="BB1679" s="394"/>
      <c r="BC1679" s="394"/>
      <c r="BD1679" s="381"/>
      <c r="BE1679" s="408"/>
      <c r="BF1679" s="385"/>
      <c r="BG1679" s="475"/>
      <c r="BH1679" s="395"/>
      <c r="BI1679" s="395" t="e">
        <f t="shared" si="1005"/>
        <v>#DIV/0!</v>
      </c>
    </row>
    <row r="1680" spans="1:61" s="358" customFormat="1" ht="19.2" x14ac:dyDescent="0.3">
      <c r="A1680" s="359" t="s">
        <v>366</v>
      </c>
      <c r="B1680" s="537" t="s">
        <v>1484</v>
      </c>
      <c r="C1680" s="546" t="s">
        <v>886</v>
      </c>
      <c r="D1680" s="360">
        <v>0.4</v>
      </c>
      <c r="E1680" s="393"/>
      <c r="F1680" s="337">
        <v>1</v>
      </c>
      <c r="G1680" s="497"/>
      <c r="H1680" s="544">
        <v>13.163080000000001</v>
      </c>
      <c r="I1680" s="394">
        <v>11.46658</v>
      </c>
      <c r="J1680" s="394">
        <v>10.45974</v>
      </c>
      <c r="K1680" s="394"/>
      <c r="L1680" s="394"/>
      <c r="M1680" s="394">
        <v>0</v>
      </c>
      <c r="N1680" s="394">
        <v>0</v>
      </c>
      <c r="O1680" s="394">
        <v>0.39550000000000002</v>
      </c>
      <c r="P1680" s="394">
        <v>10.45974</v>
      </c>
      <c r="Q1680" s="394"/>
      <c r="R1680" s="381" t="s">
        <v>167</v>
      </c>
      <c r="S1680" s="408" t="s">
        <v>175</v>
      </c>
      <c r="T1680" s="385"/>
      <c r="U1680" s="475">
        <v>596</v>
      </c>
      <c r="V1680" s="395"/>
      <c r="W1680" s="395">
        <f t="shared" si="1007"/>
        <v>13.163080000000001</v>
      </c>
      <c r="X1680" s="393"/>
      <c r="Y1680" s="337"/>
      <c r="Z1680" s="497"/>
      <c r="AA1680" s="544"/>
      <c r="AB1680" s="394"/>
      <c r="AC1680" s="394"/>
      <c r="AD1680" s="394"/>
      <c r="AE1680" s="394"/>
      <c r="AF1680" s="394"/>
      <c r="AG1680" s="394"/>
      <c r="AH1680" s="394"/>
      <c r="AI1680" s="394"/>
      <c r="AJ1680" s="394"/>
      <c r="AK1680" s="381"/>
      <c r="AL1680" s="408"/>
      <c r="AM1680" s="385"/>
      <c r="AN1680" s="475"/>
      <c r="AO1680" s="395"/>
      <c r="AP1680" s="395" t="e">
        <f t="shared" si="1008"/>
        <v>#DIV/0!</v>
      </c>
      <c r="AQ1680" s="393"/>
      <c r="AR1680" s="337"/>
      <c r="AS1680" s="497"/>
      <c r="AT1680" s="544"/>
      <c r="AU1680" s="394"/>
      <c r="AV1680" s="394"/>
      <c r="AW1680" s="394"/>
      <c r="AX1680" s="394"/>
      <c r="AY1680" s="394"/>
      <c r="AZ1680" s="394"/>
      <c r="BA1680" s="394"/>
      <c r="BB1680" s="394"/>
      <c r="BC1680" s="394"/>
      <c r="BD1680" s="381"/>
      <c r="BE1680" s="408"/>
      <c r="BF1680" s="385"/>
      <c r="BG1680" s="475"/>
      <c r="BH1680" s="395"/>
      <c r="BI1680" s="395" t="e">
        <f t="shared" si="1005"/>
        <v>#DIV/0!</v>
      </c>
    </row>
    <row r="1681" spans="1:61" s="358" customFormat="1" ht="19.2" x14ac:dyDescent="0.3">
      <c r="A1681" s="359" t="s">
        <v>367</v>
      </c>
      <c r="B1681" s="537" t="s">
        <v>1485</v>
      </c>
      <c r="C1681" s="546" t="s">
        <v>887</v>
      </c>
      <c r="D1681" s="360">
        <v>0.4</v>
      </c>
      <c r="E1681" s="393"/>
      <c r="F1681" s="337">
        <v>1</v>
      </c>
      <c r="G1681" s="497"/>
      <c r="H1681" s="544">
        <v>13.16306</v>
      </c>
      <c r="I1681" s="394">
        <v>11.46658</v>
      </c>
      <c r="J1681" s="394">
        <v>10.45974</v>
      </c>
      <c r="K1681" s="394"/>
      <c r="L1681" s="394"/>
      <c r="M1681" s="394">
        <v>0</v>
      </c>
      <c r="N1681" s="394">
        <v>0</v>
      </c>
      <c r="O1681" s="394">
        <v>0.39550000000000002</v>
      </c>
      <c r="P1681" s="394">
        <v>10.45974</v>
      </c>
      <c r="Q1681" s="394"/>
      <c r="R1681" s="381" t="s">
        <v>167</v>
      </c>
      <c r="S1681" s="408" t="s">
        <v>175</v>
      </c>
      <c r="T1681" s="385"/>
      <c r="U1681" s="475">
        <v>597</v>
      </c>
      <c r="V1681" s="395"/>
      <c r="W1681" s="395">
        <f t="shared" si="1007"/>
        <v>13.16306</v>
      </c>
      <c r="X1681" s="393"/>
      <c r="Y1681" s="337"/>
      <c r="Z1681" s="497"/>
      <c r="AA1681" s="544"/>
      <c r="AB1681" s="394"/>
      <c r="AC1681" s="394"/>
      <c r="AD1681" s="394"/>
      <c r="AE1681" s="394"/>
      <c r="AF1681" s="394"/>
      <c r="AG1681" s="394"/>
      <c r="AH1681" s="394"/>
      <c r="AI1681" s="394"/>
      <c r="AJ1681" s="394"/>
      <c r="AK1681" s="381"/>
      <c r="AL1681" s="408"/>
      <c r="AM1681" s="385"/>
      <c r="AN1681" s="475"/>
      <c r="AO1681" s="395"/>
      <c r="AP1681" s="395" t="e">
        <f t="shared" si="1008"/>
        <v>#DIV/0!</v>
      </c>
      <c r="AQ1681" s="393"/>
      <c r="AR1681" s="337"/>
      <c r="AS1681" s="497"/>
      <c r="AT1681" s="544"/>
      <c r="AU1681" s="394"/>
      <c r="AV1681" s="394"/>
      <c r="AW1681" s="394"/>
      <c r="AX1681" s="394"/>
      <c r="AY1681" s="394"/>
      <c r="AZ1681" s="394"/>
      <c r="BA1681" s="394"/>
      <c r="BB1681" s="394"/>
      <c r="BC1681" s="394"/>
      <c r="BD1681" s="381"/>
      <c r="BE1681" s="408"/>
      <c r="BF1681" s="385"/>
      <c r="BG1681" s="475"/>
      <c r="BH1681" s="395"/>
      <c r="BI1681" s="395" t="e">
        <f t="shared" si="1005"/>
        <v>#DIV/0!</v>
      </c>
    </row>
    <row r="1682" spans="1:61" s="358" customFormat="1" ht="19.2" x14ac:dyDescent="0.3">
      <c r="A1682" s="359" t="s">
        <v>352</v>
      </c>
      <c r="B1682" s="537" t="s">
        <v>1486</v>
      </c>
      <c r="C1682" s="546" t="s">
        <v>888</v>
      </c>
      <c r="D1682" s="360">
        <v>0.4</v>
      </c>
      <c r="E1682" s="393"/>
      <c r="F1682" s="337">
        <v>1</v>
      </c>
      <c r="G1682" s="497"/>
      <c r="H1682" s="544">
        <v>13.163080000000001</v>
      </c>
      <c r="I1682" s="394">
        <v>11.46658</v>
      </c>
      <c r="J1682" s="394">
        <v>10.45974</v>
      </c>
      <c r="K1682" s="394"/>
      <c r="L1682" s="394"/>
      <c r="M1682" s="394">
        <v>0</v>
      </c>
      <c r="N1682" s="394">
        <v>0</v>
      </c>
      <c r="O1682" s="394">
        <v>0.39550000000000002</v>
      </c>
      <c r="P1682" s="394">
        <v>10.45974</v>
      </c>
      <c r="Q1682" s="394"/>
      <c r="R1682" s="381" t="s">
        <v>167</v>
      </c>
      <c r="S1682" s="408" t="s">
        <v>175</v>
      </c>
      <c r="T1682" s="385"/>
      <c r="U1682" s="475">
        <v>598</v>
      </c>
      <c r="V1682" s="395"/>
      <c r="W1682" s="395">
        <f t="shared" si="1007"/>
        <v>13.163080000000001</v>
      </c>
      <c r="X1682" s="393"/>
      <c r="Y1682" s="337"/>
      <c r="Z1682" s="497"/>
      <c r="AA1682" s="544"/>
      <c r="AB1682" s="394"/>
      <c r="AC1682" s="394"/>
      <c r="AD1682" s="394"/>
      <c r="AE1682" s="394"/>
      <c r="AF1682" s="394"/>
      <c r="AG1682" s="394"/>
      <c r="AH1682" s="394"/>
      <c r="AI1682" s="394"/>
      <c r="AJ1682" s="394"/>
      <c r="AK1682" s="381"/>
      <c r="AL1682" s="408"/>
      <c r="AM1682" s="385"/>
      <c r="AN1682" s="475"/>
      <c r="AO1682" s="395"/>
      <c r="AP1682" s="395" t="e">
        <f t="shared" si="1008"/>
        <v>#DIV/0!</v>
      </c>
      <c r="AQ1682" s="393"/>
      <c r="AR1682" s="337"/>
      <c r="AS1682" s="497"/>
      <c r="AT1682" s="544"/>
      <c r="AU1682" s="394"/>
      <c r="AV1682" s="394"/>
      <c r="AW1682" s="394"/>
      <c r="AX1682" s="394"/>
      <c r="AY1682" s="394"/>
      <c r="AZ1682" s="394"/>
      <c r="BA1682" s="394"/>
      <c r="BB1682" s="394"/>
      <c r="BC1682" s="394"/>
      <c r="BD1682" s="381"/>
      <c r="BE1682" s="408"/>
      <c r="BF1682" s="385"/>
      <c r="BG1682" s="475"/>
      <c r="BH1682" s="395"/>
      <c r="BI1682" s="395" t="e">
        <f t="shared" si="1005"/>
        <v>#DIV/0!</v>
      </c>
    </row>
    <row r="1683" spans="1:61" s="358" customFormat="1" ht="19.2" x14ac:dyDescent="0.3">
      <c r="A1683" s="359" t="s">
        <v>369</v>
      </c>
      <c r="B1683" s="537" t="s">
        <v>1487</v>
      </c>
      <c r="C1683" s="546" t="s">
        <v>889</v>
      </c>
      <c r="D1683" s="360">
        <v>0.4</v>
      </c>
      <c r="E1683" s="393"/>
      <c r="F1683" s="337">
        <v>1</v>
      </c>
      <c r="G1683" s="497"/>
      <c r="H1683" s="544">
        <v>13.16306</v>
      </c>
      <c r="I1683" s="394">
        <v>11.46658</v>
      </c>
      <c r="J1683" s="394">
        <v>10.45974</v>
      </c>
      <c r="K1683" s="394"/>
      <c r="L1683" s="394"/>
      <c r="M1683" s="394">
        <v>0</v>
      </c>
      <c r="N1683" s="394">
        <v>0</v>
      </c>
      <c r="O1683" s="394">
        <v>0.39550000000000002</v>
      </c>
      <c r="P1683" s="394">
        <v>10.45974</v>
      </c>
      <c r="Q1683" s="394"/>
      <c r="R1683" s="381" t="s">
        <v>167</v>
      </c>
      <c r="S1683" s="408" t="s">
        <v>175</v>
      </c>
      <c r="T1683" s="385"/>
      <c r="U1683" s="475">
        <v>599</v>
      </c>
      <c r="V1683" s="395"/>
      <c r="W1683" s="395">
        <f t="shared" si="1007"/>
        <v>13.16306</v>
      </c>
      <c r="X1683" s="393"/>
      <c r="Y1683" s="337"/>
      <c r="Z1683" s="497"/>
      <c r="AA1683" s="544"/>
      <c r="AB1683" s="394"/>
      <c r="AC1683" s="394"/>
      <c r="AD1683" s="394"/>
      <c r="AE1683" s="394"/>
      <c r="AF1683" s="394"/>
      <c r="AG1683" s="394"/>
      <c r="AH1683" s="394"/>
      <c r="AI1683" s="394"/>
      <c r="AJ1683" s="394"/>
      <c r="AK1683" s="381"/>
      <c r="AL1683" s="408"/>
      <c r="AM1683" s="385"/>
      <c r="AN1683" s="475"/>
      <c r="AO1683" s="395"/>
      <c r="AP1683" s="395" t="e">
        <f t="shared" si="1008"/>
        <v>#DIV/0!</v>
      </c>
      <c r="AQ1683" s="393"/>
      <c r="AR1683" s="337"/>
      <c r="AS1683" s="497"/>
      <c r="AT1683" s="544"/>
      <c r="AU1683" s="394"/>
      <c r="AV1683" s="394"/>
      <c r="AW1683" s="394"/>
      <c r="AX1683" s="394"/>
      <c r="AY1683" s="394"/>
      <c r="AZ1683" s="394"/>
      <c r="BA1683" s="394"/>
      <c r="BB1683" s="394"/>
      <c r="BC1683" s="394"/>
      <c r="BD1683" s="381"/>
      <c r="BE1683" s="408"/>
      <c r="BF1683" s="385"/>
      <c r="BG1683" s="475"/>
      <c r="BH1683" s="395"/>
      <c r="BI1683" s="395" t="e">
        <f t="shared" si="1005"/>
        <v>#DIV/0!</v>
      </c>
    </row>
    <row r="1684" spans="1:61" s="358" customFormat="1" ht="19.2" x14ac:dyDescent="0.3">
      <c r="A1684" s="359" t="s">
        <v>370</v>
      </c>
      <c r="B1684" s="537" t="s">
        <v>1488</v>
      </c>
      <c r="C1684" s="546" t="s">
        <v>890</v>
      </c>
      <c r="D1684" s="360">
        <v>0.4</v>
      </c>
      <c r="E1684" s="393"/>
      <c r="F1684" s="337">
        <v>1</v>
      </c>
      <c r="G1684" s="497"/>
      <c r="H1684" s="544">
        <v>13.163080000000001</v>
      </c>
      <c r="I1684" s="394">
        <v>11.46658</v>
      </c>
      <c r="J1684" s="394">
        <v>10.45974</v>
      </c>
      <c r="K1684" s="394"/>
      <c r="L1684" s="394"/>
      <c r="M1684" s="394">
        <v>0</v>
      </c>
      <c r="N1684" s="394">
        <v>0</v>
      </c>
      <c r="O1684" s="394">
        <v>0.39550000000000002</v>
      </c>
      <c r="P1684" s="394">
        <v>10.45974</v>
      </c>
      <c r="Q1684" s="394"/>
      <c r="R1684" s="381" t="s">
        <v>167</v>
      </c>
      <c r="S1684" s="408" t="s">
        <v>175</v>
      </c>
      <c r="T1684" s="385"/>
      <c r="U1684" s="475">
        <v>600</v>
      </c>
      <c r="V1684" s="395"/>
      <c r="W1684" s="395">
        <f t="shared" si="1007"/>
        <v>13.163080000000001</v>
      </c>
      <c r="X1684" s="393"/>
      <c r="Y1684" s="337"/>
      <c r="Z1684" s="497"/>
      <c r="AA1684" s="544"/>
      <c r="AB1684" s="394"/>
      <c r="AC1684" s="394"/>
      <c r="AD1684" s="394"/>
      <c r="AE1684" s="394"/>
      <c r="AF1684" s="394"/>
      <c r="AG1684" s="394"/>
      <c r="AH1684" s="394"/>
      <c r="AI1684" s="394"/>
      <c r="AJ1684" s="394"/>
      <c r="AK1684" s="381"/>
      <c r="AL1684" s="408"/>
      <c r="AM1684" s="385"/>
      <c r="AN1684" s="475"/>
      <c r="AO1684" s="395"/>
      <c r="AP1684" s="395" t="e">
        <f t="shared" si="1008"/>
        <v>#DIV/0!</v>
      </c>
      <c r="AQ1684" s="393"/>
      <c r="AR1684" s="337"/>
      <c r="AS1684" s="497"/>
      <c r="AT1684" s="544"/>
      <c r="AU1684" s="394"/>
      <c r="AV1684" s="394"/>
      <c r="AW1684" s="394"/>
      <c r="AX1684" s="394"/>
      <c r="AY1684" s="394"/>
      <c r="AZ1684" s="394"/>
      <c r="BA1684" s="394"/>
      <c r="BB1684" s="394"/>
      <c r="BC1684" s="394"/>
      <c r="BD1684" s="381"/>
      <c r="BE1684" s="408"/>
      <c r="BF1684" s="385"/>
      <c r="BG1684" s="475"/>
      <c r="BH1684" s="395"/>
      <c r="BI1684" s="395" t="e">
        <f t="shared" si="1005"/>
        <v>#DIV/0!</v>
      </c>
    </row>
    <row r="1685" spans="1:61" s="358" customFormat="1" ht="19.2" x14ac:dyDescent="0.3">
      <c r="A1685" s="359" t="s">
        <v>371</v>
      </c>
      <c r="B1685" s="537" t="s">
        <v>1489</v>
      </c>
      <c r="C1685" s="546" t="s">
        <v>891</v>
      </c>
      <c r="D1685" s="360">
        <v>0.4</v>
      </c>
      <c r="E1685" s="393"/>
      <c r="F1685" s="337">
        <v>1</v>
      </c>
      <c r="G1685" s="497"/>
      <c r="H1685" s="544">
        <v>13.16306</v>
      </c>
      <c r="I1685" s="394">
        <v>11.46658</v>
      </c>
      <c r="J1685" s="394">
        <v>10.45974</v>
      </c>
      <c r="K1685" s="394"/>
      <c r="L1685" s="394"/>
      <c r="M1685" s="394">
        <v>0</v>
      </c>
      <c r="N1685" s="394">
        <v>0</v>
      </c>
      <c r="O1685" s="394">
        <v>0.39550000000000002</v>
      </c>
      <c r="P1685" s="394">
        <v>10.45974</v>
      </c>
      <c r="Q1685" s="394"/>
      <c r="R1685" s="381" t="s">
        <v>167</v>
      </c>
      <c r="S1685" s="408" t="s">
        <v>175</v>
      </c>
      <c r="T1685" s="385"/>
      <c r="U1685" s="475">
        <v>601</v>
      </c>
      <c r="V1685" s="395"/>
      <c r="W1685" s="395">
        <f t="shared" si="1007"/>
        <v>13.16306</v>
      </c>
      <c r="X1685" s="393"/>
      <c r="Y1685" s="337"/>
      <c r="Z1685" s="497"/>
      <c r="AA1685" s="544"/>
      <c r="AB1685" s="394"/>
      <c r="AC1685" s="394"/>
      <c r="AD1685" s="394"/>
      <c r="AE1685" s="394"/>
      <c r="AF1685" s="394"/>
      <c r="AG1685" s="394"/>
      <c r="AH1685" s="394"/>
      <c r="AI1685" s="394"/>
      <c r="AJ1685" s="394"/>
      <c r="AK1685" s="381"/>
      <c r="AL1685" s="408"/>
      <c r="AM1685" s="385"/>
      <c r="AN1685" s="475"/>
      <c r="AO1685" s="395"/>
      <c r="AP1685" s="395" t="e">
        <f t="shared" si="1008"/>
        <v>#DIV/0!</v>
      </c>
      <c r="AQ1685" s="393"/>
      <c r="AR1685" s="337"/>
      <c r="AS1685" s="497"/>
      <c r="AT1685" s="544"/>
      <c r="AU1685" s="394"/>
      <c r="AV1685" s="394"/>
      <c r="AW1685" s="394"/>
      <c r="AX1685" s="394"/>
      <c r="AY1685" s="394"/>
      <c r="AZ1685" s="394"/>
      <c r="BA1685" s="394"/>
      <c r="BB1685" s="394"/>
      <c r="BC1685" s="394"/>
      <c r="BD1685" s="381"/>
      <c r="BE1685" s="408"/>
      <c r="BF1685" s="385"/>
      <c r="BG1685" s="475"/>
      <c r="BH1685" s="395"/>
      <c r="BI1685" s="395" t="e">
        <f t="shared" si="1005"/>
        <v>#DIV/0!</v>
      </c>
    </row>
    <row r="1686" spans="1:61" s="358" customFormat="1" ht="19.2" x14ac:dyDescent="0.3">
      <c r="A1686" s="359" t="s">
        <v>372</v>
      </c>
      <c r="B1686" s="537" t="s">
        <v>1490</v>
      </c>
      <c r="C1686" s="546" t="s">
        <v>892</v>
      </c>
      <c r="D1686" s="360">
        <v>0.4</v>
      </c>
      <c r="E1686" s="393"/>
      <c r="F1686" s="337">
        <v>1</v>
      </c>
      <c r="G1686" s="497"/>
      <c r="H1686" s="544">
        <v>13.163080000000001</v>
      </c>
      <c r="I1686" s="394">
        <v>11.46658</v>
      </c>
      <c r="J1686" s="394">
        <v>10.45974</v>
      </c>
      <c r="K1686" s="394"/>
      <c r="L1686" s="394"/>
      <c r="M1686" s="394">
        <v>0</v>
      </c>
      <c r="N1686" s="394">
        <v>0</v>
      </c>
      <c r="O1686" s="394">
        <v>0.39550000000000002</v>
      </c>
      <c r="P1686" s="394">
        <v>10.45974</v>
      </c>
      <c r="Q1686" s="394"/>
      <c r="R1686" s="381" t="s">
        <v>167</v>
      </c>
      <c r="S1686" s="408" t="s">
        <v>175</v>
      </c>
      <c r="T1686" s="385"/>
      <c r="U1686" s="475">
        <v>602</v>
      </c>
      <c r="V1686" s="395"/>
      <c r="W1686" s="395">
        <f t="shared" si="1007"/>
        <v>13.163080000000001</v>
      </c>
      <c r="X1686" s="393"/>
      <c r="Y1686" s="337"/>
      <c r="Z1686" s="497"/>
      <c r="AA1686" s="544"/>
      <c r="AB1686" s="394"/>
      <c r="AC1686" s="394"/>
      <c r="AD1686" s="394"/>
      <c r="AE1686" s="394"/>
      <c r="AF1686" s="394"/>
      <c r="AG1686" s="394"/>
      <c r="AH1686" s="394"/>
      <c r="AI1686" s="394"/>
      <c r="AJ1686" s="394"/>
      <c r="AK1686" s="381"/>
      <c r="AL1686" s="408"/>
      <c r="AM1686" s="385"/>
      <c r="AN1686" s="475"/>
      <c r="AO1686" s="395"/>
      <c r="AP1686" s="395" t="e">
        <f t="shared" si="1008"/>
        <v>#DIV/0!</v>
      </c>
      <c r="AQ1686" s="393"/>
      <c r="AR1686" s="337"/>
      <c r="AS1686" s="497"/>
      <c r="AT1686" s="544"/>
      <c r="AU1686" s="394"/>
      <c r="AV1686" s="394"/>
      <c r="AW1686" s="394"/>
      <c r="AX1686" s="394"/>
      <c r="AY1686" s="394"/>
      <c r="AZ1686" s="394"/>
      <c r="BA1686" s="394"/>
      <c r="BB1686" s="394"/>
      <c r="BC1686" s="394"/>
      <c r="BD1686" s="381"/>
      <c r="BE1686" s="408"/>
      <c r="BF1686" s="385"/>
      <c r="BG1686" s="475"/>
      <c r="BH1686" s="395"/>
      <c r="BI1686" s="395" t="e">
        <f t="shared" si="1005"/>
        <v>#DIV/0!</v>
      </c>
    </row>
    <row r="1687" spans="1:61" s="358" customFormat="1" ht="19.2" x14ac:dyDescent="0.3">
      <c r="A1687" s="359" t="s">
        <v>373</v>
      </c>
      <c r="B1687" s="537" t="s">
        <v>1491</v>
      </c>
      <c r="C1687" s="546" t="s">
        <v>893</v>
      </c>
      <c r="D1687" s="360">
        <v>0.4</v>
      </c>
      <c r="E1687" s="393"/>
      <c r="F1687" s="337">
        <v>1</v>
      </c>
      <c r="G1687" s="497"/>
      <c r="H1687" s="544">
        <v>13.22701</v>
      </c>
      <c r="I1687" s="394">
        <v>11.530519999999999</v>
      </c>
      <c r="J1687" s="394">
        <v>10.458880000000001</v>
      </c>
      <c r="K1687" s="394"/>
      <c r="L1687" s="394"/>
      <c r="M1687" s="394">
        <v>0</v>
      </c>
      <c r="N1687" s="394">
        <v>0</v>
      </c>
      <c r="O1687" s="394">
        <v>0.39550000000000002</v>
      </c>
      <c r="P1687" s="394">
        <v>10.458880000000001</v>
      </c>
      <c r="Q1687" s="394"/>
      <c r="R1687" s="381" t="s">
        <v>167</v>
      </c>
      <c r="S1687" s="408" t="s">
        <v>175</v>
      </c>
      <c r="T1687" s="385"/>
      <c r="U1687" s="475">
        <v>603</v>
      </c>
      <c r="V1687" s="395"/>
      <c r="W1687" s="395">
        <f t="shared" si="1007"/>
        <v>13.22701</v>
      </c>
      <c r="X1687" s="393"/>
      <c r="Y1687" s="337"/>
      <c r="Z1687" s="497"/>
      <c r="AA1687" s="544"/>
      <c r="AB1687" s="394"/>
      <c r="AC1687" s="394"/>
      <c r="AD1687" s="394"/>
      <c r="AE1687" s="394"/>
      <c r="AF1687" s="394"/>
      <c r="AG1687" s="394"/>
      <c r="AH1687" s="394"/>
      <c r="AI1687" s="394"/>
      <c r="AJ1687" s="394"/>
      <c r="AK1687" s="381"/>
      <c r="AL1687" s="408"/>
      <c r="AM1687" s="385"/>
      <c r="AN1687" s="475"/>
      <c r="AO1687" s="395"/>
      <c r="AP1687" s="395" t="e">
        <f t="shared" si="1008"/>
        <v>#DIV/0!</v>
      </c>
      <c r="AQ1687" s="393"/>
      <c r="AR1687" s="337"/>
      <c r="AS1687" s="497"/>
      <c r="AT1687" s="544"/>
      <c r="AU1687" s="394"/>
      <c r="AV1687" s="394"/>
      <c r="AW1687" s="394"/>
      <c r="AX1687" s="394"/>
      <c r="AY1687" s="394"/>
      <c r="AZ1687" s="394"/>
      <c r="BA1687" s="394"/>
      <c r="BB1687" s="394"/>
      <c r="BC1687" s="394"/>
      <c r="BD1687" s="381"/>
      <c r="BE1687" s="408"/>
      <c r="BF1687" s="385"/>
      <c r="BG1687" s="475"/>
      <c r="BH1687" s="395"/>
      <c r="BI1687" s="395" t="e">
        <f t="shared" ref="BI1687:BI1750" si="1009">AT1687/AR1687</f>
        <v>#DIV/0!</v>
      </c>
    </row>
    <row r="1688" spans="1:61" s="358" customFormat="1" ht="19.2" x14ac:dyDescent="0.3">
      <c r="A1688" s="359" t="s">
        <v>374</v>
      </c>
      <c r="B1688" s="537" t="s">
        <v>1492</v>
      </c>
      <c r="C1688" s="546" t="s">
        <v>894</v>
      </c>
      <c r="D1688" s="360">
        <v>0.4</v>
      </c>
      <c r="E1688" s="393"/>
      <c r="F1688" s="337">
        <v>1</v>
      </c>
      <c r="G1688" s="497"/>
      <c r="H1688" s="544">
        <v>11.34582</v>
      </c>
      <c r="I1688" s="394">
        <v>9.6493300000000009</v>
      </c>
      <c r="J1688" s="394">
        <v>8.5776900000000005</v>
      </c>
      <c r="K1688" s="394"/>
      <c r="L1688" s="394"/>
      <c r="M1688" s="394">
        <v>0</v>
      </c>
      <c r="N1688" s="394">
        <v>0</v>
      </c>
      <c r="O1688" s="394">
        <v>0.39550000000000002</v>
      </c>
      <c r="P1688" s="394">
        <v>8.5776900000000005</v>
      </c>
      <c r="Q1688" s="394"/>
      <c r="R1688" s="381" t="s">
        <v>167</v>
      </c>
      <c r="S1688" s="408" t="s">
        <v>175</v>
      </c>
      <c r="T1688" s="385"/>
      <c r="U1688" s="475">
        <v>604</v>
      </c>
      <c r="V1688" s="395"/>
      <c r="W1688" s="395">
        <f t="shared" si="1007"/>
        <v>11.34582</v>
      </c>
      <c r="X1688" s="393"/>
      <c r="Y1688" s="337"/>
      <c r="Z1688" s="497"/>
      <c r="AA1688" s="544"/>
      <c r="AB1688" s="394"/>
      <c r="AC1688" s="394"/>
      <c r="AD1688" s="394"/>
      <c r="AE1688" s="394"/>
      <c r="AF1688" s="394"/>
      <c r="AG1688" s="394"/>
      <c r="AH1688" s="394"/>
      <c r="AI1688" s="394"/>
      <c r="AJ1688" s="394"/>
      <c r="AK1688" s="381"/>
      <c r="AL1688" s="408"/>
      <c r="AM1688" s="385"/>
      <c r="AN1688" s="475"/>
      <c r="AO1688" s="395"/>
      <c r="AP1688" s="395" t="e">
        <f t="shared" si="1008"/>
        <v>#DIV/0!</v>
      </c>
      <c r="AQ1688" s="393"/>
      <c r="AR1688" s="337"/>
      <c r="AS1688" s="497"/>
      <c r="AT1688" s="544"/>
      <c r="AU1688" s="394"/>
      <c r="AV1688" s="394"/>
      <c r="AW1688" s="394"/>
      <c r="AX1688" s="394"/>
      <c r="AY1688" s="394"/>
      <c r="AZ1688" s="394"/>
      <c r="BA1688" s="394"/>
      <c r="BB1688" s="394"/>
      <c r="BC1688" s="394"/>
      <c r="BD1688" s="381"/>
      <c r="BE1688" s="408"/>
      <c r="BF1688" s="385"/>
      <c r="BG1688" s="475"/>
      <c r="BH1688" s="395"/>
      <c r="BI1688" s="395" t="e">
        <f t="shared" si="1009"/>
        <v>#DIV/0!</v>
      </c>
    </row>
    <row r="1689" spans="1:61" s="358" customFormat="1" ht="19.2" x14ac:dyDescent="0.3">
      <c r="A1689" s="359" t="s">
        <v>375</v>
      </c>
      <c r="B1689" s="537" t="s">
        <v>1493</v>
      </c>
      <c r="C1689" s="546" t="s">
        <v>895</v>
      </c>
      <c r="D1689" s="360">
        <v>0.4</v>
      </c>
      <c r="E1689" s="393"/>
      <c r="F1689" s="337">
        <v>1</v>
      </c>
      <c r="G1689" s="497"/>
      <c r="H1689" s="544">
        <v>13.22701</v>
      </c>
      <c r="I1689" s="394">
        <v>11.530519999999999</v>
      </c>
      <c r="J1689" s="394">
        <v>10.458880000000001</v>
      </c>
      <c r="K1689" s="394"/>
      <c r="L1689" s="394"/>
      <c r="M1689" s="394">
        <v>0</v>
      </c>
      <c r="N1689" s="394">
        <v>0</v>
      </c>
      <c r="O1689" s="394">
        <v>0.39550000000000002</v>
      </c>
      <c r="P1689" s="394">
        <v>10.4588</v>
      </c>
      <c r="Q1689" s="394"/>
      <c r="R1689" s="381" t="s">
        <v>167</v>
      </c>
      <c r="S1689" s="408" t="s">
        <v>175</v>
      </c>
      <c r="T1689" s="385"/>
      <c r="U1689" s="475">
        <v>605</v>
      </c>
      <c r="V1689" s="395"/>
      <c r="W1689" s="395">
        <f t="shared" si="1007"/>
        <v>13.22701</v>
      </c>
      <c r="X1689" s="393"/>
      <c r="Y1689" s="337"/>
      <c r="Z1689" s="497"/>
      <c r="AA1689" s="544"/>
      <c r="AB1689" s="394"/>
      <c r="AC1689" s="394"/>
      <c r="AD1689" s="394"/>
      <c r="AE1689" s="394"/>
      <c r="AF1689" s="394"/>
      <c r="AG1689" s="394"/>
      <c r="AH1689" s="394"/>
      <c r="AI1689" s="394"/>
      <c r="AJ1689" s="394"/>
      <c r="AK1689" s="381"/>
      <c r="AL1689" s="408"/>
      <c r="AM1689" s="385"/>
      <c r="AN1689" s="475"/>
      <c r="AO1689" s="395"/>
      <c r="AP1689" s="395" t="e">
        <f t="shared" si="1008"/>
        <v>#DIV/0!</v>
      </c>
      <c r="AQ1689" s="393"/>
      <c r="AR1689" s="337"/>
      <c r="AS1689" s="497"/>
      <c r="AT1689" s="544"/>
      <c r="AU1689" s="394"/>
      <c r="AV1689" s="394"/>
      <c r="AW1689" s="394"/>
      <c r="AX1689" s="394"/>
      <c r="AY1689" s="394"/>
      <c r="AZ1689" s="394"/>
      <c r="BA1689" s="394"/>
      <c r="BB1689" s="394"/>
      <c r="BC1689" s="394"/>
      <c r="BD1689" s="381"/>
      <c r="BE1689" s="408"/>
      <c r="BF1689" s="385"/>
      <c r="BG1689" s="475"/>
      <c r="BH1689" s="395"/>
      <c r="BI1689" s="395" t="e">
        <f t="shared" si="1009"/>
        <v>#DIV/0!</v>
      </c>
    </row>
    <row r="1690" spans="1:61" s="358" customFormat="1" ht="19.2" x14ac:dyDescent="0.3">
      <c r="A1690" s="359" t="s">
        <v>376</v>
      </c>
      <c r="B1690" s="537" t="s">
        <v>1494</v>
      </c>
      <c r="C1690" s="546" t="s">
        <v>896</v>
      </c>
      <c r="D1690" s="360">
        <v>0.4</v>
      </c>
      <c r="E1690" s="393"/>
      <c r="F1690" s="337">
        <v>1</v>
      </c>
      <c r="G1690" s="497"/>
      <c r="H1690" s="544">
        <v>13.18904</v>
      </c>
      <c r="I1690" s="394">
        <v>11.49255</v>
      </c>
      <c r="J1690" s="394">
        <v>10.458920000000001</v>
      </c>
      <c r="K1690" s="394"/>
      <c r="L1690" s="394"/>
      <c r="M1690" s="394">
        <v>0</v>
      </c>
      <c r="N1690" s="394">
        <v>0</v>
      </c>
      <c r="O1690" s="394">
        <v>0.39550000000000002</v>
      </c>
      <c r="P1690" s="394">
        <v>10.458920000000001</v>
      </c>
      <c r="Q1690" s="394"/>
      <c r="R1690" s="381" t="s">
        <v>167</v>
      </c>
      <c r="S1690" s="408" t="s">
        <v>175</v>
      </c>
      <c r="T1690" s="385"/>
      <c r="U1690" s="475">
        <v>606</v>
      </c>
      <c r="V1690" s="395"/>
      <c r="W1690" s="395">
        <f t="shared" si="1007"/>
        <v>13.18904</v>
      </c>
      <c r="X1690" s="393"/>
      <c r="Y1690" s="337"/>
      <c r="Z1690" s="497"/>
      <c r="AA1690" s="544"/>
      <c r="AB1690" s="394"/>
      <c r="AC1690" s="394"/>
      <c r="AD1690" s="394"/>
      <c r="AE1690" s="394"/>
      <c r="AF1690" s="394"/>
      <c r="AG1690" s="394"/>
      <c r="AH1690" s="394"/>
      <c r="AI1690" s="394"/>
      <c r="AJ1690" s="394"/>
      <c r="AK1690" s="381"/>
      <c r="AL1690" s="408"/>
      <c r="AM1690" s="385"/>
      <c r="AN1690" s="475"/>
      <c r="AO1690" s="395"/>
      <c r="AP1690" s="395" t="e">
        <f t="shared" si="1008"/>
        <v>#DIV/0!</v>
      </c>
      <c r="AQ1690" s="393"/>
      <c r="AR1690" s="337"/>
      <c r="AS1690" s="497"/>
      <c r="AT1690" s="544"/>
      <c r="AU1690" s="394"/>
      <c r="AV1690" s="394"/>
      <c r="AW1690" s="394"/>
      <c r="AX1690" s="394"/>
      <c r="AY1690" s="394"/>
      <c r="AZ1690" s="394"/>
      <c r="BA1690" s="394"/>
      <c r="BB1690" s="394"/>
      <c r="BC1690" s="394"/>
      <c r="BD1690" s="381"/>
      <c r="BE1690" s="408"/>
      <c r="BF1690" s="385"/>
      <c r="BG1690" s="475"/>
      <c r="BH1690" s="395"/>
      <c r="BI1690" s="395" t="e">
        <f t="shared" si="1009"/>
        <v>#DIV/0!</v>
      </c>
    </row>
    <row r="1691" spans="1:61" s="358" customFormat="1" ht="19.2" x14ac:dyDescent="0.3">
      <c r="A1691" s="359" t="s">
        <v>393</v>
      </c>
      <c r="B1691" s="537" t="s">
        <v>1495</v>
      </c>
      <c r="C1691" s="546" t="s">
        <v>897</v>
      </c>
      <c r="D1691" s="360">
        <v>0.4</v>
      </c>
      <c r="E1691" s="393"/>
      <c r="F1691" s="337">
        <v>1</v>
      </c>
      <c r="G1691" s="497"/>
      <c r="H1691" s="544">
        <v>13.18904</v>
      </c>
      <c r="I1691" s="394">
        <v>11.49255</v>
      </c>
      <c r="J1691" s="394">
        <v>10.458920000000001</v>
      </c>
      <c r="K1691" s="394"/>
      <c r="L1691" s="394"/>
      <c r="M1691" s="394">
        <v>0</v>
      </c>
      <c r="N1691" s="394">
        <v>0</v>
      </c>
      <c r="O1691" s="394">
        <v>0.39550000000000002</v>
      </c>
      <c r="P1691" s="394">
        <v>10.458920000000001</v>
      </c>
      <c r="Q1691" s="394"/>
      <c r="R1691" s="381" t="s">
        <v>167</v>
      </c>
      <c r="S1691" s="408" t="s">
        <v>175</v>
      </c>
      <c r="T1691" s="385"/>
      <c r="U1691" s="475">
        <v>607</v>
      </c>
      <c r="V1691" s="395"/>
      <c r="W1691" s="395">
        <f t="shared" si="1007"/>
        <v>13.18904</v>
      </c>
      <c r="X1691" s="393"/>
      <c r="Y1691" s="337"/>
      <c r="Z1691" s="497"/>
      <c r="AA1691" s="544"/>
      <c r="AB1691" s="394"/>
      <c r="AC1691" s="394"/>
      <c r="AD1691" s="394"/>
      <c r="AE1691" s="394"/>
      <c r="AF1691" s="394"/>
      <c r="AG1691" s="394"/>
      <c r="AH1691" s="394"/>
      <c r="AI1691" s="394"/>
      <c r="AJ1691" s="394"/>
      <c r="AK1691" s="381"/>
      <c r="AL1691" s="408"/>
      <c r="AM1691" s="385"/>
      <c r="AN1691" s="475"/>
      <c r="AO1691" s="395"/>
      <c r="AP1691" s="395" t="e">
        <f t="shared" si="1008"/>
        <v>#DIV/0!</v>
      </c>
      <c r="AQ1691" s="393"/>
      <c r="AR1691" s="337"/>
      <c r="AS1691" s="497"/>
      <c r="AT1691" s="544"/>
      <c r="AU1691" s="394"/>
      <c r="AV1691" s="394"/>
      <c r="AW1691" s="394"/>
      <c r="AX1691" s="394"/>
      <c r="AY1691" s="394"/>
      <c r="AZ1691" s="394"/>
      <c r="BA1691" s="394"/>
      <c r="BB1691" s="394"/>
      <c r="BC1691" s="394"/>
      <c r="BD1691" s="381"/>
      <c r="BE1691" s="408"/>
      <c r="BF1691" s="385"/>
      <c r="BG1691" s="475"/>
      <c r="BH1691" s="395"/>
      <c r="BI1691" s="395" t="e">
        <f t="shared" si="1009"/>
        <v>#DIV/0!</v>
      </c>
    </row>
    <row r="1692" spans="1:61" s="358" customFormat="1" ht="19.2" x14ac:dyDescent="0.3">
      <c r="A1692" s="359" t="s">
        <v>378</v>
      </c>
      <c r="B1692" s="537" t="s">
        <v>547</v>
      </c>
      <c r="C1692" s="546" t="s">
        <v>410</v>
      </c>
      <c r="D1692" s="360">
        <v>0.4</v>
      </c>
      <c r="E1692" s="393"/>
      <c r="F1692" s="337">
        <v>1</v>
      </c>
      <c r="G1692" s="497"/>
      <c r="H1692" s="544">
        <v>13.18904</v>
      </c>
      <c r="I1692" s="394">
        <v>11.49255</v>
      </c>
      <c r="J1692" s="394">
        <v>10.458920000000001</v>
      </c>
      <c r="K1692" s="394"/>
      <c r="L1692" s="394"/>
      <c r="M1692" s="394">
        <v>0</v>
      </c>
      <c r="N1692" s="394">
        <v>0</v>
      </c>
      <c r="O1692" s="394">
        <v>0.39550000000000002</v>
      </c>
      <c r="P1692" s="394">
        <v>10.458920000000001</v>
      </c>
      <c r="Q1692" s="394"/>
      <c r="R1692" s="381" t="s">
        <v>167</v>
      </c>
      <c r="S1692" s="408" t="s">
        <v>175</v>
      </c>
      <c r="T1692" s="385"/>
      <c r="U1692" s="475">
        <v>608</v>
      </c>
      <c r="V1692" s="395"/>
      <c r="W1692" s="395">
        <f t="shared" si="1007"/>
        <v>13.18904</v>
      </c>
      <c r="X1692" s="393"/>
      <c r="Y1692" s="337"/>
      <c r="Z1692" s="497"/>
      <c r="AA1692" s="544"/>
      <c r="AB1692" s="394"/>
      <c r="AC1692" s="394"/>
      <c r="AD1692" s="394"/>
      <c r="AE1692" s="394"/>
      <c r="AF1692" s="394"/>
      <c r="AG1692" s="394"/>
      <c r="AH1692" s="394"/>
      <c r="AI1692" s="394"/>
      <c r="AJ1692" s="394"/>
      <c r="AK1692" s="381"/>
      <c r="AL1692" s="408"/>
      <c r="AM1692" s="385"/>
      <c r="AN1692" s="475"/>
      <c r="AO1692" s="395"/>
      <c r="AP1692" s="395" t="e">
        <f t="shared" si="1008"/>
        <v>#DIV/0!</v>
      </c>
      <c r="AQ1692" s="393"/>
      <c r="AR1692" s="337"/>
      <c r="AS1692" s="497"/>
      <c r="AT1692" s="544"/>
      <c r="AU1692" s="394"/>
      <c r="AV1692" s="394"/>
      <c r="AW1692" s="394"/>
      <c r="AX1692" s="394"/>
      <c r="AY1692" s="394"/>
      <c r="AZ1692" s="394"/>
      <c r="BA1692" s="394"/>
      <c r="BB1692" s="394"/>
      <c r="BC1692" s="394"/>
      <c r="BD1692" s="381"/>
      <c r="BE1692" s="408"/>
      <c r="BF1692" s="385"/>
      <c r="BG1692" s="475"/>
      <c r="BH1692" s="395"/>
      <c r="BI1692" s="395" t="e">
        <f t="shared" si="1009"/>
        <v>#DIV/0!</v>
      </c>
    </row>
    <row r="1693" spans="1:61" s="358" customFormat="1" ht="19.2" x14ac:dyDescent="0.3">
      <c r="A1693" s="359" t="s">
        <v>379</v>
      </c>
      <c r="B1693" s="537" t="s">
        <v>1496</v>
      </c>
      <c r="C1693" s="546" t="s">
        <v>898</v>
      </c>
      <c r="D1693" s="360">
        <v>0.4</v>
      </c>
      <c r="E1693" s="393"/>
      <c r="F1693" s="337">
        <v>1</v>
      </c>
      <c r="G1693" s="497"/>
      <c r="H1693" s="544">
        <v>13.189030000000001</v>
      </c>
      <c r="I1693" s="394">
        <v>11.49255</v>
      </c>
      <c r="J1693" s="394">
        <v>10.458920000000001</v>
      </c>
      <c r="K1693" s="394"/>
      <c r="L1693" s="394"/>
      <c r="M1693" s="394">
        <v>0</v>
      </c>
      <c r="N1693" s="394">
        <v>0</v>
      </c>
      <c r="O1693" s="394">
        <v>0.39550000000000002</v>
      </c>
      <c r="P1693" s="394">
        <v>10.458920000000001</v>
      </c>
      <c r="Q1693" s="394"/>
      <c r="R1693" s="381" t="s">
        <v>167</v>
      </c>
      <c r="S1693" s="408" t="s">
        <v>175</v>
      </c>
      <c r="T1693" s="385"/>
      <c r="U1693" s="475">
        <v>609</v>
      </c>
      <c r="V1693" s="395"/>
      <c r="W1693" s="395">
        <f t="shared" si="1007"/>
        <v>13.189030000000001</v>
      </c>
      <c r="X1693" s="393"/>
      <c r="Y1693" s="337"/>
      <c r="Z1693" s="497"/>
      <c r="AA1693" s="544"/>
      <c r="AB1693" s="394"/>
      <c r="AC1693" s="394"/>
      <c r="AD1693" s="394"/>
      <c r="AE1693" s="394"/>
      <c r="AF1693" s="394"/>
      <c r="AG1693" s="394"/>
      <c r="AH1693" s="394"/>
      <c r="AI1693" s="394"/>
      <c r="AJ1693" s="394"/>
      <c r="AK1693" s="381"/>
      <c r="AL1693" s="408"/>
      <c r="AM1693" s="385"/>
      <c r="AN1693" s="475"/>
      <c r="AO1693" s="395"/>
      <c r="AP1693" s="395" t="e">
        <f t="shared" si="1008"/>
        <v>#DIV/0!</v>
      </c>
      <c r="AQ1693" s="393"/>
      <c r="AR1693" s="337"/>
      <c r="AS1693" s="497"/>
      <c r="AT1693" s="544"/>
      <c r="AU1693" s="394"/>
      <c r="AV1693" s="394"/>
      <c r="AW1693" s="394"/>
      <c r="AX1693" s="394"/>
      <c r="AY1693" s="394"/>
      <c r="AZ1693" s="394"/>
      <c r="BA1693" s="394"/>
      <c r="BB1693" s="394"/>
      <c r="BC1693" s="394"/>
      <c r="BD1693" s="381"/>
      <c r="BE1693" s="408"/>
      <c r="BF1693" s="385"/>
      <c r="BG1693" s="475"/>
      <c r="BH1693" s="395"/>
      <c r="BI1693" s="395" t="e">
        <f t="shared" si="1009"/>
        <v>#DIV/0!</v>
      </c>
    </row>
    <row r="1694" spans="1:61" s="358" customFormat="1" ht="19.2" x14ac:dyDescent="0.3">
      <c r="A1694" s="359" t="s">
        <v>380</v>
      </c>
      <c r="B1694" s="537" t="s">
        <v>1497</v>
      </c>
      <c r="C1694" s="546" t="s">
        <v>899</v>
      </c>
      <c r="D1694" s="360">
        <v>0.4</v>
      </c>
      <c r="E1694" s="393"/>
      <c r="F1694" s="337">
        <v>1</v>
      </c>
      <c r="G1694" s="497"/>
      <c r="H1694" s="544">
        <v>13.18904</v>
      </c>
      <c r="I1694" s="394">
        <v>11.49255</v>
      </c>
      <c r="J1694" s="394">
        <v>10.458920000000001</v>
      </c>
      <c r="K1694" s="394"/>
      <c r="L1694" s="394"/>
      <c r="M1694" s="394">
        <v>0</v>
      </c>
      <c r="N1694" s="394">
        <v>0</v>
      </c>
      <c r="O1694" s="394">
        <v>0.39550000000000002</v>
      </c>
      <c r="P1694" s="394">
        <v>10.458920000000001</v>
      </c>
      <c r="Q1694" s="394"/>
      <c r="R1694" s="381" t="s">
        <v>167</v>
      </c>
      <c r="S1694" s="408" t="s">
        <v>175</v>
      </c>
      <c r="T1694" s="385"/>
      <c r="U1694" s="475">
        <v>610</v>
      </c>
      <c r="V1694" s="395"/>
      <c r="W1694" s="395">
        <f t="shared" si="1007"/>
        <v>13.18904</v>
      </c>
      <c r="X1694" s="393"/>
      <c r="Y1694" s="337"/>
      <c r="Z1694" s="497"/>
      <c r="AA1694" s="544"/>
      <c r="AB1694" s="394"/>
      <c r="AC1694" s="394"/>
      <c r="AD1694" s="394"/>
      <c r="AE1694" s="394"/>
      <c r="AF1694" s="394"/>
      <c r="AG1694" s="394"/>
      <c r="AH1694" s="394"/>
      <c r="AI1694" s="394"/>
      <c r="AJ1694" s="394"/>
      <c r="AK1694" s="381"/>
      <c r="AL1694" s="408"/>
      <c r="AM1694" s="385"/>
      <c r="AN1694" s="475"/>
      <c r="AO1694" s="395"/>
      <c r="AP1694" s="395" t="e">
        <f t="shared" si="1008"/>
        <v>#DIV/0!</v>
      </c>
      <c r="AQ1694" s="393"/>
      <c r="AR1694" s="337"/>
      <c r="AS1694" s="497"/>
      <c r="AT1694" s="544"/>
      <c r="AU1694" s="394"/>
      <c r="AV1694" s="394"/>
      <c r="AW1694" s="394"/>
      <c r="AX1694" s="394"/>
      <c r="AY1694" s="394"/>
      <c r="AZ1694" s="394"/>
      <c r="BA1694" s="394"/>
      <c r="BB1694" s="394"/>
      <c r="BC1694" s="394"/>
      <c r="BD1694" s="381"/>
      <c r="BE1694" s="408"/>
      <c r="BF1694" s="385"/>
      <c r="BG1694" s="475"/>
      <c r="BH1694" s="395"/>
      <c r="BI1694" s="395" t="e">
        <f t="shared" si="1009"/>
        <v>#DIV/0!</v>
      </c>
    </row>
    <row r="1695" spans="1:61" s="358" customFormat="1" ht="19.2" x14ac:dyDescent="0.3">
      <c r="A1695" s="359" t="s">
        <v>397</v>
      </c>
      <c r="B1695" s="537" t="s">
        <v>569</v>
      </c>
      <c r="C1695" s="546" t="s">
        <v>438</v>
      </c>
      <c r="D1695" s="360">
        <v>0.4</v>
      </c>
      <c r="E1695" s="393"/>
      <c r="F1695" s="337">
        <v>1</v>
      </c>
      <c r="G1695" s="497"/>
      <c r="H1695" s="544">
        <v>13.189030000000001</v>
      </c>
      <c r="I1695" s="394">
        <v>11.49255</v>
      </c>
      <c r="J1695" s="394">
        <v>10.458920000000001</v>
      </c>
      <c r="K1695" s="394"/>
      <c r="L1695" s="394"/>
      <c r="M1695" s="394">
        <v>0</v>
      </c>
      <c r="N1695" s="394">
        <v>0</v>
      </c>
      <c r="O1695" s="394">
        <v>0.39550000000000002</v>
      </c>
      <c r="P1695" s="394">
        <v>10.458920000000001</v>
      </c>
      <c r="Q1695" s="394"/>
      <c r="R1695" s="381" t="s">
        <v>167</v>
      </c>
      <c r="S1695" s="408" t="s">
        <v>175</v>
      </c>
      <c r="T1695" s="385"/>
      <c r="U1695" s="475">
        <v>611</v>
      </c>
      <c r="V1695" s="395"/>
      <c r="W1695" s="395">
        <f t="shared" si="1007"/>
        <v>13.189030000000001</v>
      </c>
      <c r="X1695" s="393"/>
      <c r="Y1695" s="337"/>
      <c r="Z1695" s="497"/>
      <c r="AA1695" s="544"/>
      <c r="AB1695" s="394"/>
      <c r="AC1695" s="394"/>
      <c r="AD1695" s="394"/>
      <c r="AE1695" s="394"/>
      <c r="AF1695" s="394"/>
      <c r="AG1695" s="394"/>
      <c r="AH1695" s="394"/>
      <c r="AI1695" s="394"/>
      <c r="AJ1695" s="394"/>
      <c r="AK1695" s="381"/>
      <c r="AL1695" s="408"/>
      <c r="AM1695" s="385"/>
      <c r="AN1695" s="475"/>
      <c r="AO1695" s="395"/>
      <c r="AP1695" s="395" t="e">
        <f t="shared" si="1008"/>
        <v>#DIV/0!</v>
      </c>
      <c r="AQ1695" s="393"/>
      <c r="AR1695" s="337"/>
      <c r="AS1695" s="497"/>
      <c r="AT1695" s="544"/>
      <c r="AU1695" s="394"/>
      <c r="AV1695" s="394"/>
      <c r="AW1695" s="394"/>
      <c r="AX1695" s="394"/>
      <c r="AY1695" s="394"/>
      <c r="AZ1695" s="394"/>
      <c r="BA1695" s="394"/>
      <c r="BB1695" s="394"/>
      <c r="BC1695" s="394"/>
      <c r="BD1695" s="381"/>
      <c r="BE1695" s="408"/>
      <c r="BF1695" s="385"/>
      <c r="BG1695" s="475"/>
      <c r="BH1695" s="395"/>
      <c r="BI1695" s="395" t="e">
        <f t="shared" si="1009"/>
        <v>#DIV/0!</v>
      </c>
    </row>
    <row r="1696" spans="1:61" s="358" customFormat="1" ht="19.2" x14ac:dyDescent="0.3">
      <c r="A1696" s="359" t="s">
        <v>382</v>
      </c>
      <c r="B1696" s="537" t="s">
        <v>553</v>
      </c>
      <c r="C1696" s="546" t="s">
        <v>418</v>
      </c>
      <c r="D1696" s="360">
        <v>0.4</v>
      </c>
      <c r="E1696" s="393"/>
      <c r="F1696" s="337">
        <v>1</v>
      </c>
      <c r="G1696" s="497"/>
      <c r="H1696" s="544">
        <v>13.18904</v>
      </c>
      <c r="I1696" s="394">
        <v>11.49255</v>
      </c>
      <c r="J1696" s="394">
        <v>10.458920000000001</v>
      </c>
      <c r="K1696" s="394"/>
      <c r="L1696" s="394"/>
      <c r="M1696" s="394">
        <v>0</v>
      </c>
      <c r="N1696" s="394">
        <v>0</v>
      </c>
      <c r="O1696" s="394">
        <v>0.39550000000000002</v>
      </c>
      <c r="P1696" s="394">
        <v>10.458920000000001</v>
      </c>
      <c r="Q1696" s="394"/>
      <c r="R1696" s="381" t="s">
        <v>167</v>
      </c>
      <c r="S1696" s="408" t="s">
        <v>175</v>
      </c>
      <c r="T1696" s="385"/>
      <c r="U1696" s="475">
        <v>612</v>
      </c>
      <c r="V1696" s="395"/>
      <c r="W1696" s="395">
        <f t="shared" si="1007"/>
        <v>13.18904</v>
      </c>
      <c r="X1696" s="393"/>
      <c r="Y1696" s="337"/>
      <c r="Z1696" s="497"/>
      <c r="AA1696" s="544"/>
      <c r="AB1696" s="394"/>
      <c r="AC1696" s="394"/>
      <c r="AD1696" s="394"/>
      <c r="AE1696" s="394"/>
      <c r="AF1696" s="394"/>
      <c r="AG1696" s="394"/>
      <c r="AH1696" s="394"/>
      <c r="AI1696" s="394"/>
      <c r="AJ1696" s="394"/>
      <c r="AK1696" s="381"/>
      <c r="AL1696" s="408"/>
      <c r="AM1696" s="385"/>
      <c r="AN1696" s="475"/>
      <c r="AO1696" s="395"/>
      <c r="AP1696" s="395" t="e">
        <f t="shared" si="1008"/>
        <v>#DIV/0!</v>
      </c>
      <c r="AQ1696" s="393"/>
      <c r="AR1696" s="337"/>
      <c r="AS1696" s="497"/>
      <c r="AT1696" s="544"/>
      <c r="AU1696" s="394"/>
      <c r="AV1696" s="394"/>
      <c r="AW1696" s="394"/>
      <c r="AX1696" s="394"/>
      <c r="AY1696" s="394"/>
      <c r="AZ1696" s="394"/>
      <c r="BA1696" s="394"/>
      <c r="BB1696" s="394"/>
      <c r="BC1696" s="394"/>
      <c r="BD1696" s="381"/>
      <c r="BE1696" s="408"/>
      <c r="BF1696" s="385"/>
      <c r="BG1696" s="475"/>
      <c r="BH1696" s="395"/>
      <c r="BI1696" s="395" t="e">
        <f t="shared" si="1009"/>
        <v>#DIV/0!</v>
      </c>
    </row>
    <row r="1697" spans="1:61" s="358" customFormat="1" ht="19.2" x14ac:dyDescent="0.3">
      <c r="A1697" s="359" t="s">
        <v>383</v>
      </c>
      <c r="B1697" s="537" t="s">
        <v>1498</v>
      </c>
      <c r="C1697" s="546" t="s">
        <v>900</v>
      </c>
      <c r="D1697" s="360">
        <v>0.4</v>
      </c>
      <c r="E1697" s="393"/>
      <c r="F1697" s="337">
        <v>1</v>
      </c>
      <c r="G1697" s="497"/>
      <c r="H1697" s="544">
        <v>13.189030000000001</v>
      </c>
      <c r="I1697" s="394">
        <v>11.49255</v>
      </c>
      <c r="J1697" s="394">
        <v>10.458920000000001</v>
      </c>
      <c r="K1697" s="394"/>
      <c r="L1697" s="394"/>
      <c r="M1697" s="394">
        <v>0</v>
      </c>
      <c r="N1697" s="394">
        <v>0</v>
      </c>
      <c r="O1697" s="394">
        <v>0.39550000000000002</v>
      </c>
      <c r="P1697" s="394">
        <v>10.458920000000001</v>
      </c>
      <c r="Q1697" s="394"/>
      <c r="R1697" s="381" t="s">
        <v>167</v>
      </c>
      <c r="S1697" s="408" t="s">
        <v>175</v>
      </c>
      <c r="T1697" s="385"/>
      <c r="U1697" s="475">
        <v>613</v>
      </c>
      <c r="V1697" s="395"/>
      <c r="W1697" s="395">
        <f t="shared" si="1007"/>
        <v>13.189030000000001</v>
      </c>
      <c r="X1697" s="393"/>
      <c r="Y1697" s="337"/>
      <c r="Z1697" s="497"/>
      <c r="AA1697" s="544"/>
      <c r="AB1697" s="394"/>
      <c r="AC1697" s="394"/>
      <c r="AD1697" s="394"/>
      <c r="AE1697" s="394"/>
      <c r="AF1697" s="394"/>
      <c r="AG1697" s="394"/>
      <c r="AH1697" s="394"/>
      <c r="AI1697" s="394"/>
      <c r="AJ1697" s="394"/>
      <c r="AK1697" s="381"/>
      <c r="AL1697" s="408"/>
      <c r="AM1697" s="385"/>
      <c r="AN1697" s="475"/>
      <c r="AO1697" s="395"/>
      <c r="AP1697" s="395" t="e">
        <f t="shared" si="1008"/>
        <v>#DIV/0!</v>
      </c>
      <c r="AQ1697" s="393"/>
      <c r="AR1697" s="337"/>
      <c r="AS1697" s="497"/>
      <c r="AT1697" s="544"/>
      <c r="AU1697" s="394"/>
      <c r="AV1697" s="394"/>
      <c r="AW1697" s="394"/>
      <c r="AX1697" s="394"/>
      <c r="AY1697" s="394"/>
      <c r="AZ1697" s="394"/>
      <c r="BA1697" s="394"/>
      <c r="BB1697" s="394"/>
      <c r="BC1697" s="394"/>
      <c r="BD1697" s="381"/>
      <c r="BE1697" s="408"/>
      <c r="BF1697" s="385"/>
      <c r="BG1697" s="475"/>
      <c r="BH1697" s="395"/>
      <c r="BI1697" s="395" t="e">
        <f t="shared" si="1009"/>
        <v>#DIV/0!</v>
      </c>
    </row>
    <row r="1698" spans="1:61" s="358" customFormat="1" ht="19.2" x14ac:dyDescent="0.3">
      <c r="A1698" s="359" t="s">
        <v>368</v>
      </c>
      <c r="B1698" s="537" t="s">
        <v>1499</v>
      </c>
      <c r="C1698" s="546" t="s">
        <v>901</v>
      </c>
      <c r="D1698" s="360">
        <v>0.4</v>
      </c>
      <c r="E1698" s="393"/>
      <c r="F1698" s="337">
        <v>1</v>
      </c>
      <c r="G1698" s="497"/>
      <c r="H1698" s="544">
        <v>13.18904</v>
      </c>
      <c r="I1698" s="394">
        <v>11.49255</v>
      </c>
      <c r="J1698" s="394">
        <v>10.458920000000001</v>
      </c>
      <c r="K1698" s="394"/>
      <c r="L1698" s="394"/>
      <c r="M1698" s="394">
        <v>0</v>
      </c>
      <c r="N1698" s="394">
        <v>0</v>
      </c>
      <c r="O1698" s="394">
        <v>0.39550000000000002</v>
      </c>
      <c r="P1698" s="394">
        <v>10.458920000000001</v>
      </c>
      <c r="Q1698" s="394"/>
      <c r="R1698" s="381" t="s">
        <v>167</v>
      </c>
      <c r="S1698" s="408" t="s">
        <v>175</v>
      </c>
      <c r="T1698" s="385"/>
      <c r="U1698" s="475">
        <v>614</v>
      </c>
      <c r="V1698" s="395"/>
      <c r="W1698" s="395">
        <f t="shared" si="1007"/>
        <v>13.18904</v>
      </c>
      <c r="X1698" s="393"/>
      <c r="Y1698" s="337"/>
      <c r="Z1698" s="497"/>
      <c r="AA1698" s="544"/>
      <c r="AB1698" s="394"/>
      <c r="AC1698" s="394"/>
      <c r="AD1698" s="394"/>
      <c r="AE1698" s="394"/>
      <c r="AF1698" s="394"/>
      <c r="AG1698" s="394"/>
      <c r="AH1698" s="394"/>
      <c r="AI1698" s="394"/>
      <c r="AJ1698" s="394"/>
      <c r="AK1698" s="381"/>
      <c r="AL1698" s="408"/>
      <c r="AM1698" s="385"/>
      <c r="AN1698" s="475"/>
      <c r="AO1698" s="395"/>
      <c r="AP1698" s="395" t="e">
        <f t="shared" si="1008"/>
        <v>#DIV/0!</v>
      </c>
      <c r="AQ1698" s="393"/>
      <c r="AR1698" s="337"/>
      <c r="AS1698" s="497"/>
      <c r="AT1698" s="544"/>
      <c r="AU1698" s="394"/>
      <c r="AV1698" s="394"/>
      <c r="AW1698" s="394"/>
      <c r="AX1698" s="394"/>
      <c r="AY1698" s="394"/>
      <c r="AZ1698" s="394"/>
      <c r="BA1698" s="394"/>
      <c r="BB1698" s="394"/>
      <c r="BC1698" s="394"/>
      <c r="BD1698" s="381"/>
      <c r="BE1698" s="408"/>
      <c r="BF1698" s="385"/>
      <c r="BG1698" s="475"/>
      <c r="BH1698" s="395"/>
      <c r="BI1698" s="395" t="e">
        <f t="shared" si="1009"/>
        <v>#DIV/0!</v>
      </c>
    </row>
    <row r="1699" spans="1:61" s="358" customFormat="1" ht="19.2" x14ac:dyDescent="0.3">
      <c r="A1699" s="359" t="s">
        <v>385</v>
      </c>
      <c r="B1699" s="537" t="s">
        <v>1500</v>
      </c>
      <c r="C1699" s="546" t="s">
        <v>902</v>
      </c>
      <c r="D1699" s="360">
        <v>0.4</v>
      </c>
      <c r="E1699" s="393"/>
      <c r="F1699" s="337">
        <v>1</v>
      </c>
      <c r="G1699" s="497"/>
      <c r="H1699" s="544">
        <v>13.189019999999999</v>
      </c>
      <c r="I1699" s="394">
        <v>11.49255</v>
      </c>
      <c r="J1699" s="394">
        <v>10.458920000000001</v>
      </c>
      <c r="K1699" s="394"/>
      <c r="L1699" s="394"/>
      <c r="M1699" s="394">
        <v>0</v>
      </c>
      <c r="N1699" s="394">
        <v>0</v>
      </c>
      <c r="O1699" s="394">
        <v>0.39550000000000002</v>
      </c>
      <c r="P1699" s="394">
        <v>10.458920000000001</v>
      </c>
      <c r="Q1699" s="394"/>
      <c r="R1699" s="381" t="s">
        <v>167</v>
      </c>
      <c r="S1699" s="408" t="s">
        <v>175</v>
      </c>
      <c r="T1699" s="385"/>
      <c r="U1699" s="475">
        <v>615</v>
      </c>
      <c r="V1699" s="395"/>
      <c r="W1699" s="395">
        <f t="shared" si="1007"/>
        <v>13.189019999999999</v>
      </c>
      <c r="X1699" s="393"/>
      <c r="Y1699" s="337"/>
      <c r="Z1699" s="497"/>
      <c r="AA1699" s="544"/>
      <c r="AB1699" s="394"/>
      <c r="AC1699" s="394"/>
      <c r="AD1699" s="394"/>
      <c r="AE1699" s="394"/>
      <c r="AF1699" s="394"/>
      <c r="AG1699" s="394"/>
      <c r="AH1699" s="394"/>
      <c r="AI1699" s="394"/>
      <c r="AJ1699" s="394"/>
      <c r="AK1699" s="381"/>
      <c r="AL1699" s="408"/>
      <c r="AM1699" s="385"/>
      <c r="AN1699" s="475"/>
      <c r="AO1699" s="395"/>
      <c r="AP1699" s="395" t="e">
        <f t="shared" si="1008"/>
        <v>#DIV/0!</v>
      </c>
      <c r="AQ1699" s="393"/>
      <c r="AR1699" s="337"/>
      <c r="AS1699" s="497"/>
      <c r="AT1699" s="544"/>
      <c r="AU1699" s="394"/>
      <c r="AV1699" s="394"/>
      <c r="AW1699" s="394"/>
      <c r="AX1699" s="394"/>
      <c r="AY1699" s="394"/>
      <c r="AZ1699" s="394"/>
      <c r="BA1699" s="394"/>
      <c r="BB1699" s="394"/>
      <c r="BC1699" s="394"/>
      <c r="BD1699" s="381"/>
      <c r="BE1699" s="408"/>
      <c r="BF1699" s="385"/>
      <c r="BG1699" s="475"/>
      <c r="BH1699" s="395"/>
      <c r="BI1699" s="395" t="e">
        <f t="shared" si="1009"/>
        <v>#DIV/0!</v>
      </c>
    </row>
    <row r="1700" spans="1:61" s="358" customFormat="1" ht="19.2" x14ac:dyDescent="0.3">
      <c r="A1700" s="359" t="s">
        <v>386</v>
      </c>
      <c r="B1700" s="537" t="s">
        <v>1501</v>
      </c>
      <c r="C1700" s="546" t="s">
        <v>903</v>
      </c>
      <c r="D1700" s="360">
        <v>0.4</v>
      </c>
      <c r="E1700" s="393"/>
      <c r="F1700" s="337">
        <v>1</v>
      </c>
      <c r="G1700" s="497"/>
      <c r="H1700" s="544">
        <v>13.18904</v>
      </c>
      <c r="I1700" s="394">
        <v>11.49255</v>
      </c>
      <c r="J1700" s="394">
        <v>10.458920000000001</v>
      </c>
      <c r="K1700" s="394"/>
      <c r="L1700" s="394"/>
      <c r="M1700" s="394">
        <v>0</v>
      </c>
      <c r="N1700" s="394">
        <v>0</v>
      </c>
      <c r="O1700" s="394">
        <v>0.39550000000000002</v>
      </c>
      <c r="P1700" s="394">
        <v>10.458920000000001</v>
      </c>
      <c r="Q1700" s="394"/>
      <c r="R1700" s="381" t="s">
        <v>167</v>
      </c>
      <c r="S1700" s="408" t="s">
        <v>175</v>
      </c>
      <c r="T1700" s="385"/>
      <c r="U1700" s="475">
        <v>616</v>
      </c>
      <c r="V1700" s="395"/>
      <c r="W1700" s="395">
        <f t="shared" si="1007"/>
        <v>13.18904</v>
      </c>
      <c r="X1700" s="393"/>
      <c r="Y1700" s="337"/>
      <c r="Z1700" s="497"/>
      <c r="AA1700" s="544"/>
      <c r="AB1700" s="394"/>
      <c r="AC1700" s="394"/>
      <c r="AD1700" s="394"/>
      <c r="AE1700" s="394"/>
      <c r="AF1700" s="394"/>
      <c r="AG1700" s="394"/>
      <c r="AH1700" s="394"/>
      <c r="AI1700" s="394"/>
      <c r="AJ1700" s="394"/>
      <c r="AK1700" s="381"/>
      <c r="AL1700" s="408"/>
      <c r="AM1700" s="385"/>
      <c r="AN1700" s="475"/>
      <c r="AO1700" s="395"/>
      <c r="AP1700" s="395" t="e">
        <f t="shared" si="1008"/>
        <v>#DIV/0!</v>
      </c>
      <c r="AQ1700" s="393"/>
      <c r="AR1700" s="337"/>
      <c r="AS1700" s="497"/>
      <c r="AT1700" s="544"/>
      <c r="AU1700" s="394"/>
      <c r="AV1700" s="394"/>
      <c r="AW1700" s="394"/>
      <c r="AX1700" s="394"/>
      <c r="AY1700" s="394"/>
      <c r="AZ1700" s="394"/>
      <c r="BA1700" s="394"/>
      <c r="BB1700" s="394"/>
      <c r="BC1700" s="394"/>
      <c r="BD1700" s="381"/>
      <c r="BE1700" s="408"/>
      <c r="BF1700" s="385"/>
      <c r="BG1700" s="475"/>
      <c r="BH1700" s="395"/>
      <c r="BI1700" s="395" t="e">
        <f t="shared" si="1009"/>
        <v>#DIV/0!</v>
      </c>
    </row>
    <row r="1701" spans="1:61" s="358" customFormat="1" ht="19.2" x14ac:dyDescent="0.3">
      <c r="A1701" s="359" t="s">
        <v>387</v>
      </c>
      <c r="B1701" s="537" t="s">
        <v>546</v>
      </c>
      <c r="C1701" s="546" t="s">
        <v>409</v>
      </c>
      <c r="D1701" s="360">
        <v>0.4</v>
      </c>
      <c r="E1701" s="393"/>
      <c r="F1701" s="337">
        <v>1</v>
      </c>
      <c r="G1701" s="497"/>
      <c r="H1701" s="544">
        <v>13.189019999999999</v>
      </c>
      <c r="I1701" s="394">
        <v>11.49255</v>
      </c>
      <c r="J1701" s="394">
        <v>10.458920000000001</v>
      </c>
      <c r="K1701" s="394"/>
      <c r="L1701" s="394"/>
      <c r="M1701" s="394">
        <v>0</v>
      </c>
      <c r="N1701" s="394">
        <v>0</v>
      </c>
      <c r="O1701" s="394">
        <v>0.39550000000000002</v>
      </c>
      <c r="P1701" s="394">
        <v>10.458920000000001</v>
      </c>
      <c r="Q1701" s="394"/>
      <c r="R1701" s="381" t="s">
        <v>167</v>
      </c>
      <c r="S1701" s="408" t="s">
        <v>175</v>
      </c>
      <c r="T1701" s="385"/>
      <c r="U1701" s="475">
        <v>617</v>
      </c>
      <c r="V1701" s="395"/>
      <c r="W1701" s="395">
        <f t="shared" si="1007"/>
        <v>13.189019999999999</v>
      </c>
      <c r="X1701" s="393"/>
      <c r="Y1701" s="337"/>
      <c r="Z1701" s="497"/>
      <c r="AA1701" s="544"/>
      <c r="AB1701" s="394"/>
      <c r="AC1701" s="394"/>
      <c r="AD1701" s="394"/>
      <c r="AE1701" s="394"/>
      <c r="AF1701" s="394"/>
      <c r="AG1701" s="394"/>
      <c r="AH1701" s="394"/>
      <c r="AI1701" s="394"/>
      <c r="AJ1701" s="394"/>
      <c r="AK1701" s="381"/>
      <c r="AL1701" s="408"/>
      <c r="AM1701" s="385"/>
      <c r="AN1701" s="475"/>
      <c r="AO1701" s="395"/>
      <c r="AP1701" s="395" t="e">
        <f t="shared" si="1008"/>
        <v>#DIV/0!</v>
      </c>
      <c r="AQ1701" s="393"/>
      <c r="AR1701" s="337"/>
      <c r="AS1701" s="497"/>
      <c r="AT1701" s="544"/>
      <c r="AU1701" s="394"/>
      <c r="AV1701" s="394"/>
      <c r="AW1701" s="394"/>
      <c r="AX1701" s="394"/>
      <c r="AY1701" s="394"/>
      <c r="AZ1701" s="394"/>
      <c r="BA1701" s="394"/>
      <c r="BB1701" s="394"/>
      <c r="BC1701" s="394"/>
      <c r="BD1701" s="381"/>
      <c r="BE1701" s="408"/>
      <c r="BF1701" s="385"/>
      <c r="BG1701" s="475"/>
      <c r="BH1701" s="395"/>
      <c r="BI1701" s="395" t="e">
        <f t="shared" si="1009"/>
        <v>#DIV/0!</v>
      </c>
    </row>
    <row r="1702" spans="1:61" s="358" customFormat="1" ht="19.2" x14ac:dyDescent="0.3">
      <c r="A1702" s="359" t="s">
        <v>388</v>
      </c>
      <c r="B1702" s="537" t="s">
        <v>1502</v>
      </c>
      <c r="C1702" s="546" t="s">
        <v>904</v>
      </c>
      <c r="D1702" s="360">
        <v>0.4</v>
      </c>
      <c r="E1702" s="393"/>
      <c r="F1702" s="337">
        <v>1</v>
      </c>
      <c r="G1702" s="497"/>
      <c r="H1702" s="544">
        <v>13.189030000000001</v>
      </c>
      <c r="I1702" s="394">
        <v>11.49255</v>
      </c>
      <c r="J1702" s="394">
        <v>10.458920000000001</v>
      </c>
      <c r="K1702" s="394"/>
      <c r="L1702" s="394"/>
      <c r="M1702" s="394">
        <v>0</v>
      </c>
      <c r="N1702" s="394">
        <v>0</v>
      </c>
      <c r="O1702" s="394">
        <v>0.39550000000000002</v>
      </c>
      <c r="P1702" s="394">
        <v>10.458920000000001</v>
      </c>
      <c r="Q1702" s="394"/>
      <c r="R1702" s="381" t="s">
        <v>167</v>
      </c>
      <c r="S1702" s="408" t="s">
        <v>175</v>
      </c>
      <c r="T1702" s="385"/>
      <c r="U1702" s="475">
        <v>618</v>
      </c>
      <c r="V1702" s="395"/>
      <c r="W1702" s="395">
        <f t="shared" si="1007"/>
        <v>13.189030000000001</v>
      </c>
      <c r="X1702" s="393"/>
      <c r="Y1702" s="337"/>
      <c r="Z1702" s="497"/>
      <c r="AA1702" s="544"/>
      <c r="AB1702" s="394"/>
      <c r="AC1702" s="394"/>
      <c r="AD1702" s="394"/>
      <c r="AE1702" s="394"/>
      <c r="AF1702" s="394"/>
      <c r="AG1702" s="394"/>
      <c r="AH1702" s="394"/>
      <c r="AI1702" s="394"/>
      <c r="AJ1702" s="394"/>
      <c r="AK1702" s="381"/>
      <c r="AL1702" s="408"/>
      <c r="AM1702" s="385"/>
      <c r="AN1702" s="475"/>
      <c r="AO1702" s="395"/>
      <c r="AP1702" s="395" t="e">
        <f t="shared" si="1008"/>
        <v>#DIV/0!</v>
      </c>
      <c r="AQ1702" s="393"/>
      <c r="AR1702" s="337"/>
      <c r="AS1702" s="497"/>
      <c r="AT1702" s="544"/>
      <c r="AU1702" s="394"/>
      <c r="AV1702" s="394"/>
      <c r="AW1702" s="394"/>
      <c r="AX1702" s="394"/>
      <c r="AY1702" s="394"/>
      <c r="AZ1702" s="394"/>
      <c r="BA1702" s="394"/>
      <c r="BB1702" s="394"/>
      <c r="BC1702" s="394"/>
      <c r="BD1702" s="381"/>
      <c r="BE1702" s="408"/>
      <c r="BF1702" s="385"/>
      <c r="BG1702" s="475"/>
      <c r="BH1702" s="395"/>
      <c r="BI1702" s="395" t="e">
        <f t="shared" si="1009"/>
        <v>#DIV/0!</v>
      </c>
    </row>
    <row r="1703" spans="1:61" s="358" customFormat="1" ht="19.2" x14ac:dyDescent="0.3">
      <c r="A1703" s="359" t="s">
        <v>389</v>
      </c>
      <c r="B1703" s="537" t="s">
        <v>1503</v>
      </c>
      <c r="C1703" s="546" t="s">
        <v>905</v>
      </c>
      <c r="D1703" s="360">
        <v>0.4</v>
      </c>
      <c r="E1703" s="393"/>
      <c r="F1703" s="337">
        <v>1</v>
      </c>
      <c r="G1703" s="497"/>
      <c r="H1703" s="544">
        <v>13.189019999999999</v>
      </c>
      <c r="I1703" s="394">
        <v>11.49255</v>
      </c>
      <c r="J1703" s="394">
        <v>10.458920000000001</v>
      </c>
      <c r="K1703" s="394"/>
      <c r="L1703" s="394"/>
      <c r="M1703" s="394">
        <v>0</v>
      </c>
      <c r="N1703" s="394">
        <v>0</v>
      </c>
      <c r="O1703" s="394">
        <v>0.39550000000000002</v>
      </c>
      <c r="P1703" s="394">
        <v>10.458920000000001</v>
      </c>
      <c r="Q1703" s="394"/>
      <c r="R1703" s="381" t="s">
        <v>167</v>
      </c>
      <c r="S1703" s="408" t="s">
        <v>175</v>
      </c>
      <c r="T1703" s="385"/>
      <c r="U1703" s="475">
        <v>619</v>
      </c>
      <c r="V1703" s="395"/>
      <c r="W1703" s="395">
        <f t="shared" si="1007"/>
        <v>13.189019999999999</v>
      </c>
      <c r="X1703" s="393"/>
      <c r="Y1703" s="337"/>
      <c r="Z1703" s="497"/>
      <c r="AA1703" s="544"/>
      <c r="AB1703" s="394"/>
      <c r="AC1703" s="394"/>
      <c r="AD1703" s="394"/>
      <c r="AE1703" s="394"/>
      <c r="AF1703" s="394"/>
      <c r="AG1703" s="394"/>
      <c r="AH1703" s="394"/>
      <c r="AI1703" s="394"/>
      <c r="AJ1703" s="394"/>
      <c r="AK1703" s="381"/>
      <c r="AL1703" s="408"/>
      <c r="AM1703" s="385"/>
      <c r="AN1703" s="475"/>
      <c r="AO1703" s="395"/>
      <c r="AP1703" s="395" t="e">
        <f t="shared" si="1008"/>
        <v>#DIV/0!</v>
      </c>
      <c r="AQ1703" s="393"/>
      <c r="AR1703" s="337"/>
      <c r="AS1703" s="497"/>
      <c r="AT1703" s="544"/>
      <c r="AU1703" s="394"/>
      <c r="AV1703" s="394"/>
      <c r="AW1703" s="394"/>
      <c r="AX1703" s="394"/>
      <c r="AY1703" s="394"/>
      <c r="AZ1703" s="394"/>
      <c r="BA1703" s="394"/>
      <c r="BB1703" s="394"/>
      <c r="BC1703" s="394"/>
      <c r="BD1703" s="381"/>
      <c r="BE1703" s="408"/>
      <c r="BF1703" s="385"/>
      <c r="BG1703" s="475"/>
      <c r="BH1703" s="395"/>
      <c r="BI1703" s="395" t="e">
        <f t="shared" si="1009"/>
        <v>#DIV/0!</v>
      </c>
    </row>
    <row r="1704" spans="1:61" s="358" customFormat="1" ht="19.2" x14ac:dyDescent="0.3">
      <c r="A1704" s="359" t="s">
        <v>390</v>
      </c>
      <c r="B1704" s="537" t="s">
        <v>1504</v>
      </c>
      <c r="C1704" s="546" t="s">
        <v>906</v>
      </c>
      <c r="D1704" s="360">
        <v>0.4</v>
      </c>
      <c r="E1704" s="393"/>
      <c r="F1704" s="337">
        <v>1</v>
      </c>
      <c r="G1704" s="497"/>
      <c r="H1704" s="544">
        <v>13.189019999999999</v>
      </c>
      <c r="I1704" s="394">
        <v>11.49255</v>
      </c>
      <c r="J1704" s="394">
        <v>10.458920000000001</v>
      </c>
      <c r="K1704" s="394"/>
      <c r="L1704" s="394"/>
      <c r="M1704" s="394">
        <v>0</v>
      </c>
      <c r="N1704" s="394">
        <v>0</v>
      </c>
      <c r="O1704" s="394">
        <v>0.39550000000000002</v>
      </c>
      <c r="P1704" s="394">
        <v>10.458920000000001</v>
      </c>
      <c r="Q1704" s="394"/>
      <c r="R1704" s="381" t="s">
        <v>167</v>
      </c>
      <c r="S1704" s="408" t="s">
        <v>175</v>
      </c>
      <c r="T1704" s="385"/>
      <c r="U1704" s="475">
        <v>620</v>
      </c>
      <c r="V1704" s="395"/>
      <c r="W1704" s="395">
        <f t="shared" si="1007"/>
        <v>13.189019999999999</v>
      </c>
      <c r="X1704" s="393"/>
      <c r="Y1704" s="337"/>
      <c r="Z1704" s="497"/>
      <c r="AA1704" s="544"/>
      <c r="AB1704" s="394"/>
      <c r="AC1704" s="394"/>
      <c r="AD1704" s="394"/>
      <c r="AE1704" s="394"/>
      <c r="AF1704" s="394"/>
      <c r="AG1704" s="394"/>
      <c r="AH1704" s="394"/>
      <c r="AI1704" s="394"/>
      <c r="AJ1704" s="394"/>
      <c r="AK1704" s="381"/>
      <c r="AL1704" s="408"/>
      <c r="AM1704" s="385"/>
      <c r="AN1704" s="475"/>
      <c r="AO1704" s="395"/>
      <c r="AP1704" s="395" t="e">
        <f t="shared" si="1008"/>
        <v>#DIV/0!</v>
      </c>
      <c r="AQ1704" s="393"/>
      <c r="AR1704" s="337"/>
      <c r="AS1704" s="497"/>
      <c r="AT1704" s="544"/>
      <c r="AU1704" s="394"/>
      <c r="AV1704" s="394"/>
      <c r="AW1704" s="394"/>
      <c r="AX1704" s="394"/>
      <c r="AY1704" s="394"/>
      <c r="AZ1704" s="394"/>
      <c r="BA1704" s="394"/>
      <c r="BB1704" s="394"/>
      <c r="BC1704" s="394"/>
      <c r="BD1704" s="381"/>
      <c r="BE1704" s="408"/>
      <c r="BF1704" s="385"/>
      <c r="BG1704" s="475"/>
      <c r="BH1704" s="395"/>
      <c r="BI1704" s="395" t="e">
        <f t="shared" si="1009"/>
        <v>#DIV/0!</v>
      </c>
    </row>
    <row r="1705" spans="1:61" s="358" customFormat="1" ht="19.2" x14ac:dyDescent="0.3">
      <c r="A1705" s="359" t="s">
        <v>391</v>
      </c>
      <c r="B1705" s="537" t="s">
        <v>1505</v>
      </c>
      <c r="C1705" s="546" t="s">
        <v>907</v>
      </c>
      <c r="D1705" s="360">
        <v>0.4</v>
      </c>
      <c r="E1705" s="393"/>
      <c r="F1705" s="337">
        <v>1</v>
      </c>
      <c r="G1705" s="497"/>
      <c r="H1705" s="544">
        <v>13.189019999999999</v>
      </c>
      <c r="I1705" s="394">
        <v>11.49255</v>
      </c>
      <c r="J1705" s="394">
        <v>10.458920000000001</v>
      </c>
      <c r="K1705" s="394"/>
      <c r="L1705" s="394"/>
      <c r="M1705" s="394">
        <v>0</v>
      </c>
      <c r="N1705" s="394">
        <v>0</v>
      </c>
      <c r="O1705" s="394">
        <v>0.39550000000000002</v>
      </c>
      <c r="P1705" s="394">
        <v>10.458920000000001</v>
      </c>
      <c r="Q1705" s="394"/>
      <c r="R1705" s="381" t="s">
        <v>167</v>
      </c>
      <c r="S1705" s="408" t="s">
        <v>175</v>
      </c>
      <c r="T1705" s="385"/>
      <c r="U1705" s="475">
        <v>621</v>
      </c>
      <c r="V1705" s="395"/>
      <c r="W1705" s="395">
        <f t="shared" si="1007"/>
        <v>13.189019999999999</v>
      </c>
      <c r="X1705" s="393"/>
      <c r="Y1705" s="337"/>
      <c r="Z1705" s="497"/>
      <c r="AA1705" s="544"/>
      <c r="AB1705" s="394"/>
      <c r="AC1705" s="394"/>
      <c r="AD1705" s="394"/>
      <c r="AE1705" s="394"/>
      <c r="AF1705" s="394"/>
      <c r="AG1705" s="394"/>
      <c r="AH1705" s="394"/>
      <c r="AI1705" s="394"/>
      <c r="AJ1705" s="394"/>
      <c r="AK1705" s="381"/>
      <c r="AL1705" s="408"/>
      <c r="AM1705" s="385"/>
      <c r="AN1705" s="475"/>
      <c r="AO1705" s="395"/>
      <c r="AP1705" s="395" t="e">
        <f t="shared" si="1008"/>
        <v>#DIV/0!</v>
      </c>
      <c r="AQ1705" s="393"/>
      <c r="AR1705" s="337"/>
      <c r="AS1705" s="497"/>
      <c r="AT1705" s="544"/>
      <c r="AU1705" s="394"/>
      <c r="AV1705" s="394"/>
      <c r="AW1705" s="394"/>
      <c r="AX1705" s="394"/>
      <c r="AY1705" s="394"/>
      <c r="AZ1705" s="394"/>
      <c r="BA1705" s="394"/>
      <c r="BB1705" s="394"/>
      <c r="BC1705" s="394"/>
      <c r="BD1705" s="381"/>
      <c r="BE1705" s="408"/>
      <c r="BF1705" s="385"/>
      <c r="BG1705" s="475"/>
      <c r="BH1705" s="395"/>
      <c r="BI1705" s="395" t="e">
        <f t="shared" si="1009"/>
        <v>#DIV/0!</v>
      </c>
    </row>
    <row r="1706" spans="1:61" s="358" customFormat="1" ht="19.2" x14ac:dyDescent="0.3">
      <c r="A1706" s="359" t="s">
        <v>392</v>
      </c>
      <c r="B1706" s="537" t="s">
        <v>1506</v>
      </c>
      <c r="C1706" s="546" t="s">
        <v>908</v>
      </c>
      <c r="D1706" s="360">
        <v>0.4</v>
      </c>
      <c r="E1706" s="393"/>
      <c r="F1706" s="337">
        <v>1</v>
      </c>
      <c r="G1706" s="497"/>
      <c r="H1706" s="544">
        <v>13.189019999999999</v>
      </c>
      <c r="I1706" s="394">
        <v>11.49255</v>
      </c>
      <c r="J1706" s="394">
        <v>10.458920000000001</v>
      </c>
      <c r="K1706" s="394"/>
      <c r="L1706" s="394"/>
      <c r="M1706" s="394">
        <v>0</v>
      </c>
      <c r="N1706" s="394">
        <v>0</v>
      </c>
      <c r="O1706" s="394">
        <v>0.39550000000000002</v>
      </c>
      <c r="P1706" s="394">
        <v>10.458920000000001</v>
      </c>
      <c r="Q1706" s="394"/>
      <c r="R1706" s="381" t="s">
        <v>167</v>
      </c>
      <c r="S1706" s="408" t="s">
        <v>175</v>
      </c>
      <c r="T1706" s="385"/>
      <c r="U1706" s="475">
        <v>622</v>
      </c>
      <c r="V1706" s="395"/>
      <c r="W1706" s="395">
        <f t="shared" si="1007"/>
        <v>13.189019999999999</v>
      </c>
      <c r="X1706" s="393"/>
      <c r="Y1706" s="337"/>
      <c r="Z1706" s="497"/>
      <c r="AA1706" s="544"/>
      <c r="AB1706" s="394"/>
      <c r="AC1706" s="394"/>
      <c r="AD1706" s="394"/>
      <c r="AE1706" s="394"/>
      <c r="AF1706" s="394"/>
      <c r="AG1706" s="394"/>
      <c r="AH1706" s="394"/>
      <c r="AI1706" s="394"/>
      <c r="AJ1706" s="394"/>
      <c r="AK1706" s="381"/>
      <c r="AL1706" s="408"/>
      <c r="AM1706" s="385"/>
      <c r="AN1706" s="475"/>
      <c r="AO1706" s="395"/>
      <c r="AP1706" s="395" t="e">
        <f t="shared" si="1008"/>
        <v>#DIV/0!</v>
      </c>
      <c r="AQ1706" s="393"/>
      <c r="AR1706" s="337"/>
      <c r="AS1706" s="497"/>
      <c r="AT1706" s="544"/>
      <c r="AU1706" s="394"/>
      <c r="AV1706" s="394"/>
      <c r="AW1706" s="394"/>
      <c r="AX1706" s="394"/>
      <c r="AY1706" s="394"/>
      <c r="AZ1706" s="394"/>
      <c r="BA1706" s="394"/>
      <c r="BB1706" s="394"/>
      <c r="BC1706" s="394"/>
      <c r="BD1706" s="381"/>
      <c r="BE1706" s="408"/>
      <c r="BF1706" s="385"/>
      <c r="BG1706" s="475"/>
      <c r="BH1706" s="395"/>
      <c r="BI1706" s="395" t="e">
        <f t="shared" si="1009"/>
        <v>#DIV/0!</v>
      </c>
    </row>
    <row r="1707" spans="1:61" s="358" customFormat="1" ht="19.2" x14ac:dyDescent="0.3">
      <c r="A1707" s="359" t="s">
        <v>1858</v>
      </c>
      <c r="B1707" s="537" t="s">
        <v>566</v>
      </c>
      <c r="C1707" s="546" t="s">
        <v>431</v>
      </c>
      <c r="D1707" s="360">
        <v>0.4</v>
      </c>
      <c r="E1707" s="393"/>
      <c r="F1707" s="337">
        <v>1</v>
      </c>
      <c r="G1707" s="497"/>
      <c r="H1707" s="544">
        <v>13.189030000000001</v>
      </c>
      <c r="I1707" s="394">
        <v>11.49255</v>
      </c>
      <c r="J1707" s="394">
        <v>10.458920000000001</v>
      </c>
      <c r="K1707" s="394"/>
      <c r="L1707" s="394"/>
      <c r="M1707" s="394">
        <v>0</v>
      </c>
      <c r="N1707" s="394">
        <v>0</v>
      </c>
      <c r="O1707" s="394">
        <v>0.39550000000000002</v>
      </c>
      <c r="P1707" s="394">
        <v>10.458920000000001</v>
      </c>
      <c r="Q1707" s="394"/>
      <c r="R1707" s="381" t="s">
        <v>167</v>
      </c>
      <c r="S1707" s="408" t="s">
        <v>175</v>
      </c>
      <c r="T1707" s="385"/>
      <c r="U1707" s="475">
        <v>623</v>
      </c>
      <c r="V1707" s="395"/>
      <c r="W1707" s="395">
        <f t="shared" si="1007"/>
        <v>13.189030000000001</v>
      </c>
      <c r="X1707" s="393"/>
      <c r="Y1707" s="337"/>
      <c r="Z1707" s="497"/>
      <c r="AA1707" s="544"/>
      <c r="AB1707" s="394"/>
      <c r="AC1707" s="394"/>
      <c r="AD1707" s="394"/>
      <c r="AE1707" s="394"/>
      <c r="AF1707" s="394"/>
      <c r="AG1707" s="394"/>
      <c r="AH1707" s="394"/>
      <c r="AI1707" s="394"/>
      <c r="AJ1707" s="394"/>
      <c r="AK1707" s="381"/>
      <c r="AL1707" s="408"/>
      <c r="AM1707" s="385"/>
      <c r="AN1707" s="475"/>
      <c r="AO1707" s="395"/>
      <c r="AP1707" s="395" t="e">
        <f t="shared" si="1008"/>
        <v>#DIV/0!</v>
      </c>
      <c r="AQ1707" s="393"/>
      <c r="AR1707" s="337"/>
      <c r="AS1707" s="497"/>
      <c r="AT1707" s="544"/>
      <c r="AU1707" s="394"/>
      <c r="AV1707" s="394"/>
      <c r="AW1707" s="394"/>
      <c r="AX1707" s="394"/>
      <c r="AY1707" s="394"/>
      <c r="AZ1707" s="394"/>
      <c r="BA1707" s="394"/>
      <c r="BB1707" s="394"/>
      <c r="BC1707" s="394"/>
      <c r="BD1707" s="381"/>
      <c r="BE1707" s="408"/>
      <c r="BF1707" s="385"/>
      <c r="BG1707" s="475"/>
      <c r="BH1707" s="395"/>
      <c r="BI1707" s="395" t="e">
        <f t="shared" si="1009"/>
        <v>#DIV/0!</v>
      </c>
    </row>
    <row r="1708" spans="1:61" s="358" customFormat="1" ht="19.2" x14ac:dyDescent="0.3">
      <c r="A1708" s="359" t="s">
        <v>394</v>
      </c>
      <c r="B1708" s="537" t="s">
        <v>251</v>
      </c>
      <c r="C1708" s="546" t="s">
        <v>909</v>
      </c>
      <c r="D1708" s="360">
        <v>0.4</v>
      </c>
      <c r="E1708" s="393"/>
      <c r="F1708" s="337">
        <v>1</v>
      </c>
      <c r="G1708" s="497"/>
      <c r="H1708" s="544">
        <v>13.189019999999999</v>
      </c>
      <c r="I1708" s="394">
        <v>11.49255</v>
      </c>
      <c r="J1708" s="394">
        <v>10.458920000000001</v>
      </c>
      <c r="K1708" s="394"/>
      <c r="L1708" s="394"/>
      <c r="M1708" s="394">
        <v>0</v>
      </c>
      <c r="N1708" s="394">
        <v>0</v>
      </c>
      <c r="O1708" s="394">
        <v>0.39550000000000002</v>
      </c>
      <c r="P1708" s="394">
        <v>10.458920000000001</v>
      </c>
      <c r="Q1708" s="394"/>
      <c r="R1708" s="381" t="s">
        <v>167</v>
      </c>
      <c r="S1708" s="408" t="s">
        <v>175</v>
      </c>
      <c r="T1708" s="385"/>
      <c r="U1708" s="475">
        <v>624</v>
      </c>
      <c r="V1708" s="395"/>
      <c r="W1708" s="395">
        <f t="shared" si="1007"/>
        <v>13.189019999999999</v>
      </c>
      <c r="X1708" s="393"/>
      <c r="Y1708" s="337"/>
      <c r="Z1708" s="497"/>
      <c r="AA1708" s="544"/>
      <c r="AB1708" s="394"/>
      <c r="AC1708" s="394"/>
      <c r="AD1708" s="394"/>
      <c r="AE1708" s="394"/>
      <c r="AF1708" s="394"/>
      <c r="AG1708" s="394"/>
      <c r="AH1708" s="394"/>
      <c r="AI1708" s="394"/>
      <c r="AJ1708" s="394"/>
      <c r="AK1708" s="381"/>
      <c r="AL1708" s="408"/>
      <c r="AM1708" s="385"/>
      <c r="AN1708" s="475"/>
      <c r="AO1708" s="395"/>
      <c r="AP1708" s="395" t="e">
        <f t="shared" si="1008"/>
        <v>#DIV/0!</v>
      </c>
      <c r="AQ1708" s="393"/>
      <c r="AR1708" s="337"/>
      <c r="AS1708" s="497"/>
      <c r="AT1708" s="544"/>
      <c r="AU1708" s="394"/>
      <c r="AV1708" s="394"/>
      <c r="AW1708" s="394"/>
      <c r="AX1708" s="394"/>
      <c r="AY1708" s="394"/>
      <c r="AZ1708" s="394"/>
      <c r="BA1708" s="394"/>
      <c r="BB1708" s="394"/>
      <c r="BC1708" s="394"/>
      <c r="BD1708" s="381"/>
      <c r="BE1708" s="408"/>
      <c r="BF1708" s="385"/>
      <c r="BG1708" s="475"/>
      <c r="BH1708" s="395"/>
      <c r="BI1708" s="395" t="e">
        <f t="shared" si="1009"/>
        <v>#DIV/0!</v>
      </c>
    </row>
    <row r="1709" spans="1:61" s="358" customFormat="1" ht="19.2" x14ac:dyDescent="0.3">
      <c r="A1709" s="359" t="s">
        <v>395</v>
      </c>
      <c r="B1709" s="537" t="s">
        <v>561</v>
      </c>
      <c r="C1709" s="546" t="s">
        <v>426</v>
      </c>
      <c r="D1709" s="360">
        <v>0.4</v>
      </c>
      <c r="E1709" s="393"/>
      <c r="F1709" s="337">
        <v>1</v>
      </c>
      <c r="G1709" s="497"/>
      <c r="H1709" s="544">
        <v>13.189019999999999</v>
      </c>
      <c r="I1709" s="394">
        <v>11.49255</v>
      </c>
      <c r="J1709" s="394">
        <v>10.458920000000001</v>
      </c>
      <c r="K1709" s="394"/>
      <c r="L1709" s="394"/>
      <c r="M1709" s="394">
        <v>0</v>
      </c>
      <c r="N1709" s="394">
        <v>0</v>
      </c>
      <c r="O1709" s="394">
        <v>0.39550000000000002</v>
      </c>
      <c r="P1709" s="394">
        <v>10.458920000000001</v>
      </c>
      <c r="Q1709" s="394"/>
      <c r="R1709" s="381" t="s">
        <v>167</v>
      </c>
      <c r="S1709" s="408" t="s">
        <v>175</v>
      </c>
      <c r="T1709" s="385"/>
      <c r="U1709" s="475">
        <v>625</v>
      </c>
      <c r="V1709" s="395"/>
      <c r="W1709" s="395">
        <f t="shared" si="1007"/>
        <v>13.189019999999999</v>
      </c>
      <c r="X1709" s="393"/>
      <c r="Y1709" s="337"/>
      <c r="Z1709" s="497"/>
      <c r="AA1709" s="544"/>
      <c r="AB1709" s="394"/>
      <c r="AC1709" s="394"/>
      <c r="AD1709" s="394"/>
      <c r="AE1709" s="394"/>
      <c r="AF1709" s="394"/>
      <c r="AG1709" s="394"/>
      <c r="AH1709" s="394"/>
      <c r="AI1709" s="394"/>
      <c r="AJ1709" s="394"/>
      <c r="AK1709" s="381"/>
      <c r="AL1709" s="408"/>
      <c r="AM1709" s="385"/>
      <c r="AN1709" s="475"/>
      <c r="AO1709" s="395"/>
      <c r="AP1709" s="395" t="e">
        <f t="shared" si="1008"/>
        <v>#DIV/0!</v>
      </c>
      <c r="AQ1709" s="393"/>
      <c r="AR1709" s="337"/>
      <c r="AS1709" s="497"/>
      <c r="AT1709" s="544"/>
      <c r="AU1709" s="394"/>
      <c r="AV1709" s="394"/>
      <c r="AW1709" s="394"/>
      <c r="AX1709" s="394"/>
      <c r="AY1709" s="394"/>
      <c r="AZ1709" s="394"/>
      <c r="BA1709" s="394"/>
      <c r="BB1709" s="394"/>
      <c r="BC1709" s="394"/>
      <c r="BD1709" s="381"/>
      <c r="BE1709" s="408"/>
      <c r="BF1709" s="385"/>
      <c r="BG1709" s="475"/>
      <c r="BH1709" s="395"/>
      <c r="BI1709" s="395" t="e">
        <f t="shared" si="1009"/>
        <v>#DIV/0!</v>
      </c>
    </row>
    <row r="1710" spans="1:61" s="358" customFormat="1" ht="19.2" x14ac:dyDescent="0.3">
      <c r="A1710" s="359" t="s">
        <v>396</v>
      </c>
      <c r="B1710" s="537" t="s">
        <v>1507</v>
      </c>
      <c r="C1710" s="546" t="s">
        <v>910</v>
      </c>
      <c r="D1710" s="360">
        <v>0.4</v>
      </c>
      <c r="E1710" s="393"/>
      <c r="F1710" s="337">
        <v>1</v>
      </c>
      <c r="G1710" s="497"/>
      <c r="H1710" s="544">
        <v>13.189030000000001</v>
      </c>
      <c r="I1710" s="394">
        <v>11.49255</v>
      </c>
      <c r="J1710" s="394">
        <v>10.458920000000001</v>
      </c>
      <c r="K1710" s="394"/>
      <c r="L1710" s="394"/>
      <c r="M1710" s="394">
        <v>0</v>
      </c>
      <c r="N1710" s="394">
        <v>0</v>
      </c>
      <c r="O1710" s="394">
        <v>0.39550000000000002</v>
      </c>
      <c r="P1710" s="394">
        <v>10.458920000000001</v>
      </c>
      <c r="Q1710" s="394"/>
      <c r="R1710" s="381" t="s">
        <v>167</v>
      </c>
      <c r="S1710" s="408" t="s">
        <v>175</v>
      </c>
      <c r="T1710" s="385"/>
      <c r="U1710" s="475">
        <v>626</v>
      </c>
      <c r="V1710" s="395"/>
      <c r="W1710" s="395">
        <f t="shared" si="1007"/>
        <v>13.189030000000001</v>
      </c>
      <c r="X1710" s="393"/>
      <c r="Y1710" s="337"/>
      <c r="Z1710" s="497"/>
      <c r="AA1710" s="544"/>
      <c r="AB1710" s="394"/>
      <c r="AC1710" s="394"/>
      <c r="AD1710" s="394"/>
      <c r="AE1710" s="394"/>
      <c r="AF1710" s="394"/>
      <c r="AG1710" s="394"/>
      <c r="AH1710" s="394"/>
      <c r="AI1710" s="394"/>
      <c r="AJ1710" s="394"/>
      <c r="AK1710" s="381"/>
      <c r="AL1710" s="408"/>
      <c r="AM1710" s="385"/>
      <c r="AN1710" s="475"/>
      <c r="AO1710" s="395"/>
      <c r="AP1710" s="395" t="e">
        <f t="shared" si="1008"/>
        <v>#DIV/0!</v>
      </c>
      <c r="AQ1710" s="393"/>
      <c r="AR1710" s="337"/>
      <c r="AS1710" s="497"/>
      <c r="AT1710" s="544"/>
      <c r="AU1710" s="394"/>
      <c r="AV1710" s="394"/>
      <c r="AW1710" s="394"/>
      <c r="AX1710" s="394"/>
      <c r="AY1710" s="394"/>
      <c r="AZ1710" s="394"/>
      <c r="BA1710" s="394"/>
      <c r="BB1710" s="394"/>
      <c r="BC1710" s="394"/>
      <c r="BD1710" s="381"/>
      <c r="BE1710" s="408"/>
      <c r="BF1710" s="385"/>
      <c r="BG1710" s="475"/>
      <c r="BH1710" s="395"/>
      <c r="BI1710" s="395" t="e">
        <f t="shared" si="1009"/>
        <v>#DIV/0!</v>
      </c>
    </row>
    <row r="1711" spans="1:61" s="358" customFormat="1" ht="19.2" x14ac:dyDescent="0.3">
      <c r="A1711" s="359" t="s">
        <v>1862</v>
      </c>
      <c r="B1711" s="537" t="s">
        <v>1508</v>
      </c>
      <c r="C1711" s="546" t="s">
        <v>911</v>
      </c>
      <c r="D1711" s="360">
        <v>0.4</v>
      </c>
      <c r="E1711" s="393"/>
      <c r="F1711" s="337">
        <v>1</v>
      </c>
      <c r="G1711" s="497"/>
      <c r="H1711" s="544">
        <v>13.189019999999999</v>
      </c>
      <c r="I1711" s="394">
        <v>11.49255</v>
      </c>
      <c r="J1711" s="394">
        <v>10.458920000000001</v>
      </c>
      <c r="K1711" s="394"/>
      <c r="L1711" s="394"/>
      <c r="M1711" s="394">
        <v>0</v>
      </c>
      <c r="N1711" s="394">
        <v>0</v>
      </c>
      <c r="O1711" s="394">
        <v>0.39550000000000002</v>
      </c>
      <c r="P1711" s="394">
        <v>10.458920000000001</v>
      </c>
      <c r="Q1711" s="394"/>
      <c r="R1711" s="381" t="s">
        <v>167</v>
      </c>
      <c r="S1711" s="408" t="s">
        <v>175</v>
      </c>
      <c r="T1711" s="385"/>
      <c r="U1711" s="475">
        <v>627</v>
      </c>
      <c r="V1711" s="395"/>
      <c r="W1711" s="395">
        <f t="shared" si="1007"/>
        <v>13.189019999999999</v>
      </c>
      <c r="X1711" s="393"/>
      <c r="Y1711" s="337"/>
      <c r="Z1711" s="497"/>
      <c r="AA1711" s="544"/>
      <c r="AB1711" s="394"/>
      <c r="AC1711" s="394"/>
      <c r="AD1711" s="394"/>
      <c r="AE1711" s="394"/>
      <c r="AF1711" s="394"/>
      <c r="AG1711" s="394"/>
      <c r="AH1711" s="394"/>
      <c r="AI1711" s="394"/>
      <c r="AJ1711" s="394"/>
      <c r="AK1711" s="381"/>
      <c r="AL1711" s="408"/>
      <c r="AM1711" s="385"/>
      <c r="AN1711" s="475"/>
      <c r="AO1711" s="395"/>
      <c r="AP1711" s="395" t="e">
        <f t="shared" si="1008"/>
        <v>#DIV/0!</v>
      </c>
      <c r="AQ1711" s="393"/>
      <c r="AR1711" s="337"/>
      <c r="AS1711" s="497"/>
      <c r="AT1711" s="544"/>
      <c r="AU1711" s="394"/>
      <c r="AV1711" s="394"/>
      <c r="AW1711" s="394"/>
      <c r="AX1711" s="394"/>
      <c r="AY1711" s="394"/>
      <c r="AZ1711" s="394"/>
      <c r="BA1711" s="394"/>
      <c r="BB1711" s="394"/>
      <c r="BC1711" s="394"/>
      <c r="BD1711" s="381"/>
      <c r="BE1711" s="408"/>
      <c r="BF1711" s="385"/>
      <c r="BG1711" s="475"/>
      <c r="BH1711" s="395"/>
      <c r="BI1711" s="395" t="e">
        <f t="shared" si="1009"/>
        <v>#DIV/0!</v>
      </c>
    </row>
    <row r="1712" spans="1:61" s="358" customFormat="1" ht="19.2" x14ac:dyDescent="0.3">
      <c r="A1712" s="359" t="s">
        <v>398</v>
      </c>
      <c r="B1712" s="537" t="s">
        <v>1509</v>
      </c>
      <c r="C1712" s="546" t="s">
        <v>912</v>
      </c>
      <c r="D1712" s="360">
        <v>0.4</v>
      </c>
      <c r="E1712" s="393"/>
      <c r="F1712" s="337">
        <v>1</v>
      </c>
      <c r="G1712" s="497"/>
      <c r="H1712" s="544">
        <v>13.189030000000001</v>
      </c>
      <c r="I1712" s="394">
        <v>11.49255</v>
      </c>
      <c r="J1712" s="394">
        <v>10.458920000000001</v>
      </c>
      <c r="K1712" s="394"/>
      <c r="L1712" s="394"/>
      <c r="M1712" s="394">
        <v>0</v>
      </c>
      <c r="N1712" s="394">
        <v>0</v>
      </c>
      <c r="O1712" s="394">
        <v>0.39550000000000002</v>
      </c>
      <c r="P1712" s="394">
        <v>10.458920000000001</v>
      </c>
      <c r="Q1712" s="394"/>
      <c r="R1712" s="381" t="s">
        <v>167</v>
      </c>
      <c r="S1712" s="408" t="s">
        <v>175</v>
      </c>
      <c r="T1712" s="385"/>
      <c r="U1712" s="475">
        <v>628</v>
      </c>
      <c r="V1712" s="395"/>
      <c r="W1712" s="395">
        <f t="shared" si="1007"/>
        <v>13.189030000000001</v>
      </c>
      <c r="X1712" s="393"/>
      <c r="Y1712" s="337"/>
      <c r="Z1712" s="497"/>
      <c r="AA1712" s="544"/>
      <c r="AB1712" s="394"/>
      <c r="AC1712" s="394"/>
      <c r="AD1712" s="394"/>
      <c r="AE1712" s="394"/>
      <c r="AF1712" s="394"/>
      <c r="AG1712" s="394"/>
      <c r="AH1712" s="394"/>
      <c r="AI1712" s="394"/>
      <c r="AJ1712" s="394"/>
      <c r="AK1712" s="381"/>
      <c r="AL1712" s="408"/>
      <c r="AM1712" s="385"/>
      <c r="AN1712" s="475"/>
      <c r="AO1712" s="395"/>
      <c r="AP1712" s="395" t="e">
        <f t="shared" si="1008"/>
        <v>#DIV/0!</v>
      </c>
      <c r="AQ1712" s="393"/>
      <c r="AR1712" s="337"/>
      <c r="AS1712" s="497"/>
      <c r="AT1712" s="544"/>
      <c r="AU1712" s="394"/>
      <c r="AV1712" s="394"/>
      <c r="AW1712" s="394"/>
      <c r="AX1712" s="394"/>
      <c r="AY1712" s="394"/>
      <c r="AZ1712" s="394"/>
      <c r="BA1712" s="394"/>
      <c r="BB1712" s="394"/>
      <c r="BC1712" s="394"/>
      <c r="BD1712" s="381"/>
      <c r="BE1712" s="408"/>
      <c r="BF1712" s="385"/>
      <c r="BG1712" s="475"/>
      <c r="BH1712" s="395"/>
      <c r="BI1712" s="395" t="e">
        <f t="shared" si="1009"/>
        <v>#DIV/0!</v>
      </c>
    </row>
    <row r="1713" spans="1:61" s="358" customFormat="1" ht="19.2" x14ac:dyDescent="0.3">
      <c r="A1713" s="359" t="s">
        <v>399</v>
      </c>
      <c r="B1713" s="537" t="s">
        <v>1510</v>
      </c>
      <c r="C1713" s="546" t="s">
        <v>913</v>
      </c>
      <c r="D1713" s="360">
        <v>0.4</v>
      </c>
      <c r="E1713" s="393"/>
      <c r="F1713" s="337">
        <v>1</v>
      </c>
      <c r="G1713" s="497"/>
      <c r="H1713" s="544">
        <v>13.189019999999999</v>
      </c>
      <c r="I1713" s="394">
        <v>11.49255</v>
      </c>
      <c r="J1713" s="394">
        <v>10.458920000000001</v>
      </c>
      <c r="K1713" s="394"/>
      <c r="L1713" s="394"/>
      <c r="M1713" s="394">
        <v>0</v>
      </c>
      <c r="N1713" s="394">
        <v>0</v>
      </c>
      <c r="O1713" s="394">
        <v>0.39550000000000002</v>
      </c>
      <c r="P1713" s="394">
        <v>10.458920000000001</v>
      </c>
      <c r="Q1713" s="394"/>
      <c r="R1713" s="381" t="s">
        <v>167</v>
      </c>
      <c r="S1713" s="408" t="s">
        <v>175</v>
      </c>
      <c r="T1713" s="385"/>
      <c r="U1713" s="475">
        <v>629</v>
      </c>
      <c r="V1713" s="395"/>
      <c r="W1713" s="395">
        <f t="shared" si="1007"/>
        <v>13.189019999999999</v>
      </c>
      <c r="X1713" s="393"/>
      <c r="Y1713" s="337"/>
      <c r="Z1713" s="497"/>
      <c r="AA1713" s="544"/>
      <c r="AB1713" s="394"/>
      <c r="AC1713" s="394"/>
      <c r="AD1713" s="394"/>
      <c r="AE1713" s="394"/>
      <c r="AF1713" s="394"/>
      <c r="AG1713" s="394"/>
      <c r="AH1713" s="394"/>
      <c r="AI1713" s="394"/>
      <c r="AJ1713" s="394"/>
      <c r="AK1713" s="381"/>
      <c r="AL1713" s="408"/>
      <c r="AM1713" s="385"/>
      <c r="AN1713" s="475"/>
      <c r="AO1713" s="395"/>
      <c r="AP1713" s="395" t="e">
        <f t="shared" si="1008"/>
        <v>#DIV/0!</v>
      </c>
      <c r="AQ1713" s="393"/>
      <c r="AR1713" s="337"/>
      <c r="AS1713" s="497"/>
      <c r="AT1713" s="544"/>
      <c r="AU1713" s="394"/>
      <c r="AV1713" s="394"/>
      <c r="AW1713" s="394"/>
      <c r="AX1713" s="394"/>
      <c r="AY1713" s="394"/>
      <c r="AZ1713" s="394"/>
      <c r="BA1713" s="394"/>
      <c r="BB1713" s="394"/>
      <c r="BC1713" s="394"/>
      <c r="BD1713" s="381"/>
      <c r="BE1713" s="408"/>
      <c r="BF1713" s="385"/>
      <c r="BG1713" s="475"/>
      <c r="BH1713" s="395"/>
      <c r="BI1713" s="395" t="e">
        <f t="shared" si="1009"/>
        <v>#DIV/0!</v>
      </c>
    </row>
    <row r="1714" spans="1:61" s="358" customFormat="1" ht="19.2" x14ac:dyDescent="0.3">
      <c r="A1714" s="359" t="s">
        <v>384</v>
      </c>
      <c r="B1714" s="537" t="s">
        <v>557</v>
      </c>
      <c r="C1714" s="546" t="s">
        <v>422</v>
      </c>
      <c r="D1714" s="360">
        <v>0.4</v>
      </c>
      <c r="E1714" s="393"/>
      <c r="F1714" s="337">
        <v>1</v>
      </c>
      <c r="G1714" s="497"/>
      <c r="H1714" s="544">
        <v>13.189030000000001</v>
      </c>
      <c r="I1714" s="394">
        <v>11.49255</v>
      </c>
      <c r="J1714" s="394">
        <v>10.458920000000001</v>
      </c>
      <c r="K1714" s="394"/>
      <c r="L1714" s="394"/>
      <c r="M1714" s="394">
        <v>0</v>
      </c>
      <c r="N1714" s="394">
        <v>0</v>
      </c>
      <c r="O1714" s="394">
        <v>0.39550000000000002</v>
      </c>
      <c r="P1714" s="394">
        <v>10.458920000000001</v>
      </c>
      <c r="Q1714" s="394"/>
      <c r="R1714" s="381" t="s">
        <v>167</v>
      </c>
      <c r="S1714" s="408" t="s">
        <v>175</v>
      </c>
      <c r="T1714" s="385"/>
      <c r="U1714" s="475">
        <v>630</v>
      </c>
      <c r="V1714" s="395"/>
      <c r="W1714" s="395">
        <f t="shared" si="1007"/>
        <v>13.189030000000001</v>
      </c>
      <c r="X1714" s="393"/>
      <c r="Y1714" s="337"/>
      <c r="Z1714" s="497"/>
      <c r="AA1714" s="544"/>
      <c r="AB1714" s="394"/>
      <c r="AC1714" s="394"/>
      <c r="AD1714" s="394"/>
      <c r="AE1714" s="394"/>
      <c r="AF1714" s="394"/>
      <c r="AG1714" s="394"/>
      <c r="AH1714" s="394"/>
      <c r="AI1714" s="394"/>
      <c r="AJ1714" s="394"/>
      <c r="AK1714" s="381"/>
      <c r="AL1714" s="408"/>
      <c r="AM1714" s="385"/>
      <c r="AN1714" s="475"/>
      <c r="AO1714" s="395"/>
      <c r="AP1714" s="395" t="e">
        <f t="shared" si="1008"/>
        <v>#DIV/0!</v>
      </c>
      <c r="AQ1714" s="393"/>
      <c r="AR1714" s="337"/>
      <c r="AS1714" s="497"/>
      <c r="AT1714" s="544"/>
      <c r="AU1714" s="394"/>
      <c r="AV1714" s="394"/>
      <c r="AW1714" s="394"/>
      <c r="AX1714" s="394"/>
      <c r="AY1714" s="394"/>
      <c r="AZ1714" s="394"/>
      <c r="BA1714" s="394"/>
      <c r="BB1714" s="394"/>
      <c r="BC1714" s="394"/>
      <c r="BD1714" s="381"/>
      <c r="BE1714" s="408"/>
      <c r="BF1714" s="385"/>
      <c r="BG1714" s="475"/>
      <c r="BH1714" s="395"/>
      <c r="BI1714" s="395" t="e">
        <f t="shared" si="1009"/>
        <v>#DIV/0!</v>
      </c>
    </row>
    <row r="1715" spans="1:61" s="358" customFormat="1" ht="19.2" x14ac:dyDescent="0.3">
      <c r="A1715" s="359" t="s">
        <v>401</v>
      </c>
      <c r="B1715" s="537" t="s">
        <v>1511</v>
      </c>
      <c r="C1715" s="546" t="s">
        <v>914</v>
      </c>
      <c r="D1715" s="360">
        <v>0.4</v>
      </c>
      <c r="E1715" s="393"/>
      <c r="F1715" s="337">
        <v>1</v>
      </c>
      <c r="G1715" s="497"/>
      <c r="H1715" s="544">
        <v>11.41793</v>
      </c>
      <c r="I1715" s="394">
        <v>9.7214399999999994</v>
      </c>
      <c r="J1715" s="394">
        <v>8.5416600000000003</v>
      </c>
      <c r="K1715" s="394"/>
      <c r="L1715" s="394"/>
      <c r="M1715" s="394">
        <v>0</v>
      </c>
      <c r="N1715" s="394">
        <v>0</v>
      </c>
      <c r="O1715" s="394">
        <v>0.39550000000000002</v>
      </c>
      <c r="P1715" s="394">
        <v>8.5416600000000003</v>
      </c>
      <c r="Q1715" s="394"/>
      <c r="R1715" s="381" t="s">
        <v>167</v>
      </c>
      <c r="S1715" s="408" t="s">
        <v>175</v>
      </c>
      <c r="T1715" s="385"/>
      <c r="U1715" s="475">
        <v>631</v>
      </c>
      <c r="V1715" s="395"/>
      <c r="W1715" s="395">
        <f t="shared" si="1007"/>
        <v>11.41793</v>
      </c>
      <c r="X1715" s="393"/>
      <c r="Y1715" s="337"/>
      <c r="Z1715" s="497"/>
      <c r="AA1715" s="544"/>
      <c r="AB1715" s="394"/>
      <c r="AC1715" s="394"/>
      <c r="AD1715" s="394"/>
      <c r="AE1715" s="394"/>
      <c r="AF1715" s="394"/>
      <c r="AG1715" s="394"/>
      <c r="AH1715" s="394"/>
      <c r="AI1715" s="394"/>
      <c r="AJ1715" s="394"/>
      <c r="AK1715" s="381"/>
      <c r="AL1715" s="408"/>
      <c r="AM1715" s="385"/>
      <c r="AN1715" s="475"/>
      <c r="AO1715" s="395"/>
      <c r="AP1715" s="395" t="e">
        <f t="shared" si="1008"/>
        <v>#DIV/0!</v>
      </c>
      <c r="AQ1715" s="393"/>
      <c r="AR1715" s="337"/>
      <c r="AS1715" s="497"/>
      <c r="AT1715" s="544"/>
      <c r="AU1715" s="394"/>
      <c r="AV1715" s="394"/>
      <c r="AW1715" s="394"/>
      <c r="AX1715" s="394"/>
      <c r="AY1715" s="394"/>
      <c r="AZ1715" s="394"/>
      <c r="BA1715" s="394"/>
      <c r="BB1715" s="394"/>
      <c r="BC1715" s="394"/>
      <c r="BD1715" s="381"/>
      <c r="BE1715" s="408"/>
      <c r="BF1715" s="385"/>
      <c r="BG1715" s="475"/>
      <c r="BH1715" s="395"/>
      <c r="BI1715" s="395" t="e">
        <f t="shared" si="1009"/>
        <v>#DIV/0!</v>
      </c>
    </row>
    <row r="1716" spans="1:61" s="358" customFormat="1" ht="19.2" x14ac:dyDescent="0.3">
      <c r="A1716" s="359" t="s">
        <v>402</v>
      </c>
      <c r="B1716" s="537" t="s">
        <v>1512</v>
      </c>
      <c r="C1716" s="546" t="s">
        <v>915</v>
      </c>
      <c r="D1716" s="360">
        <v>0.4</v>
      </c>
      <c r="E1716" s="393"/>
      <c r="F1716" s="337">
        <v>1</v>
      </c>
      <c r="G1716" s="497"/>
      <c r="H1716" s="544">
        <v>11.41793</v>
      </c>
      <c r="I1716" s="394">
        <v>9.7214399999999994</v>
      </c>
      <c r="J1716" s="394">
        <v>8.5416600000000003</v>
      </c>
      <c r="K1716" s="394"/>
      <c r="L1716" s="394"/>
      <c r="M1716" s="394">
        <v>0</v>
      </c>
      <c r="N1716" s="394">
        <v>0</v>
      </c>
      <c r="O1716" s="394">
        <v>0.39550000000000002</v>
      </c>
      <c r="P1716" s="394">
        <v>8.5416600000000003</v>
      </c>
      <c r="Q1716" s="394"/>
      <c r="R1716" s="381" t="s">
        <v>167</v>
      </c>
      <c r="S1716" s="408" t="s">
        <v>175</v>
      </c>
      <c r="T1716" s="385"/>
      <c r="U1716" s="475">
        <v>632</v>
      </c>
      <c r="V1716" s="395"/>
      <c r="W1716" s="395">
        <f t="shared" si="1007"/>
        <v>11.41793</v>
      </c>
      <c r="X1716" s="393"/>
      <c r="Y1716" s="337"/>
      <c r="Z1716" s="497"/>
      <c r="AA1716" s="544"/>
      <c r="AB1716" s="394"/>
      <c r="AC1716" s="394"/>
      <c r="AD1716" s="394"/>
      <c r="AE1716" s="394"/>
      <c r="AF1716" s="394"/>
      <c r="AG1716" s="394"/>
      <c r="AH1716" s="394"/>
      <c r="AI1716" s="394"/>
      <c r="AJ1716" s="394"/>
      <c r="AK1716" s="381"/>
      <c r="AL1716" s="408"/>
      <c r="AM1716" s="385"/>
      <c r="AN1716" s="475"/>
      <c r="AO1716" s="395"/>
      <c r="AP1716" s="395" t="e">
        <f t="shared" si="1008"/>
        <v>#DIV/0!</v>
      </c>
      <c r="AQ1716" s="393"/>
      <c r="AR1716" s="337"/>
      <c r="AS1716" s="497"/>
      <c r="AT1716" s="544"/>
      <c r="AU1716" s="394"/>
      <c r="AV1716" s="394"/>
      <c r="AW1716" s="394"/>
      <c r="AX1716" s="394"/>
      <c r="AY1716" s="394"/>
      <c r="AZ1716" s="394"/>
      <c r="BA1716" s="394"/>
      <c r="BB1716" s="394"/>
      <c r="BC1716" s="394"/>
      <c r="BD1716" s="381"/>
      <c r="BE1716" s="408"/>
      <c r="BF1716" s="385"/>
      <c r="BG1716" s="475"/>
      <c r="BH1716" s="395"/>
      <c r="BI1716" s="395" t="e">
        <f t="shared" si="1009"/>
        <v>#DIV/0!</v>
      </c>
    </row>
    <row r="1717" spans="1:61" s="358" customFormat="1" ht="19.2" x14ac:dyDescent="0.3">
      <c r="A1717" s="359" t="s">
        <v>403</v>
      </c>
      <c r="B1717" s="537" t="s">
        <v>1513</v>
      </c>
      <c r="C1717" s="546" t="s">
        <v>916</v>
      </c>
      <c r="D1717" s="360">
        <v>0.4</v>
      </c>
      <c r="E1717" s="393"/>
      <c r="F1717" s="337">
        <v>1</v>
      </c>
      <c r="G1717" s="497"/>
      <c r="H1717" s="544">
        <v>11.41794</v>
      </c>
      <c r="I1717" s="394">
        <v>9.7214399999999994</v>
      </c>
      <c r="J1717" s="394">
        <v>8.5416600000000003</v>
      </c>
      <c r="K1717" s="394"/>
      <c r="L1717" s="394"/>
      <c r="M1717" s="394">
        <v>0</v>
      </c>
      <c r="N1717" s="394">
        <v>0</v>
      </c>
      <c r="O1717" s="394">
        <v>0.39550000000000002</v>
      </c>
      <c r="P1717" s="394">
        <v>8.5416600000000003</v>
      </c>
      <c r="Q1717" s="394"/>
      <c r="R1717" s="381" t="s">
        <v>167</v>
      </c>
      <c r="S1717" s="408" t="s">
        <v>175</v>
      </c>
      <c r="T1717" s="385"/>
      <c r="U1717" s="475">
        <v>633</v>
      </c>
      <c r="V1717" s="395"/>
      <c r="W1717" s="395">
        <f t="shared" si="1007"/>
        <v>11.41794</v>
      </c>
      <c r="X1717" s="393"/>
      <c r="Y1717" s="337"/>
      <c r="Z1717" s="497"/>
      <c r="AA1717" s="544"/>
      <c r="AB1717" s="394"/>
      <c r="AC1717" s="394"/>
      <c r="AD1717" s="394"/>
      <c r="AE1717" s="394"/>
      <c r="AF1717" s="394"/>
      <c r="AG1717" s="394"/>
      <c r="AH1717" s="394"/>
      <c r="AI1717" s="394"/>
      <c r="AJ1717" s="394"/>
      <c r="AK1717" s="381"/>
      <c r="AL1717" s="408"/>
      <c r="AM1717" s="385"/>
      <c r="AN1717" s="475"/>
      <c r="AO1717" s="395"/>
      <c r="AP1717" s="395" t="e">
        <f t="shared" si="1008"/>
        <v>#DIV/0!</v>
      </c>
      <c r="AQ1717" s="393"/>
      <c r="AR1717" s="337"/>
      <c r="AS1717" s="497"/>
      <c r="AT1717" s="544"/>
      <c r="AU1717" s="394"/>
      <c r="AV1717" s="394"/>
      <c r="AW1717" s="394"/>
      <c r="AX1717" s="394"/>
      <c r="AY1717" s="394"/>
      <c r="AZ1717" s="394"/>
      <c r="BA1717" s="394"/>
      <c r="BB1717" s="394"/>
      <c r="BC1717" s="394"/>
      <c r="BD1717" s="381"/>
      <c r="BE1717" s="408"/>
      <c r="BF1717" s="385"/>
      <c r="BG1717" s="475"/>
      <c r="BH1717" s="395"/>
      <c r="BI1717" s="395" t="e">
        <f t="shared" si="1009"/>
        <v>#DIV/0!</v>
      </c>
    </row>
    <row r="1718" spans="1:61" s="358" customFormat="1" ht="19.2" x14ac:dyDescent="0.3">
      <c r="A1718" s="359" t="s">
        <v>404</v>
      </c>
      <c r="B1718" s="537" t="s">
        <v>1514</v>
      </c>
      <c r="C1718" s="546" t="s">
        <v>917</v>
      </c>
      <c r="D1718" s="360">
        <v>0.4</v>
      </c>
      <c r="E1718" s="393"/>
      <c r="F1718" s="337">
        <v>1</v>
      </c>
      <c r="G1718" s="497"/>
      <c r="H1718" s="544">
        <v>11.41793</v>
      </c>
      <c r="I1718" s="394">
        <v>9.7214399999999994</v>
      </c>
      <c r="J1718" s="394">
        <v>8.5416600000000003</v>
      </c>
      <c r="K1718" s="394"/>
      <c r="L1718" s="394"/>
      <c r="M1718" s="394">
        <v>0</v>
      </c>
      <c r="N1718" s="394">
        <v>0</v>
      </c>
      <c r="O1718" s="394">
        <v>0.39550000000000002</v>
      </c>
      <c r="P1718" s="394">
        <v>8.5416600000000003</v>
      </c>
      <c r="Q1718" s="394"/>
      <c r="R1718" s="381" t="s">
        <v>167</v>
      </c>
      <c r="S1718" s="408" t="s">
        <v>175</v>
      </c>
      <c r="T1718" s="385"/>
      <c r="U1718" s="475">
        <v>634</v>
      </c>
      <c r="V1718" s="395"/>
      <c r="W1718" s="395">
        <f t="shared" si="1007"/>
        <v>11.41793</v>
      </c>
      <c r="X1718" s="393"/>
      <c r="Y1718" s="337"/>
      <c r="Z1718" s="497"/>
      <c r="AA1718" s="544"/>
      <c r="AB1718" s="394"/>
      <c r="AC1718" s="394"/>
      <c r="AD1718" s="394"/>
      <c r="AE1718" s="394"/>
      <c r="AF1718" s="394"/>
      <c r="AG1718" s="394"/>
      <c r="AH1718" s="394"/>
      <c r="AI1718" s="394"/>
      <c r="AJ1718" s="394"/>
      <c r="AK1718" s="381"/>
      <c r="AL1718" s="408"/>
      <c r="AM1718" s="385"/>
      <c r="AN1718" s="475"/>
      <c r="AO1718" s="395"/>
      <c r="AP1718" s="395" t="e">
        <f t="shared" si="1008"/>
        <v>#DIV/0!</v>
      </c>
      <c r="AQ1718" s="393"/>
      <c r="AR1718" s="337"/>
      <c r="AS1718" s="497"/>
      <c r="AT1718" s="544"/>
      <c r="AU1718" s="394"/>
      <c r="AV1718" s="394"/>
      <c r="AW1718" s="394"/>
      <c r="AX1718" s="394"/>
      <c r="AY1718" s="394"/>
      <c r="AZ1718" s="394"/>
      <c r="BA1718" s="394"/>
      <c r="BB1718" s="394"/>
      <c r="BC1718" s="394"/>
      <c r="BD1718" s="381"/>
      <c r="BE1718" s="408"/>
      <c r="BF1718" s="385"/>
      <c r="BG1718" s="475"/>
      <c r="BH1718" s="395"/>
      <c r="BI1718" s="395" t="e">
        <f t="shared" si="1009"/>
        <v>#DIV/0!</v>
      </c>
    </row>
    <row r="1719" spans="1:61" s="358" customFormat="1" ht="19.2" x14ac:dyDescent="0.3">
      <c r="A1719" s="359" t="s">
        <v>405</v>
      </c>
      <c r="B1719" s="537" t="s">
        <v>1515</v>
      </c>
      <c r="C1719" s="546" t="s">
        <v>919</v>
      </c>
      <c r="D1719" s="360">
        <v>0.4</v>
      </c>
      <c r="E1719" s="393"/>
      <c r="F1719" s="337">
        <v>1</v>
      </c>
      <c r="G1719" s="497"/>
      <c r="H1719" s="544">
        <v>13.671110000000001</v>
      </c>
      <c r="I1719" s="394">
        <v>11.772069999999999</v>
      </c>
      <c r="J1719" s="394">
        <v>10.458299999999999</v>
      </c>
      <c r="K1719" s="394"/>
      <c r="L1719" s="394"/>
      <c r="M1719" s="394">
        <v>0</v>
      </c>
      <c r="N1719" s="394">
        <v>0</v>
      </c>
      <c r="O1719" s="394">
        <v>0.44272</v>
      </c>
      <c r="P1719" s="394">
        <v>10.458299999999999</v>
      </c>
      <c r="Q1719" s="394"/>
      <c r="R1719" s="381" t="s">
        <v>167</v>
      </c>
      <c r="S1719" s="408" t="s">
        <v>175</v>
      </c>
      <c r="T1719" s="385"/>
      <c r="U1719" s="475">
        <v>635</v>
      </c>
      <c r="V1719" s="395"/>
      <c r="W1719" s="395">
        <f t="shared" si="1007"/>
        <v>13.671110000000001</v>
      </c>
      <c r="X1719" s="393"/>
      <c r="Y1719" s="337"/>
      <c r="Z1719" s="497"/>
      <c r="AA1719" s="544"/>
      <c r="AB1719" s="394"/>
      <c r="AC1719" s="394"/>
      <c r="AD1719" s="394"/>
      <c r="AE1719" s="394"/>
      <c r="AF1719" s="394"/>
      <c r="AG1719" s="394"/>
      <c r="AH1719" s="394"/>
      <c r="AI1719" s="394"/>
      <c r="AJ1719" s="394"/>
      <c r="AK1719" s="381"/>
      <c r="AL1719" s="408"/>
      <c r="AM1719" s="385"/>
      <c r="AN1719" s="475"/>
      <c r="AO1719" s="395"/>
      <c r="AP1719" s="395" t="e">
        <f t="shared" si="1008"/>
        <v>#DIV/0!</v>
      </c>
      <c r="AQ1719" s="393"/>
      <c r="AR1719" s="337"/>
      <c r="AS1719" s="497"/>
      <c r="AT1719" s="544"/>
      <c r="AU1719" s="394"/>
      <c r="AV1719" s="394"/>
      <c r="AW1719" s="394"/>
      <c r="AX1719" s="394"/>
      <c r="AY1719" s="394"/>
      <c r="AZ1719" s="394"/>
      <c r="BA1719" s="394"/>
      <c r="BB1719" s="394"/>
      <c r="BC1719" s="394"/>
      <c r="BD1719" s="381"/>
      <c r="BE1719" s="408"/>
      <c r="BF1719" s="385"/>
      <c r="BG1719" s="475"/>
      <c r="BH1719" s="395"/>
      <c r="BI1719" s="395" t="e">
        <f t="shared" si="1009"/>
        <v>#DIV/0!</v>
      </c>
    </row>
    <row r="1720" spans="1:61" s="358" customFormat="1" ht="19.2" x14ac:dyDescent="0.3">
      <c r="A1720" s="359" t="s">
        <v>406</v>
      </c>
      <c r="B1720" s="537" t="s">
        <v>1516</v>
      </c>
      <c r="C1720" s="546" t="s">
        <v>920</v>
      </c>
      <c r="D1720" s="360">
        <v>0.4</v>
      </c>
      <c r="E1720" s="393"/>
      <c r="F1720" s="337">
        <v>1</v>
      </c>
      <c r="G1720" s="497"/>
      <c r="H1720" s="544">
        <v>11.754440000000001</v>
      </c>
      <c r="I1720" s="394">
        <v>9.8553999999999995</v>
      </c>
      <c r="J1720" s="394">
        <v>8.5416299999999996</v>
      </c>
      <c r="K1720" s="394"/>
      <c r="L1720" s="394"/>
      <c r="M1720" s="394">
        <v>0</v>
      </c>
      <c r="N1720" s="394">
        <v>0</v>
      </c>
      <c r="O1720" s="394">
        <v>0.44272</v>
      </c>
      <c r="P1720" s="394">
        <v>8.5416299999999996</v>
      </c>
      <c r="Q1720" s="394"/>
      <c r="R1720" s="381" t="s">
        <v>167</v>
      </c>
      <c r="S1720" s="408" t="s">
        <v>175</v>
      </c>
      <c r="T1720" s="385"/>
      <c r="U1720" s="475">
        <v>636</v>
      </c>
      <c r="V1720" s="395"/>
      <c r="W1720" s="395">
        <f t="shared" si="1007"/>
        <v>11.754440000000001</v>
      </c>
      <c r="X1720" s="393"/>
      <c r="Y1720" s="337"/>
      <c r="Z1720" s="497"/>
      <c r="AA1720" s="544"/>
      <c r="AB1720" s="394"/>
      <c r="AC1720" s="394"/>
      <c r="AD1720" s="394"/>
      <c r="AE1720" s="394"/>
      <c r="AF1720" s="394"/>
      <c r="AG1720" s="394"/>
      <c r="AH1720" s="394"/>
      <c r="AI1720" s="394"/>
      <c r="AJ1720" s="394"/>
      <c r="AK1720" s="381"/>
      <c r="AL1720" s="408"/>
      <c r="AM1720" s="385"/>
      <c r="AN1720" s="475"/>
      <c r="AO1720" s="395"/>
      <c r="AP1720" s="395" t="e">
        <f t="shared" si="1008"/>
        <v>#DIV/0!</v>
      </c>
      <c r="AQ1720" s="393"/>
      <c r="AR1720" s="337"/>
      <c r="AS1720" s="497"/>
      <c r="AT1720" s="544"/>
      <c r="AU1720" s="394"/>
      <c r="AV1720" s="394"/>
      <c r="AW1720" s="394"/>
      <c r="AX1720" s="394"/>
      <c r="AY1720" s="394"/>
      <c r="AZ1720" s="394"/>
      <c r="BA1720" s="394"/>
      <c r="BB1720" s="394"/>
      <c r="BC1720" s="394"/>
      <c r="BD1720" s="381"/>
      <c r="BE1720" s="408"/>
      <c r="BF1720" s="385"/>
      <c r="BG1720" s="475"/>
      <c r="BH1720" s="395"/>
      <c r="BI1720" s="395" t="e">
        <f t="shared" si="1009"/>
        <v>#DIV/0!</v>
      </c>
    </row>
    <row r="1721" spans="1:61" s="358" customFormat="1" ht="19.2" x14ac:dyDescent="0.3">
      <c r="A1721" s="359" t="s">
        <v>407</v>
      </c>
      <c r="B1721" s="537" t="s">
        <v>1517</v>
      </c>
      <c r="C1721" s="546" t="s">
        <v>921</v>
      </c>
      <c r="D1721" s="360">
        <v>0.4</v>
      </c>
      <c r="E1721" s="393"/>
      <c r="F1721" s="337">
        <v>1</v>
      </c>
      <c r="G1721" s="497"/>
      <c r="H1721" s="544">
        <v>11.754440000000001</v>
      </c>
      <c r="I1721" s="394">
        <v>9.8553999999999995</v>
      </c>
      <c r="J1721" s="394">
        <v>8.5416299999999996</v>
      </c>
      <c r="K1721" s="394"/>
      <c r="L1721" s="394"/>
      <c r="M1721" s="394">
        <v>0</v>
      </c>
      <c r="N1721" s="394">
        <v>0</v>
      </c>
      <c r="O1721" s="394">
        <v>0.44272</v>
      </c>
      <c r="P1721" s="394">
        <v>8.5416299999999996</v>
      </c>
      <c r="Q1721" s="394"/>
      <c r="R1721" s="381" t="s">
        <v>167</v>
      </c>
      <c r="S1721" s="408" t="s">
        <v>175</v>
      </c>
      <c r="T1721" s="385"/>
      <c r="U1721" s="475">
        <v>637</v>
      </c>
      <c r="V1721" s="395"/>
      <c r="W1721" s="395">
        <f t="shared" si="1007"/>
        <v>11.754440000000001</v>
      </c>
      <c r="X1721" s="393"/>
      <c r="Y1721" s="337"/>
      <c r="Z1721" s="497"/>
      <c r="AA1721" s="544"/>
      <c r="AB1721" s="394"/>
      <c r="AC1721" s="394"/>
      <c r="AD1721" s="394"/>
      <c r="AE1721" s="394"/>
      <c r="AF1721" s="394"/>
      <c r="AG1721" s="394"/>
      <c r="AH1721" s="394"/>
      <c r="AI1721" s="394"/>
      <c r="AJ1721" s="394"/>
      <c r="AK1721" s="381"/>
      <c r="AL1721" s="408"/>
      <c r="AM1721" s="385"/>
      <c r="AN1721" s="475"/>
      <c r="AO1721" s="395"/>
      <c r="AP1721" s="395" t="e">
        <f t="shared" si="1008"/>
        <v>#DIV/0!</v>
      </c>
      <c r="AQ1721" s="393"/>
      <c r="AR1721" s="337"/>
      <c r="AS1721" s="497"/>
      <c r="AT1721" s="544"/>
      <c r="AU1721" s="394"/>
      <c r="AV1721" s="394"/>
      <c r="AW1721" s="394"/>
      <c r="AX1721" s="394"/>
      <c r="AY1721" s="394"/>
      <c r="AZ1721" s="394"/>
      <c r="BA1721" s="394"/>
      <c r="BB1721" s="394"/>
      <c r="BC1721" s="394"/>
      <c r="BD1721" s="381"/>
      <c r="BE1721" s="408"/>
      <c r="BF1721" s="385"/>
      <c r="BG1721" s="475"/>
      <c r="BH1721" s="395"/>
      <c r="BI1721" s="395" t="e">
        <f t="shared" si="1009"/>
        <v>#DIV/0!</v>
      </c>
    </row>
    <row r="1722" spans="1:61" s="358" customFormat="1" ht="19.2" x14ac:dyDescent="0.3">
      <c r="A1722" s="359" t="s">
        <v>408</v>
      </c>
      <c r="B1722" s="537" t="s">
        <v>1518</v>
      </c>
      <c r="C1722" s="546" t="s">
        <v>922</v>
      </c>
      <c r="D1722" s="360">
        <v>0.4</v>
      </c>
      <c r="E1722" s="393"/>
      <c r="F1722" s="337">
        <v>1</v>
      </c>
      <c r="G1722" s="497"/>
      <c r="H1722" s="544">
        <v>11.754440000000001</v>
      </c>
      <c r="I1722" s="394">
        <v>9.8553999999999995</v>
      </c>
      <c r="J1722" s="394">
        <v>8.5416299999999996</v>
      </c>
      <c r="K1722" s="394"/>
      <c r="L1722" s="394"/>
      <c r="M1722" s="394">
        <v>0</v>
      </c>
      <c r="N1722" s="394">
        <v>0</v>
      </c>
      <c r="O1722" s="394">
        <v>0.44272</v>
      </c>
      <c r="P1722" s="394">
        <v>8.5416299999999996</v>
      </c>
      <c r="Q1722" s="394"/>
      <c r="R1722" s="381" t="s">
        <v>167</v>
      </c>
      <c r="S1722" s="408" t="s">
        <v>175</v>
      </c>
      <c r="T1722" s="385"/>
      <c r="U1722" s="475">
        <v>638</v>
      </c>
      <c r="V1722" s="395"/>
      <c r="W1722" s="395">
        <f t="shared" si="1007"/>
        <v>11.754440000000001</v>
      </c>
      <c r="X1722" s="393"/>
      <c r="Y1722" s="337"/>
      <c r="Z1722" s="497"/>
      <c r="AA1722" s="544"/>
      <c r="AB1722" s="394"/>
      <c r="AC1722" s="394"/>
      <c r="AD1722" s="394"/>
      <c r="AE1722" s="394"/>
      <c r="AF1722" s="394"/>
      <c r="AG1722" s="394"/>
      <c r="AH1722" s="394"/>
      <c r="AI1722" s="394"/>
      <c r="AJ1722" s="394"/>
      <c r="AK1722" s="381"/>
      <c r="AL1722" s="408"/>
      <c r="AM1722" s="385"/>
      <c r="AN1722" s="475"/>
      <c r="AO1722" s="395"/>
      <c r="AP1722" s="395" t="e">
        <f t="shared" si="1008"/>
        <v>#DIV/0!</v>
      </c>
      <c r="AQ1722" s="393"/>
      <c r="AR1722" s="337"/>
      <c r="AS1722" s="497"/>
      <c r="AT1722" s="544"/>
      <c r="AU1722" s="394"/>
      <c r="AV1722" s="394"/>
      <c r="AW1722" s="394"/>
      <c r="AX1722" s="394"/>
      <c r="AY1722" s="394"/>
      <c r="AZ1722" s="394"/>
      <c r="BA1722" s="394"/>
      <c r="BB1722" s="394"/>
      <c r="BC1722" s="394"/>
      <c r="BD1722" s="381"/>
      <c r="BE1722" s="408"/>
      <c r="BF1722" s="385"/>
      <c r="BG1722" s="475"/>
      <c r="BH1722" s="395"/>
      <c r="BI1722" s="395" t="e">
        <f t="shared" si="1009"/>
        <v>#DIV/0!</v>
      </c>
    </row>
    <row r="1723" spans="1:61" s="358" customFormat="1" ht="19.2" x14ac:dyDescent="0.3">
      <c r="A1723" s="359" t="s">
        <v>1874</v>
      </c>
      <c r="B1723" s="537" t="s">
        <v>1519</v>
      </c>
      <c r="C1723" s="546" t="s">
        <v>923</v>
      </c>
      <c r="D1723" s="360">
        <v>0.4</v>
      </c>
      <c r="E1723" s="393"/>
      <c r="F1723" s="337">
        <v>1</v>
      </c>
      <c r="G1723" s="497"/>
      <c r="H1723" s="544">
        <v>13.671099999999999</v>
      </c>
      <c r="I1723" s="394">
        <v>11.77206</v>
      </c>
      <c r="J1723" s="394">
        <v>10.45829</v>
      </c>
      <c r="K1723" s="394"/>
      <c r="L1723" s="394"/>
      <c r="M1723" s="394">
        <v>0</v>
      </c>
      <c r="N1723" s="394">
        <v>0</v>
      </c>
      <c r="O1723" s="394">
        <v>0.44272</v>
      </c>
      <c r="P1723" s="394">
        <v>10.45829</v>
      </c>
      <c r="Q1723" s="394"/>
      <c r="R1723" s="381" t="s">
        <v>167</v>
      </c>
      <c r="S1723" s="408" t="s">
        <v>175</v>
      </c>
      <c r="T1723" s="385"/>
      <c r="U1723" s="475">
        <v>639</v>
      </c>
      <c r="V1723" s="395"/>
      <c r="W1723" s="395">
        <f t="shared" ref="W1723:W1784" si="1010">H1723/F1723</f>
        <v>13.671099999999999</v>
      </c>
      <c r="X1723" s="393"/>
      <c r="Y1723" s="337"/>
      <c r="Z1723" s="497"/>
      <c r="AA1723" s="544"/>
      <c r="AB1723" s="394"/>
      <c r="AC1723" s="394"/>
      <c r="AD1723" s="394"/>
      <c r="AE1723" s="394"/>
      <c r="AF1723" s="394"/>
      <c r="AG1723" s="394"/>
      <c r="AH1723" s="394"/>
      <c r="AI1723" s="394"/>
      <c r="AJ1723" s="394"/>
      <c r="AK1723" s="381"/>
      <c r="AL1723" s="408"/>
      <c r="AM1723" s="385"/>
      <c r="AN1723" s="475"/>
      <c r="AO1723" s="395"/>
      <c r="AP1723" s="395" t="e">
        <f t="shared" si="1008"/>
        <v>#DIV/0!</v>
      </c>
      <c r="AQ1723" s="393"/>
      <c r="AR1723" s="337"/>
      <c r="AS1723" s="497"/>
      <c r="AT1723" s="544"/>
      <c r="AU1723" s="394"/>
      <c r="AV1723" s="394"/>
      <c r="AW1723" s="394"/>
      <c r="AX1723" s="394"/>
      <c r="AY1723" s="394"/>
      <c r="AZ1723" s="394"/>
      <c r="BA1723" s="394"/>
      <c r="BB1723" s="394"/>
      <c r="BC1723" s="394"/>
      <c r="BD1723" s="381"/>
      <c r="BE1723" s="408"/>
      <c r="BF1723" s="385"/>
      <c r="BG1723" s="475"/>
      <c r="BH1723" s="395"/>
      <c r="BI1723" s="395" t="e">
        <f t="shared" si="1009"/>
        <v>#DIV/0!</v>
      </c>
    </row>
    <row r="1724" spans="1:61" s="358" customFormat="1" ht="19.2" x14ac:dyDescent="0.3">
      <c r="A1724" s="359" t="s">
        <v>1859</v>
      </c>
      <c r="B1724" s="537" t="s">
        <v>1520</v>
      </c>
      <c r="C1724" s="546" t="s">
        <v>924</v>
      </c>
      <c r="D1724" s="360">
        <v>0.4</v>
      </c>
      <c r="E1724" s="393"/>
      <c r="F1724" s="337">
        <v>1</v>
      </c>
      <c r="G1724" s="497"/>
      <c r="H1724" s="544">
        <v>13.671099999999999</v>
      </c>
      <c r="I1724" s="394">
        <v>11.77206</v>
      </c>
      <c r="J1724" s="394">
        <v>10.45829</v>
      </c>
      <c r="K1724" s="394"/>
      <c r="L1724" s="394"/>
      <c r="M1724" s="394">
        <v>0</v>
      </c>
      <c r="N1724" s="394">
        <v>0</v>
      </c>
      <c r="O1724" s="394">
        <v>0.44272</v>
      </c>
      <c r="P1724" s="394">
        <v>10.45829</v>
      </c>
      <c r="Q1724" s="394"/>
      <c r="R1724" s="381" t="s">
        <v>167</v>
      </c>
      <c r="S1724" s="408" t="s">
        <v>175</v>
      </c>
      <c r="T1724" s="385"/>
      <c r="U1724" s="475">
        <v>640</v>
      </c>
      <c r="V1724" s="395"/>
      <c r="W1724" s="395">
        <f t="shared" si="1010"/>
        <v>13.671099999999999</v>
      </c>
      <c r="X1724" s="393"/>
      <c r="Y1724" s="337"/>
      <c r="Z1724" s="497"/>
      <c r="AA1724" s="544"/>
      <c r="AB1724" s="394"/>
      <c r="AC1724" s="394"/>
      <c r="AD1724" s="394"/>
      <c r="AE1724" s="394"/>
      <c r="AF1724" s="394"/>
      <c r="AG1724" s="394"/>
      <c r="AH1724" s="394"/>
      <c r="AI1724" s="394"/>
      <c r="AJ1724" s="394"/>
      <c r="AK1724" s="381"/>
      <c r="AL1724" s="408"/>
      <c r="AM1724" s="385"/>
      <c r="AN1724" s="475"/>
      <c r="AO1724" s="395"/>
      <c r="AP1724" s="395" t="e">
        <f t="shared" si="1008"/>
        <v>#DIV/0!</v>
      </c>
      <c r="AQ1724" s="393"/>
      <c r="AR1724" s="337"/>
      <c r="AS1724" s="497"/>
      <c r="AT1724" s="544"/>
      <c r="AU1724" s="394"/>
      <c r="AV1724" s="394"/>
      <c r="AW1724" s="394"/>
      <c r="AX1724" s="394"/>
      <c r="AY1724" s="394"/>
      <c r="AZ1724" s="394"/>
      <c r="BA1724" s="394"/>
      <c r="BB1724" s="394"/>
      <c r="BC1724" s="394"/>
      <c r="BD1724" s="381"/>
      <c r="BE1724" s="408"/>
      <c r="BF1724" s="385"/>
      <c r="BG1724" s="475"/>
      <c r="BH1724" s="395"/>
      <c r="BI1724" s="395" t="e">
        <f t="shared" si="1009"/>
        <v>#DIV/0!</v>
      </c>
    </row>
    <row r="1725" spans="1:61" s="358" customFormat="1" ht="19.2" x14ac:dyDescent="0.3">
      <c r="A1725" s="359" t="s">
        <v>1860</v>
      </c>
      <c r="B1725" s="537" t="s">
        <v>1521</v>
      </c>
      <c r="C1725" s="546" t="s">
        <v>925</v>
      </c>
      <c r="D1725" s="360">
        <v>0.4</v>
      </c>
      <c r="E1725" s="393"/>
      <c r="F1725" s="337">
        <v>1</v>
      </c>
      <c r="G1725" s="497"/>
      <c r="H1725" s="544">
        <v>13.671099999999999</v>
      </c>
      <c r="I1725" s="394">
        <v>11.77206</v>
      </c>
      <c r="J1725" s="394">
        <v>10.45829</v>
      </c>
      <c r="K1725" s="394"/>
      <c r="L1725" s="394"/>
      <c r="M1725" s="394">
        <v>0</v>
      </c>
      <c r="N1725" s="394">
        <v>0</v>
      </c>
      <c r="O1725" s="394">
        <v>0.44272</v>
      </c>
      <c r="P1725" s="394">
        <v>10.45829</v>
      </c>
      <c r="Q1725" s="394"/>
      <c r="R1725" s="381" t="s">
        <v>167</v>
      </c>
      <c r="S1725" s="408" t="s">
        <v>175</v>
      </c>
      <c r="T1725" s="385"/>
      <c r="U1725" s="475">
        <v>641</v>
      </c>
      <c r="V1725" s="395"/>
      <c r="W1725" s="395">
        <f t="shared" si="1010"/>
        <v>13.671099999999999</v>
      </c>
      <c r="X1725" s="393"/>
      <c r="Y1725" s="337"/>
      <c r="Z1725" s="497"/>
      <c r="AA1725" s="544"/>
      <c r="AB1725" s="394"/>
      <c r="AC1725" s="394"/>
      <c r="AD1725" s="394"/>
      <c r="AE1725" s="394"/>
      <c r="AF1725" s="394"/>
      <c r="AG1725" s="394"/>
      <c r="AH1725" s="394"/>
      <c r="AI1725" s="394"/>
      <c r="AJ1725" s="394"/>
      <c r="AK1725" s="381"/>
      <c r="AL1725" s="408"/>
      <c r="AM1725" s="385"/>
      <c r="AN1725" s="475"/>
      <c r="AO1725" s="395"/>
      <c r="AP1725" s="395" t="e">
        <f t="shared" si="1008"/>
        <v>#DIV/0!</v>
      </c>
      <c r="AQ1725" s="393"/>
      <c r="AR1725" s="337"/>
      <c r="AS1725" s="497"/>
      <c r="AT1725" s="544"/>
      <c r="AU1725" s="394"/>
      <c r="AV1725" s="394"/>
      <c r="AW1725" s="394"/>
      <c r="AX1725" s="394"/>
      <c r="AY1725" s="394"/>
      <c r="AZ1725" s="394"/>
      <c r="BA1725" s="394"/>
      <c r="BB1725" s="394"/>
      <c r="BC1725" s="394"/>
      <c r="BD1725" s="381"/>
      <c r="BE1725" s="408"/>
      <c r="BF1725" s="385"/>
      <c r="BG1725" s="475"/>
      <c r="BH1725" s="395"/>
      <c r="BI1725" s="395" t="e">
        <f t="shared" si="1009"/>
        <v>#DIV/0!</v>
      </c>
    </row>
    <row r="1726" spans="1:61" s="358" customFormat="1" ht="19.2" x14ac:dyDescent="0.3">
      <c r="A1726" s="359" t="s">
        <v>1861</v>
      </c>
      <c r="B1726" s="537" t="s">
        <v>570</v>
      </c>
      <c r="C1726" s="546" t="s">
        <v>439</v>
      </c>
      <c r="D1726" s="360">
        <v>0.4</v>
      </c>
      <c r="E1726" s="393"/>
      <c r="F1726" s="337">
        <v>1</v>
      </c>
      <c r="G1726" s="497"/>
      <c r="H1726" s="544">
        <v>13.671099999999999</v>
      </c>
      <c r="I1726" s="394">
        <v>11.77206</v>
      </c>
      <c r="J1726" s="394">
        <v>10.45829</v>
      </c>
      <c r="K1726" s="394"/>
      <c r="L1726" s="394"/>
      <c r="M1726" s="394">
        <v>0</v>
      </c>
      <c r="N1726" s="394">
        <v>0</v>
      </c>
      <c r="O1726" s="394">
        <v>0.44272</v>
      </c>
      <c r="P1726" s="394">
        <v>10.45829</v>
      </c>
      <c r="Q1726" s="394"/>
      <c r="R1726" s="381" t="s">
        <v>167</v>
      </c>
      <c r="S1726" s="408" t="s">
        <v>175</v>
      </c>
      <c r="T1726" s="385"/>
      <c r="U1726" s="475">
        <v>642</v>
      </c>
      <c r="V1726" s="395"/>
      <c r="W1726" s="395">
        <f t="shared" si="1010"/>
        <v>13.671099999999999</v>
      </c>
      <c r="X1726" s="393"/>
      <c r="Y1726" s="337"/>
      <c r="Z1726" s="497"/>
      <c r="AA1726" s="544"/>
      <c r="AB1726" s="394"/>
      <c r="AC1726" s="394"/>
      <c r="AD1726" s="394"/>
      <c r="AE1726" s="394"/>
      <c r="AF1726" s="394"/>
      <c r="AG1726" s="394"/>
      <c r="AH1726" s="394"/>
      <c r="AI1726" s="394"/>
      <c r="AJ1726" s="394"/>
      <c r="AK1726" s="381"/>
      <c r="AL1726" s="408"/>
      <c r="AM1726" s="385"/>
      <c r="AN1726" s="475"/>
      <c r="AO1726" s="395"/>
      <c r="AP1726" s="395" t="e">
        <f t="shared" si="1008"/>
        <v>#DIV/0!</v>
      </c>
      <c r="AQ1726" s="393"/>
      <c r="AR1726" s="337"/>
      <c r="AS1726" s="497"/>
      <c r="AT1726" s="544"/>
      <c r="AU1726" s="394"/>
      <c r="AV1726" s="394"/>
      <c r="AW1726" s="394"/>
      <c r="AX1726" s="394"/>
      <c r="AY1726" s="394"/>
      <c r="AZ1726" s="394"/>
      <c r="BA1726" s="394"/>
      <c r="BB1726" s="394"/>
      <c r="BC1726" s="394"/>
      <c r="BD1726" s="381"/>
      <c r="BE1726" s="408"/>
      <c r="BF1726" s="385"/>
      <c r="BG1726" s="475"/>
      <c r="BH1726" s="395"/>
      <c r="BI1726" s="395" t="e">
        <f t="shared" si="1009"/>
        <v>#DIV/0!</v>
      </c>
    </row>
    <row r="1727" spans="1:61" s="358" customFormat="1" ht="19.2" x14ac:dyDescent="0.3">
      <c r="A1727" s="359" t="s">
        <v>1878</v>
      </c>
      <c r="B1727" s="537" t="s">
        <v>319</v>
      </c>
      <c r="C1727" s="546" t="s">
        <v>926</v>
      </c>
      <c r="D1727" s="360">
        <v>0.4</v>
      </c>
      <c r="E1727" s="393"/>
      <c r="F1727" s="337">
        <v>1</v>
      </c>
      <c r="G1727" s="497"/>
      <c r="H1727" s="544">
        <v>13.671099999999999</v>
      </c>
      <c r="I1727" s="394">
        <v>11.77206</v>
      </c>
      <c r="J1727" s="394">
        <v>10.45829</v>
      </c>
      <c r="K1727" s="394"/>
      <c r="L1727" s="394"/>
      <c r="M1727" s="394">
        <v>0</v>
      </c>
      <c r="N1727" s="394">
        <v>0</v>
      </c>
      <c r="O1727" s="394">
        <v>0.44272</v>
      </c>
      <c r="P1727" s="394">
        <v>10.45829</v>
      </c>
      <c r="Q1727" s="394"/>
      <c r="R1727" s="381" t="s">
        <v>167</v>
      </c>
      <c r="S1727" s="408" t="s">
        <v>175</v>
      </c>
      <c r="T1727" s="385"/>
      <c r="U1727" s="475">
        <v>643</v>
      </c>
      <c r="V1727" s="395"/>
      <c r="W1727" s="395">
        <f t="shared" si="1010"/>
        <v>13.671099999999999</v>
      </c>
      <c r="X1727" s="393"/>
      <c r="Y1727" s="337"/>
      <c r="Z1727" s="497"/>
      <c r="AA1727" s="544"/>
      <c r="AB1727" s="394"/>
      <c r="AC1727" s="394"/>
      <c r="AD1727" s="394"/>
      <c r="AE1727" s="394"/>
      <c r="AF1727" s="394"/>
      <c r="AG1727" s="394"/>
      <c r="AH1727" s="394"/>
      <c r="AI1727" s="394"/>
      <c r="AJ1727" s="394"/>
      <c r="AK1727" s="381"/>
      <c r="AL1727" s="408"/>
      <c r="AM1727" s="385"/>
      <c r="AN1727" s="475"/>
      <c r="AO1727" s="395"/>
      <c r="AP1727" s="395" t="e">
        <f t="shared" si="1008"/>
        <v>#DIV/0!</v>
      </c>
      <c r="AQ1727" s="393"/>
      <c r="AR1727" s="337"/>
      <c r="AS1727" s="497"/>
      <c r="AT1727" s="544"/>
      <c r="AU1727" s="394"/>
      <c r="AV1727" s="394"/>
      <c r="AW1727" s="394"/>
      <c r="AX1727" s="394"/>
      <c r="AY1727" s="394"/>
      <c r="AZ1727" s="394"/>
      <c r="BA1727" s="394"/>
      <c r="BB1727" s="394"/>
      <c r="BC1727" s="394"/>
      <c r="BD1727" s="381"/>
      <c r="BE1727" s="408"/>
      <c r="BF1727" s="385"/>
      <c r="BG1727" s="475"/>
      <c r="BH1727" s="395"/>
      <c r="BI1727" s="395" t="e">
        <f t="shared" si="1009"/>
        <v>#DIV/0!</v>
      </c>
    </row>
    <row r="1728" spans="1:61" s="358" customFormat="1" ht="19.2" x14ac:dyDescent="0.3">
      <c r="A1728" s="359" t="s">
        <v>1863</v>
      </c>
      <c r="B1728" s="537" t="s">
        <v>1522</v>
      </c>
      <c r="C1728" s="546" t="s">
        <v>927</v>
      </c>
      <c r="D1728" s="360">
        <v>0.4</v>
      </c>
      <c r="E1728" s="393"/>
      <c r="F1728" s="337">
        <v>1</v>
      </c>
      <c r="G1728" s="497"/>
      <c r="H1728" s="544">
        <v>13.671099999999999</v>
      </c>
      <c r="I1728" s="394">
        <v>11.77206</v>
      </c>
      <c r="J1728" s="394">
        <v>10.45829</v>
      </c>
      <c r="K1728" s="394"/>
      <c r="L1728" s="394"/>
      <c r="M1728" s="394">
        <v>0</v>
      </c>
      <c r="N1728" s="394">
        <v>0</v>
      </c>
      <c r="O1728" s="394">
        <v>0.44272</v>
      </c>
      <c r="P1728" s="394">
        <v>10.45829</v>
      </c>
      <c r="Q1728" s="394"/>
      <c r="R1728" s="381" t="s">
        <v>167</v>
      </c>
      <c r="S1728" s="408" t="s">
        <v>175</v>
      </c>
      <c r="T1728" s="385"/>
      <c r="U1728" s="475">
        <v>644</v>
      </c>
      <c r="V1728" s="395"/>
      <c r="W1728" s="395">
        <f t="shared" si="1010"/>
        <v>13.671099999999999</v>
      </c>
      <c r="X1728" s="393"/>
      <c r="Y1728" s="337"/>
      <c r="Z1728" s="497"/>
      <c r="AA1728" s="544"/>
      <c r="AB1728" s="394"/>
      <c r="AC1728" s="394"/>
      <c r="AD1728" s="394"/>
      <c r="AE1728" s="394"/>
      <c r="AF1728" s="394"/>
      <c r="AG1728" s="394"/>
      <c r="AH1728" s="394"/>
      <c r="AI1728" s="394"/>
      <c r="AJ1728" s="394"/>
      <c r="AK1728" s="381"/>
      <c r="AL1728" s="408"/>
      <c r="AM1728" s="385"/>
      <c r="AN1728" s="475"/>
      <c r="AO1728" s="395"/>
      <c r="AP1728" s="395" t="e">
        <f t="shared" si="1008"/>
        <v>#DIV/0!</v>
      </c>
      <c r="AQ1728" s="393"/>
      <c r="AR1728" s="337"/>
      <c r="AS1728" s="497"/>
      <c r="AT1728" s="544"/>
      <c r="AU1728" s="394"/>
      <c r="AV1728" s="394"/>
      <c r="AW1728" s="394"/>
      <c r="AX1728" s="394"/>
      <c r="AY1728" s="394"/>
      <c r="AZ1728" s="394"/>
      <c r="BA1728" s="394"/>
      <c r="BB1728" s="394"/>
      <c r="BC1728" s="394"/>
      <c r="BD1728" s="381"/>
      <c r="BE1728" s="408"/>
      <c r="BF1728" s="385"/>
      <c r="BG1728" s="475"/>
      <c r="BH1728" s="395"/>
      <c r="BI1728" s="395" t="e">
        <f t="shared" si="1009"/>
        <v>#DIV/0!</v>
      </c>
    </row>
    <row r="1729" spans="1:61" s="358" customFormat="1" ht="19.2" x14ac:dyDescent="0.3">
      <c r="A1729" s="359" t="s">
        <v>1864</v>
      </c>
      <c r="B1729" s="537" t="s">
        <v>571</v>
      </c>
      <c r="C1729" s="546" t="s">
        <v>440</v>
      </c>
      <c r="D1729" s="360">
        <v>0.4</v>
      </c>
      <c r="E1729" s="393"/>
      <c r="F1729" s="337">
        <v>1</v>
      </c>
      <c r="G1729" s="497"/>
      <c r="H1729" s="544">
        <v>13.671099999999999</v>
      </c>
      <c r="I1729" s="394">
        <v>11.77206</v>
      </c>
      <c r="J1729" s="394">
        <v>10.45829</v>
      </c>
      <c r="K1729" s="394"/>
      <c r="L1729" s="394"/>
      <c r="M1729" s="394">
        <v>0</v>
      </c>
      <c r="N1729" s="394">
        <v>0</v>
      </c>
      <c r="O1729" s="394">
        <v>0.44272</v>
      </c>
      <c r="P1729" s="394">
        <v>10.45829</v>
      </c>
      <c r="Q1729" s="394"/>
      <c r="R1729" s="381" t="s">
        <v>167</v>
      </c>
      <c r="S1729" s="408" t="s">
        <v>175</v>
      </c>
      <c r="T1729" s="385"/>
      <c r="U1729" s="475">
        <v>645</v>
      </c>
      <c r="V1729" s="395"/>
      <c r="W1729" s="395">
        <f t="shared" si="1010"/>
        <v>13.671099999999999</v>
      </c>
      <c r="X1729" s="393"/>
      <c r="Y1729" s="337"/>
      <c r="Z1729" s="497"/>
      <c r="AA1729" s="544"/>
      <c r="AB1729" s="394"/>
      <c r="AC1729" s="394"/>
      <c r="AD1729" s="394"/>
      <c r="AE1729" s="394"/>
      <c r="AF1729" s="394"/>
      <c r="AG1729" s="394"/>
      <c r="AH1729" s="394"/>
      <c r="AI1729" s="394"/>
      <c r="AJ1729" s="394"/>
      <c r="AK1729" s="381"/>
      <c r="AL1729" s="408"/>
      <c r="AM1729" s="385"/>
      <c r="AN1729" s="475"/>
      <c r="AO1729" s="395"/>
      <c r="AP1729" s="395" t="e">
        <f t="shared" si="1008"/>
        <v>#DIV/0!</v>
      </c>
      <c r="AQ1729" s="393"/>
      <c r="AR1729" s="337"/>
      <c r="AS1729" s="497"/>
      <c r="AT1729" s="544"/>
      <c r="AU1729" s="394"/>
      <c r="AV1729" s="394"/>
      <c r="AW1729" s="394"/>
      <c r="AX1729" s="394"/>
      <c r="AY1729" s="394"/>
      <c r="AZ1729" s="394"/>
      <c r="BA1729" s="394"/>
      <c r="BB1729" s="394"/>
      <c r="BC1729" s="394"/>
      <c r="BD1729" s="381"/>
      <c r="BE1729" s="408"/>
      <c r="BF1729" s="385"/>
      <c r="BG1729" s="475"/>
      <c r="BH1729" s="395"/>
      <c r="BI1729" s="395" t="e">
        <f t="shared" si="1009"/>
        <v>#DIV/0!</v>
      </c>
    </row>
    <row r="1730" spans="1:61" s="358" customFormat="1" ht="19.2" x14ac:dyDescent="0.3">
      <c r="A1730" s="359" t="s">
        <v>400</v>
      </c>
      <c r="B1730" s="537" t="s">
        <v>1523</v>
      </c>
      <c r="C1730" s="546" t="s">
        <v>928</v>
      </c>
      <c r="D1730" s="360">
        <v>0.4</v>
      </c>
      <c r="E1730" s="393"/>
      <c r="F1730" s="337">
        <v>1</v>
      </c>
      <c r="G1730" s="497"/>
      <c r="H1730" s="544">
        <v>13.671110000000001</v>
      </c>
      <c r="I1730" s="394">
        <v>11.77206</v>
      </c>
      <c r="J1730" s="394">
        <v>10.45829</v>
      </c>
      <c r="K1730" s="394"/>
      <c r="L1730" s="394"/>
      <c r="M1730" s="394">
        <v>0</v>
      </c>
      <c r="N1730" s="394">
        <v>0</v>
      </c>
      <c r="O1730" s="394">
        <v>0.44272</v>
      </c>
      <c r="P1730" s="394">
        <v>10.45829</v>
      </c>
      <c r="Q1730" s="394"/>
      <c r="R1730" s="381" t="s">
        <v>167</v>
      </c>
      <c r="S1730" s="408" t="s">
        <v>175</v>
      </c>
      <c r="T1730" s="385"/>
      <c r="U1730" s="475">
        <v>646</v>
      </c>
      <c r="V1730" s="395"/>
      <c r="W1730" s="395">
        <f t="shared" si="1010"/>
        <v>13.671110000000001</v>
      </c>
      <c r="X1730" s="393"/>
      <c r="Y1730" s="337"/>
      <c r="Z1730" s="497"/>
      <c r="AA1730" s="544"/>
      <c r="AB1730" s="394"/>
      <c r="AC1730" s="394"/>
      <c r="AD1730" s="394"/>
      <c r="AE1730" s="394"/>
      <c r="AF1730" s="394"/>
      <c r="AG1730" s="394"/>
      <c r="AH1730" s="394"/>
      <c r="AI1730" s="394"/>
      <c r="AJ1730" s="394"/>
      <c r="AK1730" s="381"/>
      <c r="AL1730" s="408"/>
      <c r="AM1730" s="385"/>
      <c r="AN1730" s="475"/>
      <c r="AO1730" s="395"/>
      <c r="AP1730" s="395" t="e">
        <f t="shared" si="1008"/>
        <v>#DIV/0!</v>
      </c>
      <c r="AQ1730" s="393"/>
      <c r="AR1730" s="337"/>
      <c r="AS1730" s="497"/>
      <c r="AT1730" s="544"/>
      <c r="AU1730" s="394"/>
      <c r="AV1730" s="394"/>
      <c r="AW1730" s="394"/>
      <c r="AX1730" s="394"/>
      <c r="AY1730" s="394"/>
      <c r="AZ1730" s="394"/>
      <c r="BA1730" s="394"/>
      <c r="BB1730" s="394"/>
      <c r="BC1730" s="394"/>
      <c r="BD1730" s="381"/>
      <c r="BE1730" s="408"/>
      <c r="BF1730" s="385"/>
      <c r="BG1730" s="475"/>
      <c r="BH1730" s="395"/>
      <c r="BI1730" s="395" t="e">
        <f t="shared" si="1009"/>
        <v>#DIV/0!</v>
      </c>
    </row>
    <row r="1731" spans="1:61" s="358" customFormat="1" ht="19.2" x14ac:dyDescent="0.3">
      <c r="A1731" s="359" t="s">
        <v>1866</v>
      </c>
      <c r="B1731" s="537" t="s">
        <v>565</v>
      </c>
      <c r="C1731" s="546" t="s">
        <v>430</v>
      </c>
      <c r="D1731" s="360">
        <v>0.4</v>
      </c>
      <c r="E1731" s="393"/>
      <c r="F1731" s="337">
        <v>1</v>
      </c>
      <c r="G1731" s="497"/>
      <c r="H1731" s="544">
        <v>13.671110000000001</v>
      </c>
      <c r="I1731" s="394">
        <v>11.77206</v>
      </c>
      <c r="J1731" s="394">
        <v>10.45829</v>
      </c>
      <c r="K1731" s="394"/>
      <c r="L1731" s="394"/>
      <c r="M1731" s="394">
        <v>0</v>
      </c>
      <c r="N1731" s="394">
        <v>0</v>
      </c>
      <c r="O1731" s="394">
        <v>0.44272</v>
      </c>
      <c r="P1731" s="394">
        <v>10.45829</v>
      </c>
      <c r="Q1731" s="394"/>
      <c r="R1731" s="381" t="s">
        <v>167</v>
      </c>
      <c r="S1731" s="408" t="s">
        <v>175</v>
      </c>
      <c r="T1731" s="385"/>
      <c r="U1731" s="475">
        <v>647</v>
      </c>
      <c r="V1731" s="395"/>
      <c r="W1731" s="395">
        <f t="shared" si="1010"/>
        <v>13.671110000000001</v>
      </c>
      <c r="X1731" s="393"/>
      <c r="Y1731" s="337"/>
      <c r="Z1731" s="497"/>
      <c r="AA1731" s="544"/>
      <c r="AB1731" s="394"/>
      <c r="AC1731" s="394"/>
      <c r="AD1731" s="394"/>
      <c r="AE1731" s="394"/>
      <c r="AF1731" s="394"/>
      <c r="AG1731" s="394"/>
      <c r="AH1731" s="394"/>
      <c r="AI1731" s="394"/>
      <c r="AJ1731" s="394"/>
      <c r="AK1731" s="381"/>
      <c r="AL1731" s="408"/>
      <c r="AM1731" s="385"/>
      <c r="AN1731" s="475"/>
      <c r="AO1731" s="395"/>
      <c r="AP1731" s="395" t="e">
        <f t="shared" si="1008"/>
        <v>#DIV/0!</v>
      </c>
      <c r="AQ1731" s="393"/>
      <c r="AR1731" s="337"/>
      <c r="AS1731" s="497"/>
      <c r="AT1731" s="544"/>
      <c r="AU1731" s="394"/>
      <c r="AV1731" s="394"/>
      <c r="AW1731" s="394"/>
      <c r="AX1731" s="394"/>
      <c r="AY1731" s="394"/>
      <c r="AZ1731" s="394"/>
      <c r="BA1731" s="394"/>
      <c r="BB1731" s="394"/>
      <c r="BC1731" s="394"/>
      <c r="BD1731" s="381"/>
      <c r="BE1731" s="408"/>
      <c r="BF1731" s="385"/>
      <c r="BG1731" s="475"/>
      <c r="BH1731" s="395"/>
      <c r="BI1731" s="395" t="e">
        <f t="shared" si="1009"/>
        <v>#DIV/0!</v>
      </c>
    </row>
    <row r="1732" spans="1:61" s="358" customFormat="1" ht="19.2" x14ac:dyDescent="0.3">
      <c r="A1732" s="359" t="s">
        <v>1867</v>
      </c>
      <c r="B1732" s="537" t="s">
        <v>1524</v>
      </c>
      <c r="C1732" s="546" t="s">
        <v>929</v>
      </c>
      <c r="D1732" s="360">
        <v>0.4</v>
      </c>
      <c r="E1732" s="393"/>
      <c r="F1732" s="337">
        <v>1</v>
      </c>
      <c r="G1732" s="497"/>
      <c r="H1732" s="544">
        <v>13.671110000000001</v>
      </c>
      <c r="I1732" s="394">
        <v>11.77206</v>
      </c>
      <c r="J1732" s="394">
        <v>10.45829</v>
      </c>
      <c r="K1732" s="394"/>
      <c r="L1732" s="394"/>
      <c r="M1732" s="394">
        <v>0</v>
      </c>
      <c r="N1732" s="394">
        <v>0</v>
      </c>
      <c r="O1732" s="394">
        <v>0.44272</v>
      </c>
      <c r="P1732" s="394">
        <v>10.45829</v>
      </c>
      <c r="Q1732" s="394"/>
      <c r="R1732" s="381" t="s">
        <v>167</v>
      </c>
      <c r="S1732" s="408" t="s">
        <v>175</v>
      </c>
      <c r="T1732" s="385"/>
      <c r="U1732" s="475">
        <v>648</v>
      </c>
      <c r="V1732" s="395"/>
      <c r="W1732" s="395">
        <f t="shared" si="1010"/>
        <v>13.671110000000001</v>
      </c>
      <c r="X1732" s="393"/>
      <c r="Y1732" s="337"/>
      <c r="Z1732" s="497"/>
      <c r="AA1732" s="544"/>
      <c r="AB1732" s="394"/>
      <c r="AC1732" s="394"/>
      <c r="AD1732" s="394"/>
      <c r="AE1732" s="394"/>
      <c r="AF1732" s="394"/>
      <c r="AG1732" s="394"/>
      <c r="AH1732" s="394"/>
      <c r="AI1732" s="394"/>
      <c r="AJ1732" s="394"/>
      <c r="AK1732" s="381"/>
      <c r="AL1732" s="408"/>
      <c r="AM1732" s="385"/>
      <c r="AN1732" s="475"/>
      <c r="AO1732" s="395"/>
      <c r="AP1732" s="395" t="e">
        <f t="shared" si="1008"/>
        <v>#DIV/0!</v>
      </c>
      <c r="AQ1732" s="393"/>
      <c r="AR1732" s="337"/>
      <c r="AS1732" s="497"/>
      <c r="AT1732" s="544"/>
      <c r="AU1732" s="394"/>
      <c r="AV1732" s="394"/>
      <c r="AW1732" s="394"/>
      <c r="AX1732" s="394"/>
      <c r="AY1732" s="394"/>
      <c r="AZ1732" s="394"/>
      <c r="BA1732" s="394"/>
      <c r="BB1732" s="394"/>
      <c r="BC1732" s="394"/>
      <c r="BD1732" s="381"/>
      <c r="BE1732" s="408"/>
      <c r="BF1732" s="385"/>
      <c r="BG1732" s="475"/>
      <c r="BH1732" s="395"/>
      <c r="BI1732" s="395" t="e">
        <f t="shared" si="1009"/>
        <v>#DIV/0!</v>
      </c>
    </row>
    <row r="1733" spans="1:61" s="358" customFormat="1" ht="19.2" x14ac:dyDescent="0.3">
      <c r="A1733" s="359" t="s">
        <v>1868</v>
      </c>
      <c r="B1733" s="537" t="s">
        <v>1525</v>
      </c>
      <c r="C1733" s="546" t="s">
        <v>930</v>
      </c>
      <c r="D1733" s="360">
        <v>0.4</v>
      </c>
      <c r="E1733" s="393"/>
      <c r="F1733" s="337">
        <v>1</v>
      </c>
      <c r="G1733" s="497"/>
      <c r="H1733" s="544">
        <v>13.671110000000001</v>
      </c>
      <c r="I1733" s="394">
        <v>11.77206</v>
      </c>
      <c r="J1733" s="394">
        <v>10.45829</v>
      </c>
      <c r="K1733" s="394"/>
      <c r="L1733" s="394"/>
      <c r="M1733" s="394">
        <v>0</v>
      </c>
      <c r="N1733" s="394">
        <v>0</v>
      </c>
      <c r="O1733" s="394">
        <v>0.44272</v>
      </c>
      <c r="P1733" s="394">
        <v>10.45829</v>
      </c>
      <c r="Q1733" s="394"/>
      <c r="R1733" s="381" t="s">
        <v>167</v>
      </c>
      <c r="S1733" s="408" t="s">
        <v>175</v>
      </c>
      <c r="T1733" s="385"/>
      <c r="U1733" s="475">
        <v>649</v>
      </c>
      <c r="V1733" s="395"/>
      <c r="W1733" s="395">
        <f t="shared" si="1010"/>
        <v>13.671110000000001</v>
      </c>
      <c r="X1733" s="393"/>
      <c r="Y1733" s="337"/>
      <c r="Z1733" s="497"/>
      <c r="AA1733" s="544"/>
      <c r="AB1733" s="394"/>
      <c r="AC1733" s="394"/>
      <c r="AD1733" s="394"/>
      <c r="AE1733" s="394"/>
      <c r="AF1733" s="394"/>
      <c r="AG1733" s="394"/>
      <c r="AH1733" s="394"/>
      <c r="AI1733" s="394"/>
      <c r="AJ1733" s="394"/>
      <c r="AK1733" s="381"/>
      <c r="AL1733" s="408"/>
      <c r="AM1733" s="385"/>
      <c r="AN1733" s="475"/>
      <c r="AO1733" s="395"/>
      <c r="AP1733" s="395" t="e">
        <f t="shared" si="1008"/>
        <v>#DIV/0!</v>
      </c>
      <c r="AQ1733" s="393"/>
      <c r="AR1733" s="337"/>
      <c r="AS1733" s="497"/>
      <c r="AT1733" s="544"/>
      <c r="AU1733" s="394"/>
      <c r="AV1733" s="394"/>
      <c r="AW1733" s="394"/>
      <c r="AX1733" s="394"/>
      <c r="AY1733" s="394"/>
      <c r="AZ1733" s="394"/>
      <c r="BA1733" s="394"/>
      <c r="BB1733" s="394"/>
      <c r="BC1733" s="394"/>
      <c r="BD1733" s="381"/>
      <c r="BE1733" s="408"/>
      <c r="BF1733" s="385"/>
      <c r="BG1733" s="475"/>
      <c r="BH1733" s="395"/>
      <c r="BI1733" s="395" t="e">
        <f t="shared" si="1009"/>
        <v>#DIV/0!</v>
      </c>
    </row>
    <row r="1734" spans="1:61" s="358" customFormat="1" ht="19.2" x14ac:dyDescent="0.3">
      <c r="A1734" s="359" t="s">
        <v>1869</v>
      </c>
      <c r="B1734" s="537" t="s">
        <v>1526</v>
      </c>
      <c r="C1734" s="546" t="s">
        <v>931</v>
      </c>
      <c r="D1734" s="360">
        <v>0.4</v>
      </c>
      <c r="E1734" s="393"/>
      <c r="F1734" s="337">
        <v>1</v>
      </c>
      <c r="G1734" s="497"/>
      <c r="H1734" s="544">
        <v>13.671110000000001</v>
      </c>
      <c r="I1734" s="394">
        <v>11.77206</v>
      </c>
      <c r="J1734" s="394">
        <v>10.45829</v>
      </c>
      <c r="K1734" s="394"/>
      <c r="L1734" s="394"/>
      <c r="M1734" s="394">
        <v>0</v>
      </c>
      <c r="N1734" s="394">
        <v>0</v>
      </c>
      <c r="O1734" s="394">
        <v>0.44272</v>
      </c>
      <c r="P1734" s="394">
        <v>10.45829</v>
      </c>
      <c r="Q1734" s="394"/>
      <c r="R1734" s="381" t="s">
        <v>167</v>
      </c>
      <c r="S1734" s="408" t="s">
        <v>175</v>
      </c>
      <c r="T1734" s="385"/>
      <c r="U1734" s="475">
        <v>650</v>
      </c>
      <c r="V1734" s="395"/>
      <c r="W1734" s="395">
        <f t="shared" si="1010"/>
        <v>13.671110000000001</v>
      </c>
      <c r="X1734" s="393"/>
      <c r="Y1734" s="337"/>
      <c r="Z1734" s="497"/>
      <c r="AA1734" s="544"/>
      <c r="AB1734" s="394"/>
      <c r="AC1734" s="394"/>
      <c r="AD1734" s="394"/>
      <c r="AE1734" s="394"/>
      <c r="AF1734" s="394"/>
      <c r="AG1734" s="394"/>
      <c r="AH1734" s="394"/>
      <c r="AI1734" s="394"/>
      <c r="AJ1734" s="394"/>
      <c r="AK1734" s="381"/>
      <c r="AL1734" s="408"/>
      <c r="AM1734" s="385"/>
      <c r="AN1734" s="475"/>
      <c r="AO1734" s="395"/>
      <c r="AP1734" s="395" t="e">
        <f t="shared" si="1008"/>
        <v>#DIV/0!</v>
      </c>
      <c r="AQ1734" s="393"/>
      <c r="AR1734" s="337"/>
      <c r="AS1734" s="497"/>
      <c r="AT1734" s="544"/>
      <c r="AU1734" s="394"/>
      <c r="AV1734" s="394"/>
      <c r="AW1734" s="394"/>
      <c r="AX1734" s="394"/>
      <c r="AY1734" s="394"/>
      <c r="AZ1734" s="394"/>
      <c r="BA1734" s="394"/>
      <c r="BB1734" s="394"/>
      <c r="BC1734" s="394"/>
      <c r="BD1734" s="381"/>
      <c r="BE1734" s="408"/>
      <c r="BF1734" s="385"/>
      <c r="BG1734" s="475"/>
      <c r="BH1734" s="395"/>
      <c r="BI1734" s="395" t="e">
        <f t="shared" si="1009"/>
        <v>#DIV/0!</v>
      </c>
    </row>
    <row r="1735" spans="1:61" s="358" customFormat="1" ht="19.2" x14ac:dyDescent="0.3">
      <c r="A1735" s="359" t="s">
        <v>1870</v>
      </c>
      <c r="B1735" s="537" t="s">
        <v>1527</v>
      </c>
      <c r="C1735" s="546" t="s">
        <v>932</v>
      </c>
      <c r="D1735" s="360">
        <v>0.4</v>
      </c>
      <c r="E1735" s="393"/>
      <c r="F1735" s="337">
        <v>1</v>
      </c>
      <c r="G1735" s="497"/>
      <c r="H1735" s="544">
        <v>13.671110000000001</v>
      </c>
      <c r="I1735" s="394">
        <v>11.77206</v>
      </c>
      <c r="J1735" s="394">
        <v>10.45829</v>
      </c>
      <c r="K1735" s="394"/>
      <c r="L1735" s="394"/>
      <c r="M1735" s="394">
        <v>0</v>
      </c>
      <c r="N1735" s="394">
        <v>0</v>
      </c>
      <c r="O1735" s="394">
        <v>0.44272</v>
      </c>
      <c r="P1735" s="394">
        <v>10.45829</v>
      </c>
      <c r="Q1735" s="394"/>
      <c r="R1735" s="381" t="s">
        <v>167</v>
      </c>
      <c r="S1735" s="408" t="s">
        <v>175</v>
      </c>
      <c r="T1735" s="385"/>
      <c r="U1735" s="475">
        <v>651</v>
      </c>
      <c r="V1735" s="395"/>
      <c r="W1735" s="395">
        <f t="shared" si="1010"/>
        <v>13.671110000000001</v>
      </c>
      <c r="X1735" s="393"/>
      <c r="Y1735" s="337"/>
      <c r="Z1735" s="497"/>
      <c r="AA1735" s="544"/>
      <c r="AB1735" s="394"/>
      <c r="AC1735" s="394"/>
      <c r="AD1735" s="394"/>
      <c r="AE1735" s="394"/>
      <c r="AF1735" s="394"/>
      <c r="AG1735" s="394"/>
      <c r="AH1735" s="394"/>
      <c r="AI1735" s="394"/>
      <c r="AJ1735" s="394"/>
      <c r="AK1735" s="381"/>
      <c r="AL1735" s="408"/>
      <c r="AM1735" s="385"/>
      <c r="AN1735" s="475"/>
      <c r="AO1735" s="395"/>
      <c r="AP1735" s="395" t="e">
        <f t="shared" si="1008"/>
        <v>#DIV/0!</v>
      </c>
      <c r="AQ1735" s="393"/>
      <c r="AR1735" s="337"/>
      <c r="AS1735" s="497"/>
      <c r="AT1735" s="544"/>
      <c r="AU1735" s="394"/>
      <c r="AV1735" s="394"/>
      <c r="AW1735" s="394"/>
      <c r="AX1735" s="394"/>
      <c r="AY1735" s="394"/>
      <c r="AZ1735" s="394"/>
      <c r="BA1735" s="394"/>
      <c r="BB1735" s="394"/>
      <c r="BC1735" s="394"/>
      <c r="BD1735" s="381"/>
      <c r="BE1735" s="408"/>
      <c r="BF1735" s="385"/>
      <c r="BG1735" s="475"/>
      <c r="BH1735" s="395"/>
      <c r="BI1735" s="395" t="e">
        <f t="shared" si="1009"/>
        <v>#DIV/0!</v>
      </c>
    </row>
    <row r="1736" spans="1:61" s="358" customFormat="1" ht="19.2" x14ac:dyDescent="0.3">
      <c r="A1736" s="359" t="s">
        <v>1871</v>
      </c>
      <c r="B1736" s="537" t="s">
        <v>1528</v>
      </c>
      <c r="C1736" s="546" t="s">
        <v>933</v>
      </c>
      <c r="D1736" s="360">
        <v>0.4</v>
      </c>
      <c r="E1736" s="393"/>
      <c r="F1736" s="337">
        <v>1</v>
      </c>
      <c r="G1736" s="497"/>
      <c r="H1736" s="544">
        <v>13.671110000000001</v>
      </c>
      <c r="I1736" s="394">
        <v>11.77206</v>
      </c>
      <c r="J1736" s="394">
        <v>10.45829</v>
      </c>
      <c r="K1736" s="394"/>
      <c r="L1736" s="394"/>
      <c r="M1736" s="394">
        <v>0</v>
      </c>
      <c r="N1736" s="394">
        <v>0</v>
      </c>
      <c r="O1736" s="394">
        <v>0.44272</v>
      </c>
      <c r="P1736" s="394">
        <v>10.45829</v>
      </c>
      <c r="Q1736" s="394"/>
      <c r="R1736" s="381" t="s">
        <v>167</v>
      </c>
      <c r="S1736" s="408" t="s">
        <v>175</v>
      </c>
      <c r="T1736" s="385"/>
      <c r="U1736" s="475">
        <v>652</v>
      </c>
      <c r="V1736" s="395"/>
      <c r="W1736" s="395">
        <f t="shared" si="1010"/>
        <v>13.671110000000001</v>
      </c>
      <c r="X1736" s="393"/>
      <c r="Y1736" s="337"/>
      <c r="Z1736" s="497"/>
      <c r="AA1736" s="544"/>
      <c r="AB1736" s="394"/>
      <c r="AC1736" s="394"/>
      <c r="AD1736" s="394"/>
      <c r="AE1736" s="394"/>
      <c r="AF1736" s="394"/>
      <c r="AG1736" s="394"/>
      <c r="AH1736" s="394"/>
      <c r="AI1736" s="394"/>
      <c r="AJ1736" s="394"/>
      <c r="AK1736" s="381"/>
      <c r="AL1736" s="408"/>
      <c r="AM1736" s="385"/>
      <c r="AN1736" s="475"/>
      <c r="AO1736" s="395"/>
      <c r="AP1736" s="395" t="e">
        <f t="shared" si="1008"/>
        <v>#DIV/0!</v>
      </c>
      <c r="AQ1736" s="393"/>
      <c r="AR1736" s="337"/>
      <c r="AS1736" s="497"/>
      <c r="AT1736" s="544"/>
      <c r="AU1736" s="394"/>
      <c r="AV1736" s="394"/>
      <c r="AW1736" s="394"/>
      <c r="AX1736" s="394"/>
      <c r="AY1736" s="394"/>
      <c r="AZ1736" s="394"/>
      <c r="BA1736" s="394"/>
      <c r="BB1736" s="394"/>
      <c r="BC1736" s="394"/>
      <c r="BD1736" s="381"/>
      <c r="BE1736" s="408"/>
      <c r="BF1736" s="385"/>
      <c r="BG1736" s="475"/>
      <c r="BH1736" s="395"/>
      <c r="BI1736" s="395" t="e">
        <f t="shared" si="1009"/>
        <v>#DIV/0!</v>
      </c>
    </row>
    <row r="1737" spans="1:61" s="358" customFormat="1" ht="19.2" x14ac:dyDescent="0.3">
      <c r="A1737" s="359" t="s">
        <v>1872</v>
      </c>
      <c r="B1737" s="537" t="s">
        <v>1529</v>
      </c>
      <c r="C1737" s="546" t="s">
        <v>934</v>
      </c>
      <c r="D1737" s="360">
        <v>0.4</v>
      </c>
      <c r="E1737" s="393"/>
      <c r="F1737" s="337">
        <v>1</v>
      </c>
      <c r="G1737" s="497"/>
      <c r="H1737" s="544">
        <v>13.671110000000001</v>
      </c>
      <c r="I1737" s="394">
        <v>11.77206</v>
      </c>
      <c r="J1737" s="394">
        <v>10.45829</v>
      </c>
      <c r="K1737" s="394"/>
      <c r="L1737" s="394"/>
      <c r="M1737" s="394">
        <v>0</v>
      </c>
      <c r="N1737" s="394">
        <v>0</v>
      </c>
      <c r="O1737" s="394">
        <v>0.44272</v>
      </c>
      <c r="P1737" s="394">
        <v>10.45829</v>
      </c>
      <c r="Q1737" s="394"/>
      <c r="R1737" s="381" t="s">
        <v>167</v>
      </c>
      <c r="S1737" s="408" t="s">
        <v>175</v>
      </c>
      <c r="T1737" s="385"/>
      <c r="U1737" s="475">
        <v>653</v>
      </c>
      <c r="V1737" s="395"/>
      <c r="W1737" s="395">
        <f t="shared" si="1010"/>
        <v>13.671110000000001</v>
      </c>
      <c r="X1737" s="393"/>
      <c r="Y1737" s="337"/>
      <c r="Z1737" s="497"/>
      <c r="AA1737" s="544"/>
      <c r="AB1737" s="394"/>
      <c r="AC1737" s="394"/>
      <c r="AD1737" s="394"/>
      <c r="AE1737" s="394"/>
      <c r="AF1737" s="394"/>
      <c r="AG1737" s="394"/>
      <c r="AH1737" s="394"/>
      <c r="AI1737" s="394"/>
      <c r="AJ1737" s="394"/>
      <c r="AK1737" s="381"/>
      <c r="AL1737" s="408"/>
      <c r="AM1737" s="385"/>
      <c r="AN1737" s="475"/>
      <c r="AO1737" s="395"/>
      <c r="AP1737" s="395" t="e">
        <f t="shared" si="1008"/>
        <v>#DIV/0!</v>
      </c>
      <c r="AQ1737" s="393"/>
      <c r="AR1737" s="337"/>
      <c r="AS1737" s="497"/>
      <c r="AT1737" s="544"/>
      <c r="AU1737" s="394"/>
      <c r="AV1737" s="394"/>
      <c r="AW1737" s="394"/>
      <c r="AX1737" s="394"/>
      <c r="AY1737" s="394"/>
      <c r="AZ1737" s="394"/>
      <c r="BA1737" s="394"/>
      <c r="BB1737" s="394"/>
      <c r="BC1737" s="394"/>
      <c r="BD1737" s="381"/>
      <c r="BE1737" s="408"/>
      <c r="BF1737" s="385"/>
      <c r="BG1737" s="475"/>
      <c r="BH1737" s="395"/>
      <c r="BI1737" s="395" t="e">
        <f t="shared" si="1009"/>
        <v>#DIV/0!</v>
      </c>
    </row>
    <row r="1738" spans="1:61" s="358" customFormat="1" ht="19.2" x14ac:dyDescent="0.3">
      <c r="A1738" s="359" t="s">
        <v>1873</v>
      </c>
      <c r="B1738" s="537" t="s">
        <v>1530</v>
      </c>
      <c r="C1738" s="546" t="s">
        <v>935</v>
      </c>
      <c r="D1738" s="360">
        <v>0.4</v>
      </c>
      <c r="E1738" s="393"/>
      <c r="F1738" s="337">
        <v>1</v>
      </c>
      <c r="G1738" s="497"/>
      <c r="H1738" s="544">
        <v>13.671110000000001</v>
      </c>
      <c r="I1738" s="394">
        <v>11.77206</v>
      </c>
      <c r="J1738" s="394">
        <v>10.45829</v>
      </c>
      <c r="K1738" s="394"/>
      <c r="L1738" s="394"/>
      <c r="M1738" s="394">
        <v>0</v>
      </c>
      <c r="N1738" s="394">
        <v>0</v>
      </c>
      <c r="O1738" s="394">
        <v>0.44272</v>
      </c>
      <c r="P1738" s="394">
        <v>10.45829</v>
      </c>
      <c r="Q1738" s="394"/>
      <c r="R1738" s="381" t="s">
        <v>167</v>
      </c>
      <c r="S1738" s="408" t="s">
        <v>175</v>
      </c>
      <c r="T1738" s="385"/>
      <c r="U1738" s="475">
        <v>654</v>
      </c>
      <c r="V1738" s="395"/>
      <c r="W1738" s="395">
        <f t="shared" si="1010"/>
        <v>13.671110000000001</v>
      </c>
      <c r="X1738" s="393"/>
      <c r="Y1738" s="337"/>
      <c r="Z1738" s="497"/>
      <c r="AA1738" s="544"/>
      <c r="AB1738" s="394"/>
      <c r="AC1738" s="394"/>
      <c r="AD1738" s="394"/>
      <c r="AE1738" s="394"/>
      <c r="AF1738" s="394"/>
      <c r="AG1738" s="394"/>
      <c r="AH1738" s="394"/>
      <c r="AI1738" s="394"/>
      <c r="AJ1738" s="394"/>
      <c r="AK1738" s="381"/>
      <c r="AL1738" s="408"/>
      <c r="AM1738" s="385"/>
      <c r="AN1738" s="475"/>
      <c r="AO1738" s="395"/>
      <c r="AP1738" s="395" t="e">
        <f t="shared" si="1008"/>
        <v>#DIV/0!</v>
      </c>
      <c r="AQ1738" s="393"/>
      <c r="AR1738" s="337"/>
      <c r="AS1738" s="497"/>
      <c r="AT1738" s="544"/>
      <c r="AU1738" s="394"/>
      <c r="AV1738" s="394"/>
      <c r="AW1738" s="394"/>
      <c r="AX1738" s="394"/>
      <c r="AY1738" s="394"/>
      <c r="AZ1738" s="394"/>
      <c r="BA1738" s="394"/>
      <c r="BB1738" s="394"/>
      <c r="BC1738" s="394"/>
      <c r="BD1738" s="381"/>
      <c r="BE1738" s="408"/>
      <c r="BF1738" s="385"/>
      <c r="BG1738" s="475"/>
      <c r="BH1738" s="395"/>
      <c r="BI1738" s="395" t="e">
        <f t="shared" si="1009"/>
        <v>#DIV/0!</v>
      </c>
    </row>
    <row r="1739" spans="1:61" s="358" customFormat="1" ht="19.2" x14ac:dyDescent="0.3">
      <c r="A1739" s="359" t="s">
        <v>1890</v>
      </c>
      <c r="B1739" s="537" t="s">
        <v>1531</v>
      </c>
      <c r="C1739" s="546" t="s">
        <v>937</v>
      </c>
      <c r="D1739" s="360">
        <v>0.4</v>
      </c>
      <c r="E1739" s="393"/>
      <c r="F1739" s="337">
        <v>1</v>
      </c>
      <c r="G1739" s="497"/>
      <c r="H1739" s="544">
        <v>13.662839999999999</v>
      </c>
      <c r="I1739" s="394">
        <v>11.7638</v>
      </c>
      <c r="J1739" s="394">
        <v>10.458299999999999</v>
      </c>
      <c r="K1739" s="394"/>
      <c r="L1739" s="394"/>
      <c r="M1739" s="394">
        <v>0</v>
      </c>
      <c r="N1739" s="394">
        <v>0</v>
      </c>
      <c r="O1739" s="394">
        <v>0.44272</v>
      </c>
      <c r="P1739" s="394">
        <v>10.458299999999999</v>
      </c>
      <c r="Q1739" s="394"/>
      <c r="R1739" s="381" t="s">
        <v>167</v>
      </c>
      <c r="S1739" s="408" t="s">
        <v>175</v>
      </c>
      <c r="T1739" s="385"/>
      <c r="U1739" s="475">
        <v>655</v>
      </c>
      <c r="V1739" s="395"/>
      <c r="W1739" s="395">
        <f t="shared" si="1010"/>
        <v>13.662839999999999</v>
      </c>
      <c r="X1739" s="393"/>
      <c r="Y1739" s="337"/>
      <c r="Z1739" s="497"/>
      <c r="AA1739" s="544"/>
      <c r="AB1739" s="394"/>
      <c r="AC1739" s="394"/>
      <c r="AD1739" s="394"/>
      <c r="AE1739" s="394"/>
      <c r="AF1739" s="394"/>
      <c r="AG1739" s="394"/>
      <c r="AH1739" s="394"/>
      <c r="AI1739" s="394"/>
      <c r="AJ1739" s="394"/>
      <c r="AK1739" s="381"/>
      <c r="AL1739" s="408"/>
      <c r="AM1739" s="385"/>
      <c r="AN1739" s="475"/>
      <c r="AO1739" s="395"/>
      <c r="AP1739" s="395" t="e">
        <f t="shared" ref="AP1739:AP1802" si="1011">AA1739/Y1739</f>
        <v>#DIV/0!</v>
      </c>
      <c r="AQ1739" s="393"/>
      <c r="AR1739" s="337"/>
      <c r="AS1739" s="497"/>
      <c r="AT1739" s="544"/>
      <c r="AU1739" s="394"/>
      <c r="AV1739" s="394"/>
      <c r="AW1739" s="394"/>
      <c r="AX1739" s="394"/>
      <c r="AY1739" s="394"/>
      <c r="AZ1739" s="394"/>
      <c r="BA1739" s="394"/>
      <c r="BB1739" s="394"/>
      <c r="BC1739" s="394"/>
      <c r="BD1739" s="381"/>
      <c r="BE1739" s="408"/>
      <c r="BF1739" s="385"/>
      <c r="BG1739" s="475"/>
      <c r="BH1739" s="395"/>
      <c r="BI1739" s="395" t="e">
        <f t="shared" si="1009"/>
        <v>#DIV/0!</v>
      </c>
    </row>
    <row r="1740" spans="1:61" s="358" customFormat="1" ht="19.2" x14ac:dyDescent="0.3">
      <c r="A1740" s="359" t="s">
        <v>1875</v>
      </c>
      <c r="B1740" s="537" t="s">
        <v>1532</v>
      </c>
      <c r="C1740" s="546" t="s">
        <v>938</v>
      </c>
      <c r="D1740" s="360">
        <v>0.4</v>
      </c>
      <c r="E1740" s="393"/>
      <c r="F1740" s="337">
        <v>1</v>
      </c>
      <c r="G1740" s="497"/>
      <c r="H1740" s="544">
        <v>13.66342</v>
      </c>
      <c r="I1740" s="394">
        <v>11.764379999999999</v>
      </c>
      <c r="J1740" s="394">
        <v>10.458909999999999</v>
      </c>
      <c r="K1740" s="394"/>
      <c r="L1740" s="394"/>
      <c r="M1740" s="394">
        <v>0</v>
      </c>
      <c r="N1740" s="394">
        <v>0</v>
      </c>
      <c r="O1740" s="394">
        <v>0.44272</v>
      </c>
      <c r="P1740" s="394">
        <v>10.458909999999999</v>
      </c>
      <c r="Q1740" s="394"/>
      <c r="R1740" s="381" t="s">
        <v>167</v>
      </c>
      <c r="S1740" s="408" t="s">
        <v>175</v>
      </c>
      <c r="T1740" s="385"/>
      <c r="U1740" s="475">
        <v>656</v>
      </c>
      <c r="V1740" s="395"/>
      <c r="W1740" s="395">
        <f t="shared" si="1010"/>
        <v>13.66342</v>
      </c>
      <c r="X1740" s="393"/>
      <c r="Y1740" s="337"/>
      <c r="Z1740" s="497"/>
      <c r="AA1740" s="544"/>
      <c r="AB1740" s="394"/>
      <c r="AC1740" s="394"/>
      <c r="AD1740" s="394"/>
      <c r="AE1740" s="394"/>
      <c r="AF1740" s="394"/>
      <c r="AG1740" s="394"/>
      <c r="AH1740" s="394"/>
      <c r="AI1740" s="394"/>
      <c r="AJ1740" s="394"/>
      <c r="AK1740" s="381"/>
      <c r="AL1740" s="408"/>
      <c r="AM1740" s="385"/>
      <c r="AN1740" s="475"/>
      <c r="AO1740" s="395"/>
      <c r="AP1740" s="395" t="e">
        <f t="shared" si="1011"/>
        <v>#DIV/0!</v>
      </c>
      <c r="AQ1740" s="393"/>
      <c r="AR1740" s="337"/>
      <c r="AS1740" s="497"/>
      <c r="AT1740" s="544"/>
      <c r="AU1740" s="394"/>
      <c r="AV1740" s="394"/>
      <c r="AW1740" s="394"/>
      <c r="AX1740" s="394"/>
      <c r="AY1740" s="394"/>
      <c r="AZ1740" s="394"/>
      <c r="BA1740" s="394"/>
      <c r="BB1740" s="394"/>
      <c r="BC1740" s="394"/>
      <c r="BD1740" s="381"/>
      <c r="BE1740" s="408"/>
      <c r="BF1740" s="385"/>
      <c r="BG1740" s="475"/>
      <c r="BH1740" s="395"/>
      <c r="BI1740" s="395" t="e">
        <f t="shared" si="1009"/>
        <v>#DIV/0!</v>
      </c>
    </row>
    <row r="1741" spans="1:61" s="358" customFormat="1" ht="19.2" x14ac:dyDescent="0.3">
      <c r="A1741" s="359" t="s">
        <v>1876</v>
      </c>
      <c r="B1741" s="537" t="s">
        <v>1533</v>
      </c>
      <c r="C1741" s="546" t="s">
        <v>939</v>
      </c>
      <c r="D1741" s="360">
        <v>0.4</v>
      </c>
      <c r="E1741" s="393"/>
      <c r="F1741" s="337">
        <v>1</v>
      </c>
      <c r="G1741" s="497"/>
      <c r="H1741" s="544">
        <v>13.66774</v>
      </c>
      <c r="I1741" s="394">
        <v>11.768700000000001</v>
      </c>
      <c r="J1741" s="394">
        <v>10.4589</v>
      </c>
      <c r="K1741" s="394"/>
      <c r="L1741" s="394"/>
      <c r="M1741" s="394">
        <v>0</v>
      </c>
      <c r="N1741" s="394">
        <v>0</v>
      </c>
      <c r="O1741" s="394">
        <v>0.44272</v>
      </c>
      <c r="P1741" s="394">
        <v>10.4589</v>
      </c>
      <c r="Q1741" s="394"/>
      <c r="R1741" s="381" t="s">
        <v>167</v>
      </c>
      <c r="S1741" s="408" t="s">
        <v>175</v>
      </c>
      <c r="T1741" s="385"/>
      <c r="U1741" s="475">
        <v>657</v>
      </c>
      <c r="V1741" s="395"/>
      <c r="W1741" s="395">
        <f t="shared" si="1010"/>
        <v>13.66774</v>
      </c>
      <c r="X1741" s="393"/>
      <c r="Y1741" s="337"/>
      <c r="Z1741" s="497"/>
      <c r="AA1741" s="544"/>
      <c r="AB1741" s="394"/>
      <c r="AC1741" s="394"/>
      <c r="AD1741" s="394"/>
      <c r="AE1741" s="394"/>
      <c r="AF1741" s="394"/>
      <c r="AG1741" s="394"/>
      <c r="AH1741" s="394"/>
      <c r="AI1741" s="394"/>
      <c r="AJ1741" s="394"/>
      <c r="AK1741" s="381"/>
      <c r="AL1741" s="408"/>
      <c r="AM1741" s="385"/>
      <c r="AN1741" s="475"/>
      <c r="AO1741" s="395"/>
      <c r="AP1741" s="395" t="e">
        <f t="shared" si="1011"/>
        <v>#DIV/0!</v>
      </c>
      <c r="AQ1741" s="393"/>
      <c r="AR1741" s="337"/>
      <c r="AS1741" s="497"/>
      <c r="AT1741" s="544"/>
      <c r="AU1741" s="394"/>
      <c r="AV1741" s="394"/>
      <c r="AW1741" s="394"/>
      <c r="AX1741" s="394"/>
      <c r="AY1741" s="394"/>
      <c r="AZ1741" s="394"/>
      <c r="BA1741" s="394"/>
      <c r="BB1741" s="394"/>
      <c r="BC1741" s="394"/>
      <c r="BD1741" s="381"/>
      <c r="BE1741" s="408"/>
      <c r="BF1741" s="385"/>
      <c r="BG1741" s="475"/>
      <c r="BH1741" s="395"/>
      <c r="BI1741" s="395" t="e">
        <f t="shared" si="1009"/>
        <v>#DIV/0!</v>
      </c>
    </row>
    <row r="1742" spans="1:61" s="358" customFormat="1" ht="19.2" x14ac:dyDescent="0.3">
      <c r="A1742" s="359" t="s">
        <v>1877</v>
      </c>
      <c r="B1742" s="537" t="s">
        <v>1534</v>
      </c>
      <c r="C1742" s="546" t="s">
        <v>940</v>
      </c>
      <c r="D1742" s="360">
        <v>0.4</v>
      </c>
      <c r="E1742" s="393"/>
      <c r="F1742" s="337">
        <v>1</v>
      </c>
      <c r="G1742" s="497"/>
      <c r="H1742" s="544">
        <v>14.570589999999999</v>
      </c>
      <c r="I1742" s="394">
        <v>13.704330000000001</v>
      </c>
      <c r="J1742" s="394">
        <v>13.7</v>
      </c>
      <c r="K1742" s="394"/>
      <c r="L1742" s="394"/>
      <c r="M1742" s="394">
        <v>0</v>
      </c>
      <c r="N1742" s="394">
        <v>0</v>
      </c>
      <c r="O1742" s="394">
        <v>0.20194999999999999</v>
      </c>
      <c r="P1742" s="394">
        <v>13.7</v>
      </c>
      <c r="Q1742" s="394"/>
      <c r="R1742" s="381" t="s">
        <v>167</v>
      </c>
      <c r="S1742" s="408" t="s">
        <v>175</v>
      </c>
      <c r="T1742" s="385"/>
      <c r="U1742" s="475">
        <v>658</v>
      </c>
      <c r="V1742" s="395"/>
      <c r="W1742" s="395">
        <f t="shared" si="1010"/>
        <v>14.570589999999999</v>
      </c>
      <c r="X1742" s="393"/>
      <c r="Y1742" s="337"/>
      <c r="Z1742" s="497"/>
      <c r="AA1742" s="544"/>
      <c r="AB1742" s="394"/>
      <c r="AC1742" s="394"/>
      <c r="AD1742" s="394"/>
      <c r="AE1742" s="394"/>
      <c r="AF1742" s="394"/>
      <c r="AG1742" s="394"/>
      <c r="AH1742" s="394"/>
      <c r="AI1742" s="394"/>
      <c r="AJ1742" s="394"/>
      <c r="AK1742" s="381"/>
      <c r="AL1742" s="408"/>
      <c r="AM1742" s="385"/>
      <c r="AN1742" s="475"/>
      <c r="AO1742" s="395"/>
      <c r="AP1742" s="395" t="e">
        <f t="shared" si="1011"/>
        <v>#DIV/0!</v>
      </c>
      <c r="AQ1742" s="393"/>
      <c r="AR1742" s="337"/>
      <c r="AS1742" s="497"/>
      <c r="AT1742" s="544"/>
      <c r="AU1742" s="394"/>
      <c r="AV1742" s="394"/>
      <c r="AW1742" s="394"/>
      <c r="AX1742" s="394"/>
      <c r="AY1742" s="394"/>
      <c r="AZ1742" s="394"/>
      <c r="BA1742" s="394"/>
      <c r="BB1742" s="394"/>
      <c r="BC1742" s="394"/>
      <c r="BD1742" s="381"/>
      <c r="BE1742" s="408"/>
      <c r="BF1742" s="385"/>
      <c r="BG1742" s="475"/>
      <c r="BH1742" s="395"/>
      <c r="BI1742" s="395" t="e">
        <f t="shared" si="1009"/>
        <v>#DIV/0!</v>
      </c>
    </row>
    <row r="1743" spans="1:61" s="358" customFormat="1" ht="28.8" x14ac:dyDescent="0.3">
      <c r="A1743" s="359" t="s">
        <v>1894</v>
      </c>
      <c r="B1743" s="537" t="s">
        <v>1535</v>
      </c>
      <c r="C1743" s="546" t="s">
        <v>941</v>
      </c>
      <c r="D1743" s="360">
        <v>0.4</v>
      </c>
      <c r="E1743" s="393"/>
      <c r="F1743" s="337">
        <v>1</v>
      </c>
      <c r="G1743" s="497"/>
      <c r="H1743" s="544">
        <v>9.4296000000000006</v>
      </c>
      <c r="I1743" s="394">
        <v>8.5633400000000002</v>
      </c>
      <c r="J1743" s="394">
        <v>8.5416600000000003</v>
      </c>
      <c r="K1743" s="394"/>
      <c r="L1743" s="394"/>
      <c r="M1743" s="394">
        <v>0</v>
      </c>
      <c r="N1743" s="394">
        <v>0</v>
      </c>
      <c r="O1743" s="394">
        <v>0.20194999999999999</v>
      </c>
      <c r="P1743" s="394">
        <v>8.5416600000000003</v>
      </c>
      <c r="Q1743" s="394"/>
      <c r="R1743" s="381" t="s">
        <v>167</v>
      </c>
      <c r="S1743" s="408" t="s">
        <v>175</v>
      </c>
      <c r="T1743" s="385"/>
      <c r="U1743" s="475">
        <v>659</v>
      </c>
      <c r="V1743" s="395"/>
      <c r="W1743" s="395">
        <f t="shared" si="1010"/>
        <v>9.4296000000000006</v>
      </c>
      <c r="X1743" s="393"/>
      <c r="Y1743" s="337"/>
      <c r="Z1743" s="497"/>
      <c r="AA1743" s="544"/>
      <c r="AB1743" s="394"/>
      <c r="AC1743" s="394"/>
      <c r="AD1743" s="394"/>
      <c r="AE1743" s="394"/>
      <c r="AF1743" s="394"/>
      <c r="AG1743" s="394"/>
      <c r="AH1743" s="394"/>
      <c r="AI1743" s="394"/>
      <c r="AJ1743" s="394"/>
      <c r="AK1743" s="381"/>
      <c r="AL1743" s="408"/>
      <c r="AM1743" s="385"/>
      <c r="AN1743" s="475"/>
      <c r="AO1743" s="395"/>
      <c r="AP1743" s="395" t="e">
        <f t="shared" si="1011"/>
        <v>#DIV/0!</v>
      </c>
      <c r="AQ1743" s="393"/>
      <c r="AR1743" s="337"/>
      <c r="AS1743" s="497"/>
      <c r="AT1743" s="544"/>
      <c r="AU1743" s="394"/>
      <c r="AV1743" s="394"/>
      <c r="AW1743" s="394"/>
      <c r="AX1743" s="394"/>
      <c r="AY1743" s="394"/>
      <c r="AZ1743" s="394"/>
      <c r="BA1743" s="394"/>
      <c r="BB1743" s="394"/>
      <c r="BC1743" s="394"/>
      <c r="BD1743" s="381"/>
      <c r="BE1743" s="408"/>
      <c r="BF1743" s="385"/>
      <c r="BG1743" s="475"/>
      <c r="BH1743" s="395"/>
      <c r="BI1743" s="395" t="e">
        <f t="shared" si="1009"/>
        <v>#DIV/0!</v>
      </c>
    </row>
    <row r="1744" spans="1:61" s="358" customFormat="1" ht="19.2" x14ac:dyDescent="0.3">
      <c r="A1744" s="359" t="s">
        <v>1879</v>
      </c>
      <c r="B1744" s="537" t="s">
        <v>253</v>
      </c>
      <c r="C1744" s="546" t="s">
        <v>943</v>
      </c>
      <c r="D1744" s="360">
        <v>0.4</v>
      </c>
      <c r="E1744" s="393"/>
      <c r="F1744" s="337">
        <v>1</v>
      </c>
      <c r="G1744" s="497"/>
      <c r="H1744" s="544">
        <v>9.4166000000000007</v>
      </c>
      <c r="I1744" s="394">
        <v>8.5503400000000003</v>
      </c>
      <c r="J1744" s="394">
        <v>8.5416600000000003</v>
      </c>
      <c r="K1744" s="394"/>
      <c r="L1744" s="394"/>
      <c r="M1744" s="394">
        <v>0</v>
      </c>
      <c r="N1744" s="394">
        <v>0</v>
      </c>
      <c r="O1744" s="394">
        <v>0.20194999999999999</v>
      </c>
      <c r="P1744" s="394">
        <v>8.5416600000000003</v>
      </c>
      <c r="Q1744" s="394"/>
      <c r="R1744" s="381" t="s">
        <v>167</v>
      </c>
      <c r="S1744" s="408" t="s">
        <v>175</v>
      </c>
      <c r="T1744" s="385"/>
      <c r="U1744" s="475">
        <v>660</v>
      </c>
      <c r="V1744" s="395"/>
      <c r="W1744" s="395">
        <f t="shared" si="1010"/>
        <v>9.4166000000000007</v>
      </c>
      <c r="X1744" s="393"/>
      <c r="Y1744" s="337"/>
      <c r="Z1744" s="497"/>
      <c r="AA1744" s="544"/>
      <c r="AB1744" s="394"/>
      <c r="AC1744" s="394"/>
      <c r="AD1744" s="394"/>
      <c r="AE1744" s="394"/>
      <c r="AF1744" s="394"/>
      <c r="AG1744" s="394"/>
      <c r="AH1744" s="394"/>
      <c r="AI1744" s="394"/>
      <c r="AJ1744" s="394"/>
      <c r="AK1744" s="381"/>
      <c r="AL1744" s="408"/>
      <c r="AM1744" s="385"/>
      <c r="AN1744" s="475"/>
      <c r="AO1744" s="395"/>
      <c r="AP1744" s="395" t="e">
        <f t="shared" si="1011"/>
        <v>#DIV/0!</v>
      </c>
      <c r="AQ1744" s="393"/>
      <c r="AR1744" s="337"/>
      <c r="AS1744" s="497"/>
      <c r="AT1744" s="544"/>
      <c r="AU1744" s="394"/>
      <c r="AV1744" s="394"/>
      <c r="AW1744" s="394"/>
      <c r="AX1744" s="394"/>
      <c r="AY1744" s="394"/>
      <c r="AZ1744" s="394"/>
      <c r="BA1744" s="394"/>
      <c r="BB1744" s="394"/>
      <c r="BC1744" s="394"/>
      <c r="BD1744" s="381"/>
      <c r="BE1744" s="408"/>
      <c r="BF1744" s="385"/>
      <c r="BG1744" s="475"/>
      <c r="BH1744" s="395"/>
      <c r="BI1744" s="395" t="e">
        <f t="shared" si="1009"/>
        <v>#DIV/0!</v>
      </c>
    </row>
    <row r="1745" spans="1:61" s="358" customFormat="1" ht="19.2" x14ac:dyDescent="0.3">
      <c r="A1745" s="359" t="s">
        <v>1880</v>
      </c>
      <c r="B1745" s="537" t="s">
        <v>253</v>
      </c>
      <c r="C1745" s="546" t="s">
        <v>944</v>
      </c>
      <c r="D1745" s="360">
        <v>0.4</v>
      </c>
      <c r="E1745" s="393"/>
      <c r="F1745" s="337">
        <v>1</v>
      </c>
      <c r="G1745" s="497"/>
      <c r="H1745" s="544">
        <v>9.4165899999999993</v>
      </c>
      <c r="I1745" s="394">
        <v>8.5503300000000007</v>
      </c>
      <c r="J1745" s="394">
        <v>8.5416600000000003</v>
      </c>
      <c r="K1745" s="394"/>
      <c r="L1745" s="394"/>
      <c r="M1745" s="394">
        <v>0</v>
      </c>
      <c r="N1745" s="394">
        <v>0</v>
      </c>
      <c r="O1745" s="394">
        <v>0.20194999999999999</v>
      </c>
      <c r="P1745" s="394">
        <v>8.5416600000000003</v>
      </c>
      <c r="Q1745" s="394"/>
      <c r="R1745" s="381" t="s">
        <v>167</v>
      </c>
      <c r="S1745" s="408" t="s">
        <v>175</v>
      </c>
      <c r="T1745" s="385"/>
      <c r="U1745" s="475">
        <v>661</v>
      </c>
      <c r="V1745" s="395"/>
      <c r="W1745" s="395">
        <f t="shared" si="1010"/>
        <v>9.4165899999999993</v>
      </c>
      <c r="X1745" s="393"/>
      <c r="Y1745" s="337"/>
      <c r="Z1745" s="497"/>
      <c r="AA1745" s="544"/>
      <c r="AB1745" s="394"/>
      <c r="AC1745" s="394"/>
      <c r="AD1745" s="394"/>
      <c r="AE1745" s="394"/>
      <c r="AF1745" s="394"/>
      <c r="AG1745" s="394"/>
      <c r="AH1745" s="394"/>
      <c r="AI1745" s="394"/>
      <c r="AJ1745" s="394"/>
      <c r="AK1745" s="381"/>
      <c r="AL1745" s="408"/>
      <c r="AM1745" s="385"/>
      <c r="AN1745" s="475"/>
      <c r="AO1745" s="395"/>
      <c r="AP1745" s="395" t="e">
        <f t="shared" si="1011"/>
        <v>#DIV/0!</v>
      </c>
      <c r="AQ1745" s="393"/>
      <c r="AR1745" s="337"/>
      <c r="AS1745" s="497"/>
      <c r="AT1745" s="544"/>
      <c r="AU1745" s="394"/>
      <c r="AV1745" s="394"/>
      <c r="AW1745" s="394"/>
      <c r="AX1745" s="394"/>
      <c r="AY1745" s="394"/>
      <c r="AZ1745" s="394"/>
      <c r="BA1745" s="394"/>
      <c r="BB1745" s="394"/>
      <c r="BC1745" s="394"/>
      <c r="BD1745" s="381"/>
      <c r="BE1745" s="408"/>
      <c r="BF1745" s="385"/>
      <c r="BG1745" s="475"/>
      <c r="BH1745" s="395"/>
      <c r="BI1745" s="395" t="e">
        <f t="shared" si="1009"/>
        <v>#DIV/0!</v>
      </c>
    </row>
    <row r="1746" spans="1:61" s="358" customFormat="1" ht="19.2" x14ac:dyDescent="0.3">
      <c r="A1746" s="359" t="s">
        <v>1865</v>
      </c>
      <c r="B1746" s="537" t="s">
        <v>1536</v>
      </c>
      <c r="C1746" s="546" t="s">
        <v>945</v>
      </c>
      <c r="D1746" s="360">
        <v>0.4</v>
      </c>
      <c r="E1746" s="393"/>
      <c r="F1746" s="337">
        <v>1</v>
      </c>
      <c r="G1746" s="497"/>
      <c r="H1746" s="544">
        <v>13.79813</v>
      </c>
      <c r="I1746" s="394">
        <v>11.899089999999999</v>
      </c>
      <c r="J1746" s="394">
        <v>10.45833</v>
      </c>
      <c r="K1746" s="394"/>
      <c r="L1746" s="394"/>
      <c r="M1746" s="394">
        <v>0</v>
      </c>
      <c r="N1746" s="394">
        <v>0</v>
      </c>
      <c r="O1746" s="394">
        <v>0.44272</v>
      </c>
      <c r="P1746" s="394">
        <v>10.45833</v>
      </c>
      <c r="Q1746" s="394"/>
      <c r="R1746" s="381" t="s">
        <v>167</v>
      </c>
      <c r="S1746" s="408" t="s">
        <v>175</v>
      </c>
      <c r="T1746" s="385"/>
      <c r="U1746" s="475">
        <v>662</v>
      </c>
      <c r="V1746" s="395"/>
      <c r="W1746" s="395">
        <f t="shared" si="1010"/>
        <v>13.79813</v>
      </c>
      <c r="X1746" s="393"/>
      <c r="Y1746" s="337"/>
      <c r="Z1746" s="497"/>
      <c r="AA1746" s="544"/>
      <c r="AB1746" s="394"/>
      <c r="AC1746" s="394"/>
      <c r="AD1746" s="394"/>
      <c r="AE1746" s="394"/>
      <c r="AF1746" s="394"/>
      <c r="AG1746" s="394"/>
      <c r="AH1746" s="394"/>
      <c r="AI1746" s="394"/>
      <c r="AJ1746" s="394"/>
      <c r="AK1746" s="381"/>
      <c r="AL1746" s="408"/>
      <c r="AM1746" s="385"/>
      <c r="AN1746" s="475"/>
      <c r="AO1746" s="395"/>
      <c r="AP1746" s="395" t="e">
        <f t="shared" si="1011"/>
        <v>#DIV/0!</v>
      </c>
      <c r="AQ1746" s="393"/>
      <c r="AR1746" s="337"/>
      <c r="AS1746" s="497"/>
      <c r="AT1746" s="544"/>
      <c r="AU1746" s="394"/>
      <c r="AV1746" s="394"/>
      <c r="AW1746" s="394"/>
      <c r="AX1746" s="394"/>
      <c r="AY1746" s="394"/>
      <c r="AZ1746" s="394"/>
      <c r="BA1746" s="394"/>
      <c r="BB1746" s="394"/>
      <c r="BC1746" s="394"/>
      <c r="BD1746" s="381"/>
      <c r="BE1746" s="408"/>
      <c r="BF1746" s="385"/>
      <c r="BG1746" s="475"/>
      <c r="BH1746" s="395"/>
      <c r="BI1746" s="395" t="e">
        <f t="shared" si="1009"/>
        <v>#DIV/0!</v>
      </c>
    </row>
    <row r="1747" spans="1:61" s="358" customFormat="1" ht="19.2" x14ac:dyDescent="0.3">
      <c r="A1747" s="359" t="s">
        <v>1882</v>
      </c>
      <c r="B1747" s="537" t="s">
        <v>1537</v>
      </c>
      <c r="C1747" s="546" t="s">
        <v>946</v>
      </c>
      <c r="D1747" s="360">
        <v>0.4</v>
      </c>
      <c r="E1747" s="393"/>
      <c r="F1747" s="337">
        <v>1</v>
      </c>
      <c r="G1747" s="497"/>
      <c r="H1747" s="544">
        <v>13.79813</v>
      </c>
      <c r="I1747" s="394">
        <v>11.899089999999999</v>
      </c>
      <c r="J1747" s="394">
        <v>10.45833</v>
      </c>
      <c r="K1747" s="394"/>
      <c r="L1747" s="394"/>
      <c r="M1747" s="394">
        <v>0</v>
      </c>
      <c r="N1747" s="394">
        <v>0</v>
      </c>
      <c r="O1747" s="394">
        <v>0.44272</v>
      </c>
      <c r="P1747" s="394">
        <v>10.45833</v>
      </c>
      <c r="Q1747" s="394"/>
      <c r="R1747" s="381" t="s">
        <v>167</v>
      </c>
      <c r="S1747" s="408" t="s">
        <v>175</v>
      </c>
      <c r="T1747" s="385"/>
      <c r="U1747" s="475">
        <v>663</v>
      </c>
      <c r="V1747" s="395"/>
      <c r="W1747" s="395">
        <f t="shared" si="1010"/>
        <v>13.79813</v>
      </c>
      <c r="X1747" s="393"/>
      <c r="Y1747" s="337"/>
      <c r="Z1747" s="497"/>
      <c r="AA1747" s="544"/>
      <c r="AB1747" s="394"/>
      <c r="AC1747" s="394"/>
      <c r="AD1747" s="394"/>
      <c r="AE1747" s="394"/>
      <c r="AF1747" s="394"/>
      <c r="AG1747" s="394"/>
      <c r="AH1747" s="394"/>
      <c r="AI1747" s="394"/>
      <c r="AJ1747" s="394"/>
      <c r="AK1747" s="381"/>
      <c r="AL1747" s="408"/>
      <c r="AM1747" s="385"/>
      <c r="AN1747" s="475"/>
      <c r="AO1747" s="395"/>
      <c r="AP1747" s="395" t="e">
        <f t="shared" si="1011"/>
        <v>#DIV/0!</v>
      </c>
      <c r="AQ1747" s="393"/>
      <c r="AR1747" s="337"/>
      <c r="AS1747" s="497"/>
      <c r="AT1747" s="544"/>
      <c r="AU1747" s="394"/>
      <c r="AV1747" s="394"/>
      <c r="AW1747" s="394"/>
      <c r="AX1747" s="394"/>
      <c r="AY1747" s="394"/>
      <c r="AZ1747" s="394"/>
      <c r="BA1747" s="394"/>
      <c r="BB1747" s="394"/>
      <c r="BC1747" s="394"/>
      <c r="BD1747" s="381"/>
      <c r="BE1747" s="408"/>
      <c r="BF1747" s="385"/>
      <c r="BG1747" s="475"/>
      <c r="BH1747" s="395"/>
      <c r="BI1747" s="395" t="e">
        <f t="shared" si="1009"/>
        <v>#DIV/0!</v>
      </c>
    </row>
    <row r="1748" spans="1:61" s="358" customFormat="1" ht="19.2" x14ac:dyDescent="0.3">
      <c r="A1748" s="359" t="s">
        <v>1883</v>
      </c>
      <c r="B1748" s="537" t="s">
        <v>1538</v>
      </c>
      <c r="C1748" s="546" t="s">
        <v>947</v>
      </c>
      <c r="D1748" s="360">
        <v>0.4</v>
      </c>
      <c r="E1748" s="393"/>
      <c r="F1748" s="337">
        <v>1</v>
      </c>
      <c r="G1748" s="497"/>
      <c r="H1748" s="544">
        <v>13.79813</v>
      </c>
      <c r="I1748" s="394">
        <v>11.899089999999999</v>
      </c>
      <c r="J1748" s="394">
        <v>10.45833</v>
      </c>
      <c r="K1748" s="394"/>
      <c r="L1748" s="394"/>
      <c r="M1748" s="394">
        <v>0</v>
      </c>
      <c r="N1748" s="394">
        <v>0</v>
      </c>
      <c r="O1748" s="394">
        <v>0.44272</v>
      </c>
      <c r="P1748" s="394">
        <v>10.45833</v>
      </c>
      <c r="Q1748" s="394"/>
      <c r="R1748" s="381" t="s">
        <v>167</v>
      </c>
      <c r="S1748" s="408" t="s">
        <v>175</v>
      </c>
      <c r="T1748" s="385"/>
      <c r="U1748" s="475">
        <v>664</v>
      </c>
      <c r="V1748" s="395"/>
      <c r="W1748" s="395">
        <f t="shared" si="1010"/>
        <v>13.79813</v>
      </c>
      <c r="X1748" s="393"/>
      <c r="Y1748" s="337"/>
      <c r="Z1748" s="497"/>
      <c r="AA1748" s="544"/>
      <c r="AB1748" s="394"/>
      <c r="AC1748" s="394"/>
      <c r="AD1748" s="394"/>
      <c r="AE1748" s="394"/>
      <c r="AF1748" s="394"/>
      <c r="AG1748" s="394"/>
      <c r="AH1748" s="394"/>
      <c r="AI1748" s="394"/>
      <c r="AJ1748" s="394"/>
      <c r="AK1748" s="381"/>
      <c r="AL1748" s="408"/>
      <c r="AM1748" s="385"/>
      <c r="AN1748" s="475"/>
      <c r="AO1748" s="395"/>
      <c r="AP1748" s="395" t="e">
        <f t="shared" si="1011"/>
        <v>#DIV/0!</v>
      </c>
      <c r="AQ1748" s="393"/>
      <c r="AR1748" s="337"/>
      <c r="AS1748" s="497"/>
      <c r="AT1748" s="544"/>
      <c r="AU1748" s="394"/>
      <c r="AV1748" s="394"/>
      <c r="AW1748" s="394"/>
      <c r="AX1748" s="394"/>
      <c r="AY1748" s="394"/>
      <c r="AZ1748" s="394"/>
      <c r="BA1748" s="394"/>
      <c r="BB1748" s="394"/>
      <c r="BC1748" s="394"/>
      <c r="BD1748" s="381"/>
      <c r="BE1748" s="408"/>
      <c r="BF1748" s="385"/>
      <c r="BG1748" s="475"/>
      <c r="BH1748" s="395"/>
      <c r="BI1748" s="395" t="e">
        <f t="shared" si="1009"/>
        <v>#DIV/0!</v>
      </c>
    </row>
    <row r="1749" spans="1:61" s="358" customFormat="1" ht="19.2" x14ac:dyDescent="0.3">
      <c r="A1749" s="359" t="s">
        <v>1884</v>
      </c>
      <c r="B1749" s="537" t="s">
        <v>1539</v>
      </c>
      <c r="C1749" s="546" t="s">
        <v>948</v>
      </c>
      <c r="D1749" s="360">
        <v>0.4</v>
      </c>
      <c r="E1749" s="393"/>
      <c r="F1749" s="337">
        <v>1</v>
      </c>
      <c r="G1749" s="497"/>
      <c r="H1749" s="544">
        <v>13.79813</v>
      </c>
      <c r="I1749" s="394">
        <v>11.899089999999999</v>
      </c>
      <c r="J1749" s="394">
        <v>10.45833</v>
      </c>
      <c r="K1749" s="394"/>
      <c r="L1749" s="394"/>
      <c r="M1749" s="394">
        <v>0</v>
      </c>
      <c r="N1749" s="394">
        <v>0</v>
      </c>
      <c r="O1749" s="394">
        <v>0.44272</v>
      </c>
      <c r="P1749" s="394">
        <v>10.45833</v>
      </c>
      <c r="Q1749" s="394"/>
      <c r="R1749" s="381" t="s">
        <v>167</v>
      </c>
      <c r="S1749" s="408" t="s">
        <v>175</v>
      </c>
      <c r="T1749" s="385"/>
      <c r="U1749" s="475">
        <v>665</v>
      </c>
      <c r="V1749" s="395"/>
      <c r="W1749" s="395">
        <f t="shared" si="1010"/>
        <v>13.79813</v>
      </c>
      <c r="X1749" s="393"/>
      <c r="Y1749" s="337"/>
      <c r="Z1749" s="497"/>
      <c r="AA1749" s="544"/>
      <c r="AB1749" s="394"/>
      <c r="AC1749" s="394"/>
      <c r="AD1749" s="394"/>
      <c r="AE1749" s="394"/>
      <c r="AF1749" s="394"/>
      <c r="AG1749" s="394"/>
      <c r="AH1749" s="394"/>
      <c r="AI1749" s="394"/>
      <c r="AJ1749" s="394"/>
      <c r="AK1749" s="381"/>
      <c r="AL1749" s="408"/>
      <c r="AM1749" s="385"/>
      <c r="AN1749" s="475"/>
      <c r="AO1749" s="395"/>
      <c r="AP1749" s="395" t="e">
        <f t="shared" si="1011"/>
        <v>#DIV/0!</v>
      </c>
      <c r="AQ1749" s="393"/>
      <c r="AR1749" s="337"/>
      <c r="AS1749" s="497"/>
      <c r="AT1749" s="544"/>
      <c r="AU1749" s="394"/>
      <c r="AV1749" s="394"/>
      <c r="AW1749" s="394"/>
      <c r="AX1749" s="394"/>
      <c r="AY1749" s="394"/>
      <c r="AZ1749" s="394"/>
      <c r="BA1749" s="394"/>
      <c r="BB1749" s="394"/>
      <c r="BC1749" s="394"/>
      <c r="BD1749" s="381"/>
      <c r="BE1749" s="408"/>
      <c r="BF1749" s="385"/>
      <c r="BG1749" s="475"/>
      <c r="BH1749" s="395"/>
      <c r="BI1749" s="395" t="e">
        <f t="shared" si="1009"/>
        <v>#DIV/0!</v>
      </c>
    </row>
    <row r="1750" spans="1:61" s="358" customFormat="1" ht="19.2" x14ac:dyDescent="0.3">
      <c r="A1750" s="359" t="s">
        <v>1885</v>
      </c>
      <c r="B1750" s="537" t="s">
        <v>1540</v>
      </c>
      <c r="C1750" s="546" t="s">
        <v>949</v>
      </c>
      <c r="D1750" s="360">
        <v>0.4</v>
      </c>
      <c r="E1750" s="393"/>
      <c r="F1750" s="337">
        <v>1</v>
      </c>
      <c r="G1750" s="497"/>
      <c r="H1750" s="544">
        <v>13.79813</v>
      </c>
      <c r="I1750" s="394">
        <v>11.899089999999999</v>
      </c>
      <c r="J1750" s="394">
        <v>10.45833</v>
      </c>
      <c r="K1750" s="394"/>
      <c r="L1750" s="394"/>
      <c r="M1750" s="394">
        <v>0</v>
      </c>
      <c r="N1750" s="394">
        <v>0</v>
      </c>
      <c r="O1750" s="394">
        <v>0.44272</v>
      </c>
      <c r="P1750" s="394">
        <v>10.45833</v>
      </c>
      <c r="Q1750" s="394"/>
      <c r="R1750" s="381" t="s">
        <v>167</v>
      </c>
      <c r="S1750" s="408" t="s">
        <v>175</v>
      </c>
      <c r="T1750" s="385"/>
      <c r="U1750" s="475">
        <v>666</v>
      </c>
      <c r="V1750" s="395"/>
      <c r="W1750" s="395">
        <f t="shared" si="1010"/>
        <v>13.79813</v>
      </c>
      <c r="X1750" s="393"/>
      <c r="Y1750" s="337"/>
      <c r="Z1750" s="497"/>
      <c r="AA1750" s="544"/>
      <c r="AB1750" s="394"/>
      <c r="AC1750" s="394"/>
      <c r="AD1750" s="394"/>
      <c r="AE1750" s="394"/>
      <c r="AF1750" s="394"/>
      <c r="AG1750" s="394"/>
      <c r="AH1750" s="394"/>
      <c r="AI1750" s="394"/>
      <c r="AJ1750" s="394"/>
      <c r="AK1750" s="381"/>
      <c r="AL1750" s="408"/>
      <c r="AM1750" s="385"/>
      <c r="AN1750" s="475"/>
      <c r="AO1750" s="395"/>
      <c r="AP1750" s="395" t="e">
        <f t="shared" si="1011"/>
        <v>#DIV/0!</v>
      </c>
      <c r="AQ1750" s="393"/>
      <c r="AR1750" s="337"/>
      <c r="AS1750" s="497"/>
      <c r="AT1750" s="544"/>
      <c r="AU1750" s="394"/>
      <c r="AV1750" s="394"/>
      <c r="AW1750" s="394"/>
      <c r="AX1750" s="394"/>
      <c r="AY1750" s="394"/>
      <c r="AZ1750" s="394"/>
      <c r="BA1750" s="394"/>
      <c r="BB1750" s="394"/>
      <c r="BC1750" s="394"/>
      <c r="BD1750" s="381"/>
      <c r="BE1750" s="408"/>
      <c r="BF1750" s="385"/>
      <c r="BG1750" s="475"/>
      <c r="BH1750" s="395"/>
      <c r="BI1750" s="395" t="e">
        <f t="shared" si="1009"/>
        <v>#DIV/0!</v>
      </c>
    </row>
    <row r="1751" spans="1:61" s="358" customFormat="1" ht="19.2" x14ac:dyDescent="0.3">
      <c r="A1751" s="359" t="s">
        <v>1886</v>
      </c>
      <c r="B1751" s="537" t="s">
        <v>1541</v>
      </c>
      <c r="C1751" s="546" t="s">
        <v>950</v>
      </c>
      <c r="D1751" s="360">
        <v>0.4</v>
      </c>
      <c r="E1751" s="393"/>
      <c r="F1751" s="337">
        <v>1</v>
      </c>
      <c r="G1751" s="497"/>
      <c r="H1751" s="544">
        <v>13.79814</v>
      </c>
      <c r="I1751" s="394">
        <v>11.899089999999999</v>
      </c>
      <c r="J1751" s="394">
        <v>10.45833</v>
      </c>
      <c r="K1751" s="394"/>
      <c r="L1751" s="394"/>
      <c r="M1751" s="394">
        <v>0</v>
      </c>
      <c r="N1751" s="394">
        <v>0</v>
      </c>
      <c r="O1751" s="394">
        <v>0.44272</v>
      </c>
      <c r="P1751" s="394">
        <v>10.45833</v>
      </c>
      <c r="Q1751" s="394"/>
      <c r="R1751" s="381" t="s">
        <v>167</v>
      </c>
      <c r="S1751" s="408" t="s">
        <v>175</v>
      </c>
      <c r="T1751" s="385"/>
      <c r="U1751" s="475">
        <v>667</v>
      </c>
      <c r="V1751" s="395"/>
      <c r="W1751" s="395">
        <f t="shared" ref="W1751:W1771" si="1012">H1751/F1751</f>
        <v>13.79814</v>
      </c>
      <c r="X1751" s="393"/>
      <c r="Y1751" s="337"/>
      <c r="Z1751" s="497"/>
      <c r="AA1751" s="544"/>
      <c r="AB1751" s="394"/>
      <c r="AC1751" s="394"/>
      <c r="AD1751" s="394"/>
      <c r="AE1751" s="394"/>
      <c r="AF1751" s="394"/>
      <c r="AG1751" s="394"/>
      <c r="AH1751" s="394"/>
      <c r="AI1751" s="394"/>
      <c r="AJ1751" s="394"/>
      <c r="AK1751" s="381"/>
      <c r="AL1751" s="408"/>
      <c r="AM1751" s="385"/>
      <c r="AN1751" s="475"/>
      <c r="AO1751" s="395"/>
      <c r="AP1751" s="395" t="e">
        <f t="shared" si="1011"/>
        <v>#DIV/0!</v>
      </c>
      <c r="AQ1751" s="393"/>
      <c r="AR1751" s="337"/>
      <c r="AS1751" s="497"/>
      <c r="AT1751" s="544"/>
      <c r="AU1751" s="394"/>
      <c r="AV1751" s="394"/>
      <c r="AW1751" s="394"/>
      <c r="AX1751" s="394"/>
      <c r="AY1751" s="394"/>
      <c r="AZ1751" s="394"/>
      <c r="BA1751" s="394"/>
      <c r="BB1751" s="394"/>
      <c r="BC1751" s="394"/>
      <c r="BD1751" s="381"/>
      <c r="BE1751" s="408"/>
      <c r="BF1751" s="385"/>
      <c r="BG1751" s="475"/>
      <c r="BH1751" s="395"/>
      <c r="BI1751" s="395" t="e">
        <f t="shared" ref="BI1751:BI1814" si="1013">AT1751/AR1751</f>
        <v>#DIV/0!</v>
      </c>
    </row>
    <row r="1752" spans="1:61" s="358" customFormat="1" ht="19.2" x14ac:dyDescent="0.3">
      <c r="A1752" s="359" t="s">
        <v>1887</v>
      </c>
      <c r="B1752" s="537" t="s">
        <v>1542</v>
      </c>
      <c r="C1752" s="546" t="s">
        <v>951</v>
      </c>
      <c r="D1752" s="360">
        <v>0.4</v>
      </c>
      <c r="E1752" s="393"/>
      <c r="F1752" s="337">
        <v>1</v>
      </c>
      <c r="G1752" s="497"/>
      <c r="H1752" s="544">
        <v>13.79813</v>
      </c>
      <c r="I1752" s="394">
        <v>11.899089999999999</v>
      </c>
      <c r="J1752" s="394">
        <v>10.45833</v>
      </c>
      <c r="K1752" s="394"/>
      <c r="L1752" s="394"/>
      <c r="M1752" s="394">
        <v>0</v>
      </c>
      <c r="N1752" s="394">
        <v>0</v>
      </c>
      <c r="O1752" s="394">
        <v>0.44272</v>
      </c>
      <c r="P1752" s="394">
        <v>10.45833</v>
      </c>
      <c r="Q1752" s="394"/>
      <c r="R1752" s="381" t="s">
        <v>167</v>
      </c>
      <c r="S1752" s="408" t="s">
        <v>175</v>
      </c>
      <c r="T1752" s="385"/>
      <c r="U1752" s="475">
        <v>668</v>
      </c>
      <c r="V1752" s="395"/>
      <c r="W1752" s="395">
        <f t="shared" si="1012"/>
        <v>13.79813</v>
      </c>
      <c r="X1752" s="393"/>
      <c r="Y1752" s="337"/>
      <c r="Z1752" s="497"/>
      <c r="AA1752" s="544"/>
      <c r="AB1752" s="394"/>
      <c r="AC1752" s="394"/>
      <c r="AD1752" s="394"/>
      <c r="AE1752" s="394"/>
      <c r="AF1752" s="394"/>
      <c r="AG1752" s="394"/>
      <c r="AH1752" s="394"/>
      <c r="AI1752" s="394"/>
      <c r="AJ1752" s="394"/>
      <c r="AK1752" s="381"/>
      <c r="AL1752" s="408"/>
      <c r="AM1752" s="385"/>
      <c r="AN1752" s="475"/>
      <c r="AO1752" s="395"/>
      <c r="AP1752" s="395" t="e">
        <f t="shared" si="1011"/>
        <v>#DIV/0!</v>
      </c>
      <c r="AQ1752" s="393"/>
      <c r="AR1752" s="337"/>
      <c r="AS1752" s="497"/>
      <c r="AT1752" s="544"/>
      <c r="AU1752" s="394"/>
      <c r="AV1752" s="394"/>
      <c r="AW1752" s="394"/>
      <c r="AX1752" s="394"/>
      <c r="AY1752" s="394"/>
      <c r="AZ1752" s="394"/>
      <c r="BA1752" s="394"/>
      <c r="BB1752" s="394"/>
      <c r="BC1752" s="394"/>
      <c r="BD1752" s="381"/>
      <c r="BE1752" s="408"/>
      <c r="BF1752" s="385"/>
      <c r="BG1752" s="475"/>
      <c r="BH1752" s="395"/>
      <c r="BI1752" s="395" t="e">
        <f t="shared" si="1013"/>
        <v>#DIV/0!</v>
      </c>
    </row>
    <row r="1753" spans="1:61" s="358" customFormat="1" ht="19.2" x14ac:dyDescent="0.3">
      <c r="A1753" s="359" t="s">
        <v>1888</v>
      </c>
      <c r="B1753" s="537" t="s">
        <v>1543</v>
      </c>
      <c r="C1753" s="546" t="s">
        <v>952</v>
      </c>
      <c r="D1753" s="360">
        <v>0.4</v>
      </c>
      <c r="E1753" s="393"/>
      <c r="F1753" s="337">
        <v>1</v>
      </c>
      <c r="G1753" s="497"/>
      <c r="H1753" s="544">
        <v>13.79814</v>
      </c>
      <c r="I1753" s="394">
        <v>11.899089999999999</v>
      </c>
      <c r="J1753" s="394">
        <v>10.45833</v>
      </c>
      <c r="K1753" s="394"/>
      <c r="L1753" s="394"/>
      <c r="M1753" s="394">
        <v>0</v>
      </c>
      <c r="N1753" s="394">
        <v>0</v>
      </c>
      <c r="O1753" s="394">
        <v>0.44272</v>
      </c>
      <c r="P1753" s="394">
        <v>10.45833</v>
      </c>
      <c r="Q1753" s="394"/>
      <c r="R1753" s="381" t="s">
        <v>167</v>
      </c>
      <c r="S1753" s="408" t="s">
        <v>175</v>
      </c>
      <c r="T1753" s="385"/>
      <c r="U1753" s="475">
        <v>669</v>
      </c>
      <c r="V1753" s="395"/>
      <c r="W1753" s="395">
        <f t="shared" si="1012"/>
        <v>13.79814</v>
      </c>
      <c r="X1753" s="393"/>
      <c r="Y1753" s="337"/>
      <c r="Z1753" s="497"/>
      <c r="AA1753" s="544"/>
      <c r="AB1753" s="394"/>
      <c r="AC1753" s="394"/>
      <c r="AD1753" s="394"/>
      <c r="AE1753" s="394"/>
      <c r="AF1753" s="394"/>
      <c r="AG1753" s="394"/>
      <c r="AH1753" s="394"/>
      <c r="AI1753" s="394"/>
      <c r="AJ1753" s="394"/>
      <c r="AK1753" s="381"/>
      <c r="AL1753" s="408"/>
      <c r="AM1753" s="385"/>
      <c r="AN1753" s="475"/>
      <c r="AO1753" s="395"/>
      <c r="AP1753" s="395" t="e">
        <f t="shared" si="1011"/>
        <v>#DIV/0!</v>
      </c>
      <c r="AQ1753" s="393"/>
      <c r="AR1753" s="337"/>
      <c r="AS1753" s="497"/>
      <c r="AT1753" s="544"/>
      <c r="AU1753" s="394"/>
      <c r="AV1753" s="394"/>
      <c r="AW1753" s="394"/>
      <c r="AX1753" s="394"/>
      <c r="AY1753" s="394"/>
      <c r="AZ1753" s="394"/>
      <c r="BA1753" s="394"/>
      <c r="BB1753" s="394"/>
      <c r="BC1753" s="394"/>
      <c r="BD1753" s="381"/>
      <c r="BE1753" s="408"/>
      <c r="BF1753" s="385"/>
      <c r="BG1753" s="475"/>
      <c r="BH1753" s="395"/>
      <c r="BI1753" s="395" t="e">
        <f t="shared" si="1013"/>
        <v>#DIV/0!</v>
      </c>
    </row>
    <row r="1754" spans="1:61" s="358" customFormat="1" ht="19.2" x14ac:dyDescent="0.3">
      <c r="A1754" s="359" t="s">
        <v>1889</v>
      </c>
      <c r="B1754" s="537" t="s">
        <v>1544</v>
      </c>
      <c r="C1754" s="546" t="s">
        <v>953</v>
      </c>
      <c r="D1754" s="360">
        <v>0.4</v>
      </c>
      <c r="E1754" s="393"/>
      <c r="F1754" s="337">
        <v>1</v>
      </c>
      <c r="G1754" s="497"/>
      <c r="H1754" s="544">
        <v>13.79813</v>
      </c>
      <c r="I1754" s="394">
        <v>11.899089999999999</v>
      </c>
      <c r="J1754" s="394">
        <v>10.45833</v>
      </c>
      <c r="K1754" s="394"/>
      <c r="L1754" s="394"/>
      <c r="M1754" s="394">
        <v>0</v>
      </c>
      <c r="N1754" s="394">
        <v>0</v>
      </c>
      <c r="O1754" s="394">
        <v>0.44272</v>
      </c>
      <c r="P1754" s="394">
        <v>10.45833</v>
      </c>
      <c r="Q1754" s="394"/>
      <c r="R1754" s="381" t="s">
        <v>167</v>
      </c>
      <c r="S1754" s="408" t="s">
        <v>175</v>
      </c>
      <c r="T1754" s="385"/>
      <c r="U1754" s="475">
        <v>670</v>
      </c>
      <c r="V1754" s="395"/>
      <c r="W1754" s="395">
        <f t="shared" si="1012"/>
        <v>13.79813</v>
      </c>
      <c r="X1754" s="393"/>
      <c r="Y1754" s="337"/>
      <c r="Z1754" s="497"/>
      <c r="AA1754" s="544"/>
      <c r="AB1754" s="394"/>
      <c r="AC1754" s="394"/>
      <c r="AD1754" s="394"/>
      <c r="AE1754" s="394"/>
      <c r="AF1754" s="394"/>
      <c r="AG1754" s="394"/>
      <c r="AH1754" s="394"/>
      <c r="AI1754" s="394"/>
      <c r="AJ1754" s="394"/>
      <c r="AK1754" s="381"/>
      <c r="AL1754" s="408"/>
      <c r="AM1754" s="385"/>
      <c r="AN1754" s="475"/>
      <c r="AO1754" s="395"/>
      <c r="AP1754" s="395" t="e">
        <f t="shared" si="1011"/>
        <v>#DIV/0!</v>
      </c>
      <c r="AQ1754" s="393"/>
      <c r="AR1754" s="337"/>
      <c r="AS1754" s="497"/>
      <c r="AT1754" s="544"/>
      <c r="AU1754" s="394"/>
      <c r="AV1754" s="394"/>
      <c r="AW1754" s="394"/>
      <c r="AX1754" s="394"/>
      <c r="AY1754" s="394"/>
      <c r="AZ1754" s="394"/>
      <c r="BA1754" s="394"/>
      <c r="BB1754" s="394"/>
      <c r="BC1754" s="394"/>
      <c r="BD1754" s="381"/>
      <c r="BE1754" s="408"/>
      <c r="BF1754" s="385"/>
      <c r="BG1754" s="475"/>
      <c r="BH1754" s="395"/>
      <c r="BI1754" s="395" t="e">
        <f t="shared" si="1013"/>
        <v>#DIV/0!</v>
      </c>
    </row>
    <row r="1755" spans="1:61" s="358" customFormat="1" ht="19.2" x14ac:dyDescent="0.3">
      <c r="A1755" s="359" t="s">
        <v>1906</v>
      </c>
      <c r="B1755" s="537" t="s">
        <v>1545</v>
      </c>
      <c r="C1755" s="546" t="s">
        <v>954</v>
      </c>
      <c r="D1755" s="360">
        <v>0.4</v>
      </c>
      <c r="E1755" s="393"/>
      <c r="F1755" s="337">
        <v>1</v>
      </c>
      <c r="G1755" s="497"/>
      <c r="H1755" s="544">
        <v>13.79814</v>
      </c>
      <c r="I1755" s="394">
        <v>11.899089999999999</v>
      </c>
      <c r="J1755" s="394">
        <v>10.45833</v>
      </c>
      <c r="K1755" s="394"/>
      <c r="L1755" s="394"/>
      <c r="M1755" s="394">
        <v>0</v>
      </c>
      <c r="N1755" s="394">
        <v>0</v>
      </c>
      <c r="O1755" s="394">
        <v>0.44272</v>
      </c>
      <c r="P1755" s="394">
        <v>10.45833</v>
      </c>
      <c r="Q1755" s="394"/>
      <c r="R1755" s="381" t="s">
        <v>167</v>
      </c>
      <c r="S1755" s="408" t="s">
        <v>175</v>
      </c>
      <c r="T1755" s="385"/>
      <c r="U1755" s="475">
        <v>671</v>
      </c>
      <c r="V1755" s="395"/>
      <c r="W1755" s="395">
        <f t="shared" si="1012"/>
        <v>13.79814</v>
      </c>
      <c r="X1755" s="393"/>
      <c r="Y1755" s="337"/>
      <c r="Z1755" s="497"/>
      <c r="AA1755" s="544"/>
      <c r="AB1755" s="394"/>
      <c r="AC1755" s="394"/>
      <c r="AD1755" s="394"/>
      <c r="AE1755" s="394"/>
      <c r="AF1755" s="394"/>
      <c r="AG1755" s="394"/>
      <c r="AH1755" s="394"/>
      <c r="AI1755" s="394"/>
      <c r="AJ1755" s="394"/>
      <c r="AK1755" s="381"/>
      <c r="AL1755" s="408"/>
      <c r="AM1755" s="385"/>
      <c r="AN1755" s="475"/>
      <c r="AO1755" s="395"/>
      <c r="AP1755" s="395" t="e">
        <f t="shared" si="1011"/>
        <v>#DIV/0!</v>
      </c>
      <c r="AQ1755" s="393"/>
      <c r="AR1755" s="337"/>
      <c r="AS1755" s="497"/>
      <c r="AT1755" s="544"/>
      <c r="AU1755" s="394"/>
      <c r="AV1755" s="394"/>
      <c r="AW1755" s="394"/>
      <c r="AX1755" s="394"/>
      <c r="AY1755" s="394"/>
      <c r="AZ1755" s="394"/>
      <c r="BA1755" s="394"/>
      <c r="BB1755" s="394"/>
      <c r="BC1755" s="394"/>
      <c r="BD1755" s="381"/>
      <c r="BE1755" s="408"/>
      <c r="BF1755" s="385"/>
      <c r="BG1755" s="475"/>
      <c r="BH1755" s="395"/>
      <c r="BI1755" s="395" t="e">
        <f t="shared" si="1013"/>
        <v>#DIV/0!</v>
      </c>
    </row>
    <row r="1756" spans="1:61" s="358" customFormat="1" ht="19.2" x14ac:dyDescent="0.3">
      <c r="A1756" s="359" t="s">
        <v>1891</v>
      </c>
      <c r="B1756" s="537" t="s">
        <v>1546</v>
      </c>
      <c r="C1756" s="546" t="s">
        <v>955</v>
      </c>
      <c r="D1756" s="360">
        <v>0.4</v>
      </c>
      <c r="E1756" s="393"/>
      <c r="F1756" s="337">
        <v>1</v>
      </c>
      <c r="G1756" s="497"/>
      <c r="H1756" s="544">
        <v>13.79813</v>
      </c>
      <c r="I1756" s="394">
        <v>11.899089999999999</v>
      </c>
      <c r="J1756" s="394">
        <v>10.45833</v>
      </c>
      <c r="K1756" s="394"/>
      <c r="L1756" s="394"/>
      <c r="M1756" s="394">
        <v>0</v>
      </c>
      <c r="N1756" s="394">
        <v>0</v>
      </c>
      <c r="O1756" s="394">
        <v>0.44272</v>
      </c>
      <c r="P1756" s="394">
        <v>10.45833</v>
      </c>
      <c r="Q1756" s="394"/>
      <c r="R1756" s="381" t="s">
        <v>167</v>
      </c>
      <c r="S1756" s="408" t="s">
        <v>175</v>
      </c>
      <c r="T1756" s="385"/>
      <c r="U1756" s="475">
        <v>672</v>
      </c>
      <c r="V1756" s="395"/>
      <c r="W1756" s="395">
        <f t="shared" si="1012"/>
        <v>13.79813</v>
      </c>
      <c r="X1756" s="393"/>
      <c r="Y1756" s="337"/>
      <c r="Z1756" s="497"/>
      <c r="AA1756" s="544"/>
      <c r="AB1756" s="394"/>
      <c r="AC1756" s="394"/>
      <c r="AD1756" s="394"/>
      <c r="AE1756" s="394"/>
      <c r="AF1756" s="394"/>
      <c r="AG1756" s="394"/>
      <c r="AH1756" s="394"/>
      <c r="AI1756" s="394"/>
      <c r="AJ1756" s="394"/>
      <c r="AK1756" s="381"/>
      <c r="AL1756" s="408"/>
      <c r="AM1756" s="385"/>
      <c r="AN1756" s="475"/>
      <c r="AO1756" s="395"/>
      <c r="AP1756" s="395" t="e">
        <f t="shared" si="1011"/>
        <v>#DIV/0!</v>
      </c>
      <c r="AQ1756" s="393"/>
      <c r="AR1756" s="337"/>
      <c r="AS1756" s="497"/>
      <c r="AT1756" s="544"/>
      <c r="AU1756" s="394"/>
      <c r="AV1756" s="394"/>
      <c r="AW1756" s="394"/>
      <c r="AX1756" s="394"/>
      <c r="AY1756" s="394"/>
      <c r="AZ1756" s="394"/>
      <c r="BA1756" s="394"/>
      <c r="BB1756" s="394"/>
      <c r="BC1756" s="394"/>
      <c r="BD1756" s="381"/>
      <c r="BE1756" s="408"/>
      <c r="BF1756" s="385"/>
      <c r="BG1756" s="475"/>
      <c r="BH1756" s="395"/>
      <c r="BI1756" s="395" t="e">
        <f t="shared" si="1013"/>
        <v>#DIV/0!</v>
      </c>
    </row>
    <row r="1757" spans="1:61" s="358" customFormat="1" ht="19.2" x14ac:dyDescent="0.3">
      <c r="A1757" s="359" t="s">
        <v>1892</v>
      </c>
      <c r="B1757" s="537" t="s">
        <v>1547</v>
      </c>
      <c r="C1757" s="546" t="s">
        <v>956</v>
      </c>
      <c r="D1757" s="360">
        <v>0.4</v>
      </c>
      <c r="E1757" s="393"/>
      <c r="F1757" s="337">
        <v>1</v>
      </c>
      <c r="G1757" s="497"/>
      <c r="H1757" s="544">
        <v>13.79814</v>
      </c>
      <c r="I1757" s="394">
        <v>11.899089999999999</v>
      </c>
      <c r="J1757" s="394">
        <v>10.45833</v>
      </c>
      <c r="K1757" s="394"/>
      <c r="L1757" s="394"/>
      <c r="M1757" s="394">
        <v>0</v>
      </c>
      <c r="N1757" s="394">
        <v>0</v>
      </c>
      <c r="O1757" s="394">
        <v>0.44272</v>
      </c>
      <c r="P1757" s="394">
        <v>10.45833</v>
      </c>
      <c r="Q1757" s="394"/>
      <c r="R1757" s="381" t="s">
        <v>167</v>
      </c>
      <c r="S1757" s="408" t="s">
        <v>175</v>
      </c>
      <c r="T1757" s="385"/>
      <c r="U1757" s="475">
        <v>673</v>
      </c>
      <c r="V1757" s="395"/>
      <c r="W1757" s="395">
        <f t="shared" si="1012"/>
        <v>13.79814</v>
      </c>
      <c r="X1757" s="393"/>
      <c r="Y1757" s="337"/>
      <c r="Z1757" s="497"/>
      <c r="AA1757" s="544"/>
      <c r="AB1757" s="394"/>
      <c r="AC1757" s="394"/>
      <c r="AD1757" s="394"/>
      <c r="AE1757" s="394"/>
      <c r="AF1757" s="394"/>
      <c r="AG1757" s="394"/>
      <c r="AH1757" s="394"/>
      <c r="AI1757" s="394"/>
      <c r="AJ1757" s="394"/>
      <c r="AK1757" s="381"/>
      <c r="AL1757" s="408"/>
      <c r="AM1757" s="385"/>
      <c r="AN1757" s="475"/>
      <c r="AO1757" s="395"/>
      <c r="AP1757" s="395" t="e">
        <f t="shared" si="1011"/>
        <v>#DIV/0!</v>
      </c>
      <c r="AQ1757" s="393"/>
      <c r="AR1757" s="337"/>
      <c r="AS1757" s="497"/>
      <c r="AT1757" s="544"/>
      <c r="AU1757" s="394"/>
      <c r="AV1757" s="394"/>
      <c r="AW1757" s="394"/>
      <c r="AX1757" s="394"/>
      <c r="AY1757" s="394"/>
      <c r="AZ1757" s="394"/>
      <c r="BA1757" s="394"/>
      <c r="BB1757" s="394"/>
      <c r="BC1757" s="394"/>
      <c r="BD1757" s="381"/>
      <c r="BE1757" s="408"/>
      <c r="BF1757" s="385"/>
      <c r="BG1757" s="475"/>
      <c r="BH1757" s="395"/>
      <c r="BI1757" s="395" t="e">
        <f t="shared" si="1013"/>
        <v>#DIV/0!</v>
      </c>
    </row>
    <row r="1758" spans="1:61" s="358" customFormat="1" ht="19.2" x14ac:dyDescent="0.3">
      <c r="A1758" s="359" t="s">
        <v>1893</v>
      </c>
      <c r="B1758" s="537" t="s">
        <v>1548</v>
      </c>
      <c r="C1758" s="546" t="s">
        <v>957</v>
      </c>
      <c r="D1758" s="360">
        <v>0.4</v>
      </c>
      <c r="E1758" s="393"/>
      <c r="F1758" s="337">
        <v>1</v>
      </c>
      <c r="G1758" s="497"/>
      <c r="H1758" s="544">
        <v>13.79813</v>
      </c>
      <c r="I1758" s="394">
        <v>11.899089999999999</v>
      </c>
      <c r="J1758" s="394">
        <v>10.45833</v>
      </c>
      <c r="K1758" s="394"/>
      <c r="L1758" s="394"/>
      <c r="M1758" s="394">
        <v>0</v>
      </c>
      <c r="N1758" s="394">
        <v>0</v>
      </c>
      <c r="O1758" s="394">
        <v>0.44272</v>
      </c>
      <c r="P1758" s="394">
        <v>10.45833</v>
      </c>
      <c r="Q1758" s="394"/>
      <c r="R1758" s="381" t="s">
        <v>167</v>
      </c>
      <c r="S1758" s="408" t="s">
        <v>175</v>
      </c>
      <c r="T1758" s="385"/>
      <c r="U1758" s="475">
        <v>674</v>
      </c>
      <c r="V1758" s="395"/>
      <c r="W1758" s="395">
        <f t="shared" si="1012"/>
        <v>13.79813</v>
      </c>
      <c r="X1758" s="393"/>
      <c r="Y1758" s="337"/>
      <c r="Z1758" s="497"/>
      <c r="AA1758" s="544"/>
      <c r="AB1758" s="394"/>
      <c r="AC1758" s="394"/>
      <c r="AD1758" s="394"/>
      <c r="AE1758" s="394"/>
      <c r="AF1758" s="394"/>
      <c r="AG1758" s="394"/>
      <c r="AH1758" s="394"/>
      <c r="AI1758" s="394"/>
      <c r="AJ1758" s="394"/>
      <c r="AK1758" s="381"/>
      <c r="AL1758" s="408"/>
      <c r="AM1758" s="385"/>
      <c r="AN1758" s="475"/>
      <c r="AO1758" s="395"/>
      <c r="AP1758" s="395" t="e">
        <f t="shared" si="1011"/>
        <v>#DIV/0!</v>
      </c>
      <c r="AQ1758" s="393"/>
      <c r="AR1758" s="337"/>
      <c r="AS1758" s="497"/>
      <c r="AT1758" s="544"/>
      <c r="AU1758" s="394"/>
      <c r="AV1758" s="394"/>
      <c r="AW1758" s="394"/>
      <c r="AX1758" s="394"/>
      <c r="AY1758" s="394"/>
      <c r="AZ1758" s="394"/>
      <c r="BA1758" s="394"/>
      <c r="BB1758" s="394"/>
      <c r="BC1758" s="394"/>
      <c r="BD1758" s="381"/>
      <c r="BE1758" s="408"/>
      <c r="BF1758" s="385"/>
      <c r="BG1758" s="475"/>
      <c r="BH1758" s="395"/>
      <c r="BI1758" s="395" t="e">
        <f t="shared" si="1013"/>
        <v>#DIV/0!</v>
      </c>
    </row>
    <row r="1759" spans="1:61" s="358" customFormat="1" ht="19.2" x14ac:dyDescent="0.3">
      <c r="A1759" s="359" t="s">
        <v>1910</v>
      </c>
      <c r="B1759" s="537" t="s">
        <v>1445</v>
      </c>
      <c r="C1759" s="546" t="s">
        <v>958</v>
      </c>
      <c r="D1759" s="360">
        <v>0.4</v>
      </c>
      <c r="E1759" s="393"/>
      <c r="F1759" s="337">
        <v>1</v>
      </c>
      <c r="G1759" s="497"/>
      <c r="H1759" s="544">
        <v>13.79814</v>
      </c>
      <c r="I1759" s="394">
        <v>11.899089999999999</v>
      </c>
      <c r="J1759" s="394">
        <v>10.45833</v>
      </c>
      <c r="K1759" s="394"/>
      <c r="L1759" s="394"/>
      <c r="M1759" s="394">
        <v>0</v>
      </c>
      <c r="N1759" s="394">
        <v>0</v>
      </c>
      <c r="O1759" s="394">
        <v>0.44272</v>
      </c>
      <c r="P1759" s="394">
        <v>10.45833</v>
      </c>
      <c r="Q1759" s="394"/>
      <c r="R1759" s="381" t="s">
        <v>167</v>
      </c>
      <c r="S1759" s="408" t="s">
        <v>175</v>
      </c>
      <c r="T1759" s="385"/>
      <c r="U1759" s="475">
        <v>675</v>
      </c>
      <c r="V1759" s="395"/>
      <c r="W1759" s="395">
        <f t="shared" si="1012"/>
        <v>13.79814</v>
      </c>
      <c r="X1759" s="393"/>
      <c r="Y1759" s="337"/>
      <c r="Z1759" s="497"/>
      <c r="AA1759" s="544"/>
      <c r="AB1759" s="394"/>
      <c r="AC1759" s="394"/>
      <c r="AD1759" s="394"/>
      <c r="AE1759" s="394"/>
      <c r="AF1759" s="394"/>
      <c r="AG1759" s="394"/>
      <c r="AH1759" s="394"/>
      <c r="AI1759" s="394"/>
      <c r="AJ1759" s="394"/>
      <c r="AK1759" s="381"/>
      <c r="AL1759" s="408"/>
      <c r="AM1759" s="385"/>
      <c r="AN1759" s="475"/>
      <c r="AO1759" s="395"/>
      <c r="AP1759" s="395" t="e">
        <f t="shared" si="1011"/>
        <v>#DIV/0!</v>
      </c>
      <c r="AQ1759" s="393"/>
      <c r="AR1759" s="337"/>
      <c r="AS1759" s="497"/>
      <c r="AT1759" s="544"/>
      <c r="AU1759" s="394"/>
      <c r="AV1759" s="394"/>
      <c r="AW1759" s="394"/>
      <c r="AX1759" s="394"/>
      <c r="AY1759" s="394"/>
      <c r="AZ1759" s="394"/>
      <c r="BA1759" s="394"/>
      <c r="BB1759" s="394"/>
      <c r="BC1759" s="394"/>
      <c r="BD1759" s="381"/>
      <c r="BE1759" s="408"/>
      <c r="BF1759" s="385"/>
      <c r="BG1759" s="475"/>
      <c r="BH1759" s="395"/>
      <c r="BI1759" s="395" t="e">
        <f t="shared" si="1013"/>
        <v>#DIV/0!</v>
      </c>
    </row>
    <row r="1760" spans="1:61" s="358" customFormat="1" ht="19.2" x14ac:dyDescent="0.3">
      <c r="A1760" s="359" t="s">
        <v>1895</v>
      </c>
      <c r="B1760" s="537" t="s">
        <v>1549</v>
      </c>
      <c r="C1760" s="546" t="s">
        <v>959</v>
      </c>
      <c r="D1760" s="360">
        <v>0.4</v>
      </c>
      <c r="E1760" s="393"/>
      <c r="F1760" s="337">
        <v>1</v>
      </c>
      <c r="G1760" s="497"/>
      <c r="H1760" s="544">
        <v>13.79813</v>
      </c>
      <c r="I1760" s="394">
        <v>11.899089999999999</v>
      </c>
      <c r="J1760" s="394">
        <v>10.45833</v>
      </c>
      <c r="K1760" s="394"/>
      <c r="L1760" s="394"/>
      <c r="M1760" s="394">
        <v>0</v>
      </c>
      <c r="N1760" s="394">
        <v>0</v>
      </c>
      <c r="O1760" s="394">
        <v>0.44272</v>
      </c>
      <c r="P1760" s="394">
        <v>10.45833</v>
      </c>
      <c r="Q1760" s="394"/>
      <c r="R1760" s="381" t="s">
        <v>167</v>
      </c>
      <c r="S1760" s="408" t="s">
        <v>175</v>
      </c>
      <c r="T1760" s="385"/>
      <c r="U1760" s="475">
        <v>676</v>
      </c>
      <c r="V1760" s="395"/>
      <c r="W1760" s="395">
        <f t="shared" si="1012"/>
        <v>13.79813</v>
      </c>
      <c r="X1760" s="393"/>
      <c r="Y1760" s="337"/>
      <c r="Z1760" s="497"/>
      <c r="AA1760" s="544"/>
      <c r="AB1760" s="394"/>
      <c r="AC1760" s="394"/>
      <c r="AD1760" s="394"/>
      <c r="AE1760" s="394"/>
      <c r="AF1760" s="394"/>
      <c r="AG1760" s="394"/>
      <c r="AH1760" s="394"/>
      <c r="AI1760" s="394"/>
      <c r="AJ1760" s="394"/>
      <c r="AK1760" s="381"/>
      <c r="AL1760" s="408"/>
      <c r="AM1760" s="385"/>
      <c r="AN1760" s="475"/>
      <c r="AO1760" s="395"/>
      <c r="AP1760" s="395" t="e">
        <f t="shared" si="1011"/>
        <v>#DIV/0!</v>
      </c>
      <c r="AQ1760" s="393"/>
      <c r="AR1760" s="337"/>
      <c r="AS1760" s="497"/>
      <c r="AT1760" s="544"/>
      <c r="AU1760" s="394"/>
      <c r="AV1760" s="394"/>
      <c r="AW1760" s="394"/>
      <c r="AX1760" s="394"/>
      <c r="AY1760" s="394"/>
      <c r="AZ1760" s="394"/>
      <c r="BA1760" s="394"/>
      <c r="BB1760" s="394"/>
      <c r="BC1760" s="394"/>
      <c r="BD1760" s="381"/>
      <c r="BE1760" s="408"/>
      <c r="BF1760" s="385"/>
      <c r="BG1760" s="475"/>
      <c r="BH1760" s="395"/>
      <c r="BI1760" s="395" t="e">
        <f t="shared" si="1013"/>
        <v>#DIV/0!</v>
      </c>
    </row>
    <row r="1761" spans="1:61" s="358" customFormat="1" ht="19.2" x14ac:dyDescent="0.3">
      <c r="A1761" s="359" t="s">
        <v>1896</v>
      </c>
      <c r="B1761" s="537" t="s">
        <v>1550</v>
      </c>
      <c r="C1761" s="546" t="s">
        <v>960</v>
      </c>
      <c r="D1761" s="360">
        <v>0.4</v>
      </c>
      <c r="E1761" s="393"/>
      <c r="F1761" s="337">
        <v>1</v>
      </c>
      <c r="G1761" s="497"/>
      <c r="H1761" s="544">
        <v>13.79814</v>
      </c>
      <c r="I1761" s="394">
        <v>11.899089999999999</v>
      </c>
      <c r="J1761" s="394">
        <v>10.45833</v>
      </c>
      <c r="K1761" s="394"/>
      <c r="L1761" s="394"/>
      <c r="M1761" s="394">
        <v>0</v>
      </c>
      <c r="N1761" s="394">
        <v>0</v>
      </c>
      <c r="O1761" s="394">
        <v>0.44272</v>
      </c>
      <c r="P1761" s="394">
        <v>10.45833</v>
      </c>
      <c r="Q1761" s="394"/>
      <c r="R1761" s="381" t="s">
        <v>167</v>
      </c>
      <c r="S1761" s="408" t="s">
        <v>175</v>
      </c>
      <c r="T1761" s="385"/>
      <c r="U1761" s="475">
        <v>677</v>
      </c>
      <c r="V1761" s="395"/>
      <c r="W1761" s="395">
        <f t="shared" si="1012"/>
        <v>13.79814</v>
      </c>
      <c r="X1761" s="393"/>
      <c r="Y1761" s="337"/>
      <c r="Z1761" s="497"/>
      <c r="AA1761" s="544"/>
      <c r="AB1761" s="394"/>
      <c r="AC1761" s="394"/>
      <c r="AD1761" s="394"/>
      <c r="AE1761" s="394"/>
      <c r="AF1761" s="394"/>
      <c r="AG1761" s="394"/>
      <c r="AH1761" s="394"/>
      <c r="AI1761" s="394"/>
      <c r="AJ1761" s="394"/>
      <c r="AK1761" s="381"/>
      <c r="AL1761" s="408"/>
      <c r="AM1761" s="385"/>
      <c r="AN1761" s="475"/>
      <c r="AO1761" s="395"/>
      <c r="AP1761" s="395" t="e">
        <f t="shared" si="1011"/>
        <v>#DIV/0!</v>
      </c>
      <c r="AQ1761" s="393"/>
      <c r="AR1761" s="337"/>
      <c r="AS1761" s="497"/>
      <c r="AT1761" s="544"/>
      <c r="AU1761" s="394"/>
      <c r="AV1761" s="394"/>
      <c r="AW1761" s="394"/>
      <c r="AX1761" s="394"/>
      <c r="AY1761" s="394"/>
      <c r="AZ1761" s="394"/>
      <c r="BA1761" s="394"/>
      <c r="BB1761" s="394"/>
      <c r="BC1761" s="394"/>
      <c r="BD1761" s="381"/>
      <c r="BE1761" s="408"/>
      <c r="BF1761" s="385"/>
      <c r="BG1761" s="475"/>
      <c r="BH1761" s="395"/>
      <c r="BI1761" s="395" t="e">
        <f t="shared" si="1013"/>
        <v>#DIV/0!</v>
      </c>
    </row>
    <row r="1762" spans="1:61" s="358" customFormat="1" ht="19.2" x14ac:dyDescent="0.3">
      <c r="A1762" s="359" t="s">
        <v>1881</v>
      </c>
      <c r="B1762" s="537" t="s">
        <v>1551</v>
      </c>
      <c r="C1762" s="546" t="s">
        <v>961</v>
      </c>
      <c r="D1762" s="360">
        <v>0.4</v>
      </c>
      <c r="E1762" s="393"/>
      <c r="F1762" s="337">
        <v>1</v>
      </c>
      <c r="G1762" s="497"/>
      <c r="H1762" s="544">
        <v>13.79813</v>
      </c>
      <c r="I1762" s="394">
        <v>11.899089999999999</v>
      </c>
      <c r="J1762" s="394">
        <v>10.45833</v>
      </c>
      <c r="K1762" s="394"/>
      <c r="L1762" s="394"/>
      <c r="M1762" s="394">
        <v>0</v>
      </c>
      <c r="N1762" s="394">
        <v>0</v>
      </c>
      <c r="O1762" s="394">
        <v>0.44272</v>
      </c>
      <c r="P1762" s="394">
        <v>10.45833</v>
      </c>
      <c r="Q1762" s="394"/>
      <c r="R1762" s="381" t="s">
        <v>167</v>
      </c>
      <c r="S1762" s="408" t="s">
        <v>175</v>
      </c>
      <c r="T1762" s="385"/>
      <c r="U1762" s="475">
        <v>678</v>
      </c>
      <c r="V1762" s="395"/>
      <c r="W1762" s="395">
        <f t="shared" si="1012"/>
        <v>13.79813</v>
      </c>
      <c r="X1762" s="393"/>
      <c r="Y1762" s="337"/>
      <c r="Z1762" s="497"/>
      <c r="AA1762" s="544"/>
      <c r="AB1762" s="394"/>
      <c r="AC1762" s="394"/>
      <c r="AD1762" s="394"/>
      <c r="AE1762" s="394"/>
      <c r="AF1762" s="394"/>
      <c r="AG1762" s="394"/>
      <c r="AH1762" s="394"/>
      <c r="AI1762" s="394"/>
      <c r="AJ1762" s="394"/>
      <c r="AK1762" s="381"/>
      <c r="AL1762" s="408"/>
      <c r="AM1762" s="385"/>
      <c r="AN1762" s="475"/>
      <c r="AO1762" s="395"/>
      <c r="AP1762" s="395" t="e">
        <f t="shared" si="1011"/>
        <v>#DIV/0!</v>
      </c>
      <c r="AQ1762" s="393"/>
      <c r="AR1762" s="337"/>
      <c r="AS1762" s="497"/>
      <c r="AT1762" s="544"/>
      <c r="AU1762" s="394"/>
      <c r="AV1762" s="394"/>
      <c r="AW1762" s="394"/>
      <c r="AX1762" s="394"/>
      <c r="AY1762" s="394"/>
      <c r="AZ1762" s="394"/>
      <c r="BA1762" s="394"/>
      <c r="BB1762" s="394"/>
      <c r="BC1762" s="394"/>
      <c r="BD1762" s="381"/>
      <c r="BE1762" s="408"/>
      <c r="BF1762" s="385"/>
      <c r="BG1762" s="475"/>
      <c r="BH1762" s="395"/>
      <c r="BI1762" s="395" t="e">
        <f t="shared" si="1013"/>
        <v>#DIV/0!</v>
      </c>
    </row>
    <row r="1763" spans="1:61" s="358" customFormat="1" ht="19.2" x14ac:dyDescent="0.3">
      <c r="A1763" s="359" t="s">
        <v>1898</v>
      </c>
      <c r="B1763" s="537" t="s">
        <v>1552</v>
      </c>
      <c r="C1763" s="546" t="s">
        <v>962</v>
      </c>
      <c r="D1763" s="360">
        <v>0.4</v>
      </c>
      <c r="E1763" s="393"/>
      <c r="F1763" s="337">
        <v>1</v>
      </c>
      <c r="G1763" s="497"/>
      <c r="H1763" s="544">
        <v>13.79815</v>
      </c>
      <c r="I1763" s="394">
        <v>11.899089999999999</v>
      </c>
      <c r="J1763" s="394">
        <v>10.45833</v>
      </c>
      <c r="K1763" s="394"/>
      <c r="L1763" s="394"/>
      <c r="M1763" s="394">
        <v>0</v>
      </c>
      <c r="N1763" s="394">
        <v>0</v>
      </c>
      <c r="O1763" s="394">
        <v>0.44272</v>
      </c>
      <c r="P1763" s="394">
        <v>10.45833</v>
      </c>
      <c r="Q1763" s="394"/>
      <c r="R1763" s="381" t="s">
        <v>167</v>
      </c>
      <c r="S1763" s="408" t="s">
        <v>175</v>
      </c>
      <c r="T1763" s="385"/>
      <c r="U1763" s="475">
        <v>679</v>
      </c>
      <c r="V1763" s="395"/>
      <c r="W1763" s="395">
        <f t="shared" si="1012"/>
        <v>13.79815</v>
      </c>
      <c r="X1763" s="393"/>
      <c r="Y1763" s="337"/>
      <c r="Z1763" s="497"/>
      <c r="AA1763" s="544"/>
      <c r="AB1763" s="394"/>
      <c r="AC1763" s="394"/>
      <c r="AD1763" s="394"/>
      <c r="AE1763" s="394"/>
      <c r="AF1763" s="394"/>
      <c r="AG1763" s="394"/>
      <c r="AH1763" s="394"/>
      <c r="AI1763" s="394"/>
      <c r="AJ1763" s="394"/>
      <c r="AK1763" s="381"/>
      <c r="AL1763" s="408"/>
      <c r="AM1763" s="385"/>
      <c r="AN1763" s="475"/>
      <c r="AO1763" s="395"/>
      <c r="AP1763" s="395" t="e">
        <f t="shared" si="1011"/>
        <v>#DIV/0!</v>
      </c>
      <c r="AQ1763" s="393"/>
      <c r="AR1763" s="337"/>
      <c r="AS1763" s="497"/>
      <c r="AT1763" s="544"/>
      <c r="AU1763" s="394"/>
      <c r="AV1763" s="394"/>
      <c r="AW1763" s="394"/>
      <c r="AX1763" s="394"/>
      <c r="AY1763" s="394"/>
      <c r="AZ1763" s="394"/>
      <c r="BA1763" s="394"/>
      <c r="BB1763" s="394"/>
      <c r="BC1763" s="394"/>
      <c r="BD1763" s="381"/>
      <c r="BE1763" s="408"/>
      <c r="BF1763" s="385"/>
      <c r="BG1763" s="475"/>
      <c r="BH1763" s="395"/>
      <c r="BI1763" s="395" t="e">
        <f t="shared" si="1013"/>
        <v>#DIV/0!</v>
      </c>
    </row>
    <row r="1764" spans="1:61" s="358" customFormat="1" ht="19.2" x14ac:dyDescent="0.3">
      <c r="A1764" s="359" t="s">
        <v>1899</v>
      </c>
      <c r="B1764" s="537" t="s">
        <v>574</v>
      </c>
      <c r="C1764" s="546" t="s">
        <v>443</v>
      </c>
      <c r="D1764" s="360">
        <v>0.4</v>
      </c>
      <c r="E1764" s="393"/>
      <c r="F1764" s="337">
        <v>1</v>
      </c>
      <c r="G1764" s="497"/>
      <c r="H1764" s="544">
        <v>13.79813</v>
      </c>
      <c r="I1764" s="394">
        <v>11.899089999999999</v>
      </c>
      <c r="J1764" s="394">
        <v>10.45833</v>
      </c>
      <c r="K1764" s="394"/>
      <c r="L1764" s="394"/>
      <c r="M1764" s="394">
        <v>0</v>
      </c>
      <c r="N1764" s="394">
        <v>0</v>
      </c>
      <c r="O1764" s="394">
        <v>0.44272</v>
      </c>
      <c r="P1764" s="394">
        <v>10.45833</v>
      </c>
      <c r="Q1764" s="394"/>
      <c r="R1764" s="381" t="s">
        <v>167</v>
      </c>
      <c r="S1764" s="408" t="s">
        <v>175</v>
      </c>
      <c r="T1764" s="385"/>
      <c r="U1764" s="475">
        <v>680</v>
      </c>
      <c r="V1764" s="395"/>
      <c r="W1764" s="395">
        <f t="shared" si="1012"/>
        <v>13.79813</v>
      </c>
      <c r="X1764" s="393"/>
      <c r="Y1764" s="337"/>
      <c r="Z1764" s="497"/>
      <c r="AA1764" s="544"/>
      <c r="AB1764" s="394"/>
      <c r="AC1764" s="394"/>
      <c r="AD1764" s="394"/>
      <c r="AE1764" s="394"/>
      <c r="AF1764" s="394"/>
      <c r="AG1764" s="394"/>
      <c r="AH1764" s="394"/>
      <c r="AI1764" s="394"/>
      <c r="AJ1764" s="394"/>
      <c r="AK1764" s="381"/>
      <c r="AL1764" s="408"/>
      <c r="AM1764" s="385"/>
      <c r="AN1764" s="475"/>
      <c r="AO1764" s="395"/>
      <c r="AP1764" s="395" t="e">
        <f t="shared" si="1011"/>
        <v>#DIV/0!</v>
      </c>
      <c r="AQ1764" s="393"/>
      <c r="AR1764" s="337"/>
      <c r="AS1764" s="497"/>
      <c r="AT1764" s="544"/>
      <c r="AU1764" s="394"/>
      <c r="AV1764" s="394"/>
      <c r="AW1764" s="394"/>
      <c r="AX1764" s="394"/>
      <c r="AY1764" s="394"/>
      <c r="AZ1764" s="394"/>
      <c r="BA1764" s="394"/>
      <c r="BB1764" s="394"/>
      <c r="BC1764" s="394"/>
      <c r="BD1764" s="381"/>
      <c r="BE1764" s="408"/>
      <c r="BF1764" s="385"/>
      <c r="BG1764" s="475"/>
      <c r="BH1764" s="395"/>
      <c r="BI1764" s="395" t="e">
        <f t="shared" si="1013"/>
        <v>#DIV/0!</v>
      </c>
    </row>
    <row r="1765" spans="1:61" s="358" customFormat="1" ht="19.2" x14ac:dyDescent="0.3">
      <c r="A1765" s="359" t="s">
        <v>1900</v>
      </c>
      <c r="B1765" s="537" t="s">
        <v>1553</v>
      </c>
      <c r="C1765" s="546" t="s">
        <v>963</v>
      </c>
      <c r="D1765" s="360">
        <v>0.4</v>
      </c>
      <c r="E1765" s="393"/>
      <c r="F1765" s="337">
        <v>1</v>
      </c>
      <c r="G1765" s="497"/>
      <c r="H1765" s="544">
        <v>13.79815</v>
      </c>
      <c r="I1765" s="394">
        <v>11.899089999999999</v>
      </c>
      <c r="J1765" s="394">
        <v>10.45833</v>
      </c>
      <c r="K1765" s="394"/>
      <c r="L1765" s="394"/>
      <c r="M1765" s="394">
        <v>0</v>
      </c>
      <c r="N1765" s="394">
        <v>0</v>
      </c>
      <c r="O1765" s="394">
        <v>0.44272</v>
      </c>
      <c r="P1765" s="394">
        <v>10.45833</v>
      </c>
      <c r="Q1765" s="394"/>
      <c r="R1765" s="381" t="s">
        <v>167</v>
      </c>
      <c r="S1765" s="408" t="s">
        <v>175</v>
      </c>
      <c r="T1765" s="385"/>
      <c r="U1765" s="475">
        <v>681</v>
      </c>
      <c r="V1765" s="395"/>
      <c r="W1765" s="395">
        <f t="shared" si="1012"/>
        <v>13.79815</v>
      </c>
      <c r="X1765" s="393"/>
      <c r="Y1765" s="337"/>
      <c r="Z1765" s="497"/>
      <c r="AA1765" s="544"/>
      <c r="AB1765" s="394"/>
      <c r="AC1765" s="394"/>
      <c r="AD1765" s="394"/>
      <c r="AE1765" s="394"/>
      <c r="AF1765" s="394"/>
      <c r="AG1765" s="394"/>
      <c r="AH1765" s="394"/>
      <c r="AI1765" s="394"/>
      <c r="AJ1765" s="394"/>
      <c r="AK1765" s="381"/>
      <c r="AL1765" s="408"/>
      <c r="AM1765" s="385"/>
      <c r="AN1765" s="475"/>
      <c r="AO1765" s="395"/>
      <c r="AP1765" s="395" t="e">
        <f t="shared" si="1011"/>
        <v>#DIV/0!</v>
      </c>
      <c r="AQ1765" s="393"/>
      <c r="AR1765" s="337"/>
      <c r="AS1765" s="497"/>
      <c r="AT1765" s="544"/>
      <c r="AU1765" s="394"/>
      <c r="AV1765" s="394"/>
      <c r="AW1765" s="394"/>
      <c r="AX1765" s="394"/>
      <c r="AY1765" s="394"/>
      <c r="AZ1765" s="394"/>
      <c r="BA1765" s="394"/>
      <c r="BB1765" s="394"/>
      <c r="BC1765" s="394"/>
      <c r="BD1765" s="381"/>
      <c r="BE1765" s="408"/>
      <c r="BF1765" s="385"/>
      <c r="BG1765" s="475"/>
      <c r="BH1765" s="395"/>
      <c r="BI1765" s="395" t="e">
        <f t="shared" si="1013"/>
        <v>#DIV/0!</v>
      </c>
    </row>
    <row r="1766" spans="1:61" s="358" customFormat="1" ht="19.2" x14ac:dyDescent="0.3">
      <c r="A1766" s="359" t="s">
        <v>1901</v>
      </c>
      <c r="B1766" s="537" t="s">
        <v>1554</v>
      </c>
      <c r="C1766" s="546" t="s">
        <v>964</v>
      </c>
      <c r="D1766" s="360">
        <v>0.4</v>
      </c>
      <c r="E1766" s="393"/>
      <c r="F1766" s="337">
        <v>1</v>
      </c>
      <c r="G1766" s="497"/>
      <c r="H1766" s="544">
        <v>13.79813</v>
      </c>
      <c r="I1766" s="394">
        <v>11.899089999999999</v>
      </c>
      <c r="J1766" s="394">
        <v>10.45833</v>
      </c>
      <c r="K1766" s="394"/>
      <c r="L1766" s="394"/>
      <c r="M1766" s="394">
        <v>0</v>
      </c>
      <c r="N1766" s="394">
        <v>0</v>
      </c>
      <c r="O1766" s="394">
        <v>0.44272</v>
      </c>
      <c r="P1766" s="394">
        <v>10.45833</v>
      </c>
      <c r="Q1766" s="394"/>
      <c r="R1766" s="381" t="s">
        <v>167</v>
      </c>
      <c r="S1766" s="408" t="s">
        <v>175</v>
      </c>
      <c r="T1766" s="385"/>
      <c r="U1766" s="475">
        <v>682</v>
      </c>
      <c r="V1766" s="395"/>
      <c r="W1766" s="395">
        <f t="shared" si="1012"/>
        <v>13.79813</v>
      </c>
      <c r="X1766" s="393"/>
      <c r="Y1766" s="337"/>
      <c r="Z1766" s="497"/>
      <c r="AA1766" s="544"/>
      <c r="AB1766" s="394"/>
      <c r="AC1766" s="394"/>
      <c r="AD1766" s="394"/>
      <c r="AE1766" s="394"/>
      <c r="AF1766" s="394"/>
      <c r="AG1766" s="394"/>
      <c r="AH1766" s="394"/>
      <c r="AI1766" s="394"/>
      <c r="AJ1766" s="394"/>
      <c r="AK1766" s="381"/>
      <c r="AL1766" s="408"/>
      <c r="AM1766" s="385"/>
      <c r="AN1766" s="475"/>
      <c r="AO1766" s="395"/>
      <c r="AP1766" s="395" t="e">
        <f t="shared" si="1011"/>
        <v>#DIV/0!</v>
      </c>
      <c r="AQ1766" s="393"/>
      <c r="AR1766" s="337"/>
      <c r="AS1766" s="497"/>
      <c r="AT1766" s="544"/>
      <c r="AU1766" s="394"/>
      <c r="AV1766" s="394"/>
      <c r="AW1766" s="394"/>
      <c r="AX1766" s="394"/>
      <c r="AY1766" s="394"/>
      <c r="AZ1766" s="394"/>
      <c r="BA1766" s="394"/>
      <c r="BB1766" s="394"/>
      <c r="BC1766" s="394"/>
      <c r="BD1766" s="381"/>
      <c r="BE1766" s="408"/>
      <c r="BF1766" s="385"/>
      <c r="BG1766" s="475"/>
      <c r="BH1766" s="395"/>
      <c r="BI1766" s="395" t="e">
        <f t="shared" si="1013"/>
        <v>#DIV/0!</v>
      </c>
    </row>
    <row r="1767" spans="1:61" s="358" customFormat="1" ht="19.2" x14ac:dyDescent="0.3">
      <c r="A1767" s="359" t="s">
        <v>1902</v>
      </c>
      <c r="B1767" s="537" t="s">
        <v>1555</v>
      </c>
      <c r="C1767" s="546" t="s">
        <v>965</v>
      </c>
      <c r="D1767" s="360">
        <v>0.4</v>
      </c>
      <c r="E1767" s="393"/>
      <c r="F1767" s="337">
        <v>1</v>
      </c>
      <c r="G1767" s="497"/>
      <c r="H1767" s="544">
        <v>13.79815</v>
      </c>
      <c r="I1767" s="394">
        <v>11.899089999999999</v>
      </c>
      <c r="J1767" s="394">
        <v>10.45833</v>
      </c>
      <c r="K1767" s="394"/>
      <c r="L1767" s="394"/>
      <c r="M1767" s="394">
        <v>0</v>
      </c>
      <c r="N1767" s="394">
        <v>0</v>
      </c>
      <c r="O1767" s="394">
        <v>0.44272</v>
      </c>
      <c r="P1767" s="394">
        <v>10.45833</v>
      </c>
      <c r="Q1767" s="394"/>
      <c r="R1767" s="381" t="s">
        <v>167</v>
      </c>
      <c r="S1767" s="408" t="s">
        <v>175</v>
      </c>
      <c r="T1767" s="385"/>
      <c r="U1767" s="475">
        <v>683</v>
      </c>
      <c r="V1767" s="395"/>
      <c r="W1767" s="395">
        <f t="shared" si="1012"/>
        <v>13.79815</v>
      </c>
      <c r="X1767" s="393"/>
      <c r="Y1767" s="337"/>
      <c r="Z1767" s="497"/>
      <c r="AA1767" s="544"/>
      <c r="AB1767" s="394"/>
      <c r="AC1767" s="394"/>
      <c r="AD1767" s="394"/>
      <c r="AE1767" s="394"/>
      <c r="AF1767" s="394"/>
      <c r="AG1767" s="394"/>
      <c r="AH1767" s="394"/>
      <c r="AI1767" s="394"/>
      <c r="AJ1767" s="394"/>
      <c r="AK1767" s="381"/>
      <c r="AL1767" s="408"/>
      <c r="AM1767" s="385"/>
      <c r="AN1767" s="475"/>
      <c r="AO1767" s="395"/>
      <c r="AP1767" s="395" t="e">
        <f t="shared" si="1011"/>
        <v>#DIV/0!</v>
      </c>
      <c r="AQ1767" s="393"/>
      <c r="AR1767" s="337"/>
      <c r="AS1767" s="497"/>
      <c r="AT1767" s="544"/>
      <c r="AU1767" s="394"/>
      <c r="AV1767" s="394"/>
      <c r="AW1767" s="394"/>
      <c r="AX1767" s="394"/>
      <c r="AY1767" s="394"/>
      <c r="AZ1767" s="394"/>
      <c r="BA1767" s="394"/>
      <c r="BB1767" s="394"/>
      <c r="BC1767" s="394"/>
      <c r="BD1767" s="381"/>
      <c r="BE1767" s="408"/>
      <c r="BF1767" s="385"/>
      <c r="BG1767" s="475"/>
      <c r="BH1767" s="395"/>
      <c r="BI1767" s="395" t="e">
        <f t="shared" si="1013"/>
        <v>#DIV/0!</v>
      </c>
    </row>
    <row r="1768" spans="1:61" s="358" customFormat="1" ht="19.2" x14ac:dyDescent="0.3">
      <c r="A1768" s="359" t="s">
        <v>1903</v>
      </c>
      <c r="B1768" s="537" t="s">
        <v>1556</v>
      </c>
      <c r="C1768" s="546" t="s">
        <v>966</v>
      </c>
      <c r="D1768" s="360">
        <v>0.4</v>
      </c>
      <c r="E1768" s="393"/>
      <c r="F1768" s="337">
        <v>1</v>
      </c>
      <c r="G1768" s="497"/>
      <c r="H1768" s="544">
        <v>13.79814</v>
      </c>
      <c r="I1768" s="394">
        <v>11.899089999999999</v>
      </c>
      <c r="J1768" s="394">
        <v>10.45833</v>
      </c>
      <c r="K1768" s="394"/>
      <c r="L1768" s="394"/>
      <c r="M1768" s="394">
        <v>0</v>
      </c>
      <c r="N1768" s="394">
        <v>0</v>
      </c>
      <c r="O1768" s="394">
        <v>0.44272</v>
      </c>
      <c r="P1768" s="394">
        <v>10.45833</v>
      </c>
      <c r="Q1768" s="394"/>
      <c r="R1768" s="381" t="s">
        <v>167</v>
      </c>
      <c r="S1768" s="408" t="s">
        <v>175</v>
      </c>
      <c r="T1768" s="385"/>
      <c r="U1768" s="475">
        <v>684</v>
      </c>
      <c r="V1768" s="395"/>
      <c r="W1768" s="395">
        <f t="shared" si="1012"/>
        <v>13.79814</v>
      </c>
      <c r="X1768" s="393"/>
      <c r="Y1768" s="337"/>
      <c r="Z1768" s="497"/>
      <c r="AA1768" s="544"/>
      <c r="AB1768" s="394"/>
      <c r="AC1768" s="394"/>
      <c r="AD1768" s="394"/>
      <c r="AE1768" s="394"/>
      <c r="AF1768" s="394"/>
      <c r="AG1768" s="394"/>
      <c r="AH1768" s="394"/>
      <c r="AI1768" s="394"/>
      <c r="AJ1768" s="394"/>
      <c r="AK1768" s="381"/>
      <c r="AL1768" s="408"/>
      <c r="AM1768" s="385"/>
      <c r="AN1768" s="475"/>
      <c r="AO1768" s="395"/>
      <c r="AP1768" s="395" t="e">
        <f t="shared" si="1011"/>
        <v>#DIV/0!</v>
      </c>
      <c r="AQ1768" s="393"/>
      <c r="AR1768" s="337"/>
      <c r="AS1768" s="497"/>
      <c r="AT1768" s="544"/>
      <c r="AU1768" s="394"/>
      <c r="AV1768" s="394"/>
      <c r="AW1768" s="394"/>
      <c r="AX1768" s="394"/>
      <c r="AY1768" s="394"/>
      <c r="AZ1768" s="394"/>
      <c r="BA1768" s="394"/>
      <c r="BB1768" s="394"/>
      <c r="BC1768" s="394"/>
      <c r="BD1768" s="381"/>
      <c r="BE1768" s="408"/>
      <c r="BF1768" s="385"/>
      <c r="BG1768" s="475"/>
      <c r="BH1768" s="395"/>
      <c r="BI1768" s="395" t="e">
        <f t="shared" si="1013"/>
        <v>#DIV/0!</v>
      </c>
    </row>
    <row r="1769" spans="1:61" s="358" customFormat="1" ht="19.2" x14ac:dyDescent="0.3">
      <c r="A1769" s="359" t="s">
        <v>1904</v>
      </c>
      <c r="B1769" s="537" t="s">
        <v>568</v>
      </c>
      <c r="C1769" s="546" t="s">
        <v>437</v>
      </c>
      <c r="D1769" s="360">
        <v>0.4</v>
      </c>
      <c r="E1769" s="393"/>
      <c r="F1769" s="337">
        <v>1</v>
      </c>
      <c r="G1769" s="497"/>
      <c r="H1769" s="544">
        <v>13.66718</v>
      </c>
      <c r="I1769" s="394">
        <v>11.768140000000001</v>
      </c>
      <c r="J1769" s="394">
        <v>10.45833</v>
      </c>
      <c r="K1769" s="394"/>
      <c r="L1769" s="394"/>
      <c r="M1769" s="394">
        <v>0</v>
      </c>
      <c r="N1769" s="394">
        <v>0</v>
      </c>
      <c r="O1769" s="394">
        <v>0.44272</v>
      </c>
      <c r="P1769" s="394">
        <v>10.45833</v>
      </c>
      <c r="Q1769" s="394"/>
      <c r="R1769" s="381" t="s">
        <v>167</v>
      </c>
      <c r="S1769" s="408" t="s">
        <v>175</v>
      </c>
      <c r="T1769" s="385"/>
      <c r="U1769" s="475">
        <v>685</v>
      </c>
      <c r="V1769" s="395"/>
      <c r="W1769" s="395">
        <f t="shared" si="1012"/>
        <v>13.66718</v>
      </c>
      <c r="X1769" s="393"/>
      <c r="Y1769" s="337"/>
      <c r="Z1769" s="497"/>
      <c r="AA1769" s="544"/>
      <c r="AB1769" s="394"/>
      <c r="AC1769" s="394"/>
      <c r="AD1769" s="394"/>
      <c r="AE1769" s="394"/>
      <c r="AF1769" s="394"/>
      <c r="AG1769" s="394"/>
      <c r="AH1769" s="394"/>
      <c r="AI1769" s="394"/>
      <c r="AJ1769" s="394"/>
      <c r="AK1769" s="381"/>
      <c r="AL1769" s="408"/>
      <c r="AM1769" s="385"/>
      <c r="AN1769" s="475"/>
      <c r="AO1769" s="395"/>
      <c r="AP1769" s="395" t="e">
        <f t="shared" si="1011"/>
        <v>#DIV/0!</v>
      </c>
      <c r="AQ1769" s="393"/>
      <c r="AR1769" s="337"/>
      <c r="AS1769" s="497"/>
      <c r="AT1769" s="544"/>
      <c r="AU1769" s="394"/>
      <c r="AV1769" s="394"/>
      <c r="AW1769" s="394"/>
      <c r="AX1769" s="394"/>
      <c r="AY1769" s="394"/>
      <c r="AZ1769" s="394"/>
      <c r="BA1769" s="394"/>
      <c r="BB1769" s="394"/>
      <c r="BC1769" s="394"/>
      <c r="BD1769" s="381"/>
      <c r="BE1769" s="408"/>
      <c r="BF1769" s="385"/>
      <c r="BG1769" s="475"/>
      <c r="BH1769" s="395"/>
      <c r="BI1769" s="395" t="e">
        <f t="shared" si="1013"/>
        <v>#DIV/0!</v>
      </c>
    </row>
    <row r="1770" spans="1:61" s="358" customFormat="1" ht="19.2" x14ac:dyDescent="0.3">
      <c r="A1770" s="359" t="s">
        <v>1905</v>
      </c>
      <c r="B1770" s="537" t="s">
        <v>1557</v>
      </c>
      <c r="C1770" s="546" t="s">
        <v>967</v>
      </c>
      <c r="D1770" s="360">
        <v>0.4</v>
      </c>
      <c r="E1770" s="393"/>
      <c r="F1770" s="337">
        <v>1</v>
      </c>
      <c r="G1770" s="497"/>
      <c r="H1770" s="544">
        <v>13.66718</v>
      </c>
      <c r="I1770" s="394">
        <v>11.768140000000001</v>
      </c>
      <c r="J1770" s="394">
        <v>10.45833</v>
      </c>
      <c r="K1770" s="394"/>
      <c r="L1770" s="394"/>
      <c r="M1770" s="394">
        <v>0</v>
      </c>
      <c r="N1770" s="394">
        <v>0</v>
      </c>
      <c r="O1770" s="394">
        <v>0.44272</v>
      </c>
      <c r="P1770" s="394">
        <v>10.45833</v>
      </c>
      <c r="Q1770" s="394"/>
      <c r="R1770" s="381" t="s">
        <v>167</v>
      </c>
      <c r="S1770" s="408" t="s">
        <v>175</v>
      </c>
      <c r="T1770" s="385"/>
      <c r="U1770" s="475">
        <v>686</v>
      </c>
      <c r="V1770" s="395"/>
      <c r="W1770" s="395">
        <f t="shared" si="1012"/>
        <v>13.66718</v>
      </c>
      <c r="X1770" s="393"/>
      <c r="Y1770" s="337"/>
      <c r="Z1770" s="497"/>
      <c r="AA1770" s="544"/>
      <c r="AB1770" s="394"/>
      <c r="AC1770" s="394"/>
      <c r="AD1770" s="394"/>
      <c r="AE1770" s="394"/>
      <c r="AF1770" s="394"/>
      <c r="AG1770" s="394"/>
      <c r="AH1770" s="394"/>
      <c r="AI1770" s="394"/>
      <c r="AJ1770" s="394"/>
      <c r="AK1770" s="381"/>
      <c r="AL1770" s="408"/>
      <c r="AM1770" s="385"/>
      <c r="AN1770" s="475"/>
      <c r="AO1770" s="395"/>
      <c r="AP1770" s="395" t="e">
        <f t="shared" si="1011"/>
        <v>#DIV/0!</v>
      </c>
      <c r="AQ1770" s="393"/>
      <c r="AR1770" s="337"/>
      <c r="AS1770" s="497"/>
      <c r="AT1770" s="544"/>
      <c r="AU1770" s="394"/>
      <c r="AV1770" s="394"/>
      <c r="AW1770" s="394"/>
      <c r="AX1770" s="394"/>
      <c r="AY1770" s="394"/>
      <c r="AZ1770" s="394"/>
      <c r="BA1770" s="394"/>
      <c r="BB1770" s="394"/>
      <c r="BC1770" s="394"/>
      <c r="BD1770" s="381"/>
      <c r="BE1770" s="408"/>
      <c r="BF1770" s="385"/>
      <c r="BG1770" s="475"/>
      <c r="BH1770" s="395"/>
      <c r="BI1770" s="395" t="e">
        <f t="shared" si="1013"/>
        <v>#DIV/0!</v>
      </c>
    </row>
    <row r="1771" spans="1:61" s="358" customFormat="1" ht="19.2" x14ac:dyDescent="0.3">
      <c r="A1771" s="359" t="s">
        <v>1922</v>
      </c>
      <c r="B1771" s="537" t="s">
        <v>1558</v>
      </c>
      <c r="C1771" s="546" t="s">
        <v>968</v>
      </c>
      <c r="D1771" s="360">
        <v>0.4</v>
      </c>
      <c r="E1771" s="393"/>
      <c r="F1771" s="337">
        <v>1</v>
      </c>
      <c r="G1771" s="497"/>
      <c r="H1771" s="544">
        <v>13.692500000000001</v>
      </c>
      <c r="I1771" s="394">
        <v>11.79346</v>
      </c>
      <c r="J1771" s="394">
        <v>10.45834</v>
      </c>
      <c r="K1771" s="394"/>
      <c r="L1771" s="394"/>
      <c r="M1771" s="394">
        <v>0</v>
      </c>
      <c r="N1771" s="394">
        <v>0</v>
      </c>
      <c r="O1771" s="394">
        <v>0.44272</v>
      </c>
      <c r="P1771" s="394">
        <v>10.45834</v>
      </c>
      <c r="Q1771" s="394"/>
      <c r="R1771" s="381" t="s">
        <v>167</v>
      </c>
      <c r="S1771" s="408" t="s">
        <v>175</v>
      </c>
      <c r="T1771" s="385"/>
      <c r="U1771" s="475">
        <v>687</v>
      </c>
      <c r="V1771" s="395"/>
      <c r="W1771" s="395">
        <f t="shared" si="1012"/>
        <v>13.692500000000001</v>
      </c>
      <c r="X1771" s="393"/>
      <c r="Y1771" s="337"/>
      <c r="Z1771" s="497"/>
      <c r="AA1771" s="544"/>
      <c r="AB1771" s="394"/>
      <c r="AC1771" s="394"/>
      <c r="AD1771" s="394"/>
      <c r="AE1771" s="394"/>
      <c r="AF1771" s="394"/>
      <c r="AG1771" s="394"/>
      <c r="AH1771" s="394"/>
      <c r="AI1771" s="394"/>
      <c r="AJ1771" s="394"/>
      <c r="AK1771" s="381"/>
      <c r="AL1771" s="408"/>
      <c r="AM1771" s="385"/>
      <c r="AN1771" s="475"/>
      <c r="AO1771" s="395"/>
      <c r="AP1771" s="395" t="e">
        <f t="shared" si="1011"/>
        <v>#DIV/0!</v>
      </c>
      <c r="AQ1771" s="393"/>
      <c r="AR1771" s="337"/>
      <c r="AS1771" s="497"/>
      <c r="AT1771" s="544"/>
      <c r="AU1771" s="394"/>
      <c r="AV1771" s="394"/>
      <c r="AW1771" s="394"/>
      <c r="AX1771" s="394"/>
      <c r="AY1771" s="394"/>
      <c r="AZ1771" s="394"/>
      <c r="BA1771" s="394"/>
      <c r="BB1771" s="394"/>
      <c r="BC1771" s="394"/>
      <c r="BD1771" s="381"/>
      <c r="BE1771" s="408"/>
      <c r="BF1771" s="385"/>
      <c r="BG1771" s="475"/>
      <c r="BH1771" s="395"/>
      <c r="BI1771" s="395" t="e">
        <f t="shared" si="1013"/>
        <v>#DIV/0!</v>
      </c>
    </row>
    <row r="1772" spans="1:61" s="358" customFormat="1" ht="19.2" x14ac:dyDescent="0.3">
      <c r="A1772" s="359" t="s">
        <v>1907</v>
      </c>
      <c r="B1772" s="537" t="s">
        <v>1559</v>
      </c>
      <c r="C1772" s="546" t="s">
        <v>969</v>
      </c>
      <c r="D1772" s="360">
        <v>0.4</v>
      </c>
      <c r="E1772" s="393"/>
      <c r="F1772" s="337">
        <v>1</v>
      </c>
      <c r="G1772" s="497"/>
      <c r="H1772" s="544">
        <v>13.66718</v>
      </c>
      <c r="I1772" s="394">
        <v>11.768140000000001</v>
      </c>
      <c r="J1772" s="394">
        <v>10.45833</v>
      </c>
      <c r="K1772" s="394"/>
      <c r="L1772" s="394"/>
      <c r="M1772" s="394">
        <v>0</v>
      </c>
      <c r="N1772" s="394">
        <v>0</v>
      </c>
      <c r="O1772" s="394">
        <v>0.44272</v>
      </c>
      <c r="P1772" s="394">
        <v>10.45833</v>
      </c>
      <c r="Q1772" s="394"/>
      <c r="R1772" s="381" t="s">
        <v>167</v>
      </c>
      <c r="S1772" s="408" t="s">
        <v>175</v>
      </c>
      <c r="T1772" s="385"/>
      <c r="U1772" s="475">
        <v>688</v>
      </c>
      <c r="V1772" s="395"/>
      <c r="W1772" s="395">
        <f t="shared" si="1010"/>
        <v>13.66718</v>
      </c>
      <c r="X1772" s="393"/>
      <c r="Y1772" s="337"/>
      <c r="Z1772" s="497"/>
      <c r="AA1772" s="544"/>
      <c r="AB1772" s="394"/>
      <c r="AC1772" s="394"/>
      <c r="AD1772" s="394"/>
      <c r="AE1772" s="394"/>
      <c r="AF1772" s="394"/>
      <c r="AG1772" s="394"/>
      <c r="AH1772" s="394"/>
      <c r="AI1772" s="394"/>
      <c r="AJ1772" s="394"/>
      <c r="AK1772" s="381"/>
      <c r="AL1772" s="408"/>
      <c r="AM1772" s="385"/>
      <c r="AN1772" s="475"/>
      <c r="AO1772" s="395"/>
      <c r="AP1772" s="395" t="e">
        <f t="shared" si="1011"/>
        <v>#DIV/0!</v>
      </c>
      <c r="AQ1772" s="393"/>
      <c r="AR1772" s="337"/>
      <c r="AS1772" s="497"/>
      <c r="AT1772" s="544"/>
      <c r="AU1772" s="394"/>
      <c r="AV1772" s="394"/>
      <c r="AW1772" s="394"/>
      <c r="AX1772" s="394"/>
      <c r="AY1772" s="394"/>
      <c r="AZ1772" s="394"/>
      <c r="BA1772" s="394"/>
      <c r="BB1772" s="394"/>
      <c r="BC1772" s="394"/>
      <c r="BD1772" s="381"/>
      <c r="BE1772" s="408"/>
      <c r="BF1772" s="385"/>
      <c r="BG1772" s="475"/>
      <c r="BH1772" s="395"/>
      <c r="BI1772" s="395" t="e">
        <f t="shared" si="1013"/>
        <v>#DIV/0!</v>
      </c>
    </row>
    <row r="1773" spans="1:61" s="358" customFormat="1" ht="19.2" x14ac:dyDescent="0.3">
      <c r="A1773" s="359" t="s">
        <v>1908</v>
      </c>
      <c r="B1773" s="537" t="s">
        <v>1560</v>
      </c>
      <c r="C1773" s="546" t="s">
        <v>970</v>
      </c>
      <c r="D1773" s="360">
        <v>0.4</v>
      </c>
      <c r="E1773" s="393"/>
      <c r="F1773" s="337">
        <v>1</v>
      </c>
      <c r="G1773" s="497"/>
      <c r="H1773" s="544">
        <v>13.66718</v>
      </c>
      <c r="I1773" s="394">
        <v>11.768140000000001</v>
      </c>
      <c r="J1773" s="394">
        <v>10.45833</v>
      </c>
      <c r="K1773" s="394"/>
      <c r="L1773" s="394"/>
      <c r="M1773" s="394">
        <v>0</v>
      </c>
      <c r="N1773" s="394">
        <v>0</v>
      </c>
      <c r="O1773" s="394">
        <v>0.44272</v>
      </c>
      <c r="P1773" s="394">
        <v>10.45833</v>
      </c>
      <c r="Q1773" s="394"/>
      <c r="R1773" s="381" t="s">
        <v>167</v>
      </c>
      <c r="S1773" s="408" t="s">
        <v>175</v>
      </c>
      <c r="T1773" s="385"/>
      <c r="U1773" s="475">
        <v>689</v>
      </c>
      <c r="V1773" s="395"/>
      <c r="W1773" s="395">
        <f t="shared" si="1010"/>
        <v>13.66718</v>
      </c>
      <c r="X1773" s="393"/>
      <c r="Y1773" s="337"/>
      <c r="Z1773" s="497"/>
      <c r="AA1773" s="544"/>
      <c r="AB1773" s="394"/>
      <c r="AC1773" s="394"/>
      <c r="AD1773" s="394"/>
      <c r="AE1773" s="394"/>
      <c r="AF1773" s="394"/>
      <c r="AG1773" s="394"/>
      <c r="AH1773" s="394"/>
      <c r="AI1773" s="394"/>
      <c r="AJ1773" s="394"/>
      <c r="AK1773" s="381"/>
      <c r="AL1773" s="408"/>
      <c r="AM1773" s="385"/>
      <c r="AN1773" s="475"/>
      <c r="AO1773" s="395"/>
      <c r="AP1773" s="395" t="e">
        <f t="shared" si="1011"/>
        <v>#DIV/0!</v>
      </c>
      <c r="AQ1773" s="393"/>
      <c r="AR1773" s="337"/>
      <c r="AS1773" s="497"/>
      <c r="AT1773" s="544"/>
      <c r="AU1773" s="394"/>
      <c r="AV1773" s="394"/>
      <c r="AW1773" s="394"/>
      <c r="AX1773" s="394"/>
      <c r="AY1773" s="394"/>
      <c r="AZ1773" s="394"/>
      <c r="BA1773" s="394"/>
      <c r="BB1773" s="394"/>
      <c r="BC1773" s="394"/>
      <c r="BD1773" s="381"/>
      <c r="BE1773" s="408"/>
      <c r="BF1773" s="385"/>
      <c r="BG1773" s="475"/>
      <c r="BH1773" s="395"/>
      <c r="BI1773" s="395" t="e">
        <f t="shared" si="1013"/>
        <v>#DIV/0!</v>
      </c>
    </row>
    <row r="1774" spans="1:61" s="358" customFormat="1" ht="19.2" x14ac:dyDescent="0.3">
      <c r="A1774" s="359" t="s">
        <v>1909</v>
      </c>
      <c r="B1774" s="537" t="s">
        <v>1561</v>
      </c>
      <c r="C1774" s="546" t="s">
        <v>971</v>
      </c>
      <c r="D1774" s="360">
        <v>0.4</v>
      </c>
      <c r="E1774" s="393"/>
      <c r="F1774" s="337">
        <v>1</v>
      </c>
      <c r="G1774" s="497"/>
      <c r="H1774" s="544">
        <v>13.66718</v>
      </c>
      <c r="I1774" s="394">
        <v>11.768140000000001</v>
      </c>
      <c r="J1774" s="394">
        <v>10.45833</v>
      </c>
      <c r="K1774" s="394"/>
      <c r="L1774" s="394"/>
      <c r="M1774" s="394">
        <v>0</v>
      </c>
      <c r="N1774" s="394">
        <v>0</v>
      </c>
      <c r="O1774" s="394">
        <v>0.44272</v>
      </c>
      <c r="P1774" s="394">
        <v>10.45833</v>
      </c>
      <c r="Q1774" s="394"/>
      <c r="R1774" s="381" t="s">
        <v>167</v>
      </c>
      <c r="S1774" s="408" t="s">
        <v>175</v>
      </c>
      <c r="T1774" s="385"/>
      <c r="U1774" s="475">
        <v>690</v>
      </c>
      <c r="V1774" s="395"/>
      <c r="W1774" s="395">
        <f t="shared" si="1010"/>
        <v>13.66718</v>
      </c>
      <c r="X1774" s="393"/>
      <c r="Y1774" s="337"/>
      <c r="Z1774" s="497"/>
      <c r="AA1774" s="544"/>
      <c r="AB1774" s="394"/>
      <c r="AC1774" s="394"/>
      <c r="AD1774" s="394"/>
      <c r="AE1774" s="394"/>
      <c r="AF1774" s="394"/>
      <c r="AG1774" s="394"/>
      <c r="AH1774" s="394"/>
      <c r="AI1774" s="394"/>
      <c r="AJ1774" s="394"/>
      <c r="AK1774" s="381"/>
      <c r="AL1774" s="408"/>
      <c r="AM1774" s="385"/>
      <c r="AN1774" s="475"/>
      <c r="AO1774" s="395"/>
      <c r="AP1774" s="395" t="e">
        <f t="shared" si="1011"/>
        <v>#DIV/0!</v>
      </c>
      <c r="AQ1774" s="393"/>
      <c r="AR1774" s="337"/>
      <c r="AS1774" s="497"/>
      <c r="AT1774" s="544"/>
      <c r="AU1774" s="394"/>
      <c r="AV1774" s="394"/>
      <c r="AW1774" s="394"/>
      <c r="AX1774" s="394"/>
      <c r="AY1774" s="394"/>
      <c r="AZ1774" s="394"/>
      <c r="BA1774" s="394"/>
      <c r="BB1774" s="394"/>
      <c r="BC1774" s="394"/>
      <c r="BD1774" s="381"/>
      <c r="BE1774" s="408"/>
      <c r="BF1774" s="385"/>
      <c r="BG1774" s="475"/>
      <c r="BH1774" s="395"/>
      <c r="BI1774" s="395" t="e">
        <f t="shared" si="1013"/>
        <v>#DIV/0!</v>
      </c>
    </row>
    <row r="1775" spans="1:61" s="358" customFormat="1" ht="19.2" x14ac:dyDescent="0.3">
      <c r="A1775" s="359" t="s">
        <v>1926</v>
      </c>
      <c r="B1775" s="537" t="s">
        <v>1562</v>
      </c>
      <c r="C1775" s="546" t="s">
        <v>972</v>
      </c>
      <c r="D1775" s="360">
        <v>0.4</v>
      </c>
      <c r="E1775" s="393"/>
      <c r="F1775" s="337">
        <v>1</v>
      </c>
      <c r="G1775" s="497"/>
      <c r="H1775" s="544">
        <v>13.66718</v>
      </c>
      <c r="I1775" s="394">
        <v>11.768140000000001</v>
      </c>
      <c r="J1775" s="394">
        <v>10.45833</v>
      </c>
      <c r="K1775" s="394"/>
      <c r="L1775" s="394"/>
      <c r="M1775" s="394">
        <v>0</v>
      </c>
      <c r="N1775" s="394">
        <v>0</v>
      </c>
      <c r="O1775" s="394">
        <v>0.44272</v>
      </c>
      <c r="P1775" s="394">
        <v>10.45833</v>
      </c>
      <c r="Q1775" s="394"/>
      <c r="R1775" s="381" t="s">
        <v>167</v>
      </c>
      <c r="S1775" s="408" t="s">
        <v>175</v>
      </c>
      <c r="T1775" s="385"/>
      <c r="U1775" s="475">
        <v>691</v>
      </c>
      <c r="V1775" s="395"/>
      <c r="W1775" s="395">
        <f t="shared" si="1010"/>
        <v>13.66718</v>
      </c>
      <c r="X1775" s="393"/>
      <c r="Y1775" s="337"/>
      <c r="Z1775" s="497"/>
      <c r="AA1775" s="544"/>
      <c r="AB1775" s="394"/>
      <c r="AC1775" s="394"/>
      <c r="AD1775" s="394"/>
      <c r="AE1775" s="394"/>
      <c r="AF1775" s="394"/>
      <c r="AG1775" s="394"/>
      <c r="AH1775" s="394"/>
      <c r="AI1775" s="394"/>
      <c r="AJ1775" s="394"/>
      <c r="AK1775" s="381"/>
      <c r="AL1775" s="408"/>
      <c r="AM1775" s="385"/>
      <c r="AN1775" s="475"/>
      <c r="AO1775" s="395"/>
      <c r="AP1775" s="395" t="e">
        <f t="shared" si="1011"/>
        <v>#DIV/0!</v>
      </c>
      <c r="AQ1775" s="393"/>
      <c r="AR1775" s="337"/>
      <c r="AS1775" s="497"/>
      <c r="AT1775" s="544"/>
      <c r="AU1775" s="394"/>
      <c r="AV1775" s="394"/>
      <c r="AW1775" s="394"/>
      <c r="AX1775" s="394"/>
      <c r="AY1775" s="394"/>
      <c r="AZ1775" s="394"/>
      <c r="BA1775" s="394"/>
      <c r="BB1775" s="394"/>
      <c r="BC1775" s="394"/>
      <c r="BD1775" s="381"/>
      <c r="BE1775" s="408"/>
      <c r="BF1775" s="385"/>
      <c r="BG1775" s="475"/>
      <c r="BH1775" s="395"/>
      <c r="BI1775" s="395" t="e">
        <f t="shared" si="1013"/>
        <v>#DIV/0!</v>
      </c>
    </row>
    <row r="1776" spans="1:61" s="358" customFormat="1" ht="19.2" x14ac:dyDescent="0.3">
      <c r="A1776" s="359" t="s">
        <v>1911</v>
      </c>
      <c r="B1776" s="537" t="s">
        <v>1563</v>
      </c>
      <c r="C1776" s="546" t="s">
        <v>973</v>
      </c>
      <c r="D1776" s="360">
        <v>0.4</v>
      </c>
      <c r="E1776" s="393"/>
      <c r="F1776" s="337">
        <v>1</v>
      </c>
      <c r="G1776" s="497"/>
      <c r="H1776" s="544">
        <v>13.66718</v>
      </c>
      <c r="I1776" s="394">
        <v>11.768140000000001</v>
      </c>
      <c r="J1776" s="394">
        <v>10.45833</v>
      </c>
      <c r="K1776" s="394"/>
      <c r="L1776" s="394"/>
      <c r="M1776" s="394">
        <v>0</v>
      </c>
      <c r="N1776" s="394">
        <v>0</v>
      </c>
      <c r="O1776" s="394">
        <v>0.44272</v>
      </c>
      <c r="P1776" s="394">
        <v>10.45833</v>
      </c>
      <c r="Q1776" s="394"/>
      <c r="R1776" s="381" t="s">
        <v>167</v>
      </c>
      <c r="S1776" s="408" t="s">
        <v>175</v>
      </c>
      <c r="T1776" s="385"/>
      <c r="U1776" s="475">
        <v>692</v>
      </c>
      <c r="V1776" s="395"/>
      <c r="W1776" s="395">
        <f t="shared" si="1010"/>
        <v>13.66718</v>
      </c>
      <c r="X1776" s="393"/>
      <c r="Y1776" s="337"/>
      <c r="Z1776" s="497"/>
      <c r="AA1776" s="544"/>
      <c r="AB1776" s="394"/>
      <c r="AC1776" s="394"/>
      <c r="AD1776" s="394"/>
      <c r="AE1776" s="394"/>
      <c r="AF1776" s="394"/>
      <c r="AG1776" s="394"/>
      <c r="AH1776" s="394"/>
      <c r="AI1776" s="394"/>
      <c r="AJ1776" s="394"/>
      <c r="AK1776" s="381"/>
      <c r="AL1776" s="408"/>
      <c r="AM1776" s="385"/>
      <c r="AN1776" s="475"/>
      <c r="AO1776" s="395"/>
      <c r="AP1776" s="395" t="e">
        <f t="shared" si="1011"/>
        <v>#DIV/0!</v>
      </c>
      <c r="AQ1776" s="393"/>
      <c r="AR1776" s="337"/>
      <c r="AS1776" s="497"/>
      <c r="AT1776" s="544"/>
      <c r="AU1776" s="394"/>
      <c r="AV1776" s="394"/>
      <c r="AW1776" s="394"/>
      <c r="AX1776" s="394"/>
      <c r="AY1776" s="394"/>
      <c r="AZ1776" s="394"/>
      <c r="BA1776" s="394"/>
      <c r="BB1776" s="394"/>
      <c r="BC1776" s="394"/>
      <c r="BD1776" s="381"/>
      <c r="BE1776" s="408"/>
      <c r="BF1776" s="385"/>
      <c r="BG1776" s="475"/>
      <c r="BH1776" s="395"/>
      <c r="BI1776" s="395" t="e">
        <f t="shared" si="1013"/>
        <v>#DIV/0!</v>
      </c>
    </row>
    <row r="1777" spans="1:61" s="358" customFormat="1" ht="19.2" x14ac:dyDescent="0.3">
      <c r="A1777" s="359" t="s">
        <v>1912</v>
      </c>
      <c r="B1777" s="537" t="s">
        <v>1564</v>
      </c>
      <c r="C1777" s="546" t="s">
        <v>974</v>
      </c>
      <c r="D1777" s="360">
        <v>0.4</v>
      </c>
      <c r="E1777" s="393"/>
      <c r="F1777" s="337">
        <v>1</v>
      </c>
      <c r="G1777" s="497"/>
      <c r="H1777" s="544">
        <v>13.66718</v>
      </c>
      <c r="I1777" s="394">
        <v>11.768140000000001</v>
      </c>
      <c r="J1777" s="394">
        <v>10.45833</v>
      </c>
      <c r="K1777" s="394"/>
      <c r="L1777" s="394"/>
      <c r="M1777" s="394">
        <v>0</v>
      </c>
      <c r="N1777" s="394">
        <v>0</v>
      </c>
      <c r="O1777" s="394">
        <v>0.44272</v>
      </c>
      <c r="P1777" s="394">
        <v>10.45833</v>
      </c>
      <c r="Q1777" s="394"/>
      <c r="R1777" s="381" t="s">
        <v>167</v>
      </c>
      <c r="S1777" s="408" t="s">
        <v>175</v>
      </c>
      <c r="T1777" s="385"/>
      <c r="U1777" s="475">
        <v>693</v>
      </c>
      <c r="V1777" s="395"/>
      <c r="W1777" s="395">
        <f t="shared" si="1010"/>
        <v>13.66718</v>
      </c>
      <c r="X1777" s="393"/>
      <c r="Y1777" s="337"/>
      <c r="Z1777" s="497"/>
      <c r="AA1777" s="544"/>
      <c r="AB1777" s="394"/>
      <c r="AC1777" s="394"/>
      <c r="AD1777" s="394"/>
      <c r="AE1777" s="394"/>
      <c r="AF1777" s="394"/>
      <c r="AG1777" s="394"/>
      <c r="AH1777" s="394"/>
      <c r="AI1777" s="394"/>
      <c r="AJ1777" s="394"/>
      <c r="AK1777" s="381"/>
      <c r="AL1777" s="408"/>
      <c r="AM1777" s="385"/>
      <c r="AN1777" s="475"/>
      <c r="AO1777" s="395"/>
      <c r="AP1777" s="395" t="e">
        <f t="shared" si="1011"/>
        <v>#DIV/0!</v>
      </c>
      <c r="AQ1777" s="393"/>
      <c r="AR1777" s="337"/>
      <c r="AS1777" s="497"/>
      <c r="AT1777" s="544"/>
      <c r="AU1777" s="394"/>
      <c r="AV1777" s="394"/>
      <c r="AW1777" s="394"/>
      <c r="AX1777" s="394"/>
      <c r="AY1777" s="394"/>
      <c r="AZ1777" s="394"/>
      <c r="BA1777" s="394"/>
      <c r="BB1777" s="394"/>
      <c r="BC1777" s="394"/>
      <c r="BD1777" s="381"/>
      <c r="BE1777" s="408"/>
      <c r="BF1777" s="385"/>
      <c r="BG1777" s="475"/>
      <c r="BH1777" s="395"/>
      <c r="BI1777" s="395" t="e">
        <f t="shared" si="1013"/>
        <v>#DIV/0!</v>
      </c>
    </row>
    <row r="1778" spans="1:61" s="358" customFormat="1" ht="19.2" x14ac:dyDescent="0.3">
      <c r="A1778" s="359" t="s">
        <v>1897</v>
      </c>
      <c r="B1778" s="537" t="s">
        <v>1565</v>
      </c>
      <c r="C1778" s="546" t="s">
        <v>975</v>
      </c>
      <c r="D1778" s="360">
        <v>0.4</v>
      </c>
      <c r="E1778" s="393"/>
      <c r="F1778" s="337">
        <v>1</v>
      </c>
      <c r="G1778" s="497"/>
      <c r="H1778" s="544">
        <v>13.66718</v>
      </c>
      <c r="I1778" s="394">
        <v>11.768140000000001</v>
      </c>
      <c r="J1778" s="394">
        <v>10.45833</v>
      </c>
      <c r="K1778" s="394"/>
      <c r="L1778" s="394"/>
      <c r="M1778" s="394">
        <v>0</v>
      </c>
      <c r="N1778" s="394">
        <v>0</v>
      </c>
      <c r="O1778" s="394">
        <v>0.44272</v>
      </c>
      <c r="P1778" s="394">
        <v>10.45833</v>
      </c>
      <c r="Q1778" s="394"/>
      <c r="R1778" s="381" t="s">
        <v>167</v>
      </c>
      <c r="S1778" s="408" t="s">
        <v>175</v>
      </c>
      <c r="T1778" s="385"/>
      <c r="U1778" s="475">
        <v>694</v>
      </c>
      <c r="V1778" s="395"/>
      <c r="W1778" s="395">
        <f t="shared" si="1010"/>
        <v>13.66718</v>
      </c>
      <c r="X1778" s="393"/>
      <c r="Y1778" s="337"/>
      <c r="Z1778" s="497"/>
      <c r="AA1778" s="544"/>
      <c r="AB1778" s="394"/>
      <c r="AC1778" s="394"/>
      <c r="AD1778" s="394"/>
      <c r="AE1778" s="394"/>
      <c r="AF1778" s="394"/>
      <c r="AG1778" s="394"/>
      <c r="AH1778" s="394"/>
      <c r="AI1778" s="394"/>
      <c r="AJ1778" s="394"/>
      <c r="AK1778" s="381"/>
      <c r="AL1778" s="408"/>
      <c r="AM1778" s="385"/>
      <c r="AN1778" s="475"/>
      <c r="AO1778" s="395"/>
      <c r="AP1778" s="395" t="e">
        <f t="shared" si="1011"/>
        <v>#DIV/0!</v>
      </c>
      <c r="AQ1778" s="393"/>
      <c r="AR1778" s="337"/>
      <c r="AS1778" s="497"/>
      <c r="AT1778" s="544"/>
      <c r="AU1778" s="394"/>
      <c r="AV1778" s="394"/>
      <c r="AW1778" s="394"/>
      <c r="AX1778" s="394"/>
      <c r="AY1778" s="394"/>
      <c r="AZ1778" s="394"/>
      <c r="BA1778" s="394"/>
      <c r="BB1778" s="394"/>
      <c r="BC1778" s="394"/>
      <c r="BD1778" s="381"/>
      <c r="BE1778" s="408"/>
      <c r="BF1778" s="385"/>
      <c r="BG1778" s="475"/>
      <c r="BH1778" s="395"/>
      <c r="BI1778" s="395" t="e">
        <f t="shared" si="1013"/>
        <v>#DIV/0!</v>
      </c>
    </row>
    <row r="1779" spans="1:61" s="358" customFormat="1" ht="19.2" x14ac:dyDescent="0.3">
      <c r="A1779" s="359" t="s">
        <v>1914</v>
      </c>
      <c r="B1779" s="537" t="s">
        <v>1566</v>
      </c>
      <c r="C1779" s="546" t="s">
        <v>976</v>
      </c>
      <c r="D1779" s="360">
        <v>0.4</v>
      </c>
      <c r="E1779" s="393"/>
      <c r="F1779" s="337">
        <v>1</v>
      </c>
      <c r="G1779" s="497"/>
      <c r="H1779" s="544">
        <v>13.66718</v>
      </c>
      <c r="I1779" s="394">
        <v>11.768140000000001</v>
      </c>
      <c r="J1779" s="394">
        <v>10.45833</v>
      </c>
      <c r="K1779" s="394"/>
      <c r="L1779" s="394"/>
      <c r="M1779" s="394">
        <v>0</v>
      </c>
      <c r="N1779" s="394">
        <v>0</v>
      </c>
      <c r="O1779" s="394">
        <v>0.44272</v>
      </c>
      <c r="P1779" s="394">
        <v>10.45833</v>
      </c>
      <c r="Q1779" s="394"/>
      <c r="R1779" s="381" t="s">
        <v>167</v>
      </c>
      <c r="S1779" s="408" t="s">
        <v>175</v>
      </c>
      <c r="T1779" s="385"/>
      <c r="U1779" s="475">
        <v>695</v>
      </c>
      <c r="V1779" s="395"/>
      <c r="W1779" s="395">
        <f t="shared" si="1010"/>
        <v>13.66718</v>
      </c>
      <c r="X1779" s="393"/>
      <c r="Y1779" s="337"/>
      <c r="Z1779" s="497"/>
      <c r="AA1779" s="544"/>
      <c r="AB1779" s="394"/>
      <c r="AC1779" s="394"/>
      <c r="AD1779" s="394"/>
      <c r="AE1779" s="394"/>
      <c r="AF1779" s="394"/>
      <c r="AG1779" s="394"/>
      <c r="AH1779" s="394"/>
      <c r="AI1779" s="394"/>
      <c r="AJ1779" s="394"/>
      <c r="AK1779" s="381"/>
      <c r="AL1779" s="408"/>
      <c r="AM1779" s="385"/>
      <c r="AN1779" s="475"/>
      <c r="AO1779" s="395"/>
      <c r="AP1779" s="395" t="e">
        <f t="shared" si="1011"/>
        <v>#DIV/0!</v>
      </c>
      <c r="AQ1779" s="393"/>
      <c r="AR1779" s="337"/>
      <c r="AS1779" s="497"/>
      <c r="AT1779" s="544"/>
      <c r="AU1779" s="394"/>
      <c r="AV1779" s="394"/>
      <c r="AW1779" s="394"/>
      <c r="AX1779" s="394"/>
      <c r="AY1779" s="394"/>
      <c r="AZ1779" s="394"/>
      <c r="BA1779" s="394"/>
      <c r="BB1779" s="394"/>
      <c r="BC1779" s="394"/>
      <c r="BD1779" s="381"/>
      <c r="BE1779" s="408"/>
      <c r="BF1779" s="385"/>
      <c r="BG1779" s="475"/>
      <c r="BH1779" s="395"/>
      <c r="BI1779" s="395" t="e">
        <f t="shared" si="1013"/>
        <v>#DIV/0!</v>
      </c>
    </row>
    <row r="1780" spans="1:61" s="358" customFormat="1" ht="19.2" x14ac:dyDescent="0.3">
      <c r="A1780" s="359" t="s">
        <v>1915</v>
      </c>
      <c r="B1780" s="537" t="s">
        <v>1567</v>
      </c>
      <c r="C1780" s="546" t="s">
        <v>977</v>
      </c>
      <c r="D1780" s="360">
        <v>0.4</v>
      </c>
      <c r="E1780" s="393"/>
      <c r="F1780" s="337">
        <v>1</v>
      </c>
      <c r="G1780" s="497"/>
      <c r="H1780" s="544">
        <v>13.66718</v>
      </c>
      <c r="I1780" s="394">
        <v>11.768140000000001</v>
      </c>
      <c r="J1780" s="394">
        <v>10.45833</v>
      </c>
      <c r="K1780" s="394"/>
      <c r="L1780" s="394"/>
      <c r="M1780" s="394">
        <v>0</v>
      </c>
      <c r="N1780" s="394">
        <v>0</v>
      </c>
      <c r="O1780" s="394">
        <v>0.44272</v>
      </c>
      <c r="P1780" s="394">
        <v>10.45833</v>
      </c>
      <c r="Q1780" s="394"/>
      <c r="R1780" s="381" t="s">
        <v>167</v>
      </c>
      <c r="S1780" s="408" t="s">
        <v>175</v>
      </c>
      <c r="T1780" s="385"/>
      <c r="U1780" s="475">
        <v>696</v>
      </c>
      <c r="V1780" s="395"/>
      <c r="W1780" s="395">
        <f t="shared" si="1010"/>
        <v>13.66718</v>
      </c>
      <c r="X1780" s="393"/>
      <c r="Y1780" s="337"/>
      <c r="Z1780" s="497"/>
      <c r="AA1780" s="544"/>
      <c r="AB1780" s="394"/>
      <c r="AC1780" s="394"/>
      <c r="AD1780" s="394"/>
      <c r="AE1780" s="394"/>
      <c r="AF1780" s="394"/>
      <c r="AG1780" s="394"/>
      <c r="AH1780" s="394"/>
      <c r="AI1780" s="394"/>
      <c r="AJ1780" s="394"/>
      <c r="AK1780" s="381"/>
      <c r="AL1780" s="408"/>
      <c r="AM1780" s="385"/>
      <c r="AN1780" s="475"/>
      <c r="AO1780" s="395"/>
      <c r="AP1780" s="395" t="e">
        <f t="shared" si="1011"/>
        <v>#DIV/0!</v>
      </c>
      <c r="AQ1780" s="393"/>
      <c r="AR1780" s="337"/>
      <c r="AS1780" s="497"/>
      <c r="AT1780" s="544"/>
      <c r="AU1780" s="394"/>
      <c r="AV1780" s="394"/>
      <c r="AW1780" s="394"/>
      <c r="AX1780" s="394"/>
      <c r="AY1780" s="394"/>
      <c r="AZ1780" s="394"/>
      <c r="BA1780" s="394"/>
      <c r="BB1780" s="394"/>
      <c r="BC1780" s="394"/>
      <c r="BD1780" s="381"/>
      <c r="BE1780" s="408"/>
      <c r="BF1780" s="385"/>
      <c r="BG1780" s="475"/>
      <c r="BH1780" s="395"/>
      <c r="BI1780" s="395" t="e">
        <f t="shared" si="1013"/>
        <v>#DIV/0!</v>
      </c>
    </row>
    <row r="1781" spans="1:61" s="358" customFormat="1" ht="19.2" x14ac:dyDescent="0.3">
      <c r="A1781" s="359" t="s">
        <v>1916</v>
      </c>
      <c r="B1781" s="537" t="s">
        <v>1568</v>
      </c>
      <c r="C1781" s="546" t="s">
        <v>978</v>
      </c>
      <c r="D1781" s="360">
        <v>0.4</v>
      </c>
      <c r="E1781" s="393"/>
      <c r="F1781" s="337">
        <v>1</v>
      </c>
      <c r="G1781" s="497"/>
      <c r="H1781" s="544">
        <v>13.692500000000001</v>
      </c>
      <c r="I1781" s="394">
        <v>11.79346</v>
      </c>
      <c r="J1781" s="394">
        <v>10.45834</v>
      </c>
      <c r="K1781" s="394"/>
      <c r="L1781" s="394"/>
      <c r="M1781" s="394">
        <v>0</v>
      </c>
      <c r="N1781" s="394">
        <v>0</v>
      </c>
      <c r="O1781" s="394">
        <v>0.44272</v>
      </c>
      <c r="P1781" s="394">
        <v>10.45834</v>
      </c>
      <c r="Q1781" s="394"/>
      <c r="R1781" s="381" t="s">
        <v>167</v>
      </c>
      <c r="S1781" s="408" t="s">
        <v>175</v>
      </c>
      <c r="T1781" s="385"/>
      <c r="U1781" s="475">
        <v>697</v>
      </c>
      <c r="V1781" s="395"/>
      <c r="W1781" s="395">
        <f t="shared" si="1010"/>
        <v>13.692500000000001</v>
      </c>
      <c r="X1781" s="393"/>
      <c r="Y1781" s="337"/>
      <c r="Z1781" s="497"/>
      <c r="AA1781" s="544"/>
      <c r="AB1781" s="394"/>
      <c r="AC1781" s="394"/>
      <c r="AD1781" s="394"/>
      <c r="AE1781" s="394"/>
      <c r="AF1781" s="394"/>
      <c r="AG1781" s="394"/>
      <c r="AH1781" s="394"/>
      <c r="AI1781" s="394"/>
      <c r="AJ1781" s="394"/>
      <c r="AK1781" s="381"/>
      <c r="AL1781" s="408"/>
      <c r="AM1781" s="385"/>
      <c r="AN1781" s="475"/>
      <c r="AO1781" s="395"/>
      <c r="AP1781" s="395" t="e">
        <f t="shared" si="1011"/>
        <v>#DIV/0!</v>
      </c>
      <c r="AQ1781" s="393"/>
      <c r="AR1781" s="337"/>
      <c r="AS1781" s="497"/>
      <c r="AT1781" s="544"/>
      <c r="AU1781" s="394"/>
      <c r="AV1781" s="394"/>
      <c r="AW1781" s="394"/>
      <c r="AX1781" s="394"/>
      <c r="AY1781" s="394"/>
      <c r="AZ1781" s="394"/>
      <c r="BA1781" s="394"/>
      <c r="BB1781" s="394"/>
      <c r="BC1781" s="394"/>
      <c r="BD1781" s="381"/>
      <c r="BE1781" s="408"/>
      <c r="BF1781" s="385"/>
      <c r="BG1781" s="475"/>
      <c r="BH1781" s="395"/>
      <c r="BI1781" s="395" t="e">
        <f t="shared" si="1013"/>
        <v>#DIV/0!</v>
      </c>
    </row>
    <row r="1782" spans="1:61" s="358" customFormat="1" ht="19.2" x14ac:dyDescent="0.3">
      <c r="A1782" s="359" t="s">
        <v>1917</v>
      </c>
      <c r="B1782" s="537" t="s">
        <v>1569</v>
      </c>
      <c r="C1782" s="546" t="s">
        <v>979</v>
      </c>
      <c r="D1782" s="360">
        <v>0.4</v>
      </c>
      <c r="E1782" s="393"/>
      <c r="F1782" s="337">
        <v>1</v>
      </c>
      <c r="G1782" s="497"/>
      <c r="H1782" s="544">
        <v>13.692500000000001</v>
      </c>
      <c r="I1782" s="394">
        <v>11.79346</v>
      </c>
      <c r="J1782" s="394">
        <v>10.45834</v>
      </c>
      <c r="K1782" s="394"/>
      <c r="L1782" s="394"/>
      <c r="M1782" s="394">
        <v>0</v>
      </c>
      <c r="N1782" s="394">
        <v>0</v>
      </c>
      <c r="O1782" s="394">
        <v>0.44272</v>
      </c>
      <c r="P1782" s="394">
        <v>10.45834</v>
      </c>
      <c r="Q1782" s="394"/>
      <c r="R1782" s="381" t="s">
        <v>167</v>
      </c>
      <c r="S1782" s="408" t="s">
        <v>175</v>
      </c>
      <c r="T1782" s="385"/>
      <c r="U1782" s="475">
        <v>698</v>
      </c>
      <c r="V1782" s="395"/>
      <c r="W1782" s="395">
        <f t="shared" si="1010"/>
        <v>13.692500000000001</v>
      </c>
      <c r="X1782" s="393"/>
      <c r="Y1782" s="337"/>
      <c r="Z1782" s="497"/>
      <c r="AA1782" s="544"/>
      <c r="AB1782" s="394"/>
      <c r="AC1782" s="394"/>
      <c r="AD1782" s="394"/>
      <c r="AE1782" s="394"/>
      <c r="AF1782" s="394"/>
      <c r="AG1782" s="394"/>
      <c r="AH1782" s="394"/>
      <c r="AI1782" s="394"/>
      <c r="AJ1782" s="394"/>
      <c r="AK1782" s="381"/>
      <c r="AL1782" s="408"/>
      <c r="AM1782" s="385"/>
      <c r="AN1782" s="475"/>
      <c r="AO1782" s="395"/>
      <c r="AP1782" s="395" t="e">
        <f t="shared" si="1011"/>
        <v>#DIV/0!</v>
      </c>
      <c r="AQ1782" s="393"/>
      <c r="AR1782" s="337"/>
      <c r="AS1782" s="497"/>
      <c r="AT1782" s="544"/>
      <c r="AU1782" s="394"/>
      <c r="AV1782" s="394"/>
      <c r="AW1782" s="394"/>
      <c r="AX1782" s="394"/>
      <c r="AY1782" s="394"/>
      <c r="AZ1782" s="394"/>
      <c r="BA1782" s="394"/>
      <c r="BB1782" s="394"/>
      <c r="BC1782" s="394"/>
      <c r="BD1782" s="381"/>
      <c r="BE1782" s="408"/>
      <c r="BF1782" s="385"/>
      <c r="BG1782" s="475"/>
      <c r="BH1782" s="395"/>
      <c r="BI1782" s="395" t="e">
        <f t="shared" si="1013"/>
        <v>#DIV/0!</v>
      </c>
    </row>
    <row r="1783" spans="1:61" s="358" customFormat="1" ht="19.2" x14ac:dyDescent="0.3">
      <c r="A1783" s="359" t="s">
        <v>1918</v>
      </c>
      <c r="B1783" s="537" t="s">
        <v>1570</v>
      </c>
      <c r="C1783" s="546" t="s">
        <v>980</v>
      </c>
      <c r="D1783" s="360">
        <v>0.4</v>
      </c>
      <c r="E1783" s="393"/>
      <c r="F1783" s="337">
        <v>1</v>
      </c>
      <c r="G1783" s="497"/>
      <c r="H1783" s="544">
        <v>13.692500000000001</v>
      </c>
      <c r="I1783" s="394">
        <v>11.79346</v>
      </c>
      <c r="J1783" s="394">
        <v>10.45834</v>
      </c>
      <c r="K1783" s="394"/>
      <c r="L1783" s="394"/>
      <c r="M1783" s="394">
        <v>0</v>
      </c>
      <c r="N1783" s="394">
        <v>0</v>
      </c>
      <c r="O1783" s="394">
        <v>0.44272</v>
      </c>
      <c r="P1783" s="394">
        <v>10.45834</v>
      </c>
      <c r="Q1783" s="394"/>
      <c r="R1783" s="381" t="s">
        <v>167</v>
      </c>
      <c r="S1783" s="408" t="s">
        <v>175</v>
      </c>
      <c r="T1783" s="385"/>
      <c r="U1783" s="475">
        <v>699</v>
      </c>
      <c r="V1783" s="395"/>
      <c r="W1783" s="395">
        <f t="shared" si="1010"/>
        <v>13.692500000000001</v>
      </c>
      <c r="X1783" s="393"/>
      <c r="Y1783" s="337"/>
      <c r="Z1783" s="497"/>
      <c r="AA1783" s="544"/>
      <c r="AB1783" s="394"/>
      <c r="AC1783" s="394"/>
      <c r="AD1783" s="394"/>
      <c r="AE1783" s="394"/>
      <c r="AF1783" s="394"/>
      <c r="AG1783" s="394"/>
      <c r="AH1783" s="394"/>
      <c r="AI1783" s="394"/>
      <c r="AJ1783" s="394"/>
      <c r="AK1783" s="381"/>
      <c r="AL1783" s="408"/>
      <c r="AM1783" s="385"/>
      <c r="AN1783" s="475"/>
      <c r="AO1783" s="395"/>
      <c r="AP1783" s="395" t="e">
        <f t="shared" si="1011"/>
        <v>#DIV/0!</v>
      </c>
      <c r="AQ1783" s="393"/>
      <c r="AR1783" s="337"/>
      <c r="AS1783" s="497"/>
      <c r="AT1783" s="544"/>
      <c r="AU1783" s="394"/>
      <c r="AV1783" s="394"/>
      <c r="AW1783" s="394"/>
      <c r="AX1783" s="394"/>
      <c r="AY1783" s="394"/>
      <c r="AZ1783" s="394"/>
      <c r="BA1783" s="394"/>
      <c r="BB1783" s="394"/>
      <c r="BC1783" s="394"/>
      <c r="BD1783" s="381"/>
      <c r="BE1783" s="408"/>
      <c r="BF1783" s="385"/>
      <c r="BG1783" s="475"/>
      <c r="BH1783" s="395"/>
      <c r="BI1783" s="395" t="e">
        <f t="shared" si="1013"/>
        <v>#DIV/0!</v>
      </c>
    </row>
    <row r="1784" spans="1:61" s="358" customFormat="1" ht="19.2" x14ac:dyDescent="0.3">
      <c r="A1784" s="359" t="s">
        <v>1919</v>
      </c>
      <c r="B1784" s="537" t="s">
        <v>1571</v>
      </c>
      <c r="C1784" s="546" t="s">
        <v>981</v>
      </c>
      <c r="D1784" s="360">
        <v>0.4</v>
      </c>
      <c r="E1784" s="393"/>
      <c r="F1784" s="337">
        <v>1</v>
      </c>
      <c r="G1784" s="497"/>
      <c r="H1784" s="544">
        <v>13.692500000000001</v>
      </c>
      <c r="I1784" s="394">
        <v>11.79346</v>
      </c>
      <c r="J1784" s="394">
        <v>10.45834</v>
      </c>
      <c r="K1784" s="394"/>
      <c r="L1784" s="394"/>
      <c r="M1784" s="394">
        <v>0</v>
      </c>
      <c r="N1784" s="394">
        <v>0</v>
      </c>
      <c r="O1784" s="394">
        <v>0.44272</v>
      </c>
      <c r="P1784" s="394">
        <v>10.45834</v>
      </c>
      <c r="Q1784" s="394"/>
      <c r="R1784" s="381" t="s">
        <v>167</v>
      </c>
      <c r="S1784" s="408" t="s">
        <v>175</v>
      </c>
      <c r="T1784" s="385"/>
      <c r="U1784" s="475">
        <v>700</v>
      </c>
      <c r="V1784" s="395"/>
      <c r="W1784" s="395">
        <f t="shared" si="1010"/>
        <v>13.692500000000001</v>
      </c>
      <c r="X1784" s="393"/>
      <c r="Y1784" s="337"/>
      <c r="Z1784" s="497"/>
      <c r="AA1784" s="544"/>
      <c r="AB1784" s="394"/>
      <c r="AC1784" s="394"/>
      <c r="AD1784" s="394"/>
      <c r="AE1784" s="394"/>
      <c r="AF1784" s="394"/>
      <c r="AG1784" s="394"/>
      <c r="AH1784" s="394"/>
      <c r="AI1784" s="394"/>
      <c r="AJ1784" s="394"/>
      <c r="AK1784" s="381"/>
      <c r="AL1784" s="408"/>
      <c r="AM1784" s="385"/>
      <c r="AN1784" s="475"/>
      <c r="AO1784" s="395"/>
      <c r="AP1784" s="395" t="e">
        <f t="shared" si="1011"/>
        <v>#DIV/0!</v>
      </c>
      <c r="AQ1784" s="393"/>
      <c r="AR1784" s="337"/>
      <c r="AS1784" s="497"/>
      <c r="AT1784" s="544"/>
      <c r="AU1784" s="394"/>
      <c r="AV1784" s="394"/>
      <c r="AW1784" s="394"/>
      <c r="AX1784" s="394"/>
      <c r="AY1784" s="394"/>
      <c r="AZ1784" s="394"/>
      <c r="BA1784" s="394"/>
      <c r="BB1784" s="394"/>
      <c r="BC1784" s="394"/>
      <c r="BD1784" s="381"/>
      <c r="BE1784" s="408"/>
      <c r="BF1784" s="385"/>
      <c r="BG1784" s="475"/>
      <c r="BH1784" s="395"/>
      <c r="BI1784" s="395" t="e">
        <f t="shared" si="1013"/>
        <v>#DIV/0!</v>
      </c>
    </row>
    <row r="1785" spans="1:61" s="358" customFormat="1" ht="19.2" x14ac:dyDescent="0.3">
      <c r="A1785" s="359" t="s">
        <v>1920</v>
      </c>
      <c r="B1785" s="537" t="s">
        <v>1572</v>
      </c>
      <c r="C1785" s="546" t="s">
        <v>982</v>
      </c>
      <c r="D1785" s="360">
        <v>0.4</v>
      </c>
      <c r="E1785" s="393"/>
      <c r="F1785" s="337">
        <v>1</v>
      </c>
      <c r="G1785" s="497"/>
      <c r="H1785" s="544">
        <v>13.692489999999999</v>
      </c>
      <c r="I1785" s="394">
        <v>11.79346</v>
      </c>
      <c r="J1785" s="394">
        <v>10.45834</v>
      </c>
      <c r="K1785" s="394"/>
      <c r="L1785" s="394"/>
      <c r="M1785" s="394">
        <v>0</v>
      </c>
      <c r="N1785" s="394">
        <v>0</v>
      </c>
      <c r="O1785" s="394">
        <v>0.44272</v>
      </c>
      <c r="P1785" s="394">
        <v>10.45834</v>
      </c>
      <c r="Q1785" s="394"/>
      <c r="R1785" s="381" t="s">
        <v>167</v>
      </c>
      <c r="S1785" s="408" t="s">
        <v>175</v>
      </c>
      <c r="T1785" s="385"/>
      <c r="U1785" s="475">
        <v>701</v>
      </c>
      <c r="V1785" s="395"/>
      <c r="W1785" s="395">
        <f t="shared" ref="W1785:W1848" si="1014">H1785/F1785</f>
        <v>13.692489999999999</v>
      </c>
      <c r="X1785" s="393"/>
      <c r="Y1785" s="337"/>
      <c r="Z1785" s="497"/>
      <c r="AA1785" s="544"/>
      <c r="AB1785" s="394"/>
      <c r="AC1785" s="394"/>
      <c r="AD1785" s="394"/>
      <c r="AE1785" s="394"/>
      <c r="AF1785" s="394"/>
      <c r="AG1785" s="394"/>
      <c r="AH1785" s="394"/>
      <c r="AI1785" s="394"/>
      <c r="AJ1785" s="394"/>
      <c r="AK1785" s="381"/>
      <c r="AL1785" s="408"/>
      <c r="AM1785" s="385"/>
      <c r="AN1785" s="475"/>
      <c r="AO1785" s="395"/>
      <c r="AP1785" s="395" t="e">
        <f t="shared" si="1011"/>
        <v>#DIV/0!</v>
      </c>
      <c r="AQ1785" s="393"/>
      <c r="AR1785" s="337"/>
      <c r="AS1785" s="497"/>
      <c r="AT1785" s="544"/>
      <c r="AU1785" s="394"/>
      <c r="AV1785" s="394"/>
      <c r="AW1785" s="394"/>
      <c r="AX1785" s="394"/>
      <c r="AY1785" s="394"/>
      <c r="AZ1785" s="394"/>
      <c r="BA1785" s="394"/>
      <c r="BB1785" s="394"/>
      <c r="BC1785" s="394"/>
      <c r="BD1785" s="381"/>
      <c r="BE1785" s="408"/>
      <c r="BF1785" s="385"/>
      <c r="BG1785" s="475"/>
      <c r="BH1785" s="395"/>
      <c r="BI1785" s="395" t="e">
        <f t="shared" si="1013"/>
        <v>#DIV/0!</v>
      </c>
    </row>
    <row r="1786" spans="1:61" s="358" customFormat="1" ht="19.2" x14ac:dyDescent="0.3">
      <c r="A1786" s="359" t="s">
        <v>1921</v>
      </c>
      <c r="B1786" s="537" t="s">
        <v>1573</v>
      </c>
      <c r="C1786" s="546" t="s">
        <v>983</v>
      </c>
      <c r="D1786" s="360">
        <v>0.4</v>
      </c>
      <c r="E1786" s="393"/>
      <c r="F1786" s="337">
        <v>1</v>
      </c>
      <c r="G1786" s="497"/>
      <c r="H1786" s="544">
        <v>13.692500000000001</v>
      </c>
      <c r="I1786" s="394">
        <v>11.79346</v>
      </c>
      <c r="J1786" s="394">
        <v>10.45834</v>
      </c>
      <c r="K1786" s="394"/>
      <c r="L1786" s="394"/>
      <c r="M1786" s="394">
        <v>0</v>
      </c>
      <c r="N1786" s="394">
        <v>0</v>
      </c>
      <c r="O1786" s="394">
        <v>0.44272</v>
      </c>
      <c r="P1786" s="394">
        <v>10.45834</v>
      </c>
      <c r="Q1786" s="394"/>
      <c r="R1786" s="381" t="s">
        <v>167</v>
      </c>
      <c r="S1786" s="408" t="s">
        <v>175</v>
      </c>
      <c r="T1786" s="385"/>
      <c r="U1786" s="475">
        <v>702</v>
      </c>
      <c r="V1786" s="395"/>
      <c r="W1786" s="395">
        <f t="shared" si="1014"/>
        <v>13.692500000000001</v>
      </c>
      <c r="X1786" s="393"/>
      <c r="Y1786" s="337"/>
      <c r="Z1786" s="497"/>
      <c r="AA1786" s="544"/>
      <c r="AB1786" s="394"/>
      <c r="AC1786" s="394"/>
      <c r="AD1786" s="394"/>
      <c r="AE1786" s="394"/>
      <c r="AF1786" s="394"/>
      <c r="AG1786" s="394"/>
      <c r="AH1786" s="394"/>
      <c r="AI1786" s="394"/>
      <c r="AJ1786" s="394"/>
      <c r="AK1786" s="381"/>
      <c r="AL1786" s="408"/>
      <c r="AM1786" s="385"/>
      <c r="AN1786" s="475"/>
      <c r="AO1786" s="395"/>
      <c r="AP1786" s="395" t="e">
        <f t="shared" si="1011"/>
        <v>#DIV/0!</v>
      </c>
      <c r="AQ1786" s="393"/>
      <c r="AR1786" s="337"/>
      <c r="AS1786" s="497"/>
      <c r="AT1786" s="544"/>
      <c r="AU1786" s="394"/>
      <c r="AV1786" s="394"/>
      <c r="AW1786" s="394"/>
      <c r="AX1786" s="394"/>
      <c r="AY1786" s="394"/>
      <c r="AZ1786" s="394"/>
      <c r="BA1786" s="394"/>
      <c r="BB1786" s="394"/>
      <c r="BC1786" s="394"/>
      <c r="BD1786" s="381"/>
      <c r="BE1786" s="408"/>
      <c r="BF1786" s="385"/>
      <c r="BG1786" s="475"/>
      <c r="BH1786" s="395"/>
      <c r="BI1786" s="395" t="e">
        <f t="shared" si="1013"/>
        <v>#DIV/0!</v>
      </c>
    </row>
    <row r="1787" spans="1:61" s="358" customFormat="1" ht="19.2" x14ac:dyDescent="0.3">
      <c r="A1787" s="359" t="s">
        <v>1938</v>
      </c>
      <c r="B1787" s="537" t="s">
        <v>1574</v>
      </c>
      <c r="C1787" s="550" t="s">
        <v>984</v>
      </c>
      <c r="D1787" s="360">
        <v>0.4</v>
      </c>
      <c r="E1787" s="393"/>
      <c r="F1787" s="337">
        <v>1</v>
      </c>
      <c r="G1787" s="497"/>
      <c r="H1787" s="544">
        <v>13.692489999999999</v>
      </c>
      <c r="I1787" s="394">
        <v>11.79346</v>
      </c>
      <c r="J1787" s="394">
        <v>10.45834</v>
      </c>
      <c r="K1787" s="394"/>
      <c r="L1787" s="394"/>
      <c r="M1787" s="394">
        <v>0</v>
      </c>
      <c r="N1787" s="394">
        <v>0</v>
      </c>
      <c r="O1787" s="394">
        <v>0.44272</v>
      </c>
      <c r="P1787" s="394">
        <v>10.45834</v>
      </c>
      <c r="Q1787" s="394"/>
      <c r="R1787" s="381" t="s">
        <v>167</v>
      </c>
      <c r="S1787" s="408" t="s">
        <v>175</v>
      </c>
      <c r="T1787" s="385"/>
      <c r="U1787" s="475">
        <v>703</v>
      </c>
      <c r="V1787" s="395"/>
      <c r="W1787" s="395">
        <f t="shared" si="1014"/>
        <v>13.692489999999999</v>
      </c>
      <c r="X1787" s="393"/>
      <c r="Y1787" s="337"/>
      <c r="Z1787" s="497"/>
      <c r="AA1787" s="544"/>
      <c r="AB1787" s="394"/>
      <c r="AC1787" s="394"/>
      <c r="AD1787" s="394"/>
      <c r="AE1787" s="394"/>
      <c r="AF1787" s="394"/>
      <c r="AG1787" s="394"/>
      <c r="AH1787" s="394"/>
      <c r="AI1787" s="394"/>
      <c r="AJ1787" s="394"/>
      <c r="AK1787" s="381"/>
      <c r="AL1787" s="408"/>
      <c r="AM1787" s="385"/>
      <c r="AN1787" s="475"/>
      <c r="AO1787" s="395"/>
      <c r="AP1787" s="395" t="e">
        <f t="shared" si="1011"/>
        <v>#DIV/0!</v>
      </c>
      <c r="AQ1787" s="393"/>
      <c r="AR1787" s="337"/>
      <c r="AS1787" s="497"/>
      <c r="AT1787" s="544"/>
      <c r="AU1787" s="394"/>
      <c r="AV1787" s="394"/>
      <c r="AW1787" s="394"/>
      <c r="AX1787" s="394"/>
      <c r="AY1787" s="394"/>
      <c r="AZ1787" s="394"/>
      <c r="BA1787" s="394"/>
      <c r="BB1787" s="394"/>
      <c r="BC1787" s="394"/>
      <c r="BD1787" s="381"/>
      <c r="BE1787" s="408"/>
      <c r="BF1787" s="385"/>
      <c r="BG1787" s="475"/>
      <c r="BH1787" s="395"/>
      <c r="BI1787" s="395" t="e">
        <f t="shared" si="1013"/>
        <v>#DIV/0!</v>
      </c>
    </row>
    <row r="1788" spans="1:61" s="358" customFormat="1" ht="19.2" x14ac:dyDescent="0.3">
      <c r="A1788" s="359" t="s">
        <v>1923</v>
      </c>
      <c r="B1788" s="537" t="s">
        <v>1575</v>
      </c>
      <c r="C1788" s="546" t="s">
        <v>985</v>
      </c>
      <c r="D1788" s="360">
        <v>0.4</v>
      </c>
      <c r="E1788" s="393"/>
      <c r="F1788" s="337">
        <v>1</v>
      </c>
      <c r="G1788" s="497"/>
      <c r="H1788" s="544">
        <v>15.32948</v>
      </c>
      <c r="I1788" s="394">
        <v>13.430440000000001</v>
      </c>
      <c r="J1788" s="394">
        <v>10.45833</v>
      </c>
      <c r="K1788" s="394"/>
      <c r="L1788" s="394"/>
      <c r="M1788" s="394">
        <v>0</v>
      </c>
      <c r="N1788" s="394">
        <v>0</v>
      </c>
      <c r="O1788" s="394">
        <v>0.44272</v>
      </c>
      <c r="P1788" s="394">
        <v>10.45833</v>
      </c>
      <c r="Q1788" s="394"/>
      <c r="R1788" s="381" t="s">
        <v>167</v>
      </c>
      <c r="S1788" s="408" t="s">
        <v>175</v>
      </c>
      <c r="T1788" s="385"/>
      <c r="U1788" s="475">
        <v>704</v>
      </c>
      <c r="V1788" s="395"/>
      <c r="W1788" s="395">
        <f t="shared" si="1014"/>
        <v>15.32948</v>
      </c>
      <c r="X1788" s="393"/>
      <c r="Y1788" s="337"/>
      <c r="Z1788" s="497"/>
      <c r="AA1788" s="544"/>
      <c r="AB1788" s="394"/>
      <c r="AC1788" s="394"/>
      <c r="AD1788" s="394"/>
      <c r="AE1788" s="394"/>
      <c r="AF1788" s="394"/>
      <c r="AG1788" s="394"/>
      <c r="AH1788" s="394"/>
      <c r="AI1788" s="394"/>
      <c r="AJ1788" s="394"/>
      <c r="AK1788" s="381"/>
      <c r="AL1788" s="408"/>
      <c r="AM1788" s="385"/>
      <c r="AN1788" s="475"/>
      <c r="AO1788" s="395"/>
      <c r="AP1788" s="395" t="e">
        <f t="shared" si="1011"/>
        <v>#DIV/0!</v>
      </c>
      <c r="AQ1788" s="393"/>
      <c r="AR1788" s="337"/>
      <c r="AS1788" s="497"/>
      <c r="AT1788" s="544"/>
      <c r="AU1788" s="394"/>
      <c r="AV1788" s="394"/>
      <c r="AW1788" s="394"/>
      <c r="AX1788" s="394"/>
      <c r="AY1788" s="394"/>
      <c r="AZ1788" s="394"/>
      <c r="BA1788" s="394"/>
      <c r="BB1788" s="394"/>
      <c r="BC1788" s="394"/>
      <c r="BD1788" s="381"/>
      <c r="BE1788" s="408"/>
      <c r="BF1788" s="385"/>
      <c r="BG1788" s="475"/>
      <c r="BH1788" s="395"/>
      <c r="BI1788" s="395" t="e">
        <f t="shared" si="1013"/>
        <v>#DIV/0!</v>
      </c>
    </row>
    <row r="1789" spans="1:61" s="358" customFormat="1" ht="19.2" x14ac:dyDescent="0.3">
      <c r="A1789" s="359" t="s">
        <v>1924</v>
      </c>
      <c r="B1789" s="537" t="s">
        <v>1574</v>
      </c>
      <c r="C1789" s="550" t="s">
        <v>986</v>
      </c>
      <c r="D1789" s="360">
        <v>0.4</v>
      </c>
      <c r="E1789" s="393"/>
      <c r="F1789" s="337">
        <v>1</v>
      </c>
      <c r="G1789" s="497"/>
      <c r="H1789" s="544">
        <v>13.692489999999999</v>
      </c>
      <c r="I1789" s="394">
        <v>11.79346</v>
      </c>
      <c r="J1789" s="394">
        <v>10.45834</v>
      </c>
      <c r="K1789" s="394"/>
      <c r="L1789" s="394"/>
      <c r="M1789" s="394">
        <v>0</v>
      </c>
      <c r="N1789" s="394">
        <v>0</v>
      </c>
      <c r="O1789" s="394">
        <v>0.44272</v>
      </c>
      <c r="P1789" s="394">
        <v>10.45834</v>
      </c>
      <c r="Q1789" s="394"/>
      <c r="R1789" s="381" t="s">
        <v>167</v>
      </c>
      <c r="S1789" s="408" t="s">
        <v>175</v>
      </c>
      <c r="T1789" s="385"/>
      <c r="U1789" s="475">
        <v>705</v>
      </c>
      <c r="V1789" s="395"/>
      <c r="W1789" s="395">
        <f t="shared" si="1014"/>
        <v>13.692489999999999</v>
      </c>
      <c r="X1789" s="393"/>
      <c r="Y1789" s="337"/>
      <c r="Z1789" s="497"/>
      <c r="AA1789" s="544"/>
      <c r="AB1789" s="394"/>
      <c r="AC1789" s="394"/>
      <c r="AD1789" s="394"/>
      <c r="AE1789" s="394"/>
      <c r="AF1789" s="394"/>
      <c r="AG1789" s="394"/>
      <c r="AH1789" s="394"/>
      <c r="AI1789" s="394"/>
      <c r="AJ1789" s="394"/>
      <c r="AK1789" s="381"/>
      <c r="AL1789" s="408"/>
      <c r="AM1789" s="385"/>
      <c r="AN1789" s="475"/>
      <c r="AO1789" s="395"/>
      <c r="AP1789" s="395" t="e">
        <f t="shared" si="1011"/>
        <v>#DIV/0!</v>
      </c>
      <c r="AQ1789" s="393"/>
      <c r="AR1789" s="337"/>
      <c r="AS1789" s="497"/>
      <c r="AT1789" s="544"/>
      <c r="AU1789" s="394"/>
      <c r="AV1789" s="394"/>
      <c r="AW1789" s="394"/>
      <c r="AX1789" s="394"/>
      <c r="AY1789" s="394"/>
      <c r="AZ1789" s="394"/>
      <c r="BA1789" s="394"/>
      <c r="BB1789" s="394"/>
      <c r="BC1789" s="394"/>
      <c r="BD1789" s="381"/>
      <c r="BE1789" s="408"/>
      <c r="BF1789" s="385"/>
      <c r="BG1789" s="475"/>
      <c r="BH1789" s="395"/>
      <c r="BI1789" s="395" t="e">
        <f t="shared" si="1013"/>
        <v>#DIV/0!</v>
      </c>
    </row>
    <row r="1790" spans="1:61" s="358" customFormat="1" ht="19.2" x14ac:dyDescent="0.3">
      <c r="A1790" s="359" t="s">
        <v>1925</v>
      </c>
      <c r="B1790" s="537" t="s">
        <v>1576</v>
      </c>
      <c r="C1790" s="546" t="s">
        <v>987</v>
      </c>
      <c r="D1790" s="360">
        <v>0.4</v>
      </c>
      <c r="E1790" s="393"/>
      <c r="F1790" s="337">
        <v>1</v>
      </c>
      <c r="G1790" s="497"/>
      <c r="H1790" s="544">
        <v>13.692500000000001</v>
      </c>
      <c r="I1790" s="394">
        <v>11.79346</v>
      </c>
      <c r="J1790" s="394">
        <v>10.45834</v>
      </c>
      <c r="K1790" s="394"/>
      <c r="L1790" s="394"/>
      <c r="M1790" s="394">
        <v>0</v>
      </c>
      <c r="N1790" s="394">
        <v>0</v>
      </c>
      <c r="O1790" s="394">
        <v>0.44272</v>
      </c>
      <c r="P1790" s="394">
        <v>10.45834</v>
      </c>
      <c r="Q1790" s="394"/>
      <c r="R1790" s="381" t="s">
        <v>167</v>
      </c>
      <c r="S1790" s="408" t="s">
        <v>175</v>
      </c>
      <c r="T1790" s="385"/>
      <c r="U1790" s="475">
        <v>706</v>
      </c>
      <c r="V1790" s="395"/>
      <c r="W1790" s="395">
        <f t="shared" si="1014"/>
        <v>13.692500000000001</v>
      </c>
      <c r="X1790" s="393"/>
      <c r="Y1790" s="337"/>
      <c r="Z1790" s="497"/>
      <c r="AA1790" s="544"/>
      <c r="AB1790" s="394"/>
      <c r="AC1790" s="394"/>
      <c r="AD1790" s="394"/>
      <c r="AE1790" s="394"/>
      <c r="AF1790" s="394"/>
      <c r="AG1790" s="394"/>
      <c r="AH1790" s="394"/>
      <c r="AI1790" s="394"/>
      <c r="AJ1790" s="394"/>
      <c r="AK1790" s="381"/>
      <c r="AL1790" s="408"/>
      <c r="AM1790" s="385"/>
      <c r="AN1790" s="475"/>
      <c r="AO1790" s="395"/>
      <c r="AP1790" s="395" t="e">
        <f t="shared" si="1011"/>
        <v>#DIV/0!</v>
      </c>
      <c r="AQ1790" s="393"/>
      <c r="AR1790" s="337"/>
      <c r="AS1790" s="497"/>
      <c r="AT1790" s="544"/>
      <c r="AU1790" s="394"/>
      <c r="AV1790" s="394"/>
      <c r="AW1790" s="394"/>
      <c r="AX1790" s="394"/>
      <c r="AY1790" s="394"/>
      <c r="AZ1790" s="394"/>
      <c r="BA1790" s="394"/>
      <c r="BB1790" s="394"/>
      <c r="BC1790" s="394"/>
      <c r="BD1790" s="381"/>
      <c r="BE1790" s="408"/>
      <c r="BF1790" s="385"/>
      <c r="BG1790" s="475"/>
      <c r="BH1790" s="395"/>
      <c r="BI1790" s="395" t="e">
        <f t="shared" si="1013"/>
        <v>#DIV/0!</v>
      </c>
    </row>
    <row r="1791" spans="1:61" s="358" customFormat="1" ht="19.2" x14ac:dyDescent="0.3">
      <c r="A1791" s="359" t="s">
        <v>1942</v>
      </c>
      <c r="B1791" s="537" t="s">
        <v>1577</v>
      </c>
      <c r="C1791" s="546" t="s">
        <v>988</v>
      </c>
      <c r="D1791" s="360">
        <v>0.4</v>
      </c>
      <c r="E1791" s="393"/>
      <c r="F1791" s="337">
        <v>1</v>
      </c>
      <c r="G1791" s="497"/>
      <c r="H1791" s="544">
        <v>13.692489999999999</v>
      </c>
      <c r="I1791" s="394">
        <v>11.79346</v>
      </c>
      <c r="J1791" s="394">
        <v>10.45834</v>
      </c>
      <c r="K1791" s="394"/>
      <c r="L1791" s="394"/>
      <c r="M1791" s="394">
        <v>0</v>
      </c>
      <c r="N1791" s="394">
        <v>0</v>
      </c>
      <c r="O1791" s="394">
        <v>0.44272</v>
      </c>
      <c r="P1791" s="394">
        <v>10.45834</v>
      </c>
      <c r="Q1791" s="394"/>
      <c r="R1791" s="381" t="s">
        <v>167</v>
      </c>
      <c r="S1791" s="408" t="s">
        <v>175</v>
      </c>
      <c r="T1791" s="385"/>
      <c r="U1791" s="475">
        <v>707</v>
      </c>
      <c r="V1791" s="395"/>
      <c r="W1791" s="395">
        <f t="shared" si="1014"/>
        <v>13.692489999999999</v>
      </c>
      <c r="X1791" s="393"/>
      <c r="Y1791" s="337"/>
      <c r="Z1791" s="497"/>
      <c r="AA1791" s="544"/>
      <c r="AB1791" s="394"/>
      <c r="AC1791" s="394"/>
      <c r="AD1791" s="394"/>
      <c r="AE1791" s="394"/>
      <c r="AF1791" s="394"/>
      <c r="AG1791" s="394"/>
      <c r="AH1791" s="394"/>
      <c r="AI1791" s="394"/>
      <c r="AJ1791" s="394"/>
      <c r="AK1791" s="381"/>
      <c r="AL1791" s="408"/>
      <c r="AM1791" s="385"/>
      <c r="AN1791" s="475"/>
      <c r="AO1791" s="395"/>
      <c r="AP1791" s="395" t="e">
        <f t="shared" si="1011"/>
        <v>#DIV/0!</v>
      </c>
      <c r="AQ1791" s="393"/>
      <c r="AR1791" s="337"/>
      <c r="AS1791" s="497"/>
      <c r="AT1791" s="544"/>
      <c r="AU1791" s="394"/>
      <c r="AV1791" s="394"/>
      <c r="AW1791" s="394"/>
      <c r="AX1791" s="394"/>
      <c r="AY1791" s="394"/>
      <c r="AZ1791" s="394"/>
      <c r="BA1791" s="394"/>
      <c r="BB1791" s="394"/>
      <c r="BC1791" s="394"/>
      <c r="BD1791" s="381"/>
      <c r="BE1791" s="408"/>
      <c r="BF1791" s="385"/>
      <c r="BG1791" s="475"/>
      <c r="BH1791" s="395"/>
      <c r="BI1791" s="395" t="e">
        <f t="shared" si="1013"/>
        <v>#DIV/0!</v>
      </c>
    </row>
    <row r="1792" spans="1:61" s="358" customFormat="1" ht="19.2" x14ac:dyDescent="0.3">
      <c r="A1792" s="359" t="s">
        <v>1927</v>
      </c>
      <c r="B1792" s="537" t="s">
        <v>1578</v>
      </c>
      <c r="C1792" s="546" t="s">
        <v>989</v>
      </c>
      <c r="D1792" s="360">
        <v>0.4</v>
      </c>
      <c r="E1792" s="393"/>
      <c r="F1792" s="337">
        <v>1</v>
      </c>
      <c r="G1792" s="497"/>
      <c r="H1792" s="544">
        <v>13.692500000000001</v>
      </c>
      <c r="I1792" s="394">
        <v>11.79346</v>
      </c>
      <c r="J1792" s="394">
        <v>10.45834</v>
      </c>
      <c r="K1792" s="394"/>
      <c r="L1792" s="394"/>
      <c r="M1792" s="394">
        <v>0</v>
      </c>
      <c r="N1792" s="394">
        <v>0</v>
      </c>
      <c r="O1792" s="394">
        <v>0.44272</v>
      </c>
      <c r="P1792" s="394">
        <v>10.45834</v>
      </c>
      <c r="Q1792" s="394"/>
      <c r="R1792" s="381" t="s">
        <v>167</v>
      </c>
      <c r="S1792" s="408" t="s">
        <v>175</v>
      </c>
      <c r="T1792" s="385"/>
      <c r="U1792" s="475">
        <v>708</v>
      </c>
      <c r="V1792" s="395"/>
      <c r="W1792" s="395">
        <f t="shared" si="1014"/>
        <v>13.692500000000001</v>
      </c>
      <c r="X1792" s="393"/>
      <c r="Y1792" s="337"/>
      <c r="Z1792" s="497"/>
      <c r="AA1792" s="544"/>
      <c r="AB1792" s="394"/>
      <c r="AC1792" s="394"/>
      <c r="AD1792" s="394"/>
      <c r="AE1792" s="394"/>
      <c r="AF1792" s="394"/>
      <c r="AG1792" s="394"/>
      <c r="AH1792" s="394"/>
      <c r="AI1792" s="394"/>
      <c r="AJ1792" s="394"/>
      <c r="AK1792" s="381"/>
      <c r="AL1792" s="408"/>
      <c r="AM1792" s="385"/>
      <c r="AN1792" s="475"/>
      <c r="AO1792" s="395"/>
      <c r="AP1792" s="395" t="e">
        <f t="shared" si="1011"/>
        <v>#DIV/0!</v>
      </c>
      <c r="AQ1792" s="393"/>
      <c r="AR1792" s="337"/>
      <c r="AS1792" s="497"/>
      <c r="AT1792" s="544"/>
      <c r="AU1792" s="394"/>
      <c r="AV1792" s="394"/>
      <c r="AW1792" s="394"/>
      <c r="AX1792" s="394"/>
      <c r="AY1792" s="394"/>
      <c r="AZ1792" s="394"/>
      <c r="BA1792" s="394"/>
      <c r="BB1792" s="394"/>
      <c r="BC1792" s="394"/>
      <c r="BD1792" s="381"/>
      <c r="BE1792" s="408"/>
      <c r="BF1792" s="385"/>
      <c r="BG1792" s="475"/>
      <c r="BH1792" s="395"/>
      <c r="BI1792" s="395" t="e">
        <f t="shared" si="1013"/>
        <v>#DIV/0!</v>
      </c>
    </row>
    <row r="1793" spans="1:61" s="358" customFormat="1" ht="19.2" x14ac:dyDescent="0.3">
      <c r="A1793" s="359" t="s">
        <v>1928</v>
      </c>
      <c r="B1793" s="537" t="s">
        <v>1411</v>
      </c>
      <c r="C1793" s="546" t="s">
        <v>805</v>
      </c>
      <c r="D1793" s="360">
        <v>0.4</v>
      </c>
      <c r="E1793" s="393"/>
      <c r="F1793" s="337">
        <v>1</v>
      </c>
      <c r="G1793" s="497"/>
      <c r="H1793" s="544">
        <v>13.692489999999999</v>
      </c>
      <c r="I1793" s="394">
        <v>11.79346</v>
      </c>
      <c r="J1793" s="394">
        <v>10.45834</v>
      </c>
      <c r="K1793" s="394"/>
      <c r="L1793" s="394"/>
      <c r="M1793" s="394">
        <v>0</v>
      </c>
      <c r="N1793" s="394">
        <v>0</v>
      </c>
      <c r="O1793" s="394">
        <v>0.44272</v>
      </c>
      <c r="P1793" s="394">
        <v>10.45834</v>
      </c>
      <c r="Q1793" s="394"/>
      <c r="R1793" s="381" t="s">
        <v>167</v>
      </c>
      <c r="S1793" s="408" t="s">
        <v>175</v>
      </c>
      <c r="T1793" s="385"/>
      <c r="U1793" s="475">
        <v>709</v>
      </c>
      <c r="V1793" s="395"/>
      <c r="W1793" s="395">
        <f t="shared" si="1014"/>
        <v>13.692489999999999</v>
      </c>
      <c r="X1793" s="393"/>
      <c r="Y1793" s="337"/>
      <c r="Z1793" s="497"/>
      <c r="AA1793" s="544"/>
      <c r="AB1793" s="394"/>
      <c r="AC1793" s="394"/>
      <c r="AD1793" s="394"/>
      <c r="AE1793" s="394"/>
      <c r="AF1793" s="394"/>
      <c r="AG1793" s="394"/>
      <c r="AH1793" s="394"/>
      <c r="AI1793" s="394"/>
      <c r="AJ1793" s="394"/>
      <c r="AK1793" s="381"/>
      <c r="AL1793" s="408"/>
      <c r="AM1793" s="385"/>
      <c r="AN1793" s="475"/>
      <c r="AO1793" s="395"/>
      <c r="AP1793" s="395" t="e">
        <f t="shared" si="1011"/>
        <v>#DIV/0!</v>
      </c>
      <c r="AQ1793" s="393"/>
      <c r="AR1793" s="337"/>
      <c r="AS1793" s="497"/>
      <c r="AT1793" s="544"/>
      <c r="AU1793" s="394"/>
      <c r="AV1793" s="394"/>
      <c r="AW1793" s="394"/>
      <c r="AX1793" s="394"/>
      <c r="AY1793" s="394"/>
      <c r="AZ1793" s="394"/>
      <c r="BA1793" s="394"/>
      <c r="BB1793" s="394"/>
      <c r="BC1793" s="394"/>
      <c r="BD1793" s="381"/>
      <c r="BE1793" s="408"/>
      <c r="BF1793" s="385"/>
      <c r="BG1793" s="475"/>
      <c r="BH1793" s="395"/>
      <c r="BI1793" s="395" t="e">
        <f t="shared" si="1013"/>
        <v>#DIV/0!</v>
      </c>
    </row>
    <row r="1794" spans="1:61" s="358" customFormat="1" ht="19.2" x14ac:dyDescent="0.3">
      <c r="A1794" s="359" t="s">
        <v>1913</v>
      </c>
      <c r="B1794" s="537" t="s">
        <v>1579</v>
      </c>
      <c r="C1794" s="546" t="s">
        <v>990</v>
      </c>
      <c r="D1794" s="360">
        <v>0.4</v>
      </c>
      <c r="E1794" s="393"/>
      <c r="F1794" s="337">
        <v>1</v>
      </c>
      <c r="G1794" s="497"/>
      <c r="H1794" s="544">
        <v>13.692500000000001</v>
      </c>
      <c r="I1794" s="394">
        <v>11.79346</v>
      </c>
      <c r="J1794" s="394">
        <v>10.45834</v>
      </c>
      <c r="K1794" s="394"/>
      <c r="L1794" s="394"/>
      <c r="M1794" s="394">
        <v>0</v>
      </c>
      <c r="N1794" s="394">
        <v>0</v>
      </c>
      <c r="O1794" s="394">
        <v>0.44272</v>
      </c>
      <c r="P1794" s="394">
        <v>10.45834</v>
      </c>
      <c r="Q1794" s="394"/>
      <c r="R1794" s="381" t="s">
        <v>167</v>
      </c>
      <c r="S1794" s="408" t="s">
        <v>175</v>
      </c>
      <c r="T1794" s="385"/>
      <c r="U1794" s="475">
        <v>710</v>
      </c>
      <c r="V1794" s="395"/>
      <c r="W1794" s="395">
        <f t="shared" si="1014"/>
        <v>13.692500000000001</v>
      </c>
      <c r="X1794" s="393"/>
      <c r="Y1794" s="337"/>
      <c r="Z1794" s="497"/>
      <c r="AA1794" s="544"/>
      <c r="AB1794" s="394"/>
      <c r="AC1794" s="394"/>
      <c r="AD1794" s="394"/>
      <c r="AE1794" s="394"/>
      <c r="AF1794" s="394"/>
      <c r="AG1794" s="394"/>
      <c r="AH1794" s="394"/>
      <c r="AI1794" s="394"/>
      <c r="AJ1794" s="394"/>
      <c r="AK1794" s="381"/>
      <c r="AL1794" s="408"/>
      <c r="AM1794" s="385"/>
      <c r="AN1794" s="475"/>
      <c r="AO1794" s="395"/>
      <c r="AP1794" s="395" t="e">
        <f t="shared" si="1011"/>
        <v>#DIV/0!</v>
      </c>
      <c r="AQ1794" s="393"/>
      <c r="AR1794" s="337"/>
      <c r="AS1794" s="497"/>
      <c r="AT1794" s="544"/>
      <c r="AU1794" s="394"/>
      <c r="AV1794" s="394"/>
      <c r="AW1794" s="394"/>
      <c r="AX1794" s="394"/>
      <c r="AY1794" s="394"/>
      <c r="AZ1794" s="394"/>
      <c r="BA1794" s="394"/>
      <c r="BB1794" s="394"/>
      <c r="BC1794" s="394"/>
      <c r="BD1794" s="381"/>
      <c r="BE1794" s="408"/>
      <c r="BF1794" s="385"/>
      <c r="BG1794" s="475"/>
      <c r="BH1794" s="395"/>
      <c r="BI1794" s="395" t="e">
        <f t="shared" si="1013"/>
        <v>#DIV/0!</v>
      </c>
    </row>
    <row r="1795" spans="1:61" s="358" customFormat="1" ht="19.2" x14ac:dyDescent="0.3">
      <c r="A1795" s="359" t="s">
        <v>1930</v>
      </c>
      <c r="B1795" s="537" t="s">
        <v>577</v>
      </c>
      <c r="C1795" s="546" t="s">
        <v>447</v>
      </c>
      <c r="D1795" s="360">
        <v>0.4</v>
      </c>
      <c r="E1795" s="393"/>
      <c r="F1795" s="337">
        <v>1</v>
      </c>
      <c r="G1795" s="497"/>
      <c r="H1795" s="544">
        <v>13.692489999999999</v>
      </c>
      <c r="I1795" s="394">
        <v>11.79346</v>
      </c>
      <c r="J1795" s="394">
        <v>10.45834</v>
      </c>
      <c r="K1795" s="394"/>
      <c r="L1795" s="394"/>
      <c r="M1795" s="394">
        <v>0</v>
      </c>
      <c r="N1795" s="394">
        <v>0</v>
      </c>
      <c r="O1795" s="394">
        <v>0.44272</v>
      </c>
      <c r="P1795" s="394">
        <v>10.45834</v>
      </c>
      <c r="Q1795" s="394"/>
      <c r="R1795" s="381" t="s">
        <v>167</v>
      </c>
      <c r="S1795" s="408" t="s">
        <v>175</v>
      </c>
      <c r="T1795" s="385"/>
      <c r="U1795" s="475">
        <v>711</v>
      </c>
      <c r="V1795" s="395"/>
      <c r="W1795" s="395">
        <f t="shared" si="1014"/>
        <v>13.692489999999999</v>
      </c>
      <c r="X1795" s="393"/>
      <c r="Y1795" s="337"/>
      <c r="Z1795" s="497"/>
      <c r="AA1795" s="544"/>
      <c r="AB1795" s="394"/>
      <c r="AC1795" s="394"/>
      <c r="AD1795" s="394"/>
      <c r="AE1795" s="394"/>
      <c r="AF1795" s="394"/>
      <c r="AG1795" s="394"/>
      <c r="AH1795" s="394"/>
      <c r="AI1795" s="394"/>
      <c r="AJ1795" s="394"/>
      <c r="AK1795" s="381"/>
      <c r="AL1795" s="408"/>
      <c r="AM1795" s="385"/>
      <c r="AN1795" s="475"/>
      <c r="AO1795" s="395"/>
      <c r="AP1795" s="395" t="e">
        <f t="shared" si="1011"/>
        <v>#DIV/0!</v>
      </c>
      <c r="AQ1795" s="393"/>
      <c r="AR1795" s="337"/>
      <c r="AS1795" s="497"/>
      <c r="AT1795" s="544"/>
      <c r="AU1795" s="394"/>
      <c r="AV1795" s="394"/>
      <c r="AW1795" s="394"/>
      <c r="AX1795" s="394"/>
      <c r="AY1795" s="394"/>
      <c r="AZ1795" s="394"/>
      <c r="BA1795" s="394"/>
      <c r="BB1795" s="394"/>
      <c r="BC1795" s="394"/>
      <c r="BD1795" s="381"/>
      <c r="BE1795" s="408"/>
      <c r="BF1795" s="385"/>
      <c r="BG1795" s="475"/>
      <c r="BH1795" s="395"/>
      <c r="BI1795" s="395" t="e">
        <f t="shared" si="1013"/>
        <v>#DIV/0!</v>
      </c>
    </row>
    <row r="1796" spans="1:61" s="358" customFormat="1" ht="19.2" x14ac:dyDescent="0.3">
      <c r="A1796" s="359" t="s">
        <v>1931</v>
      </c>
      <c r="B1796" s="537" t="s">
        <v>1580</v>
      </c>
      <c r="C1796" s="546" t="s">
        <v>991</v>
      </c>
      <c r="D1796" s="360">
        <v>0.4</v>
      </c>
      <c r="E1796" s="393"/>
      <c r="F1796" s="337">
        <v>1</v>
      </c>
      <c r="G1796" s="497"/>
      <c r="H1796" s="544">
        <v>13.692500000000001</v>
      </c>
      <c r="I1796" s="394">
        <v>11.79346</v>
      </c>
      <c r="J1796" s="394">
        <v>10.45834</v>
      </c>
      <c r="K1796" s="394"/>
      <c r="L1796" s="394"/>
      <c r="M1796" s="394">
        <v>0</v>
      </c>
      <c r="N1796" s="394">
        <v>0</v>
      </c>
      <c r="O1796" s="394">
        <v>0.44272</v>
      </c>
      <c r="P1796" s="394">
        <v>10.45834</v>
      </c>
      <c r="Q1796" s="394"/>
      <c r="R1796" s="381" t="s">
        <v>167</v>
      </c>
      <c r="S1796" s="408" t="s">
        <v>175</v>
      </c>
      <c r="T1796" s="385"/>
      <c r="U1796" s="475">
        <v>712</v>
      </c>
      <c r="V1796" s="395"/>
      <c r="W1796" s="395">
        <f t="shared" si="1014"/>
        <v>13.692500000000001</v>
      </c>
      <c r="X1796" s="393"/>
      <c r="Y1796" s="337"/>
      <c r="Z1796" s="497"/>
      <c r="AA1796" s="544"/>
      <c r="AB1796" s="394"/>
      <c r="AC1796" s="394"/>
      <c r="AD1796" s="394"/>
      <c r="AE1796" s="394"/>
      <c r="AF1796" s="394"/>
      <c r="AG1796" s="394"/>
      <c r="AH1796" s="394"/>
      <c r="AI1796" s="394"/>
      <c r="AJ1796" s="394"/>
      <c r="AK1796" s="381"/>
      <c r="AL1796" s="408"/>
      <c r="AM1796" s="385"/>
      <c r="AN1796" s="475"/>
      <c r="AO1796" s="395"/>
      <c r="AP1796" s="395" t="e">
        <f t="shared" si="1011"/>
        <v>#DIV/0!</v>
      </c>
      <c r="AQ1796" s="393"/>
      <c r="AR1796" s="337"/>
      <c r="AS1796" s="497"/>
      <c r="AT1796" s="544"/>
      <c r="AU1796" s="394"/>
      <c r="AV1796" s="394"/>
      <c r="AW1796" s="394"/>
      <c r="AX1796" s="394"/>
      <c r="AY1796" s="394"/>
      <c r="AZ1796" s="394"/>
      <c r="BA1796" s="394"/>
      <c r="BB1796" s="394"/>
      <c r="BC1796" s="394"/>
      <c r="BD1796" s="381"/>
      <c r="BE1796" s="408"/>
      <c r="BF1796" s="385"/>
      <c r="BG1796" s="475"/>
      <c r="BH1796" s="395"/>
      <c r="BI1796" s="395" t="e">
        <f t="shared" si="1013"/>
        <v>#DIV/0!</v>
      </c>
    </row>
    <row r="1797" spans="1:61" s="358" customFormat="1" ht="19.2" x14ac:dyDescent="0.3">
      <c r="A1797" s="359" t="s">
        <v>1932</v>
      </c>
      <c r="B1797" s="537" t="s">
        <v>1581</v>
      </c>
      <c r="C1797" s="546" t="s">
        <v>992</v>
      </c>
      <c r="D1797" s="360">
        <v>0.4</v>
      </c>
      <c r="E1797" s="393"/>
      <c r="F1797" s="337">
        <v>1</v>
      </c>
      <c r="G1797" s="497"/>
      <c r="H1797" s="544">
        <v>13.692489999999999</v>
      </c>
      <c r="I1797" s="394">
        <v>11.79346</v>
      </c>
      <c r="J1797" s="394">
        <v>10.45834</v>
      </c>
      <c r="K1797" s="394"/>
      <c r="L1797" s="394"/>
      <c r="M1797" s="394">
        <v>0</v>
      </c>
      <c r="N1797" s="394">
        <v>0</v>
      </c>
      <c r="O1797" s="394">
        <v>0.44272</v>
      </c>
      <c r="P1797" s="394">
        <v>10.45834</v>
      </c>
      <c r="Q1797" s="394"/>
      <c r="R1797" s="381" t="s">
        <v>167</v>
      </c>
      <c r="S1797" s="408" t="s">
        <v>175</v>
      </c>
      <c r="T1797" s="385"/>
      <c r="U1797" s="475">
        <v>713</v>
      </c>
      <c r="V1797" s="395"/>
      <c r="W1797" s="395">
        <f t="shared" si="1014"/>
        <v>13.692489999999999</v>
      </c>
      <c r="X1797" s="393"/>
      <c r="Y1797" s="337"/>
      <c r="Z1797" s="497"/>
      <c r="AA1797" s="544"/>
      <c r="AB1797" s="394"/>
      <c r="AC1797" s="394"/>
      <c r="AD1797" s="394"/>
      <c r="AE1797" s="394"/>
      <c r="AF1797" s="394"/>
      <c r="AG1797" s="394"/>
      <c r="AH1797" s="394"/>
      <c r="AI1797" s="394"/>
      <c r="AJ1797" s="394"/>
      <c r="AK1797" s="381"/>
      <c r="AL1797" s="408"/>
      <c r="AM1797" s="385"/>
      <c r="AN1797" s="475"/>
      <c r="AO1797" s="395"/>
      <c r="AP1797" s="395" t="e">
        <f t="shared" si="1011"/>
        <v>#DIV/0!</v>
      </c>
      <c r="AQ1797" s="393"/>
      <c r="AR1797" s="337"/>
      <c r="AS1797" s="497"/>
      <c r="AT1797" s="544"/>
      <c r="AU1797" s="394"/>
      <c r="AV1797" s="394"/>
      <c r="AW1797" s="394"/>
      <c r="AX1797" s="394"/>
      <c r="AY1797" s="394"/>
      <c r="AZ1797" s="394"/>
      <c r="BA1797" s="394"/>
      <c r="BB1797" s="394"/>
      <c r="BC1797" s="394"/>
      <c r="BD1797" s="381"/>
      <c r="BE1797" s="408"/>
      <c r="BF1797" s="385"/>
      <c r="BG1797" s="475"/>
      <c r="BH1797" s="395"/>
      <c r="BI1797" s="395" t="e">
        <f t="shared" si="1013"/>
        <v>#DIV/0!</v>
      </c>
    </row>
    <row r="1798" spans="1:61" s="358" customFormat="1" ht="19.2" x14ac:dyDescent="0.3">
      <c r="A1798" s="359" t="s">
        <v>1933</v>
      </c>
      <c r="B1798" s="537" t="s">
        <v>1582</v>
      </c>
      <c r="C1798" s="546" t="s">
        <v>993</v>
      </c>
      <c r="D1798" s="360">
        <v>0.4</v>
      </c>
      <c r="E1798" s="393"/>
      <c r="F1798" s="337">
        <v>1</v>
      </c>
      <c r="G1798" s="497"/>
      <c r="H1798" s="544">
        <v>13.692489999999999</v>
      </c>
      <c r="I1798" s="394">
        <v>11.79346</v>
      </c>
      <c r="J1798" s="394">
        <v>10.45834</v>
      </c>
      <c r="K1798" s="394"/>
      <c r="L1798" s="394"/>
      <c r="M1798" s="394">
        <v>0</v>
      </c>
      <c r="N1798" s="394">
        <v>0</v>
      </c>
      <c r="O1798" s="394">
        <v>0.44272</v>
      </c>
      <c r="P1798" s="394">
        <v>10.45834</v>
      </c>
      <c r="Q1798" s="394"/>
      <c r="R1798" s="381" t="s">
        <v>167</v>
      </c>
      <c r="S1798" s="408" t="s">
        <v>175</v>
      </c>
      <c r="T1798" s="385"/>
      <c r="U1798" s="475">
        <v>714</v>
      </c>
      <c r="V1798" s="395"/>
      <c r="W1798" s="395">
        <f t="shared" si="1014"/>
        <v>13.692489999999999</v>
      </c>
      <c r="X1798" s="393"/>
      <c r="Y1798" s="337"/>
      <c r="Z1798" s="497"/>
      <c r="AA1798" s="544"/>
      <c r="AB1798" s="394"/>
      <c r="AC1798" s="394"/>
      <c r="AD1798" s="394"/>
      <c r="AE1798" s="394"/>
      <c r="AF1798" s="394"/>
      <c r="AG1798" s="394"/>
      <c r="AH1798" s="394"/>
      <c r="AI1798" s="394"/>
      <c r="AJ1798" s="394"/>
      <c r="AK1798" s="381"/>
      <c r="AL1798" s="408"/>
      <c r="AM1798" s="385"/>
      <c r="AN1798" s="475"/>
      <c r="AO1798" s="395"/>
      <c r="AP1798" s="395" t="e">
        <f t="shared" si="1011"/>
        <v>#DIV/0!</v>
      </c>
      <c r="AQ1798" s="393"/>
      <c r="AR1798" s="337"/>
      <c r="AS1798" s="497"/>
      <c r="AT1798" s="544"/>
      <c r="AU1798" s="394"/>
      <c r="AV1798" s="394"/>
      <c r="AW1798" s="394"/>
      <c r="AX1798" s="394"/>
      <c r="AY1798" s="394"/>
      <c r="AZ1798" s="394"/>
      <c r="BA1798" s="394"/>
      <c r="BB1798" s="394"/>
      <c r="BC1798" s="394"/>
      <c r="BD1798" s="381"/>
      <c r="BE1798" s="408"/>
      <c r="BF1798" s="385"/>
      <c r="BG1798" s="475"/>
      <c r="BH1798" s="395"/>
      <c r="BI1798" s="395" t="e">
        <f t="shared" si="1013"/>
        <v>#DIV/0!</v>
      </c>
    </row>
    <row r="1799" spans="1:61" s="358" customFormat="1" ht="19.2" x14ac:dyDescent="0.3">
      <c r="A1799" s="359" t="s">
        <v>1934</v>
      </c>
      <c r="B1799" s="537" t="s">
        <v>1583</v>
      </c>
      <c r="C1799" s="546" t="s">
        <v>994</v>
      </c>
      <c r="D1799" s="360">
        <v>0.4</v>
      </c>
      <c r="E1799" s="393"/>
      <c r="F1799" s="337">
        <v>1</v>
      </c>
      <c r="G1799" s="497"/>
      <c r="H1799" s="544">
        <v>13.692489999999999</v>
      </c>
      <c r="I1799" s="394">
        <v>11.79346</v>
      </c>
      <c r="J1799" s="394">
        <v>10.45834</v>
      </c>
      <c r="K1799" s="394"/>
      <c r="L1799" s="394"/>
      <c r="M1799" s="394">
        <v>0</v>
      </c>
      <c r="N1799" s="394">
        <v>0</v>
      </c>
      <c r="O1799" s="394">
        <v>0.44272</v>
      </c>
      <c r="P1799" s="394">
        <v>10.45834</v>
      </c>
      <c r="Q1799" s="394"/>
      <c r="R1799" s="381" t="s">
        <v>167</v>
      </c>
      <c r="S1799" s="408" t="s">
        <v>175</v>
      </c>
      <c r="T1799" s="385"/>
      <c r="U1799" s="475">
        <v>715</v>
      </c>
      <c r="V1799" s="395"/>
      <c r="W1799" s="395">
        <f t="shared" si="1014"/>
        <v>13.692489999999999</v>
      </c>
      <c r="X1799" s="393"/>
      <c r="Y1799" s="337"/>
      <c r="Z1799" s="497"/>
      <c r="AA1799" s="544"/>
      <c r="AB1799" s="394"/>
      <c r="AC1799" s="394"/>
      <c r="AD1799" s="394"/>
      <c r="AE1799" s="394"/>
      <c r="AF1799" s="394"/>
      <c r="AG1799" s="394"/>
      <c r="AH1799" s="394"/>
      <c r="AI1799" s="394"/>
      <c r="AJ1799" s="394"/>
      <c r="AK1799" s="381"/>
      <c r="AL1799" s="408"/>
      <c r="AM1799" s="385"/>
      <c r="AN1799" s="475"/>
      <c r="AO1799" s="395"/>
      <c r="AP1799" s="395" t="e">
        <f t="shared" si="1011"/>
        <v>#DIV/0!</v>
      </c>
      <c r="AQ1799" s="393"/>
      <c r="AR1799" s="337"/>
      <c r="AS1799" s="497"/>
      <c r="AT1799" s="544"/>
      <c r="AU1799" s="394"/>
      <c r="AV1799" s="394"/>
      <c r="AW1799" s="394"/>
      <c r="AX1799" s="394"/>
      <c r="AY1799" s="394"/>
      <c r="AZ1799" s="394"/>
      <c r="BA1799" s="394"/>
      <c r="BB1799" s="394"/>
      <c r="BC1799" s="394"/>
      <c r="BD1799" s="381"/>
      <c r="BE1799" s="408"/>
      <c r="BF1799" s="385"/>
      <c r="BG1799" s="475"/>
      <c r="BH1799" s="395"/>
      <c r="BI1799" s="395" t="e">
        <f t="shared" si="1013"/>
        <v>#DIV/0!</v>
      </c>
    </row>
    <row r="1800" spans="1:61" s="358" customFormat="1" ht="19.2" x14ac:dyDescent="0.3">
      <c r="A1800" s="359" t="s">
        <v>1935</v>
      </c>
      <c r="B1800" s="537" t="s">
        <v>1584</v>
      </c>
      <c r="C1800" s="546" t="s">
        <v>995</v>
      </c>
      <c r="D1800" s="360">
        <v>0.4</v>
      </c>
      <c r="E1800" s="393"/>
      <c r="F1800" s="337">
        <v>1</v>
      </c>
      <c r="G1800" s="497"/>
      <c r="H1800" s="544">
        <v>13.692489999999999</v>
      </c>
      <c r="I1800" s="394">
        <v>11.79346</v>
      </c>
      <c r="J1800" s="394">
        <v>10.45834</v>
      </c>
      <c r="K1800" s="394"/>
      <c r="L1800" s="394"/>
      <c r="M1800" s="394">
        <v>0</v>
      </c>
      <c r="N1800" s="394">
        <v>0</v>
      </c>
      <c r="O1800" s="394">
        <v>0.44272</v>
      </c>
      <c r="P1800" s="394">
        <v>10.45834</v>
      </c>
      <c r="Q1800" s="394"/>
      <c r="R1800" s="381" t="s">
        <v>167</v>
      </c>
      <c r="S1800" s="408" t="s">
        <v>175</v>
      </c>
      <c r="T1800" s="385"/>
      <c r="U1800" s="475">
        <v>716</v>
      </c>
      <c r="V1800" s="395"/>
      <c r="W1800" s="395">
        <f t="shared" si="1014"/>
        <v>13.692489999999999</v>
      </c>
      <c r="X1800" s="393"/>
      <c r="Y1800" s="337"/>
      <c r="Z1800" s="497"/>
      <c r="AA1800" s="544"/>
      <c r="AB1800" s="394"/>
      <c r="AC1800" s="394"/>
      <c r="AD1800" s="394"/>
      <c r="AE1800" s="394"/>
      <c r="AF1800" s="394"/>
      <c r="AG1800" s="394"/>
      <c r="AH1800" s="394"/>
      <c r="AI1800" s="394"/>
      <c r="AJ1800" s="394"/>
      <c r="AK1800" s="381"/>
      <c r="AL1800" s="408"/>
      <c r="AM1800" s="385"/>
      <c r="AN1800" s="475"/>
      <c r="AO1800" s="395"/>
      <c r="AP1800" s="395" t="e">
        <f t="shared" si="1011"/>
        <v>#DIV/0!</v>
      </c>
      <c r="AQ1800" s="393"/>
      <c r="AR1800" s="337"/>
      <c r="AS1800" s="497"/>
      <c r="AT1800" s="544"/>
      <c r="AU1800" s="394"/>
      <c r="AV1800" s="394"/>
      <c r="AW1800" s="394"/>
      <c r="AX1800" s="394"/>
      <c r="AY1800" s="394"/>
      <c r="AZ1800" s="394"/>
      <c r="BA1800" s="394"/>
      <c r="BB1800" s="394"/>
      <c r="BC1800" s="394"/>
      <c r="BD1800" s="381"/>
      <c r="BE1800" s="408"/>
      <c r="BF1800" s="385"/>
      <c r="BG1800" s="475"/>
      <c r="BH1800" s="395"/>
      <c r="BI1800" s="395" t="e">
        <f t="shared" si="1013"/>
        <v>#DIV/0!</v>
      </c>
    </row>
    <row r="1801" spans="1:61" s="358" customFormat="1" ht="19.2" x14ac:dyDescent="0.3">
      <c r="A1801" s="359" t="s">
        <v>1936</v>
      </c>
      <c r="B1801" s="537" t="s">
        <v>293</v>
      </c>
      <c r="C1801" s="546" t="s">
        <v>280</v>
      </c>
      <c r="D1801" s="360">
        <v>0.4</v>
      </c>
      <c r="E1801" s="393"/>
      <c r="F1801" s="337">
        <v>1</v>
      </c>
      <c r="G1801" s="497"/>
      <c r="H1801" s="544">
        <v>13.692489999999999</v>
      </c>
      <c r="I1801" s="394">
        <v>11.79346</v>
      </c>
      <c r="J1801" s="394">
        <v>10.45834</v>
      </c>
      <c r="K1801" s="394"/>
      <c r="L1801" s="394"/>
      <c r="M1801" s="394">
        <v>0</v>
      </c>
      <c r="N1801" s="394">
        <v>0</v>
      </c>
      <c r="O1801" s="394">
        <v>0.44272</v>
      </c>
      <c r="P1801" s="394">
        <v>10.45834</v>
      </c>
      <c r="Q1801" s="394"/>
      <c r="R1801" s="381" t="s">
        <v>167</v>
      </c>
      <c r="S1801" s="408" t="s">
        <v>175</v>
      </c>
      <c r="T1801" s="385"/>
      <c r="U1801" s="475">
        <v>717</v>
      </c>
      <c r="V1801" s="395"/>
      <c r="W1801" s="395">
        <f t="shared" si="1014"/>
        <v>13.692489999999999</v>
      </c>
      <c r="X1801" s="393"/>
      <c r="Y1801" s="337"/>
      <c r="Z1801" s="497"/>
      <c r="AA1801" s="544"/>
      <c r="AB1801" s="394"/>
      <c r="AC1801" s="394"/>
      <c r="AD1801" s="394"/>
      <c r="AE1801" s="394"/>
      <c r="AF1801" s="394"/>
      <c r="AG1801" s="394"/>
      <c r="AH1801" s="394"/>
      <c r="AI1801" s="394"/>
      <c r="AJ1801" s="394"/>
      <c r="AK1801" s="381"/>
      <c r="AL1801" s="408"/>
      <c r="AM1801" s="385"/>
      <c r="AN1801" s="475"/>
      <c r="AO1801" s="395"/>
      <c r="AP1801" s="395" t="e">
        <f t="shared" si="1011"/>
        <v>#DIV/0!</v>
      </c>
      <c r="AQ1801" s="393"/>
      <c r="AR1801" s="337"/>
      <c r="AS1801" s="497"/>
      <c r="AT1801" s="544"/>
      <c r="AU1801" s="394"/>
      <c r="AV1801" s="394"/>
      <c r="AW1801" s="394"/>
      <c r="AX1801" s="394"/>
      <c r="AY1801" s="394"/>
      <c r="AZ1801" s="394"/>
      <c r="BA1801" s="394"/>
      <c r="BB1801" s="394"/>
      <c r="BC1801" s="394"/>
      <c r="BD1801" s="381"/>
      <c r="BE1801" s="408"/>
      <c r="BF1801" s="385"/>
      <c r="BG1801" s="475"/>
      <c r="BH1801" s="395"/>
      <c r="BI1801" s="395" t="e">
        <f t="shared" si="1013"/>
        <v>#DIV/0!</v>
      </c>
    </row>
    <row r="1802" spans="1:61" s="358" customFormat="1" ht="19.2" x14ac:dyDescent="0.3">
      <c r="A1802" s="359" t="s">
        <v>1937</v>
      </c>
      <c r="B1802" s="537" t="s">
        <v>320</v>
      </c>
      <c r="C1802" s="546" t="s">
        <v>996</v>
      </c>
      <c r="D1802" s="360">
        <v>0.4</v>
      </c>
      <c r="E1802" s="393"/>
      <c r="F1802" s="337">
        <v>1</v>
      </c>
      <c r="G1802" s="497"/>
      <c r="H1802" s="544">
        <v>13.692489999999999</v>
      </c>
      <c r="I1802" s="394">
        <v>11.79346</v>
      </c>
      <c r="J1802" s="394">
        <v>10.45834</v>
      </c>
      <c r="K1802" s="394"/>
      <c r="L1802" s="394"/>
      <c r="M1802" s="394">
        <v>0</v>
      </c>
      <c r="N1802" s="394">
        <v>0</v>
      </c>
      <c r="O1802" s="394">
        <v>0.44272</v>
      </c>
      <c r="P1802" s="394">
        <v>10.45834</v>
      </c>
      <c r="Q1802" s="394"/>
      <c r="R1802" s="381" t="s">
        <v>167</v>
      </c>
      <c r="S1802" s="408" t="s">
        <v>175</v>
      </c>
      <c r="T1802" s="385"/>
      <c r="U1802" s="475">
        <v>718</v>
      </c>
      <c r="V1802" s="395"/>
      <c r="W1802" s="395">
        <f t="shared" si="1014"/>
        <v>13.692489999999999</v>
      </c>
      <c r="X1802" s="393"/>
      <c r="Y1802" s="337"/>
      <c r="Z1802" s="497"/>
      <c r="AA1802" s="544"/>
      <c r="AB1802" s="394"/>
      <c r="AC1802" s="394"/>
      <c r="AD1802" s="394"/>
      <c r="AE1802" s="394"/>
      <c r="AF1802" s="394"/>
      <c r="AG1802" s="394"/>
      <c r="AH1802" s="394"/>
      <c r="AI1802" s="394"/>
      <c r="AJ1802" s="394"/>
      <c r="AK1802" s="381"/>
      <c r="AL1802" s="408"/>
      <c r="AM1802" s="385"/>
      <c r="AN1802" s="475"/>
      <c r="AO1802" s="395"/>
      <c r="AP1802" s="395" t="e">
        <f t="shared" si="1011"/>
        <v>#DIV/0!</v>
      </c>
      <c r="AQ1802" s="393"/>
      <c r="AR1802" s="337"/>
      <c r="AS1802" s="497"/>
      <c r="AT1802" s="544"/>
      <c r="AU1802" s="394"/>
      <c r="AV1802" s="394"/>
      <c r="AW1802" s="394"/>
      <c r="AX1802" s="394"/>
      <c r="AY1802" s="394"/>
      <c r="AZ1802" s="394"/>
      <c r="BA1802" s="394"/>
      <c r="BB1802" s="394"/>
      <c r="BC1802" s="394"/>
      <c r="BD1802" s="381"/>
      <c r="BE1802" s="408"/>
      <c r="BF1802" s="385"/>
      <c r="BG1802" s="475"/>
      <c r="BH1802" s="395"/>
      <c r="BI1802" s="395" t="e">
        <f t="shared" si="1013"/>
        <v>#DIV/0!</v>
      </c>
    </row>
    <row r="1803" spans="1:61" s="358" customFormat="1" ht="19.2" x14ac:dyDescent="0.3">
      <c r="A1803" s="359" t="s">
        <v>1956</v>
      </c>
      <c r="B1803" s="537" t="s">
        <v>1585</v>
      </c>
      <c r="C1803" s="546" t="s">
        <v>997</v>
      </c>
      <c r="D1803" s="360">
        <v>0.4</v>
      </c>
      <c r="E1803" s="393"/>
      <c r="F1803" s="337">
        <v>1</v>
      </c>
      <c r="G1803" s="497"/>
      <c r="H1803" s="544">
        <v>13.692489999999999</v>
      </c>
      <c r="I1803" s="394">
        <v>11.79346</v>
      </c>
      <c r="J1803" s="394">
        <v>10.45834</v>
      </c>
      <c r="K1803" s="394"/>
      <c r="L1803" s="394"/>
      <c r="M1803" s="394">
        <v>0</v>
      </c>
      <c r="N1803" s="394">
        <v>0</v>
      </c>
      <c r="O1803" s="394">
        <v>0.44272</v>
      </c>
      <c r="P1803" s="394">
        <v>10.45834</v>
      </c>
      <c r="Q1803" s="394"/>
      <c r="R1803" s="381" t="s">
        <v>167</v>
      </c>
      <c r="S1803" s="408" t="s">
        <v>175</v>
      </c>
      <c r="T1803" s="385"/>
      <c r="U1803" s="475">
        <v>719</v>
      </c>
      <c r="V1803" s="395"/>
      <c r="W1803" s="395">
        <f t="shared" si="1014"/>
        <v>13.692489999999999</v>
      </c>
      <c r="X1803" s="393"/>
      <c r="Y1803" s="337"/>
      <c r="Z1803" s="497"/>
      <c r="AA1803" s="544"/>
      <c r="AB1803" s="394"/>
      <c r="AC1803" s="394"/>
      <c r="AD1803" s="394"/>
      <c r="AE1803" s="394"/>
      <c r="AF1803" s="394"/>
      <c r="AG1803" s="394"/>
      <c r="AH1803" s="394"/>
      <c r="AI1803" s="394"/>
      <c r="AJ1803" s="394"/>
      <c r="AK1803" s="381"/>
      <c r="AL1803" s="408"/>
      <c r="AM1803" s="385"/>
      <c r="AN1803" s="475"/>
      <c r="AO1803" s="395"/>
      <c r="AP1803" s="395" t="e">
        <f t="shared" ref="AP1803:AP1866" si="1015">AA1803/Y1803</f>
        <v>#DIV/0!</v>
      </c>
      <c r="AQ1803" s="393"/>
      <c r="AR1803" s="337"/>
      <c r="AS1803" s="497"/>
      <c r="AT1803" s="544"/>
      <c r="AU1803" s="394"/>
      <c r="AV1803" s="394"/>
      <c r="AW1803" s="394"/>
      <c r="AX1803" s="394"/>
      <c r="AY1803" s="394"/>
      <c r="AZ1803" s="394"/>
      <c r="BA1803" s="394"/>
      <c r="BB1803" s="394"/>
      <c r="BC1803" s="394"/>
      <c r="BD1803" s="381"/>
      <c r="BE1803" s="408"/>
      <c r="BF1803" s="385"/>
      <c r="BG1803" s="475"/>
      <c r="BH1803" s="395"/>
      <c r="BI1803" s="395" t="e">
        <f t="shared" si="1013"/>
        <v>#DIV/0!</v>
      </c>
    </row>
    <row r="1804" spans="1:61" s="358" customFormat="1" ht="19.2" x14ac:dyDescent="0.3">
      <c r="A1804" s="359" t="s">
        <v>1939</v>
      </c>
      <c r="B1804" s="537" t="s">
        <v>1586</v>
      </c>
      <c r="C1804" s="546" t="s">
        <v>449</v>
      </c>
      <c r="D1804" s="360">
        <v>0.4</v>
      </c>
      <c r="E1804" s="393"/>
      <c r="F1804" s="337">
        <v>1</v>
      </c>
      <c r="G1804" s="497"/>
      <c r="H1804" s="544">
        <v>13.66717</v>
      </c>
      <c r="I1804" s="394">
        <v>11.768129999999999</v>
      </c>
      <c r="J1804" s="394">
        <v>10.45833</v>
      </c>
      <c r="K1804" s="394"/>
      <c r="L1804" s="394"/>
      <c r="M1804" s="394">
        <v>0</v>
      </c>
      <c r="N1804" s="394">
        <v>0</v>
      </c>
      <c r="O1804" s="394">
        <v>0.44272</v>
      </c>
      <c r="P1804" s="394">
        <v>10.45833</v>
      </c>
      <c r="Q1804" s="394"/>
      <c r="R1804" s="381" t="s">
        <v>167</v>
      </c>
      <c r="S1804" s="408" t="s">
        <v>175</v>
      </c>
      <c r="T1804" s="385"/>
      <c r="U1804" s="475">
        <v>720</v>
      </c>
      <c r="V1804" s="395"/>
      <c r="W1804" s="395">
        <f t="shared" si="1014"/>
        <v>13.66717</v>
      </c>
      <c r="X1804" s="393"/>
      <c r="Y1804" s="337"/>
      <c r="Z1804" s="497"/>
      <c r="AA1804" s="544"/>
      <c r="AB1804" s="394"/>
      <c r="AC1804" s="394"/>
      <c r="AD1804" s="394"/>
      <c r="AE1804" s="394"/>
      <c r="AF1804" s="394"/>
      <c r="AG1804" s="394"/>
      <c r="AH1804" s="394"/>
      <c r="AI1804" s="394"/>
      <c r="AJ1804" s="394"/>
      <c r="AK1804" s="381"/>
      <c r="AL1804" s="408"/>
      <c r="AM1804" s="385"/>
      <c r="AN1804" s="475"/>
      <c r="AO1804" s="395"/>
      <c r="AP1804" s="395" t="e">
        <f t="shared" si="1015"/>
        <v>#DIV/0!</v>
      </c>
      <c r="AQ1804" s="393"/>
      <c r="AR1804" s="337"/>
      <c r="AS1804" s="497"/>
      <c r="AT1804" s="544"/>
      <c r="AU1804" s="394"/>
      <c r="AV1804" s="394"/>
      <c r="AW1804" s="394"/>
      <c r="AX1804" s="394"/>
      <c r="AY1804" s="394"/>
      <c r="AZ1804" s="394"/>
      <c r="BA1804" s="394"/>
      <c r="BB1804" s="394"/>
      <c r="BC1804" s="394"/>
      <c r="BD1804" s="381"/>
      <c r="BE1804" s="408"/>
      <c r="BF1804" s="385"/>
      <c r="BG1804" s="475"/>
      <c r="BH1804" s="395"/>
      <c r="BI1804" s="395" t="e">
        <f t="shared" si="1013"/>
        <v>#DIV/0!</v>
      </c>
    </row>
    <row r="1805" spans="1:61" s="358" customFormat="1" ht="19.2" x14ac:dyDescent="0.3">
      <c r="A1805" s="359" t="s">
        <v>1940</v>
      </c>
      <c r="B1805" s="537" t="s">
        <v>1587</v>
      </c>
      <c r="C1805" s="546" t="s">
        <v>998</v>
      </c>
      <c r="D1805" s="360">
        <v>0.4</v>
      </c>
      <c r="E1805" s="393"/>
      <c r="F1805" s="337">
        <v>1</v>
      </c>
      <c r="G1805" s="497"/>
      <c r="H1805" s="544">
        <v>13.692500000000001</v>
      </c>
      <c r="I1805" s="394">
        <v>11.79346</v>
      </c>
      <c r="J1805" s="394">
        <v>10.45834</v>
      </c>
      <c r="K1805" s="394"/>
      <c r="L1805" s="394"/>
      <c r="M1805" s="394">
        <v>0</v>
      </c>
      <c r="N1805" s="394">
        <v>0</v>
      </c>
      <c r="O1805" s="394">
        <v>0.44272</v>
      </c>
      <c r="P1805" s="394">
        <v>10.45834</v>
      </c>
      <c r="Q1805" s="394"/>
      <c r="R1805" s="381" t="s">
        <v>167</v>
      </c>
      <c r="S1805" s="408" t="s">
        <v>175</v>
      </c>
      <c r="T1805" s="385"/>
      <c r="U1805" s="475">
        <v>721</v>
      </c>
      <c r="V1805" s="395"/>
      <c r="W1805" s="395">
        <f t="shared" si="1014"/>
        <v>13.692500000000001</v>
      </c>
      <c r="X1805" s="393"/>
      <c r="Y1805" s="337"/>
      <c r="Z1805" s="497"/>
      <c r="AA1805" s="544"/>
      <c r="AB1805" s="394"/>
      <c r="AC1805" s="394"/>
      <c r="AD1805" s="394"/>
      <c r="AE1805" s="394"/>
      <c r="AF1805" s="394"/>
      <c r="AG1805" s="394"/>
      <c r="AH1805" s="394"/>
      <c r="AI1805" s="394"/>
      <c r="AJ1805" s="394"/>
      <c r="AK1805" s="381"/>
      <c r="AL1805" s="408"/>
      <c r="AM1805" s="385"/>
      <c r="AN1805" s="475"/>
      <c r="AO1805" s="395"/>
      <c r="AP1805" s="395" t="e">
        <f t="shared" si="1015"/>
        <v>#DIV/0!</v>
      </c>
      <c r="AQ1805" s="393"/>
      <c r="AR1805" s="337"/>
      <c r="AS1805" s="497"/>
      <c r="AT1805" s="544"/>
      <c r="AU1805" s="394"/>
      <c r="AV1805" s="394"/>
      <c r="AW1805" s="394"/>
      <c r="AX1805" s="394"/>
      <c r="AY1805" s="394"/>
      <c r="AZ1805" s="394"/>
      <c r="BA1805" s="394"/>
      <c r="BB1805" s="394"/>
      <c r="BC1805" s="394"/>
      <c r="BD1805" s="381"/>
      <c r="BE1805" s="408"/>
      <c r="BF1805" s="385"/>
      <c r="BG1805" s="475"/>
      <c r="BH1805" s="395"/>
      <c r="BI1805" s="395" t="e">
        <f t="shared" si="1013"/>
        <v>#DIV/0!</v>
      </c>
    </row>
    <row r="1806" spans="1:61" s="358" customFormat="1" ht="19.2" x14ac:dyDescent="0.3">
      <c r="A1806" s="359" t="s">
        <v>1941</v>
      </c>
      <c r="B1806" s="537" t="s">
        <v>563</v>
      </c>
      <c r="C1806" s="546" t="s">
        <v>428</v>
      </c>
      <c r="D1806" s="360">
        <v>0.4</v>
      </c>
      <c r="E1806" s="393"/>
      <c r="F1806" s="337">
        <v>1</v>
      </c>
      <c r="G1806" s="497"/>
      <c r="H1806" s="544">
        <v>12.344530000000001</v>
      </c>
      <c r="I1806" s="394">
        <v>10.028790000000001</v>
      </c>
      <c r="J1806" s="394">
        <v>8.5416699999999999</v>
      </c>
      <c r="K1806" s="394"/>
      <c r="L1806" s="394"/>
      <c r="M1806" s="394">
        <v>0</v>
      </c>
      <c r="N1806" s="394">
        <v>0</v>
      </c>
      <c r="O1806" s="394">
        <v>0.53986000000000001</v>
      </c>
      <c r="P1806" s="394">
        <v>8.5416699999999999</v>
      </c>
      <c r="Q1806" s="394"/>
      <c r="R1806" s="381" t="s">
        <v>167</v>
      </c>
      <c r="S1806" s="408" t="s">
        <v>175</v>
      </c>
      <c r="T1806" s="385"/>
      <c r="U1806" s="475">
        <v>722</v>
      </c>
      <c r="V1806" s="395"/>
      <c r="W1806" s="395">
        <f t="shared" si="1014"/>
        <v>12.344530000000001</v>
      </c>
      <c r="X1806" s="393"/>
      <c r="Y1806" s="337"/>
      <c r="Z1806" s="497"/>
      <c r="AA1806" s="544"/>
      <c r="AB1806" s="394"/>
      <c r="AC1806" s="394"/>
      <c r="AD1806" s="394"/>
      <c r="AE1806" s="394"/>
      <c r="AF1806" s="394"/>
      <c r="AG1806" s="394"/>
      <c r="AH1806" s="394"/>
      <c r="AI1806" s="394"/>
      <c r="AJ1806" s="394"/>
      <c r="AK1806" s="381"/>
      <c r="AL1806" s="408"/>
      <c r="AM1806" s="385"/>
      <c r="AN1806" s="475"/>
      <c r="AO1806" s="395"/>
      <c r="AP1806" s="395" t="e">
        <f t="shared" si="1015"/>
        <v>#DIV/0!</v>
      </c>
      <c r="AQ1806" s="393"/>
      <c r="AR1806" s="337"/>
      <c r="AS1806" s="497"/>
      <c r="AT1806" s="544"/>
      <c r="AU1806" s="394"/>
      <c r="AV1806" s="394"/>
      <c r="AW1806" s="394"/>
      <c r="AX1806" s="394"/>
      <c r="AY1806" s="394"/>
      <c r="AZ1806" s="394"/>
      <c r="BA1806" s="394"/>
      <c r="BB1806" s="394"/>
      <c r="BC1806" s="394"/>
      <c r="BD1806" s="381"/>
      <c r="BE1806" s="408"/>
      <c r="BF1806" s="385"/>
      <c r="BG1806" s="475"/>
      <c r="BH1806" s="395"/>
      <c r="BI1806" s="395" t="e">
        <f t="shared" si="1013"/>
        <v>#DIV/0!</v>
      </c>
    </row>
    <row r="1807" spans="1:61" s="358" customFormat="1" ht="19.2" x14ac:dyDescent="0.3">
      <c r="A1807" s="359" t="s">
        <v>1960</v>
      </c>
      <c r="B1807" s="537" t="s">
        <v>567</v>
      </c>
      <c r="C1807" s="546" t="s">
        <v>432</v>
      </c>
      <c r="D1807" s="360">
        <v>0.4</v>
      </c>
      <c r="E1807" s="393"/>
      <c r="F1807" s="337">
        <v>1</v>
      </c>
      <c r="G1807" s="497"/>
      <c r="H1807" s="544">
        <v>12.286530000000001</v>
      </c>
      <c r="I1807" s="394">
        <v>9.9707899999999992</v>
      </c>
      <c r="J1807" s="394">
        <v>8.5416699999999999</v>
      </c>
      <c r="K1807" s="394"/>
      <c r="L1807" s="394"/>
      <c r="M1807" s="394">
        <v>0</v>
      </c>
      <c r="N1807" s="394">
        <v>0</v>
      </c>
      <c r="O1807" s="394">
        <v>0.53986000000000001</v>
      </c>
      <c r="P1807" s="394">
        <v>8.5416699999999999</v>
      </c>
      <c r="Q1807" s="394"/>
      <c r="R1807" s="381" t="s">
        <v>167</v>
      </c>
      <c r="S1807" s="408" t="s">
        <v>175</v>
      </c>
      <c r="T1807" s="385"/>
      <c r="U1807" s="475">
        <v>723</v>
      </c>
      <c r="V1807" s="395"/>
      <c r="W1807" s="395">
        <f t="shared" si="1014"/>
        <v>12.286530000000001</v>
      </c>
      <c r="X1807" s="393"/>
      <c r="Y1807" s="337"/>
      <c r="Z1807" s="497"/>
      <c r="AA1807" s="544"/>
      <c r="AB1807" s="394"/>
      <c r="AC1807" s="394"/>
      <c r="AD1807" s="394"/>
      <c r="AE1807" s="394"/>
      <c r="AF1807" s="394"/>
      <c r="AG1807" s="394"/>
      <c r="AH1807" s="394"/>
      <c r="AI1807" s="394"/>
      <c r="AJ1807" s="394"/>
      <c r="AK1807" s="381"/>
      <c r="AL1807" s="408"/>
      <c r="AM1807" s="385"/>
      <c r="AN1807" s="475"/>
      <c r="AO1807" s="395"/>
      <c r="AP1807" s="395" t="e">
        <f t="shared" si="1015"/>
        <v>#DIV/0!</v>
      </c>
      <c r="AQ1807" s="393"/>
      <c r="AR1807" s="337"/>
      <c r="AS1807" s="497"/>
      <c r="AT1807" s="544"/>
      <c r="AU1807" s="394"/>
      <c r="AV1807" s="394"/>
      <c r="AW1807" s="394"/>
      <c r="AX1807" s="394"/>
      <c r="AY1807" s="394"/>
      <c r="AZ1807" s="394"/>
      <c r="BA1807" s="394"/>
      <c r="BB1807" s="394"/>
      <c r="BC1807" s="394"/>
      <c r="BD1807" s="381"/>
      <c r="BE1807" s="408"/>
      <c r="BF1807" s="385"/>
      <c r="BG1807" s="475"/>
      <c r="BH1807" s="395"/>
      <c r="BI1807" s="395" t="e">
        <f t="shared" si="1013"/>
        <v>#DIV/0!</v>
      </c>
    </row>
    <row r="1808" spans="1:61" s="358" customFormat="1" ht="19.2" x14ac:dyDescent="0.3">
      <c r="A1808" s="359" t="s">
        <v>1943</v>
      </c>
      <c r="B1808" s="537" t="s">
        <v>1588</v>
      </c>
      <c r="C1808" s="546" t="s">
        <v>999</v>
      </c>
      <c r="D1808" s="360">
        <v>0.4</v>
      </c>
      <c r="E1808" s="393"/>
      <c r="F1808" s="337">
        <v>1</v>
      </c>
      <c r="G1808" s="497"/>
      <c r="H1808" s="544">
        <v>12.286519999999999</v>
      </c>
      <c r="I1808" s="394">
        <v>9.9707899999999992</v>
      </c>
      <c r="J1808" s="394">
        <v>8.5416699999999999</v>
      </c>
      <c r="K1808" s="394"/>
      <c r="L1808" s="394"/>
      <c r="M1808" s="394">
        <v>0</v>
      </c>
      <c r="N1808" s="394">
        <v>0</v>
      </c>
      <c r="O1808" s="394">
        <v>0.53986000000000001</v>
      </c>
      <c r="P1808" s="394">
        <v>8.5416699999999999</v>
      </c>
      <c r="Q1808" s="394"/>
      <c r="R1808" s="381" t="s">
        <v>167</v>
      </c>
      <c r="S1808" s="408" t="s">
        <v>175</v>
      </c>
      <c r="T1808" s="385"/>
      <c r="U1808" s="475">
        <v>724</v>
      </c>
      <c r="V1808" s="395"/>
      <c r="W1808" s="395">
        <f t="shared" si="1014"/>
        <v>12.286519999999999</v>
      </c>
      <c r="X1808" s="393"/>
      <c r="Y1808" s="337"/>
      <c r="Z1808" s="497"/>
      <c r="AA1808" s="544"/>
      <c r="AB1808" s="394"/>
      <c r="AC1808" s="394"/>
      <c r="AD1808" s="394"/>
      <c r="AE1808" s="394"/>
      <c r="AF1808" s="394"/>
      <c r="AG1808" s="394"/>
      <c r="AH1808" s="394"/>
      <c r="AI1808" s="394"/>
      <c r="AJ1808" s="394"/>
      <c r="AK1808" s="381"/>
      <c r="AL1808" s="408"/>
      <c r="AM1808" s="385"/>
      <c r="AN1808" s="475"/>
      <c r="AO1808" s="395"/>
      <c r="AP1808" s="395" t="e">
        <f t="shared" si="1015"/>
        <v>#DIV/0!</v>
      </c>
      <c r="AQ1808" s="393"/>
      <c r="AR1808" s="337"/>
      <c r="AS1808" s="497"/>
      <c r="AT1808" s="544"/>
      <c r="AU1808" s="394"/>
      <c r="AV1808" s="394"/>
      <c r="AW1808" s="394"/>
      <c r="AX1808" s="394"/>
      <c r="AY1808" s="394"/>
      <c r="AZ1808" s="394"/>
      <c r="BA1808" s="394"/>
      <c r="BB1808" s="394"/>
      <c r="BC1808" s="394"/>
      <c r="BD1808" s="381"/>
      <c r="BE1808" s="408"/>
      <c r="BF1808" s="385"/>
      <c r="BG1808" s="475"/>
      <c r="BH1808" s="395"/>
      <c r="BI1808" s="395" t="e">
        <f t="shared" si="1013"/>
        <v>#DIV/0!</v>
      </c>
    </row>
    <row r="1809" spans="1:61" s="358" customFormat="1" ht="19.2" x14ac:dyDescent="0.3">
      <c r="A1809" s="359" t="s">
        <v>1944</v>
      </c>
      <c r="B1809" s="537" t="s">
        <v>1589</v>
      </c>
      <c r="C1809" s="546" t="s">
        <v>1000</v>
      </c>
      <c r="D1809" s="360">
        <v>0.4</v>
      </c>
      <c r="E1809" s="393"/>
      <c r="F1809" s="337">
        <v>1</v>
      </c>
      <c r="G1809" s="497"/>
      <c r="H1809" s="544">
        <v>12.286530000000001</v>
      </c>
      <c r="I1809" s="394">
        <v>9.9707899999999992</v>
      </c>
      <c r="J1809" s="394">
        <v>8.5416699999999999</v>
      </c>
      <c r="K1809" s="394"/>
      <c r="L1809" s="394"/>
      <c r="M1809" s="394">
        <v>0</v>
      </c>
      <c r="N1809" s="394">
        <v>0</v>
      </c>
      <c r="O1809" s="394">
        <v>0.53986000000000001</v>
      </c>
      <c r="P1809" s="394">
        <v>8.5416699999999999</v>
      </c>
      <c r="Q1809" s="394"/>
      <c r="R1809" s="381" t="s">
        <v>167</v>
      </c>
      <c r="S1809" s="408" t="s">
        <v>175</v>
      </c>
      <c r="T1809" s="385"/>
      <c r="U1809" s="475">
        <v>725</v>
      </c>
      <c r="V1809" s="395"/>
      <c r="W1809" s="395">
        <f t="shared" si="1014"/>
        <v>12.286530000000001</v>
      </c>
      <c r="X1809" s="393"/>
      <c r="Y1809" s="337"/>
      <c r="Z1809" s="497"/>
      <c r="AA1809" s="544"/>
      <c r="AB1809" s="394"/>
      <c r="AC1809" s="394"/>
      <c r="AD1809" s="394"/>
      <c r="AE1809" s="394"/>
      <c r="AF1809" s="394"/>
      <c r="AG1809" s="394"/>
      <c r="AH1809" s="394"/>
      <c r="AI1809" s="394"/>
      <c r="AJ1809" s="394"/>
      <c r="AK1809" s="381"/>
      <c r="AL1809" s="408"/>
      <c r="AM1809" s="385"/>
      <c r="AN1809" s="475"/>
      <c r="AO1809" s="395"/>
      <c r="AP1809" s="395" t="e">
        <f t="shared" si="1015"/>
        <v>#DIV/0!</v>
      </c>
      <c r="AQ1809" s="393"/>
      <c r="AR1809" s="337"/>
      <c r="AS1809" s="497"/>
      <c r="AT1809" s="544"/>
      <c r="AU1809" s="394"/>
      <c r="AV1809" s="394"/>
      <c r="AW1809" s="394"/>
      <c r="AX1809" s="394"/>
      <c r="AY1809" s="394"/>
      <c r="AZ1809" s="394"/>
      <c r="BA1809" s="394"/>
      <c r="BB1809" s="394"/>
      <c r="BC1809" s="394"/>
      <c r="BD1809" s="381"/>
      <c r="BE1809" s="408"/>
      <c r="BF1809" s="385"/>
      <c r="BG1809" s="475"/>
      <c r="BH1809" s="395"/>
      <c r="BI1809" s="395" t="e">
        <f t="shared" si="1013"/>
        <v>#DIV/0!</v>
      </c>
    </row>
    <row r="1810" spans="1:61" s="358" customFormat="1" ht="19.2" x14ac:dyDescent="0.3">
      <c r="A1810" s="359" t="s">
        <v>1929</v>
      </c>
      <c r="B1810" s="537" t="s">
        <v>1590</v>
      </c>
      <c r="C1810" s="546" t="s">
        <v>936</v>
      </c>
      <c r="D1810" s="360">
        <v>0.4</v>
      </c>
      <c r="E1810" s="393"/>
      <c r="F1810" s="337">
        <v>1</v>
      </c>
      <c r="G1810" s="497"/>
      <c r="H1810" s="544">
        <v>11.77582</v>
      </c>
      <c r="I1810" s="394">
        <v>9.8767800000000001</v>
      </c>
      <c r="J1810" s="394">
        <v>8.5416600000000003</v>
      </c>
      <c r="K1810" s="394"/>
      <c r="L1810" s="394"/>
      <c r="M1810" s="394">
        <v>0</v>
      </c>
      <c r="N1810" s="394">
        <v>0</v>
      </c>
      <c r="O1810" s="394">
        <v>0.44272</v>
      </c>
      <c r="P1810" s="394">
        <v>8.5416600000000003</v>
      </c>
      <c r="Q1810" s="394"/>
      <c r="R1810" s="381" t="s">
        <v>167</v>
      </c>
      <c r="S1810" s="408" t="s">
        <v>175</v>
      </c>
      <c r="T1810" s="385"/>
      <c r="U1810" s="475">
        <v>726</v>
      </c>
      <c r="V1810" s="395"/>
      <c r="W1810" s="395">
        <f t="shared" si="1014"/>
        <v>11.77582</v>
      </c>
      <c r="X1810" s="393"/>
      <c r="Y1810" s="337"/>
      <c r="Z1810" s="497"/>
      <c r="AA1810" s="544"/>
      <c r="AB1810" s="394"/>
      <c r="AC1810" s="394"/>
      <c r="AD1810" s="394"/>
      <c r="AE1810" s="394"/>
      <c r="AF1810" s="394"/>
      <c r="AG1810" s="394"/>
      <c r="AH1810" s="394"/>
      <c r="AI1810" s="394"/>
      <c r="AJ1810" s="394"/>
      <c r="AK1810" s="381"/>
      <c r="AL1810" s="408"/>
      <c r="AM1810" s="385"/>
      <c r="AN1810" s="475"/>
      <c r="AO1810" s="395"/>
      <c r="AP1810" s="395" t="e">
        <f t="shared" si="1015"/>
        <v>#DIV/0!</v>
      </c>
      <c r="AQ1810" s="393"/>
      <c r="AR1810" s="337"/>
      <c r="AS1810" s="497"/>
      <c r="AT1810" s="544"/>
      <c r="AU1810" s="394"/>
      <c r="AV1810" s="394"/>
      <c r="AW1810" s="394"/>
      <c r="AX1810" s="394"/>
      <c r="AY1810" s="394"/>
      <c r="AZ1810" s="394"/>
      <c r="BA1810" s="394"/>
      <c r="BB1810" s="394"/>
      <c r="BC1810" s="394"/>
      <c r="BD1810" s="381"/>
      <c r="BE1810" s="408"/>
      <c r="BF1810" s="385"/>
      <c r="BG1810" s="475"/>
      <c r="BH1810" s="395"/>
      <c r="BI1810" s="395" t="e">
        <f t="shared" si="1013"/>
        <v>#DIV/0!</v>
      </c>
    </row>
    <row r="1811" spans="1:61" s="358" customFormat="1" ht="19.2" x14ac:dyDescent="0.3">
      <c r="A1811" s="359" t="s">
        <v>1946</v>
      </c>
      <c r="B1811" s="537" t="s">
        <v>1438</v>
      </c>
      <c r="C1811" s="546" t="s">
        <v>1001</v>
      </c>
      <c r="D1811" s="360">
        <v>0.4</v>
      </c>
      <c r="E1811" s="393"/>
      <c r="F1811" s="337">
        <v>1</v>
      </c>
      <c r="G1811" s="497"/>
      <c r="H1811" s="544">
        <v>13.381</v>
      </c>
      <c r="I1811" s="394">
        <v>11.400790000000001</v>
      </c>
      <c r="J1811" s="394">
        <v>10.45833</v>
      </c>
      <c r="K1811" s="394"/>
      <c r="L1811" s="394"/>
      <c r="M1811" s="394">
        <v>0</v>
      </c>
      <c r="N1811" s="394">
        <v>0</v>
      </c>
      <c r="O1811" s="394">
        <v>0.4617</v>
      </c>
      <c r="P1811" s="394">
        <v>10.45833</v>
      </c>
      <c r="Q1811" s="394"/>
      <c r="R1811" s="381" t="s">
        <v>167</v>
      </c>
      <c r="S1811" s="408" t="s">
        <v>175</v>
      </c>
      <c r="T1811" s="385"/>
      <c r="U1811" s="475">
        <v>727</v>
      </c>
      <c r="V1811" s="395"/>
      <c r="W1811" s="395">
        <f t="shared" si="1014"/>
        <v>13.381</v>
      </c>
      <c r="X1811" s="393"/>
      <c r="Y1811" s="337"/>
      <c r="Z1811" s="497"/>
      <c r="AA1811" s="544"/>
      <c r="AB1811" s="394"/>
      <c r="AC1811" s="394"/>
      <c r="AD1811" s="394"/>
      <c r="AE1811" s="394"/>
      <c r="AF1811" s="394"/>
      <c r="AG1811" s="394"/>
      <c r="AH1811" s="394"/>
      <c r="AI1811" s="394"/>
      <c r="AJ1811" s="394"/>
      <c r="AK1811" s="381"/>
      <c r="AL1811" s="408"/>
      <c r="AM1811" s="385"/>
      <c r="AN1811" s="475"/>
      <c r="AO1811" s="395"/>
      <c r="AP1811" s="395" t="e">
        <f t="shared" si="1015"/>
        <v>#DIV/0!</v>
      </c>
      <c r="AQ1811" s="393"/>
      <c r="AR1811" s="337"/>
      <c r="AS1811" s="497"/>
      <c r="AT1811" s="544"/>
      <c r="AU1811" s="394"/>
      <c r="AV1811" s="394"/>
      <c r="AW1811" s="394"/>
      <c r="AX1811" s="394"/>
      <c r="AY1811" s="394"/>
      <c r="AZ1811" s="394"/>
      <c r="BA1811" s="394"/>
      <c r="BB1811" s="394"/>
      <c r="BC1811" s="394"/>
      <c r="BD1811" s="381"/>
      <c r="BE1811" s="408"/>
      <c r="BF1811" s="385"/>
      <c r="BG1811" s="475"/>
      <c r="BH1811" s="395"/>
      <c r="BI1811" s="395" t="e">
        <f t="shared" si="1013"/>
        <v>#DIV/0!</v>
      </c>
    </row>
    <row r="1812" spans="1:61" s="358" customFormat="1" ht="19.2" x14ac:dyDescent="0.3">
      <c r="A1812" s="359" t="s">
        <v>1947</v>
      </c>
      <c r="B1812" s="537" t="s">
        <v>1591</v>
      </c>
      <c r="C1812" s="546" t="s">
        <v>1002</v>
      </c>
      <c r="D1812" s="360">
        <v>0.4</v>
      </c>
      <c r="E1812" s="393"/>
      <c r="F1812" s="337">
        <v>1</v>
      </c>
      <c r="G1812" s="497"/>
      <c r="H1812" s="544">
        <v>13.381</v>
      </c>
      <c r="I1812" s="394">
        <v>11.400790000000001</v>
      </c>
      <c r="J1812" s="394">
        <v>10.45833</v>
      </c>
      <c r="K1812" s="394"/>
      <c r="L1812" s="394"/>
      <c r="M1812" s="394">
        <v>0</v>
      </c>
      <c r="N1812" s="394">
        <v>0</v>
      </c>
      <c r="O1812" s="394">
        <v>0.4617</v>
      </c>
      <c r="P1812" s="394">
        <v>10.45833</v>
      </c>
      <c r="Q1812" s="394"/>
      <c r="R1812" s="381" t="s">
        <v>167</v>
      </c>
      <c r="S1812" s="408" t="s">
        <v>175</v>
      </c>
      <c r="T1812" s="385"/>
      <c r="U1812" s="475">
        <v>728</v>
      </c>
      <c r="V1812" s="395"/>
      <c r="W1812" s="395">
        <f t="shared" si="1014"/>
        <v>13.381</v>
      </c>
      <c r="X1812" s="393"/>
      <c r="Y1812" s="337"/>
      <c r="Z1812" s="497"/>
      <c r="AA1812" s="544"/>
      <c r="AB1812" s="394"/>
      <c r="AC1812" s="394"/>
      <c r="AD1812" s="394"/>
      <c r="AE1812" s="394"/>
      <c r="AF1812" s="394"/>
      <c r="AG1812" s="394"/>
      <c r="AH1812" s="394"/>
      <c r="AI1812" s="394"/>
      <c r="AJ1812" s="394"/>
      <c r="AK1812" s="381"/>
      <c r="AL1812" s="408"/>
      <c r="AM1812" s="385"/>
      <c r="AN1812" s="475"/>
      <c r="AO1812" s="395"/>
      <c r="AP1812" s="395" t="e">
        <f t="shared" si="1015"/>
        <v>#DIV/0!</v>
      </c>
      <c r="AQ1812" s="393"/>
      <c r="AR1812" s="337"/>
      <c r="AS1812" s="497"/>
      <c r="AT1812" s="544"/>
      <c r="AU1812" s="394"/>
      <c r="AV1812" s="394"/>
      <c r="AW1812" s="394"/>
      <c r="AX1812" s="394"/>
      <c r="AY1812" s="394"/>
      <c r="AZ1812" s="394"/>
      <c r="BA1812" s="394"/>
      <c r="BB1812" s="394"/>
      <c r="BC1812" s="394"/>
      <c r="BD1812" s="381"/>
      <c r="BE1812" s="408"/>
      <c r="BF1812" s="385"/>
      <c r="BG1812" s="475"/>
      <c r="BH1812" s="395"/>
      <c r="BI1812" s="395" t="e">
        <f t="shared" si="1013"/>
        <v>#DIV/0!</v>
      </c>
    </row>
    <row r="1813" spans="1:61" s="358" customFormat="1" ht="19.2" x14ac:dyDescent="0.3">
      <c r="A1813" s="359" t="s">
        <v>1948</v>
      </c>
      <c r="B1813" s="537" t="s">
        <v>1592</v>
      </c>
      <c r="C1813" s="546" t="s">
        <v>1003</v>
      </c>
      <c r="D1813" s="360">
        <v>0.4</v>
      </c>
      <c r="E1813" s="393"/>
      <c r="F1813" s="337">
        <v>1</v>
      </c>
      <c r="G1813" s="497"/>
      <c r="H1813" s="544">
        <v>13.381</v>
      </c>
      <c r="I1813" s="394">
        <v>11.400790000000001</v>
      </c>
      <c r="J1813" s="394">
        <v>10.45833</v>
      </c>
      <c r="K1813" s="394"/>
      <c r="L1813" s="394"/>
      <c r="M1813" s="394">
        <v>0</v>
      </c>
      <c r="N1813" s="394">
        <v>0</v>
      </c>
      <c r="O1813" s="394">
        <v>0.4617</v>
      </c>
      <c r="P1813" s="394">
        <v>10.45833</v>
      </c>
      <c r="Q1813" s="394"/>
      <c r="R1813" s="381" t="s">
        <v>167</v>
      </c>
      <c r="S1813" s="408" t="s">
        <v>175</v>
      </c>
      <c r="T1813" s="385"/>
      <c r="U1813" s="475">
        <v>729</v>
      </c>
      <c r="V1813" s="395"/>
      <c r="W1813" s="395">
        <f t="shared" si="1014"/>
        <v>13.381</v>
      </c>
      <c r="X1813" s="393"/>
      <c r="Y1813" s="337"/>
      <c r="Z1813" s="497"/>
      <c r="AA1813" s="544"/>
      <c r="AB1813" s="394"/>
      <c r="AC1813" s="394"/>
      <c r="AD1813" s="394"/>
      <c r="AE1813" s="394"/>
      <c r="AF1813" s="394"/>
      <c r="AG1813" s="394"/>
      <c r="AH1813" s="394"/>
      <c r="AI1813" s="394"/>
      <c r="AJ1813" s="394"/>
      <c r="AK1813" s="381"/>
      <c r="AL1813" s="408"/>
      <c r="AM1813" s="385"/>
      <c r="AN1813" s="475"/>
      <c r="AO1813" s="395"/>
      <c r="AP1813" s="395" t="e">
        <f t="shared" si="1015"/>
        <v>#DIV/0!</v>
      </c>
      <c r="AQ1813" s="393"/>
      <c r="AR1813" s="337"/>
      <c r="AS1813" s="497"/>
      <c r="AT1813" s="544"/>
      <c r="AU1813" s="394"/>
      <c r="AV1813" s="394"/>
      <c r="AW1813" s="394"/>
      <c r="AX1813" s="394"/>
      <c r="AY1813" s="394"/>
      <c r="AZ1813" s="394"/>
      <c r="BA1813" s="394"/>
      <c r="BB1813" s="394"/>
      <c r="BC1813" s="394"/>
      <c r="BD1813" s="381"/>
      <c r="BE1813" s="408"/>
      <c r="BF1813" s="385"/>
      <c r="BG1813" s="475"/>
      <c r="BH1813" s="395"/>
      <c r="BI1813" s="395" t="e">
        <f t="shared" si="1013"/>
        <v>#DIV/0!</v>
      </c>
    </row>
    <row r="1814" spans="1:61" s="358" customFormat="1" ht="19.2" x14ac:dyDescent="0.3">
      <c r="A1814" s="359" t="s">
        <v>1949</v>
      </c>
      <c r="B1814" s="537" t="s">
        <v>1593</v>
      </c>
      <c r="C1814" s="546" t="s">
        <v>1004</v>
      </c>
      <c r="D1814" s="360">
        <v>0.4</v>
      </c>
      <c r="E1814" s="393"/>
      <c r="F1814" s="337">
        <v>1</v>
      </c>
      <c r="G1814" s="497"/>
      <c r="H1814" s="544">
        <v>13.381</v>
      </c>
      <c r="I1814" s="394">
        <v>11.400790000000001</v>
      </c>
      <c r="J1814" s="394">
        <v>10.45833</v>
      </c>
      <c r="K1814" s="394"/>
      <c r="L1814" s="394"/>
      <c r="M1814" s="394">
        <v>0</v>
      </c>
      <c r="N1814" s="394">
        <v>0</v>
      </c>
      <c r="O1814" s="394">
        <v>0.4617</v>
      </c>
      <c r="P1814" s="394">
        <v>10.45833</v>
      </c>
      <c r="Q1814" s="394"/>
      <c r="R1814" s="381" t="s">
        <v>167</v>
      </c>
      <c r="S1814" s="408" t="s">
        <v>175</v>
      </c>
      <c r="T1814" s="385"/>
      <c r="U1814" s="475">
        <v>730</v>
      </c>
      <c r="V1814" s="395"/>
      <c r="W1814" s="395">
        <f t="shared" si="1014"/>
        <v>13.381</v>
      </c>
      <c r="X1814" s="393"/>
      <c r="Y1814" s="337"/>
      <c r="Z1814" s="497"/>
      <c r="AA1814" s="544"/>
      <c r="AB1814" s="394"/>
      <c r="AC1814" s="394"/>
      <c r="AD1814" s="394"/>
      <c r="AE1814" s="394"/>
      <c r="AF1814" s="394"/>
      <c r="AG1814" s="394"/>
      <c r="AH1814" s="394"/>
      <c r="AI1814" s="394"/>
      <c r="AJ1814" s="394"/>
      <c r="AK1814" s="381"/>
      <c r="AL1814" s="408"/>
      <c r="AM1814" s="385"/>
      <c r="AN1814" s="475"/>
      <c r="AO1814" s="395"/>
      <c r="AP1814" s="395" t="e">
        <f t="shared" si="1015"/>
        <v>#DIV/0!</v>
      </c>
      <c r="AQ1814" s="393"/>
      <c r="AR1814" s="337"/>
      <c r="AS1814" s="497"/>
      <c r="AT1814" s="544"/>
      <c r="AU1814" s="394"/>
      <c r="AV1814" s="394"/>
      <c r="AW1814" s="394"/>
      <c r="AX1814" s="394"/>
      <c r="AY1814" s="394"/>
      <c r="AZ1814" s="394"/>
      <c r="BA1814" s="394"/>
      <c r="BB1814" s="394"/>
      <c r="BC1814" s="394"/>
      <c r="BD1814" s="381"/>
      <c r="BE1814" s="408"/>
      <c r="BF1814" s="385"/>
      <c r="BG1814" s="475"/>
      <c r="BH1814" s="395"/>
      <c r="BI1814" s="395" t="e">
        <f t="shared" si="1013"/>
        <v>#DIV/0!</v>
      </c>
    </row>
    <row r="1815" spans="1:61" s="358" customFormat="1" ht="19.2" x14ac:dyDescent="0.3">
      <c r="A1815" s="359" t="s">
        <v>1950</v>
      </c>
      <c r="B1815" s="537" t="s">
        <v>590</v>
      </c>
      <c r="C1815" s="546" t="s">
        <v>462</v>
      </c>
      <c r="D1815" s="360">
        <v>0.4</v>
      </c>
      <c r="E1815" s="393"/>
      <c r="F1815" s="337">
        <v>1</v>
      </c>
      <c r="G1815" s="497"/>
      <c r="H1815" s="544">
        <v>13.381</v>
      </c>
      <c r="I1815" s="394">
        <v>11.400790000000001</v>
      </c>
      <c r="J1815" s="394">
        <v>10.45833</v>
      </c>
      <c r="K1815" s="394"/>
      <c r="L1815" s="394"/>
      <c r="M1815" s="394">
        <v>0</v>
      </c>
      <c r="N1815" s="394">
        <v>0</v>
      </c>
      <c r="O1815" s="394">
        <v>0.4617</v>
      </c>
      <c r="P1815" s="394">
        <v>10.45833</v>
      </c>
      <c r="Q1815" s="394"/>
      <c r="R1815" s="381" t="s">
        <v>167</v>
      </c>
      <c r="S1815" s="408" t="s">
        <v>175</v>
      </c>
      <c r="T1815" s="385"/>
      <c r="U1815" s="475">
        <v>731</v>
      </c>
      <c r="V1815" s="395"/>
      <c r="W1815" s="395">
        <f t="shared" si="1014"/>
        <v>13.381</v>
      </c>
      <c r="X1815" s="393"/>
      <c r="Y1815" s="337"/>
      <c r="Z1815" s="497"/>
      <c r="AA1815" s="544"/>
      <c r="AB1815" s="394"/>
      <c r="AC1815" s="394"/>
      <c r="AD1815" s="394"/>
      <c r="AE1815" s="394"/>
      <c r="AF1815" s="394"/>
      <c r="AG1815" s="394"/>
      <c r="AH1815" s="394"/>
      <c r="AI1815" s="394"/>
      <c r="AJ1815" s="394"/>
      <c r="AK1815" s="381"/>
      <c r="AL1815" s="408"/>
      <c r="AM1815" s="385"/>
      <c r="AN1815" s="475"/>
      <c r="AO1815" s="395"/>
      <c r="AP1815" s="395" t="e">
        <f t="shared" si="1015"/>
        <v>#DIV/0!</v>
      </c>
      <c r="AQ1815" s="393"/>
      <c r="AR1815" s="337"/>
      <c r="AS1815" s="497"/>
      <c r="AT1815" s="544"/>
      <c r="AU1815" s="394"/>
      <c r="AV1815" s="394"/>
      <c r="AW1815" s="394"/>
      <c r="AX1815" s="394"/>
      <c r="AY1815" s="394"/>
      <c r="AZ1815" s="394"/>
      <c r="BA1815" s="394"/>
      <c r="BB1815" s="394"/>
      <c r="BC1815" s="394"/>
      <c r="BD1815" s="381"/>
      <c r="BE1815" s="408"/>
      <c r="BF1815" s="385"/>
      <c r="BG1815" s="475"/>
      <c r="BH1815" s="395"/>
      <c r="BI1815" s="395" t="e">
        <f t="shared" ref="BI1815:BI1878" si="1016">AT1815/AR1815</f>
        <v>#DIV/0!</v>
      </c>
    </row>
    <row r="1816" spans="1:61" s="358" customFormat="1" ht="19.2" x14ac:dyDescent="0.3">
      <c r="A1816" s="359" t="s">
        <v>1953</v>
      </c>
      <c r="B1816" s="537" t="s">
        <v>612</v>
      </c>
      <c r="C1816" s="546" t="s">
        <v>486</v>
      </c>
      <c r="D1816" s="360">
        <v>0.4</v>
      </c>
      <c r="E1816" s="393"/>
      <c r="F1816" s="337">
        <v>1</v>
      </c>
      <c r="G1816" s="497"/>
      <c r="H1816" s="544">
        <v>13.381</v>
      </c>
      <c r="I1816" s="394">
        <v>11.400790000000001</v>
      </c>
      <c r="J1816" s="394">
        <v>10.45833</v>
      </c>
      <c r="K1816" s="394"/>
      <c r="L1816" s="394"/>
      <c r="M1816" s="394">
        <v>0</v>
      </c>
      <c r="N1816" s="394">
        <v>0</v>
      </c>
      <c r="O1816" s="394">
        <v>0.4617</v>
      </c>
      <c r="P1816" s="394">
        <v>10.45833</v>
      </c>
      <c r="Q1816" s="394"/>
      <c r="R1816" s="381" t="s">
        <v>167</v>
      </c>
      <c r="S1816" s="408" t="s">
        <v>175</v>
      </c>
      <c r="T1816" s="385"/>
      <c r="U1816" s="475">
        <v>732</v>
      </c>
      <c r="V1816" s="395"/>
      <c r="W1816" s="395">
        <f t="shared" si="1014"/>
        <v>13.381</v>
      </c>
      <c r="X1816" s="393"/>
      <c r="Y1816" s="337"/>
      <c r="Z1816" s="497"/>
      <c r="AA1816" s="544"/>
      <c r="AB1816" s="394"/>
      <c r="AC1816" s="394"/>
      <c r="AD1816" s="394"/>
      <c r="AE1816" s="394"/>
      <c r="AF1816" s="394"/>
      <c r="AG1816" s="394"/>
      <c r="AH1816" s="394"/>
      <c r="AI1816" s="394"/>
      <c r="AJ1816" s="394"/>
      <c r="AK1816" s="381"/>
      <c r="AL1816" s="408"/>
      <c r="AM1816" s="385"/>
      <c r="AN1816" s="475"/>
      <c r="AO1816" s="395"/>
      <c r="AP1816" s="395" t="e">
        <f t="shared" si="1015"/>
        <v>#DIV/0!</v>
      </c>
      <c r="AQ1816" s="393"/>
      <c r="AR1816" s="337"/>
      <c r="AS1816" s="497"/>
      <c r="AT1816" s="544"/>
      <c r="AU1816" s="394"/>
      <c r="AV1816" s="394"/>
      <c r="AW1816" s="394"/>
      <c r="AX1816" s="394"/>
      <c r="AY1816" s="394"/>
      <c r="AZ1816" s="394"/>
      <c r="BA1816" s="394"/>
      <c r="BB1816" s="394"/>
      <c r="BC1816" s="394"/>
      <c r="BD1816" s="381"/>
      <c r="BE1816" s="408"/>
      <c r="BF1816" s="385"/>
      <c r="BG1816" s="475"/>
      <c r="BH1816" s="395"/>
      <c r="BI1816" s="395" t="e">
        <f t="shared" si="1016"/>
        <v>#DIV/0!</v>
      </c>
    </row>
    <row r="1817" spans="1:61" s="358" customFormat="1" ht="19.2" x14ac:dyDescent="0.3">
      <c r="A1817" s="359" t="s">
        <v>1954</v>
      </c>
      <c r="B1817" s="537" t="s">
        <v>584</v>
      </c>
      <c r="C1817" s="546" t="s">
        <v>455</v>
      </c>
      <c r="D1817" s="360">
        <v>0.4</v>
      </c>
      <c r="E1817" s="393"/>
      <c r="F1817" s="337">
        <v>1</v>
      </c>
      <c r="G1817" s="497"/>
      <c r="H1817" s="544">
        <v>13.381</v>
      </c>
      <c r="I1817" s="394">
        <v>11.400790000000001</v>
      </c>
      <c r="J1817" s="394">
        <v>10.45833</v>
      </c>
      <c r="K1817" s="394"/>
      <c r="L1817" s="394"/>
      <c r="M1817" s="394">
        <v>0</v>
      </c>
      <c r="N1817" s="394">
        <v>0</v>
      </c>
      <c r="O1817" s="394">
        <v>0.4617</v>
      </c>
      <c r="P1817" s="394">
        <v>10.45833</v>
      </c>
      <c r="Q1817" s="394"/>
      <c r="R1817" s="381" t="s">
        <v>167</v>
      </c>
      <c r="S1817" s="408" t="s">
        <v>175</v>
      </c>
      <c r="T1817" s="385"/>
      <c r="U1817" s="475">
        <v>733</v>
      </c>
      <c r="V1817" s="395"/>
      <c r="W1817" s="395">
        <f t="shared" si="1014"/>
        <v>13.381</v>
      </c>
      <c r="X1817" s="393"/>
      <c r="Y1817" s="337"/>
      <c r="Z1817" s="497"/>
      <c r="AA1817" s="544"/>
      <c r="AB1817" s="394"/>
      <c r="AC1817" s="394"/>
      <c r="AD1817" s="394"/>
      <c r="AE1817" s="394"/>
      <c r="AF1817" s="394"/>
      <c r="AG1817" s="394"/>
      <c r="AH1817" s="394"/>
      <c r="AI1817" s="394"/>
      <c r="AJ1817" s="394"/>
      <c r="AK1817" s="381"/>
      <c r="AL1817" s="408"/>
      <c r="AM1817" s="385"/>
      <c r="AN1817" s="475"/>
      <c r="AO1817" s="395"/>
      <c r="AP1817" s="395" t="e">
        <f t="shared" si="1015"/>
        <v>#DIV/0!</v>
      </c>
      <c r="AQ1817" s="393"/>
      <c r="AR1817" s="337"/>
      <c r="AS1817" s="497"/>
      <c r="AT1817" s="544"/>
      <c r="AU1817" s="394"/>
      <c r="AV1817" s="394"/>
      <c r="AW1817" s="394"/>
      <c r="AX1817" s="394"/>
      <c r="AY1817" s="394"/>
      <c r="AZ1817" s="394"/>
      <c r="BA1817" s="394"/>
      <c r="BB1817" s="394"/>
      <c r="BC1817" s="394"/>
      <c r="BD1817" s="381"/>
      <c r="BE1817" s="408"/>
      <c r="BF1817" s="385"/>
      <c r="BG1817" s="475"/>
      <c r="BH1817" s="395"/>
      <c r="BI1817" s="395" t="e">
        <f t="shared" si="1016"/>
        <v>#DIV/0!</v>
      </c>
    </row>
    <row r="1818" spans="1:61" s="358" customFormat="1" ht="19.2" x14ac:dyDescent="0.3">
      <c r="A1818" s="359" t="s">
        <v>1955</v>
      </c>
      <c r="B1818" s="537" t="s">
        <v>1594</v>
      </c>
      <c r="C1818" s="546" t="s">
        <v>1005</v>
      </c>
      <c r="D1818" s="360">
        <v>0.4</v>
      </c>
      <c r="E1818" s="393"/>
      <c r="F1818" s="337">
        <v>1</v>
      </c>
      <c r="G1818" s="497"/>
      <c r="H1818" s="544">
        <v>13.381</v>
      </c>
      <c r="I1818" s="394">
        <v>11.400790000000001</v>
      </c>
      <c r="J1818" s="394">
        <v>10.45833</v>
      </c>
      <c r="K1818" s="394"/>
      <c r="L1818" s="394"/>
      <c r="M1818" s="394">
        <v>0</v>
      </c>
      <c r="N1818" s="394">
        <v>0</v>
      </c>
      <c r="O1818" s="394">
        <v>0.4617</v>
      </c>
      <c r="P1818" s="394">
        <v>10.45833</v>
      </c>
      <c r="Q1818" s="394"/>
      <c r="R1818" s="381" t="s">
        <v>167</v>
      </c>
      <c r="S1818" s="408" t="s">
        <v>175</v>
      </c>
      <c r="T1818" s="385"/>
      <c r="U1818" s="475">
        <v>734</v>
      </c>
      <c r="V1818" s="395"/>
      <c r="W1818" s="395">
        <f t="shared" si="1014"/>
        <v>13.381</v>
      </c>
      <c r="X1818" s="393"/>
      <c r="Y1818" s="337"/>
      <c r="Z1818" s="497"/>
      <c r="AA1818" s="544"/>
      <c r="AB1818" s="394"/>
      <c r="AC1818" s="394"/>
      <c r="AD1818" s="394"/>
      <c r="AE1818" s="394"/>
      <c r="AF1818" s="394"/>
      <c r="AG1818" s="394"/>
      <c r="AH1818" s="394"/>
      <c r="AI1818" s="394"/>
      <c r="AJ1818" s="394"/>
      <c r="AK1818" s="381"/>
      <c r="AL1818" s="408"/>
      <c r="AM1818" s="385"/>
      <c r="AN1818" s="475"/>
      <c r="AO1818" s="395"/>
      <c r="AP1818" s="395" t="e">
        <f t="shared" si="1015"/>
        <v>#DIV/0!</v>
      </c>
      <c r="AQ1818" s="393"/>
      <c r="AR1818" s="337"/>
      <c r="AS1818" s="497"/>
      <c r="AT1818" s="544"/>
      <c r="AU1818" s="394"/>
      <c r="AV1818" s="394"/>
      <c r="AW1818" s="394"/>
      <c r="AX1818" s="394"/>
      <c r="AY1818" s="394"/>
      <c r="AZ1818" s="394"/>
      <c r="BA1818" s="394"/>
      <c r="BB1818" s="394"/>
      <c r="BC1818" s="394"/>
      <c r="BD1818" s="381"/>
      <c r="BE1818" s="408"/>
      <c r="BF1818" s="385"/>
      <c r="BG1818" s="475"/>
      <c r="BH1818" s="395"/>
      <c r="BI1818" s="395" t="e">
        <f t="shared" si="1016"/>
        <v>#DIV/0!</v>
      </c>
    </row>
    <row r="1819" spans="1:61" s="358" customFormat="1" ht="19.2" x14ac:dyDescent="0.3">
      <c r="A1819" s="359" t="s">
        <v>1972</v>
      </c>
      <c r="B1819" s="537" t="s">
        <v>1424</v>
      </c>
      <c r="C1819" s="546" t="s">
        <v>1006</v>
      </c>
      <c r="D1819" s="360">
        <v>0.4</v>
      </c>
      <c r="E1819" s="393"/>
      <c r="F1819" s="337">
        <v>1</v>
      </c>
      <c r="G1819" s="497"/>
      <c r="H1819" s="544">
        <v>13.381</v>
      </c>
      <c r="I1819" s="394">
        <v>11.400790000000001</v>
      </c>
      <c r="J1819" s="394">
        <v>10.45833</v>
      </c>
      <c r="K1819" s="394"/>
      <c r="L1819" s="394"/>
      <c r="M1819" s="394">
        <v>0</v>
      </c>
      <c r="N1819" s="394">
        <v>0</v>
      </c>
      <c r="O1819" s="394">
        <v>0.4617</v>
      </c>
      <c r="P1819" s="394">
        <v>10.45833</v>
      </c>
      <c r="Q1819" s="394"/>
      <c r="R1819" s="381" t="s">
        <v>167</v>
      </c>
      <c r="S1819" s="408" t="s">
        <v>175</v>
      </c>
      <c r="T1819" s="385"/>
      <c r="U1819" s="475">
        <v>735</v>
      </c>
      <c r="V1819" s="395"/>
      <c r="W1819" s="395">
        <f t="shared" si="1014"/>
        <v>13.381</v>
      </c>
      <c r="X1819" s="393"/>
      <c r="Y1819" s="337"/>
      <c r="Z1819" s="497"/>
      <c r="AA1819" s="544"/>
      <c r="AB1819" s="394"/>
      <c r="AC1819" s="394"/>
      <c r="AD1819" s="394"/>
      <c r="AE1819" s="394"/>
      <c r="AF1819" s="394"/>
      <c r="AG1819" s="394"/>
      <c r="AH1819" s="394"/>
      <c r="AI1819" s="394"/>
      <c r="AJ1819" s="394"/>
      <c r="AK1819" s="381"/>
      <c r="AL1819" s="408"/>
      <c r="AM1819" s="385"/>
      <c r="AN1819" s="475"/>
      <c r="AO1819" s="395"/>
      <c r="AP1819" s="395" t="e">
        <f t="shared" si="1015"/>
        <v>#DIV/0!</v>
      </c>
      <c r="AQ1819" s="393"/>
      <c r="AR1819" s="337"/>
      <c r="AS1819" s="497"/>
      <c r="AT1819" s="544"/>
      <c r="AU1819" s="394"/>
      <c r="AV1819" s="394"/>
      <c r="AW1819" s="394"/>
      <c r="AX1819" s="394"/>
      <c r="AY1819" s="394"/>
      <c r="AZ1819" s="394"/>
      <c r="BA1819" s="394"/>
      <c r="BB1819" s="394"/>
      <c r="BC1819" s="394"/>
      <c r="BD1819" s="381"/>
      <c r="BE1819" s="408"/>
      <c r="BF1819" s="385"/>
      <c r="BG1819" s="475"/>
      <c r="BH1819" s="395"/>
      <c r="BI1819" s="395" t="e">
        <f t="shared" si="1016"/>
        <v>#DIV/0!</v>
      </c>
    </row>
    <row r="1820" spans="1:61" s="358" customFormat="1" ht="19.2" x14ac:dyDescent="0.3">
      <c r="A1820" s="359" t="s">
        <v>1957</v>
      </c>
      <c r="B1820" s="537" t="s">
        <v>1595</v>
      </c>
      <c r="C1820" s="546" t="s">
        <v>1007</v>
      </c>
      <c r="D1820" s="360">
        <v>0.4</v>
      </c>
      <c r="E1820" s="393"/>
      <c r="F1820" s="337">
        <v>1</v>
      </c>
      <c r="G1820" s="497"/>
      <c r="H1820" s="544">
        <v>13.381</v>
      </c>
      <c r="I1820" s="394">
        <v>11.400790000000001</v>
      </c>
      <c r="J1820" s="394">
        <v>10.45833</v>
      </c>
      <c r="K1820" s="394"/>
      <c r="L1820" s="394"/>
      <c r="M1820" s="394">
        <v>0</v>
      </c>
      <c r="N1820" s="394">
        <v>0</v>
      </c>
      <c r="O1820" s="394">
        <v>0.4617</v>
      </c>
      <c r="P1820" s="394">
        <v>10.45833</v>
      </c>
      <c r="Q1820" s="394"/>
      <c r="R1820" s="381" t="s">
        <v>167</v>
      </c>
      <c r="S1820" s="408" t="s">
        <v>175</v>
      </c>
      <c r="T1820" s="385"/>
      <c r="U1820" s="475">
        <v>736</v>
      </c>
      <c r="V1820" s="395"/>
      <c r="W1820" s="395">
        <f t="shared" si="1014"/>
        <v>13.381</v>
      </c>
      <c r="X1820" s="393"/>
      <c r="Y1820" s="337"/>
      <c r="Z1820" s="497"/>
      <c r="AA1820" s="544"/>
      <c r="AB1820" s="394"/>
      <c r="AC1820" s="394"/>
      <c r="AD1820" s="394"/>
      <c r="AE1820" s="394"/>
      <c r="AF1820" s="394"/>
      <c r="AG1820" s="394"/>
      <c r="AH1820" s="394"/>
      <c r="AI1820" s="394"/>
      <c r="AJ1820" s="394"/>
      <c r="AK1820" s="381"/>
      <c r="AL1820" s="408"/>
      <c r="AM1820" s="385"/>
      <c r="AN1820" s="475"/>
      <c r="AO1820" s="395"/>
      <c r="AP1820" s="395" t="e">
        <f t="shared" si="1015"/>
        <v>#DIV/0!</v>
      </c>
      <c r="AQ1820" s="393"/>
      <c r="AR1820" s="337"/>
      <c r="AS1820" s="497"/>
      <c r="AT1820" s="544"/>
      <c r="AU1820" s="394"/>
      <c r="AV1820" s="394"/>
      <c r="AW1820" s="394"/>
      <c r="AX1820" s="394"/>
      <c r="AY1820" s="394"/>
      <c r="AZ1820" s="394"/>
      <c r="BA1820" s="394"/>
      <c r="BB1820" s="394"/>
      <c r="BC1820" s="394"/>
      <c r="BD1820" s="381"/>
      <c r="BE1820" s="408"/>
      <c r="BF1820" s="385"/>
      <c r="BG1820" s="475"/>
      <c r="BH1820" s="395"/>
      <c r="BI1820" s="395" t="e">
        <f t="shared" si="1016"/>
        <v>#DIV/0!</v>
      </c>
    </row>
    <row r="1821" spans="1:61" s="358" customFormat="1" ht="19.2" x14ac:dyDescent="0.3">
      <c r="A1821" s="359" t="s">
        <v>1958</v>
      </c>
      <c r="B1821" s="537" t="s">
        <v>1596</v>
      </c>
      <c r="C1821" s="546" t="s">
        <v>1008</v>
      </c>
      <c r="D1821" s="360">
        <v>0.4</v>
      </c>
      <c r="E1821" s="393"/>
      <c r="F1821" s="337">
        <v>1</v>
      </c>
      <c r="G1821" s="497"/>
      <c r="H1821" s="544">
        <v>13.381</v>
      </c>
      <c r="I1821" s="394">
        <v>11.400790000000001</v>
      </c>
      <c r="J1821" s="394">
        <v>10.45833</v>
      </c>
      <c r="K1821" s="394"/>
      <c r="L1821" s="394"/>
      <c r="M1821" s="394">
        <v>0</v>
      </c>
      <c r="N1821" s="394">
        <v>0</v>
      </c>
      <c r="O1821" s="394">
        <v>0.4617</v>
      </c>
      <c r="P1821" s="394">
        <v>10.45833</v>
      </c>
      <c r="Q1821" s="394"/>
      <c r="R1821" s="381" t="s">
        <v>167</v>
      </c>
      <c r="S1821" s="408" t="s">
        <v>175</v>
      </c>
      <c r="T1821" s="385"/>
      <c r="U1821" s="475">
        <v>737</v>
      </c>
      <c r="V1821" s="395"/>
      <c r="W1821" s="395">
        <f t="shared" si="1014"/>
        <v>13.381</v>
      </c>
      <c r="X1821" s="393"/>
      <c r="Y1821" s="337"/>
      <c r="Z1821" s="497"/>
      <c r="AA1821" s="544"/>
      <c r="AB1821" s="394"/>
      <c r="AC1821" s="394"/>
      <c r="AD1821" s="394"/>
      <c r="AE1821" s="394"/>
      <c r="AF1821" s="394"/>
      <c r="AG1821" s="394"/>
      <c r="AH1821" s="394"/>
      <c r="AI1821" s="394"/>
      <c r="AJ1821" s="394"/>
      <c r="AK1821" s="381"/>
      <c r="AL1821" s="408"/>
      <c r="AM1821" s="385"/>
      <c r="AN1821" s="475"/>
      <c r="AO1821" s="395"/>
      <c r="AP1821" s="395" t="e">
        <f t="shared" si="1015"/>
        <v>#DIV/0!</v>
      </c>
      <c r="AQ1821" s="393"/>
      <c r="AR1821" s="337"/>
      <c r="AS1821" s="497"/>
      <c r="AT1821" s="544"/>
      <c r="AU1821" s="394"/>
      <c r="AV1821" s="394"/>
      <c r="AW1821" s="394"/>
      <c r="AX1821" s="394"/>
      <c r="AY1821" s="394"/>
      <c r="AZ1821" s="394"/>
      <c r="BA1821" s="394"/>
      <c r="BB1821" s="394"/>
      <c r="BC1821" s="394"/>
      <c r="BD1821" s="381"/>
      <c r="BE1821" s="408"/>
      <c r="BF1821" s="385"/>
      <c r="BG1821" s="475"/>
      <c r="BH1821" s="395"/>
      <c r="BI1821" s="395" t="e">
        <f t="shared" si="1016"/>
        <v>#DIV/0!</v>
      </c>
    </row>
    <row r="1822" spans="1:61" s="358" customFormat="1" ht="19.2" x14ac:dyDescent="0.3">
      <c r="A1822" s="359" t="s">
        <v>1959</v>
      </c>
      <c r="B1822" s="537" t="s">
        <v>1597</v>
      </c>
      <c r="C1822" s="546" t="s">
        <v>1009</v>
      </c>
      <c r="D1822" s="360">
        <v>0.4</v>
      </c>
      <c r="E1822" s="393"/>
      <c r="F1822" s="337">
        <v>1</v>
      </c>
      <c r="G1822" s="497"/>
      <c r="H1822" s="544">
        <v>13.381</v>
      </c>
      <c r="I1822" s="394">
        <v>11.400790000000001</v>
      </c>
      <c r="J1822" s="394">
        <v>10.45833</v>
      </c>
      <c r="K1822" s="394"/>
      <c r="L1822" s="394"/>
      <c r="M1822" s="394">
        <v>0</v>
      </c>
      <c r="N1822" s="394">
        <v>0</v>
      </c>
      <c r="O1822" s="394">
        <v>0.4617</v>
      </c>
      <c r="P1822" s="394">
        <v>10.45833</v>
      </c>
      <c r="Q1822" s="394"/>
      <c r="R1822" s="381" t="s">
        <v>167</v>
      </c>
      <c r="S1822" s="408" t="s">
        <v>175</v>
      </c>
      <c r="T1822" s="385"/>
      <c r="U1822" s="475">
        <v>738</v>
      </c>
      <c r="V1822" s="395"/>
      <c r="W1822" s="395">
        <f t="shared" si="1014"/>
        <v>13.381</v>
      </c>
      <c r="X1822" s="393"/>
      <c r="Y1822" s="337"/>
      <c r="Z1822" s="497"/>
      <c r="AA1822" s="544"/>
      <c r="AB1822" s="394"/>
      <c r="AC1822" s="394"/>
      <c r="AD1822" s="394"/>
      <c r="AE1822" s="394"/>
      <c r="AF1822" s="394"/>
      <c r="AG1822" s="394"/>
      <c r="AH1822" s="394"/>
      <c r="AI1822" s="394"/>
      <c r="AJ1822" s="394"/>
      <c r="AK1822" s="381"/>
      <c r="AL1822" s="408"/>
      <c r="AM1822" s="385"/>
      <c r="AN1822" s="475"/>
      <c r="AO1822" s="395"/>
      <c r="AP1822" s="395" t="e">
        <f t="shared" si="1015"/>
        <v>#DIV/0!</v>
      </c>
      <c r="AQ1822" s="393"/>
      <c r="AR1822" s="337"/>
      <c r="AS1822" s="497"/>
      <c r="AT1822" s="544"/>
      <c r="AU1822" s="394"/>
      <c r="AV1822" s="394"/>
      <c r="AW1822" s="394"/>
      <c r="AX1822" s="394"/>
      <c r="AY1822" s="394"/>
      <c r="AZ1822" s="394"/>
      <c r="BA1822" s="394"/>
      <c r="BB1822" s="394"/>
      <c r="BC1822" s="394"/>
      <c r="BD1822" s="381"/>
      <c r="BE1822" s="408"/>
      <c r="BF1822" s="385"/>
      <c r="BG1822" s="475"/>
      <c r="BH1822" s="395"/>
      <c r="BI1822" s="395" t="e">
        <f t="shared" si="1016"/>
        <v>#DIV/0!</v>
      </c>
    </row>
    <row r="1823" spans="1:61" s="358" customFormat="1" ht="19.2" x14ac:dyDescent="0.3">
      <c r="A1823" s="359" t="s">
        <v>1976</v>
      </c>
      <c r="B1823" s="537" t="s">
        <v>1598</v>
      </c>
      <c r="C1823" s="546" t="s">
        <v>1010</v>
      </c>
      <c r="D1823" s="360">
        <v>0.4</v>
      </c>
      <c r="E1823" s="393"/>
      <c r="F1823" s="337">
        <v>1</v>
      </c>
      <c r="G1823" s="497"/>
      <c r="H1823" s="544">
        <v>13.381</v>
      </c>
      <c r="I1823" s="394">
        <v>11.400790000000001</v>
      </c>
      <c r="J1823" s="394">
        <v>10.45833</v>
      </c>
      <c r="K1823" s="394"/>
      <c r="L1823" s="394"/>
      <c r="M1823" s="394">
        <v>0</v>
      </c>
      <c r="N1823" s="394">
        <v>0</v>
      </c>
      <c r="O1823" s="394">
        <v>0.4617</v>
      </c>
      <c r="P1823" s="394">
        <v>10.45833</v>
      </c>
      <c r="Q1823" s="394"/>
      <c r="R1823" s="381" t="s">
        <v>167</v>
      </c>
      <c r="S1823" s="408" t="s">
        <v>175</v>
      </c>
      <c r="T1823" s="385"/>
      <c r="U1823" s="475">
        <v>739</v>
      </c>
      <c r="V1823" s="395"/>
      <c r="W1823" s="395">
        <f t="shared" si="1014"/>
        <v>13.381</v>
      </c>
      <c r="X1823" s="393"/>
      <c r="Y1823" s="337"/>
      <c r="Z1823" s="497"/>
      <c r="AA1823" s="544"/>
      <c r="AB1823" s="394"/>
      <c r="AC1823" s="394"/>
      <c r="AD1823" s="394"/>
      <c r="AE1823" s="394"/>
      <c r="AF1823" s="394"/>
      <c r="AG1823" s="394"/>
      <c r="AH1823" s="394"/>
      <c r="AI1823" s="394"/>
      <c r="AJ1823" s="394"/>
      <c r="AK1823" s="381"/>
      <c r="AL1823" s="408"/>
      <c r="AM1823" s="385"/>
      <c r="AN1823" s="475"/>
      <c r="AO1823" s="395"/>
      <c r="AP1823" s="395" t="e">
        <f t="shared" si="1015"/>
        <v>#DIV/0!</v>
      </c>
      <c r="AQ1823" s="393"/>
      <c r="AR1823" s="337"/>
      <c r="AS1823" s="497"/>
      <c r="AT1823" s="544"/>
      <c r="AU1823" s="394"/>
      <c r="AV1823" s="394"/>
      <c r="AW1823" s="394"/>
      <c r="AX1823" s="394"/>
      <c r="AY1823" s="394"/>
      <c r="AZ1823" s="394"/>
      <c r="BA1823" s="394"/>
      <c r="BB1823" s="394"/>
      <c r="BC1823" s="394"/>
      <c r="BD1823" s="381"/>
      <c r="BE1823" s="408"/>
      <c r="BF1823" s="385"/>
      <c r="BG1823" s="475"/>
      <c r="BH1823" s="395"/>
      <c r="BI1823" s="395" t="e">
        <f t="shared" si="1016"/>
        <v>#DIV/0!</v>
      </c>
    </row>
    <row r="1824" spans="1:61" s="358" customFormat="1" ht="19.2" x14ac:dyDescent="0.3">
      <c r="A1824" s="359" t="s">
        <v>1961</v>
      </c>
      <c r="B1824" s="537" t="s">
        <v>559</v>
      </c>
      <c r="C1824" s="546" t="s">
        <v>424</v>
      </c>
      <c r="D1824" s="360">
        <v>0.4</v>
      </c>
      <c r="E1824" s="393"/>
      <c r="F1824" s="337">
        <v>1</v>
      </c>
      <c r="G1824" s="497"/>
      <c r="H1824" s="544">
        <v>13.381</v>
      </c>
      <c r="I1824" s="394">
        <v>11.400790000000001</v>
      </c>
      <c r="J1824" s="394">
        <v>10.45833</v>
      </c>
      <c r="K1824" s="394"/>
      <c r="L1824" s="394"/>
      <c r="M1824" s="394">
        <v>0</v>
      </c>
      <c r="N1824" s="394">
        <v>0</v>
      </c>
      <c r="O1824" s="394">
        <v>0.4617</v>
      </c>
      <c r="P1824" s="394">
        <v>10.45833</v>
      </c>
      <c r="Q1824" s="394"/>
      <c r="R1824" s="381" t="s">
        <v>167</v>
      </c>
      <c r="S1824" s="408" t="s">
        <v>175</v>
      </c>
      <c r="T1824" s="385"/>
      <c r="U1824" s="475">
        <v>740</v>
      </c>
      <c r="V1824" s="395"/>
      <c r="W1824" s="395">
        <f t="shared" si="1014"/>
        <v>13.381</v>
      </c>
      <c r="X1824" s="393"/>
      <c r="Y1824" s="337"/>
      <c r="Z1824" s="497"/>
      <c r="AA1824" s="544"/>
      <c r="AB1824" s="394"/>
      <c r="AC1824" s="394"/>
      <c r="AD1824" s="394"/>
      <c r="AE1824" s="394"/>
      <c r="AF1824" s="394"/>
      <c r="AG1824" s="394"/>
      <c r="AH1824" s="394"/>
      <c r="AI1824" s="394"/>
      <c r="AJ1824" s="394"/>
      <c r="AK1824" s="381"/>
      <c r="AL1824" s="408"/>
      <c r="AM1824" s="385"/>
      <c r="AN1824" s="475"/>
      <c r="AO1824" s="395"/>
      <c r="AP1824" s="395" t="e">
        <f t="shared" si="1015"/>
        <v>#DIV/0!</v>
      </c>
      <c r="AQ1824" s="393"/>
      <c r="AR1824" s="337"/>
      <c r="AS1824" s="497"/>
      <c r="AT1824" s="544"/>
      <c r="AU1824" s="394"/>
      <c r="AV1824" s="394"/>
      <c r="AW1824" s="394"/>
      <c r="AX1824" s="394"/>
      <c r="AY1824" s="394"/>
      <c r="AZ1824" s="394"/>
      <c r="BA1824" s="394"/>
      <c r="BB1824" s="394"/>
      <c r="BC1824" s="394"/>
      <c r="BD1824" s="381"/>
      <c r="BE1824" s="408"/>
      <c r="BF1824" s="385"/>
      <c r="BG1824" s="475"/>
      <c r="BH1824" s="395"/>
      <c r="BI1824" s="395" t="e">
        <f t="shared" si="1016"/>
        <v>#DIV/0!</v>
      </c>
    </row>
    <row r="1825" spans="1:61" s="358" customFormat="1" ht="19.2" x14ac:dyDescent="0.3">
      <c r="A1825" s="359" t="s">
        <v>1962</v>
      </c>
      <c r="B1825" s="537" t="s">
        <v>585</v>
      </c>
      <c r="C1825" s="546" t="s">
        <v>457</v>
      </c>
      <c r="D1825" s="360">
        <v>0.4</v>
      </c>
      <c r="E1825" s="393"/>
      <c r="F1825" s="337">
        <v>1</v>
      </c>
      <c r="G1825" s="497"/>
      <c r="H1825" s="544">
        <v>16.698</v>
      </c>
      <c r="I1825" s="394">
        <v>13.469709999999999</v>
      </c>
      <c r="J1825" s="394">
        <v>10.45833</v>
      </c>
      <c r="K1825" s="394"/>
      <c r="L1825" s="394"/>
      <c r="M1825" s="394">
        <v>0</v>
      </c>
      <c r="N1825" s="394">
        <v>0</v>
      </c>
      <c r="O1825" s="394">
        <v>0.75266999999999995</v>
      </c>
      <c r="P1825" s="394">
        <v>10.45833</v>
      </c>
      <c r="Q1825" s="394"/>
      <c r="R1825" s="381" t="s">
        <v>167</v>
      </c>
      <c r="S1825" s="408" t="s">
        <v>175</v>
      </c>
      <c r="T1825" s="385"/>
      <c r="U1825" s="475">
        <v>741</v>
      </c>
      <c r="V1825" s="395"/>
      <c r="W1825" s="395">
        <f t="shared" si="1014"/>
        <v>16.698</v>
      </c>
      <c r="X1825" s="393"/>
      <c r="Y1825" s="337"/>
      <c r="Z1825" s="497"/>
      <c r="AA1825" s="544"/>
      <c r="AB1825" s="394"/>
      <c r="AC1825" s="394"/>
      <c r="AD1825" s="394"/>
      <c r="AE1825" s="394"/>
      <c r="AF1825" s="394"/>
      <c r="AG1825" s="394"/>
      <c r="AH1825" s="394"/>
      <c r="AI1825" s="394"/>
      <c r="AJ1825" s="394"/>
      <c r="AK1825" s="381"/>
      <c r="AL1825" s="408"/>
      <c r="AM1825" s="385"/>
      <c r="AN1825" s="475"/>
      <c r="AO1825" s="395"/>
      <c r="AP1825" s="395" t="e">
        <f t="shared" si="1015"/>
        <v>#DIV/0!</v>
      </c>
      <c r="AQ1825" s="393"/>
      <c r="AR1825" s="337"/>
      <c r="AS1825" s="497"/>
      <c r="AT1825" s="544"/>
      <c r="AU1825" s="394"/>
      <c r="AV1825" s="394"/>
      <c r="AW1825" s="394"/>
      <c r="AX1825" s="394"/>
      <c r="AY1825" s="394"/>
      <c r="AZ1825" s="394"/>
      <c r="BA1825" s="394"/>
      <c r="BB1825" s="394"/>
      <c r="BC1825" s="394"/>
      <c r="BD1825" s="381"/>
      <c r="BE1825" s="408"/>
      <c r="BF1825" s="385"/>
      <c r="BG1825" s="475"/>
      <c r="BH1825" s="395"/>
      <c r="BI1825" s="395" t="e">
        <f t="shared" si="1016"/>
        <v>#DIV/0!</v>
      </c>
    </row>
    <row r="1826" spans="1:61" s="358" customFormat="1" ht="19.2" x14ac:dyDescent="0.3">
      <c r="A1826" s="359" t="s">
        <v>1945</v>
      </c>
      <c r="B1826" s="537" t="s">
        <v>1599</v>
      </c>
      <c r="C1826" s="546" t="s">
        <v>1011</v>
      </c>
      <c r="D1826" s="360">
        <v>0.4</v>
      </c>
      <c r="E1826" s="393"/>
      <c r="F1826" s="337">
        <v>1</v>
      </c>
      <c r="G1826" s="497"/>
      <c r="H1826" s="544">
        <v>13.381</v>
      </c>
      <c r="I1826" s="394">
        <v>11.400790000000001</v>
      </c>
      <c r="J1826" s="394">
        <v>10.45833</v>
      </c>
      <c r="K1826" s="394"/>
      <c r="L1826" s="394"/>
      <c r="M1826" s="394">
        <v>0</v>
      </c>
      <c r="N1826" s="394">
        <v>0</v>
      </c>
      <c r="O1826" s="394">
        <v>0.4617</v>
      </c>
      <c r="P1826" s="394">
        <v>10.45833</v>
      </c>
      <c r="Q1826" s="394"/>
      <c r="R1826" s="381" t="s">
        <v>167</v>
      </c>
      <c r="S1826" s="408" t="s">
        <v>175</v>
      </c>
      <c r="T1826" s="385"/>
      <c r="U1826" s="475">
        <v>743</v>
      </c>
      <c r="V1826" s="395"/>
      <c r="W1826" s="395">
        <f t="shared" si="1014"/>
        <v>13.381</v>
      </c>
      <c r="X1826" s="393"/>
      <c r="Y1826" s="337"/>
      <c r="Z1826" s="497"/>
      <c r="AA1826" s="544"/>
      <c r="AB1826" s="394"/>
      <c r="AC1826" s="394"/>
      <c r="AD1826" s="394"/>
      <c r="AE1826" s="394"/>
      <c r="AF1826" s="394"/>
      <c r="AG1826" s="394"/>
      <c r="AH1826" s="394"/>
      <c r="AI1826" s="394"/>
      <c r="AJ1826" s="394"/>
      <c r="AK1826" s="381"/>
      <c r="AL1826" s="408"/>
      <c r="AM1826" s="385"/>
      <c r="AN1826" s="475"/>
      <c r="AO1826" s="395"/>
      <c r="AP1826" s="395" t="e">
        <f t="shared" si="1015"/>
        <v>#DIV/0!</v>
      </c>
      <c r="AQ1826" s="393"/>
      <c r="AR1826" s="337"/>
      <c r="AS1826" s="497"/>
      <c r="AT1826" s="544"/>
      <c r="AU1826" s="394"/>
      <c r="AV1826" s="394"/>
      <c r="AW1826" s="394"/>
      <c r="AX1826" s="394"/>
      <c r="AY1826" s="394"/>
      <c r="AZ1826" s="394"/>
      <c r="BA1826" s="394"/>
      <c r="BB1826" s="394"/>
      <c r="BC1826" s="394"/>
      <c r="BD1826" s="381"/>
      <c r="BE1826" s="408"/>
      <c r="BF1826" s="385"/>
      <c r="BG1826" s="475"/>
      <c r="BH1826" s="395"/>
      <c r="BI1826" s="395" t="e">
        <f t="shared" si="1016"/>
        <v>#DIV/0!</v>
      </c>
    </row>
    <row r="1827" spans="1:61" s="358" customFormat="1" ht="19.2" x14ac:dyDescent="0.3">
      <c r="A1827" s="359" t="s">
        <v>1964</v>
      </c>
      <c r="B1827" s="537" t="s">
        <v>1600</v>
      </c>
      <c r="C1827" s="546" t="s">
        <v>1012</v>
      </c>
      <c r="D1827" s="360">
        <v>0.4</v>
      </c>
      <c r="E1827" s="393"/>
      <c r="F1827" s="337">
        <v>1</v>
      </c>
      <c r="G1827" s="497"/>
      <c r="H1827" s="544">
        <v>13.381</v>
      </c>
      <c r="I1827" s="394">
        <v>11.400790000000001</v>
      </c>
      <c r="J1827" s="394">
        <v>10.45833</v>
      </c>
      <c r="K1827" s="394"/>
      <c r="L1827" s="394"/>
      <c r="M1827" s="394">
        <v>0</v>
      </c>
      <c r="N1827" s="394">
        <v>0</v>
      </c>
      <c r="O1827" s="394">
        <v>0.4617</v>
      </c>
      <c r="P1827" s="394">
        <v>10.45833</v>
      </c>
      <c r="Q1827" s="394"/>
      <c r="R1827" s="381" t="s">
        <v>167</v>
      </c>
      <c r="S1827" s="408" t="s">
        <v>175</v>
      </c>
      <c r="T1827" s="385"/>
      <c r="U1827" s="475">
        <v>744</v>
      </c>
      <c r="V1827" s="395"/>
      <c r="W1827" s="395">
        <f t="shared" si="1014"/>
        <v>13.381</v>
      </c>
      <c r="X1827" s="393"/>
      <c r="Y1827" s="337"/>
      <c r="Z1827" s="497"/>
      <c r="AA1827" s="544"/>
      <c r="AB1827" s="394"/>
      <c r="AC1827" s="394"/>
      <c r="AD1827" s="394"/>
      <c r="AE1827" s="394"/>
      <c r="AF1827" s="394"/>
      <c r="AG1827" s="394"/>
      <c r="AH1827" s="394"/>
      <c r="AI1827" s="394"/>
      <c r="AJ1827" s="394"/>
      <c r="AK1827" s="381"/>
      <c r="AL1827" s="408"/>
      <c r="AM1827" s="385"/>
      <c r="AN1827" s="475"/>
      <c r="AO1827" s="395"/>
      <c r="AP1827" s="395" t="e">
        <f t="shared" si="1015"/>
        <v>#DIV/0!</v>
      </c>
      <c r="AQ1827" s="393"/>
      <c r="AR1827" s="337"/>
      <c r="AS1827" s="497"/>
      <c r="AT1827" s="544"/>
      <c r="AU1827" s="394"/>
      <c r="AV1827" s="394"/>
      <c r="AW1827" s="394"/>
      <c r="AX1827" s="394"/>
      <c r="AY1827" s="394"/>
      <c r="AZ1827" s="394"/>
      <c r="BA1827" s="394"/>
      <c r="BB1827" s="394"/>
      <c r="BC1827" s="394"/>
      <c r="BD1827" s="381"/>
      <c r="BE1827" s="408"/>
      <c r="BF1827" s="385"/>
      <c r="BG1827" s="475"/>
      <c r="BH1827" s="395"/>
      <c r="BI1827" s="395" t="e">
        <f t="shared" si="1016"/>
        <v>#DIV/0!</v>
      </c>
    </row>
    <row r="1828" spans="1:61" s="358" customFormat="1" ht="19.2" x14ac:dyDescent="0.3">
      <c r="A1828" s="359" t="s">
        <v>1965</v>
      </c>
      <c r="B1828" s="537" t="s">
        <v>1601</v>
      </c>
      <c r="C1828" s="546" t="s">
        <v>1013</v>
      </c>
      <c r="D1828" s="360">
        <v>0.4</v>
      </c>
      <c r="E1828" s="393"/>
      <c r="F1828" s="337">
        <v>1</v>
      </c>
      <c r="G1828" s="497"/>
      <c r="H1828" s="544">
        <v>13.381</v>
      </c>
      <c r="I1828" s="394">
        <v>11.400790000000001</v>
      </c>
      <c r="J1828" s="394">
        <v>10.45833</v>
      </c>
      <c r="K1828" s="394"/>
      <c r="L1828" s="394"/>
      <c r="M1828" s="394">
        <v>0</v>
      </c>
      <c r="N1828" s="394">
        <v>0</v>
      </c>
      <c r="O1828" s="394">
        <v>0.4617</v>
      </c>
      <c r="P1828" s="394">
        <v>10.45833</v>
      </c>
      <c r="Q1828" s="394"/>
      <c r="R1828" s="381" t="s">
        <v>167</v>
      </c>
      <c r="S1828" s="408" t="s">
        <v>175</v>
      </c>
      <c r="T1828" s="385"/>
      <c r="U1828" s="475">
        <v>745</v>
      </c>
      <c r="V1828" s="395"/>
      <c r="W1828" s="395">
        <f t="shared" si="1014"/>
        <v>13.381</v>
      </c>
      <c r="X1828" s="393"/>
      <c r="Y1828" s="337"/>
      <c r="Z1828" s="497"/>
      <c r="AA1828" s="544"/>
      <c r="AB1828" s="394"/>
      <c r="AC1828" s="394"/>
      <c r="AD1828" s="394"/>
      <c r="AE1828" s="394"/>
      <c r="AF1828" s="394"/>
      <c r="AG1828" s="394"/>
      <c r="AH1828" s="394"/>
      <c r="AI1828" s="394"/>
      <c r="AJ1828" s="394"/>
      <c r="AK1828" s="381"/>
      <c r="AL1828" s="408"/>
      <c r="AM1828" s="385"/>
      <c r="AN1828" s="475"/>
      <c r="AO1828" s="395"/>
      <c r="AP1828" s="395" t="e">
        <f t="shared" si="1015"/>
        <v>#DIV/0!</v>
      </c>
      <c r="AQ1828" s="393"/>
      <c r="AR1828" s="337"/>
      <c r="AS1828" s="497"/>
      <c r="AT1828" s="544"/>
      <c r="AU1828" s="394"/>
      <c r="AV1828" s="394"/>
      <c r="AW1828" s="394"/>
      <c r="AX1828" s="394"/>
      <c r="AY1828" s="394"/>
      <c r="AZ1828" s="394"/>
      <c r="BA1828" s="394"/>
      <c r="BB1828" s="394"/>
      <c r="BC1828" s="394"/>
      <c r="BD1828" s="381"/>
      <c r="BE1828" s="408"/>
      <c r="BF1828" s="385"/>
      <c r="BG1828" s="475"/>
      <c r="BH1828" s="395"/>
      <c r="BI1828" s="395" t="e">
        <f t="shared" si="1016"/>
        <v>#DIV/0!</v>
      </c>
    </row>
    <row r="1829" spans="1:61" s="358" customFormat="1" ht="19.2" x14ac:dyDescent="0.3">
      <c r="A1829" s="359" t="s">
        <v>1966</v>
      </c>
      <c r="B1829" s="537" t="s">
        <v>587</v>
      </c>
      <c r="C1829" s="546" t="s">
        <v>459</v>
      </c>
      <c r="D1829" s="360">
        <v>0.4</v>
      </c>
      <c r="E1829" s="393"/>
      <c r="F1829" s="337">
        <v>1</v>
      </c>
      <c r="G1829" s="497"/>
      <c r="H1829" s="544">
        <v>13.381</v>
      </c>
      <c r="I1829" s="394">
        <v>11.400790000000001</v>
      </c>
      <c r="J1829" s="394">
        <v>10.45833</v>
      </c>
      <c r="K1829" s="394"/>
      <c r="L1829" s="394"/>
      <c r="M1829" s="394">
        <v>0</v>
      </c>
      <c r="N1829" s="394">
        <v>0</v>
      </c>
      <c r="O1829" s="394">
        <v>0.4617</v>
      </c>
      <c r="P1829" s="394">
        <v>10.45833</v>
      </c>
      <c r="Q1829" s="394"/>
      <c r="R1829" s="381" t="s">
        <v>167</v>
      </c>
      <c r="S1829" s="408" t="s">
        <v>175</v>
      </c>
      <c r="T1829" s="385"/>
      <c r="U1829" s="475">
        <v>746</v>
      </c>
      <c r="V1829" s="395"/>
      <c r="W1829" s="395">
        <f t="shared" si="1014"/>
        <v>13.381</v>
      </c>
      <c r="X1829" s="393"/>
      <c r="Y1829" s="337"/>
      <c r="Z1829" s="497"/>
      <c r="AA1829" s="544"/>
      <c r="AB1829" s="394"/>
      <c r="AC1829" s="394"/>
      <c r="AD1829" s="394"/>
      <c r="AE1829" s="394"/>
      <c r="AF1829" s="394"/>
      <c r="AG1829" s="394"/>
      <c r="AH1829" s="394"/>
      <c r="AI1829" s="394"/>
      <c r="AJ1829" s="394"/>
      <c r="AK1829" s="381"/>
      <c r="AL1829" s="408"/>
      <c r="AM1829" s="385"/>
      <c r="AN1829" s="475"/>
      <c r="AO1829" s="395"/>
      <c r="AP1829" s="395" t="e">
        <f t="shared" si="1015"/>
        <v>#DIV/0!</v>
      </c>
      <c r="AQ1829" s="393"/>
      <c r="AR1829" s="337"/>
      <c r="AS1829" s="497"/>
      <c r="AT1829" s="544"/>
      <c r="AU1829" s="394"/>
      <c r="AV1829" s="394"/>
      <c r="AW1829" s="394"/>
      <c r="AX1829" s="394"/>
      <c r="AY1829" s="394"/>
      <c r="AZ1829" s="394"/>
      <c r="BA1829" s="394"/>
      <c r="BB1829" s="394"/>
      <c r="BC1829" s="394"/>
      <c r="BD1829" s="381"/>
      <c r="BE1829" s="408"/>
      <c r="BF1829" s="385"/>
      <c r="BG1829" s="475"/>
      <c r="BH1829" s="395"/>
      <c r="BI1829" s="395" t="e">
        <f t="shared" si="1016"/>
        <v>#DIV/0!</v>
      </c>
    </row>
    <row r="1830" spans="1:61" s="358" customFormat="1" ht="19.2" x14ac:dyDescent="0.3">
      <c r="A1830" s="359" t="s">
        <v>1967</v>
      </c>
      <c r="B1830" s="537" t="s">
        <v>589</v>
      </c>
      <c r="C1830" s="546" t="s">
        <v>461</v>
      </c>
      <c r="D1830" s="360">
        <v>0.4</v>
      </c>
      <c r="E1830" s="393"/>
      <c r="F1830" s="337">
        <v>1</v>
      </c>
      <c r="G1830" s="497"/>
      <c r="H1830" s="544">
        <v>13.381</v>
      </c>
      <c r="I1830" s="394">
        <v>11.400790000000001</v>
      </c>
      <c r="J1830" s="394">
        <v>10.45833</v>
      </c>
      <c r="K1830" s="394"/>
      <c r="L1830" s="394"/>
      <c r="M1830" s="394">
        <v>0</v>
      </c>
      <c r="N1830" s="394">
        <v>0</v>
      </c>
      <c r="O1830" s="394">
        <v>0.4617</v>
      </c>
      <c r="P1830" s="394">
        <v>10.45833</v>
      </c>
      <c r="Q1830" s="394"/>
      <c r="R1830" s="381" t="s">
        <v>167</v>
      </c>
      <c r="S1830" s="408" t="s">
        <v>175</v>
      </c>
      <c r="T1830" s="385"/>
      <c r="U1830" s="475">
        <v>747</v>
      </c>
      <c r="V1830" s="395"/>
      <c r="W1830" s="395">
        <f t="shared" si="1014"/>
        <v>13.381</v>
      </c>
      <c r="X1830" s="393"/>
      <c r="Y1830" s="337"/>
      <c r="Z1830" s="497"/>
      <c r="AA1830" s="544"/>
      <c r="AB1830" s="394"/>
      <c r="AC1830" s="394"/>
      <c r="AD1830" s="394"/>
      <c r="AE1830" s="394"/>
      <c r="AF1830" s="394"/>
      <c r="AG1830" s="394"/>
      <c r="AH1830" s="394"/>
      <c r="AI1830" s="394"/>
      <c r="AJ1830" s="394"/>
      <c r="AK1830" s="381"/>
      <c r="AL1830" s="408"/>
      <c r="AM1830" s="385"/>
      <c r="AN1830" s="475"/>
      <c r="AO1830" s="395"/>
      <c r="AP1830" s="395" t="e">
        <f t="shared" si="1015"/>
        <v>#DIV/0!</v>
      </c>
      <c r="AQ1830" s="393"/>
      <c r="AR1830" s="337"/>
      <c r="AS1830" s="497"/>
      <c r="AT1830" s="544"/>
      <c r="AU1830" s="394"/>
      <c r="AV1830" s="394"/>
      <c r="AW1830" s="394"/>
      <c r="AX1830" s="394"/>
      <c r="AY1830" s="394"/>
      <c r="AZ1830" s="394"/>
      <c r="BA1830" s="394"/>
      <c r="BB1830" s="394"/>
      <c r="BC1830" s="394"/>
      <c r="BD1830" s="381"/>
      <c r="BE1830" s="408"/>
      <c r="BF1830" s="385"/>
      <c r="BG1830" s="475"/>
      <c r="BH1830" s="395"/>
      <c r="BI1830" s="395" t="e">
        <f t="shared" si="1016"/>
        <v>#DIV/0!</v>
      </c>
    </row>
    <row r="1831" spans="1:61" s="358" customFormat="1" ht="19.2" x14ac:dyDescent="0.3">
      <c r="A1831" s="359" t="s">
        <v>1968</v>
      </c>
      <c r="B1831" s="537" t="s">
        <v>1602</v>
      </c>
      <c r="C1831" s="546" t="s">
        <v>1014</v>
      </c>
      <c r="D1831" s="360">
        <v>0.4</v>
      </c>
      <c r="E1831" s="393"/>
      <c r="F1831" s="337">
        <v>1</v>
      </c>
      <c r="G1831" s="497"/>
      <c r="H1831" s="544">
        <v>13.381</v>
      </c>
      <c r="I1831" s="394">
        <v>11.400790000000001</v>
      </c>
      <c r="J1831" s="394">
        <v>10.45833</v>
      </c>
      <c r="K1831" s="394"/>
      <c r="L1831" s="394"/>
      <c r="M1831" s="394">
        <v>0</v>
      </c>
      <c r="N1831" s="394">
        <v>0</v>
      </c>
      <c r="O1831" s="394">
        <v>0.4617</v>
      </c>
      <c r="P1831" s="394">
        <v>10.45833</v>
      </c>
      <c r="Q1831" s="394"/>
      <c r="R1831" s="381" t="s">
        <v>167</v>
      </c>
      <c r="S1831" s="408" t="s">
        <v>175</v>
      </c>
      <c r="T1831" s="385"/>
      <c r="U1831" s="475">
        <v>748</v>
      </c>
      <c r="V1831" s="395"/>
      <c r="W1831" s="395">
        <f t="shared" si="1014"/>
        <v>13.381</v>
      </c>
      <c r="X1831" s="393"/>
      <c r="Y1831" s="337"/>
      <c r="Z1831" s="497"/>
      <c r="AA1831" s="544"/>
      <c r="AB1831" s="394"/>
      <c r="AC1831" s="394"/>
      <c r="AD1831" s="394"/>
      <c r="AE1831" s="394"/>
      <c r="AF1831" s="394"/>
      <c r="AG1831" s="394"/>
      <c r="AH1831" s="394"/>
      <c r="AI1831" s="394"/>
      <c r="AJ1831" s="394"/>
      <c r="AK1831" s="381"/>
      <c r="AL1831" s="408"/>
      <c r="AM1831" s="385"/>
      <c r="AN1831" s="475"/>
      <c r="AO1831" s="395"/>
      <c r="AP1831" s="395" t="e">
        <f t="shared" si="1015"/>
        <v>#DIV/0!</v>
      </c>
      <c r="AQ1831" s="393"/>
      <c r="AR1831" s="337"/>
      <c r="AS1831" s="497"/>
      <c r="AT1831" s="544"/>
      <c r="AU1831" s="394"/>
      <c r="AV1831" s="394"/>
      <c r="AW1831" s="394"/>
      <c r="AX1831" s="394"/>
      <c r="AY1831" s="394"/>
      <c r="AZ1831" s="394"/>
      <c r="BA1831" s="394"/>
      <c r="BB1831" s="394"/>
      <c r="BC1831" s="394"/>
      <c r="BD1831" s="381"/>
      <c r="BE1831" s="408"/>
      <c r="BF1831" s="385"/>
      <c r="BG1831" s="475"/>
      <c r="BH1831" s="395"/>
      <c r="BI1831" s="395" t="e">
        <f t="shared" si="1016"/>
        <v>#DIV/0!</v>
      </c>
    </row>
    <row r="1832" spans="1:61" s="358" customFormat="1" ht="19.2" x14ac:dyDescent="0.3">
      <c r="A1832" s="359" t="s">
        <v>1969</v>
      </c>
      <c r="B1832" s="537" t="s">
        <v>600</v>
      </c>
      <c r="C1832" s="546" t="s">
        <v>473</v>
      </c>
      <c r="D1832" s="360">
        <v>0.4</v>
      </c>
      <c r="E1832" s="393"/>
      <c r="F1832" s="337">
        <v>1</v>
      </c>
      <c r="G1832" s="497"/>
      <c r="H1832" s="544">
        <v>13.381</v>
      </c>
      <c r="I1832" s="394">
        <v>11.400790000000001</v>
      </c>
      <c r="J1832" s="394">
        <v>10.45833</v>
      </c>
      <c r="K1832" s="394"/>
      <c r="L1832" s="394"/>
      <c r="M1832" s="394">
        <v>0</v>
      </c>
      <c r="N1832" s="394">
        <v>0</v>
      </c>
      <c r="O1832" s="394">
        <v>0.4617</v>
      </c>
      <c r="P1832" s="394">
        <v>10.45833</v>
      </c>
      <c r="Q1832" s="394"/>
      <c r="R1832" s="381" t="s">
        <v>167</v>
      </c>
      <c r="S1832" s="408" t="s">
        <v>175</v>
      </c>
      <c r="T1832" s="385"/>
      <c r="U1832" s="475">
        <v>749</v>
      </c>
      <c r="V1832" s="395"/>
      <c r="W1832" s="395">
        <f t="shared" si="1014"/>
        <v>13.381</v>
      </c>
      <c r="X1832" s="393"/>
      <c r="Y1832" s="337"/>
      <c r="Z1832" s="497"/>
      <c r="AA1832" s="544"/>
      <c r="AB1832" s="394"/>
      <c r="AC1832" s="394"/>
      <c r="AD1832" s="394"/>
      <c r="AE1832" s="394"/>
      <c r="AF1832" s="394"/>
      <c r="AG1832" s="394"/>
      <c r="AH1832" s="394"/>
      <c r="AI1832" s="394"/>
      <c r="AJ1832" s="394"/>
      <c r="AK1832" s="381"/>
      <c r="AL1832" s="408"/>
      <c r="AM1832" s="385"/>
      <c r="AN1832" s="475"/>
      <c r="AO1832" s="395"/>
      <c r="AP1832" s="395" t="e">
        <f t="shared" si="1015"/>
        <v>#DIV/0!</v>
      </c>
      <c r="AQ1832" s="393"/>
      <c r="AR1832" s="337"/>
      <c r="AS1832" s="497"/>
      <c r="AT1832" s="544"/>
      <c r="AU1832" s="394"/>
      <c r="AV1832" s="394"/>
      <c r="AW1832" s="394"/>
      <c r="AX1832" s="394"/>
      <c r="AY1832" s="394"/>
      <c r="AZ1832" s="394"/>
      <c r="BA1832" s="394"/>
      <c r="BB1832" s="394"/>
      <c r="BC1832" s="394"/>
      <c r="BD1832" s="381"/>
      <c r="BE1832" s="408"/>
      <c r="BF1832" s="385"/>
      <c r="BG1832" s="475"/>
      <c r="BH1832" s="395"/>
      <c r="BI1832" s="395" t="e">
        <f t="shared" si="1016"/>
        <v>#DIV/0!</v>
      </c>
    </row>
    <row r="1833" spans="1:61" s="358" customFormat="1" ht="19.2" x14ac:dyDescent="0.3">
      <c r="A1833" s="359" t="s">
        <v>1970</v>
      </c>
      <c r="B1833" s="537" t="s">
        <v>1603</v>
      </c>
      <c r="C1833" s="546" t="s">
        <v>1015</v>
      </c>
      <c r="D1833" s="360">
        <v>0.4</v>
      </c>
      <c r="E1833" s="393"/>
      <c r="F1833" s="337">
        <v>1</v>
      </c>
      <c r="G1833" s="497"/>
      <c r="H1833" s="544">
        <v>13.381</v>
      </c>
      <c r="I1833" s="394">
        <v>11.400790000000001</v>
      </c>
      <c r="J1833" s="394">
        <v>10.45833</v>
      </c>
      <c r="K1833" s="394"/>
      <c r="L1833" s="394"/>
      <c r="M1833" s="394">
        <v>0</v>
      </c>
      <c r="N1833" s="394">
        <v>0</v>
      </c>
      <c r="O1833" s="394">
        <v>0.4617</v>
      </c>
      <c r="P1833" s="394">
        <v>10.45833</v>
      </c>
      <c r="Q1833" s="394"/>
      <c r="R1833" s="381" t="s">
        <v>167</v>
      </c>
      <c r="S1833" s="408" t="s">
        <v>175</v>
      </c>
      <c r="T1833" s="385"/>
      <c r="U1833" s="475">
        <v>750</v>
      </c>
      <c r="V1833" s="395"/>
      <c r="W1833" s="395">
        <f t="shared" si="1014"/>
        <v>13.381</v>
      </c>
      <c r="X1833" s="393"/>
      <c r="Y1833" s="337"/>
      <c r="Z1833" s="497"/>
      <c r="AA1833" s="544"/>
      <c r="AB1833" s="394"/>
      <c r="AC1833" s="394"/>
      <c r="AD1833" s="394"/>
      <c r="AE1833" s="394"/>
      <c r="AF1833" s="394"/>
      <c r="AG1833" s="394"/>
      <c r="AH1833" s="394"/>
      <c r="AI1833" s="394"/>
      <c r="AJ1833" s="394"/>
      <c r="AK1833" s="381"/>
      <c r="AL1833" s="408"/>
      <c r="AM1833" s="385"/>
      <c r="AN1833" s="475"/>
      <c r="AO1833" s="395"/>
      <c r="AP1833" s="395" t="e">
        <f t="shared" si="1015"/>
        <v>#DIV/0!</v>
      </c>
      <c r="AQ1833" s="393"/>
      <c r="AR1833" s="337"/>
      <c r="AS1833" s="497"/>
      <c r="AT1833" s="544"/>
      <c r="AU1833" s="394"/>
      <c r="AV1833" s="394"/>
      <c r="AW1833" s="394"/>
      <c r="AX1833" s="394"/>
      <c r="AY1833" s="394"/>
      <c r="AZ1833" s="394"/>
      <c r="BA1833" s="394"/>
      <c r="BB1833" s="394"/>
      <c r="BC1833" s="394"/>
      <c r="BD1833" s="381"/>
      <c r="BE1833" s="408"/>
      <c r="BF1833" s="385"/>
      <c r="BG1833" s="475"/>
      <c r="BH1833" s="395"/>
      <c r="BI1833" s="395" t="e">
        <f t="shared" si="1016"/>
        <v>#DIV/0!</v>
      </c>
    </row>
    <row r="1834" spans="1:61" s="358" customFormat="1" ht="19.2" x14ac:dyDescent="0.3">
      <c r="A1834" s="359" t="s">
        <v>1971</v>
      </c>
      <c r="B1834" s="537" t="s">
        <v>1604</v>
      </c>
      <c r="C1834" s="546" t="s">
        <v>1016</v>
      </c>
      <c r="D1834" s="360">
        <v>0.4</v>
      </c>
      <c r="E1834" s="393"/>
      <c r="F1834" s="337">
        <v>1</v>
      </c>
      <c r="G1834" s="497"/>
      <c r="H1834" s="544">
        <v>13.381</v>
      </c>
      <c r="I1834" s="394">
        <v>11.400790000000001</v>
      </c>
      <c r="J1834" s="394">
        <v>10.45833</v>
      </c>
      <c r="K1834" s="394"/>
      <c r="L1834" s="394"/>
      <c r="M1834" s="394">
        <v>0</v>
      </c>
      <c r="N1834" s="394">
        <v>0</v>
      </c>
      <c r="O1834" s="394">
        <v>0.4617</v>
      </c>
      <c r="P1834" s="394">
        <v>10.45833</v>
      </c>
      <c r="Q1834" s="394"/>
      <c r="R1834" s="381" t="s">
        <v>167</v>
      </c>
      <c r="S1834" s="408" t="s">
        <v>175</v>
      </c>
      <c r="T1834" s="385"/>
      <c r="U1834" s="475">
        <v>751</v>
      </c>
      <c r="V1834" s="395"/>
      <c r="W1834" s="395">
        <f t="shared" si="1014"/>
        <v>13.381</v>
      </c>
      <c r="X1834" s="393"/>
      <c r="Y1834" s="337"/>
      <c r="Z1834" s="497"/>
      <c r="AA1834" s="544"/>
      <c r="AB1834" s="394"/>
      <c r="AC1834" s="394"/>
      <c r="AD1834" s="394"/>
      <c r="AE1834" s="394"/>
      <c r="AF1834" s="394"/>
      <c r="AG1834" s="394"/>
      <c r="AH1834" s="394"/>
      <c r="AI1834" s="394"/>
      <c r="AJ1834" s="394"/>
      <c r="AK1834" s="381"/>
      <c r="AL1834" s="408"/>
      <c r="AM1834" s="385"/>
      <c r="AN1834" s="475"/>
      <c r="AO1834" s="395"/>
      <c r="AP1834" s="395" t="e">
        <f t="shared" si="1015"/>
        <v>#DIV/0!</v>
      </c>
      <c r="AQ1834" s="393"/>
      <c r="AR1834" s="337"/>
      <c r="AS1834" s="497"/>
      <c r="AT1834" s="544"/>
      <c r="AU1834" s="394"/>
      <c r="AV1834" s="394"/>
      <c r="AW1834" s="394"/>
      <c r="AX1834" s="394"/>
      <c r="AY1834" s="394"/>
      <c r="AZ1834" s="394"/>
      <c r="BA1834" s="394"/>
      <c r="BB1834" s="394"/>
      <c r="BC1834" s="394"/>
      <c r="BD1834" s="381"/>
      <c r="BE1834" s="408"/>
      <c r="BF1834" s="385"/>
      <c r="BG1834" s="475"/>
      <c r="BH1834" s="395"/>
      <c r="BI1834" s="395" t="e">
        <f t="shared" si="1016"/>
        <v>#DIV/0!</v>
      </c>
    </row>
    <row r="1835" spans="1:61" s="358" customFormat="1" ht="19.2" x14ac:dyDescent="0.3">
      <c r="A1835" s="359" t="s">
        <v>1988</v>
      </c>
      <c r="B1835" s="537" t="s">
        <v>1605</v>
      </c>
      <c r="C1835" s="546" t="s">
        <v>1017</v>
      </c>
      <c r="D1835" s="360">
        <v>0.4</v>
      </c>
      <c r="E1835" s="393"/>
      <c r="F1835" s="337">
        <v>1</v>
      </c>
      <c r="G1835" s="497"/>
      <c r="H1835" s="544">
        <v>13.381</v>
      </c>
      <c r="I1835" s="394">
        <v>11.400790000000001</v>
      </c>
      <c r="J1835" s="394">
        <v>10.45833</v>
      </c>
      <c r="K1835" s="394"/>
      <c r="L1835" s="394"/>
      <c r="M1835" s="394">
        <v>0</v>
      </c>
      <c r="N1835" s="394">
        <v>0</v>
      </c>
      <c r="O1835" s="394">
        <v>0.4617</v>
      </c>
      <c r="P1835" s="394">
        <v>10.45833</v>
      </c>
      <c r="Q1835" s="394"/>
      <c r="R1835" s="381" t="s">
        <v>167</v>
      </c>
      <c r="S1835" s="408" t="s">
        <v>175</v>
      </c>
      <c r="T1835" s="385"/>
      <c r="U1835" s="475">
        <v>752</v>
      </c>
      <c r="V1835" s="395"/>
      <c r="W1835" s="395">
        <f t="shared" si="1014"/>
        <v>13.381</v>
      </c>
      <c r="X1835" s="393"/>
      <c r="Y1835" s="337"/>
      <c r="Z1835" s="497"/>
      <c r="AA1835" s="544"/>
      <c r="AB1835" s="394"/>
      <c r="AC1835" s="394"/>
      <c r="AD1835" s="394"/>
      <c r="AE1835" s="394"/>
      <c r="AF1835" s="394"/>
      <c r="AG1835" s="394"/>
      <c r="AH1835" s="394"/>
      <c r="AI1835" s="394"/>
      <c r="AJ1835" s="394"/>
      <c r="AK1835" s="381"/>
      <c r="AL1835" s="408"/>
      <c r="AM1835" s="385"/>
      <c r="AN1835" s="475"/>
      <c r="AO1835" s="395"/>
      <c r="AP1835" s="395" t="e">
        <f t="shared" si="1015"/>
        <v>#DIV/0!</v>
      </c>
      <c r="AQ1835" s="393"/>
      <c r="AR1835" s="337"/>
      <c r="AS1835" s="497"/>
      <c r="AT1835" s="544"/>
      <c r="AU1835" s="394"/>
      <c r="AV1835" s="394"/>
      <c r="AW1835" s="394"/>
      <c r="AX1835" s="394"/>
      <c r="AY1835" s="394"/>
      <c r="AZ1835" s="394"/>
      <c r="BA1835" s="394"/>
      <c r="BB1835" s="394"/>
      <c r="BC1835" s="394"/>
      <c r="BD1835" s="381"/>
      <c r="BE1835" s="408"/>
      <c r="BF1835" s="385"/>
      <c r="BG1835" s="475"/>
      <c r="BH1835" s="395"/>
      <c r="BI1835" s="395" t="e">
        <f t="shared" si="1016"/>
        <v>#DIV/0!</v>
      </c>
    </row>
    <row r="1836" spans="1:61" s="358" customFormat="1" ht="19.2" x14ac:dyDescent="0.3">
      <c r="A1836" s="359" t="s">
        <v>1973</v>
      </c>
      <c r="B1836" s="537" t="s">
        <v>591</v>
      </c>
      <c r="C1836" s="546" t="s">
        <v>463</v>
      </c>
      <c r="D1836" s="360">
        <v>0.4</v>
      </c>
      <c r="E1836" s="393"/>
      <c r="F1836" s="337">
        <v>1</v>
      </c>
      <c r="G1836" s="497"/>
      <c r="H1836" s="544">
        <v>13.381</v>
      </c>
      <c r="I1836" s="394">
        <v>11.400790000000001</v>
      </c>
      <c r="J1836" s="394">
        <v>10.45833</v>
      </c>
      <c r="K1836" s="394"/>
      <c r="L1836" s="394"/>
      <c r="M1836" s="394">
        <v>0</v>
      </c>
      <c r="N1836" s="394">
        <v>0</v>
      </c>
      <c r="O1836" s="394">
        <v>0.4617</v>
      </c>
      <c r="P1836" s="394">
        <v>10.45833</v>
      </c>
      <c r="Q1836" s="394"/>
      <c r="R1836" s="381" t="s">
        <v>167</v>
      </c>
      <c r="S1836" s="408" t="s">
        <v>175</v>
      </c>
      <c r="T1836" s="385"/>
      <c r="U1836" s="475">
        <v>753</v>
      </c>
      <c r="V1836" s="395"/>
      <c r="W1836" s="395">
        <f t="shared" si="1014"/>
        <v>13.381</v>
      </c>
      <c r="X1836" s="393"/>
      <c r="Y1836" s="337"/>
      <c r="Z1836" s="497"/>
      <c r="AA1836" s="544"/>
      <c r="AB1836" s="394"/>
      <c r="AC1836" s="394"/>
      <c r="AD1836" s="394"/>
      <c r="AE1836" s="394"/>
      <c r="AF1836" s="394"/>
      <c r="AG1836" s="394"/>
      <c r="AH1836" s="394"/>
      <c r="AI1836" s="394"/>
      <c r="AJ1836" s="394"/>
      <c r="AK1836" s="381"/>
      <c r="AL1836" s="408"/>
      <c r="AM1836" s="385"/>
      <c r="AN1836" s="475"/>
      <c r="AO1836" s="395"/>
      <c r="AP1836" s="395" t="e">
        <f t="shared" si="1015"/>
        <v>#DIV/0!</v>
      </c>
      <c r="AQ1836" s="393"/>
      <c r="AR1836" s="337"/>
      <c r="AS1836" s="497"/>
      <c r="AT1836" s="544"/>
      <c r="AU1836" s="394"/>
      <c r="AV1836" s="394"/>
      <c r="AW1836" s="394"/>
      <c r="AX1836" s="394"/>
      <c r="AY1836" s="394"/>
      <c r="AZ1836" s="394"/>
      <c r="BA1836" s="394"/>
      <c r="BB1836" s="394"/>
      <c r="BC1836" s="394"/>
      <c r="BD1836" s="381"/>
      <c r="BE1836" s="408"/>
      <c r="BF1836" s="385"/>
      <c r="BG1836" s="475"/>
      <c r="BH1836" s="395"/>
      <c r="BI1836" s="395" t="e">
        <f t="shared" si="1016"/>
        <v>#DIV/0!</v>
      </c>
    </row>
    <row r="1837" spans="1:61" s="358" customFormat="1" ht="19.2" x14ac:dyDescent="0.3">
      <c r="A1837" s="359" t="s">
        <v>1974</v>
      </c>
      <c r="B1837" s="537" t="s">
        <v>597</v>
      </c>
      <c r="C1837" s="546" t="s">
        <v>469</v>
      </c>
      <c r="D1837" s="360">
        <v>0.4</v>
      </c>
      <c r="E1837" s="393"/>
      <c r="F1837" s="337">
        <v>1</v>
      </c>
      <c r="G1837" s="497"/>
      <c r="H1837" s="544">
        <v>13.381</v>
      </c>
      <c r="I1837" s="394">
        <v>11.400790000000001</v>
      </c>
      <c r="J1837" s="394">
        <v>10.45833</v>
      </c>
      <c r="K1837" s="394"/>
      <c r="L1837" s="394"/>
      <c r="M1837" s="394">
        <v>0</v>
      </c>
      <c r="N1837" s="394">
        <v>0</v>
      </c>
      <c r="O1837" s="394">
        <v>0.4617</v>
      </c>
      <c r="P1837" s="394">
        <v>10.45833</v>
      </c>
      <c r="Q1837" s="394"/>
      <c r="R1837" s="381" t="s">
        <v>167</v>
      </c>
      <c r="S1837" s="408" t="s">
        <v>175</v>
      </c>
      <c r="T1837" s="385"/>
      <c r="U1837" s="475">
        <v>754</v>
      </c>
      <c r="V1837" s="395"/>
      <c r="W1837" s="395">
        <f t="shared" si="1014"/>
        <v>13.381</v>
      </c>
      <c r="X1837" s="393"/>
      <c r="Y1837" s="337"/>
      <c r="Z1837" s="497"/>
      <c r="AA1837" s="544"/>
      <c r="AB1837" s="394"/>
      <c r="AC1837" s="394"/>
      <c r="AD1837" s="394"/>
      <c r="AE1837" s="394"/>
      <c r="AF1837" s="394"/>
      <c r="AG1837" s="394"/>
      <c r="AH1837" s="394"/>
      <c r="AI1837" s="394"/>
      <c r="AJ1837" s="394"/>
      <c r="AK1837" s="381"/>
      <c r="AL1837" s="408"/>
      <c r="AM1837" s="385"/>
      <c r="AN1837" s="475"/>
      <c r="AO1837" s="395"/>
      <c r="AP1837" s="395" t="e">
        <f t="shared" si="1015"/>
        <v>#DIV/0!</v>
      </c>
      <c r="AQ1837" s="393"/>
      <c r="AR1837" s="337"/>
      <c r="AS1837" s="497"/>
      <c r="AT1837" s="544"/>
      <c r="AU1837" s="394"/>
      <c r="AV1837" s="394"/>
      <c r="AW1837" s="394"/>
      <c r="AX1837" s="394"/>
      <c r="AY1837" s="394"/>
      <c r="AZ1837" s="394"/>
      <c r="BA1837" s="394"/>
      <c r="BB1837" s="394"/>
      <c r="BC1837" s="394"/>
      <c r="BD1837" s="381"/>
      <c r="BE1837" s="408"/>
      <c r="BF1837" s="385"/>
      <c r="BG1837" s="475"/>
      <c r="BH1837" s="395"/>
      <c r="BI1837" s="395" t="e">
        <f t="shared" si="1016"/>
        <v>#DIV/0!</v>
      </c>
    </row>
    <row r="1838" spans="1:61" s="358" customFormat="1" ht="19.2" x14ac:dyDescent="0.3">
      <c r="A1838" s="359" t="s">
        <v>1975</v>
      </c>
      <c r="B1838" s="537" t="s">
        <v>1606</v>
      </c>
      <c r="C1838" s="546" t="s">
        <v>1018</v>
      </c>
      <c r="D1838" s="360">
        <v>0.4</v>
      </c>
      <c r="E1838" s="393"/>
      <c r="F1838" s="337">
        <v>1</v>
      </c>
      <c r="G1838" s="497"/>
      <c r="H1838" s="544">
        <v>13.381</v>
      </c>
      <c r="I1838" s="394">
        <v>11.400790000000001</v>
      </c>
      <c r="J1838" s="394">
        <v>10.45833</v>
      </c>
      <c r="K1838" s="394"/>
      <c r="L1838" s="394"/>
      <c r="M1838" s="394">
        <v>0</v>
      </c>
      <c r="N1838" s="394">
        <v>0</v>
      </c>
      <c r="O1838" s="394">
        <v>0.4617</v>
      </c>
      <c r="P1838" s="394">
        <v>10.45833</v>
      </c>
      <c r="Q1838" s="394"/>
      <c r="R1838" s="381" t="s">
        <v>167</v>
      </c>
      <c r="S1838" s="408" t="s">
        <v>175</v>
      </c>
      <c r="T1838" s="385"/>
      <c r="U1838" s="475">
        <v>755</v>
      </c>
      <c r="V1838" s="395"/>
      <c r="W1838" s="395">
        <f t="shared" si="1014"/>
        <v>13.381</v>
      </c>
      <c r="X1838" s="393"/>
      <c r="Y1838" s="337"/>
      <c r="Z1838" s="497"/>
      <c r="AA1838" s="544"/>
      <c r="AB1838" s="394"/>
      <c r="AC1838" s="394"/>
      <c r="AD1838" s="394"/>
      <c r="AE1838" s="394"/>
      <c r="AF1838" s="394"/>
      <c r="AG1838" s="394"/>
      <c r="AH1838" s="394"/>
      <c r="AI1838" s="394"/>
      <c r="AJ1838" s="394"/>
      <c r="AK1838" s="381"/>
      <c r="AL1838" s="408"/>
      <c r="AM1838" s="385"/>
      <c r="AN1838" s="475"/>
      <c r="AO1838" s="395"/>
      <c r="AP1838" s="395" t="e">
        <f t="shared" si="1015"/>
        <v>#DIV/0!</v>
      </c>
      <c r="AQ1838" s="393"/>
      <c r="AR1838" s="337"/>
      <c r="AS1838" s="497"/>
      <c r="AT1838" s="544"/>
      <c r="AU1838" s="394"/>
      <c r="AV1838" s="394"/>
      <c r="AW1838" s="394"/>
      <c r="AX1838" s="394"/>
      <c r="AY1838" s="394"/>
      <c r="AZ1838" s="394"/>
      <c r="BA1838" s="394"/>
      <c r="BB1838" s="394"/>
      <c r="BC1838" s="394"/>
      <c r="BD1838" s="381"/>
      <c r="BE1838" s="408"/>
      <c r="BF1838" s="385"/>
      <c r="BG1838" s="475"/>
      <c r="BH1838" s="395"/>
      <c r="BI1838" s="395" t="e">
        <f t="shared" si="1016"/>
        <v>#DIV/0!</v>
      </c>
    </row>
    <row r="1839" spans="1:61" s="358" customFormat="1" ht="19.2" x14ac:dyDescent="0.3">
      <c r="A1839" s="359" t="s">
        <v>1992</v>
      </c>
      <c r="B1839" s="537" t="s">
        <v>1607</v>
      </c>
      <c r="C1839" s="546" t="s">
        <v>1019</v>
      </c>
      <c r="D1839" s="360">
        <v>0.4</v>
      </c>
      <c r="E1839" s="393"/>
      <c r="F1839" s="337">
        <v>1</v>
      </c>
      <c r="G1839" s="497"/>
      <c r="H1839" s="544">
        <v>13.381</v>
      </c>
      <c r="I1839" s="394">
        <v>11.400790000000001</v>
      </c>
      <c r="J1839" s="394">
        <v>10.45833</v>
      </c>
      <c r="K1839" s="394"/>
      <c r="L1839" s="394"/>
      <c r="M1839" s="394">
        <v>0</v>
      </c>
      <c r="N1839" s="394">
        <v>0</v>
      </c>
      <c r="O1839" s="394">
        <v>0.4617</v>
      </c>
      <c r="P1839" s="394">
        <v>10.45833</v>
      </c>
      <c r="Q1839" s="394"/>
      <c r="R1839" s="381" t="s">
        <v>167</v>
      </c>
      <c r="S1839" s="408" t="s">
        <v>175</v>
      </c>
      <c r="T1839" s="385"/>
      <c r="U1839" s="475">
        <v>756</v>
      </c>
      <c r="V1839" s="395"/>
      <c r="W1839" s="395">
        <f t="shared" si="1014"/>
        <v>13.381</v>
      </c>
      <c r="X1839" s="393"/>
      <c r="Y1839" s="337"/>
      <c r="Z1839" s="497"/>
      <c r="AA1839" s="544"/>
      <c r="AB1839" s="394"/>
      <c r="AC1839" s="394"/>
      <c r="AD1839" s="394"/>
      <c r="AE1839" s="394"/>
      <c r="AF1839" s="394"/>
      <c r="AG1839" s="394"/>
      <c r="AH1839" s="394"/>
      <c r="AI1839" s="394"/>
      <c r="AJ1839" s="394"/>
      <c r="AK1839" s="381"/>
      <c r="AL1839" s="408"/>
      <c r="AM1839" s="385"/>
      <c r="AN1839" s="475"/>
      <c r="AO1839" s="395"/>
      <c r="AP1839" s="395" t="e">
        <f t="shared" si="1015"/>
        <v>#DIV/0!</v>
      </c>
      <c r="AQ1839" s="393"/>
      <c r="AR1839" s="337"/>
      <c r="AS1839" s="497"/>
      <c r="AT1839" s="544"/>
      <c r="AU1839" s="394"/>
      <c r="AV1839" s="394"/>
      <c r="AW1839" s="394"/>
      <c r="AX1839" s="394"/>
      <c r="AY1839" s="394"/>
      <c r="AZ1839" s="394"/>
      <c r="BA1839" s="394"/>
      <c r="BB1839" s="394"/>
      <c r="BC1839" s="394"/>
      <c r="BD1839" s="381"/>
      <c r="BE1839" s="408"/>
      <c r="BF1839" s="385"/>
      <c r="BG1839" s="475"/>
      <c r="BH1839" s="395"/>
      <c r="BI1839" s="395" t="e">
        <f t="shared" si="1016"/>
        <v>#DIV/0!</v>
      </c>
    </row>
    <row r="1840" spans="1:61" s="358" customFormat="1" ht="19.2" x14ac:dyDescent="0.3">
      <c r="A1840" s="359" t="s">
        <v>1977</v>
      </c>
      <c r="B1840" s="537" t="s">
        <v>564</v>
      </c>
      <c r="C1840" s="546" t="s">
        <v>429</v>
      </c>
      <c r="D1840" s="360">
        <v>0.4</v>
      </c>
      <c r="E1840" s="393"/>
      <c r="F1840" s="337">
        <v>1</v>
      </c>
      <c r="G1840" s="497"/>
      <c r="H1840" s="544">
        <v>13.381</v>
      </c>
      <c r="I1840" s="394">
        <v>11.400790000000001</v>
      </c>
      <c r="J1840" s="394">
        <v>10.45833</v>
      </c>
      <c r="K1840" s="394"/>
      <c r="L1840" s="394"/>
      <c r="M1840" s="394">
        <v>0</v>
      </c>
      <c r="N1840" s="394">
        <v>0</v>
      </c>
      <c r="O1840" s="394">
        <v>0.4617</v>
      </c>
      <c r="P1840" s="394">
        <v>10.45833</v>
      </c>
      <c r="Q1840" s="394"/>
      <c r="R1840" s="381" t="s">
        <v>167</v>
      </c>
      <c r="S1840" s="408" t="s">
        <v>175</v>
      </c>
      <c r="T1840" s="385"/>
      <c r="U1840" s="475">
        <v>757</v>
      </c>
      <c r="V1840" s="395"/>
      <c r="W1840" s="395">
        <f t="shared" si="1014"/>
        <v>13.381</v>
      </c>
      <c r="X1840" s="393"/>
      <c r="Y1840" s="337"/>
      <c r="Z1840" s="497"/>
      <c r="AA1840" s="544"/>
      <c r="AB1840" s="394"/>
      <c r="AC1840" s="394"/>
      <c r="AD1840" s="394"/>
      <c r="AE1840" s="394"/>
      <c r="AF1840" s="394"/>
      <c r="AG1840" s="394"/>
      <c r="AH1840" s="394"/>
      <c r="AI1840" s="394"/>
      <c r="AJ1840" s="394"/>
      <c r="AK1840" s="381"/>
      <c r="AL1840" s="408"/>
      <c r="AM1840" s="385"/>
      <c r="AN1840" s="475"/>
      <c r="AO1840" s="395"/>
      <c r="AP1840" s="395" t="e">
        <f t="shared" si="1015"/>
        <v>#DIV/0!</v>
      </c>
      <c r="AQ1840" s="393"/>
      <c r="AR1840" s="337"/>
      <c r="AS1840" s="497"/>
      <c r="AT1840" s="544"/>
      <c r="AU1840" s="394"/>
      <c r="AV1840" s="394"/>
      <c r="AW1840" s="394"/>
      <c r="AX1840" s="394"/>
      <c r="AY1840" s="394"/>
      <c r="AZ1840" s="394"/>
      <c r="BA1840" s="394"/>
      <c r="BB1840" s="394"/>
      <c r="BC1840" s="394"/>
      <c r="BD1840" s="381"/>
      <c r="BE1840" s="408"/>
      <c r="BF1840" s="385"/>
      <c r="BG1840" s="475"/>
      <c r="BH1840" s="395"/>
      <c r="BI1840" s="395" t="e">
        <f t="shared" si="1016"/>
        <v>#DIV/0!</v>
      </c>
    </row>
    <row r="1841" spans="1:61" s="358" customFormat="1" ht="19.2" x14ac:dyDescent="0.3">
      <c r="A1841" s="359" t="s">
        <v>1978</v>
      </c>
      <c r="B1841" s="537" t="s">
        <v>1608</v>
      </c>
      <c r="C1841" s="546" t="s">
        <v>1020</v>
      </c>
      <c r="D1841" s="360">
        <v>0.4</v>
      </c>
      <c r="E1841" s="393"/>
      <c r="F1841" s="337">
        <v>1</v>
      </c>
      <c r="G1841" s="497"/>
      <c r="H1841" s="544">
        <v>13.381</v>
      </c>
      <c r="I1841" s="394">
        <v>11.400790000000001</v>
      </c>
      <c r="J1841" s="394">
        <v>10.45833</v>
      </c>
      <c r="K1841" s="394"/>
      <c r="L1841" s="394"/>
      <c r="M1841" s="394">
        <v>0</v>
      </c>
      <c r="N1841" s="394">
        <v>0</v>
      </c>
      <c r="O1841" s="394">
        <v>0.4617</v>
      </c>
      <c r="P1841" s="394">
        <v>10.45833</v>
      </c>
      <c r="Q1841" s="394"/>
      <c r="R1841" s="381" t="s">
        <v>167</v>
      </c>
      <c r="S1841" s="408" t="s">
        <v>175</v>
      </c>
      <c r="T1841" s="385"/>
      <c r="U1841" s="475">
        <v>758</v>
      </c>
      <c r="V1841" s="395"/>
      <c r="W1841" s="395">
        <f t="shared" si="1014"/>
        <v>13.381</v>
      </c>
      <c r="X1841" s="393"/>
      <c r="Y1841" s="337"/>
      <c r="Z1841" s="497"/>
      <c r="AA1841" s="544"/>
      <c r="AB1841" s="394"/>
      <c r="AC1841" s="394"/>
      <c r="AD1841" s="394"/>
      <c r="AE1841" s="394"/>
      <c r="AF1841" s="394"/>
      <c r="AG1841" s="394"/>
      <c r="AH1841" s="394"/>
      <c r="AI1841" s="394"/>
      <c r="AJ1841" s="394"/>
      <c r="AK1841" s="381"/>
      <c r="AL1841" s="408"/>
      <c r="AM1841" s="385"/>
      <c r="AN1841" s="475"/>
      <c r="AO1841" s="395"/>
      <c r="AP1841" s="395" t="e">
        <f t="shared" si="1015"/>
        <v>#DIV/0!</v>
      </c>
      <c r="AQ1841" s="393"/>
      <c r="AR1841" s="337"/>
      <c r="AS1841" s="497"/>
      <c r="AT1841" s="544"/>
      <c r="AU1841" s="394"/>
      <c r="AV1841" s="394"/>
      <c r="AW1841" s="394"/>
      <c r="AX1841" s="394"/>
      <c r="AY1841" s="394"/>
      <c r="AZ1841" s="394"/>
      <c r="BA1841" s="394"/>
      <c r="BB1841" s="394"/>
      <c r="BC1841" s="394"/>
      <c r="BD1841" s="381"/>
      <c r="BE1841" s="408"/>
      <c r="BF1841" s="385"/>
      <c r="BG1841" s="475"/>
      <c r="BH1841" s="395"/>
      <c r="BI1841" s="395" t="e">
        <f t="shared" si="1016"/>
        <v>#DIV/0!</v>
      </c>
    </row>
    <row r="1842" spans="1:61" s="358" customFormat="1" ht="19.2" x14ac:dyDescent="0.3">
      <c r="A1842" s="359" t="s">
        <v>1963</v>
      </c>
      <c r="B1842" s="537" t="s">
        <v>1609</v>
      </c>
      <c r="C1842" s="546" t="s">
        <v>1021</v>
      </c>
      <c r="D1842" s="360">
        <v>0.4</v>
      </c>
      <c r="E1842" s="393"/>
      <c r="F1842" s="337">
        <v>1</v>
      </c>
      <c r="G1842" s="497"/>
      <c r="H1842" s="544">
        <v>13.384</v>
      </c>
      <c r="I1842" s="394">
        <v>11.469749999999999</v>
      </c>
      <c r="J1842" s="394">
        <v>10.45833</v>
      </c>
      <c r="K1842" s="394"/>
      <c r="L1842" s="394"/>
      <c r="M1842" s="394">
        <v>0</v>
      </c>
      <c r="N1842" s="394">
        <v>0</v>
      </c>
      <c r="O1842" s="394">
        <v>0.44627</v>
      </c>
      <c r="P1842" s="394">
        <v>10.45833</v>
      </c>
      <c r="Q1842" s="394"/>
      <c r="R1842" s="381" t="s">
        <v>167</v>
      </c>
      <c r="S1842" s="408" t="s">
        <v>175</v>
      </c>
      <c r="T1842" s="385"/>
      <c r="U1842" s="475">
        <v>759</v>
      </c>
      <c r="V1842" s="395"/>
      <c r="W1842" s="395">
        <f t="shared" si="1014"/>
        <v>13.384</v>
      </c>
      <c r="X1842" s="393"/>
      <c r="Y1842" s="337"/>
      <c r="Z1842" s="497"/>
      <c r="AA1842" s="544"/>
      <c r="AB1842" s="394"/>
      <c r="AC1842" s="394"/>
      <c r="AD1842" s="394"/>
      <c r="AE1842" s="394"/>
      <c r="AF1842" s="394"/>
      <c r="AG1842" s="394"/>
      <c r="AH1842" s="394"/>
      <c r="AI1842" s="394"/>
      <c r="AJ1842" s="394"/>
      <c r="AK1842" s="381"/>
      <c r="AL1842" s="408"/>
      <c r="AM1842" s="385"/>
      <c r="AN1842" s="475"/>
      <c r="AO1842" s="395"/>
      <c r="AP1842" s="395" t="e">
        <f t="shared" si="1015"/>
        <v>#DIV/0!</v>
      </c>
      <c r="AQ1842" s="393"/>
      <c r="AR1842" s="337"/>
      <c r="AS1842" s="497"/>
      <c r="AT1842" s="544"/>
      <c r="AU1842" s="394"/>
      <c r="AV1842" s="394"/>
      <c r="AW1842" s="394"/>
      <c r="AX1842" s="394"/>
      <c r="AY1842" s="394"/>
      <c r="AZ1842" s="394"/>
      <c r="BA1842" s="394"/>
      <c r="BB1842" s="394"/>
      <c r="BC1842" s="394"/>
      <c r="BD1842" s="381"/>
      <c r="BE1842" s="408"/>
      <c r="BF1842" s="385"/>
      <c r="BG1842" s="475"/>
      <c r="BH1842" s="395"/>
      <c r="BI1842" s="395" t="e">
        <f t="shared" si="1016"/>
        <v>#DIV/0!</v>
      </c>
    </row>
    <row r="1843" spans="1:61" s="358" customFormat="1" ht="19.2" x14ac:dyDescent="0.3">
      <c r="A1843" s="359" t="s">
        <v>1980</v>
      </c>
      <c r="B1843" s="537" t="s">
        <v>1610</v>
      </c>
      <c r="C1843" s="546" t="s">
        <v>1022</v>
      </c>
      <c r="D1843" s="360">
        <v>0.4</v>
      </c>
      <c r="E1843" s="393"/>
      <c r="F1843" s="337">
        <v>1</v>
      </c>
      <c r="G1843" s="497"/>
      <c r="H1843" s="544">
        <v>13.384</v>
      </c>
      <c r="I1843" s="394">
        <v>11.469749999999999</v>
      </c>
      <c r="J1843" s="394">
        <v>10.45833</v>
      </c>
      <c r="K1843" s="394"/>
      <c r="L1843" s="394"/>
      <c r="M1843" s="394">
        <v>0</v>
      </c>
      <c r="N1843" s="394">
        <v>0</v>
      </c>
      <c r="O1843" s="394">
        <v>0.44627</v>
      </c>
      <c r="P1843" s="394">
        <v>10.45833</v>
      </c>
      <c r="Q1843" s="394"/>
      <c r="R1843" s="381" t="s">
        <v>167</v>
      </c>
      <c r="S1843" s="408" t="s">
        <v>175</v>
      </c>
      <c r="T1843" s="385"/>
      <c r="U1843" s="475">
        <v>760</v>
      </c>
      <c r="V1843" s="395"/>
      <c r="W1843" s="395">
        <f t="shared" si="1014"/>
        <v>13.384</v>
      </c>
      <c r="X1843" s="393"/>
      <c r="Y1843" s="337"/>
      <c r="Z1843" s="497"/>
      <c r="AA1843" s="544"/>
      <c r="AB1843" s="394"/>
      <c r="AC1843" s="394"/>
      <c r="AD1843" s="394"/>
      <c r="AE1843" s="394"/>
      <c r="AF1843" s="394"/>
      <c r="AG1843" s="394"/>
      <c r="AH1843" s="394"/>
      <c r="AI1843" s="394"/>
      <c r="AJ1843" s="394"/>
      <c r="AK1843" s="381"/>
      <c r="AL1843" s="408"/>
      <c r="AM1843" s="385"/>
      <c r="AN1843" s="475"/>
      <c r="AO1843" s="395"/>
      <c r="AP1843" s="395" t="e">
        <f t="shared" si="1015"/>
        <v>#DIV/0!</v>
      </c>
      <c r="AQ1843" s="393"/>
      <c r="AR1843" s="337"/>
      <c r="AS1843" s="497"/>
      <c r="AT1843" s="544"/>
      <c r="AU1843" s="394"/>
      <c r="AV1843" s="394"/>
      <c r="AW1843" s="394"/>
      <c r="AX1843" s="394"/>
      <c r="AY1843" s="394"/>
      <c r="AZ1843" s="394"/>
      <c r="BA1843" s="394"/>
      <c r="BB1843" s="394"/>
      <c r="BC1843" s="394"/>
      <c r="BD1843" s="381"/>
      <c r="BE1843" s="408"/>
      <c r="BF1843" s="385"/>
      <c r="BG1843" s="475"/>
      <c r="BH1843" s="395"/>
      <c r="BI1843" s="395" t="e">
        <f t="shared" si="1016"/>
        <v>#DIV/0!</v>
      </c>
    </row>
    <row r="1844" spans="1:61" s="358" customFormat="1" ht="19.2" x14ac:dyDescent="0.3">
      <c r="A1844" s="359" t="s">
        <v>1981</v>
      </c>
      <c r="B1844" s="537" t="s">
        <v>1611</v>
      </c>
      <c r="C1844" s="546" t="s">
        <v>1023</v>
      </c>
      <c r="D1844" s="360">
        <v>0.4</v>
      </c>
      <c r="E1844" s="393"/>
      <c r="F1844" s="337">
        <v>1</v>
      </c>
      <c r="G1844" s="497"/>
      <c r="H1844" s="544">
        <v>13.384</v>
      </c>
      <c r="I1844" s="394">
        <v>11.469749999999999</v>
      </c>
      <c r="J1844" s="394">
        <v>10.45833</v>
      </c>
      <c r="K1844" s="394"/>
      <c r="L1844" s="394"/>
      <c r="M1844" s="394">
        <v>0</v>
      </c>
      <c r="N1844" s="394">
        <v>0</v>
      </c>
      <c r="O1844" s="394">
        <v>0.44627</v>
      </c>
      <c r="P1844" s="394">
        <v>10.45833</v>
      </c>
      <c r="Q1844" s="394"/>
      <c r="R1844" s="381" t="s">
        <v>167</v>
      </c>
      <c r="S1844" s="408" t="s">
        <v>175</v>
      </c>
      <c r="T1844" s="385"/>
      <c r="U1844" s="475">
        <v>761</v>
      </c>
      <c r="V1844" s="395"/>
      <c r="W1844" s="395">
        <f t="shared" si="1014"/>
        <v>13.384</v>
      </c>
      <c r="X1844" s="393"/>
      <c r="Y1844" s="337"/>
      <c r="Z1844" s="497"/>
      <c r="AA1844" s="544"/>
      <c r="AB1844" s="394"/>
      <c r="AC1844" s="394"/>
      <c r="AD1844" s="394"/>
      <c r="AE1844" s="394"/>
      <c r="AF1844" s="394"/>
      <c r="AG1844" s="394"/>
      <c r="AH1844" s="394"/>
      <c r="AI1844" s="394"/>
      <c r="AJ1844" s="394"/>
      <c r="AK1844" s="381"/>
      <c r="AL1844" s="408"/>
      <c r="AM1844" s="385"/>
      <c r="AN1844" s="475"/>
      <c r="AO1844" s="395"/>
      <c r="AP1844" s="395" t="e">
        <f t="shared" si="1015"/>
        <v>#DIV/0!</v>
      </c>
      <c r="AQ1844" s="393"/>
      <c r="AR1844" s="337"/>
      <c r="AS1844" s="497"/>
      <c r="AT1844" s="544"/>
      <c r="AU1844" s="394"/>
      <c r="AV1844" s="394"/>
      <c r="AW1844" s="394"/>
      <c r="AX1844" s="394"/>
      <c r="AY1844" s="394"/>
      <c r="AZ1844" s="394"/>
      <c r="BA1844" s="394"/>
      <c r="BB1844" s="394"/>
      <c r="BC1844" s="394"/>
      <c r="BD1844" s="381"/>
      <c r="BE1844" s="408"/>
      <c r="BF1844" s="385"/>
      <c r="BG1844" s="475"/>
      <c r="BH1844" s="395"/>
      <c r="BI1844" s="395" t="e">
        <f t="shared" si="1016"/>
        <v>#DIV/0!</v>
      </c>
    </row>
    <row r="1845" spans="1:61" s="358" customFormat="1" ht="19.2" x14ac:dyDescent="0.3">
      <c r="A1845" s="359" t="s">
        <v>1982</v>
      </c>
      <c r="B1845" s="537" t="s">
        <v>1612</v>
      </c>
      <c r="C1845" s="546" t="s">
        <v>1024</v>
      </c>
      <c r="D1845" s="360">
        <v>0.4</v>
      </c>
      <c r="E1845" s="393"/>
      <c r="F1845" s="337">
        <v>1</v>
      </c>
      <c r="G1845" s="497"/>
      <c r="H1845" s="544">
        <v>13.384</v>
      </c>
      <c r="I1845" s="394">
        <v>11.469749999999999</v>
      </c>
      <c r="J1845" s="394">
        <v>10.45833</v>
      </c>
      <c r="K1845" s="394"/>
      <c r="L1845" s="394"/>
      <c r="M1845" s="394">
        <v>0</v>
      </c>
      <c r="N1845" s="394">
        <v>0</v>
      </c>
      <c r="O1845" s="394">
        <v>0.44627</v>
      </c>
      <c r="P1845" s="394">
        <v>10.45833</v>
      </c>
      <c r="Q1845" s="394"/>
      <c r="R1845" s="381" t="s">
        <v>167</v>
      </c>
      <c r="S1845" s="408" t="s">
        <v>175</v>
      </c>
      <c r="T1845" s="385"/>
      <c r="U1845" s="475">
        <v>762</v>
      </c>
      <c r="V1845" s="395"/>
      <c r="W1845" s="395">
        <f t="shared" si="1014"/>
        <v>13.384</v>
      </c>
      <c r="X1845" s="393"/>
      <c r="Y1845" s="337"/>
      <c r="Z1845" s="497"/>
      <c r="AA1845" s="544"/>
      <c r="AB1845" s="394"/>
      <c r="AC1845" s="394"/>
      <c r="AD1845" s="394"/>
      <c r="AE1845" s="394"/>
      <c r="AF1845" s="394"/>
      <c r="AG1845" s="394"/>
      <c r="AH1845" s="394"/>
      <c r="AI1845" s="394"/>
      <c r="AJ1845" s="394"/>
      <c r="AK1845" s="381"/>
      <c r="AL1845" s="408"/>
      <c r="AM1845" s="385"/>
      <c r="AN1845" s="475"/>
      <c r="AO1845" s="395"/>
      <c r="AP1845" s="395" t="e">
        <f t="shared" si="1015"/>
        <v>#DIV/0!</v>
      </c>
      <c r="AQ1845" s="393"/>
      <c r="AR1845" s="337"/>
      <c r="AS1845" s="497"/>
      <c r="AT1845" s="544"/>
      <c r="AU1845" s="394"/>
      <c r="AV1845" s="394"/>
      <c r="AW1845" s="394"/>
      <c r="AX1845" s="394"/>
      <c r="AY1845" s="394"/>
      <c r="AZ1845" s="394"/>
      <c r="BA1845" s="394"/>
      <c r="BB1845" s="394"/>
      <c r="BC1845" s="394"/>
      <c r="BD1845" s="381"/>
      <c r="BE1845" s="408"/>
      <c r="BF1845" s="385"/>
      <c r="BG1845" s="475"/>
      <c r="BH1845" s="395"/>
      <c r="BI1845" s="395" t="e">
        <f t="shared" si="1016"/>
        <v>#DIV/0!</v>
      </c>
    </row>
    <row r="1846" spans="1:61" s="358" customFormat="1" ht="19.2" x14ac:dyDescent="0.3">
      <c r="A1846" s="359" t="s">
        <v>1983</v>
      </c>
      <c r="B1846" s="537" t="s">
        <v>1613</v>
      </c>
      <c r="C1846" s="546" t="s">
        <v>1025</v>
      </c>
      <c r="D1846" s="360">
        <v>0.4</v>
      </c>
      <c r="E1846" s="393"/>
      <c r="F1846" s="337">
        <v>1</v>
      </c>
      <c r="G1846" s="497"/>
      <c r="H1846" s="544">
        <v>13.384</v>
      </c>
      <c r="I1846" s="394">
        <v>11.469749999999999</v>
      </c>
      <c r="J1846" s="394">
        <v>10.45833</v>
      </c>
      <c r="K1846" s="394"/>
      <c r="L1846" s="394"/>
      <c r="M1846" s="394">
        <v>0</v>
      </c>
      <c r="N1846" s="394">
        <v>0</v>
      </c>
      <c r="O1846" s="394">
        <v>0.44627</v>
      </c>
      <c r="P1846" s="394">
        <v>10.45833</v>
      </c>
      <c r="Q1846" s="394"/>
      <c r="R1846" s="381" t="s">
        <v>167</v>
      </c>
      <c r="S1846" s="408" t="s">
        <v>175</v>
      </c>
      <c r="T1846" s="385"/>
      <c r="U1846" s="475">
        <v>763</v>
      </c>
      <c r="V1846" s="395"/>
      <c r="W1846" s="395">
        <f t="shared" si="1014"/>
        <v>13.384</v>
      </c>
      <c r="X1846" s="393"/>
      <c r="Y1846" s="337"/>
      <c r="Z1846" s="497"/>
      <c r="AA1846" s="544"/>
      <c r="AB1846" s="394"/>
      <c r="AC1846" s="394"/>
      <c r="AD1846" s="394"/>
      <c r="AE1846" s="394"/>
      <c r="AF1846" s="394"/>
      <c r="AG1846" s="394"/>
      <c r="AH1846" s="394"/>
      <c r="AI1846" s="394"/>
      <c r="AJ1846" s="394"/>
      <c r="AK1846" s="381"/>
      <c r="AL1846" s="408"/>
      <c r="AM1846" s="385"/>
      <c r="AN1846" s="475"/>
      <c r="AO1846" s="395"/>
      <c r="AP1846" s="395" t="e">
        <f t="shared" si="1015"/>
        <v>#DIV/0!</v>
      </c>
      <c r="AQ1846" s="393"/>
      <c r="AR1846" s="337"/>
      <c r="AS1846" s="497"/>
      <c r="AT1846" s="544"/>
      <c r="AU1846" s="394"/>
      <c r="AV1846" s="394"/>
      <c r="AW1846" s="394"/>
      <c r="AX1846" s="394"/>
      <c r="AY1846" s="394"/>
      <c r="AZ1846" s="394"/>
      <c r="BA1846" s="394"/>
      <c r="BB1846" s="394"/>
      <c r="BC1846" s="394"/>
      <c r="BD1846" s="381"/>
      <c r="BE1846" s="408"/>
      <c r="BF1846" s="385"/>
      <c r="BG1846" s="475"/>
      <c r="BH1846" s="395"/>
      <c r="BI1846" s="395" t="e">
        <f t="shared" si="1016"/>
        <v>#DIV/0!</v>
      </c>
    </row>
    <row r="1847" spans="1:61" s="358" customFormat="1" ht="19.2" x14ac:dyDescent="0.3">
      <c r="A1847" s="359" t="s">
        <v>1984</v>
      </c>
      <c r="B1847" s="537" t="s">
        <v>1614</v>
      </c>
      <c r="C1847" s="546" t="s">
        <v>1026</v>
      </c>
      <c r="D1847" s="360">
        <v>0.4</v>
      </c>
      <c r="E1847" s="393"/>
      <c r="F1847" s="337">
        <v>1</v>
      </c>
      <c r="G1847" s="497"/>
      <c r="H1847" s="544">
        <v>13.384</v>
      </c>
      <c r="I1847" s="394">
        <v>11.469749999999999</v>
      </c>
      <c r="J1847" s="394">
        <v>10.45833</v>
      </c>
      <c r="K1847" s="394"/>
      <c r="L1847" s="394"/>
      <c r="M1847" s="394">
        <v>0</v>
      </c>
      <c r="N1847" s="394">
        <v>0</v>
      </c>
      <c r="O1847" s="394">
        <v>0.44627</v>
      </c>
      <c r="P1847" s="394">
        <v>10.45833</v>
      </c>
      <c r="Q1847" s="394"/>
      <c r="R1847" s="381" t="s">
        <v>167</v>
      </c>
      <c r="S1847" s="408" t="s">
        <v>175</v>
      </c>
      <c r="T1847" s="385"/>
      <c r="U1847" s="475">
        <v>764</v>
      </c>
      <c r="V1847" s="395"/>
      <c r="W1847" s="395">
        <f t="shared" si="1014"/>
        <v>13.384</v>
      </c>
      <c r="X1847" s="393"/>
      <c r="Y1847" s="337"/>
      <c r="Z1847" s="497"/>
      <c r="AA1847" s="544"/>
      <c r="AB1847" s="394"/>
      <c r="AC1847" s="394"/>
      <c r="AD1847" s="394"/>
      <c r="AE1847" s="394"/>
      <c r="AF1847" s="394"/>
      <c r="AG1847" s="394"/>
      <c r="AH1847" s="394"/>
      <c r="AI1847" s="394"/>
      <c r="AJ1847" s="394"/>
      <c r="AK1847" s="381"/>
      <c r="AL1847" s="408"/>
      <c r="AM1847" s="385"/>
      <c r="AN1847" s="475"/>
      <c r="AO1847" s="395"/>
      <c r="AP1847" s="395" t="e">
        <f t="shared" si="1015"/>
        <v>#DIV/0!</v>
      </c>
      <c r="AQ1847" s="393"/>
      <c r="AR1847" s="337"/>
      <c r="AS1847" s="497"/>
      <c r="AT1847" s="544"/>
      <c r="AU1847" s="394"/>
      <c r="AV1847" s="394"/>
      <c r="AW1847" s="394"/>
      <c r="AX1847" s="394"/>
      <c r="AY1847" s="394"/>
      <c r="AZ1847" s="394"/>
      <c r="BA1847" s="394"/>
      <c r="BB1847" s="394"/>
      <c r="BC1847" s="394"/>
      <c r="BD1847" s="381"/>
      <c r="BE1847" s="408"/>
      <c r="BF1847" s="385"/>
      <c r="BG1847" s="475"/>
      <c r="BH1847" s="395"/>
      <c r="BI1847" s="395" t="e">
        <f t="shared" si="1016"/>
        <v>#DIV/0!</v>
      </c>
    </row>
    <row r="1848" spans="1:61" s="358" customFormat="1" ht="19.2" x14ac:dyDescent="0.3">
      <c r="A1848" s="359" t="s">
        <v>1985</v>
      </c>
      <c r="B1848" s="537" t="s">
        <v>1615</v>
      </c>
      <c r="C1848" s="546" t="s">
        <v>1027</v>
      </c>
      <c r="D1848" s="360">
        <v>0.4</v>
      </c>
      <c r="E1848" s="393"/>
      <c r="F1848" s="337">
        <v>1</v>
      </c>
      <c r="G1848" s="497"/>
      <c r="H1848" s="544">
        <v>13.384</v>
      </c>
      <c r="I1848" s="394">
        <v>11.469749999999999</v>
      </c>
      <c r="J1848" s="394">
        <v>10.45833</v>
      </c>
      <c r="K1848" s="394"/>
      <c r="L1848" s="394"/>
      <c r="M1848" s="394">
        <v>0</v>
      </c>
      <c r="N1848" s="394">
        <v>0</v>
      </c>
      <c r="O1848" s="394">
        <v>0.44627</v>
      </c>
      <c r="P1848" s="394">
        <v>10.45833</v>
      </c>
      <c r="Q1848" s="394"/>
      <c r="R1848" s="381" t="s">
        <v>167</v>
      </c>
      <c r="S1848" s="408" t="s">
        <v>175</v>
      </c>
      <c r="T1848" s="385"/>
      <c r="U1848" s="475">
        <v>765</v>
      </c>
      <c r="V1848" s="395"/>
      <c r="W1848" s="395">
        <f t="shared" si="1014"/>
        <v>13.384</v>
      </c>
      <c r="X1848" s="393"/>
      <c r="Y1848" s="337"/>
      <c r="Z1848" s="497"/>
      <c r="AA1848" s="544"/>
      <c r="AB1848" s="394"/>
      <c r="AC1848" s="394"/>
      <c r="AD1848" s="394"/>
      <c r="AE1848" s="394"/>
      <c r="AF1848" s="394"/>
      <c r="AG1848" s="394"/>
      <c r="AH1848" s="394"/>
      <c r="AI1848" s="394"/>
      <c r="AJ1848" s="394"/>
      <c r="AK1848" s="381"/>
      <c r="AL1848" s="408"/>
      <c r="AM1848" s="385"/>
      <c r="AN1848" s="475"/>
      <c r="AO1848" s="395"/>
      <c r="AP1848" s="395" t="e">
        <f t="shared" si="1015"/>
        <v>#DIV/0!</v>
      </c>
      <c r="AQ1848" s="393"/>
      <c r="AR1848" s="337"/>
      <c r="AS1848" s="497"/>
      <c r="AT1848" s="544"/>
      <c r="AU1848" s="394"/>
      <c r="AV1848" s="394"/>
      <c r="AW1848" s="394"/>
      <c r="AX1848" s="394"/>
      <c r="AY1848" s="394"/>
      <c r="AZ1848" s="394"/>
      <c r="BA1848" s="394"/>
      <c r="BB1848" s="394"/>
      <c r="BC1848" s="394"/>
      <c r="BD1848" s="381"/>
      <c r="BE1848" s="408"/>
      <c r="BF1848" s="385"/>
      <c r="BG1848" s="475"/>
      <c r="BH1848" s="395"/>
      <c r="BI1848" s="395" t="e">
        <f t="shared" si="1016"/>
        <v>#DIV/0!</v>
      </c>
    </row>
    <row r="1849" spans="1:61" s="358" customFormat="1" ht="19.2" x14ac:dyDescent="0.3">
      <c r="A1849" s="359" t="s">
        <v>1986</v>
      </c>
      <c r="B1849" s="537" t="s">
        <v>1617</v>
      </c>
      <c r="C1849" s="546" t="s">
        <v>1028</v>
      </c>
      <c r="D1849" s="360">
        <v>0.4</v>
      </c>
      <c r="E1849" s="393"/>
      <c r="F1849" s="337">
        <v>1</v>
      </c>
      <c r="G1849" s="497"/>
      <c r="H1849" s="544">
        <v>13.384</v>
      </c>
      <c r="I1849" s="394">
        <v>11.469749999999999</v>
      </c>
      <c r="J1849" s="394">
        <v>10.45833</v>
      </c>
      <c r="K1849" s="394"/>
      <c r="L1849" s="394"/>
      <c r="M1849" s="394">
        <v>0</v>
      </c>
      <c r="N1849" s="394">
        <v>0</v>
      </c>
      <c r="O1849" s="394">
        <v>0.44627</v>
      </c>
      <c r="P1849" s="394">
        <v>10.45833</v>
      </c>
      <c r="Q1849" s="394"/>
      <c r="R1849" s="381" t="s">
        <v>167</v>
      </c>
      <c r="S1849" s="408" t="s">
        <v>175</v>
      </c>
      <c r="T1849" s="385"/>
      <c r="U1849" s="475">
        <v>766</v>
      </c>
      <c r="V1849" s="395"/>
      <c r="W1849" s="395">
        <f t="shared" ref="W1849:W1863" si="1017">H1849/F1849</f>
        <v>13.384</v>
      </c>
      <c r="X1849" s="393"/>
      <c r="Y1849" s="337"/>
      <c r="Z1849" s="497"/>
      <c r="AA1849" s="544"/>
      <c r="AB1849" s="394"/>
      <c r="AC1849" s="394"/>
      <c r="AD1849" s="394"/>
      <c r="AE1849" s="394"/>
      <c r="AF1849" s="394"/>
      <c r="AG1849" s="394"/>
      <c r="AH1849" s="394"/>
      <c r="AI1849" s="394"/>
      <c r="AJ1849" s="394"/>
      <c r="AK1849" s="381"/>
      <c r="AL1849" s="408"/>
      <c r="AM1849" s="385"/>
      <c r="AN1849" s="475"/>
      <c r="AO1849" s="395"/>
      <c r="AP1849" s="395" t="e">
        <f t="shared" si="1015"/>
        <v>#DIV/0!</v>
      </c>
      <c r="AQ1849" s="393"/>
      <c r="AR1849" s="337"/>
      <c r="AS1849" s="497"/>
      <c r="AT1849" s="544"/>
      <c r="AU1849" s="394"/>
      <c r="AV1849" s="394"/>
      <c r="AW1849" s="394"/>
      <c r="AX1849" s="394"/>
      <c r="AY1849" s="394"/>
      <c r="AZ1849" s="394"/>
      <c r="BA1849" s="394"/>
      <c r="BB1849" s="394"/>
      <c r="BC1849" s="394"/>
      <c r="BD1849" s="381"/>
      <c r="BE1849" s="408"/>
      <c r="BF1849" s="385"/>
      <c r="BG1849" s="475"/>
      <c r="BH1849" s="395"/>
      <c r="BI1849" s="395" t="e">
        <f t="shared" si="1016"/>
        <v>#DIV/0!</v>
      </c>
    </row>
    <row r="1850" spans="1:61" s="358" customFormat="1" ht="19.2" x14ac:dyDescent="0.3">
      <c r="A1850" s="359" t="s">
        <v>1987</v>
      </c>
      <c r="B1850" s="537" t="s">
        <v>1616</v>
      </c>
      <c r="C1850" s="546" t="s">
        <v>1029</v>
      </c>
      <c r="D1850" s="360">
        <v>0.4</v>
      </c>
      <c r="E1850" s="393"/>
      <c r="F1850" s="337">
        <v>1</v>
      </c>
      <c r="G1850" s="497"/>
      <c r="H1850" s="544">
        <v>13.506</v>
      </c>
      <c r="I1850" s="394">
        <v>11.59207</v>
      </c>
      <c r="J1850" s="394">
        <v>10.45833</v>
      </c>
      <c r="K1850" s="394"/>
      <c r="L1850" s="394"/>
      <c r="M1850" s="394">
        <v>0</v>
      </c>
      <c r="N1850" s="394">
        <v>0</v>
      </c>
      <c r="O1850" s="394">
        <v>0.44627</v>
      </c>
      <c r="P1850" s="394">
        <v>10.45833</v>
      </c>
      <c r="Q1850" s="394"/>
      <c r="R1850" s="381" t="s">
        <v>167</v>
      </c>
      <c r="S1850" s="408" t="s">
        <v>175</v>
      </c>
      <c r="T1850" s="385"/>
      <c r="U1850" s="475">
        <v>767</v>
      </c>
      <c r="V1850" s="395"/>
      <c r="W1850" s="395">
        <f t="shared" si="1017"/>
        <v>13.506</v>
      </c>
      <c r="X1850" s="393"/>
      <c r="Y1850" s="337"/>
      <c r="Z1850" s="497"/>
      <c r="AA1850" s="544"/>
      <c r="AB1850" s="394"/>
      <c r="AC1850" s="394"/>
      <c r="AD1850" s="394"/>
      <c r="AE1850" s="394"/>
      <c r="AF1850" s="394"/>
      <c r="AG1850" s="394"/>
      <c r="AH1850" s="394"/>
      <c r="AI1850" s="394"/>
      <c r="AJ1850" s="394"/>
      <c r="AK1850" s="381"/>
      <c r="AL1850" s="408"/>
      <c r="AM1850" s="385"/>
      <c r="AN1850" s="475"/>
      <c r="AO1850" s="395"/>
      <c r="AP1850" s="395" t="e">
        <f t="shared" si="1015"/>
        <v>#DIV/0!</v>
      </c>
      <c r="AQ1850" s="393"/>
      <c r="AR1850" s="337"/>
      <c r="AS1850" s="497"/>
      <c r="AT1850" s="544"/>
      <c r="AU1850" s="394"/>
      <c r="AV1850" s="394"/>
      <c r="AW1850" s="394"/>
      <c r="AX1850" s="394"/>
      <c r="AY1850" s="394"/>
      <c r="AZ1850" s="394"/>
      <c r="BA1850" s="394"/>
      <c r="BB1850" s="394"/>
      <c r="BC1850" s="394"/>
      <c r="BD1850" s="381"/>
      <c r="BE1850" s="408"/>
      <c r="BF1850" s="385"/>
      <c r="BG1850" s="475"/>
      <c r="BH1850" s="395"/>
      <c r="BI1850" s="395" t="e">
        <f t="shared" si="1016"/>
        <v>#DIV/0!</v>
      </c>
    </row>
    <row r="1851" spans="1:61" s="358" customFormat="1" ht="19.2" x14ac:dyDescent="0.3">
      <c r="A1851" s="359" t="s">
        <v>2004</v>
      </c>
      <c r="B1851" s="537" t="s">
        <v>1618</v>
      </c>
      <c r="C1851" s="546" t="s">
        <v>1030</v>
      </c>
      <c r="D1851" s="360">
        <v>0.4</v>
      </c>
      <c r="E1851" s="393"/>
      <c r="F1851" s="337">
        <v>1</v>
      </c>
      <c r="G1851" s="497"/>
      <c r="H1851" s="544">
        <v>13.506</v>
      </c>
      <c r="I1851" s="394">
        <v>11.59207</v>
      </c>
      <c r="J1851" s="394">
        <v>10.45833</v>
      </c>
      <c r="K1851" s="394"/>
      <c r="L1851" s="394"/>
      <c r="M1851" s="394">
        <v>0</v>
      </c>
      <c r="N1851" s="394">
        <v>0</v>
      </c>
      <c r="O1851" s="394">
        <v>0.44627</v>
      </c>
      <c r="P1851" s="394">
        <v>10.45833</v>
      </c>
      <c r="Q1851" s="394"/>
      <c r="R1851" s="381" t="s">
        <v>167</v>
      </c>
      <c r="S1851" s="408" t="s">
        <v>175</v>
      </c>
      <c r="T1851" s="385"/>
      <c r="U1851" s="475">
        <v>768</v>
      </c>
      <c r="V1851" s="395"/>
      <c r="W1851" s="395">
        <f t="shared" si="1017"/>
        <v>13.506</v>
      </c>
      <c r="X1851" s="393"/>
      <c r="Y1851" s="337"/>
      <c r="Z1851" s="497"/>
      <c r="AA1851" s="544"/>
      <c r="AB1851" s="394"/>
      <c r="AC1851" s="394"/>
      <c r="AD1851" s="394"/>
      <c r="AE1851" s="394"/>
      <c r="AF1851" s="394"/>
      <c r="AG1851" s="394"/>
      <c r="AH1851" s="394"/>
      <c r="AI1851" s="394"/>
      <c r="AJ1851" s="394"/>
      <c r="AK1851" s="381"/>
      <c r="AL1851" s="408"/>
      <c r="AM1851" s="385"/>
      <c r="AN1851" s="475"/>
      <c r="AO1851" s="395"/>
      <c r="AP1851" s="395" t="e">
        <f t="shared" si="1015"/>
        <v>#DIV/0!</v>
      </c>
      <c r="AQ1851" s="393"/>
      <c r="AR1851" s="337"/>
      <c r="AS1851" s="497"/>
      <c r="AT1851" s="544"/>
      <c r="AU1851" s="394"/>
      <c r="AV1851" s="394"/>
      <c r="AW1851" s="394"/>
      <c r="AX1851" s="394"/>
      <c r="AY1851" s="394"/>
      <c r="AZ1851" s="394"/>
      <c r="BA1851" s="394"/>
      <c r="BB1851" s="394"/>
      <c r="BC1851" s="394"/>
      <c r="BD1851" s="381"/>
      <c r="BE1851" s="408"/>
      <c r="BF1851" s="385"/>
      <c r="BG1851" s="475"/>
      <c r="BH1851" s="395"/>
      <c r="BI1851" s="395" t="e">
        <f t="shared" si="1016"/>
        <v>#DIV/0!</v>
      </c>
    </row>
    <row r="1852" spans="1:61" s="358" customFormat="1" ht="19.2" x14ac:dyDescent="0.3">
      <c r="A1852" s="359" t="s">
        <v>1989</v>
      </c>
      <c r="B1852" s="537" t="s">
        <v>1444</v>
      </c>
      <c r="C1852" s="546" t="s">
        <v>1031</v>
      </c>
      <c r="D1852" s="360">
        <v>0.4</v>
      </c>
      <c r="E1852" s="393"/>
      <c r="F1852" s="337">
        <v>1</v>
      </c>
      <c r="G1852" s="497"/>
      <c r="H1852" s="544">
        <v>13.506</v>
      </c>
      <c r="I1852" s="394">
        <v>11.59207</v>
      </c>
      <c r="J1852" s="394">
        <v>10.45833</v>
      </c>
      <c r="K1852" s="394"/>
      <c r="L1852" s="394"/>
      <c r="M1852" s="394">
        <v>0</v>
      </c>
      <c r="N1852" s="394">
        <v>0</v>
      </c>
      <c r="O1852" s="394">
        <v>0.44627</v>
      </c>
      <c r="P1852" s="394">
        <v>10.45833</v>
      </c>
      <c r="Q1852" s="394"/>
      <c r="R1852" s="381" t="s">
        <v>167</v>
      </c>
      <c r="S1852" s="408" t="s">
        <v>175</v>
      </c>
      <c r="T1852" s="385"/>
      <c r="U1852" s="475">
        <v>769</v>
      </c>
      <c r="V1852" s="395"/>
      <c r="W1852" s="395">
        <f t="shared" si="1017"/>
        <v>13.506</v>
      </c>
      <c r="X1852" s="393"/>
      <c r="Y1852" s="337"/>
      <c r="Z1852" s="497"/>
      <c r="AA1852" s="544"/>
      <c r="AB1852" s="394"/>
      <c r="AC1852" s="394"/>
      <c r="AD1852" s="394"/>
      <c r="AE1852" s="394"/>
      <c r="AF1852" s="394"/>
      <c r="AG1852" s="394"/>
      <c r="AH1852" s="394"/>
      <c r="AI1852" s="394"/>
      <c r="AJ1852" s="394"/>
      <c r="AK1852" s="381"/>
      <c r="AL1852" s="408"/>
      <c r="AM1852" s="385"/>
      <c r="AN1852" s="475"/>
      <c r="AO1852" s="395"/>
      <c r="AP1852" s="395" t="e">
        <f t="shared" si="1015"/>
        <v>#DIV/0!</v>
      </c>
      <c r="AQ1852" s="393"/>
      <c r="AR1852" s="337"/>
      <c r="AS1852" s="497"/>
      <c r="AT1852" s="544"/>
      <c r="AU1852" s="394"/>
      <c r="AV1852" s="394"/>
      <c r="AW1852" s="394"/>
      <c r="AX1852" s="394"/>
      <c r="AY1852" s="394"/>
      <c r="AZ1852" s="394"/>
      <c r="BA1852" s="394"/>
      <c r="BB1852" s="394"/>
      <c r="BC1852" s="394"/>
      <c r="BD1852" s="381"/>
      <c r="BE1852" s="408"/>
      <c r="BF1852" s="385"/>
      <c r="BG1852" s="475"/>
      <c r="BH1852" s="395"/>
      <c r="BI1852" s="395" t="e">
        <f t="shared" si="1016"/>
        <v>#DIV/0!</v>
      </c>
    </row>
    <row r="1853" spans="1:61" s="358" customFormat="1" ht="19.2" x14ac:dyDescent="0.3">
      <c r="A1853" s="359" t="s">
        <v>1990</v>
      </c>
      <c r="B1853" s="537" t="s">
        <v>1619</v>
      </c>
      <c r="C1853" s="546" t="s">
        <v>1032</v>
      </c>
      <c r="D1853" s="360">
        <v>0.4</v>
      </c>
      <c r="E1853" s="393"/>
      <c r="F1853" s="337">
        <v>1</v>
      </c>
      <c r="G1853" s="497"/>
      <c r="H1853" s="544">
        <v>13.384</v>
      </c>
      <c r="I1853" s="394">
        <v>11.469749999999999</v>
      </c>
      <c r="J1853" s="394">
        <v>10.45833</v>
      </c>
      <c r="K1853" s="394"/>
      <c r="L1853" s="394"/>
      <c r="M1853" s="394">
        <v>0</v>
      </c>
      <c r="N1853" s="394">
        <v>0</v>
      </c>
      <c r="O1853" s="394">
        <v>0.44627</v>
      </c>
      <c r="P1853" s="394">
        <v>10.45833</v>
      </c>
      <c r="Q1853" s="394"/>
      <c r="R1853" s="381" t="s">
        <v>167</v>
      </c>
      <c r="S1853" s="408" t="s">
        <v>175</v>
      </c>
      <c r="T1853" s="385"/>
      <c r="U1853" s="475">
        <v>770</v>
      </c>
      <c r="V1853" s="395"/>
      <c r="W1853" s="395">
        <f t="shared" si="1017"/>
        <v>13.384</v>
      </c>
      <c r="X1853" s="393"/>
      <c r="Y1853" s="337"/>
      <c r="Z1853" s="497"/>
      <c r="AA1853" s="544"/>
      <c r="AB1853" s="394"/>
      <c r="AC1853" s="394"/>
      <c r="AD1853" s="394"/>
      <c r="AE1853" s="394"/>
      <c r="AF1853" s="394"/>
      <c r="AG1853" s="394"/>
      <c r="AH1853" s="394"/>
      <c r="AI1853" s="394"/>
      <c r="AJ1853" s="394"/>
      <c r="AK1853" s="381"/>
      <c r="AL1853" s="408"/>
      <c r="AM1853" s="385"/>
      <c r="AN1853" s="475"/>
      <c r="AO1853" s="395"/>
      <c r="AP1853" s="395" t="e">
        <f t="shared" si="1015"/>
        <v>#DIV/0!</v>
      </c>
      <c r="AQ1853" s="393"/>
      <c r="AR1853" s="337"/>
      <c r="AS1853" s="497"/>
      <c r="AT1853" s="544"/>
      <c r="AU1853" s="394"/>
      <c r="AV1853" s="394"/>
      <c r="AW1853" s="394"/>
      <c r="AX1853" s="394"/>
      <c r="AY1853" s="394"/>
      <c r="AZ1853" s="394"/>
      <c r="BA1853" s="394"/>
      <c r="BB1853" s="394"/>
      <c r="BC1853" s="394"/>
      <c r="BD1853" s="381"/>
      <c r="BE1853" s="408"/>
      <c r="BF1853" s="385"/>
      <c r="BG1853" s="475"/>
      <c r="BH1853" s="395"/>
      <c r="BI1853" s="395" t="e">
        <f t="shared" si="1016"/>
        <v>#DIV/0!</v>
      </c>
    </row>
    <row r="1854" spans="1:61" s="358" customFormat="1" ht="19.2" x14ac:dyDescent="0.3">
      <c r="A1854" s="359" t="s">
        <v>1991</v>
      </c>
      <c r="B1854" s="537" t="s">
        <v>581</v>
      </c>
      <c r="C1854" s="546" t="s">
        <v>451</v>
      </c>
      <c r="D1854" s="360">
        <v>0.4</v>
      </c>
      <c r="E1854" s="393"/>
      <c r="F1854" s="337">
        <v>1</v>
      </c>
      <c r="G1854" s="497"/>
      <c r="H1854" s="544">
        <v>13.506</v>
      </c>
      <c r="I1854" s="394">
        <v>11.59207</v>
      </c>
      <c r="J1854" s="394">
        <v>10.45833</v>
      </c>
      <c r="K1854" s="394"/>
      <c r="L1854" s="394"/>
      <c r="M1854" s="394">
        <v>0</v>
      </c>
      <c r="N1854" s="394">
        <v>0</v>
      </c>
      <c r="O1854" s="394">
        <v>0.44627</v>
      </c>
      <c r="P1854" s="394">
        <v>10.45833</v>
      </c>
      <c r="Q1854" s="394"/>
      <c r="R1854" s="381" t="s">
        <v>167</v>
      </c>
      <c r="S1854" s="408" t="s">
        <v>175</v>
      </c>
      <c r="T1854" s="385"/>
      <c r="U1854" s="475">
        <v>771</v>
      </c>
      <c r="V1854" s="395"/>
      <c r="W1854" s="395">
        <f t="shared" si="1017"/>
        <v>13.506</v>
      </c>
      <c r="X1854" s="393"/>
      <c r="Y1854" s="337"/>
      <c r="Z1854" s="497"/>
      <c r="AA1854" s="544"/>
      <c r="AB1854" s="394"/>
      <c r="AC1854" s="394"/>
      <c r="AD1854" s="394"/>
      <c r="AE1854" s="394"/>
      <c r="AF1854" s="394"/>
      <c r="AG1854" s="394"/>
      <c r="AH1854" s="394"/>
      <c r="AI1854" s="394"/>
      <c r="AJ1854" s="394"/>
      <c r="AK1854" s="381"/>
      <c r="AL1854" s="408"/>
      <c r="AM1854" s="385"/>
      <c r="AN1854" s="475"/>
      <c r="AO1854" s="395"/>
      <c r="AP1854" s="395" t="e">
        <f t="shared" si="1015"/>
        <v>#DIV/0!</v>
      </c>
      <c r="AQ1854" s="393"/>
      <c r="AR1854" s="337"/>
      <c r="AS1854" s="497"/>
      <c r="AT1854" s="544"/>
      <c r="AU1854" s="394"/>
      <c r="AV1854" s="394"/>
      <c r="AW1854" s="394"/>
      <c r="AX1854" s="394"/>
      <c r="AY1854" s="394"/>
      <c r="AZ1854" s="394"/>
      <c r="BA1854" s="394"/>
      <c r="BB1854" s="394"/>
      <c r="BC1854" s="394"/>
      <c r="BD1854" s="381"/>
      <c r="BE1854" s="408"/>
      <c r="BF1854" s="385"/>
      <c r="BG1854" s="475"/>
      <c r="BH1854" s="395"/>
      <c r="BI1854" s="395" t="e">
        <f t="shared" si="1016"/>
        <v>#DIV/0!</v>
      </c>
    </row>
    <row r="1855" spans="1:61" s="358" customFormat="1" ht="19.2" x14ac:dyDescent="0.3">
      <c r="A1855" s="359" t="s">
        <v>2008</v>
      </c>
      <c r="B1855" s="537" t="s">
        <v>578</v>
      </c>
      <c r="C1855" s="546" t="s">
        <v>448</v>
      </c>
      <c r="D1855" s="360">
        <v>0.4</v>
      </c>
      <c r="E1855" s="393"/>
      <c r="F1855" s="337">
        <v>1</v>
      </c>
      <c r="G1855" s="497"/>
      <c r="H1855" s="544">
        <v>13.384</v>
      </c>
      <c r="I1855" s="394">
        <v>11.469749999999999</v>
      </c>
      <c r="J1855" s="394">
        <v>10.45833</v>
      </c>
      <c r="K1855" s="394"/>
      <c r="L1855" s="394"/>
      <c r="M1855" s="394">
        <v>0</v>
      </c>
      <c r="N1855" s="394">
        <v>0</v>
      </c>
      <c r="O1855" s="394">
        <v>0.44627</v>
      </c>
      <c r="P1855" s="394">
        <v>10.45833</v>
      </c>
      <c r="Q1855" s="394"/>
      <c r="R1855" s="381" t="s">
        <v>167</v>
      </c>
      <c r="S1855" s="408" t="s">
        <v>175</v>
      </c>
      <c r="T1855" s="385"/>
      <c r="U1855" s="475">
        <v>772</v>
      </c>
      <c r="V1855" s="395"/>
      <c r="W1855" s="395">
        <f t="shared" si="1017"/>
        <v>13.384</v>
      </c>
      <c r="X1855" s="393"/>
      <c r="Y1855" s="337"/>
      <c r="Z1855" s="497"/>
      <c r="AA1855" s="544"/>
      <c r="AB1855" s="394"/>
      <c r="AC1855" s="394"/>
      <c r="AD1855" s="394"/>
      <c r="AE1855" s="394"/>
      <c r="AF1855" s="394"/>
      <c r="AG1855" s="394"/>
      <c r="AH1855" s="394"/>
      <c r="AI1855" s="394"/>
      <c r="AJ1855" s="394"/>
      <c r="AK1855" s="381"/>
      <c r="AL1855" s="408"/>
      <c r="AM1855" s="385"/>
      <c r="AN1855" s="475"/>
      <c r="AO1855" s="395"/>
      <c r="AP1855" s="395" t="e">
        <f t="shared" si="1015"/>
        <v>#DIV/0!</v>
      </c>
      <c r="AQ1855" s="393"/>
      <c r="AR1855" s="337"/>
      <c r="AS1855" s="497"/>
      <c r="AT1855" s="544"/>
      <c r="AU1855" s="394"/>
      <c r="AV1855" s="394"/>
      <c r="AW1855" s="394"/>
      <c r="AX1855" s="394"/>
      <c r="AY1855" s="394"/>
      <c r="AZ1855" s="394"/>
      <c r="BA1855" s="394"/>
      <c r="BB1855" s="394"/>
      <c r="BC1855" s="394"/>
      <c r="BD1855" s="381"/>
      <c r="BE1855" s="408"/>
      <c r="BF1855" s="385"/>
      <c r="BG1855" s="475"/>
      <c r="BH1855" s="395"/>
      <c r="BI1855" s="395" t="e">
        <f t="shared" si="1016"/>
        <v>#DIV/0!</v>
      </c>
    </row>
    <row r="1856" spans="1:61" s="358" customFormat="1" ht="19.2" x14ac:dyDescent="0.3">
      <c r="A1856" s="359" t="s">
        <v>1993</v>
      </c>
      <c r="B1856" s="537" t="s">
        <v>1620</v>
      </c>
      <c r="C1856" s="546" t="s">
        <v>1038</v>
      </c>
      <c r="D1856" s="360">
        <v>0.4</v>
      </c>
      <c r="E1856" s="393"/>
      <c r="F1856" s="337">
        <v>1</v>
      </c>
      <c r="G1856" s="497"/>
      <c r="H1856" s="544">
        <v>15.695</v>
      </c>
      <c r="I1856" s="394">
        <v>11.697319999999999</v>
      </c>
      <c r="J1856" s="394">
        <v>8.5416699999999999</v>
      </c>
      <c r="K1856" s="394"/>
      <c r="L1856" s="394"/>
      <c r="M1856" s="394">
        <v>0</v>
      </c>
      <c r="N1856" s="394">
        <v>0</v>
      </c>
      <c r="O1856" s="394">
        <v>0.93201000000000001</v>
      </c>
      <c r="P1856" s="394">
        <v>8.5416699999999999</v>
      </c>
      <c r="Q1856" s="394"/>
      <c r="R1856" s="381" t="s">
        <v>167</v>
      </c>
      <c r="S1856" s="408" t="s">
        <v>175</v>
      </c>
      <c r="T1856" s="385"/>
      <c r="U1856" s="475">
        <v>773</v>
      </c>
      <c r="V1856" s="395"/>
      <c r="W1856" s="395">
        <f t="shared" si="1017"/>
        <v>15.695</v>
      </c>
      <c r="X1856" s="393"/>
      <c r="Y1856" s="337"/>
      <c r="Z1856" s="497"/>
      <c r="AA1856" s="544"/>
      <c r="AB1856" s="394"/>
      <c r="AC1856" s="394"/>
      <c r="AD1856" s="394"/>
      <c r="AE1856" s="394"/>
      <c r="AF1856" s="394"/>
      <c r="AG1856" s="394"/>
      <c r="AH1856" s="394"/>
      <c r="AI1856" s="394"/>
      <c r="AJ1856" s="394"/>
      <c r="AK1856" s="381"/>
      <c r="AL1856" s="408"/>
      <c r="AM1856" s="385"/>
      <c r="AN1856" s="475"/>
      <c r="AO1856" s="395"/>
      <c r="AP1856" s="395" t="e">
        <f t="shared" si="1015"/>
        <v>#DIV/0!</v>
      </c>
      <c r="AQ1856" s="393"/>
      <c r="AR1856" s="337"/>
      <c r="AS1856" s="497"/>
      <c r="AT1856" s="544"/>
      <c r="AU1856" s="394"/>
      <c r="AV1856" s="394"/>
      <c r="AW1856" s="394"/>
      <c r="AX1856" s="394"/>
      <c r="AY1856" s="394"/>
      <c r="AZ1856" s="394"/>
      <c r="BA1856" s="394"/>
      <c r="BB1856" s="394"/>
      <c r="BC1856" s="394"/>
      <c r="BD1856" s="381"/>
      <c r="BE1856" s="408"/>
      <c r="BF1856" s="385"/>
      <c r="BG1856" s="475"/>
      <c r="BH1856" s="395"/>
      <c r="BI1856" s="395" t="e">
        <f t="shared" si="1016"/>
        <v>#DIV/0!</v>
      </c>
    </row>
    <row r="1857" spans="1:61" s="358" customFormat="1" ht="19.2" x14ac:dyDescent="0.3">
      <c r="A1857" s="359" t="s">
        <v>1994</v>
      </c>
      <c r="B1857" s="537" t="s">
        <v>1621</v>
      </c>
      <c r="C1857" s="550" t="s">
        <v>1039</v>
      </c>
      <c r="D1857" s="360">
        <v>0.4</v>
      </c>
      <c r="E1857" s="393"/>
      <c r="F1857" s="337">
        <v>1</v>
      </c>
      <c r="G1857" s="497"/>
      <c r="H1857" s="544">
        <v>14.666</v>
      </c>
      <c r="I1857" s="394">
        <v>11.50404</v>
      </c>
      <c r="J1857" s="394">
        <v>8.5416699999999999</v>
      </c>
      <c r="K1857" s="394"/>
      <c r="L1857" s="394"/>
      <c r="M1857" s="394">
        <v>0</v>
      </c>
      <c r="N1857" s="394">
        <v>0</v>
      </c>
      <c r="O1857" s="394">
        <v>0.73724000000000001</v>
      </c>
      <c r="P1857" s="394">
        <v>8.5416699999999999</v>
      </c>
      <c r="Q1857" s="394"/>
      <c r="R1857" s="381" t="s">
        <v>167</v>
      </c>
      <c r="S1857" s="408" t="s">
        <v>175</v>
      </c>
      <c r="T1857" s="385"/>
      <c r="U1857" s="475">
        <v>775</v>
      </c>
      <c r="V1857" s="395"/>
      <c r="W1857" s="395">
        <f t="shared" si="1017"/>
        <v>14.666</v>
      </c>
      <c r="X1857" s="393"/>
      <c r="Y1857" s="337"/>
      <c r="Z1857" s="497"/>
      <c r="AA1857" s="544"/>
      <c r="AB1857" s="394"/>
      <c r="AC1857" s="394"/>
      <c r="AD1857" s="394"/>
      <c r="AE1857" s="394"/>
      <c r="AF1857" s="394"/>
      <c r="AG1857" s="394"/>
      <c r="AH1857" s="394"/>
      <c r="AI1857" s="394"/>
      <c r="AJ1857" s="394"/>
      <c r="AK1857" s="381"/>
      <c r="AL1857" s="408"/>
      <c r="AM1857" s="385"/>
      <c r="AN1857" s="475"/>
      <c r="AO1857" s="395"/>
      <c r="AP1857" s="395" t="e">
        <f t="shared" si="1015"/>
        <v>#DIV/0!</v>
      </c>
      <c r="AQ1857" s="393"/>
      <c r="AR1857" s="337"/>
      <c r="AS1857" s="497"/>
      <c r="AT1857" s="544"/>
      <c r="AU1857" s="394"/>
      <c r="AV1857" s="394"/>
      <c r="AW1857" s="394"/>
      <c r="AX1857" s="394"/>
      <c r="AY1857" s="394"/>
      <c r="AZ1857" s="394"/>
      <c r="BA1857" s="394"/>
      <c r="BB1857" s="394"/>
      <c r="BC1857" s="394"/>
      <c r="BD1857" s="381"/>
      <c r="BE1857" s="408"/>
      <c r="BF1857" s="385"/>
      <c r="BG1857" s="475"/>
      <c r="BH1857" s="395"/>
      <c r="BI1857" s="395" t="e">
        <f t="shared" si="1016"/>
        <v>#DIV/0!</v>
      </c>
    </row>
    <row r="1858" spans="1:61" s="358" customFormat="1" ht="19.2" x14ac:dyDescent="0.3">
      <c r="A1858" s="359" t="s">
        <v>1979</v>
      </c>
      <c r="B1858" s="537" t="s">
        <v>1622</v>
      </c>
      <c r="C1858" s="546" t="s">
        <v>1040</v>
      </c>
      <c r="D1858" s="360">
        <v>0.4</v>
      </c>
      <c r="E1858" s="393"/>
      <c r="F1858" s="337">
        <v>1</v>
      </c>
      <c r="G1858" s="497"/>
      <c r="H1858" s="544">
        <v>11.345000000000001</v>
      </c>
      <c r="I1858" s="394">
        <v>9.4307599999999994</v>
      </c>
      <c r="J1858" s="394">
        <v>8.5416600000000003</v>
      </c>
      <c r="K1858" s="394"/>
      <c r="L1858" s="394"/>
      <c r="M1858" s="394">
        <v>0</v>
      </c>
      <c r="N1858" s="394">
        <v>0</v>
      </c>
      <c r="O1858" s="394">
        <v>0.44627</v>
      </c>
      <c r="P1858" s="394">
        <v>8.5416600000000003</v>
      </c>
      <c r="Q1858" s="394"/>
      <c r="R1858" s="381" t="s">
        <v>167</v>
      </c>
      <c r="S1858" s="408" t="s">
        <v>175</v>
      </c>
      <c r="T1858" s="385"/>
      <c r="U1858" s="475">
        <v>777</v>
      </c>
      <c r="V1858" s="395"/>
      <c r="W1858" s="395">
        <f t="shared" si="1017"/>
        <v>11.345000000000001</v>
      </c>
      <c r="X1858" s="393"/>
      <c r="Y1858" s="337"/>
      <c r="Z1858" s="497"/>
      <c r="AA1858" s="544"/>
      <c r="AB1858" s="394"/>
      <c r="AC1858" s="394"/>
      <c r="AD1858" s="394"/>
      <c r="AE1858" s="394"/>
      <c r="AF1858" s="394"/>
      <c r="AG1858" s="394"/>
      <c r="AH1858" s="394"/>
      <c r="AI1858" s="394"/>
      <c r="AJ1858" s="394"/>
      <c r="AK1858" s="381"/>
      <c r="AL1858" s="408"/>
      <c r="AM1858" s="385"/>
      <c r="AN1858" s="475"/>
      <c r="AO1858" s="395"/>
      <c r="AP1858" s="395" t="e">
        <f t="shared" si="1015"/>
        <v>#DIV/0!</v>
      </c>
      <c r="AQ1858" s="393"/>
      <c r="AR1858" s="337"/>
      <c r="AS1858" s="497"/>
      <c r="AT1858" s="544"/>
      <c r="AU1858" s="394"/>
      <c r="AV1858" s="394"/>
      <c r="AW1858" s="394"/>
      <c r="AX1858" s="394"/>
      <c r="AY1858" s="394"/>
      <c r="AZ1858" s="394"/>
      <c r="BA1858" s="394"/>
      <c r="BB1858" s="394"/>
      <c r="BC1858" s="394"/>
      <c r="BD1858" s="381"/>
      <c r="BE1858" s="408"/>
      <c r="BF1858" s="385"/>
      <c r="BG1858" s="475"/>
      <c r="BH1858" s="395"/>
      <c r="BI1858" s="395" t="e">
        <f t="shared" si="1016"/>
        <v>#DIV/0!</v>
      </c>
    </row>
    <row r="1859" spans="1:61" s="358" customFormat="1" ht="19.2" x14ac:dyDescent="0.3">
      <c r="A1859" s="359" t="s">
        <v>1996</v>
      </c>
      <c r="B1859" s="537" t="s">
        <v>1623</v>
      </c>
      <c r="C1859" s="546" t="s">
        <v>1041</v>
      </c>
      <c r="D1859" s="360">
        <v>0.4</v>
      </c>
      <c r="E1859" s="393"/>
      <c r="F1859" s="337">
        <v>1</v>
      </c>
      <c r="G1859" s="497"/>
      <c r="H1859" s="544">
        <v>10.06</v>
      </c>
      <c r="I1859" s="394">
        <v>9.1934799999999992</v>
      </c>
      <c r="J1859" s="394">
        <v>8.5416699999999999</v>
      </c>
      <c r="K1859" s="394"/>
      <c r="L1859" s="394"/>
      <c r="M1859" s="394">
        <v>0</v>
      </c>
      <c r="N1859" s="394">
        <v>0</v>
      </c>
      <c r="O1859" s="394">
        <v>0.20194999999999999</v>
      </c>
      <c r="P1859" s="394">
        <v>8.5416699999999999</v>
      </c>
      <c r="Q1859" s="394"/>
      <c r="R1859" s="381" t="s">
        <v>167</v>
      </c>
      <c r="S1859" s="408" t="s">
        <v>175</v>
      </c>
      <c r="T1859" s="385"/>
      <c r="U1859" s="475">
        <v>778</v>
      </c>
      <c r="V1859" s="395"/>
      <c r="W1859" s="395">
        <f t="shared" si="1017"/>
        <v>10.06</v>
      </c>
      <c r="X1859" s="393"/>
      <c r="Y1859" s="337"/>
      <c r="Z1859" s="497"/>
      <c r="AA1859" s="544"/>
      <c r="AB1859" s="394"/>
      <c r="AC1859" s="394"/>
      <c r="AD1859" s="394"/>
      <c r="AE1859" s="394"/>
      <c r="AF1859" s="394"/>
      <c r="AG1859" s="394"/>
      <c r="AH1859" s="394"/>
      <c r="AI1859" s="394"/>
      <c r="AJ1859" s="394"/>
      <c r="AK1859" s="381"/>
      <c r="AL1859" s="408"/>
      <c r="AM1859" s="385"/>
      <c r="AN1859" s="475"/>
      <c r="AO1859" s="395"/>
      <c r="AP1859" s="395" t="e">
        <f t="shared" si="1015"/>
        <v>#DIV/0!</v>
      </c>
      <c r="AQ1859" s="393"/>
      <c r="AR1859" s="337"/>
      <c r="AS1859" s="497"/>
      <c r="AT1859" s="544"/>
      <c r="AU1859" s="394"/>
      <c r="AV1859" s="394"/>
      <c r="AW1859" s="394"/>
      <c r="AX1859" s="394"/>
      <c r="AY1859" s="394"/>
      <c r="AZ1859" s="394"/>
      <c r="BA1859" s="394"/>
      <c r="BB1859" s="394"/>
      <c r="BC1859" s="394"/>
      <c r="BD1859" s="381"/>
      <c r="BE1859" s="408"/>
      <c r="BF1859" s="385"/>
      <c r="BG1859" s="475"/>
      <c r="BH1859" s="395"/>
      <c r="BI1859" s="395" t="e">
        <f t="shared" si="1016"/>
        <v>#DIV/0!</v>
      </c>
    </row>
    <row r="1860" spans="1:61" s="358" customFormat="1" ht="19.2" x14ac:dyDescent="0.3">
      <c r="A1860" s="359" t="s">
        <v>1997</v>
      </c>
      <c r="B1860" s="537" t="s">
        <v>1624</v>
      </c>
      <c r="C1860" s="546" t="s">
        <v>1042</v>
      </c>
      <c r="D1860" s="360">
        <v>0.4</v>
      </c>
      <c r="E1860" s="393"/>
      <c r="F1860" s="337">
        <v>1</v>
      </c>
      <c r="G1860" s="497"/>
      <c r="H1860" s="544">
        <v>9.4120000000000008</v>
      </c>
      <c r="I1860" s="394">
        <v>8.5459899999999998</v>
      </c>
      <c r="J1860" s="394">
        <v>8.5416600000000003</v>
      </c>
      <c r="K1860" s="394"/>
      <c r="L1860" s="394"/>
      <c r="M1860" s="394">
        <v>0</v>
      </c>
      <c r="N1860" s="394">
        <v>0</v>
      </c>
      <c r="O1860" s="394">
        <v>0.20194999999999999</v>
      </c>
      <c r="P1860" s="394">
        <v>8.5416600000000003</v>
      </c>
      <c r="Q1860" s="394"/>
      <c r="R1860" s="381" t="s">
        <v>167</v>
      </c>
      <c r="S1860" s="408" t="s">
        <v>175</v>
      </c>
      <c r="T1860" s="385"/>
      <c r="U1860" s="475">
        <v>779</v>
      </c>
      <c r="V1860" s="395"/>
      <c r="W1860" s="395">
        <f t="shared" si="1017"/>
        <v>9.4120000000000008</v>
      </c>
      <c r="X1860" s="393"/>
      <c r="Y1860" s="337"/>
      <c r="Z1860" s="497"/>
      <c r="AA1860" s="544"/>
      <c r="AB1860" s="394"/>
      <c r="AC1860" s="394"/>
      <c r="AD1860" s="394"/>
      <c r="AE1860" s="394"/>
      <c r="AF1860" s="394"/>
      <c r="AG1860" s="394"/>
      <c r="AH1860" s="394"/>
      <c r="AI1860" s="394"/>
      <c r="AJ1860" s="394"/>
      <c r="AK1860" s="381"/>
      <c r="AL1860" s="408"/>
      <c r="AM1860" s="385"/>
      <c r="AN1860" s="475"/>
      <c r="AO1860" s="395"/>
      <c r="AP1860" s="395" t="e">
        <f t="shared" si="1015"/>
        <v>#DIV/0!</v>
      </c>
      <c r="AQ1860" s="393"/>
      <c r="AR1860" s="337"/>
      <c r="AS1860" s="497"/>
      <c r="AT1860" s="544"/>
      <c r="AU1860" s="394"/>
      <c r="AV1860" s="394"/>
      <c r="AW1860" s="394"/>
      <c r="AX1860" s="394"/>
      <c r="AY1860" s="394"/>
      <c r="AZ1860" s="394"/>
      <c r="BA1860" s="394"/>
      <c r="BB1860" s="394"/>
      <c r="BC1860" s="394"/>
      <c r="BD1860" s="381"/>
      <c r="BE1860" s="408"/>
      <c r="BF1860" s="385"/>
      <c r="BG1860" s="475"/>
      <c r="BH1860" s="395"/>
      <c r="BI1860" s="395" t="e">
        <f t="shared" si="1016"/>
        <v>#DIV/0!</v>
      </c>
    </row>
    <row r="1861" spans="1:61" s="358" customFormat="1" ht="19.2" x14ac:dyDescent="0.3">
      <c r="A1861" s="359" t="s">
        <v>1998</v>
      </c>
      <c r="B1861" s="537" t="s">
        <v>1625</v>
      </c>
      <c r="C1861" s="546" t="s">
        <v>1043</v>
      </c>
      <c r="D1861" s="360">
        <v>0.4</v>
      </c>
      <c r="E1861" s="393"/>
      <c r="F1861" s="337">
        <v>1</v>
      </c>
      <c r="G1861" s="497"/>
      <c r="H1861" s="544">
        <v>12.74</v>
      </c>
      <c r="I1861" s="394">
        <v>9.7036300000000004</v>
      </c>
      <c r="J1861" s="394">
        <v>8.5416699999999999</v>
      </c>
      <c r="K1861" s="394"/>
      <c r="L1861" s="394"/>
      <c r="M1861" s="394">
        <v>0</v>
      </c>
      <c r="N1861" s="394">
        <v>0</v>
      </c>
      <c r="O1861" s="394">
        <v>0.70789999999999997</v>
      </c>
      <c r="P1861" s="394">
        <v>8.5416699999999999</v>
      </c>
      <c r="Q1861" s="394"/>
      <c r="R1861" s="381" t="s">
        <v>167</v>
      </c>
      <c r="S1861" s="408" t="s">
        <v>175</v>
      </c>
      <c r="T1861" s="385"/>
      <c r="U1861" s="475">
        <v>780</v>
      </c>
      <c r="V1861" s="395"/>
      <c r="W1861" s="395">
        <f t="shared" si="1017"/>
        <v>12.74</v>
      </c>
      <c r="X1861" s="393"/>
      <c r="Y1861" s="337"/>
      <c r="Z1861" s="497"/>
      <c r="AA1861" s="544"/>
      <c r="AB1861" s="394"/>
      <c r="AC1861" s="394"/>
      <c r="AD1861" s="394"/>
      <c r="AE1861" s="394"/>
      <c r="AF1861" s="394"/>
      <c r="AG1861" s="394"/>
      <c r="AH1861" s="394"/>
      <c r="AI1861" s="394"/>
      <c r="AJ1861" s="394"/>
      <c r="AK1861" s="381"/>
      <c r="AL1861" s="408"/>
      <c r="AM1861" s="385"/>
      <c r="AN1861" s="475"/>
      <c r="AO1861" s="395"/>
      <c r="AP1861" s="395" t="e">
        <f t="shared" si="1015"/>
        <v>#DIV/0!</v>
      </c>
      <c r="AQ1861" s="393"/>
      <c r="AR1861" s="337"/>
      <c r="AS1861" s="497"/>
      <c r="AT1861" s="544"/>
      <c r="AU1861" s="394"/>
      <c r="AV1861" s="394"/>
      <c r="AW1861" s="394"/>
      <c r="AX1861" s="394"/>
      <c r="AY1861" s="394"/>
      <c r="AZ1861" s="394"/>
      <c r="BA1861" s="394"/>
      <c r="BB1861" s="394"/>
      <c r="BC1861" s="394"/>
      <c r="BD1861" s="381"/>
      <c r="BE1861" s="408"/>
      <c r="BF1861" s="385"/>
      <c r="BG1861" s="475"/>
      <c r="BH1861" s="395"/>
      <c r="BI1861" s="395" t="e">
        <f t="shared" si="1016"/>
        <v>#DIV/0!</v>
      </c>
    </row>
    <row r="1862" spans="1:61" s="358" customFormat="1" ht="19.2" x14ac:dyDescent="0.3">
      <c r="A1862" s="359" t="s">
        <v>1999</v>
      </c>
      <c r="B1862" s="537" t="s">
        <v>1626</v>
      </c>
      <c r="C1862" s="546" t="s">
        <v>1044</v>
      </c>
      <c r="D1862" s="360">
        <v>0.4</v>
      </c>
      <c r="E1862" s="393"/>
      <c r="F1862" s="337">
        <v>1</v>
      </c>
      <c r="G1862" s="497"/>
      <c r="H1862" s="544">
        <v>12.83</v>
      </c>
      <c r="I1862" s="394">
        <v>9.7932799999999993</v>
      </c>
      <c r="J1862" s="394">
        <v>8.5416699999999999</v>
      </c>
      <c r="K1862" s="394"/>
      <c r="L1862" s="394"/>
      <c r="M1862" s="394">
        <v>0</v>
      </c>
      <c r="N1862" s="394">
        <v>0</v>
      </c>
      <c r="O1862" s="394">
        <v>0.70789999999999997</v>
      </c>
      <c r="P1862" s="394">
        <v>8.5416699999999999</v>
      </c>
      <c r="Q1862" s="394"/>
      <c r="R1862" s="381" t="s">
        <v>167</v>
      </c>
      <c r="S1862" s="408" t="s">
        <v>175</v>
      </c>
      <c r="T1862" s="385"/>
      <c r="U1862" s="475">
        <v>781</v>
      </c>
      <c r="V1862" s="395"/>
      <c r="W1862" s="395">
        <f t="shared" si="1017"/>
        <v>12.83</v>
      </c>
      <c r="X1862" s="393"/>
      <c r="Y1862" s="337"/>
      <c r="Z1862" s="497"/>
      <c r="AA1862" s="544"/>
      <c r="AB1862" s="394"/>
      <c r="AC1862" s="394"/>
      <c r="AD1862" s="394"/>
      <c r="AE1862" s="394"/>
      <c r="AF1862" s="394"/>
      <c r="AG1862" s="394"/>
      <c r="AH1862" s="394"/>
      <c r="AI1862" s="394"/>
      <c r="AJ1862" s="394"/>
      <c r="AK1862" s="381"/>
      <c r="AL1862" s="408"/>
      <c r="AM1862" s="385"/>
      <c r="AN1862" s="475"/>
      <c r="AO1862" s="395"/>
      <c r="AP1862" s="395" t="e">
        <f t="shared" si="1015"/>
        <v>#DIV/0!</v>
      </c>
      <c r="AQ1862" s="393"/>
      <c r="AR1862" s="337"/>
      <c r="AS1862" s="497"/>
      <c r="AT1862" s="544"/>
      <c r="AU1862" s="394"/>
      <c r="AV1862" s="394"/>
      <c r="AW1862" s="394"/>
      <c r="AX1862" s="394"/>
      <c r="AY1862" s="394"/>
      <c r="AZ1862" s="394"/>
      <c r="BA1862" s="394"/>
      <c r="BB1862" s="394"/>
      <c r="BC1862" s="394"/>
      <c r="BD1862" s="381"/>
      <c r="BE1862" s="408"/>
      <c r="BF1862" s="385"/>
      <c r="BG1862" s="475"/>
      <c r="BH1862" s="395"/>
      <c r="BI1862" s="395" t="e">
        <f t="shared" si="1016"/>
        <v>#DIV/0!</v>
      </c>
    </row>
    <row r="1863" spans="1:61" s="358" customFormat="1" ht="19.2" x14ac:dyDescent="0.3">
      <c r="A1863" s="359" t="s">
        <v>2000</v>
      </c>
      <c r="B1863" s="537" t="s">
        <v>608</v>
      </c>
      <c r="C1863" s="546" t="s">
        <v>481</v>
      </c>
      <c r="D1863" s="360">
        <v>0.4</v>
      </c>
      <c r="E1863" s="393"/>
      <c r="F1863" s="337">
        <v>1</v>
      </c>
      <c r="G1863" s="497"/>
      <c r="H1863" s="544">
        <v>15.003</v>
      </c>
      <c r="I1863" s="394">
        <v>11.84075</v>
      </c>
      <c r="J1863" s="394">
        <v>8.5416699999999999</v>
      </c>
      <c r="K1863" s="394"/>
      <c r="L1863" s="394"/>
      <c r="M1863" s="394">
        <v>0</v>
      </c>
      <c r="N1863" s="394">
        <v>0</v>
      </c>
      <c r="O1863" s="394">
        <v>0.73724000000000001</v>
      </c>
      <c r="P1863" s="394">
        <v>8.5416699999999999</v>
      </c>
      <c r="Q1863" s="394"/>
      <c r="R1863" s="381" t="s">
        <v>167</v>
      </c>
      <c r="S1863" s="408" t="s">
        <v>175</v>
      </c>
      <c r="T1863" s="385"/>
      <c r="U1863" s="475">
        <v>782</v>
      </c>
      <c r="V1863" s="395"/>
      <c r="W1863" s="395">
        <f t="shared" si="1017"/>
        <v>15.003</v>
      </c>
      <c r="X1863" s="393"/>
      <c r="Y1863" s="337"/>
      <c r="Z1863" s="497"/>
      <c r="AA1863" s="544"/>
      <c r="AB1863" s="394"/>
      <c r="AC1863" s="394"/>
      <c r="AD1863" s="394"/>
      <c r="AE1863" s="394"/>
      <c r="AF1863" s="394"/>
      <c r="AG1863" s="394"/>
      <c r="AH1863" s="394"/>
      <c r="AI1863" s="394"/>
      <c r="AJ1863" s="394"/>
      <c r="AK1863" s="381"/>
      <c r="AL1863" s="408"/>
      <c r="AM1863" s="385"/>
      <c r="AN1863" s="475"/>
      <c r="AO1863" s="395"/>
      <c r="AP1863" s="395" t="e">
        <f t="shared" si="1015"/>
        <v>#DIV/0!</v>
      </c>
      <c r="AQ1863" s="393"/>
      <c r="AR1863" s="337"/>
      <c r="AS1863" s="497"/>
      <c r="AT1863" s="544"/>
      <c r="AU1863" s="394"/>
      <c r="AV1863" s="394"/>
      <c r="AW1863" s="394"/>
      <c r="AX1863" s="394"/>
      <c r="AY1863" s="394"/>
      <c r="AZ1863" s="394"/>
      <c r="BA1863" s="394"/>
      <c r="BB1863" s="394"/>
      <c r="BC1863" s="394"/>
      <c r="BD1863" s="381"/>
      <c r="BE1863" s="408"/>
      <c r="BF1863" s="385"/>
      <c r="BG1863" s="475"/>
      <c r="BH1863" s="395"/>
      <c r="BI1863" s="395" t="e">
        <f t="shared" si="1016"/>
        <v>#DIV/0!</v>
      </c>
    </row>
    <row r="1864" spans="1:61" s="358" customFormat="1" ht="19.2" x14ac:dyDescent="0.3">
      <c r="A1864" s="359" t="s">
        <v>2001</v>
      </c>
      <c r="B1864" s="537" t="s">
        <v>1627</v>
      </c>
      <c r="C1864" s="546" t="s">
        <v>1048</v>
      </c>
      <c r="D1864" s="360">
        <v>0.4</v>
      </c>
      <c r="E1864" s="393"/>
      <c r="F1864" s="337">
        <v>1</v>
      </c>
      <c r="G1864" s="497"/>
      <c r="H1864" s="544">
        <v>12.83</v>
      </c>
      <c r="I1864" s="394">
        <v>9.7932799999999993</v>
      </c>
      <c r="J1864" s="394">
        <v>8.5416699999999999</v>
      </c>
      <c r="K1864" s="394"/>
      <c r="L1864" s="394"/>
      <c r="M1864" s="394">
        <v>0</v>
      </c>
      <c r="N1864" s="394">
        <v>0</v>
      </c>
      <c r="O1864" s="394">
        <v>0.70789999999999997</v>
      </c>
      <c r="P1864" s="394">
        <v>8.5416699999999999</v>
      </c>
      <c r="Q1864" s="394"/>
      <c r="R1864" s="381" t="s">
        <v>167</v>
      </c>
      <c r="S1864" s="408" t="s">
        <v>175</v>
      </c>
      <c r="T1864" s="385"/>
      <c r="U1864" s="475">
        <v>783</v>
      </c>
      <c r="V1864" s="395"/>
      <c r="W1864" s="395">
        <f t="shared" ref="W1864:W1871" si="1018">H1864/F1864</f>
        <v>12.83</v>
      </c>
      <c r="X1864" s="393"/>
      <c r="Y1864" s="337"/>
      <c r="Z1864" s="497"/>
      <c r="AA1864" s="544"/>
      <c r="AB1864" s="394"/>
      <c r="AC1864" s="394"/>
      <c r="AD1864" s="394"/>
      <c r="AE1864" s="394"/>
      <c r="AF1864" s="394"/>
      <c r="AG1864" s="394"/>
      <c r="AH1864" s="394"/>
      <c r="AI1864" s="394"/>
      <c r="AJ1864" s="394"/>
      <c r="AK1864" s="381"/>
      <c r="AL1864" s="408"/>
      <c r="AM1864" s="385"/>
      <c r="AN1864" s="475"/>
      <c r="AO1864" s="395"/>
      <c r="AP1864" s="395" t="e">
        <f t="shared" si="1015"/>
        <v>#DIV/0!</v>
      </c>
      <c r="AQ1864" s="393"/>
      <c r="AR1864" s="337"/>
      <c r="AS1864" s="497"/>
      <c r="AT1864" s="544"/>
      <c r="AU1864" s="394"/>
      <c r="AV1864" s="394"/>
      <c r="AW1864" s="394"/>
      <c r="AX1864" s="394"/>
      <c r="AY1864" s="394"/>
      <c r="AZ1864" s="394"/>
      <c r="BA1864" s="394"/>
      <c r="BB1864" s="394"/>
      <c r="BC1864" s="394"/>
      <c r="BD1864" s="381"/>
      <c r="BE1864" s="408"/>
      <c r="BF1864" s="385"/>
      <c r="BG1864" s="475"/>
      <c r="BH1864" s="395"/>
      <c r="BI1864" s="395" t="e">
        <f t="shared" si="1016"/>
        <v>#DIV/0!</v>
      </c>
    </row>
    <row r="1865" spans="1:61" s="358" customFormat="1" ht="19.2" x14ac:dyDescent="0.3">
      <c r="A1865" s="359" t="s">
        <v>2002</v>
      </c>
      <c r="B1865" s="537" t="s">
        <v>1628</v>
      </c>
      <c r="C1865" s="546" t="s">
        <v>1049</v>
      </c>
      <c r="D1865" s="360">
        <v>0.4</v>
      </c>
      <c r="E1865" s="393"/>
      <c r="F1865" s="337">
        <v>1</v>
      </c>
      <c r="G1865" s="497"/>
      <c r="H1865" s="544">
        <v>12.83</v>
      </c>
      <c r="I1865" s="394">
        <v>9.7932799999999993</v>
      </c>
      <c r="J1865" s="394">
        <v>8.5416699999999999</v>
      </c>
      <c r="K1865" s="394"/>
      <c r="L1865" s="394"/>
      <c r="M1865" s="394">
        <v>0</v>
      </c>
      <c r="N1865" s="394">
        <v>0</v>
      </c>
      <c r="O1865" s="394">
        <v>0.70789999999999997</v>
      </c>
      <c r="P1865" s="394">
        <v>8.5416699999999999</v>
      </c>
      <c r="Q1865" s="394"/>
      <c r="R1865" s="381" t="s">
        <v>167</v>
      </c>
      <c r="S1865" s="408" t="s">
        <v>175</v>
      </c>
      <c r="T1865" s="385"/>
      <c r="U1865" s="475">
        <v>784</v>
      </c>
      <c r="V1865" s="395"/>
      <c r="W1865" s="395">
        <f t="shared" si="1018"/>
        <v>12.83</v>
      </c>
      <c r="X1865" s="393"/>
      <c r="Y1865" s="337"/>
      <c r="Z1865" s="497"/>
      <c r="AA1865" s="544"/>
      <c r="AB1865" s="394"/>
      <c r="AC1865" s="394"/>
      <c r="AD1865" s="394"/>
      <c r="AE1865" s="394"/>
      <c r="AF1865" s="394"/>
      <c r="AG1865" s="394"/>
      <c r="AH1865" s="394"/>
      <c r="AI1865" s="394"/>
      <c r="AJ1865" s="394"/>
      <c r="AK1865" s="381"/>
      <c r="AL1865" s="408"/>
      <c r="AM1865" s="385"/>
      <c r="AN1865" s="475"/>
      <c r="AO1865" s="395"/>
      <c r="AP1865" s="395" t="e">
        <f t="shared" si="1015"/>
        <v>#DIV/0!</v>
      </c>
      <c r="AQ1865" s="393"/>
      <c r="AR1865" s="337"/>
      <c r="AS1865" s="497"/>
      <c r="AT1865" s="544"/>
      <c r="AU1865" s="394"/>
      <c r="AV1865" s="394"/>
      <c r="AW1865" s="394"/>
      <c r="AX1865" s="394"/>
      <c r="AY1865" s="394"/>
      <c r="AZ1865" s="394"/>
      <c r="BA1865" s="394"/>
      <c r="BB1865" s="394"/>
      <c r="BC1865" s="394"/>
      <c r="BD1865" s="381"/>
      <c r="BE1865" s="408"/>
      <c r="BF1865" s="385"/>
      <c r="BG1865" s="475"/>
      <c r="BH1865" s="395"/>
      <c r="BI1865" s="395" t="e">
        <f t="shared" si="1016"/>
        <v>#DIV/0!</v>
      </c>
    </row>
    <row r="1866" spans="1:61" s="358" customFormat="1" ht="19.2" x14ac:dyDescent="0.3">
      <c r="A1866" s="359" t="s">
        <v>2003</v>
      </c>
      <c r="B1866" s="537" t="s">
        <v>1629</v>
      </c>
      <c r="C1866" s="546" t="s">
        <v>1050</v>
      </c>
      <c r="D1866" s="360">
        <v>0.4</v>
      </c>
      <c r="E1866" s="393"/>
      <c r="F1866" s="337">
        <v>1</v>
      </c>
      <c r="G1866" s="497"/>
      <c r="H1866" s="544">
        <v>12.83</v>
      </c>
      <c r="I1866" s="394">
        <v>9.7932799999999993</v>
      </c>
      <c r="J1866" s="394">
        <v>8.5416699999999999</v>
      </c>
      <c r="K1866" s="394"/>
      <c r="L1866" s="394"/>
      <c r="M1866" s="394">
        <v>0</v>
      </c>
      <c r="N1866" s="394">
        <v>0</v>
      </c>
      <c r="O1866" s="394">
        <v>0.70789999999999997</v>
      </c>
      <c r="P1866" s="394">
        <v>8.5416699999999999</v>
      </c>
      <c r="Q1866" s="394"/>
      <c r="R1866" s="381" t="s">
        <v>167</v>
      </c>
      <c r="S1866" s="408" t="s">
        <v>175</v>
      </c>
      <c r="T1866" s="385"/>
      <c r="U1866" s="475">
        <v>785</v>
      </c>
      <c r="V1866" s="395"/>
      <c r="W1866" s="395">
        <f t="shared" si="1018"/>
        <v>12.83</v>
      </c>
      <c r="X1866" s="393"/>
      <c r="Y1866" s="337"/>
      <c r="Z1866" s="497"/>
      <c r="AA1866" s="544"/>
      <c r="AB1866" s="394"/>
      <c r="AC1866" s="394"/>
      <c r="AD1866" s="394"/>
      <c r="AE1866" s="394"/>
      <c r="AF1866" s="394"/>
      <c r="AG1866" s="394"/>
      <c r="AH1866" s="394"/>
      <c r="AI1866" s="394"/>
      <c r="AJ1866" s="394"/>
      <c r="AK1866" s="381"/>
      <c r="AL1866" s="408"/>
      <c r="AM1866" s="385"/>
      <c r="AN1866" s="475"/>
      <c r="AO1866" s="395"/>
      <c r="AP1866" s="395" t="e">
        <f t="shared" si="1015"/>
        <v>#DIV/0!</v>
      </c>
      <c r="AQ1866" s="393"/>
      <c r="AR1866" s="337"/>
      <c r="AS1866" s="497"/>
      <c r="AT1866" s="544"/>
      <c r="AU1866" s="394"/>
      <c r="AV1866" s="394"/>
      <c r="AW1866" s="394"/>
      <c r="AX1866" s="394"/>
      <c r="AY1866" s="394"/>
      <c r="AZ1866" s="394"/>
      <c r="BA1866" s="394"/>
      <c r="BB1866" s="394"/>
      <c r="BC1866" s="394"/>
      <c r="BD1866" s="381"/>
      <c r="BE1866" s="408"/>
      <c r="BF1866" s="385"/>
      <c r="BG1866" s="475"/>
      <c r="BH1866" s="395"/>
      <c r="BI1866" s="395" t="e">
        <f t="shared" si="1016"/>
        <v>#DIV/0!</v>
      </c>
    </row>
    <row r="1867" spans="1:61" s="358" customFormat="1" ht="19.2" x14ac:dyDescent="0.3">
      <c r="A1867" s="359" t="s">
        <v>2020</v>
      </c>
      <c r="B1867" s="537" t="s">
        <v>1630</v>
      </c>
      <c r="C1867" s="546" t="s">
        <v>1051</v>
      </c>
      <c r="D1867" s="360">
        <v>0.4</v>
      </c>
      <c r="E1867" s="393"/>
      <c r="F1867" s="337">
        <v>1</v>
      </c>
      <c r="G1867" s="497"/>
      <c r="H1867" s="544">
        <v>12.581</v>
      </c>
      <c r="I1867" s="394">
        <v>9.5268099999999993</v>
      </c>
      <c r="J1867" s="394">
        <v>8.5416600000000003</v>
      </c>
      <c r="K1867" s="394"/>
      <c r="L1867" s="394"/>
      <c r="M1867" s="394">
        <v>0</v>
      </c>
      <c r="N1867" s="394">
        <v>0</v>
      </c>
      <c r="O1867" s="394">
        <v>0.71194000000000002</v>
      </c>
      <c r="P1867" s="394">
        <v>8.5416600000000003</v>
      </c>
      <c r="Q1867" s="394"/>
      <c r="R1867" s="381" t="s">
        <v>167</v>
      </c>
      <c r="S1867" s="408" t="s">
        <v>175</v>
      </c>
      <c r="T1867" s="385"/>
      <c r="U1867" s="475">
        <v>786</v>
      </c>
      <c r="V1867" s="395"/>
      <c r="W1867" s="395">
        <f t="shared" si="1018"/>
        <v>12.581</v>
      </c>
      <c r="X1867" s="393"/>
      <c r="Y1867" s="337"/>
      <c r="Z1867" s="497"/>
      <c r="AA1867" s="544"/>
      <c r="AB1867" s="394"/>
      <c r="AC1867" s="394"/>
      <c r="AD1867" s="394"/>
      <c r="AE1867" s="394"/>
      <c r="AF1867" s="394"/>
      <c r="AG1867" s="394"/>
      <c r="AH1867" s="394"/>
      <c r="AI1867" s="394"/>
      <c r="AJ1867" s="394"/>
      <c r="AK1867" s="381"/>
      <c r="AL1867" s="408"/>
      <c r="AM1867" s="385"/>
      <c r="AN1867" s="475"/>
      <c r="AO1867" s="395"/>
      <c r="AP1867" s="395" t="e">
        <f t="shared" ref="AP1867:AP1930" si="1019">AA1867/Y1867</f>
        <v>#DIV/0!</v>
      </c>
      <c r="AQ1867" s="393"/>
      <c r="AR1867" s="337"/>
      <c r="AS1867" s="497"/>
      <c r="AT1867" s="544"/>
      <c r="AU1867" s="394"/>
      <c r="AV1867" s="394"/>
      <c r="AW1867" s="394"/>
      <c r="AX1867" s="394"/>
      <c r="AY1867" s="394"/>
      <c r="AZ1867" s="394"/>
      <c r="BA1867" s="394"/>
      <c r="BB1867" s="394"/>
      <c r="BC1867" s="394"/>
      <c r="BD1867" s="381"/>
      <c r="BE1867" s="408"/>
      <c r="BF1867" s="385"/>
      <c r="BG1867" s="475"/>
      <c r="BH1867" s="395"/>
      <c r="BI1867" s="395" t="e">
        <f t="shared" si="1016"/>
        <v>#DIV/0!</v>
      </c>
    </row>
    <row r="1868" spans="1:61" s="358" customFormat="1" ht="19.2" x14ac:dyDescent="0.3">
      <c r="A1868" s="359" t="s">
        <v>2005</v>
      </c>
      <c r="B1868" s="537" t="s">
        <v>1631</v>
      </c>
      <c r="C1868" s="546" t="s">
        <v>1052</v>
      </c>
      <c r="D1868" s="360">
        <v>0.4</v>
      </c>
      <c r="E1868" s="393"/>
      <c r="F1868" s="337">
        <v>1</v>
      </c>
      <c r="G1868" s="497"/>
      <c r="H1868" s="544">
        <v>12.83</v>
      </c>
      <c r="I1868" s="394">
        <v>9.7932799999999993</v>
      </c>
      <c r="J1868" s="394">
        <v>8.5416699999999999</v>
      </c>
      <c r="K1868" s="394"/>
      <c r="L1868" s="394"/>
      <c r="M1868" s="394">
        <v>0</v>
      </c>
      <c r="N1868" s="394">
        <v>0</v>
      </c>
      <c r="O1868" s="394">
        <v>0.70789999999999997</v>
      </c>
      <c r="P1868" s="394">
        <v>8.5416699999999999</v>
      </c>
      <c r="Q1868" s="394"/>
      <c r="R1868" s="381" t="s">
        <v>167</v>
      </c>
      <c r="S1868" s="408" t="s">
        <v>175</v>
      </c>
      <c r="T1868" s="385"/>
      <c r="U1868" s="475">
        <v>788</v>
      </c>
      <c r="V1868" s="395"/>
      <c r="W1868" s="395">
        <f t="shared" si="1018"/>
        <v>12.83</v>
      </c>
      <c r="X1868" s="393"/>
      <c r="Y1868" s="337"/>
      <c r="Z1868" s="497"/>
      <c r="AA1868" s="544"/>
      <c r="AB1868" s="394"/>
      <c r="AC1868" s="394"/>
      <c r="AD1868" s="394"/>
      <c r="AE1868" s="394"/>
      <c r="AF1868" s="394"/>
      <c r="AG1868" s="394"/>
      <c r="AH1868" s="394"/>
      <c r="AI1868" s="394"/>
      <c r="AJ1868" s="394"/>
      <c r="AK1868" s="381"/>
      <c r="AL1868" s="408"/>
      <c r="AM1868" s="385"/>
      <c r="AN1868" s="475"/>
      <c r="AO1868" s="395"/>
      <c r="AP1868" s="395" t="e">
        <f t="shared" si="1019"/>
        <v>#DIV/0!</v>
      </c>
      <c r="AQ1868" s="393"/>
      <c r="AR1868" s="337"/>
      <c r="AS1868" s="497"/>
      <c r="AT1868" s="544"/>
      <c r="AU1868" s="394"/>
      <c r="AV1868" s="394"/>
      <c r="AW1868" s="394"/>
      <c r="AX1868" s="394"/>
      <c r="AY1868" s="394"/>
      <c r="AZ1868" s="394"/>
      <c r="BA1868" s="394"/>
      <c r="BB1868" s="394"/>
      <c r="BC1868" s="394"/>
      <c r="BD1868" s="381"/>
      <c r="BE1868" s="408"/>
      <c r="BF1868" s="385"/>
      <c r="BG1868" s="475"/>
      <c r="BH1868" s="395"/>
      <c r="BI1868" s="395" t="e">
        <f t="shared" si="1016"/>
        <v>#DIV/0!</v>
      </c>
    </row>
    <row r="1869" spans="1:61" s="358" customFormat="1" ht="19.2" x14ac:dyDescent="0.3">
      <c r="A1869" s="359" t="s">
        <v>2006</v>
      </c>
      <c r="B1869" s="537" t="s">
        <v>1632</v>
      </c>
      <c r="C1869" s="546" t="s">
        <v>1053</v>
      </c>
      <c r="D1869" s="360">
        <v>0.4</v>
      </c>
      <c r="E1869" s="393"/>
      <c r="F1869" s="337">
        <v>1</v>
      </c>
      <c r="G1869" s="497"/>
      <c r="H1869" s="544">
        <v>13.548999999999999</v>
      </c>
      <c r="I1869" s="394">
        <v>10.32025</v>
      </c>
      <c r="J1869" s="394">
        <v>8.5416600000000003</v>
      </c>
      <c r="K1869" s="394"/>
      <c r="L1869" s="394"/>
      <c r="M1869" s="394">
        <v>0</v>
      </c>
      <c r="N1869" s="394">
        <v>0</v>
      </c>
      <c r="O1869" s="394">
        <v>0.75266999999999995</v>
      </c>
      <c r="P1869" s="394">
        <v>8.5416600000000003</v>
      </c>
      <c r="Q1869" s="394"/>
      <c r="R1869" s="381" t="s">
        <v>167</v>
      </c>
      <c r="S1869" s="408" t="s">
        <v>175</v>
      </c>
      <c r="T1869" s="385"/>
      <c r="U1869" s="475">
        <v>789</v>
      </c>
      <c r="V1869" s="395"/>
      <c r="W1869" s="395">
        <f t="shared" si="1018"/>
        <v>13.548999999999999</v>
      </c>
      <c r="X1869" s="393"/>
      <c r="Y1869" s="337"/>
      <c r="Z1869" s="497"/>
      <c r="AA1869" s="544"/>
      <c r="AB1869" s="394"/>
      <c r="AC1869" s="394"/>
      <c r="AD1869" s="394"/>
      <c r="AE1869" s="394"/>
      <c r="AF1869" s="394"/>
      <c r="AG1869" s="394"/>
      <c r="AH1869" s="394"/>
      <c r="AI1869" s="394"/>
      <c r="AJ1869" s="394"/>
      <c r="AK1869" s="381"/>
      <c r="AL1869" s="408"/>
      <c r="AM1869" s="385"/>
      <c r="AN1869" s="475"/>
      <c r="AO1869" s="395"/>
      <c r="AP1869" s="395" t="e">
        <f t="shared" si="1019"/>
        <v>#DIV/0!</v>
      </c>
      <c r="AQ1869" s="393"/>
      <c r="AR1869" s="337"/>
      <c r="AS1869" s="497"/>
      <c r="AT1869" s="544"/>
      <c r="AU1869" s="394"/>
      <c r="AV1869" s="394"/>
      <c r="AW1869" s="394"/>
      <c r="AX1869" s="394"/>
      <c r="AY1869" s="394"/>
      <c r="AZ1869" s="394"/>
      <c r="BA1869" s="394"/>
      <c r="BB1869" s="394"/>
      <c r="BC1869" s="394"/>
      <c r="BD1869" s="381"/>
      <c r="BE1869" s="408"/>
      <c r="BF1869" s="385"/>
      <c r="BG1869" s="475"/>
      <c r="BH1869" s="395"/>
      <c r="BI1869" s="395" t="e">
        <f t="shared" si="1016"/>
        <v>#DIV/0!</v>
      </c>
    </row>
    <row r="1870" spans="1:61" s="358" customFormat="1" ht="19.2" x14ac:dyDescent="0.3">
      <c r="A1870" s="359" t="s">
        <v>2007</v>
      </c>
      <c r="B1870" s="537" t="s">
        <v>1633</v>
      </c>
      <c r="C1870" s="546" t="s">
        <v>1054</v>
      </c>
      <c r="D1870" s="360">
        <v>0.4</v>
      </c>
      <c r="E1870" s="393"/>
      <c r="F1870" s="337">
        <v>1</v>
      </c>
      <c r="G1870" s="497"/>
      <c r="H1870" s="544">
        <v>13.699</v>
      </c>
      <c r="I1870" s="394">
        <v>10.470599999999999</v>
      </c>
      <c r="J1870" s="394">
        <v>8.5416699999999999</v>
      </c>
      <c r="K1870" s="394"/>
      <c r="L1870" s="394"/>
      <c r="M1870" s="394">
        <v>0</v>
      </c>
      <c r="N1870" s="394">
        <v>0</v>
      </c>
      <c r="O1870" s="394">
        <v>0.75266999999999995</v>
      </c>
      <c r="P1870" s="394">
        <v>8.5416699999999999</v>
      </c>
      <c r="Q1870" s="394"/>
      <c r="R1870" s="381" t="s">
        <v>167</v>
      </c>
      <c r="S1870" s="408" t="s">
        <v>175</v>
      </c>
      <c r="T1870" s="385"/>
      <c r="U1870" s="475">
        <v>790</v>
      </c>
      <c r="V1870" s="395"/>
      <c r="W1870" s="395">
        <f t="shared" si="1018"/>
        <v>13.699</v>
      </c>
      <c r="X1870" s="393"/>
      <c r="Y1870" s="337"/>
      <c r="Z1870" s="497"/>
      <c r="AA1870" s="544"/>
      <c r="AB1870" s="394"/>
      <c r="AC1870" s="394"/>
      <c r="AD1870" s="394"/>
      <c r="AE1870" s="394"/>
      <c r="AF1870" s="394"/>
      <c r="AG1870" s="394"/>
      <c r="AH1870" s="394"/>
      <c r="AI1870" s="394"/>
      <c r="AJ1870" s="394"/>
      <c r="AK1870" s="381"/>
      <c r="AL1870" s="408"/>
      <c r="AM1870" s="385"/>
      <c r="AN1870" s="475"/>
      <c r="AO1870" s="395"/>
      <c r="AP1870" s="395" t="e">
        <f t="shared" si="1019"/>
        <v>#DIV/0!</v>
      </c>
      <c r="AQ1870" s="393"/>
      <c r="AR1870" s="337"/>
      <c r="AS1870" s="497"/>
      <c r="AT1870" s="544"/>
      <c r="AU1870" s="394"/>
      <c r="AV1870" s="394"/>
      <c r="AW1870" s="394"/>
      <c r="AX1870" s="394"/>
      <c r="AY1870" s="394"/>
      <c r="AZ1870" s="394"/>
      <c r="BA1870" s="394"/>
      <c r="BB1870" s="394"/>
      <c r="BC1870" s="394"/>
      <c r="BD1870" s="381"/>
      <c r="BE1870" s="408"/>
      <c r="BF1870" s="385"/>
      <c r="BG1870" s="475"/>
      <c r="BH1870" s="395"/>
      <c r="BI1870" s="395" t="e">
        <f t="shared" si="1016"/>
        <v>#DIV/0!</v>
      </c>
    </row>
    <row r="1871" spans="1:61" s="358" customFormat="1" ht="19.2" x14ac:dyDescent="0.3">
      <c r="A1871" s="359" t="s">
        <v>2024</v>
      </c>
      <c r="B1871" s="537" t="s">
        <v>1634</v>
      </c>
      <c r="C1871" s="546" t="s">
        <v>1055</v>
      </c>
      <c r="D1871" s="360">
        <v>0.4</v>
      </c>
      <c r="E1871" s="393"/>
      <c r="F1871" s="337">
        <v>1</v>
      </c>
      <c r="G1871" s="497"/>
      <c r="H1871" s="544">
        <v>13.268000000000001</v>
      </c>
      <c r="I1871" s="394">
        <v>11.28762</v>
      </c>
      <c r="J1871" s="394">
        <v>10.45833</v>
      </c>
      <c r="K1871" s="394"/>
      <c r="L1871" s="394"/>
      <c r="M1871" s="394">
        <v>0</v>
      </c>
      <c r="N1871" s="394">
        <v>0</v>
      </c>
      <c r="O1871" s="394">
        <v>0.4617</v>
      </c>
      <c r="P1871" s="394">
        <v>10.45833</v>
      </c>
      <c r="Q1871" s="394"/>
      <c r="R1871" s="381" t="s">
        <v>167</v>
      </c>
      <c r="S1871" s="408" t="s">
        <v>175</v>
      </c>
      <c r="T1871" s="385"/>
      <c r="U1871" s="475">
        <v>791</v>
      </c>
      <c r="V1871" s="395"/>
      <c r="W1871" s="395">
        <f t="shared" si="1018"/>
        <v>13.268000000000001</v>
      </c>
      <c r="X1871" s="393"/>
      <c r="Y1871" s="337"/>
      <c r="Z1871" s="497"/>
      <c r="AA1871" s="544"/>
      <c r="AB1871" s="394"/>
      <c r="AC1871" s="394"/>
      <c r="AD1871" s="394"/>
      <c r="AE1871" s="394"/>
      <c r="AF1871" s="394"/>
      <c r="AG1871" s="394"/>
      <c r="AH1871" s="394"/>
      <c r="AI1871" s="394"/>
      <c r="AJ1871" s="394"/>
      <c r="AK1871" s="381"/>
      <c r="AL1871" s="408"/>
      <c r="AM1871" s="385"/>
      <c r="AN1871" s="475"/>
      <c r="AO1871" s="395"/>
      <c r="AP1871" s="395" t="e">
        <f t="shared" si="1019"/>
        <v>#DIV/0!</v>
      </c>
      <c r="AQ1871" s="393"/>
      <c r="AR1871" s="337"/>
      <c r="AS1871" s="497"/>
      <c r="AT1871" s="544"/>
      <c r="AU1871" s="394"/>
      <c r="AV1871" s="394"/>
      <c r="AW1871" s="394"/>
      <c r="AX1871" s="394"/>
      <c r="AY1871" s="394"/>
      <c r="AZ1871" s="394"/>
      <c r="BA1871" s="394"/>
      <c r="BB1871" s="394"/>
      <c r="BC1871" s="394"/>
      <c r="BD1871" s="381"/>
      <c r="BE1871" s="408"/>
      <c r="BF1871" s="385"/>
      <c r="BG1871" s="475"/>
      <c r="BH1871" s="395"/>
      <c r="BI1871" s="395" t="e">
        <f t="shared" si="1016"/>
        <v>#DIV/0!</v>
      </c>
    </row>
    <row r="1872" spans="1:61" s="358" customFormat="1" ht="19.2" x14ac:dyDescent="0.3">
      <c r="A1872" s="359" t="s">
        <v>2009</v>
      </c>
      <c r="B1872" s="537" t="s">
        <v>1635</v>
      </c>
      <c r="C1872" s="546" t="s">
        <v>1056</v>
      </c>
      <c r="D1872" s="360">
        <v>0.4</v>
      </c>
      <c r="E1872" s="393"/>
      <c r="F1872" s="337">
        <v>1</v>
      </c>
      <c r="G1872" s="497"/>
      <c r="H1872" s="544">
        <v>13.356</v>
      </c>
      <c r="I1872" s="394">
        <v>11.37547</v>
      </c>
      <c r="J1872" s="394">
        <v>10.45833</v>
      </c>
      <c r="K1872" s="394"/>
      <c r="L1872" s="394"/>
      <c r="M1872" s="394">
        <v>0</v>
      </c>
      <c r="N1872" s="394">
        <v>0</v>
      </c>
      <c r="O1872" s="394">
        <v>0.4617</v>
      </c>
      <c r="P1872" s="394">
        <v>10.45833</v>
      </c>
      <c r="Q1872" s="394"/>
      <c r="R1872" s="381" t="s">
        <v>167</v>
      </c>
      <c r="S1872" s="408" t="s">
        <v>175</v>
      </c>
      <c r="T1872" s="385"/>
      <c r="U1872" s="475">
        <v>792</v>
      </c>
      <c r="V1872" s="395"/>
      <c r="W1872" s="395">
        <f t="shared" ref="W1872:W1912" si="1020">H1872/F1872</f>
        <v>13.356</v>
      </c>
      <c r="X1872" s="393"/>
      <c r="Y1872" s="337"/>
      <c r="Z1872" s="497"/>
      <c r="AA1872" s="544"/>
      <c r="AB1872" s="394"/>
      <c r="AC1872" s="394"/>
      <c r="AD1872" s="394"/>
      <c r="AE1872" s="394"/>
      <c r="AF1872" s="394"/>
      <c r="AG1872" s="394"/>
      <c r="AH1872" s="394"/>
      <c r="AI1872" s="394"/>
      <c r="AJ1872" s="394"/>
      <c r="AK1872" s="381"/>
      <c r="AL1872" s="408"/>
      <c r="AM1872" s="385"/>
      <c r="AN1872" s="475"/>
      <c r="AO1872" s="395"/>
      <c r="AP1872" s="395" t="e">
        <f t="shared" si="1019"/>
        <v>#DIV/0!</v>
      </c>
      <c r="AQ1872" s="393"/>
      <c r="AR1872" s="337"/>
      <c r="AS1872" s="497"/>
      <c r="AT1872" s="544"/>
      <c r="AU1872" s="394"/>
      <c r="AV1872" s="394"/>
      <c r="AW1872" s="394"/>
      <c r="AX1872" s="394"/>
      <c r="AY1872" s="394"/>
      <c r="AZ1872" s="394"/>
      <c r="BA1872" s="394"/>
      <c r="BB1872" s="394"/>
      <c r="BC1872" s="394"/>
      <c r="BD1872" s="381"/>
      <c r="BE1872" s="408"/>
      <c r="BF1872" s="385"/>
      <c r="BG1872" s="475"/>
      <c r="BH1872" s="395"/>
      <c r="BI1872" s="395" t="e">
        <f t="shared" si="1016"/>
        <v>#DIV/0!</v>
      </c>
    </row>
    <row r="1873" spans="1:61" s="358" customFormat="1" ht="19.2" x14ac:dyDescent="0.3">
      <c r="A1873" s="359" t="s">
        <v>2010</v>
      </c>
      <c r="B1873" s="537" t="s">
        <v>301</v>
      </c>
      <c r="C1873" s="546" t="s">
        <v>287</v>
      </c>
      <c r="D1873" s="360">
        <v>0.4</v>
      </c>
      <c r="E1873" s="393"/>
      <c r="F1873" s="337">
        <v>1</v>
      </c>
      <c r="G1873" s="497"/>
      <c r="H1873" s="544">
        <v>13.356</v>
      </c>
      <c r="I1873" s="394">
        <v>11.37547</v>
      </c>
      <c r="J1873" s="394">
        <v>10.45833</v>
      </c>
      <c r="K1873" s="394"/>
      <c r="L1873" s="394"/>
      <c r="M1873" s="394">
        <v>0</v>
      </c>
      <c r="N1873" s="394">
        <v>0</v>
      </c>
      <c r="O1873" s="394">
        <v>0.4617</v>
      </c>
      <c r="P1873" s="394">
        <v>10.45833</v>
      </c>
      <c r="Q1873" s="394"/>
      <c r="R1873" s="381" t="s">
        <v>167</v>
      </c>
      <c r="S1873" s="408" t="s">
        <v>175</v>
      </c>
      <c r="T1873" s="385"/>
      <c r="U1873" s="475">
        <v>793</v>
      </c>
      <c r="V1873" s="395"/>
      <c r="W1873" s="395">
        <f t="shared" si="1020"/>
        <v>13.356</v>
      </c>
      <c r="X1873" s="393"/>
      <c r="Y1873" s="337"/>
      <c r="Z1873" s="497"/>
      <c r="AA1873" s="544"/>
      <c r="AB1873" s="394"/>
      <c r="AC1873" s="394"/>
      <c r="AD1873" s="394"/>
      <c r="AE1873" s="394"/>
      <c r="AF1873" s="394"/>
      <c r="AG1873" s="394"/>
      <c r="AH1873" s="394"/>
      <c r="AI1873" s="394"/>
      <c r="AJ1873" s="394"/>
      <c r="AK1873" s="381"/>
      <c r="AL1873" s="408"/>
      <c r="AM1873" s="385"/>
      <c r="AN1873" s="475"/>
      <c r="AO1873" s="395"/>
      <c r="AP1873" s="395" t="e">
        <f t="shared" si="1019"/>
        <v>#DIV/0!</v>
      </c>
      <c r="AQ1873" s="393"/>
      <c r="AR1873" s="337"/>
      <c r="AS1873" s="497"/>
      <c r="AT1873" s="544"/>
      <c r="AU1873" s="394"/>
      <c r="AV1873" s="394"/>
      <c r="AW1873" s="394"/>
      <c r="AX1873" s="394"/>
      <c r="AY1873" s="394"/>
      <c r="AZ1873" s="394"/>
      <c r="BA1873" s="394"/>
      <c r="BB1873" s="394"/>
      <c r="BC1873" s="394"/>
      <c r="BD1873" s="381"/>
      <c r="BE1873" s="408"/>
      <c r="BF1873" s="385"/>
      <c r="BG1873" s="475"/>
      <c r="BH1873" s="395"/>
      <c r="BI1873" s="395" t="e">
        <f t="shared" si="1016"/>
        <v>#DIV/0!</v>
      </c>
    </row>
    <row r="1874" spans="1:61" s="358" customFormat="1" ht="19.2" x14ac:dyDescent="0.3">
      <c r="A1874" s="359" t="s">
        <v>1995</v>
      </c>
      <c r="B1874" s="537" t="s">
        <v>1636</v>
      </c>
      <c r="C1874" s="546" t="s">
        <v>1057</v>
      </c>
      <c r="D1874" s="360">
        <v>0.4</v>
      </c>
      <c r="E1874" s="393"/>
      <c r="F1874" s="337">
        <v>1</v>
      </c>
      <c r="G1874" s="497"/>
      <c r="H1874" s="544">
        <v>13.356</v>
      </c>
      <c r="I1874" s="394">
        <v>11.37547</v>
      </c>
      <c r="J1874" s="394">
        <v>10.45833</v>
      </c>
      <c r="K1874" s="394"/>
      <c r="L1874" s="394"/>
      <c r="M1874" s="394">
        <v>0</v>
      </c>
      <c r="N1874" s="394">
        <v>0</v>
      </c>
      <c r="O1874" s="394">
        <v>0.4617</v>
      </c>
      <c r="P1874" s="394">
        <v>10.45833</v>
      </c>
      <c r="Q1874" s="394"/>
      <c r="R1874" s="381" t="s">
        <v>167</v>
      </c>
      <c r="S1874" s="408" t="s">
        <v>175</v>
      </c>
      <c r="T1874" s="385"/>
      <c r="U1874" s="475">
        <v>794</v>
      </c>
      <c r="V1874" s="395"/>
      <c r="W1874" s="395">
        <f t="shared" si="1020"/>
        <v>13.356</v>
      </c>
      <c r="X1874" s="393"/>
      <c r="Y1874" s="337"/>
      <c r="Z1874" s="497"/>
      <c r="AA1874" s="544"/>
      <c r="AB1874" s="394"/>
      <c r="AC1874" s="394"/>
      <c r="AD1874" s="394"/>
      <c r="AE1874" s="394"/>
      <c r="AF1874" s="394"/>
      <c r="AG1874" s="394"/>
      <c r="AH1874" s="394"/>
      <c r="AI1874" s="394"/>
      <c r="AJ1874" s="394"/>
      <c r="AK1874" s="381"/>
      <c r="AL1874" s="408"/>
      <c r="AM1874" s="385"/>
      <c r="AN1874" s="475"/>
      <c r="AO1874" s="395"/>
      <c r="AP1874" s="395" t="e">
        <f t="shared" si="1019"/>
        <v>#DIV/0!</v>
      </c>
      <c r="AQ1874" s="393"/>
      <c r="AR1874" s="337"/>
      <c r="AS1874" s="497"/>
      <c r="AT1874" s="544"/>
      <c r="AU1874" s="394"/>
      <c r="AV1874" s="394"/>
      <c r="AW1874" s="394"/>
      <c r="AX1874" s="394"/>
      <c r="AY1874" s="394"/>
      <c r="AZ1874" s="394"/>
      <c r="BA1874" s="394"/>
      <c r="BB1874" s="394"/>
      <c r="BC1874" s="394"/>
      <c r="BD1874" s="381"/>
      <c r="BE1874" s="408"/>
      <c r="BF1874" s="385"/>
      <c r="BG1874" s="475"/>
      <c r="BH1874" s="395"/>
      <c r="BI1874" s="395" t="e">
        <f t="shared" si="1016"/>
        <v>#DIV/0!</v>
      </c>
    </row>
    <row r="1875" spans="1:61" s="358" customFormat="1" ht="19.2" x14ac:dyDescent="0.3">
      <c r="A1875" s="359" t="s">
        <v>2012</v>
      </c>
      <c r="B1875" s="537" t="s">
        <v>1637</v>
      </c>
      <c r="C1875" s="546" t="s">
        <v>1058</v>
      </c>
      <c r="D1875" s="360">
        <v>0.4</v>
      </c>
      <c r="E1875" s="393"/>
      <c r="F1875" s="337">
        <v>1</v>
      </c>
      <c r="G1875" s="497"/>
      <c r="H1875" s="544">
        <v>13.356</v>
      </c>
      <c r="I1875" s="394">
        <v>11.37547</v>
      </c>
      <c r="J1875" s="394">
        <v>10.45833</v>
      </c>
      <c r="K1875" s="394"/>
      <c r="L1875" s="394"/>
      <c r="M1875" s="394">
        <v>0</v>
      </c>
      <c r="N1875" s="394">
        <v>0</v>
      </c>
      <c r="O1875" s="394">
        <v>0.4617</v>
      </c>
      <c r="P1875" s="394">
        <v>10.45833</v>
      </c>
      <c r="Q1875" s="394"/>
      <c r="R1875" s="381" t="s">
        <v>167</v>
      </c>
      <c r="S1875" s="408" t="s">
        <v>175</v>
      </c>
      <c r="T1875" s="385"/>
      <c r="U1875" s="475">
        <v>795</v>
      </c>
      <c r="V1875" s="395"/>
      <c r="W1875" s="395">
        <f t="shared" si="1020"/>
        <v>13.356</v>
      </c>
      <c r="X1875" s="393"/>
      <c r="Y1875" s="337"/>
      <c r="Z1875" s="497"/>
      <c r="AA1875" s="544"/>
      <c r="AB1875" s="394"/>
      <c r="AC1875" s="394"/>
      <c r="AD1875" s="394"/>
      <c r="AE1875" s="394"/>
      <c r="AF1875" s="394"/>
      <c r="AG1875" s="394"/>
      <c r="AH1875" s="394"/>
      <c r="AI1875" s="394"/>
      <c r="AJ1875" s="394"/>
      <c r="AK1875" s="381"/>
      <c r="AL1875" s="408"/>
      <c r="AM1875" s="385"/>
      <c r="AN1875" s="475"/>
      <c r="AO1875" s="395"/>
      <c r="AP1875" s="395" t="e">
        <f t="shared" si="1019"/>
        <v>#DIV/0!</v>
      </c>
      <c r="AQ1875" s="393"/>
      <c r="AR1875" s="337"/>
      <c r="AS1875" s="497"/>
      <c r="AT1875" s="544"/>
      <c r="AU1875" s="394"/>
      <c r="AV1875" s="394"/>
      <c r="AW1875" s="394"/>
      <c r="AX1875" s="394"/>
      <c r="AY1875" s="394"/>
      <c r="AZ1875" s="394"/>
      <c r="BA1875" s="394"/>
      <c r="BB1875" s="394"/>
      <c r="BC1875" s="394"/>
      <c r="BD1875" s="381"/>
      <c r="BE1875" s="408"/>
      <c r="BF1875" s="385"/>
      <c r="BG1875" s="475"/>
      <c r="BH1875" s="395"/>
      <c r="BI1875" s="395" t="e">
        <f t="shared" si="1016"/>
        <v>#DIV/0!</v>
      </c>
    </row>
    <row r="1876" spans="1:61" s="358" customFormat="1" ht="19.2" x14ac:dyDescent="0.3">
      <c r="A1876" s="359" t="s">
        <v>2013</v>
      </c>
      <c r="B1876" s="537" t="s">
        <v>1638</v>
      </c>
      <c r="C1876" s="546" t="s">
        <v>1059</v>
      </c>
      <c r="D1876" s="360">
        <v>0.4</v>
      </c>
      <c r="E1876" s="393"/>
      <c r="F1876" s="337">
        <v>1</v>
      </c>
      <c r="G1876" s="497"/>
      <c r="H1876" s="544">
        <v>13.381</v>
      </c>
      <c r="I1876" s="394">
        <v>11.400790000000001</v>
      </c>
      <c r="J1876" s="394">
        <v>10.45833</v>
      </c>
      <c r="K1876" s="394"/>
      <c r="L1876" s="394"/>
      <c r="M1876" s="394">
        <v>0</v>
      </c>
      <c r="N1876" s="394">
        <v>0</v>
      </c>
      <c r="O1876" s="394">
        <v>0.4617</v>
      </c>
      <c r="P1876" s="394">
        <v>10.45833</v>
      </c>
      <c r="Q1876" s="394"/>
      <c r="R1876" s="381" t="s">
        <v>167</v>
      </c>
      <c r="S1876" s="408" t="s">
        <v>175</v>
      </c>
      <c r="T1876" s="385"/>
      <c r="U1876" s="475">
        <v>796</v>
      </c>
      <c r="V1876" s="395"/>
      <c r="W1876" s="395">
        <f t="shared" si="1020"/>
        <v>13.381</v>
      </c>
      <c r="X1876" s="393"/>
      <c r="Y1876" s="337"/>
      <c r="Z1876" s="497"/>
      <c r="AA1876" s="544"/>
      <c r="AB1876" s="394"/>
      <c r="AC1876" s="394"/>
      <c r="AD1876" s="394"/>
      <c r="AE1876" s="394"/>
      <c r="AF1876" s="394"/>
      <c r="AG1876" s="394"/>
      <c r="AH1876" s="394"/>
      <c r="AI1876" s="394"/>
      <c r="AJ1876" s="394"/>
      <c r="AK1876" s="381"/>
      <c r="AL1876" s="408"/>
      <c r="AM1876" s="385"/>
      <c r="AN1876" s="475"/>
      <c r="AO1876" s="395"/>
      <c r="AP1876" s="395" t="e">
        <f t="shared" si="1019"/>
        <v>#DIV/0!</v>
      </c>
      <c r="AQ1876" s="393"/>
      <c r="AR1876" s="337"/>
      <c r="AS1876" s="497"/>
      <c r="AT1876" s="544"/>
      <c r="AU1876" s="394"/>
      <c r="AV1876" s="394"/>
      <c r="AW1876" s="394"/>
      <c r="AX1876" s="394"/>
      <c r="AY1876" s="394"/>
      <c r="AZ1876" s="394"/>
      <c r="BA1876" s="394"/>
      <c r="BB1876" s="394"/>
      <c r="BC1876" s="394"/>
      <c r="BD1876" s="381"/>
      <c r="BE1876" s="408"/>
      <c r="BF1876" s="385"/>
      <c r="BG1876" s="475"/>
      <c r="BH1876" s="395"/>
      <c r="BI1876" s="395" t="e">
        <f t="shared" si="1016"/>
        <v>#DIV/0!</v>
      </c>
    </row>
    <row r="1877" spans="1:61" s="358" customFormat="1" ht="19.2" x14ac:dyDescent="0.3">
      <c r="A1877" s="359" t="s">
        <v>2014</v>
      </c>
      <c r="B1877" s="537" t="s">
        <v>615</v>
      </c>
      <c r="C1877" s="546" t="s">
        <v>489</v>
      </c>
      <c r="D1877" s="360">
        <v>0.4</v>
      </c>
      <c r="E1877" s="393"/>
      <c r="F1877" s="337">
        <v>1</v>
      </c>
      <c r="G1877" s="497"/>
      <c r="H1877" s="544">
        <v>13.381</v>
      </c>
      <c r="I1877" s="394">
        <v>11.400790000000001</v>
      </c>
      <c r="J1877" s="394">
        <v>10.45833</v>
      </c>
      <c r="K1877" s="394"/>
      <c r="L1877" s="394"/>
      <c r="M1877" s="394">
        <v>0</v>
      </c>
      <c r="N1877" s="394">
        <v>0</v>
      </c>
      <c r="O1877" s="394">
        <v>0.4617</v>
      </c>
      <c r="P1877" s="394">
        <v>10.45833</v>
      </c>
      <c r="Q1877" s="394"/>
      <c r="R1877" s="381" t="s">
        <v>167</v>
      </c>
      <c r="S1877" s="408" t="s">
        <v>175</v>
      </c>
      <c r="T1877" s="385"/>
      <c r="U1877" s="475">
        <v>797</v>
      </c>
      <c r="V1877" s="395"/>
      <c r="W1877" s="395">
        <f t="shared" si="1020"/>
        <v>13.381</v>
      </c>
      <c r="X1877" s="393"/>
      <c r="Y1877" s="337"/>
      <c r="Z1877" s="497"/>
      <c r="AA1877" s="544"/>
      <c r="AB1877" s="394"/>
      <c r="AC1877" s="394"/>
      <c r="AD1877" s="394"/>
      <c r="AE1877" s="394"/>
      <c r="AF1877" s="394"/>
      <c r="AG1877" s="394"/>
      <c r="AH1877" s="394"/>
      <c r="AI1877" s="394"/>
      <c r="AJ1877" s="394"/>
      <c r="AK1877" s="381"/>
      <c r="AL1877" s="408"/>
      <c r="AM1877" s="385"/>
      <c r="AN1877" s="475"/>
      <c r="AO1877" s="395"/>
      <c r="AP1877" s="395" t="e">
        <f t="shared" si="1019"/>
        <v>#DIV/0!</v>
      </c>
      <c r="AQ1877" s="393"/>
      <c r="AR1877" s="337"/>
      <c r="AS1877" s="497"/>
      <c r="AT1877" s="544"/>
      <c r="AU1877" s="394"/>
      <c r="AV1877" s="394"/>
      <c r="AW1877" s="394"/>
      <c r="AX1877" s="394"/>
      <c r="AY1877" s="394"/>
      <c r="AZ1877" s="394"/>
      <c r="BA1877" s="394"/>
      <c r="BB1877" s="394"/>
      <c r="BC1877" s="394"/>
      <c r="BD1877" s="381"/>
      <c r="BE1877" s="408"/>
      <c r="BF1877" s="385"/>
      <c r="BG1877" s="475"/>
      <c r="BH1877" s="395"/>
      <c r="BI1877" s="395" t="e">
        <f t="shared" si="1016"/>
        <v>#DIV/0!</v>
      </c>
    </row>
    <row r="1878" spans="1:61" s="358" customFormat="1" ht="19.2" x14ac:dyDescent="0.3">
      <c r="A1878" s="359" t="s">
        <v>2015</v>
      </c>
      <c r="B1878" s="537" t="s">
        <v>1639</v>
      </c>
      <c r="C1878" s="546" t="s">
        <v>1060</v>
      </c>
      <c r="D1878" s="360">
        <v>0.4</v>
      </c>
      <c r="E1878" s="393"/>
      <c r="F1878" s="337">
        <v>1</v>
      </c>
      <c r="G1878" s="497"/>
      <c r="H1878" s="544">
        <v>13.381</v>
      </c>
      <c r="I1878" s="394">
        <v>11.400790000000001</v>
      </c>
      <c r="J1878" s="394">
        <v>10.45833</v>
      </c>
      <c r="K1878" s="394"/>
      <c r="L1878" s="394"/>
      <c r="M1878" s="394">
        <v>0</v>
      </c>
      <c r="N1878" s="394">
        <v>0</v>
      </c>
      <c r="O1878" s="394">
        <v>0.4617</v>
      </c>
      <c r="P1878" s="394">
        <v>10.45833</v>
      </c>
      <c r="Q1878" s="394"/>
      <c r="R1878" s="381" t="s">
        <v>167</v>
      </c>
      <c r="S1878" s="408" t="s">
        <v>175</v>
      </c>
      <c r="T1878" s="385"/>
      <c r="U1878" s="475">
        <v>798</v>
      </c>
      <c r="V1878" s="395"/>
      <c r="W1878" s="395">
        <f t="shared" si="1020"/>
        <v>13.381</v>
      </c>
      <c r="X1878" s="393"/>
      <c r="Y1878" s="337"/>
      <c r="Z1878" s="497"/>
      <c r="AA1878" s="544"/>
      <c r="AB1878" s="394"/>
      <c r="AC1878" s="394"/>
      <c r="AD1878" s="394"/>
      <c r="AE1878" s="394"/>
      <c r="AF1878" s="394"/>
      <c r="AG1878" s="394"/>
      <c r="AH1878" s="394"/>
      <c r="AI1878" s="394"/>
      <c r="AJ1878" s="394"/>
      <c r="AK1878" s="381"/>
      <c r="AL1878" s="408"/>
      <c r="AM1878" s="385"/>
      <c r="AN1878" s="475"/>
      <c r="AO1878" s="395"/>
      <c r="AP1878" s="395" t="e">
        <f t="shared" si="1019"/>
        <v>#DIV/0!</v>
      </c>
      <c r="AQ1878" s="393"/>
      <c r="AR1878" s="337"/>
      <c r="AS1878" s="497"/>
      <c r="AT1878" s="544"/>
      <c r="AU1878" s="394"/>
      <c r="AV1878" s="394"/>
      <c r="AW1878" s="394"/>
      <c r="AX1878" s="394"/>
      <c r="AY1878" s="394"/>
      <c r="AZ1878" s="394"/>
      <c r="BA1878" s="394"/>
      <c r="BB1878" s="394"/>
      <c r="BC1878" s="394"/>
      <c r="BD1878" s="381"/>
      <c r="BE1878" s="408"/>
      <c r="BF1878" s="385"/>
      <c r="BG1878" s="475"/>
      <c r="BH1878" s="395"/>
      <c r="BI1878" s="395" t="e">
        <f t="shared" si="1016"/>
        <v>#DIV/0!</v>
      </c>
    </row>
    <row r="1879" spans="1:61" s="358" customFormat="1" ht="19.2" x14ac:dyDescent="0.3">
      <c r="A1879" s="359" t="s">
        <v>2016</v>
      </c>
      <c r="B1879" s="537" t="s">
        <v>1640</v>
      </c>
      <c r="C1879" s="546" t="s">
        <v>1061</v>
      </c>
      <c r="D1879" s="360">
        <v>0.4</v>
      </c>
      <c r="E1879" s="393"/>
      <c r="F1879" s="337">
        <v>1</v>
      </c>
      <c r="G1879" s="497"/>
      <c r="H1879" s="544">
        <v>13.381</v>
      </c>
      <c r="I1879" s="394">
        <v>11.400790000000001</v>
      </c>
      <c r="J1879" s="394">
        <v>10.45833</v>
      </c>
      <c r="K1879" s="394"/>
      <c r="L1879" s="394"/>
      <c r="M1879" s="394">
        <v>0</v>
      </c>
      <c r="N1879" s="394">
        <v>0</v>
      </c>
      <c r="O1879" s="394">
        <v>0.4617</v>
      </c>
      <c r="P1879" s="394">
        <v>10.45833</v>
      </c>
      <c r="Q1879" s="394"/>
      <c r="R1879" s="381" t="s">
        <v>167</v>
      </c>
      <c r="S1879" s="408" t="s">
        <v>175</v>
      </c>
      <c r="T1879" s="385"/>
      <c r="U1879" s="475">
        <v>799</v>
      </c>
      <c r="V1879" s="395"/>
      <c r="W1879" s="395">
        <f t="shared" si="1020"/>
        <v>13.381</v>
      </c>
      <c r="X1879" s="393"/>
      <c r="Y1879" s="337"/>
      <c r="Z1879" s="497"/>
      <c r="AA1879" s="544"/>
      <c r="AB1879" s="394"/>
      <c r="AC1879" s="394"/>
      <c r="AD1879" s="394"/>
      <c r="AE1879" s="394"/>
      <c r="AF1879" s="394"/>
      <c r="AG1879" s="394"/>
      <c r="AH1879" s="394"/>
      <c r="AI1879" s="394"/>
      <c r="AJ1879" s="394"/>
      <c r="AK1879" s="381"/>
      <c r="AL1879" s="408"/>
      <c r="AM1879" s="385"/>
      <c r="AN1879" s="475"/>
      <c r="AO1879" s="395"/>
      <c r="AP1879" s="395" t="e">
        <f t="shared" si="1019"/>
        <v>#DIV/0!</v>
      </c>
      <c r="AQ1879" s="393"/>
      <c r="AR1879" s="337"/>
      <c r="AS1879" s="497"/>
      <c r="AT1879" s="544"/>
      <c r="AU1879" s="394"/>
      <c r="AV1879" s="394"/>
      <c r="AW1879" s="394"/>
      <c r="AX1879" s="394"/>
      <c r="AY1879" s="394"/>
      <c r="AZ1879" s="394"/>
      <c r="BA1879" s="394"/>
      <c r="BB1879" s="394"/>
      <c r="BC1879" s="394"/>
      <c r="BD1879" s="381"/>
      <c r="BE1879" s="408"/>
      <c r="BF1879" s="385"/>
      <c r="BG1879" s="475"/>
      <c r="BH1879" s="395"/>
      <c r="BI1879" s="395" t="e">
        <f t="shared" ref="BI1879:BI1942" si="1021">AT1879/AR1879</f>
        <v>#DIV/0!</v>
      </c>
    </row>
    <row r="1880" spans="1:61" s="358" customFormat="1" ht="19.2" x14ac:dyDescent="0.3">
      <c r="A1880" s="359" t="s">
        <v>2017</v>
      </c>
      <c r="B1880" s="537" t="s">
        <v>1641</v>
      </c>
      <c r="C1880" s="546" t="s">
        <v>1062</v>
      </c>
      <c r="D1880" s="360">
        <v>0.4</v>
      </c>
      <c r="E1880" s="393"/>
      <c r="F1880" s="337">
        <v>1</v>
      </c>
      <c r="G1880" s="497"/>
      <c r="H1880" s="544">
        <v>13.381</v>
      </c>
      <c r="I1880" s="394">
        <v>11.400790000000001</v>
      </c>
      <c r="J1880" s="394">
        <v>10.45833</v>
      </c>
      <c r="K1880" s="394"/>
      <c r="L1880" s="394"/>
      <c r="M1880" s="394">
        <v>0</v>
      </c>
      <c r="N1880" s="394">
        <v>0</v>
      </c>
      <c r="O1880" s="394">
        <v>0.4617</v>
      </c>
      <c r="P1880" s="394">
        <v>10.45833</v>
      </c>
      <c r="Q1880" s="394"/>
      <c r="R1880" s="381" t="s">
        <v>167</v>
      </c>
      <c r="S1880" s="408" t="s">
        <v>175</v>
      </c>
      <c r="T1880" s="385"/>
      <c r="U1880" s="475">
        <v>800</v>
      </c>
      <c r="V1880" s="395"/>
      <c r="W1880" s="395">
        <f t="shared" si="1020"/>
        <v>13.381</v>
      </c>
      <c r="X1880" s="393"/>
      <c r="Y1880" s="337"/>
      <c r="Z1880" s="497"/>
      <c r="AA1880" s="544"/>
      <c r="AB1880" s="394"/>
      <c r="AC1880" s="394"/>
      <c r="AD1880" s="394"/>
      <c r="AE1880" s="394"/>
      <c r="AF1880" s="394"/>
      <c r="AG1880" s="394"/>
      <c r="AH1880" s="394"/>
      <c r="AI1880" s="394"/>
      <c r="AJ1880" s="394"/>
      <c r="AK1880" s="381"/>
      <c r="AL1880" s="408"/>
      <c r="AM1880" s="385"/>
      <c r="AN1880" s="475"/>
      <c r="AO1880" s="395"/>
      <c r="AP1880" s="395" t="e">
        <f t="shared" si="1019"/>
        <v>#DIV/0!</v>
      </c>
      <c r="AQ1880" s="393"/>
      <c r="AR1880" s="337"/>
      <c r="AS1880" s="497"/>
      <c r="AT1880" s="544"/>
      <c r="AU1880" s="394"/>
      <c r="AV1880" s="394"/>
      <c r="AW1880" s="394"/>
      <c r="AX1880" s="394"/>
      <c r="AY1880" s="394"/>
      <c r="AZ1880" s="394"/>
      <c r="BA1880" s="394"/>
      <c r="BB1880" s="394"/>
      <c r="BC1880" s="394"/>
      <c r="BD1880" s="381"/>
      <c r="BE1880" s="408"/>
      <c r="BF1880" s="385"/>
      <c r="BG1880" s="475"/>
      <c r="BH1880" s="395"/>
      <c r="BI1880" s="395" t="e">
        <f t="shared" si="1021"/>
        <v>#DIV/0!</v>
      </c>
    </row>
    <row r="1881" spans="1:61" s="358" customFormat="1" ht="19.2" x14ac:dyDescent="0.3">
      <c r="A1881" s="359" t="s">
        <v>2018</v>
      </c>
      <c r="B1881" s="537" t="s">
        <v>1642</v>
      </c>
      <c r="C1881" s="546" t="s">
        <v>1063</v>
      </c>
      <c r="D1881" s="360">
        <v>0.4</v>
      </c>
      <c r="E1881" s="393"/>
      <c r="F1881" s="337">
        <v>1</v>
      </c>
      <c r="G1881" s="497"/>
      <c r="H1881" s="544">
        <v>13.381</v>
      </c>
      <c r="I1881" s="394">
        <v>11.400790000000001</v>
      </c>
      <c r="J1881" s="394">
        <v>10.45833</v>
      </c>
      <c r="K1881" s="394"/>
      <c r="L1881" s="394"/>
      <c r="M1881" s="394">
        <v>0</v>
      </c>
      <c r="N1881" s="394">
        <v>0</v>
      </c>
      <c r="O1881" s="394">
        <v>0.4617</v>
      </c>
      <c r="P1881" s="394">
        <v>10.45833</v>
      </c>
      <c r="Q1881" s="394"/>
      <c r="R1881" s="381" t="s">
        <v>167</v>
      </c>
      <c r="S1881" s="408" t="s">
        <v>175</v>
      </c>
      <c r="T1881" s="385"/>
      <c r="U1881" s="475">
        <v>801</v>
      </c>
      <c r="V1881" s="395"/>
      <c r="W1881" s="395">
        <f t="shared" si="1020"/>
        <v>13.381</v>
      </c>
      <c r="X1881" s="393"/>
      <c r="Y1881" s="337"/>
      <c r="Z1881" s="497"/>
      <c r="AA1881" s="544"/>
      <c r="AB1881" s="394"/>
      <c r="AC1881" s="394"/>
      <c r="AD1881" s="394"/>
      <c r="AE1881" s="394"/>
      <c r="AF1881" s="394"/>
      <c r="AG1881" s="394"/>
      <c r="AH1881" s="394"/>
      <c r="AI1881" s="394"/>
      <c r="AJ1881" s="394"/>
      <c r="AK1881" s="381"/>
      <c r="AL1881" s="408"/>
      <c r="AM1881" s="385"/>
      <c r="AN1881" s="475"/>
      <c r="AO1881" s="395"/>
      <c r="AP1881" s="395" t="e">
        <f t="shared" si="1019"/>
        <v>#DIV/0!</v>
      </c>
      <c r="AQ1881" s="393"/>
      <c r="AR1881" s="337"/>
      <c r="AS1881" s="497"/>
      <c r="AT1881" s="544"/>
      <c r="AU1881" s="394"/>
      <c r="AV1881" s="394"/>
      <c r="AW1881" s="394"/>
      <c r="AX1881" s="394"/>
      <c r="AY1881" s="394"/>
      <c r="AZ1881" s="394"/>
      <c r="BA1881" s="394"/>
      <c r="BB1881" s="394"/>
      <c r="BC1881" s="394"/>
      <c r="BD1881" s="381"/>
      <c r="BE1881" s="408"/>
      <c r="BF1881" s="385"/>
      <c r="BG1881" s="475"/>
      <c r="BH1881" s="395"/>
      <c r="BI1881" s="395" t="e">
        <f t="shared" si="1021"/>
        <v>#DIV/0!</v>
      </c>
    </row>
    <row r="1882" spans="1:61" s="358" customFormat="1" ht="19.2" x14ac:dyDescent="0.3">
      <c r="A1882" s="359" t="s">
        <v>2019</v>
      </c>
      <c r="B1882" s="537" t="s">
        <v>611</v>
      </c>
      <c r="C1882" s="546" t="s">
        <v>485</v>
      </c>
      <c r="D1882" s="360">
        <v>0.4</v>
      </c>
      <c r="E1882" s="393"/>
      <c r="F1882" s="337">
        <v>1</v>
      </c>
      <c r="G1882" s="497"/>
      <c r="H1882" s="544">
        <v>13.381</v>
      </c>
      <c r="I1882" s="394">
        <v>11.400790000000001</v>
      </c>
      <c r="J1882" s="394">
        <v>10.45833</v>
      </c>
      <c r="K1882" s="394"/>
      <c r="L1882" s="394"/>
      <c r="M1882" s="394">
        <v>0</v>
      </c>
      <c r="N1882" s="394">
        <v>0</v>
      </c>
      <c r="O1882" s="394">
        <v>0.4617</v>
      </c>
      <c r="P1882" s="394">
        <v>10.45833</v>
      </c>
      <c r="Q1882" s="394"/>
      <c r="R1882" s="381" t="s">
        <v>167</v>
      </c>
      <c r="S1882" s="408" t="s">
        <v>175</v>
      </c>
      <c r="T1882" s="385"/>
      <c r="U1882" s="475">
        <v>802</v>
      </c>
      <c r="V1882" s="395"/>
      <c r="W1882" s="395">
        <f t="shared" si="1020"/>
        <v>13.381</v>
      </c>
      <c r="X1882" s="393"/>
      <c r="Y1882" s="337"/>
      <c r="Z1882" s="497"/>
      <c r="AA1882" s="544"/>
      <c r="AB1882" s="394"/>
      <c r="AC1882" s="394"/>
      <c r="AD1882" s="394"/>
      <c r="AE1882" s="394"/>
      <c r="AF1882" s="394"/>
      <c r="AG1882" s="394"/>
      <c r="AH1882" s="394"/>
      <c r="AI1882" s="394"/>
      <c r="AJ1882" s="394"/>
      <c r="AK1882" s="381"/>
      <c r="AL1882" s="408"/>
      <c r="AM1882" s="385"/>
      <c r="AN1882" s="475"/>
      <c r="AO1882" s="395"/>
      <c r="AP1882" s="395" t="e">
        <f t="shared" si="1019"/>
        <v>#DIV/0!</v>
      </c>
      <c r="AQ1882" s="393"/>
      <c r="AR1882" s="337"/>
      <c r="AS1882" s="497"/>
      <c r="AT1882" s="544"/>
      <c r="AU1882" s="394"/>
      <c r="AV1882" s="394"/>
      <c r="AW1882" s="394"/>
      <c r="AX1882" s="394"/>
      <c r="AY1882" s="394"/>
      <c r="AZ1882" s="394"/>
      <c r="BA1882" s="394"/>
      <c r="BB1882" s="394"/>
      <c r="BC1882" s="394"/>
      <c r="BD1882" s="381"/>
      <c r="BE1882" s="408"/>
      <c r="BF1882" s="385"/>
      <c r="BG1882" s="475"/>
      <c r="BH1882" s="395"/>
      <c r="BI1882" s="395" t="e">
        <f t="shared" si="1021"/>
        <v>#DIV/0!</v>
      </c>
    </row>
    <row r="1883" spans="1:61" s="358" customFormat="1" ht="19.2" x14ac:dyDescent="0.3">
      <c r="A1883" s="359" t="s">
        <v>2036</v>
      </c>
      <c r="B1883" s="537" t="s">
        <v>1643</v>
      </c>
      <c r="C1883" s="546" t="s">
        <v>1064</v>
      </c>
      <c r="D1883" s="360">
        <v>0.4</v>
      </c>
      <c r="E1883" s="393"/>
      <c r="F1883" s="337">
        <v>1</v>
      </c>
      <c r="G1883" s="497"/>
      <c r="H1883" s="544">
        <v>13.381</v>
      </c>
      <c r="I1883" s="394">
        <v>11.400790000000001</v>
      </c>
      <c r="J1883" s="394">
        <v>10.45833</v>
      </c>
      <c r="K1883" s="394"/>
      <c r="L1883" s="394"/>
      <c r="M1883" s="394">
        <v>0</v>
      </c>
      <c r="N1883" s="394">
        <v>0</v>
      </c>
      <c r="O1883" s="394">
        <v>0.4617</v>
      </c>
      <c r="P1883" s="394">
        <v>10.45833</v>
      </c>
      <c r="Q1883" s="394"/>
      <c r="R1883" s="381" t="s">
        <v>167</v>
      </c>
      <c r="S1883" s="408" t="s">
        <v>175</v>
      </c>
      <c r="T1883" s="385"/>
      <c r="U1883" s="475">
        <v>803</v>
      </c>
      <c r="V1883" s="395"/>
      <c r="W1883" s="395">
        <f t="shared" si="1020"/>
        <v>13.381</v>
      </c>
      <c r="X1883" s="393"/>
      <c r="Y1883" s="337"/>
      <c r="Z1883" s="497"/>
      <c r="AA1883" s="544"/>
      <c r="AB1883" s="394"/>
      <c r="AC1883" s="394"/>
      <c r="AD1883" s="394"/>
      <c r="AE1883" s="394"/>
      <c r="AF1883" s="394"/>
      <c r="AG1883" s="394"/>
      <c r="AH1883" s="394"/>
      <c r="AI1883" s="394"/>
      <c r="AJ1883" s="394"/>
      <c r="AK1883" s="381"/>
      <c r="AL1883" s="408"/>
      <c r="AM1883" s="385"/>
      <c r="AN1883" s="475"/>
      <c r="AO1883" s="395"/>
      <c r="AP1883" s="395" t="e">
        <f t="shared" si="1019"/>
        <v>#DIV/0!</v>
      </c>
      <c r="AQ1883" s="393"/>
      <c r="AR1883" s="337"/>
      <c r="AS1883" s="497"/>
      <c r="AT1883" s="544"/>
      <c r="AU1883" s="394"/>
      <c r="AV1883" s="394"/>
      <c r="AW1883" s="394"/>
      <c r="AX1883" s="394"/>
      <c r="AY1883" s="394"/>
      <c r="AZ1883" s="394"/>
      <c r="BA1883" s="394"/>
      <c r="BB1883" s="394"/>
      <c r="BC1883" s="394"/>
      <c r="BD1883" s="381"/>
      <c r="BE1883" s="408"/>
      <c r="BF1883" s="385"/>
      <c r="BG1883" s="475"/>
      <c r="BH1883" s="395"/>
      <c r="BI1883" s="395" t="e">
        <f t="shared" si="1021"/>
        <v>#DIV/0!</v>
      </c>
    </row>
    <row r="1884" spans="1:61" s="358" customFormat="1" ht="19.2" x14ac:dyDescent="0.3">
      <c r="A1884" s="359" t="s">
        <v>2021</v>
      </c>
      <c r="B1884" s="537" t="s">
        <v>1644</v>
      </c>
      <c r="C1884" s="546" t="s">
        <v>1065</v>
      </c>
      <c r="D1884" s="360">
        <v>0.4</v>
      </c>
      <c r="E1884" s="393"/>
      <c r="F1884" s="337">
        <v>1</v>
      </c>
      <c r="G1884" s="497"/>
      <c r="H1884" s="544">
        <v>13.381</v>
      </c>
      <c r="I1884" s="394">
        <v>11.400790000000001</v>
      </c>
      <c r="J1884" s="394">
        <v>10.45833</v>
      </c>
      <c r="K1884" s="394"/>
      <c r="L1884" s="394"/>
      <c r="M1884" s="394">
        <v>0</v>
      </c>
      <c r="N1884" s="394">
        <v>0</v>
      </c>
      <c r="O1884" s="394">
        <v>0.4617</v>
      </c>
      <c r="P1884" s="394">
        <v>10.45833</v>
      </c>
      <c r="Q1884" s="394"/>
      <c r="R1884" s="381" t="s">
        <v>167</v>
      </c>
      <c r="S1884" s="408" t="s">
        <v>175</v>
      </c>
      <c r="T1884" s="385"/>
      <c r="U1884" s="475">
        <v>804</v>
      </c>
      <c r="V1884" s="395"/>
      <c r="W1884" s="395">
        <f t="shared" si="1020"/>
        <v>13.381</v>
      </c>
      <c r="X1884" s="393"/>
      <c r="Y1884" s="337"/>
      <c r="Z1884" s="497"/>
      <c r="AA1884" s="544"/>
      <c r="AB1884" s="394"/>
      <c r="AC1884" s="394"/>
      <c r="AD1884" s="394"/>
      <c r="AE1884" s="394"/>
      <c r="AF1884" s="394"/>
      <c r="AG1884" s="394"/>
      <c r="AH1884" s="394"/>
      <c r="AI1884" s="394"/>
      <c r="AJ1884" s="394"/>
      <c r="AK1884" s="381"/>
      <c r="AL1884" s="408"/>
      <c r="AM1884" s="385"/>
      <c r="AN1884" s="475"/>
      <c r="AO1884" s="395"/>
      <c r="AP1884" s="395" t="e">
        <f t="shared" si="1019"/>
        <v>#DIV/0!</v>
      </c>
      <c r="AQ1884" s="393"/>
      <c r="AR1884" s="337"/>
      <c r="AS1884" s="497"/>
      <c r="AT1884" s="544"/>
      <c r="AU1884" s="394"/>
      <c r="AV1884" s="394"/>
      <c r="AW1884" s="394"/>
      <c r="AX1884" s="394"/>
      <c r="AY1884" s="394"/>
      <c r="AZ1884" s="394"/>
      <c r="BA1884" s="394"/>
      <c r="BB1884" s="394"/>
      <c r="BC1884" s="394"/>
      <c r="BD1884" s="381"/>
      <c r="BE1884" s="408"/>
      <c r="BF1884" s="385"/>
      <c r="BG1884" s="475"/>
      <c r="BH1884" s="395"/>
      <c r="BI1884" s="395" t="e">
        <f t="shared" si="1021"/>
        <v>#DIV/0!</v>
      </c>
    </row>
    <row r="1885" spans="1:61" s="358" customFormat="1" ht="19.2" x14ac:dyDescent="0.3">
      <c r="A1885" s="359" t="s">
        <v>2022</v>
      </c>
      <c r="B1885" s="537" t="s">
        <v>1645</v>
      </c>
      <c r="C1885" s="546" t="s">
        <v>1066</v>
      </c>
      <c r="D1885" s="360">
        <v>0.4</v>
      </c>
      <c r="E1885" s="393"/>
      <c r="F1885" s="337">
        <v>1</v>
      </c>
      <c r="G1885" s="497"/>
      <c r="H1885" s="544">
        <v>13.381</v>
      </c>
      <c r="I1885" s="394">
        <v>11.400790000000001</v>
      </c>
      <c r="J1885" s="394">
        <v>10.45833</v>
      </c>
      <c r="K1885" s="394"/>
      <c r="L1885" s="394"/>
      <c r="M1885" s="394">
        <v>0</v>
      </c>
      <c r="N1885" s="394">
        <v>0</v>
      </c>
      <c r="O1885" s="394">
        <v>0.4617</v>
      </c>
      <c r="P1885" s="394">
        <v>10.45833</v>
      </c>
      <c r="Q1885" s="394"/>
      <c r="R1885" s="381" t="s">
        <v>167</v>
      </c>
      <c r="S1885" s="408" t="s">
        <v>175</v>
      </c>
      <c r="T1885" s="385"/>
      <c r="U1885" s="475">
        <v>805</v>
      </c>
      <c r="V1885" s="395"/>
      <c r="W1885" s="395">
        <f t="shared" si="1020"/>
        <v>13.381</v>
      </c>
      <c r="X1885" s="393"/>
      <c r="Y1885" s="337"/>
      <c r="Z1885" s="497"/>
      <c r="AA1885" s="544"/>
      <c r="AB1885" s="394"/>
      <c r="AC1885" s="394"/>
      <c r="AD1885" s="394"/>
      <c r="AE1885" s="394"/>
      <c r="AF1885" s="394"/>
      <c r="AG1885" s="394"/>
      <c r="AH1885" s="394"/>
      <c r="AI1885" s="394"/>
      <c r="AJ1885" s="394"/>
      <c r="AK1885" s="381"/>
      <c r="AL1885" s="408"/>
      <c r="AM1885" s="385"/>
      <c r="AN1885" s="475"/>
      <c r="AO1885" s="395"/>
      <c r="AP1885" s="395" t="e">
        <f t="shared" si="1019"/>
        <v>#DIV/0!</v>
      </c>
      <c r="AQ1885" s="393"/>
      <c r="AR1885" s="337"/>
      <c r="AS1885" s="497"/>
      <c r="AT1885" s="544"/>
      <c r="AU1885" s="394"/>
      <c r="AV1885" s="394"/>
      <c r="AW1885" s="394"/>
      <c r="AX1885" s="394"/>
      <c r="AY1885" s="394"/>
      <c r="AZ1885" s="394"/>
      <c r="BA1885" s="394"/>
      <c r="BB1885" s="394"/>
      <c r="BC1885" s="394"/>
      <c r="BD1885" s="381"/>
      <c r="BE1885" s="408"/>
      <c r="BF1885" s="385"/>
      <c r="BG1885" s="475"/>
      <c r="BH1885" s="395"/>
      <c r="BI1885" s="395" t="e">
        <f t="shared" si="1021"/>
        <v>#DIV/0!</v>
      </c>
    </row>
    <row r="1886" spans="1:61" s="358" customFormat="1" ht="19.2" x14ac:dyDescent="0.3">
      <c r="A1886" s="359" t="s">
        <v>2023</v>
      </c>
      <c r="B1886" s="537" t="s">
        <v>604</v>
      </c>
      <c r="C1886" s="546" t="s">
        <v>477</v>
      </c>
      <c r="D1886" s="360">
        <v>0.4</v>
      </c>
      <c r="E1886" s="393"/>
      <c r="F1886" s="337">
        <v>1</v>
      </c>
      <c r="G1886" s="497"/>
      <c r="H1886" s="544">
        <v>13.381</v>
      </c>
      <c r="I1886" s="394">
        <v>11.400790000000001</v>
      </c>
      <c r="J1886" s="394">
        <v>10.45833</v>
      </c>
      <c r="K1886" s="394"/>
      <c r="L1886" s="394"/>
      <c r="M1886" s="394">
        <v>0</v>
      </c>
      <c r="N1886" s="394">
        <v>0</v>
      </c>
      <c r="O1886" s="394">
        <v>0.4617</v>
      </c>
      <c r="P1886" s="394">
        <v>10.45833</v>
      </c>
      <c r="Q1886" s="394"/>
      <c r="R1886" s="381" t="s">
        <v>167</v>
      </c>
      <c r="S1886" s="408" t="s">
        <v>175</v>
      </c>
      <c r="T1886" s="385"/>
      <c r="U1886" s="475">
        <v>806</v>
      </c>
      <c r="V1886" s="395"/>
      <c r="W1886" s="395">
        <f t="shared" si="1020"/>
        <v>13.381</v>
      </c>
      <c r="X1886" s="393"/>
      <c r="Y1886" s="337"/>
      <c r="Z1886" s="497"/>
      <c r="AA1886" s="544"/>
      <c r="AB1886" s="394"/>
      <c r="AC1886" s="394"/>
      <c r="AD1886" s="394"/>
      <c r="AE1886" s="394"/>
      <c r="AF1886" s="394"/>
      <c r="AG1886" s="394"/>
      <c r="AH1886" s="394"/>
      <c r="AI1886" s="394"/>
      <c r="AJ1886" s="394"/>
      <c r="AK1886" s="381"/>
      <c r="AL1886" s="408"/>
      <c r="AM1886" s="385"/>
      <c r="AN1886" s="475"/>
      <c r="AO1886" s="395"/>
      <c r="AP1886" s="395" t="e">
        <f t="shared" si="1019"/>
        <v>#DIV/0!</v>
      </c>
      <c r="AQ1886" s="393"/>
      <c r="AR1886" s="337"/>
      <c r="AS1886" s="497"/>
      <c r="AT1886" s="544"/>
      <c r="AU1886" s="394"/>
      <c r="AV1886" s="394"/>
      <c r="AW1886" s="394"/>
      <c r="AX1886" s="394"/>
      <c r="AY1886" s="394"/>
      <c r="AZ1886" s="394"/>
      <c r="BA1886" s="394"/>
      <c r="BB1886" s="394"/>
      <c r="BC1886" s="394"/>
      <c r="BD1886" s="381"/>
      <c r="BE1886" s="408"/>
      <c r="BF1886" s="385"/>
      <c r="BG1886" s="475"/>
      <c r="BH1886" s="395"/>
      <c r="BI1886" s="395" t="e">
        <f t="shared" si="1021"/>
        <v>#DIV/0!</v>
      </c>
    </row>
    <row r="1887" spans="1:61" s="358" customFormat="1" ht="19.2" x14ac:dyDescent="0.3">
      <c r="A1887" s="359" t="s">
        <v>2040</v>
      </c>
      <c r="B1887" s="537" t="s">
        <v>1646</v>
      </c>
      <c r="C1887" s="546" t="s">
        <v>1067</v>
      </c>
      <c r="D1887" s="360">
        <v>0.4</v>
      </c>
      <c r="E1887" s="393"/>
      <c r="F1887" s="337">
        <v>1</v>
      </c>
      <c r="G1887" s="497"/>
      <c r="H1887" s="544">
        <v>13.336</v>
      </c>
      <c r="I1887" s="394">
        <v>11.355980000000001</v>
      </c>
      <c r="J1887" s="394">
        <v>10.45834</v>
      </c>
      <c r="K1887" s="394"/>
      <c r="L1887" s="394"/>
      <c r="M1887" s="394">
        <v>0</v>
      </c>
      <c r="N1887" s="394">
        <v>0</v>
      </c>
      <c r="O1887" s="394">
        <v>0.4617</v>
      </c>
      <c r="P1887" s="394">
        <v>10.45834</v>
      </c>
      <c r="Q1887" s="394"/>
      <c r="R1887" s="381" t="s">
        <v>167</v>
      </c>
      <c r="S1887" s="408" t="s">
        <v>175</v>
      </c>
      <c r="T1887" s="385"/>
      <c r="U1887" s="475">
        <v>807</v>
      </c>
      <c r="V1887" s="395"/>
      <c r="W1887" s="395">
        <f t="shared" si="1020"/>
        <v>13.336</v>
      </c>
      <c r="X1887" s="393"/>
      <c r="Y1887" s="337"/>
      <c r="Z1887" s="497"/>
      <c r="AA1887" s="544"/>
      <c r="AB1887" s="394"/>
      <c r="AC1887" s="394"/>
      <c r="AD1887" s="394"/>
      <c r="AE1887" s="394"/>
      <c r="AF1887" s="394"/>
      <c r="AG1887" s="394"/>
      <c r="AH1887" s="394"/>
      <c r="AI1887" s="394"/>
      <c r="AJ1887" s="394"/>
      <c r="AK1887" s="381"/>
      <c r="AL1887" s="408"/>
      <c r="AM1887" s="385"/>
      <c r="AN1887" s="475"/>
      <c r="AO1887" s="395"/>
      <c r="AP1887" s="395" t="e">
        <f t="shared" si="1019"/>
        <v>#DIV/0!</v>
      </c>
      <c r="AQ1887" s="393"/>
      <c r="AR1887" s="337"/>
      <c r="AS1887" s="497"/>
      <c r="AT1887" s="544"/>
      <c r="AU1887" s="394"/>
      <c r="AV1887" s="394"/>
      <c r="AW1887" s="394"/>
      <c r="AX1887" s="394"/>
      <c r="AY1887" s="394"/>
      <c r="AZ1887" s="394"/>
      <c r="BA1887" s="394"/>
      <c r="BB1887" s="394"/>
      <c r="BC1887" s="394"/>
      <c r="BD1887" s="381"/>
      <c r="BE1887" s="408"/>
      <c r="BF1887" s="385"/>
      <c r="BG1887" s="475"/>
      <c r="BH1887" s="395"/>
      <c r="BI1887" s="395" t="e">
        <f t="shared" si="1021"/>
        <v>#DIV/0!</v>
      </c>
    </row>
    <row r="1888" spans="1:61" s="358" customFormat="1" ht="19.2" x14ac:dyDescent="0.3">
      <c r="A1888" s="359" t="s">
        <v>2025</v>
      </c>
      <c r="B1888" s="537" t="s">
        <v>1647</v>
      </c>
      <c r="C1888" s="546" t="s">
        <v>1068</v>
      </c>
      <c r="D1888" s="360">
        <v>0.4</v>
      </c>
      <c r="E1888" s="393"/>
      <c r="F1888" s="337">
        <v>1</v>
      </c>
      <c r="G1888" s="497"/>
      <c r="H1888" s="544">
        <v>13.292</v>
      </c>
      <c r="I1888" s="394">
        <v>11.31115</v>
      </c>
      <c r="J1888" s="394">
        <v>10.45834</v>
      </c>
      <c r="K1888" s="394"/>
      <c r="L1888" s="394"/>
      <c r="M1888" s="394">
        <v>0</v>
      </c>
      <c r="N1888" s="394">
        <v>0</v>
      </c>
      <c r="O1888" s="394">
        <v>0.4617</v>
      </c>
      <c r="P1888" s="394">
        <v>10.45834</v>
      </c>
      <c r="Q1888" s="394"/>
      <c r="R1888" s="381" t="s">
        <v>167</v>
      </c>
      <c r="S1888" s="408" t="s">
        <v>175</v>
      </c>
      <c r="T1888" s="385"/>
      <c r="U1888" s="475">
        <v>808</v>
      </c>
      <c r="V1888" s="395"/>
      <c r="W1888" s="395">
        <f t="shared" si="1020"/>
        <v>13.292</v>
      </c>
      <c r="X1888" s="393"/>
      <c r="Y1888" s="337"/>
      <c r="Z1888" s="497"/>
      <c r="AA1888" s="544"/>
      <c r="AB1888" s="394"/>
      <c r="AC1888" s="394"/>
      <c r="AD1888" s="394"/>
      <c r="AE1888" s="394"/>
      <c r="AF1888" s="394"/>
      <c r="AG1888" s="394"/>
      <c r="AH1888" s="394"/>
      <c r="AI1888" s="394"/>
      <c r="AJ1888" s="394"/>
      <c r="AK1888" s="381"/>
      <c r="AL1888" s="408"/>
      <c r="AM1888" s="385"/>
      <c r="AN1888" s="475"/>
      <c r="AO1888" s="395"/>
      <c r="AP1888" s="395" t="e">
        <f t="shared" si="1019"/>
        <v>#DIV/0!</v>
      </c>
      <c r="AQ1888" s="393"/>
      <c r="AR1888" s="337"/>
      <c r="AS1888" s="497"/>
      <c r="AT1888" s="544"/>
      <c r="AU1888" s="394"/>
      <c r="AV1888" s="394"/>
      <c r="AW1888" s="394"/>
      <c r="AX1888" s="394"/>
      <c r="AY1888" s="394"/>
      <c r="AZ1888" s="394"/>
      <c r="BA1888" s="394"/>
      <c r="BB1888" s="394"/>
      <c r="BC1888" s="394"/>
      <c r="BD1888" s="381"/>
      <c r="BE1888" s="408"/>
      <c r="BF1888" s="385"/>
      <c r="BG1888" s="475"/>
      <c r="BH1888" s="395"/>
      <c r="BI1888" s="395" t="e">
        <f t="shared" si="1021"/>
        <v>#DIV/0!</v>
      </c>
    </row>
    <row r="1889" spans="1:61" s="358" customFormat="1" ht="19.2" x14ac:dyDescent="0.3">
      <c r="A1889" s="359" t="s">
        <v>2026</v>
      </c>
      <c r="B1889" s="537" t="s">
        <v>1648</v>
      </c>
      <c r="C1889" s="546" t="s">
        <v>1069</v>
      </c>
      <c r="D1889" s="360">
        <v>0.4</v>
      </c>
      <c r="E1889" s="393"/>
      <c r="F1889" s="337">
        <v>1</v>
      </c>
      <c r="G1889" s="497"/>
      <c r="H1889" s="544">
        <v>13.292</v>
      </c>
      <c r="I1889" s="394">
        <v>11.31115</v>
      </c>
      <c r="J1889" s="394">
        <v>10.45834</v>
      </c>
      <c r="K1889" s="394"/>
      <c r="L1889" s="394"/>
      <c r="M1889" s="394">
        <v>0</v>
      </c>
      <c r="N1889" s="394">
        <v>0</v>
      </c>
      <c r="O1889" s="394">
        <v>0.4617</v>
      </c>
      <c r="P1889" s="394">
        <v>10.45834</v>
      </c>
      <c r="Q1889" s="394"/>
      <c r="R1889" s="381" t="s">
        <v>167</v>
      </c>
      <c r="S1889" s="408" t="s">
        <v>175</v>
      </c>
      <c r="T1889" s="385"/>
      <c r="U1889" s="475">
        <v>809</v>
      </c>
      <c r="V1889" s="395"/>
      <c r="W1889" s="395">
        <f t="shared" si="1020"/>
        <v>13.292</v>
      </c>
      <c r="X1889" s="393"/>
      <c r="Y1889" s="337"/>
      <c r="Z1889" s="497"/>
      <c r="AA1889" s="544"/>
      <c r="AB1889" s="394"/>
      <c r="AC1889" s="394"/>
      <c r="AD1889" s="394"/>
      <c r="AE1889" s="394"/>
      <c r="AF1889" s="394"/>
      <c r="AG1889" s="394"/>
      <c r="AH1889" s="394"/>
      <c r="AI1889" s="394"/>
      <c r="AJ1889" s="394"/>
      <c r="AK1889" s="381"/>
      <c r="AL1889" s="408"/>
      <c r="AM1889" s="385"/>
      <c r="AN1889" s="475"/>
      <c r="AO1889" s="395"/>
      <c r="AP1889" s="395" t="e">
        <f t="shared" si="1019"/>
        <v>#DIV/0!</v>
      </c>
      <c r="AQ1889" s="393"/>
      <c r="AR1889" s="337"/>
      <c r="AS1889" s="497"/>
      <c r="AT1889" s="544"/>
      <c r="AU1889" s="394"/>
      <c r="AV1889" s="394"/>
      <c r="AW1889" s="394"/>
      <c r="AX1889" s="394"/>
      <c r="AY1889" s="394"/>
      <c r="AZ1889" s="394"/>
      <c r="BA1889" s="394"/>
      <c r="BB1889" s="394"/>
      <c r="BC1889" s="394"/>
      <c r="BD1889" s="381"/>
      <c r="BE1889" s="408"/>
      <c r="BF1889" s="385"/>
      <c r="BG1889" s="475"/>
      <c r="BH1889" s="395"/>
      <c r="BI1889" s="395" t="e">
        <f t="shared" si="1021"/>
        <v>#DIV/0!</v>
      </c>
    </row>
    <row r="1890" spans="1:61" s="358" customFormat="1" ht="19.2" x14ac:dyDescent="0.3">
      <c r="A1890" s="359" t="s">
        <v>2011</v>
      </c>
      <c r="B1890" s="537" t="s">
        <v>1649</v>
      </c>
      <c r="C1890" s="546" t="s">
        <v>1070</v>
      </c>
      <c r="D1890" s="360">
        <v>0.4</v>
      </c>
      <c r="E1890" s="393"/>
      <c r="F1890" s="337">
        <v>1</v>
      </c>
      <c r="G1890" s="497"/>
      <c r="H1890" s="544">
        <v>13.292</v>
      </c>
      <c r="I1890" s="394">
        <v>11.31115</v>
      </c>
      <c r="J1890" s="394">
        <v>10.45834</v>
      </c>
      <c r="K1890" s="394"/>
      <c r="L1890" s="394"/>
      <c r="M1890" s="394">
        <v>0</v>
      </c>
      <c r="N1890" s="394">
        <v>0</v>
      </c>
      <c r="O1890" s="394">
        <v>0.4617</v>
      </c>
      <c r="P1890" s="394">
        <v>10.45834</v>
      </c>
      <c r="Q1890" s="394"/>
      <c r="R1890" s="381" t="s">
        <v>167</v>
      </c>
      <c r="S1890" s="408" t="s">
        <v>175</v>
      </c>
      <c r="T1890" s="385"/>
      <c r="U1890" s="475">
        <v>810</v>
      </c>
      <c r="V1890" s="395"/>
      <c r="W1890" s="395">
        <f t="shared" si="1020"/>
        <v>13.292</v>
      </c>
      <c r="X1890" s="393"/>
      <c r="Y1890" s="337"/>
      <c r="Z1890" s="497"/>
      <c r="AA1890" s="544"/>
      <c r="AB1890" s="394"/>
      <c r="AC1890" s="394"/>
      <c r="AD1890" s="394"/>
      <c r="AE1890" s="394"/>
      <c r="AF1890" s="394"/>
      <c r="AG1890" s="394"/>
      <c r="AH1890" s="394"/>
      <c r="AI1890" s="394"/>
      <c r="AJ1890" s="394"/>
      <c r="AK1890" s="381"/>
      <c r="AL1890" s="408"/>
      <c r="AM1890" s="385"/>
      <c r="AN1890" s="475"/>
      <c r="AO1890" s="395"/>
      <c r="AP1890" s="395" t="e">
        <f t="shared" si="1019"/>
        <v>#DIV/0!</v>
      </c>
      <c r="AQ1890" s="393"/>
      <c r="AR1890" s="337"/>
      <c r="AS1890" s="497"/>
      <c r="AT1890" s="544"/>
      <c r="AU1890" s="394"/>
      <c r="AV1890" s="394"/>
      <c r="AW1890" s="394"/>
      <c r="AX1890" s="394"/>
      <c r="AY1890" s="394"/>
      <c r="AZ1890" s="394"/>
      <c r="BA1890" s="394"/>
      <c r="BB1890" s="394"/>
      <c r="BC1890" s="394"/>
      <c r="BD1890" s="381"/>
      <c r="BE1890" s="408"/>
      <c r="BF1890" s="385"/>
      <c r="BG1890" s="475"/>
      <c r="BH1890" s="395"/>
      <c r="BI1890" s="395" t="e">
        <f t="shared" si="1021"/>
        <v>#DIV/0!</v>
      </c>
    </row>
    <row r="1891" spans="1:61" s="358" customFormat="1" ht="19.2" x14ac:dyDescent="0.3">
      <c r="A1891" s="359" t="s">
        <v>2028</v>
      </c>
      <c r="B1891" s="537" t="s">
        <v>614</v>
      </c>
      <c r="C1891" s="546" t="s">
        <v>488</v>
      </c>
      <c r="D1891" s="360">
        <v>0.4</v>
      </c>
      <c r="E1891" s="393"/>
      <c r="F1891" s="337">
        <v>1</v>
      </c>
      <c r="G1891" s="497"/>
      <c r="H1891" s="544">
        <v>13.292</v>
      </c>
      <c r="I1891" s="394">
        <v>11.31115</v>
      </c>
      <c r="J1891" s="394">
        <v>10.45834</v>
      </c>
      <c r="K1891" s="394"/>
      <c r="L1891" s="394"/>
      <c r="M1891" s="394">
        <v>0</v>
      </c>
      <c r="N1891" s="394">
        <v>0</v>
      </c>
      <c r="O1891" s="394">
        <v>0.4617</v>
      </c>
      <c r="P1891" s="394">
        <v>10.45834</v>
      </c>
      <c r="Q1891" s="394"/>
      <c r="R1891" s="381" t="s">
        <v>167</v>
      </c>
      <c r="S1891" s="408" t="s">
        <v>175</v>
      </c>
      <c r="T1891" s="385"/>
      <c r="U1891" s="475">
        <v>811</v>
      </c>
      <c r="V1891" s="395"/>
      <c r="W1891" s="395">
        <f t="shared" si="1020"/>
        <v>13.292</v>
      </c>
      <c r="X1891" s="393"/>
      <c r="Y1891" s="337"/>
      <c r="Z1891" s="497"/>
      <c r="AA1891" s="544"/>
      <c r="AB1891" s="394"/>
      <c r="AC1891" s="394"/>
      <c r="AD1891" s="394"/>
      <c r="AE1891" s="394"/>
      <c r="AF1891" s="394"/>
      <c r="AG1891" s="394"/>
      <c r="AH1891" s="394"/>
      <c r="AI1891" s="394"/>
      <c r="AJ1891" s="394"/>
      <c r="AK1891" s="381"/>
      <c r="AL1891" s="408"/>
      <c r="AM1891" s="385"/>
      <c r="AN1891" s="475"/>
      <c r="AO1891" s="395"/>
      <c r="AP1891" s="395" t="e">
        <f t="shared" si="1019"/>
        <v>#DIV/0!</v>
      </c>
      <c r="AQ1891" s="393"/>
      <c r="AR1891" s="337"/>
      <c r="AS1891" s="497"/>
      <c r="AT1891" s="544"/>
      <c r="AU1891" s="394"/>
      <c r="AV1891" s="394"/>
      <c r="AW1891" s="394"/>
      <c r="AX1891" s="394"/>
      <c r="AY1891" s="394"/>
      <c r="AZ1891" s="394"/>
      <c r="BA1891" s="394"/>
      <c r="BB1891" s="394"/>
      <c r="BC1891" s="394"/>
      <c r="BD1891" s="381"/>
      <c r="BE1891" s="408"/>
      <c r="BF1891" s="385"/>
      <c r="BG1891" s="475"/>
      <c r="BH1891" s="395"/>
      <c r="BI1891" s="395" t="e">
        <f t="shared" si="1021"/>
        <v>#DIV/0!</v>
      </c>
    </row>
    <row r="1892" spans="1:61" s="358" customFormat="1" ht="19.2" x14ac:dyDescent="0.3">
      <c r="A1892" s="359" t="s">
        <v>2029</v>
      </c>
      <c r="B1892" s="537" t="s">
        <v>1650</v>
      </c>
      <c r="C1892" s="546" t="s">
        <v>1071</v>
      </c>
      <c r="D1892" s="360">
        <v>0.4</v>
      </c>
      <c r="E1892" s="393"/>
      <c r="F1892" s="337">
        <v>1</v>
      </c>
      <c r="G1892" s="497"/>
      <c r="H1892" s="544">
        <v>13.292</v>
      </c>
      <c r="I1892" s="394">
        <v>11.31115</v>
      </c>
      <c r="J1892" s="394">
        <v>10.45834</v>
      </c>
      <c r="K1892" s="394"/>
      <c r="L1892" s="394"/>
      <c r="M1892" s="394">
        <v>0</v>
      </c>
      <c r="N1892" s="394">
        <v>0</v>
      </c>
      <c r="O1892" s="394">
        <v>0.4617</v>
      </c>
      <c r="P1892" s="394">
        <v>10.45834</v>
      </c>
      <c r="Q1892" s="394"/>
      <c r="R1892" s="381" t="s">
        <v>167</v>
      </c>
      <c r="S1892" s="408" t="s">
        <v>175</v>
      </c>
      <c r="T1892" s="385"/>
      <c r="U1892" s="475">
        <v>812</v>
      </c>
      <c r="V1892" s="395"/>
      <c r="W1892" s="395">
        <f t="shared" si="1020"/>
        <v>13.292</v>
      </c>
      <c r="X1892" s="393"/>
      <c r="Y1892" s="337"/>
      <c r="Z1892" s="497"/>
      <c r="AA1892" s="544"/>
      <c r="AB1892" s="394"/>
      <c r="AC1892" s="394"/>
      <c r="AD1892" s="394"/>
      <c r="AE1892" s="394"/>
      <c r="AF1892" s="394"/>
      <c r="AG1892" s="394"/>
      <c r="AH1892" s="394"/>
      <c r="AI1892" s="394"/>
      <c r="AJ1892" s="394"/>
      <c r="AK1892" s="381"/>
      <c r="AL1892" s="408"/>
      <c r="AM1892" s="385"/>
      <c r="AN1892" s="475"/>
      <c r="AO1892" s="395"/>
      <c r="AP1892" s="395" t="e">
        <f t="shared" si="1019"/>
        <v>#DIV/0!</v>
      </c>
      <c r="AQ1892" s="393"/>
      <c r="AR1892" s="337"/>
      <c r="AS1892" s="497"/>
      <c r="AT1892" s="544"/>
      <c r="AU1892" s="394"/>
      <c r="AV1892" s="394"/>
      <c r="AW1892" s="394"/>
      <c r="AX1892" s="394"/>
      <c r="AY1892" s="394"/>
      <c r="AZ1892" s="394"/>
      <c r="BA1892" s="394"/>
      <c r="BB1892" s="394"/>
      <c r="BC1892" s="394"/>
      <c r="BD1892" s="381"/>
      <c r="BE1892" s="408"/>
      <c r="BF1892" s="385"/>
      <c r="BG1892" s="475"/>
      <c r="BH1892" s="395"/>
      <c r="BI1892" s="395" t="e">
        <f t="shared" si="1021"/>
        <v>#DIV/0!</v>
      </c>
    </row>
    <row r="1893" spans="1:61" s="358" customFormat="1" ht="19.2" x14ac:dyDescent="0.3">
      <c r="A1893" s="359" t="s">
        <v>2030</v>
      </c>
      <c r="B1893" s="537" t="s">
        <v>623</v>
      </c>
      <c r="C1893" s="546" t="s">
        <v>498</v>
      </c>
      <c r="D1893" s="360">
        <v>0.4</v>
      </c>
      <c r="E1893" s="393"/>
      <c r="F1893" s="337">
        <v>1</v>
      </c>
      <c r="G1893" s="497"/>
      <c r="H1893" s="544">
        <v>13.616910000000001</v>
      </c>
      <c r="I1893" s="394">
        <v>11.702629999999999</v>
      </c>
      <c r="J1893" s="394">
        <v>10.458349999999999</v>
      </c>
      <c r="K1893" s="394"/>
      <c r="L1893" s="394"/>
      <c r="M1893" s="394">
        <v>0</v>
      </c>
      <c r="N1893" s="394">
        <v>0</v>
      </c>
      <c r="O1893" s="394">
        <v>0.44627</v>
      </c>
      <c r="P1893" s="394">
        <v>10.458349999999999</v>
      </c>
      <c r="Q1893" s="394"/>
      <c r="R1893" s="381" t="s">
        <v>167</v>
      </c>
      <c r="S1893" s="408" t="s">
        <v>175</v>
      </c>
      <c r="T1893" s="385"/>
      <c r="U1893" s="475">
        <v>813</v>
      </c>
      <c r="V1893" s="395"/>
      <c r="W1893" s="395">
        <f t="shared" si="1020"/>
        <v>13.616910000000001</v>
      </c>
      <c r="X1893" s="393"/>
      <c r="Y1893" s="337"/>
      <c r="Z1893" s="497"/>
      <c r="AA1893" s="544"/>
      <c r="AB1893" s="394"/>
      <c r="AC1893" s="394"/>
      <c r="AD1893" s="394"/>
      <c r="AE1893" s="394"/>
      <c r="AF1893" s="394"/>
      <c r="AG1893" s="394"/>
      <c r="AH1893" s="394"/>
      <c r="AI1893" s="394"/>
      <c r="AJ1893" s="394"/>
      <c r="AK1893" s="381"/>
      <c r="AL1893" s="408"/>
      <c r="AM1893" s="385"/>
      <c r="AN1893" s="475"/>
      <c r="AO1893" s="395"/>
      <c r="AP1893" s="395" t="e">
        <f t="shared" si="1019"/>
        <v>#DIV/0!</v>
      </c>
      <c r="AQ1893" s="393"/>
      <c r="AR1893" s="337"/>
      <c r="AS1893" s="497"/>
      <c r="AT1893" s="544"/>
      <c r="AU1893" s="394"/>
      <c r="AV1893" s="394"/>
      <c r="AW1893" s="394"/>
      <c r="AX1893" s="394"/>
      <c r="AY1893" s="394"/>
      <c r="AZ1893" s="394"/>
      <c r="BA1893" s="394"/>
      <c r="BB1893" s="394"/>
      <c r="BC1893" s="394"/>
      <c r="BD1893" s="381"/>
      <c r="BE1893" s="408"/>
      <c r="BF1893" s="385"/>
      <c r="BG1893" s="475"/>
      <c r="BH1893" s="395"/>
      <c r="BI1893" s="395" t="e">
        <f t="shared" si="1021"/>
        <v>#DIV/0!</v>
      </c>
    </row>
    <row r="1894" spans="1:61" s="358" customFormat="1" ht="19.2" x14ac:dyDescent="0.3">
      <c r="A1894" s="359" t="s">
        <v>2031</v>
      </c>
      <c r="B1894" s="537" t="s">
        <v>1651</v>
      </c>
      <c r="C1894" s="546" t="s">
        <v>1072</v>
      </c>
      <c r="D1894" s="360">
        <v>0.4</v>
      </c>
      <c r="E1894" s="393"/>
      <c r="F1894" s="337">
        <v>1</v>
      </c>
      <c r="G1894" s="497"/>
      <c r="H1894" s="544">
        <v>13.616910000000001</v>
      </c>
      <c r="I1894" s="394">
        <v>11.702629999999999</v>
      </c>
      <c r="J1894" s="394">
        <v>10.458349999999999</v>
      </c>
      <c r="K1894" s="394"/>
      <c r="L1894" s="394"/>
      <c r="M1894" s="394">
        <v>0</v>
      </c>
      <c r="N1894" s="394">
        <v>0</v>
      </c>
      <c r="O1894" s="394">
        <v>0.44627</v>
      </c>
      <c r="P1894" s="394">
        <v>10.458349999999999</v>
      </c>
      <c r="Q1894" s="394"/>
      <c r="R1894" s="381" t="s">
        <v>167</v>
      </c>
      <c r="S1894" s="408" t="s">
        <v>175</v>
      </c>
      <c r="T1894" s="385"/>
      <c r="U1894" s="475">
        <v>814</v>
      </c>
      <c r="V1894" s="395"/>
      <c r="W1894" s="395">
        <f t="shared" si="1020"/>
        <v>13.616910000000001</v>
      </c>
      <c r="X1894" s="393"/>
      <c r="Y1894" s="337"/>
      <c r="Z1894" s="497"/>
      <c r="AA1894" s="544"/>
      <c r="AB1894" s="394"/>
      <c r="AC1894" s="394"/>
      <c r="AD1894" s="394"/>
      <c r="AE1894" s="394"/>
      <c r="AF1894" s="394"/>
      <c r="AG1894" s="394"/>
      <c r="AH1894" s="394"/>
      <c r="AI1894" s="394"/>
      <c r="AJ1894" s="394"/>
      <c r="AK1894" s="381"/>
      <c r="AL1894" s="408"/>
      <c r="AM1894" s="385"/>
      <c r="AN1894" s="475"/>
      <c r="AO1894" s="395"/>
      <c r="AP1894" s="395" t="e">
        <f t="shared" si="1019"/>
        <v>#DIV/0!</v>
      </c>
      <c r="AQ1894" s="393"/>
      <c r="AR1894" s="337"/>
      <c r="AS1894" s="497"/>
      <c r="AT1894" s="544"/>
      <c r="AU1894" s="394"/>
      <c r="AV1894" s="394"/>
      <c r="AW1894" s="394"/>
      <c r="AX1894" s="394"/>
      <c r="AY1894" s="394"/>
      <c r="AZ1894" s="394"/>
      <c r="BA1894" s="394"/>
      <c r="BB1894" s="394"/>
      <c r="BC1894" s="394"/>
      <c r="BD1894" s="381"/>
      <c r="BE1894" s="408"/>
      <c r="BF1894" s="385"/>
      <c r="BG1894" s="475"/>
      <c r="BH1894" s="395"/>
      <c r="BI1894" s="395" t="e">
        <f t="shared" si="1021"/>
        <v>#DIV/0!</v>
      </c>
    </row>
    <row r="1895" spans="1:61" s="358" customFormat="1" ht="19.2" x14ac:dyDescent="0.3">
      <c r="A1895" s="359" t="s">
        <v>2032</v>
      </c>
      <c r="B1895" s="537" t="s">
        <v>1652</v>
      </c>
      <c r="C1895" s="546" t="s">
        <v>1073</v>
      </c>
      <c r="D1895" s="360">
        <v>0.4</v>
      </c>
      <c r="E1895" s="393"/>
      <c r="F1895" s="337">
        <v>1</v>
      </c>
      <c r="G1895" s="497"/>
      <c r="H1895" s="544">
        <v>13.616910000000001</v>
      </c>
      <c r="I1895" s="394">
        <v>11.702629999999999</v>
      </c>
      <c r="J1895" s="394">
        <v>10.458349999999999</v>
      </c>
      <c r="K1895" s="394"/>
      <c r="L1895" s="394"/>
      <c r="M1895" s="394">
        <v>0</v>
      </c>
      <c r="N1895" s="394">
        <v>0</v>
      </c>
      <c r="O1895" s="394">
        <v>0.44627</v>
      </c>
      <c r="P1895" s="394">
        <v>10.458349999999999</v>
      </c>
      <c r="Q1895" s="394"/>
      <c r="R1895" s="381" t="s">
        <v>167</v>
      </c>
      <c r="S1895" s="408" t="s">
        <v>175</v>
      </c>
      <c r="T1895" s="385"/>
      <c r="U1895" s="475">
        <v>815</v>
      </c>
      <c r="V1895" s="395"/>
      <c r="W1895" s="395">
        <f t="shared" si="1020"/>
        <v>13.616910000000001</v>
      </c>
      <c r="X1895" s="393"/>
      <c r="Y1895" s="337"/>
      <c r="Z1895" s="497"/>
      <c r="AA1895" s="544"/>
      <c r="AB1895" s="394"/>
      <c r="AC1895" s="394"/>
      <c r="AD1895" s="394"/>
      <c r="AE1895" s="394"/>
      <c r="AF1895" s="394"/>
      <c r="AG1895" s="394"/>
      <c r="AH1895" s="394"/>
      <c r="AI1895" s="394"/>
      <c r="AJ1895" s="394"/>
      <c r="AK1895" s="381"/>
      <c r="AL1895" s="408"/>
      <c r="AM1895" s="385"/>
      <c r="AN1895" s="475"/>
      <c r="AO1895" s="395"/>
      <c r="AP1895" s="395" t="e">
        <f t="shared" si="1019"/>
        <v>#DIV/0!</v>
      </c>
      <c r="AQ1895" s="393"/>
      <c r="AR1895" s="337"/>
      <c r="AS1895" s="497"/>
      <c r="AT1895" s="544"/>
      <c r="AU1895" s="394"/>
      <c r="AV1895" s="394"/>
      <c r="AW1895" s="394"/>
      <c r="AX1895" s="394"/>
      <c r="AY1895" s="394"/>
      <c r="AZ1895" s="394"/>
      <c r="BA1895" s="394"/>
      <c r="BB1895" s="394"/>
      <c r="BC1895" s="394"/>
      <c r="BD1895" s="381"/>
      <c r="BE1895" s="408"/>
      <c r="BF1895" s="385"/>
      <c r="BG1895" s="475"/>
      <c r="BH1895" s="395"/>
      <c r="BI1895" s="395" t="e">
        <f t="shared" si="1021"/>
        <v>#DIV/0!</v>
      </c>
    </row>
    <row r="1896" spans="1:61" s="358" customFormat="1" ht="19.2" x14ac:dyDescent="0.3">
      <c r="A1896" s="359" t="s">
        <v>2033</v>
      </c>
      <c r="B1896" s="537" t="s">
        <v>1653</v>
      </c>
      <c r="C1896" s="546" t="s">
        <v>1074</v>
      </c>
      <c r="D1896" s="360">
        <v>0.4</v>
      </c>
      <c r="E1896" s="393"/>
      <c r="F1896" s="337">
        <v>1</v>
      </c>
      <c r="G1896" s="497"/>
      <c r="H1896" s="544">
        <v>13.616910000000001</v>
      </c>
      <c r="I1896" s="394">
        <v>11.702629999999999</v>
      </c>
      <c r="J1896" s="394">
        <v>10.458349999999999</v>
      </c>
      <c r="K1896" s="394"/>
      <c r="L1896" s="394"/>
      <c r="M1896" s="394">
        <v>0</v>
      </c>
      <c r="N1896" s="394">
        <v>0</v>
      </c>
      <c r="O1896" s="394">
        <v>0.44627</v>
      </c>
      <c r="P1896" s="394">
        <v>10.458349999999999</v>
      </c>
      <c r="Q1896" s="394"/>
      <c r="R1896" s="381" t="s">
        <v>167</v>
      </c>
      <c r="S1896" s="408" t="s">
        <v>175</v>
      </c>
      <c r="T1896" s="385"/>
      <c r="U1896" s="475">
        <v>816</v>
      </c>
      <c r="V1896" s="395"/>
      <c r="W1896" s="395">
        <f t="shared" si="1020"/>
        <v>13.616910000000001</v>
      </c>
      <c r="X1896" s="393"/>
      <c r="Y1896" s="337"/>
      <c r="Z1896" s="497"/>
      <c r="AA1896" s="544"/>
      <c r="AB1896" s="394"/>
      <c r="AC1896" s="394"/>
      <c r="AD1896" s="394"/>
      <c r="AE1896" s="394"/>
      <c r="AF1896" s="394"/>
      <c r="AG1896" s="394"/>
      <c r="AH1896" s="394"/>
      <c r="AI1896" s="394"/>
      <c r="AJ1896" s="394"/>
      <c r="AK1896" s="381"/>
      <c r="AL1896" s="408"/>
      <c r="AM1896" s="385"/>
      <c r="AN1896" s="475"/>
      <c r="AO1896" s="395"/>
      <c r="AP1896" s="395" t="e">
        <f t="shared" si="1019"/>
        <v>#DIV/0!</v>
      </c>
      <c r="AQ1896" s="393"/>
      <c r="AR1896" s="337"/>
      <c r="AS1896" s="497"/>
      <c r="AT1896" s="544"/>
      <c r="AU1896" s="394"/>
      <c r="AV1896" s="394"/>
      <c r="AW1896" s="394"/>
      <c r="AX1896" s="394"/>
      <c r="AY1896" s="394"/>
      <c r="AZ1896" s="394"/>
      <c r="BA1896" s="394"/>
      <c r="BB1896" s="394"/>
      <c r="BC1896" s="394"/>
      <c r="BD1896" s="381"/>
      <c r="BE1896" s="408"/>
      <c r="BF1896" s="385"/>
      <c r="BG1896" s="475"/>
      <c r="BH1896" s="395"/>
      <c r="BI1896" s="395" t="e">
        <f t="shared" si="1021"/>
        <v>#DIV/0!</v>
      </c>
    </row>
    <row r="1897" spans="1:61" s="358" customFormat="1" ht="19.2" x14ac:dyDescent="0.3">
      <c r="A1897" s="359" t="s">
        <v>2034</v>
      </c>
      <c r="B1897" s="537" t="s">
        <v>625</v>
      </c>
      <c r="C1897" s="546" t="s">
        <v>500</v>
      </c>
      <c r="D1897" s="360">
        <v>0.4</v>
      </c>
      <c r="E1897" s="393"/>
      <c r="F1897" s="337">
        <v>1</v>
      </c>
      <c r="G1897" s="497"/>
      <c r="H1897" s="544">
        <v>13.61692</v>
      </c>
      <c r="I1897" s="394">
        <v>11.702629999999999</v>
      </c>
      <c r="J1897" s="394">
        <v>10.458360000000001</v>
      </c>
      <c r="K1897" s="394"/>
      <c r="L1897" s="394"/>
      <c r="M1897" s="394">
        <v>0</v>
      </c>
      <c r="N1897" s="394">
        <v>0</v>
      </c>
      <c r="O1897" s="394">
        <v>0.44627</v>
      </c>
      <c r="P1897" s="394">
        <v>10.458360000000001</v>
      </c>
      <c r="Q1897" s="394"/>
      <c r="R1897" s="381" t="s">
        <v>167</v>
      </c>
      <c r="S1897" s="408" t="s">
        <v>175</v>
      </c>
      <c r="T1897" s="385"/>
      <c r="U1897" s="475">
        <v>817</v>
      </c>
      <c r="V1897" s="395"/>
      <c r="W1897" s="395">
        <f t="shared" si="1020"/>
        <v>13.61692</v>
      </c>
      <c r="X1897" s="393"/>
      <c r="Y1897" s="337"/>
      <c r="Z1897" s="497"/>
      <c r="AA1897" s="544"/>
      <c r="AB1897" s="394"/>
      <c r="AC1897" s="394"/>
      <c r="AD1897" s="394"/>
      <c r="AE1897" s="394"/>
      <c r="AF1897" s="394"/>
      <c r="AG1897" s="394"/>
      <c r="AH1897" s="394"/>
      <c r="AI1897" s="394"/>
      <c r="AJ1897" s="394"/>
      <c r="AK1897" s="381"/>
      <c r="AL1897" s="408"/>
      <c r="AM1897" s="385"/>
      <c r="AN1897" s="475"/>
      <c r="AO1897" s="395"/>
      <c r="AP1897" s="395" t="e">
        <f t="shared" si="1019"/>
        <v>#DIV/0!</v>
      </c>
      <c r="AQ1897" s="393"/>
      <c r="AR1897" s="337"/>
      <c r="AS1897" s="497"/>
      <c r="AT1897" s="544"/>
      <c r="AU1897" s="394"/>
      <c r="AV1897" s="394"/>
      <c r="AW1897" s="394"/>
      <c r="AX1897" s="394"/>
      <c r="AY1897" s="394"/>
      <c r="AZ1897" s="394"/>
      <c r="BA1897" s="394"/>
      <c r="BB1897" s="394"/>
      <c r="BC1897" s="394"/>
      <c r="BD1897" s="381"/>
      <c r="BE1897" s="408"/>
      <c r="BF1897" s="385"/>
      <c r="BG1897" s="475"/>
      <c r="BH1897" s="395"/>
      <c r="BI1897" s="395" t="e">
        <f t="shared" si="1021"/>
        <v>#DIV/0!</v>
      </c>
    </row>
    <row r="1898" spans="1:61" s="358" customFormat="1" ht="19.2" x14ac:dyDescent="0.3">
      <c r="A1898" s="359" t="s">
        <v>2035</v>
      </c>
      <c r="B1898" s="537" t="s">
        <v>1654</v>
      </c>
      <c r="C1898" s="546" t="s">
        <v>1075</v>
      </c>
      <c r="D1898" s="360">
        <v>0.4</v>
      </c>
      <c r="E1898" s="393"/>
      <c r="F1898" s="337">
        <v>1</v>
      </c>
      <c r="G1898" s="497"/>
      <c r="H1898" s="544">
        <v>13.616910000000001</v>
      </c>
      <c r="I1898" s="394">
        <v>11.702629999999999</v>
      </c>
      <c r="J1898" s="394">
        <v>10.458349999999999</v>
      </c>
      <c r="K1898" s="394"/>
      <c r="L1898" s="394"/>
      <c r="M1898" s="394">
        <v>0</v>
      </c>
      <c r="N1898" s="394">
        <v>0</v>
      </c>
      <c r="O1898" s="394">
        <v>0.44627</v>
      </c>
      <c r="P1898" s="394">
        <v>10.458349999999999</v>
      </c>
      <c r="Q1898" s="394"/>
      <c r="R1898" s="381" t="s">
        <v>167</v>
      </c>
      <c r="S1898" s="408" t="s">
        <v>175</v>
      </c>
      <c r="T1898" s="385"/>
      <c r="U1898" s="475">
        <v>818</v>
      </c>
      <c r="V1898" s="395"/>
      <c r="W1898" s="395">
        <f t="shared" si="1020"/>
        <v>13.616910000000001</v>
      </c>
      <c r="X1898" s="393"/>
      <c r="Y1898" s="337"/>
      <c r="Z1898" s="497"/>
      <c r="AA1898" s="544"/>
      <c r="AB1898" s="394"/>
      <c r="AC1898" s="394"/>
      <c r="AD1898" s="394"/>
      <c r="AE1898" s="394"/>
      <c r="AF1898" s="394"/>
      <c r="AG1898" s="394"/>
      <c r="AH1898" s="394"/>
      <c r="AI1898" s="394"/>
      <c r="AJ1898" s="394"/>
      <c r="AK1898" s="381"/>
      <c r="AL1898" s="408"/>
      <c r="AM1898" s="385"/>
      <c r="AN1898" s="475"/>
      <c r="AO1898" s="395"/>
      <c r="AP1898" s="395" t="e">
        <f t="shared" si="1019"/>
        <v>#DIV/0!</v>
      </c>
      <c r="AQ1898" s="393"/>
      <c r="AR1898" s="337"/>
      <c r="AS1898" s="497"/>
      <c r="AT1898" s="544"/>
      <c r="AU1898" s="394"/>
      <c r="AV1898" s="394"/>
      <c r="AW1898" s="394"/>
      <c r="AX1898" s="394"/>
      <c r="AY1898" s="394"/>
      <c r="AZ1898" s="394"/>
      <c r="BA1898" s="394"/>
      <c r="BB1898" s="394"/>
      <c r="BC1898" s="394"/>
      <c r="BD1898" s="381"/>
      <c r="BE1898" s="408"/>
      <c r="BF1898" s="385"/>
      <c r="BG1898" s="475"/>
      <c r="BH1898" s="395"/>
      <c r="BI1898" s="395" t="e">
        <f t="shared" si="1021"/>
        <v>#DIV/0!</v>
      </c>
    </row>
    <row r="1899" spans="1:61" s="358" customFormat="1" ht="19.2" x14ac:dyDescent="0.3">
      <c r="A1899" s="359" t="s">
        <v>2052</v>
      </c>
      <c r="B1899" s="537" t="s">
        <v>1655</v>
      </c>
      <c r="C1899" s="546" t="s">
        <v>1076</v>
      </c>
      <c r="D1899" s="360">
        <v>0.4</v>
      </c>
      <c r="E1899" s="393"/>
      <c r="F1899" s="337">
        <v>1</v>
      </c>
      <c r="G1899" s="497"/>
      <c r="H1899" s="544">
        <v>13.616910000000001</v>
      </c>
      <c r="I1899" s="394">
        <v>11.702629999999999</v>
      </c>
      <c r="J1899" s="394">
        <v>10.458349999999999</v>
      </c>
      <c r="K1899" s="394"/>
      <c r="L1899" s="394"/>
      <c r="M1899" s="394">
        <v>0</v>
      </c>
      <c r="N1899" s="394">
        <v>0</v>
      </c>
      <c r="O1899" s="394">
        <v>0.44627</v>
      </c>
      <c r="P1899" s="394">
        <v>10.458349999999999</v>
      </c>
      <c r="Q1899" s="394"/>
      <c r="R1899" s="381" t="s">
        <v>167</v>
      </c>
      <c r="S1899" s="408" t="s">
        <v>175</v>
      </c>
      <c r="T1899" s="385"/>
      <c r="U1899" s="475">
        <v>819</v>
      </c>
      <c r="V1899" s="395"/>
      <c r="W1899" s="395">
        <f t="shared" si="1020"/>
        <v>13.616910000000001</v>
      </c>
      <c r="X1899" s="393"/>
      <c r="Y1899" s="337"/>
      <c r="Z1899" s="497"/>
      <c r="AA1899" s="544"/>
      <c r="AB1899" s="394"/>
      <c r="AC1899" s="394"/>
      <c r="AD1899" s="394"/>
      <c r="AE1899" s="394"/>
      <c r="AF1899" s="394"/>
      <c r="AG1899" s="394"/>
      <c r="AH1899" s="394"/>
      <c r="AI1899" s="394"/>
      <c r="AJ1899" s="394"/>
      <c r="AK1899" s="381"/>
      <c r="AL1899" s="408"/>
      <c r="AM1899" s="385"/>
      <c r="AN1899" s="475"/>
      <c r="AO1899" s="395"/>
      <c r="AP1899" s="395" t="e">
        <f t="shared" si="1019"/>
        <v>#DIV/0!</v>
      </c>
      <c r="AQ1899" s="393"/>
      <c r="AR1899" s="337"/>
      <c r="AS1899" s="497"/>
      <c r="AT1899" s="544"/>
      <c r="AU1899" s="394"/>
      <c r="AV1899" s="394"/>
      <c r="AW1899" s="394"/>
      <c r="AX1899" s="394"/>
      <c r="AY1899" s="394"/>
      <c r="AZ1899" s="394"/>
      <c r="BA1899" s="394"/>
      <c r="BB1899" s="394"/>
      <c r="BC1899" s="394"/>
      <c r="BD1899" s="381"/>
      <c r="BE1899" s="408"/>
      <c r="BF1899" s="385"/>
      <c r="BG1899" s="475"/>
      <c r="BH1899" s="395"/>
      <c r="BI1899" s="395" t="e">
        <f t="shared" si="1021"/>
        <v>#DIV/0!</v>
      </c>
    </row>
    <row r="1900" spans="1:61" s="358" customFormat="1" ht="19.2" x14ac:dyDescent="0.3">
      <c r="A1900" s="359" t="s">
        <v>2037</v>
      </c>
      <c r="B1900" s="537" t="s">
        <v>312</v>
      </c>
      <c r="C1900" s="546" t="s">
        <v>307</v>
      </c>
      <c r="D1900" s="360">
        <v>0.4</v>
      </c>
      <c r="E1900" s="393"/>
      <c r="F1900" s="337">
        <v>1</v>
      </c>
      <c r="G1900" s="497"/>
      <c r="H1900" s="544">
        <v>13.616910000000001</v>
      </c>
      <c r="I1900" s="394">
        <v>11.702629999999999</v>
      </c>
      <c r="J1900" s="394">
        <v>10.458349999999999</v>
      </c>
      <c r="K1900" s="394"/>
      <c r="L1900" s="394"/>
      <c r="M1900" s="394">
        <v>0</v>
      </c>
      <c r="N1900" s="394">
        <v>0</v>
      </c>
      <c r="O1900" s="394">
        <v>0.44627</v>
      </c>
      <c r="P1900" s="394">
        <v>10.458349999999999</v>
      </c>
      <c r="Q1900" s="394"/>
      <c r="R1900" s="381" t="s">
        <v>167</v>
      </c>
      <c r="S1900" s="408" t="s">
        <v>175</v>
      </c>
      <c r="T1900" s="385"/>
      <c r="U1900" s="475">
        <v>820</v>
      </c>
      <c r="V1900" s="395"/>
      <c r="W1900" s="395">
        <f t="shared" si="1020"/>
        <v>13.616910000000001</v>
      </c>
      <c r="X1900" s="393"/>
      <c r="Y1900" s="337"/>
      <c r="Z1900" s="497"/>
      <c r="AA1900" s="544"/>
      <c r="AB1900" s="394"/>
      <c r="AC1900" s="394"/>
      <c r="AD1900" s="394"/>
      <c r="AE1900" s="394"/>
      <c r="AF1900" s="394"/>
      <c r="AG1900" s="394"/>
      <c r="AH1900" s="394"/>
      <c r="AI1900" s="394"/>
      <c r="AJ1900" s="394"/>
      <c r="AK1900" s="381"/>
      <c r="AL1900" s="408"/>
      <c r="AM1900" s="385"/>
      <c r="AN1900" s="475"/>
      <c r="AO1900" s="395"/>
      <c r="AP1900" s="395" t="e">
        <f t="shared" si="1019"/>
        <v>#DIV/0!</v>
      </c>
      <c r="AQ1900" s="393"/>
      <c r="AR1900" s="337"/>
      <c r="AS1900" s="497"/>
      <c r="AT1900" s="544"/>
      <c r="AU1900" s="394"/>
      <c r="AV1900" s="394"/>
      <c r="AW1900" s="394"/>
      <c r="AX1900" s="394"/>
      <c r="AY1900" s="394"/>
      <c r="AZ1900" s="394"/>
      <c r="BA1900" s="394"/>
      <c r="BB1900" s="394"/>
      <c r="BC1900" s="394"/>
      <c r="BD1900" s="381"/>
      <c r="BE1900" s="408"/>
      <c r="BF1900" s="385"/>
      <c r="BG1900" s="475"/>
      <c r="BH1900" s="395"/>
      <c r="BI1900" s="395" t="e">
        <f t="shared" si="1021"/>
        <v>#DIV/0!</v>
      </c>
    </row>
    <row r="1901" spans="1:61" s="358" customFormat="1" ht="19.2" x14ac:dyDescent="0.3">
      <c r="A1901" s="359" t="s">
        <v>2038</v>
      </c>
      <c r="B1901" s="537" t="s">
        <v>1656</v>
      </c>
      <c r="C1901" s="546" t="s">
        <v>1077</v>
      </c>
      <c r="D1901" s="360">
        <v>0.4</v>
      </c>
      <c r="E1901" s="393"/>
      <c r="F1901" s="337">
        <v>1</v>
      </c>
      <c r="G1901" s="497"/>
      <c r="H1901" s="544">
        <v>13.616910000000001</v>
      </c>
      <c r="I1901" s="394">
        <v>11.702629999999999</v>
      </c>
      <c r="J1901" s="394">
        <v>10.458349999999999</v>
      </c>
      <c r="K1901" s="394"/>
      <c r="L1901" s="394"/>
      <c r="M1901" s="394">
        <v>0</v>
      </c>
      <c r="N1901" s="394">
        <v>0</v>
      </c>
      <c r="O1901" s="394">
        <v>0.44627</v>
      </c>
      <c r="P1901" s="394">
        <v>10.458349999999999</v>
      </c>
      <c r="Q1901" s="394"/>
      <c r="R1901" s="381" t="s">
        <v>167</v>
      </c>
      <c r="S1901" s="408" t="s">
        <v>175</v>
      </c>
      <c r="T1901" s="385"/>
      <c r="U1901" s="475">
        <v>821</v>
      </c>
      <c r="V1901" s="395"/>
      <c r="W1901" s="395">
        <f t="shared" si="1020"/>
        <v>13.616910000000001</v>
      </c>
      <c r="X1901" s="393"/>
      <c r="Y1901" s="337"/>
      <c r="Z1901" s="497"/>
      <c r="AA1901" s="544"/>
      <c r="AB1901" s="394"/>
      <c r="AC1901" s="394"/>
      <c r="AD1901" s="394"/>
      <c r="AE1901" s="394"/>
      <c r="AF1901" s="394"/>
      <c r="AG1901" s="394"/>
      <c r="AH1901" s="394"/>
      <c r="AI1901" s="394"/>
      <c r="AJ1901" s="394"/>
      <c r="AK1901" s="381"/>
      <c r="AL1901" s="408"/>
      <c r="AM1901" s="385"/>
      <c r="AN1901" s="475"/>
      <c r="AO1901" s="395"/>
      <c r="AP1901" s="395" t="e">
        <f t="shared" si="1019"/>
        <v>#DIV/0!</v>
      </c>
      <c r="AQ1901" s="393"/>
      <c r="AR1901" s="337"/>
      <c r="AS1901" s="497"/>
      <c r="AT1901" s="544"/>
      <c r="AU1901" s="394"/>
      <c r="AV1901" s="394"/>
      <c r="AW1901" s="394"/>
      <c r="AX1901" s="394"/>
      <c r="AY1901" s="394"/>
      <c r="AZ1901" s="394"/>
      <c r="BA1901" s="394"/>
      <c r="BB1901" s="394"/>
      <c r="BC1901" s="394"/>
      <c r="BD1901" s="381"/>
      <c r="BE1901" s="408"/>
      <c r="BF1901" s="385"/>
      <c r="BG1901" s="475"/>
      <c r="BH1901" s="395"/>
      <c r="BI1901" s="395" t="e">
        <f t="shared" si="1021"/>
        <v>#DIV/0!</v>
      </c>
    </row>
    <row r="1902" spans="1:61" s="358" customFormat="1" ht="19.2" x14ac:dyDescent="0.3">
      <c r="A1902" s="359" t="s">
        <v>2039</v>
      </c>
      <c r="B1902" s="537" t="s">
        <v>1657</v>
      </c>
      <c r="C1902" s="546" t="s">
        <v>1078</v>
      </c>
      <c r="D1902" s="360">
        <v>0.4</v>
      </c>
      <c r="E1902" s="393"/>
      <c r="F1902" s="337">
        <v>1</v>
      </c>
      <c r="G1902" s="497"/>
      <c r="H1902" s="544">
        <v>13.616899999999999</v>
      </c>
      <c r="I1902" s="394">
        <v>11.702629999999999</v>
      </c>
      <c r="J1902" s="394">
        <v>10.45834</v>
      </c>
      <c r="K1902" s="394"/>
      <c r="L1902" s="394"/>
      <c r="M1902" s="394">
        <v>0</v>
      </c>
      <c r="N1902" s="394">
        <v>0</v>
      </c>
      <c r="O1902" s="394">
        <v>0.44627</v>
      </c>
      <c r="P1902" s="394">
        <v>10.45834</v>
      </c>
      <c r="Q1902" s="394"/>
      <c r="R1902" s="381" t="s">
        <v>167</v>
      </c>
      <c r="S1902" s="408" t="s">
        <v>175</v>
      </c>
      <c r="T1902" s="385"/>
      <c r="U1902" s="475">
        <v>822</v>
      </c>
      <c r="V1902" s="395"/>
      <c r="W1902" s="395">
        <f t="shared" si="1020"/>
        <v>13.616899999999999</v>
      </c>
      <c r="X1902" s="393"/>
      <c r="Y1902" s="337"/>
      <c r="Z1902" s="497"/>
      <c r="AA1902" s="544"/>
      <c r="AB1902" s="394"/>
      <c r="AC1902" s="394"/>
      <c r="AD1902" s="394"/>
      <c r="AE1902" s="394"/>
      <c r="AF1902" s="394"/>
      <c r="AG1902" s="394"/>
      <c r="AH1902" s="394"/>
      <c r="AI1902" s="394"/>
      <c r="AJ1902" s="394"/>
      <c r="AK1902" s="381"/>
      <c r="AL1902" s="408"/>
      <c r="AM1902" s="385"/>
      <c r="AN1902" s="475"/>
      <c r="AO1902" s="395"/>
      <c r="AP1902" s="395" t="e">
        <f t="shared" si="1019"/>
        <v>#DIV/0!</v>
      </c>
      <c r="AQ1902" s="393"/>
      <c r="AR1902" s="337"/>
      <c r="AS1902" s="497"/>
      <c r="AT1902" s="544"/>
      <c r="AU1902" s="394"/>
      <c r="AV1902" s="394"/>
      <c r="AW1902" s="394"/>
      <c r="AX1902" s="394"/>
      <c r="AY1902" s="394"/>
      <c r="AZ1902" s="394"/>
      <c r="BA1902" s="394"/>
      <c r="BB1902" s="394"/>
      <c r="BC1902" s="394"/>
      <c r="BD1902" s="381"/>
      <c r="BE1902" s="408"/>
      <c r="BF1902" s="385"/>
      <c r="BG1902" s="475"/>
      <c r="BH1902" s="395"/>
      <c r="BI1902" s="395" t="e">
        <f t="shared" si="1021"/>
        <v>#DIV/0!</v>
      </c>
    </row>
    <row r="1903" spans="1:61" s="358" customFormat="1" ht="19.2" x14ac:dyDescent="0.3">
      <c r="A1903" s="359" t="s">
        <v>2056</v>
      </c>
      <c r="B1903" s="537" t="s">
        <v>1658</v>
      </c>
      <c r="C1903" s="546" t="s">
        <v>1079</v>
      </c>
      <c r="D1903" s="360">
        <v>0.4</v>
      </c>
      <c r="E1903" s="393"/>
      <c r="F1903" s="337">
        <v>1</v>
      </c>
      <c r="G1903" s="497"/>
      <c r="H1903" s="544">
        <v>13.61692</v>
      </c>
      <c r="I1903" s="394">
        <v>11.702629999999999</v>
      </c>
      <c r="J1903" s="394">
        <v>10.458360000000001</v>
      </c>
      <c r="K1903" s="394"/>
      <c r="L1903" s="394"/>
      <c r="M1903" s="394">
        <v>0</v>
      </c>
      <c r="N1903" s="394">
        <v>0</v>
      </c>
      <c r="O1903" s="394">
        <v>0.44627</v>
      </c>
      <c r="P1903" s="394">
        <v>10.458360000000001</v>
      </c>
      <c r="Q1903" s="394"/>
      <c r="R1903" s="381" t="s">
        <v>167</v>
      </c>
      <c r="S1903" s="408" t="s">
        <v>175</v>
      </c>
      <c r="T1903" s="385"/>
      <c r="U1903" s="475">
        <v>823</v>
      </c>
      <c r="V1903" s="395"/>
      <c r="W1903" s="395">
        <f t="shared" si="1020"/>
        <v>13.61692</v>
      </c>
      <c r="X1903" s="393"/>
      <c r="Y1903" s="337"/>
      <c r="Z1903" s="497"/>
      <c r="AA1903" s="544"/>
      <c r="AB1903" s="394"/>
      <c r="AC1903" s="394"/>
      <c r="AD1903" s="394"/>
      <c r="AE1903" s="394"/>
      <c r="AF1903" s="394"/>
      <c r="AG1903" s="394"/>
      <c r="AH1903" s="394"/>
      <c r="AI1903" s="394"/>
      <c r="AJ1903" s="394"/>
      <c r="AK1903" s="381"/>
      <c r="AL1903" s="408"/>
      <c r="AM1903" s="385"/>
      <c r="AN1903" s="475"/>
      <c r="AO1903" s="395"/>
      <c r="AP1903" s="395" t="e">
        <f t="shared" si="1019"/>
        <v>#DIV/0!</v>
      </c>
      <c r="AQ1903" s="393"/>
      <c r="AR1903" s="337"/>
      <c r="AS1903" s="497"/>
      <c r="AT1903" s="544"/>
      <c r="AU1903" s="394"/>
      <c r="AV1903" s="394"/>
      <c r="AW1903" s="394"/>
      <c r="AX1903" s="394"/>
      <c r="AY1903" s="394"/>
      <c r="AZ1903" s="394"/>
      <c r="BA1903" s="394"/>
      <c r="BB1903" s="394"/>
      <c r="BC1903" s="394"/>
      <c r="BD1903" s="381"/>
      <c r="BE1903" s="408"/>
      <c r="BF1903" s="385"/>
      <c r="BG1903" s="475"/>
      <c r="BH1903" s="395"/>
      <c r="BI1903" s="395" t="e">
        <f t="shared" si="1021"/>
        <v>#DIV/0!</v>
      </c>
    </row>
    <row r="1904" spans="1:61" s="358" customFormat="1" ht="19.2" x14ac:dyDescent="0.3">
      <c r="A1904" s="359" t="s">
        <v>2041</v>
      </c>
      <c r="B1904" s="537" t="s">
        <v>551</v>
      </c>
      <c r="C1904" s="546" t="s">
        <v>1080</v>
      </c>
      <c r="D1904" s="360">
        <v>0.4</v>
      </c>
      <c r="E1904" s="393"/>
      <c r="F1904" s="337">
        <v>1</v>
      </c>
      <c r="G1904" s="497"/>
      <c r="H1904" s="544">
        <v>13.93177</v>
      </c>
      <c r="I1904" s="394">
        <v>12.01749</v>
      </c>
      <c r="J1904" s="394">
        <v>10.45834</v>
      </c>
      <c r="K1904" s="394"/>
      <c r="L1904" s="394"/>
      <c r="M1904" s="394">
        <v>0</v>
      </c>
      <c r="N1904" s="394">
        <v>0</v>
      </c>
      <c r="O1904" s="394">
        <v>0.44627</v>
      </c>
      <c r="P1904" s="394">
        <v>10.45834</v>
      </c>
      <c r="Q1904" s="394"/>
      <c r="R1904" s="381" t="s">
        <v>167</v>
      </c>
      <c r="S1904" s="408" t="s">
        <v>175</v>
      </c>
      <c r="T1904" s="385"/>
      <c r="U1904" s="475">
        <v>824</v>
      </c>
      <c r="V1904" s="395"/>
      <c r="W1904" s="395">
        <f t="shared" si="1020"/>
        <v>13.93177</v>
      </c>
      <c r="X1904" s="393"/>
      <c r="Y1904" s="337"/>
      <c r="Z1904" s="497"/>
      <c r="AA1904" s="544"/>
      <c r="AB1904" s="394"/>
      <c r="AC1904" s="394"/>
      <c r="AD1904" s="394"/>
      <c r="AE1904" s="394"/>
      <c r="AF1904" s="394"/>
      <c r="AG1904" s="394"/>
      <c r="AH1904" s="394"/>
      <c r="AI1904" s="394"/>
      <c r="AJ1904" s="394"/>
      <c r="AK1904" s="381"/>
      <c r="AL1904" s="408"/>
      <c r="AM1904" s="385"/>
      <c r="AN1904" s="475"/>
      <c r="AO1904" s="395"/>
      <c r="AP1904" s="395" t="e">
        <f t="shared" si="1019"/>
        <v>#DIV/0!</v>
      </c>
      <c r="AQ1904" s="393"/>
      <c r="AR1904" s="337"/>
      <c r="AS1904" s="497"/>
      <c r="AT1904" s="544"/>
      <c r="AU1904" s="394"/>
      <c r="AV1904" s="394"/>
      <c r="AW1904" s="394"/>
      <c r="AX1904" s="394"/>
      <c r="AY1904" s="394"/>
      <c r="AZ1904" s="394"/>
      <c r="BA1904" s="394"/>
      <c r="BB1904" s="394"/>
      <c r="BC1904" s="394"/>
      <c r="BD1904" s="381"/>
      <c r="BE1904" s="408"/>
      <c r="BF1904" s="385"/>
      <c r="BG1904" s="475"/>
      <c r="BH1904" s="395"/>
      <c r="BI1904" s="395" t="e">
        <f t="shared" si="1021"/>
        <v>#DIV/0!</v>
      </c>
    </row>
    <row r="1905" spans="1:61" s="358" customFormat="1" ht="19.2" x14ac:dyDescent="0.3">
      <c r="A1905" s="359" t="s">
        <v>2042</v>
      </c>
      <c r="B1905" s="537" t="s">
        <v>606</v>
      </c>
      <c r="C1905" s="546" t="s">
        <v>479</v>
      </c>
      <c r="D1905" s="360">
        <v>0.4</v>
      </c>
      <c r="E1905" s="393"/>
      <c r="F1905" s="337">
        <v>1</v>
      </c>
      <c r="G1905" s="497"/>
      <c r="H1905" s="544">
        <v>13.510199999999999</v>
      </c>
      <c r="I1905" s="394">
        <v>11.59592</v>
      </c>
      <c r="J1905" s="394">
        <v>10.458320000000001</v>
      </c>
      <c r="K1905" s="394"/>
      <c r="L1905" s="394"/>
      <c r="M1905" s="394">
        <v>0</v>
      </c>
      <c r="N1905" s="394">
        <v>0</v>
      </c>
      <c r="O1905" s="394">
        <v>0.44627</v>
      </c>
      <c r="P1905" s="394">
        <v>10.458320000000001</v>
      </c>
      <c r="Q1905" s="394"/>
      <c r="R1905" s="381" t="s">
        <v>167</v>
      </c>
      <c r="S1905" s="408" t="s">
        <v>175</v>
      </c>
      <c r="T1905" s="385"/>
      <c r="U1905" s="475">
        <v>825</v>
      </c>
      <c r="V1905" s="395"/>
      <c r="W1905" s="395">
        <f t="shared" si="1020"/>
        <v>13.510199999999999</v>
      </c>
      <c r="X1905" s="393"/>
      <c r="Y1905" s="337"/>
      <c r="Z1905" s="497"/>
      <c r="AA1905" s="544"/>
      <c r="AB1905" s="394"/>
      <c r="AC1905" s="394"/>
      <c r="AD1905" s="394"/>
      <c r="AE1905" s="394"/>
      <c r="AF1905" s="394"/>
      <c r="AG1905" s="394"/>
      <c r="AH1905" s="394"/>
      <c r="AI1905" s="394"/>
      <c r="AJ1905" s="394"/>
      <c r="AK1905" s="381"/>
      <c r="AL1905" s="408"/>
      <c r="AM1905" s="385"/>
      <c r="AN1905" s="475"/>
      <c r="AO1905" s="395"/>
      <c r="AP1905" s="395" t="e">
        <f t="shared" si="1019"/>
        <v>#DIV/0!</v>
      </c>
      <c r="AQ1905" s="393"/>
      <c r="AR1905" s="337"/>
      <c r="AS1905" s="497"/>
      <c r="AT1905" s="544"/>
      <c r="AU1905" s="394"/>
      <c r="AV1905" s="394"/>
      <c r="AW1905" s="394"/>
      <c r="AX1905" s="394"/>
      <c r="AY1905" s="394"/>
      <c r="AZ1905" s="394"/>
      <c r="BA1905" s="394"/>
      <c r="BB1905" s="394"/>
      <c r="BC1905" s="394"/>
      <c r="BD1905" s="381"/>
      <c r="BE1905" s="408"/>
      <c r="BF1905" s="385"/>
      <c r="BG1905" s="475"/>
      <c r="BH1905" s="395"/>
      <c r="BI1905" s="395" t="e">
        <f t="shared" si="1021"/>
        <v>#DIV/0!</v>
      </c>
    </row>
    <row r="1906" spans="1:61" s="358" customFormat="1" ht="19.2" x14ac:dyDescent="0.3">
      <c r="A1906" s="359" t="s">
        <v>2027</v>
      </c>
      <c r="B1906" s="537" t="s">
        <v>1659</v>
      </c>
      <c r="C1906" s="546" t="s">
        <v>1081</v>
      </c>
      <c r="D1906" s="360">
        <v>0.4</v>
      </c>
      <c r="E1906" s="393"/>
      <c r="F1906" s="337">
        <v>1</v>
      </c>
      <c r="G1906" s="497"/>
      <c r="H1906" s="544">
        <v>13.51019</v>
      </c>
      <c r="I1906" s="394">
        <v>11.59592</v>
      </c>
      <c r="J1906" s="394">
        <v>10.458310000000001</v>
      </c>
      <c r="K1906" s="394"/>
      <c r="L1906" s="394"/>
      <c r="M1906" s="394">
        <v>0</v>
      </c>
      <c r="N1906" s="394">
        <v>0</v>
      </c>
      <c r="O1906" s="394">
        <v>0.44627</v>
      </c>
      <c r="P1906" s="394">
        <v>10.458310000000001</v>
      </c>
      <c r="Q1906" s="394"/>
      <c r="R1906" s="381" t="s">
        <v>167</v>
      </c>
      <c r="S1906" s="408" t="s">
        <v>175</v>
      </c>
      <c r="T1906" s="385"/>
      <c r="U1906" s="475">
        <v>826</v>
      </c>
      <c r="V1906" s="395"/>
      <c r="W1906" s="395">
        <f t="shared" si="1020"/>
        <v>13.51019</v>
      </c>
      <c r="X1906" s="393"/>
      <c r="Y1906" s="337"/>
      <c r="Z1906" s="497"/>
      <c r="AA1906" s="544"/>
      <c r="AB1906" s="394"/>
      <c r="AC1906" s="394"/>
      <c r="AD1906" s="394"/>
      <c r="AE1906" s="394"/>
      <c r="AF1906" s="394"/>
      <c r="AG1906" s="394"/>
      <c r="AH1906" s="394"/>
      <c r="AI1906" s="394"/>
      <c r="AJ1906" s="394"/>
      <c r="AK1906" s="381"/>
      <c r="AL1906" s="408"/>
      <c r="AM1906" s="385"/>
      <c r="AN1906" s="475"/>
      <c r="AO1906" s="395"/>
      <c r="AP1906" s="395" t="e">
        <f t="shared" si="1019"/>
        <v>#DIV/0!</v>
      </c>
      <c r="AQ1906" s="393"/>
      <c r="AR1906" s="337"/>
      <c r="AS1906" s="497"/>
      <c r="AT1906" s="544"/>
      <c r="AU1906" s="394"/>
      <c r="AV1906" s="394"/>
      <c r="AW1906" s="394"/>
      <c r="AX1906" s="394"/>
      <c r="AY1906" s="394"/>
      <c r="AZ1906" s="394"/>
      <c r="BA1906" s="394"/>
      <c r="BB1906" s="394"/>
      <c r="BC1906" s="394"/>
      <c r="BD1906" s="381"/>
      <c r="BE1906" s="408"/>
      <c r="BF1906" s="385"/>
      <c r="BG1906" s="475"/>
      <c r="BH1906" s="395"/>
      <c r="BI1906" s="395" t="e">
        <f t="shared" si="1021"/>
        <v>#DIV/0!</v>
      </c>
    </row>
    <row r="1907" spans="1:61" s="358" customFormat="1" ht="19.2" x14ac:dyDescent="0.3">
      <c r="A1907" s="359" t="s">
        <v>2044</v>
      </c>
      <c r="B1907" s="537" t="s">
        <v>1660</v>
      </c>
      <c r="C1907" s="546" t="s">
        <v>1082</v>
      </c>
      <c r="D1907" s="360">
        <v>0.4</v>
      </c>
      <c r="E1907" s="393"/>
      <c r="F1907" s="337">
        <v>1</v>
      </c>
      <c r="G1907" s="497"/>
      <c r="H1907" s="544">
        <v>13.73724</v>
      </c>
      <c r="I1907" s="394">
        <v>11.82296</v>
      </c>
      <c r="J1907" s="394">
        <v>10.458320000000001</v>
      </c>
      <c r="K1907" s="394"/>
      <c r="L1907" s="394"/>
      <c r="M1907" s="394">
        <v>0</v>
      </c>
      <c r="N1907" s="394">
        <v>0</v>
      </c>
      <c r="O1907" s="394">
        <v>0.44627</v>
      </c>
      <c r="P1907" s="394">
        <v>10.458320000000001</v>
      </c>
      <c r="Q1907" s="394"/>
      <c r="R1907" s="381" t="s">
        <v>167</v>
      </c>
      <c r="S1907" s="408" t="s">
        <v>175</v>
      </c>
      <c r="T1907" s="385"/>
      <c r="U1907" s="475">
        <v>827</v>
      </c>
      <c r="V1907" s="395"/>
      <c r="W1907" s="395">
        <f t="shared" si="1020"/>
        <v>13.73724</v>
      </c>
      <c r="X1907" s="393"/>
      <c r="Y1907" s="337"/>
      <c r="Z1907" s="497"/>
      <c r="AA1907" s="544"/>
      <c r="AB1907" s="394"/>
      <c r="AC1907" s="394"/>
      <c r="AD1907" s="394"/>
      <c r="AE1907" s="394"/>
      <c r="AF1907" s="394"/>
      <c r="AG1907" s="394"/>
      <c r="AH1907" s="394"/>
      <c r="AI1907" s="394"/>
      <c r="AJ1907" s="394"/>
      <c r="AK1907" s="381"/>
      <c r="AL1907" s="408"/>
      <c r="AM1907" s="385"/>
      <c r="AN1907" s="475"/>
      <c r="AO1907" s="395"/>
      <c r="AP1907" s="395" t="e">
        <f t="shared" si="1019"/>
        <v>#DIV/0!</v>
      </c>
      <c r="AQ1907" s="393"/>
      <c r="AR1907" s="337"/>
      <c r="AS1907" s="497"/>
      <c r="AT1907" s="544"/>
      <c r="AU1907" s="394"/>
      <c r="AV1907" s="394"/>
      <c r="AW1907" s="394"/>
      <c r="AX1907" s="394"/>
      <c r="AY1907" s="394"/>
      <c r="AZ1907" s="394"/>
      <c r="BA1907" s="394"/>
      <c r="BB1907" s="394"/>
      <c r="BC1907" s="394"/>
      <c r="BD1907" s="381"/>
      <c r="BE1907" s="408"/>
      <c r="BF1907" s="385"/>
      <c r="BG1907" s="475"/>
      <c r="BH1907" s="395"/>
      <c r="BI1907" s="395" t="e">
        <f t="shared" si="1021"/>
        <v>#DIV/0!</v>
      </c>
    </row>
    <row r="1908" spans="1:61" s="358" customFormat="1" ht="19.2" x14ac:dyDescent="0.3">
      <c r="A1908" s="359" t="s">
        <v>2045</v>
      </c>
      <c r="B1908" s="537" t="s">
        <v>1661</v>
      </c>
      <c r="C1908" s="546" t="s">
        <v>1083</v>
      </c>
      <c r="D1908" s="360">
        <v>0.4</v>
      </c>
      <c r="E1908" s="393"/>
      <c r="F1908" s="337">
        <v>1</v>
      </c>
      <c r="G1908" s="497"/>
      <c r="H1908" s="544">
        <v>13.478770000000001</v>
      </c>
      <c r="I1908" s="394">
        <v>11.564489999999999</v>
      </c>
      <c r="J1908" s="394">
        <v>10.45833</v>
      </c>
      <c r="K1908" s="394"/>
      <c r="L1908" s="394"/>
      <c r="M1908" s="394">
        <v>0</v>
      </c>
      <c r="N1908" s="394">
        <v>0</v>
      </c>
      <c r="O1908" s="394">
        <v>0.44627</v>
      </c>
      <c r="P1908" s="394">
        <v>10.45833</v>
      </c>
      <c r="Q1908" s="394"/>
      <c r="R1908" s="381" t="s">
        <v>167</v>
      </c>
      <c r="S1908" s="408" t="s">
        <v>175</v>
      </c>
      <c r="T1908" s="385"/>
      <c r="U1908" s="475">
        <v>828</v>
      </c>
      <c r="V1908" s="395"/>
      <c r="W1908" s="395">
        <f t="shared" si="1020"/>
        <v>13.478770000000001</v>
      </c>
      <c r="X1908" s="393"/>
      <c r="Y1908" s="337"/>
      <c r="Z1908" s="497"/>
      <c r="AA1908" s="544"/>
      <c r="AB1908" s="394"/>
      <c r="AC1908" s="394"/>
      <c r="AD1908" s="394"/>
      <c r="AE1908" s="394"/>
      <c r="AF1908" s="394"/>
      <c r="AG1908" s="394"/>
      <c r="AH1908" s="394"/>
      <c r="AI1908" s="394"/>
      <c r="AJ1908" s="394"/>
      <c r="AK1908" s="381"/>
      <c r="AL1908" s="408"/>
      <c r="AM1908" s="385"/>
      <c r="AN1908" s="475"/>
      <c r="AO1908" s="395"/>
      <c r="AP1908" s="395" t="e">
        <f t="shared" si="1019"/>
        <v>#DIV/0!</v>
      </c>
      <c r="AQ1908" s="393"/>
      <c r="AR1908" s="337"/>
      <c r="AS1908" s="497"/>
      <c r="AT1908" s="544"/>
      <c r="AU1908" s="394"/>
      <c r="AV1908" s="394"/>
      <c r="AW1908" s="394"/>
      <c r="AX1908" s="394"/>
      <c r="AY1908" s="394"/>
      <c r="AZ1908" s="394"/>
      <c r="BA1908" s="394"/>
      <c r="BB1908" s="394"/>
      <c r="BC1908" s="394"/>
      <c r="BD1908" s="381"/>
      <c r="BE1908" s="408"/>
      <c r="BF1908" s="385"/>
      <c r="BG1908" s="475"/>
      <c r="BH1908" s="395"/>
      <c r="BI1908" s="395" t="e">
        <f t="shared" si="1021"/>
        <v>#DIV/0!</v>
      </c>
    </row>
    <row r="1909" spans="1:61" s="358" customFormat="1" ht="19.2" x14ac:dyDescent="0.3">
      <c r="A1909" s="359" t="s">
        <v>2046</v>
      </c>
      <c r="B1909" s="537" t="s">
        <v>1662</v>
      </c>
      <c r="C1909" s="546" t="s">
        <v>1084</v>
      </c>
      <c r="D1909" s="360">
        <v>0.4</v>
      </c>
      <c r="E1909" s="393"/>
      <c r="F1909" s="337">
        <v>1</v>
      </c>
      <c r="G1909" s="497"/>
      <c r="H1909" s="544">
        <v>13.47878</v>
      </c>
      <c r="I1909" s="394">
        <v>11.564500000000001</v>
      </c>
      <c r="J1909" s="394">
        <v>10.45834</v>
      </c>
      <c r="K1909" s="394"/>
      <c r="L1909" s="394"/>
      <c r="M1909" s="394">
        <v>0</v>
      </c>
      <c r="N1909" s="394">
        <v>0</v>
      </c>
      <c r="O1909" s="394">
        <v>0.44627</v>
      </c>
      <c r="P1909" s="394">
        <v>10.45834</v>
      </c>
      <c r="Q1909" s="394"/>
      <c r="R1909" s="381" t="s">
        <v>167</v>
      </c>
      <c r="S1909" s="408" t="s">
        <v>175</v>
      </c>
      <c r="T1909" s="385"/>
      <c r="U1909" s="475">
        <v>829</v>
      </c>
      <c r="V1909" s="395"/>
      <c r="W1909" s="395">
        <f t="shared" si="1020"/>
        <v>13.47878</v>
      </c>
      <c r="X1909" s="393"/>
      <c r="Y1909" s="337"/>
      <c r="Z1909" s="497"/>
      <c r="AA1909" s="544"/>
      <c r="AB1909" s="394"/>
      <c r="AC1909" s="394"/>
      <c r="AD1909" s="394"/>
      <c r="AE1909" s="394"/>
      <c r="AF1909" s="394"/>
      <c r="AG1909" s="394"/>
      <c r="AH1909" s="394"/>
      <c r="AI1909" s="394"/>
      <c r="AJ1909" s="394"/>
      <c r="AK1909" s="381"/>
      <c r="AL1909" s="408"/>
      <c r="AM1909" s="385"/>
      <c r="AN1909" s="475"/>
      <c r="AO1909" s="395"/>
      <c r="AP1909" s="395" t="e">
        <f t="shared" si="1019"/>
        <v>#DIV/0!</v>
      </c>
      <c r="AQ1909" s="393"/>
      <c r="AR1909" s="337"/>
      <c r="AS1909" s="497"/>
      <c r="AT1909" s="544"/>
      <c r="AU1909" s="394"/>
      <c r="AV1909" s="394"/>
      <c r="AW1909" s="394"/>
      <c r="AX1909" s="394"/>
      <c r="AY1909" s="394"/>
      <c r="AZ1909" s="394"/>
      <c r="BA1909" s="394"/>
      <c r="BB1909" s="394"/>
      <c r="BC1909" s="394"/>
      <c r="BD1909" s="381"/>
      <c r="BE1909" s="408"/>
      <c r="BF1909" s="385"/>
      <c r="BG1909" s="475"/>
      <c r="BH1909" s="395"/>
      <c r="BI1909" s="395" t="e">
        <f t="shared" si="1021"/>
        <v>#DIV/0!</v>
      </c>
    </row>
    <row r="1910" spans="1:61" s="358" customFormat="1" ht="19.2" x14ac:dyDescent="0.3">
      <c r="A1910" s="359" t="s">
        <v>2047</v>
      </c>
      <c r="B1910" s="537" t="s">
        <v>1663</v>
      </c>
      <c r="C1910" s="546" t="s">
        <v>1085</v>
      </c>
      <c r="D1910" s="360">
        <v>0.4</v>
      </c>
      <c r="E1910" s="393"/>
      <c r="F1910" s="337">
        <v>1</v>
      </c>
      <c r="G1910" s="497"/>
      <c r="H1910" s="544">
        <v>13.478770000000001</v>
      </c>
      <c r="I1910" s="394">
        <v>11.564500000000001</v>
      </c>
      <c r="J1910" s="394">
        <v>10.45833</v>
      </c>
      <c r="K1910" s="394"/>
      <c r="L1910" s="394"/>
      <c r="M1910" s="394">
        <v>0</v>
      </c>
      <c r="N1910" s="394">
        <v>0</v>
      </c>
      <c r="O1910" s="394">
        <v>0.44627</v>
      </c>
      <c r="P1910" s="394">
        <v>10.45833</v>
      </c>
      <c r="Q1910" s="394"/>
      <c r="R1910" s="381" t="s">
        <v>167</v>
      </c>
      <c r="S1910" s="408" t="s">
        <v>175</v>
      </c>
      <c r="T1910" s="385"/>
      <c r="U1910" s="475">
        <v>830</v>
      </c>
      <c r="V1910" s="395"/>
      <c r="W1910" s="395">
        <f t="shared" si="1020"/>
        <v>13.478770000000001</v>
      </c>
      <c r="X1910" s="393"/>
      <c r="Y1910" s="337"/>
      <c r="Z1910" s="497"/>
      <c r="AA1910" s="544"/>
      <c r="AB1910" s="394"/>
      <c r="AC1910" s="394"/>
      <c r="AD1910" s="394"/>
      <c r="AE1910" s="394"/>
      <c r="AF1910" s="394"/>
      <c r="AG1910" s="394"/>
      <c r="AH1910" s="394"/>
      <c r="AI1910" s="394"/>
      <c r="AJ1910" s="394"/>
      <c r="AK1910" s="381"/>
      <c r="AL1910" s="408"/>
      <c r="AM1910" s="385"/>
      <c r="AN1910" s="475"/>
      <c r="AO1910" s="395"/>
      <c r="AP1910" s="395" t="e">
        <f t="shared" si="1019"/>
        <v>#DIV/0!</v>
      </c>
      <c r="AQ1910" s="393"/>
      <c r="AR1910" s="337"/>
      <c r="AS1910" s="497"/>
      <c r="AT1910" s="544"/>
      <c r="AU1910" s="394"/>
      <c r="AV1910" s="394"/>
      <c r="AW1910" s="394"/>
      <c r="AX1910" s="394"/>
      <c r="AY1910" s="394"/>
      <c r="AZ1910" s="394"/>
      <c r="BA1910" s="394"/>
      <c r="BB1910" s="394"/>
      <c r="BC1910" s="394"/>
      <c r="BD1910" s="381"/>
      <c r="BE1910" s="408"/>
      <c r="BF1910" s="385"/>
      <c r="BG1910" s="475"/>
      <c r="BH1910" s="395"/>
      <c r="BI1910" s="395" t="e">
        <f t="shared" si="1021"/>
        <v>#DIV/0!</v>
      </c>
    </row>
    <row r="1911" spans="1:61" s="358" customFormat="1" ht="19.2" x14ac:dyDescent="0.3">
      <c r="A1911" s="359" t="s">
        <v>2048</v>
      </c>
      <c r="B1911" s="537" t="s">
        <v>1664</v>
      </c>
      <c r="C1911" s="546" t="s">
        <v>1086</v>
      </c>
      <c r="D1911" s="360">
        <v>0.4</v>
      </c>
      <c r="E1911" s="393"/>
      <c r="F1911" s="337">
        <v>1</v>
      </c>
      <c r="G1911" s="497"/>
      <c r="H1911" s="544">
        <v>13.47878</v>
      </c>
      <c r="I1911" s="394">
        <v>11.564500000000001</v>
      </c>
      <c r="J1911" s="394">
        <v>10.45834</v>
      </c>
      <c r="K1911" s="394"/>
      <c r="L1911" s="394"/>
      <c r="M1911" s="394">
        <v>0</v>
      </c>
      <c r="N1911" s="394">
        <v>0</v>
      </c>
      <c r="O1911" s="394">
        <v>0.44627</v>
      </c>
      <c r="P1911" s="394">
        <v>10.45834</v>
      </c>
      <c r="Q1911" s="394"/>
      <c r="R1911" s="381" t="s">
        <v>167</v>
      </c>
      <c r="S1911" s="408" t="s">
        <v>175</v>
      </c>
      <c r="T1911" s="385"/>
      <c r="U1911" s="475">
        <v>831</v>
      </c>
      <c r="V1911" s="395"/>
      <c r="W1911" s="395">
        <f t="shared" si="1020"/>
        <v>13.47878</v>
      </c>
      <c r="X1911" s="393"/>
      <c r="Y1911" s="337"/>
      <c r="Z1911" s="497"/>
      <c r="AA1911" s="544"/>
      <c r="AB1911" s="394"/>
      <c r="AC1911" s="394"/>
      <c r="AD1911" s="394"/>
      <c r="AE1911" s="394"/>
      <c r="AF1911" s="394"/>
      <c r="AG1911" s="394"/>
      <c r="AH1911" s="394"/>
      <c r="AI1911" s="394"/>
      <c r="AJ1911" s="394"/>
      <c r="AK1911" s="381"/>
      <c r="AL1911" s="408"/>
      <c r="AM1911" s="385"/>
      <c r="AN1911" s="475"/>
      <c r="AO1911" s="395"/>
      <c r="AP1911" s="395" t="e">
        <f t="shared" si="1019"/>
        <v>#DIV/0!</v>
      </c>
      <c r="AQ1911" s="393"/>
      <c r="AR1911" s="337"/>
      <c r="AS1911" s="497"/>
      <c r="AT1911" s="544"/>
      <c r="AU1911" s="394"/>
      <c r="AV1911" s="394"/>
      <c r="AW1911" s="394"/>
      <c r="AX1911" s="394"/>
      <c r="AY1911" s="394"/>
      <c r="AZ1911" s="394"/>
      <c r="BA1911" s="394"/>
      <c r="BB1911" s="394"/>
      <c r="BC1911" s="394"/>
      <c r="BD1911" s="381"/>
      <c r="BE1911" s="408"/>
      <c r="BF1911" s="385"/>
      <c r="BG1911" s="475"/>
      <c r="BH1911" s="395"/>
      <c r="BI1911" s="395" t="e">
        <f t="shared" si="1021"/>
        <v>#DIV/0!</v>
      </c>
    </row>
    <row r="1912" spans="1:61" s="358" customFormat="1" ht="19.2" x14ac:dyDescent="0.3">
      <c r="A1912" s="359" t="s">
        <v>2049</v>
      </c>
      <c r="B1912" s="537" t="s">
        <v>1665</v>
      </c>
      <c r="C1912" s="546" t="s">
        <v>1087</v>
      </c>
      <c r="D1912" s="360">
        <v>0.4</v>
      </c>
      <c r="E1912" s="393"/>
      <c r="F1912" s="337">
        <v>1</v>
      </c>
      <c r="G1912" s="497"/>
      <c r="H1912" s="544">
        <v>13.737220000000001</v>
      </c>
      <c r="I1912" s="394">
        <v>11.822939999999999</v>
      </c>
      <c r="J1912" s="394">
        <v>10.458299999999999</v>
      </c>
      <c r="K1912" s="394"/>
      <c r="L1912" s="394"/>
      <c r="M1912" s="394">
        <v>0</v>
      </c>
      <c r="N1912" s="394">
        <v>0</v>
      </c>
      <c r="O1912" s="394">
        <v>0.44627</v>
      </c>
      <c r="P1912" s="394">
        <v>10.458299999999999</v>
      </c>
      <c r="Q1912" s="394"/>
      <c r="R1912" s="381" t="s">
        <v>167</v>
      </c>
      <c r="S1912" s="408" t="s">
        <v>175</v>
      </c>
      <c r="T1912" s="385"/>
      <c r="U1912" s="475">
        <v>832</v>
      </c>
      <c r="V1912" s="395"/>
      <c r="W1912" s="395">
        <f t="shared" si="1020"/>
        <v>13.737220000000001</v>
      </c>
      <c r="X1912" s="393"/>
      <c r="Y1912" s="337"/>
      <c r="Z1912" s="497"/>
      <c r="AA1912" s="544"/>
      <c r="AB1912" s="394"/>
      <c r="AC1912" s="394"/>
      <c r="AD1912" s="394"/>
      <c r="AE1912" s="394"/>
      <c r="AF1912" s="394"/>
      <c r="AG1912" s="394"/>
      <c r="AH1912" s="394"/>
      <c r="AI1912" s="394"/>
      <c r="AJ1912" s="394"/>
      <c r="AK1912" s="381"/>
      <c r="AL1912" s="408"/>
      <c r="AM1912" s="385"/>
      <c r="AN1912" s="475"/>
      <c r="AO1912" s="395"/>
      <c r="AP1912" s="395" t="e">
        <f t="shared" si="1019"/>
        <v>#DIV/0!</v>
      </c>
      <c r="AQ1912" s="393"/>
      <c r="AR1912" s="337"/>
      <c r="AS1912" s="497"/>
      <c r="AT1912" s="544"/>
      <c r="AU1912" s="394"/>
      <c r="AV1912" s="394"/>
      <c r="AW1912" s="394"/>
      <c r="AX1912" s="394"/>
      <c r="AY1912" s="394"/>
      <c r="AZ1912" s="394"/>
      <c r="BA1912" s="394"/>
      <c r="BB1912" s="394"/>
      <c r="BC1912" s="394"/>
      <c r="BD1912" s="381"/>
      <c r="BE1912" s="408"/>
      <c r="BF1912" s="385"/>
      <c r="BG1912" s="475"/>
      <c r="BH1912" s="395"/>
      <c r="BI1912" s="395" t="e">
        <f t="shared" si="1021"/>
        <v>#DIV/0!</v>
      </c>
    </row>
    <row r="1913" spans="1:61" s="358" customFormat="1" ht="19.2" x14ac:dyDescent="0.3">
      <c r="A1913" s="359" t="s">
        <v>2050</v>
      </c>
      <c r="B1913" s="537" t="s">
        <v>1666</v>
      </c>
      <c r="C1913" s="546" t="s">
        <v>1088</v>
      </c>
      <c r="D1913" s="360">
        <v>0.4</v>
      </c>
      <c r="E1913" s="393"/>
      <c r="F1913" s="337">
        <v>1</v>
      </c>
      <c r="G1913" s="497"/>
      <c r="H1913" s="544">
        <v>13.47878</v>
      </c>
      <c r="I1913" s="394">
        <v>11.564500000000001</v>
      </c>
      <c r="J1913" s="394">
        <v>10.45834</v>
      </c>
      <c r="K1913" s="394"/>
      <c r="L1913" s="394"/>
      <c r="M1913" s="394">
        <v>0</v>
      </c>
      <c r="N1913" s="394">
        <v>0</v>
      </c>
      <c r="O1913" s="394">
        <v>0.44627</v>
      </c>
      <c r="P1913" s="394">
        <v>10.45834</v>
      </c>
      <c r="Q1913" s="394"/>
      <c r="R1913" s="381" t="s">
        <v>167</v>
      </c>
      <c r="S1913" s="408" t="s">
        <v>175</v>
      </c>
      <c r="T1913" s="385"/>
      <c r="U1913" s="475">
        <v>833</v>
      </c>
      <c r="V1913" s="395"/>
      <c r="W1913" s="395">
        <f t="shared" ref="W1913:W1983" si="1022">H1913/F1913</f>
        <v>13.47878</v>
      </c>
      <c r="X1913" s="393"/>
      <c r="Y1913" s="337"/>
      <c r="Z1913" s="497"/>
      <c r="AA1913" s="544"/>
      <c r="AB1913" s="394"/>
      <c r="AC1913" s="394"/>
      <c r="AD1913" s="394"/>
      <c r="AE1913" s="394"/>
      <c r="AF1913" s="394"/>
      <c r="AG1913" s="394"/>
      <c r="AH1913" s="394"/>
      <c r="AI1913" s="394"/>
      <c r="AJ1913" s="394"/>
      <c r="AK1913" s="381"/>
      <c r="AL1913" s="408"/>
      <c r="AM1913" s="385"/>
      <c r="AN1913" s="475"/>
      <c r="AO1913" s="395"/>
      <c r="AP1913" s="395" t="e">
        <f t="shared" si="1019"/>
        <v>#DIV/0!</v>
      </c>
      <c r="AQ1913" s="393"/>
      <c r="AR1913" s="337"/>
      <c r="AS1913" s="497"/>
      <c r="AT1913" s="544"/>
      <c r="AU1913" s="394"/>
      <c r="AV1913" s="394"/>
      <c r="AW1913" s="394"/>
      <c r="AX1913" s="394"/>
      <c r="AY1913" s="394"/>
      <c r="AZ1913" s="394"/>
      <c r="BA1913" s="394"/>
      <c r="BB1913" s="394"/>
      <c r="BC1913" s="394"/>
      <c r="BD1913" s="381"/>
      <c r="BE1913" s="408"/>
      <c r="BF1913" s="385"/>
      <c r="BG1913" s="475"/>
      <c r="BH1913" s="395"/>
      <c r="BI1913" s="395" t="e">
        <f t="shared" si="1021"/>
        <v>#DIV/0!</v>
      </c>
    </row>
    <row r="1914" spans="1:61" s="358" customFormat="1" ht="19.2" x14ac:dyDescent="0.3">
      <c r="A1914" s="359" t="s">
        <v>2051</v>
      </c>
      <c r="B1914" s="537" t="s">
        <v>1667</v>
      </c>
      <c r="C1914" s="546" t="s">
        <v>1089</v>
      </c>
      <c r="D1914" s="360">
        <v>0.4</v>
      </c>
      <c r="E1914" s="393"/>
      <c r="F1914" s="337">
        <v>1</v>
      </c>
      <c r="G1914" s="497"/>
      <c r="H1914" s="544">
        <v>13.478770000000001</v>
      </c>
      <c r="I1914" s="394">
        <v>11.564500000000001</v>
      </c>
      <c r="J1914" s="394">
        <v>10.45833</v>
      </c>
      <c r="K1914" s="394"/>
      <c r="L1914" s="394"/>
      <c r="M1914" s="394">
        <v>0</v>
      </c>
      <c r="N1914" s="394">
        <v>0</v>
      </c>
      <c r="O1914" s="394">
        <v>0.44627</v>
      </c>
      <c r="P1914" s="394">
        <v>10.45833</v>
      </c>
      <c r="Q1914" s="394"/>
      <c r="R1914" s="381" t="s">
        <v>167</v>
      </c>
      <c r="S1914" s="408" t="s">
        <v>175</v>
      </c>
      <c r="T1914" s="385"/>
      <c r="U1914" s="475">
        <v>834</v>
      </c>
      <c r="V1914" s="395"/>
      <c r="W1914" s="395">
        <f t="shared" si="1022"/>
        <v>13.478770000000001</v>
      </c>
      <c r="X1914" s="393"/>
      <c r="Y1914" s="337"/>
      <c r="Z1914" s="497"/>
      <c r="AA1914" s="544"/>
      <c r="AB1914" s="394"/>
      <c r="AC1914" s="394"/>
      <c r="AD1914" s="394"/>
      <c r="AE1914" s="394"/>
      <c r="AF1914" s="394"/>
      <c r="AG1914" s="394"/>
      <c r="AH1914" s="394"/>
      <c r="AI1914" s="394"/>
      <c r="AJ1914" s="394"/>
      <c r="AK1914" s="381"/>
      <c r="AL1914" s="408"/>
      <c r="AM1914" s="385"/>
      <c r="AN1914" s="475"/>
      <c r="AO1914" s="395"/>
      <c r="AP1914" s="395" t="e">
        <f t="shared" si="1019"/>
        <v>#DIV/0!</v>
      </c>
      <c r="AQ1914" s="393"/>
      <c r="AR1914" s="337"/>
      <c r="AS1914" s="497"/>
      <c r="AT1914" s="544"/>
      <c r="AU1914" s="394"/>
      <c r="AV1914" s="394"/>
      <c r="AW1914" s="394"/>
      <c r="AX1914" s="394"/>
      <c r="AY1914" s="394"/>
      <c r="AZ1914" s="394"/>
      <c r="BA1914" s="394"/>
      <c r="BB1914" s="394"/>
      <c r="BC1914" s="394"/>
      <c r="BD1914" s="381"/>
      <c r="BE1914" s="408"/>
      <c r="BF1914" s="385"/>
      <c r="BG1914" s="475"/>
      <c r="BH1914" s="395"/>
      <c r="BI1914" s="395" t="e">
        <f t="shared" si="1021"/>
        <v>#DIV/0!</v>
      </c>
    </row>
    <row r="1915" spans="1:61" s="358" customFormat="1" ht="19.2" x14ac:dyDescent="0.3">
      <c r="A1915" s="359" t="s">
        <v>2068</v>
      </c>
      <c r="B1915" s="537" t="s">
        <v>1668</v>
      </c>
      <c r="C1915" s="546" t="s">
        <v>1090</v>
      </c>
      <c r="D1915" s="360">
        <v>0.4</v>
      </c>
      <c r="E1915" s="393"/>
      <c r="F1915" s="337">
        <v>1</v>
      </c>
      <c r="G1915" s="497"/>
      <c r="H1915" s="544">
        <v>13.47878</v>
      </c>
      <c r="I1915" s="394">
        <v>11.564500000000001</v>
      </c>
      <c r="J1915" s="394">
        <v>10.45834</v>
      </c>
      <c r="K1915" s="394"/>
      <c r="L1915" s="394"/>
      <c r="M1915" s="394">
        <v>0</v>
      </c>
      <c r="N1915" s="394">
        <v>0</v>
      </c>
      <c r="O1915" s="394">
        <v>0.44627</v>
      </c>
      <c r="P1915" s="394">
        <v>10.45834</v>
      </c>
      <c r="Q1915" s="394"/>
      <c r="R1915" s="381" t="s">
        <v>167</v>
      </c>
      <c r="S1915" s="408" t="s">
        <v>175</v>
      </c>
      <c r="T1915" s="385"/>
      <c r="U1915" s="475">
        <v>835</v>
      </c>
      <c r="V1915" s="395"/>
      <c r="W1915" s="395">
        <f t="shared" si="1022"/>
        <v>13.47878</v>
      </c>
      <c r="X1915" s="393"/>
      <c r="Y1915" s="337"/>
      <c r="Z1915" s="497"/>
      <c r="AA1915" s="544"/>
      <c r="AB1915" s="394"/>
      <c r="AC1915" s="394"/>
      <c r="AD1915" s="394"/>
      <c r="AE1915" s="394"/>
      <c r="AF1915" s="394"/>
      <c r="AG1915" s="394"/>
      <c r="AH1915" s="394"/>
      <c r="AI1915" s="394"/>
      <c r="AJ1915" s="394"/>
      <c r="AK1915" s="381"/>
      <c r="AL1915" s="408"/>
      <c r="AM1915" s="385"/>
      <c r="AN1915" s="475"/>
      <c r="AO1915" s="395"/>
      <c r="AP1915" s="395" t="e">
        <f t="shared" si="1019"/>
        <v>#DIV/0!</v>
      </c>
      <c r="AQ1915" s="393"/>
      <c r="AR1915" s="337"/>
      <c r="AS1915" s="497"/>
      <c r="AT1915" s="544"/>
      <c r="AU1915" s="394"/>
      <c r="AV1915" s="394"/>
      <c r="AW1915" s="394"/>
      <c r="AX1915" s="394"/>
      <c r="AY1915" s="394"/>
      <c r="AZ1915" s="394"/>
      <c r="BA1915" s="394"/>
      <c r="BB1915" s="394"/>
      <c r="BC1915" s="394"/>
      <c r="BD1915" s="381"/>
      <c r="BE1915" s="408"/>
      <c r="BF1915" s="385"/>
      <c r="BG1915" s="475"/>
      <c r="BH1915" s="395"/>
      <c r="BI1915" s="395" t="e">
        <f t="shared" si="1021"/>
        <v>#DIV/0!</v>
      </c>
    </row>
    <row r="1916" spans="1:61" s="358" customFormat="1" ht="19.2" x14ac:dyDescent="0.3">
      <c r="A1916" s="359" t="s">
        <v>2053</v>
      </c>
      <c r="B1916" s="537" t="s">
        <v>1669</v>
      </c>
      <c r="C1916" s="546" t="s">
        <v>1091</v>
      </c>
      <c r="D1916" s="360">
        <v>0.4</v>
      </c>
      <c r="E1916" s="393"/>
      <c r="F1916" s="337">
        <v>1</v>
      </c>
      <c r="G1916" s="497"/>
      <c r="H1916" s="544">
        <v>13.478770000000001</v>
      </c>
      <c r="I1916" s="394">
        <v>11.564500000000001</v>
      </c>
      <c r="J1916" s="394">
        <v>10.45833</v>
      </c>
      <c r="K1916" s="394"/>
      <c r="L1916" s="394"/>
      <c r="M1916" s="394">
        <v>0</v>
      </c>
      <c r="N1916" s="394">
        <v>0</v>
      </c>
      <c r="O1916" s="394">
        <v>0.44627</v>
      </c>
      <c r="P1916" s="394">
        <v>10.45833</v>
      </c>
      <c r="Q1916" s="394"/>
      <c r="R1916" s="381" t="s">
        <v>167</v>
      </c>
      <c r="S1916" s="408" t="s">
        <v>175</v>
      </c>
      <c r="T1916" s="385"/>
      <c r="U1916" s="475">
        <v>836</v>
      </c>
      <c r="V1916" s="395"/>
      <c r="W1916" s="395">
        <f t="shared" si="1022"/>
        <v>13.478770000000001</v>
      </c>
      <c r="X1916" s="393"/>
      <c r="Y1916" s="337"/>
      <c r="Z1916" s="497"/>
      <c r="AA1916" s="544"/>
      <c r="AB1916" s="394"/>
      <c r="AC1916" s="394"/>
      <c r="AD1916" s="394"/>
      <c r="AE1916" s="394"/>
      <c r="AF1916" s="394"/>
      <c r="AG1916" s="394"/>
      <c r="AH1916" s="394"/>
      <c r="AI1916" s="394"/>
      <c r="AJ1916" s="394"/>
      <c r="AK1916" s="381"/>
      <c r="AL1916" s="408"/>
      <c r="AM1916" s="385"/>
      <c r="AN1916" s="475"/>
      <c r="AO1916" s="395"/>
      <c r="AP1916" s="395" t="e">
        <f t="shared" si="1019"/>
        <v>#DIV/0!</v>
      </c>
      <c r="AQ1916" s="393"/>
      <c r="AR1916" s="337"/>
      <c r="AS1916" s="497"/>
      <c r="AT1916" s="544"/>
      <c r="AU1916" s="394"/>
      <c r="AV1916" s="394"/>
      <c r="AW1916" s="394"/>
      <c r="AX1916" s="394"/>
      <c r="AY1916" s="394"/>
      <c r="AZ1916" s="394"/>
      <c r="BA1916" s="394"/>
      <c r="BB1916" s="394"/>
      <c r="BC1916" s="394"/>
      <c r="BD1916" s="381"/>
      <c r="BE1916" s="408"/>
      <c r="BF1916" s="385"/>
      <c r="BG1916" s="475"/>
      <c r="BH1916" s="395"/>
      <c r="BI1916" s="395" t="e">
        <f t="shared" si="1021"/>
        <v>#DIV/0!</v>
      </c>
    </row>
    <row r="1917" spans="1:61" s="358" customFormat="1" ht="19.2" x14ac:dyDescent="0.3">
      <c r="A1917" s="359" t="s">
        <v>2054</v>
      </c>
      <c r="B1917" s="537" t="s">
        <v>1670</v>
      </c>
      <c r="C1917" s="546" t="s">
        <v>1092</v>
      </c>
      <c r="D1917" s="360">
        <v>0.4</v>
      </c>
      <c r="E1917" s="393"/>
      <c r="F1917" s="337">
        <v>1</v>
      </c>
      <c r="G1917" s="497"/>
      <c r="H1917" s="544">
        <v>13.47878</v>
      </c>
      <c r="I1917" s="394">
        <v>11.564500000000001</v>
      </c>
      <c r="J1917" s="394">
        <v>10.45834</v>
      </c>
      <c r="K1917" s="394"/>
      <c r="L1917" s="394"/>
      <c r="M1917" s="394">
        <v>0</v>
      </c>
      <c r="N1917" s="394">
        <v>0</v>
      </c>
      <c r="O1917" s="394">
        <v>0.44627</v>
      </c>
      <c r="P1917" s="394">
        <v>10.45834</v>
      </c>
      <c r="Q1917" s="394"/>
      <c r="R1917" s="381" t="s">
        <v>167</v>
      </c>
      <c r="S1917" s="408" t="s">
        <v>175</v>
      </c>
      <c r="T1917" s="385"/>
      <c r="U1917" s="475">
        <v>837</v>
      </c>
      <c r="V1917" s="395"/>
      <c r="W1917" s="395">
        <f t="shared" si="1022"/>
        <v>13.47878</v>
      </c>
      <c r="X1917" s="393"/>
      <c r="Y1917" s="337"/>
      <c r="Z1917" s="497"/>
      <c r="AA1917" s="544"/>
      <c r="AB1917" s="394"/>
      <c r="AC1917" s="394"/>
      <c r="AD1917" s="394"/>
      <c r="AE1917" s="394"/>
      <c r="AF1917" s="394"/>
      <c r="AG1917" s="394"/>
      <c r="AH1917" s="394"/>
      <c r="AI1917" s="394"/>
      <c r="AJ1917" s="394"/>
      <c r="AK1917" s="381"/>
      <c r="AL1917" s="408"/>
      <c r="AM1917" s="385"/>
      <c r="AN1917" s="475"/>
      <c r="AO1917" s="395"/>
      <c r="AP1917" s="395" t="e">
        <f t="shared" si="1019"/>
        <v>#DIV/0!</v>
      </c>
      <c r="AQ1917" s="393"/>
      <c r="AR1917" s="337"/>
      <c r="AS1917" s="497"/>
      <c r="AT1917" s="544"/>
      <c r="AU1917" s="394"/>
      <c r="AV1917" s="394"/>
      <c r="AW1917" s="394"/>
      <c r="AX1917" s="394"/>
      <c r="AY1917" s="394"/>
      <c r="AZ1917" s="394"/>
      <c r="BA1917" s="394"/>
      <c r="BB1917" s="394"/>
      <c r="BC1917" s="394"/>
      <c r="BD1917" s="381"/>
      <c r="BE1917" s="408"/>
      <c r="BF1917" s="385"/>
      <c r="BG1917" s="475"/>
      <c r="BH1917" s="395"/>
      <c r="BI1917" s="395" t="e">
        <f t="shared" si="1021"/>
        <v>#DIV/0!</v>
      </c>
    </row>
    <row r="1918" spans="1:61" s="358" customFormat="1" ht="19.2" x14ac:dyDescent="0.3">
      <c r="A1918" s="359" t="s">
        <v>2055</v>
      </c>
      <c r="B1918" s="537" t="s">
        <v>1671</v>
      </c>
      <c r="C1918" s="546" t="s">
        <v>1093</v>
      </c>
      <c r="D1918" s="360">
        <v>0.4</v>
      </c>
      <c r="E1918" s="393"/>
      <c r="F1918" s="337">
        <v>1</v>
      </c>
      <c r="G1918" s="497"/>
      <c r="H1918" s="544">
        <v>13.616899999999999</v>
      </c>
      <c r="I1918" s="394">
        <v>11.70262</v>
      </c>
      <c r="J1918" s="394">
        <v>10.45834</v>
      </c>
      <c r="K1918" s="394"/>
      <c r="L1918" s="394"/>
      <c r="M1918" s="394">
        <v>0</v>
      </c>
      <c r="N1918" s="394">
        <v>0</v>
      </c>
      <c r="O1918" s="394">
        <v>0.44627</v>
      </c>
      <c r="P1918" s="394">
        <v>10.45834</v>
      </c>
      <c r="Q1918" s="394"/>
      <c r="R1918" s="381" t="s">
        <v>167</v>
      </c>
      <c r="S1918" s="408" t="s">
        <v>175</v>
      </c>
      <c r="T1918" s="385"/>
      <c r="U1918" s="475">
        <v>838</v>
      </c>
      <c r="V1918" s="395"/>
      <c r="W1918" s="395">
        <f t="shared" si="1022"/>
        <v>13.616899999999999</v>
      </c>
      <c r="X1918" s="393"/>
      <c r="Y1918" s="337"/>
      <c r="Z1918" s="497"/>
      <c r="AA1918" s="544"/>
      <c r="AB1918" s="394"/>
      <c r="AC1918" s="394"/>
      <c r="AD1918" s="394"/>
      <c r="AE1918" s="394"/>
      <c r="AF1918" s="394"/>
      <c r="AG1918" s="394"/>
      <c r="AH1918" s="394"/>
      <c r="AI1918" s="394"/>
      <c r="AJ1918" s="394"/>
      <c r="AK1918" s="381"/>
      <c r="AL1918" s="408"/>
      <c r="AM1918" s="385"/>
      <c r="AN1918" s="475"/>
      <c r="AO1918" s="395"/>
      <c r="AP1918" s="395" t="e">
        <f t="shared" si="1019"/>
        <v>#DIV/0!</v>
      </c>
      <c r="AQ1918" s="393"/>
      <c r="AR1918" s="337"/>
      <c r="AS1918" s="497"/>
      <c r="AT1918" s="544"/>
      <c r="AU1918" s="394"/>
      <c r="AV1918" s="394"/>
      <c r="AW1918" s="394"/>
      <c r="AX1918" s="394"/>
      <c r="AY1918" s="394"/>
      <c r="AZ1918" s="394"/>
      <c r="BA1918" s="394"/>
      <c r="BB1918" s="394"/>
      <c r="BC1918" s="394"/>
      <c r="BD1918" s="381"/>
      <c r="BE1918" s="408"/>
      <c r="BF1918" s="385"/>
      <c r="BG1918" s="475"/>
      <c r="BH1918" s="395"/>
      <c r="BI1918" s="395" t="e">
        <f t="shared" si="1021"/>
        <v>#DIV/0!</v>
      </c>
    </row>
    <row r="1919" spans="1:61" s="358" customFormat="1" ht="19.2" x14ac:dyDescent="0.3">
      <c r="A1919" s="359" t="s">
        <v>2072</v>
      </c>
      <c r="B1919" s="537" t="s">
        <v>1672</v>
      </c>
      <c r="C1919" s="546" t="s">
        <v>1094</v>
      </c>
      <c r="D1919" s="360">
        <v>0.4</v>
      </c>
      <c r="E1919" s="393"/>
      <c r="F1919" s="337">
        <v>1</v>
      </c>
      <c r="G1919" s="497"/>
      <c r="H1919" s="544">
        <v>12.87529</v>
      </c>
      <c r="I1919" s="394">
        <v>9.7129100000000008</v>
      </c>
      <c r="J1919" s="394">
        <v>8.5416600000000003</v>
      </c>
      <c r="K1919" s="394"/>
      <c r="L1919" s="394"/>
      <c r="M1919" s="394">
        <v>0</v>
      </c>
      <c r="N1919" s="394">
        <v>0</v>
      </c>
      <c r="O1919" s="394">
        <v>0.73724000000000001</v>
      </c>
      <c r="P1919" s="394">
        <v>8.5416600000000003</v>
      </c>
      <c r="Q1919" s="394"/>
      <c r="R1919" s="381" t="s">
        <v>167</v>
      </c>
      <c r="S1919" s="408" t="s">
        <v>175</v>
      </c>
      <c r="T1919" s="385"/>
      <c r="U1919" s="475">
        <v>839</v>
      </c>
      <c r="V1919" s="395"/>
      <c r="W1919" s="395">
        <f t="shared" si="1022"/>
        <v>12.87529</v>
      </c>
      <c r="X1919" s="393"/>
      <c r="Y1919" s="337"/>
      <c r="Z1919" s="497"/>
      <c r="AA1919" s="544"/>
      <c r="AB1919" s="394"/>
      <c r="AC1919" s="394"/>
      <c r="AD1919" s="394"/>
      <c r="AE1919" s="394"/>
      <c r="AF1919" s="394"/>
      <c r="AG1919" s="394"/>
      <c r="AH1919" s="394"/>
      <c r="AI1919" s="394"/>
      <c r="AJ1919" s="394"/>
      <c r="AK1919" s="381"/>
      <c r="AL1919" s="408"/>
      <c r="AM1919" s="385"/>
      <c r="AN1919" s="475"/>
      <c r="AO1919" s="395"/>
      <c r="AP1919" s="395" t="e">
        <f t="shared" si="1019"/>
        <v>#DIV/0!</v>
      </c>
      <c r="AQ1919" s="393"/>
      <c r="AR1919" s="337"/>
      <c r="AS1919" s="497"/>
      <c r="AT1919" s="544"/>
      <c r="AU1919" s="394"/>
      <c r="AV1919" s="394"/>
      <c r="AW1919" s="394"/>
      <c r="AX1919" s="394"/>
      <c r="AY1919" s="394"/>
      <c r="AZ1919" s="394"/>
      <c r="BA1919" s="394"/>
      <c r="BB1919" s="394"/>
      <c r="BC1919" s="394"/>
      <c r="BD1919" s="381"/>
      <c r="BE1919" s="408"/>
      <c r="BF1919" s="385"/>
      <c r="BG1919" s="475"/>
      <c r="BH1919" s="395"/>
      <c r="BI1919" s="395" t="e">
        <f t="shared" si="1021"/>
        <v>#DIV/0!</v>
      </c>
    </row>
    <row r="1920" spans="1:61" s="358" customFormat="1" ht="19.2" x14ac:dyDescent="0.3">
      <c r="A1920" s="359" t="s">
        <v>2057</v>
      </c>
      <c r="B1920" s="537" t="s">
        <v>626</v>
      </c>
      <c r="C1920" s="546" t="s">
        <v>501</v>
      </c>
      <c r="D1920" s="360">
        <v>0.4</v>
      </c>
      <c r="E1920" s="393"/>
      <c r="F1920" s="337">
        <v>1</v>
      </c>
      <c r="G1920" s="497"/>
      <c r="H1920" s="544">
        <v>12.97777</v>
      </c>
      <c r="I1920" s="394">
        <v>9.8153900000000007</v>
      </c>
      <c r="J1920" s="394">
        <v>8.5416500000000006</v>
      </c>
      <c r="K1920" s="394"/>
      <c r="L1920" s="394"/>
      <c r="M1920" s="394">
        <v>0</v>
      </c>
      <c r="N1920" s="394">
        <v>0</v>
      </c>
      <c r="O1920" s="394">
        <v>0.73724000000000001</v>
      </c>
      <c r="P1920" s="394">
        <v>8.5416500000000006</v>
      </c>
      <c r="Q1920" s="394"/>
      <c r="R1920" s="381" t="s">
        <v>167</v>
      </c>
      <c r="S1920" s="408" t="s">
        <v>175</v>
      </c>
      <c r="T1920" s="385"/>
      <c r="U1920" s="475">
        <v>840</v>
      </c>
      <c r="V1920" s="395"/>
      <c r="W1920" s="395">
        <f t="shared" si="1022"/>
        <v>12.97777</v>
      </c>
      <c r="X1920" s="393"/>
      <c r="Y1920" s="337"/>
      <c r="Z1920" s="497"/>
      <c r="AA1920" s="544"/>
      <c r="AB1920" s="394"/>
      <c r="AC1920" s="394"/>
      <c r="AD1920" s="394"/>
      <c r="AE1920" s="394"/>
      <c r="AF1920" s="394"/>
      <c r="AG1920" s="394"/>
      <c r="AH1920" s="394"/>
      <c r="AI1920" s="394"/>
      <c r="AJ1920" s="394"/>
      <c r="AK1920" s="381"/>
      <c r="AL1920" s="408"/>
      <c r="AM1920" s="385"/>
      <c r="AN1920" s="475"/>
      <c r="AO1920" s="395"/>
      <c r="AP1920" s="395" t="e">
        <f t="shared" si="1019"/>
        <v>#DIV/0!</v>
      </c>
      <c r="AQ1920" s="393"/>
      <c r="AR1920" s="337"/>
      <c r="AS1920" s="497"/>
      <c r="AT1920" s="544"/>
      <c r="AU1920" s="394"/>
      <c r="AV1920" s="394"/>
      <c r="AW1920" s="394"/>
      <c r="AX1920" s="394"/>
      <c r="AY1920" s="394"/>
      <c r="AZ1920" s="394"/>
      <c r="BA1920" s="394"/>
      <c r="BB1920" s="394"/>
      <c r="BC1920" s="394"/>
      <c r="BD1920" s="381"/>
      <c r="BE1920" s="408"/>
      <c r="BF1920" s="385"/>
      <c r="BG1920" s="475"/>
      <c r="BH1920" s="395"/>
      <c r="BI1920" s="395" t="e">
        <f t="shared" si="1021"/>
        <v>#DIV/0!</v>
      </c>
    </row>
    <row r="1921" spans="1:61" s="358" customFormat="1" ht="19.2" x14ac:dyDescent="0.3">
      <c r="A1921" s="359" t="s">
        <v>2058</v>
      </c>
      <c r="B1921" s="537" t="s">
        <v>1673</v>
      </c>
      <c r="C1921" s="546" t="s">
        <v>1095</v>
      </c>
      <c r="D1921" s="360">
        <v>0.4</v>
      </c>
      <c r="E1921" s="393"/>
      <c r="F1921" s="337">
        <v>1</v>
      </c>
      <c r="G1921" s="497"/>
      <c r="H1921" s="544">
        <v>12.977779999999999</v>
      </c>
      <c r="I1921" s="394">
        <v>9.8153900000000007</v>
      </c>
      <c r="J1921" s="394">
        <v>8.5416600000000003</v>
      </c>
      <c r="K1921" s="394"/>
      <c r="L1921" s="394"/>
      <c r="M1921" s="394">
        <v>0</v>
      </c>
      <c r="N1921" s="394">
        <v>0</v>
      </c>
      <c r="O1921" s="394">
        <v>0.73724000000000001</v>
      </c>
      <c r="P1921" s="394">
        <v>8.5416600000000003</v>
      </c>
      <c r="Q1921" s="394"/>
      <c r="R1921" s="381" t="s">
        <v>167</v>
      </c>
      <c r="S1921" s="408" t="s">
        <v>175</v>
      </c>
      <c r="T1921" s="385"/>
      <c r="U1921" s="475">
        <v>841</v>
      </c>
      <c r="V1921" s="395"/>
      <c r="W1921" s="395">
        <f t="shared" si="1022"/>
        <v>12.977779999999999</v>
      </c>
      <c r="X1921" s="393"/>
      <c r="Y1921" s="337"/>
      <c r="Z1921" s="497"/>
      <c r="AA1921" s="544"/>
      <c r="AB1921" s="394"/>
      <c r="AC1921" s="394"/>
      <c r="AD1921" s="394"/>
      <c r="AE1921" s="394"/>
      <c r="AF1921" s="394"/>
      <c r="AG1921" s="394"/>
      <c r="AH1921" s="394"/>
      <c r="AI1921" s="394"/>
      <c r="AJ1921" s="394"/>
      <c r="AK1921" s="381"/>
      <c r="AL1921" s="408"/>
      <c r="AM1921" s="385"/>
      <c r="AN1921" s="475"/>
      <c r="AO1921" s="395"/>
      <c r="AP1921" s="395" t="e">
        <f t="shared" si="1019"/>
        <v>#DIV/0!</v>
      </c>
      <c r="AQ1921" s="393"/>
      <c r="AR1921" s="337"/>
      <c r="AS1921" s="497"/>
      <c r="AT1921" s="544"/>
      <c r="AU1921" s="394"/>
      <c r="AV1921" s="394"/>
      <c r="AW1921" s="394"/>
      <c r="AX1921" s="394"/>
      <c r="AY1921" s="394"/>
      <c r="AZ1921" s="394"/>
      <c r="BA1921" s="394"/>
      <c r="BB1921" s="394"/>
      <c r="BC1921" s="394"/>
      <c r="BD1921" s="381"/>
      <c r="BE1921" s="408"/>
      <c r="BF1921" s="385"/>
      <c r="BG1921" s="475"/>
      <c r="BH1921" s="395"/>
      <c r="BI1921" s="395" t="e">
        <f t="shared" si="1021"/>
        <v>#DIV/0!</v>
      </c>
    </row>
    <row r="1922" spans="1:61" s="358" customFormat="1" ht="19.2" x14ac:dyDescent="0.3">
      <c r="A1922" s="359" t="s">
        <v>2043</v>
      </c>
      <c r="B1922" s="537" t="s">
        <v>1674</v>
      </c>
      <c r="C1922" s="546" t="s">
        <v>1096</v>
      </c>
      <c r="D1922" s="360">
        <v>0.4</v>
      </c>
      <c r="E1922" s="393"/>
      <c r="F1922" s="337">
        <v>1</v>
      </c>
      <c r="G1922" s="497"/>
      <c r="H1922" s="544">
        <v>12.977779999999999</v>
      </c>
      <c r="I1922" s="394">
        <v>9.8153900000000007</v>
      </c>
      <c r="J1922" s="394">
        <v>8.5416600000000003</v>
      </c>
      <c r="K1922" s="394"/>
      <c r="L1922" s="394"/>
      <c r="M1922" s="394">
        <v>0</v>
      </c>
      <c r="N1922" s="394">
        <v>0</v>
      </c>
      <c r="O1922" s="394">
        <v>0.73724000000000001</v>
      </c>
      <c r="P1922" s="394">
        <v>8.5416600000000003</v>
      </c>
      <c r="Q1922" s="394"/>
      <c r="R1922" s="381" t="s">
        <v>167</v>
      </c>
      <c r="S1922" s="408" t="s">
        <v>175</v>
      </c>
      <c r="T1922" s="385"/>
      <c r="U1922" s="475">
        <v>842</v>
      </c>
      <c r="V1922" s="395"/>
      <c r="W1922" s="395">
        <f t="shared" si="1022"/>
        <v>12.977779999999999</v>
      </c>
      <c r="X1922" s="393"/>
      <c r="Y1922" s="337"/>
      <c r="Z1922" s="497"/>
      <c r="AA1922" s="544"/>
      <c r="AB1922" s="394"/>
      <c r="AC1922" s="394"/>
      <c r="AD1922" s="394"/>
      <c r="AE1922" s="394"/>
      <c r="AF1922" s="394"/>
      <c r="AG1922" s="394"/>
      <c r="AH1922" s="394"/>
      <c r="AI1922" s="394"/>
      <c r="AJ1922" s="394"/>
      <c r="AK1922" s="381"/>
      <c r="AL1922" s="408"/>
      <c r="AM1922" s="385"/>
      <c r="AN1922" s="475"/>
      <c r="AO1922" s="395"/>
      <c r="AP1922" s="395" t="e">
        <f t="shared" si="1019"/>
        <v>#DIV/0!</v>
      </c>
      <c r="AQ1922" s="393"/>
      <c r="AR1922" s="337"/>
      <c r="AS1922" s="497"/>
      <c r="AT1922" s="544"/>
      <c r="AU1922" s="394"/>
      <c r="AV1922" s="394"/>
      <c r="AW1922" s="394"/>
      <c r="AX1922" s="394"/>
      <c r="AY1922" s="394"/>
      <c r="AZ1922" s="394"/>
      <c r="BA1922" s="394"/>
      <c r="BB1922" s="394"/>
      <c r="BC1922" s="394"/>
      <c r="BD1922" s="381"/>
      <c r="BE1922" s="408"/>
      <c r="BF1922" s="385"/>
      <c r="BG1922" s="475"/>
      <c r="BH1922" s="395"/>
      <c r="BI1922" s="395" t="e">
        <f t="shared" si="1021"/>
        <v>#DIV/0!</v>
      </c>
    </row>
    <row r="1923" spans="1:61" s="358" customFormat="1" ht="19.2" x14ac:dyDescent="0.3">
      <c r="A1923" s="359" t="s">
        <v>2060</v>
      </c>
      <c r="B1923" s="537" t="s">
        <v>658</v>
      </c>
      <c r="C1923" s="546" t="s">
        <v>2256</v>
      </c>
      <c r="D1923" s="360">
        <v>0.4</v>
      </c>
      <c r="E1923" s="393"/>
      <c r="F1923" s="337">
        <v>1</v>
      </c>
      <c r="G1923" s="497"/>
      <c r="H1923" s="544">
        <v>17.33568</v>
      </c>
      <c r="I1923" s="394">
        <v>14.173299999999999</v>
      </c>
      <c r="J1923" s="394">
        <v>8.5416699999999999</v>
      </c>
      <c r="K1923" s="394"/>
      <c r="L1923" s="394"/>
      <c r="M1923" s="394">
        <v>0</v>
      </c>
      <c r="N1923" s="394">
        <v>0</v>
      </c>
      <c r="O1923" s="394">
        <v>0.73724000000000001</v>
      </c>
      <c r="P1923" s="394">
        <v>8.5416699999999999</v>
      </c>
      <c r="Q1923" s="394"/>
      <c r="R1923" s="381" t="s">
        <v>167</v>
      </c>
      <c r="S1923" s="408" t="s">
        <v>175</v>
      </c>
      <c r="T1923" s="385"/>
      <c r="U1923" s="475">
        <v>843</v>
      </c>
      <c r="V1923" s="395"/>
      <c r="W1923" s="395">
        <f t="shared" ref="W1923" si="1023">H1923/F1923</f>
        <v>17.33568</v>
      </c>
      <c r="X1923" s="393"/>
      <c r="Y1923" s="337"/>
      <c r="Z1923" s="497"/>
      <c r="AA1923" s="544"/>
      <c r="AB1923" s="394"/>
      <c r="AC1923" s="394"/>
      <c r="AD1923" s="394"/>
      <c r="AE1923" s="394"/>
      <c r="AF1923" s="394"/>
      <c r="AG1923" s="394"/>
      <c r="AH1923" s="394"/>
      <c r="AI1923" s="394"/>
      <c r="AJ1923" s="394"/>
      <c r="AK1923" s="381"/>
      <c r="AL1923" s="408"/>
      <c r="AM1923" s="385"/>
      <c r="AN1923" s="475"/>
      <c r="AO1923" s="395"/>
      <c r="AP1923" s="395" t="e">
        <f t="shared" si="1019"/>
        <v>#DIV/0!</v>
      </c>
      <c r="AQ1923" s="393"/>
      <c r="AR1923" s="337"/>
      <c r="AS1923" s="497"/>
      <c r="AT1923" s="544"/>
      <c r="AU1923" s="394"/>
      <c r="AV1923" s="394"/>
      <c r="AW1923" s="394"/>
      <c r="AX1923" s="394"/>
      <c r="AY1923" s="394"/>
      <c r="AZ1923" s="394"/>
      <c r="BA1923" s="394"/>
      <c r="BB1923" s="394"/>
      <c r="BC1923" s="394"/>
      <c r="BD1923" s="381"/>
      <c r="BE1923" s="408"/>
      <c r="BF1923" s="385"/>
      <c r="BG1923" s="475"/>
      <c r="BH1923" s="395"/>
      <c r="BI1923" s="395" t="e">
        <f t="shared" si="1021"/>
        <v>#DIV/0!</v>
      </c>
    </row>
    <row r="1924" spans="1:61" s="358" customFormat="1" ht="19.2" x14ac:dyDescent="0.3">
      <c r="A1924" s="359" t="s">
        <v>2061</v>
      </c>
      <c r="B1924" s="537" t="s">
        <v>1675</v>
      </c>
      <c r="C1924" s="546" t="s">
        <v>1097</v>
      </c>
      <c r="D1924" s="360">
        <v>0.4</v>
      </c>
      <c r="E1924" s="393"/>
      <c r="F1924" s="337">
        <v>1</v>
      </c>
      <c r="G1924" s="497"/>
      <c r="H1924" s="544">
        <v>13.308909999999999</v>
      </c>
      <c r="I1924" s="394">
        <v>11.394629999999999</v>
      </c>
      <c r="J1924" s="394">
        <v>10.45833</v>
      </c>
      <c r="K1924" s="394"/>
      <c r="L1924" s="394"/>
      <c r="M1924" s="394">
        <v>0</v>
      </c>
      <c r="N1924" s="394">
        <v>0</v>
      </c>
      <c r="O1924" s="394">
        <v>0.44627</v>
      </c>
      <c r="P1924" s="394">
        <v>10.45833</v>
      </c>
      <c r="Q1924" s="394"/>
      <c r="R1924" s="381" t="s">
        <v>167</v>
      </c>
      <c r="S1924" s="408" t="s">
        <v>175</v>
      </c>
      <c r="T1924" s="385"/>
      <c r="U1924" s="475">
        <v>844</v>
      </c>
      <c r="V1924" s="395"/>
      <c r="W1924" s="395">
        <f t="shared" si="1022"/>
        <v>13.308909999999999</v>
      </c>
      <c r="X1924" s="393"/>
      <c r="Y1924" s="337"/>
      <c r="Z1924" s="497"/>
      <c r="AA1924" s="544"/>
      <c r="AB1924" s="394"/>
      <c r="AC1924" s="394"/>
      <c r="AD1924" s="394"/>
      <c r="AE1924" s="394"/>
      <c r="AF1924" s="394"/>
      <c r="AG1924" s="394"/>
      <c r="AH1924" s="394"/>
      <c r="AI1924" s="394"/>
      <c r="AJ1924" s="394"/>
      <c r="AK1924" s="381"/>
      <c r="AL1924" s="408"/>
      <c r="AM1924" s="385"/>
      <c r="AN1924" s="475"/>
      <c r="AO1924" s="395"/>
      <c r="AP1924" s="395" t="e">
        <f t="shared" si="1019"/>
        <v>#DIV/0!</v>
      </c>
      <c r="AQ1924" s="393"/>
      <c r="AR1924" s="337"/>
      <c r="AS1924" s="497"/>
      <c r="AT1924" s="544"/>
      <c r="AU1924" s="394"/>
      <c r="AV1924" s="394"/>
      <c r="AW1924" s="394"/>
      <c r="AX1924" s="394"/>
      <c r="AY1924" s="394"/>
      <c r="AZ1924" s="394"/>
      <c r="BA1924" s="394"/>
      <c r="BB1924" s="394"/>
      <c r="BC1924" s="394"/>
      <c r="BD1924" s="381"/>
      <c r="BE1924" s="408"/>
      <c r="BF1924" s="385"/>
      <c r="BG1924" s="475"/>
      <c r="BH1924" s="395"/>
      <c r="BI1924" s="395" t="e">
        <f t="shared" si="1021"/>
        <v>#DIV/0!</v>
      </c>
    </row>
    <row r="1925" spans="1:61" s="358" customFormat="1" ht="19.2" x14ac:dyDescent="0.3">
      <c r="A1925" s="359" t="s">
        <v>2062</v>
      </c>
      <c r="B1925" s="537" t="s">
        <v>1676</v>
      </c>
      <c r="C1925" s="546" t="s">
        <v>1098</v>
      </c>
      <c r="D1925" s="360">
        <v>0.4</v>
      </c>
      <c r="E1925" s="393"/>
      <c r="F1925" s="337">
        <v>1</v>
      </c>
      <c r="G1925" s="497"/>
      <c r="H1925" s="544">
        <v>13.308909999999999</v>
      </c>
      <c r="I1925" s="394">
        <v>11.394629999999999</v>
      </c>
      <c r="J1925" s="394">
        <v>10.45833</v>
      </c>
      <c r="K1925" s="394"/>
      <c r="L1925" s="394"/>
      <c r="M1925" s="394">
        <v>0</v>
      </c>
      <c r="N1925" s="394">
        <v>0</v>
      </c>
      <c r="O1925" s="394">
        <v>0.44627</v>
      </c>
      <c r="P1925" s="394">
        <v>10.45833</v>
      </c>
      <c r="Q1925" s="394"/>
      <c r="R1925" s="381" t="s">
        <v>167</v>
      </c>
      <c r="S1925" s="408" t="s">
        <v>175</v>
      </c>
      <c r="T1925" s="385"/>
      <c r="U1925" s="475">
        <v>845</v>
      </c>
      <c r="V1925" s="395"/>
      <c r="W1925" s="395">
        <f t="shared" si="1022"/>
        <v>13.308909999999999</v>
      </c>
      <c r="X1925" s="393"/>
      <c r="Y1925" s="337"/>
      <c r="Z1925" s="497"/>
      <c r="AA1925" s="544"/>
      <c r="AB1925" s="394"/>
      <c r="AC1925" s="394"/>
      <c r="AD1925" s="394"/>
      <c r="AE1925" s="394"/>
      <c r="AF1925" s="394"/>
      <c r="AG1925" s="394"/>
      <c r="AH1925" s="394"/>
      <c r="AI1925" s="394"/>
      <c r="AJ1925" s="394"/>
      <c r="AK1925" s="381"/>
      <c r="AL1925" s="408"/>
      <c r="AM1925" s="385"/>
      <c r="AN1925" s="475"/>
      <c r="AO1925" s="395"/>
      <c r="AP1925" s="395" t="e">
        <f t="shared" si="1019"/>
        <v>#DIV/0!</v>
      </c>
      <c r="AQ1925" s="393"/>
      <c r="AR1925" s="337"/>
      <c r="AS1925" s="497"/>
      <c r="AT1925" s="544"/>
      <c r="AU1925" s="394"/>
      <c r="AV1925" s="394"/>
      <c r="AW1925" s="394"/>
      <c r="AX1925" s="394"/>
      <c r="AY1925" s="394"/>
      <c r="AZ1925" s="394"/>
      <c r="BA1925" s="394"/>
      <c r="BB1925" s="394"/>
      <c r="BC1925" s="394"/>
      <c r="BD1925" s="381"/>
      <c r="BE1925" s="408"/>
      <c r="BF1925" s="385"/>
      <c r="BG1925" s="475"/>
      <c r="BH1925" s="395"/>
      <c r="BI1925" s="395" t="e">
        <f t="shared" si="1021"/>
        <v>#DIV/0!</v>
      </c>
    </row>
    <row r="1926" spans="1:61" s="358" customFormat="1" ht="19.2" x14ac:dyDescent="0.3">
      <c r="A1926" s="359" t="s">
        <v>2063</v>
      </c>
      <c r="B1926" s="537" t="s">
        <v>1677</v>
      </c>
      <c r="C1926" s="546" t="s">
        <v>1099</v>
      </c>
      <c r="D1926" s="360">
        <v>0.4</v>
      </c>
      <c r="E1926" s="393"/>
      <c r="F1926" s="337">
        <v>1</v>
      </c>
      <c r="G1926" s="497"/>
      <c r="H1926" s="544">
        <v>13.3089</v>
      </c>
      <c r="I1926" s="394">
        <v>11.394629999999999</v>
      </c>
      <c r="J1926" s="394">
        <v>10.45833</v>
      </c>
      <c r="K1926" s="394"/>
      <c r="L1926" s="394"/>
      <c r="M1926" s="394">
        <v>0</v>
      </c>
      <c r="N1926" s="394">
        <v>0</v>
      </c>
      <c r="O1926" s="394">
        <v>0.44627</v>
      </c>
      <c r="P1926" s="394">
        <v>10.45833</v>
      </c>
      <c r="Q1926" s="394"/>
      <c r="R1926" s="381" t="s">
        <v>167</v>
      </c>
      <c r="S1926" s="408" t="s">
        <v>175</v>
      </c>
      <c r="T1926" s="385"/>
      <c r="U1926" s="475">
        <v>846</v>
      </c>
      <c r="V1926" s="395"/>
      <c r="W1926" s="395">
        <f t="shared" si="1022"/>
        <v>13.3089</v>
      </c>
      <c r="X1926" s="393"/>
      <c r="Y1926" s="337"/>
      <c r="Z1926" s="497"/>
      <c r="AA1926" s="544"/>
      <c r="AB1926" s="394"/>
      <c r="AC1926" s="394"/>
      <c r="AD1926" s="394"/>
      <c r="AE1926" s="394"/>
      <c r="AF1926" s="394"/>
      <c r="AG1926" s="394"/>
      <c r="AH1926" s="394"/>
      <c r="AI1926" s="394"/>
      <c r="AJ1926" s="394"/>
      <c r="AK1926" s="381"/>
      <c r="AL1926" s="408"/>
      <c r="AM1926" s="385"/>
      <c r="AN1926" s="475"/>
      <c r="AO1926" s="395"/>
      <c r="AP1926" s="395" t="e">
        <f t="shared" si="1019"/>
        <v>#DIV/0!</v>
      </c>
      <c r="AQ1926" s="393"/>
      <c r="AR1926" s="337"/>
      <c r="AS1926" s="497"/>
      <c r="AT1926" s="544"/>
      <c r="AU1926" s="394"/>
      <c r="AV1926" s="394"/>
      <c r="AW1926" s="394"/>
      <c r="AX1926" s="394"/>
      <c r="AY1926" s="394"/>
      <c r="AZ1926" s="394"/>
      <c r="BA1926" s="394"/>
      <c r="BB1926" s="394"/>
      <c r="BC1926" s="394"/>
      <c r="BD1926" s="381"/>
      <c r="BE1926" s="408"/>
      <c r="BF1926" s="385"/>
      <c r="BG1926" s="475"/>
      <c r="BH1926" s="395"/>
      <c r="BI1926" s="395" t="e">
        <f t="shared" si="1021"/>
        <v>#DIV/0!</v>
      </c>
    </row>
    <row r="1927" spans="1:61" s="358" customFormat="1" ht="19.2" x14ac:dyDescent="0.3">
      <c r="A1927" s="359" t="s">
        <v>2064</v>
      </c>
      <c r="B1927" s="537" t="s">
        <v>1678</v>
      </c>
      <c r="C1927" s="546" t="s">
        <v>1100</v>
      </c>
      <c r="D1927" s="360">
        <v>0.4</v>
      </c>
      <c r="E1927" s="393"/>
      <c r="F1927" s="337">
        <v>1</v>
      </c>
      <c r="G1927" s="497"/>
      <c r="H1927" s="544">
        <v>13.308909999999999</v>
      </c>
      <c r="I1927" s="394">
        <v>11.394629999999999</v>
      </c>
      <c r="J1927" s="394">
        <v>10.45833</v>
      </c>
      <c r="K1927" s="394"/>
      <c r="L1927" s="394"/>
      <c r="M1927" s="394">
        <v>0</v>
      </c>
      <c r="N1927" s="394">
        <v>0</v>
      </c>
      <c r="O1927" s="394">
        <v>0.44627</v>
      </c>
      <c r="P1927" s="394">
        <v>10.45833</v>
      </c>
      <c r="Q1927" s="394"/>
      <c r="R1927" s="381" t="s">
        <v>167</v>
      </c>
      <c r="S1927" s="408" t="s">
        <v>175</v>
      </c>
      <c r="T1927" s="385"/>
      <c r="U1927" s="475">
        <v>847</v>
      </c>
      <c r="V1927" s="395"/>
      <c r="W1927" s="395">
        <f t="shared" si="1022"/>
        <v>13.308909999999999</v>
      </c>
      <c r="X1927" s="393"/>
      <c r="Y1927" s="337"/>
      <c r="Z1927" s="497"/>
      <c r="AA1927" s="544"/>
      <c r="AB1927" s="394"/>
      <c r="AC1927" s="394"/>
      <c r="AD1927" s="394"/>
      <c r="AE1927" s="394"/>
      <c r="AF1927" s="394"/>
      <c r="AG1927" s="394"/>
      <c r="AH1927" s="394"/>
      <c r="AI1927" s="394"/>
      <c r="AJ1927" s="394"/>
      <c r="AK1927" s="381"/>
      <c r="AL1927" s="408"/>
      <c r="AM1927" s="385"/>
      <c r="AN1927" s="475"/>
      <c r="AO1927" s="395"/>
      <c r="AP1927" s="395" t="e">
        <f t="shared" si="1019"/>
        <v>#DIV/0!</v>
      </c>
      <c r="AQ1927" s="393"/>
      <c r="AR1927" s="337"/>
      <c r="AS1927" s="497"/>
      <c r="AT1927" s="544"/>
      <c r="AU1927" s="394"/>
      <c r="AV1927" s="394"/>
      <c r="AW1927" s="394"/>
      <c r="AX1927" s="394"/>
      <c r="AY1927" s="394"/>
      <c r="AZ1927" s="394"/>
      <c r="BA1927" s="394"/>
      <c r="BB1927" s="394"/>
      <c r="BC1927" s="394"/>
      <c r="BD1927" s="381"/>
      <c r="BE1927" s="408"/>
      <c r="BF1927" s="385"/>
      <c r="BG1927" s="475"/>
      <c r="BH1927" s="395"/>
      <c r="BI1927" s="395" t="e">
        <f t="shared" si="1021"/>
        <v>#DIV/0!</v>
      </c>
    </row>
    <row r="1928" spans="1:61" s="358" customFormat="1" ht="19.2" x14ac:dyDescent="0.3">
      <c r="A1928" s="359" t="s">
        <v>2065</v>
      </c>
      <c r="B1928" s="537" t="s">
        <v>1679</v>
      </c>
      <c r="C1928" s="546" t="s">
        <v>1101</v>
      </c>
      <c r="D1928" s="360">
        <v>0.4</v>
      </c>
      <c r="E1928" s="393"/>
      <c r="F1928" s="337">
        <v>1</v>
      </c>
      <c r="G1928" s="497"/>
      <c r="H1928" s="544">
        <v>13.3089</v>
      </c>
      <c r="I1928" s="394">
        <v>11.394629999999999</v>
      </c>
      <c r="J1928" s="394">
        <v>10.45833</v>
      </c>
      <c r="K1928" s="394"/>
      <c r="L1928" s="394"/>
      <c r="M1928" s="394">
        <v>0</v>
      </c>
      <c r="N1928" s="394">
        <v>0</v>
      </c>
      <c r="O1928" s="394">
        <v>0.44627</v>
      </c>
      <c r="P1928" s="394">
        <v>10.45833</v>
      </c>
      <c r="Q1928" s="394"/>
      <c r="R1928" s="381" t="s">
        <v>167</v>
      </c>
      <c r="S1928" s="408" t="s">
        <v>175</v>
      </c>
      <c r="T1928" s="385"/>
      <c r="U1928" s="475">
        <v>848</v>
      </c>
      <c r="V1928" s="395"/>
      <c r="W1928" s="395">
        <f t="shared" si="1022"/>
        <v>13.3089</v>
      </c>
      <c r="X1928" s="393"/>
      <c r="Y1928" s="337"/>
      <c r="Z1928" s="497"/>
      <c r="AA1928" s="544"/>
      <c r="AB1928" s="394"/>
      <c r="AC1928" s="394"/>
      <c r="AD1928" s="394"/>
      <c r="AE1928" s="394"/>
      <c r="AF1928" s="394"/>
      <c r="AG1928" s="394"/>
      <c r="AH1928" s="394"/>
      <c r="AI1928" s="394"/>
      <c r="AJ1928" s="394"/>
      <c r="AK1928" s="381"/>
      <c r="AL1928" s="408"/>
      <c r="AM1928" s="385"/>
      <c r="AN1928" s="475"/>
      <c r="AO1928" s="395"/>
      <c r="AP1928" s="395" t="e">
        <f t="shared" si="1019"/>
        <v>#DIV/0!</v>
      </c>
      <c r="AQ1928" s="393"/>
      <c r="AR1928" s="337"/>
      <c r="AS1928" s="497"/>
      <c r="AT1928" s="544"/>
      <c r="AU1928" s="394"/>
      <c r="AV1928" s="394"/>
      <c r="AW1928" s="394"/>
      <c r="AX1928" s="394"/>
      <c r="AY1928" s="394"/>
      <c r="AZ1928" s="394"/>
      <c r="BA1928" s="394"/>
      <c r="BB1928" s="394"/>
      <c r="BC1928" s="394"/>
      <c r="BD1928" s="381"/>
      <c r="BE1928" s="408"/>
      <c r="BF1928" s="385"/>
      <c r="BG1928" s="475"/>
      <c r="BH1928" s="395"/>
      <c r="BI1928" s="395" t="e">
        <f t="shared" si="1021"/>
        <v>#DIV/0!</v>
      </c>
    </row>
    <row r="1929" spans="1:61" s="358" customFormat="1" ht="19.2" x14ac:dyDescent="0.3">
      <c r="A1929" s="359" t="s">
        <v>2066</v>
      </c>
      <c r="B1929" s="537" t="s">
        <v>1680</v>
      </c>
      <c r="C1929" s="546" t="s">
        <v>1102</v>
      </c>
      <c r="D1929" s="360">
        <v>0.4</v>
      </c>
      <c r="E1929" s="393"/>
      <c r="F1929" s="337">
        <v>1</v>
      </c>
      <c r="G1929" s="497"/>
      <c r="H1929" s="544">
        <v>12.66145</v>
      </c>
      <c r="I1929" s="394">
        <v>10.747170000000001</v>
      </c>
      <c r="J1929" s="394">
        <v>10.45834</v>
      </c>
      <c r="K1929" s="394"/>
      <c r="L1929" s="394"/>
      <c r="M1929" s="394">
        <v>0</v>
      </c>
      <c r="N1929" s="394">
        <v>0</v>
      </c>
      <c r="O1929" s="394">
        <v>0.44627</v>
      </c>
      <c r="P1929" s="394">
        <v>10.45834</v>
      </c>
      <c r="Q1929" s="394"/>
      <c r="R1929" s="381" t="s">
        <v>167</v>
      </c>
      <c r="S1929" s="408" t="s">
        <v>175</v>
      </c>
      <c r="T1929" s="385"/>
      <c r="U1929" s="475">
        <v>849</v>
      </c>
      <c r="V1929" s="395"/>
      <c r="W1929" s="395">
        <f t="shared" si="1022"/>
        <v>12.66145</v>
      </c>
      <c r="X1929" s="393"/>
      <c r="Y1929" s="337"/>
      <c r="Z1929" s="497"/>
      <c r="AA1929" s="544"/>
      <c r="AB1929" s="394"/>
      <c r="AC1929" s="394"/>
      <c r="AD1929" s="394"/>
      <c r="AE1929" s="394"/>
      <c r="AF1929" s="394"/>
      <c r="AG1929" s="394"/>
      <c r="AH1929" s="394"/>
      <c r="AI1929" s="394"/>
      <c r="AJ1929" s="394"/>
      <c r="AK1929" s="381"/>
      <c r="AL1929" s="408"/>
      <c r="AM1929" s="385"/>
      <c r="AN1929" s="475"/>
      <c r="AO1929" s="395"/>
      <c r="AP1929" s="395" t="e">
        <f t="shared" si="1019"/>
        <v>#DIV/0!</v>
      </c>
      <c r="AQ1929" s="393"/>
      <c r="AR1929" s="337"/>
      <c r="AS1929" s="497"/>
      <c r="AT1929" s="544"/>
      <c r="AU1929" s="394"/>
      <c r="AV1929" s="394"/>
      <c r="AW1929" s="394"/>
      <c r="AX1929" s="394"/>
      <c r="AY1929" s="394"/>
      <c r="AZ1929" s="394"/>
      <c r="BA1929" s="394"/>
      <c r="BB1929" s="394"/>
      <c r="BC1929" s="394"/>
      <c r="BD1929" s="381"/>
      <c r="BE1929" s="408"/>
      <c r="BF1929" s="385"/>
      <c r="BG1929" s="475"/>
      <c r="BH1929" s="395"/>
      <c r="BI1929" s="395" t="e">
        <f t="shared" si="1021"/>
        <v>#DIV/0!</v>
      </c>
    </row>
    <row r="1930" spans="1:61" s="358" customFormat="1" ht="19.2" x14ac:dyDescent="0.3">
      <c r="A1930" s="359" t="s">
        <v>2067</v>
      </c>
      <c r="B1930" s="537" t="s">
        <v>1681</v>
      </c>
      <c r="C1930" s="546" t="s">
        <v>1103</v>
      </c>
      <c r="D1930" s="360">
        <v>0.4</v>
      </c>
      <c r="E1930" s="393"/>
      <c r="F1930" s="337">
        <v>1</v>
      </c>
      <c r="G1930" s="497"/>
      <c r="H1930" s="544">
        <v>13.308909999999999</v>
      </c>
      <c r="I1930" s="394">
        <v>11.394629999999999</v>
      </c>
      <c r="J1930" s="394">
        <v>10.45833</v>
      </c>
      <c r="K1930" s="394"/>
      <c r="L1930" s="394"/>
      <c r="M1930" s="394">
        <v>0</v>
      </c>
      <c r="N1930" s="394">
        <v>0</v>
      </c>
      <c r="O1930" s="394">
        <v>0.44627</v>
      </c>
      <c r="P1930" s="394">
        <v>10.45833</v>
      </c>
      <c r="Q1930" s="394"/>
      <c r="R1930" s="381" t="s">
        <v>167</v>
      </c>
      <c r="S1930" s="408" t="s">
        <v>175</v>
      </c>
      <c r="T1930" s="385"/>
      <c r="U1930" s="475">
        <v>850</v>
      </c>
      <c r="V1930" s="395"/>
      <c r="W1930" s="395">
        <f t="shared" si="1022"/>
        <v>13.308909999999999</v>
      </c>
      <c r="X1930" s="393"/>
      <c r="Y1930" s="337"/>
      <c r="Z1930" s="497"/>
      <c r="AA1930" s="544"/>
      <c r="AB1930" s="394"/>
      <c r="AC1930" s="394"/>
      <c r="AD1930" s="394"/>
      <c r="AE1930" s="394"/>
      <c r="AF1930" s="394"/>
      <c r="AG1930" s="394"/>
      <c r="AH1930" s="394"/>
      <c r="AI1930" s="394"/>
      <c r="AJ1930" s="394"/>
      <c r="AK1930" s="381"/>
      <c r="AL1930" s="408"/>
      <c r="AM1930" s="385"/>
      <c r="AN1930" s="475"/>
      <c r="AO1930" s="395"/>
      <c r="AP1930" s="395" t="e">
        <f t="shared" si="1019"/>
        <v>#DIV/0!</v>
      </c>
      <c r="AQ1930" s="393"/>
      <c r="AR1930" s="337"/>
      <c r="AS1930" s="497"/>
      <c r="AT1930" s="544"/>
      <c r="AU1930" s="394"/>
      <c r="AV1930" s="394"/>
      <c r="AW1930" s="394"/>
      <c r="AX1930" s="394"/>
      <c r="AY1930" s="394"/>
      <c r="AZ1930" s="394"/>
      <c r="BA1930" s="394"/>
      <c r="BB1930" s="394"/>
      <c r="BC1930" s="394"/>
      <c r="BD1930" s="381"/>
      <c r="BE1930" s="408"/>
      <c r="BF1930" s="385"/>
      <c r="BG1930" s="475"/>
      <c r="BH1930" s="395"/>
      <c r="BI1930" s="395" t="e">
        <f t="shared" si="1021"/>
        <v>#DIV/0!</v>
      </c>
    </row>
    <row r="1931" spans="1:61" s="358" customFormat="1" ht="19.2" x14ac:dyDescent="0.3">
      <c r="A1931" s="359" t="s">
        <v>2084</v>
      </c>
      <c r="B1931" s="537" t="s">
        <v>1682</v>
      </c>
      <c r="C1931" s="546" t="s">
        <v>1104</v>
      </c>
      <c r="D1931" s="360">
        <v>0.4</v>
      </c>
      <c r="E1931" s="393"/>
      <c r="F1931" s="337">
        <v>1</v>
      </c>
      <c r="G1931" s="497"/>
      <c r="H1931" s="544">
        <v>13.308920000000001</v>
      </c>
      <c r="I1931" s="394">
        <v>11.394629999999999</v>
      </c>
      <c r="J1931" s="394">
        <v>10.45834</v>
      </c>
      <c r="K1931" s="394"/>
      <c r="L1931" s="394"/>
      <c r="M1931" s="394">
        <v>0</v>
      </c>
      <c r="N1931" s="394">
        <v>0</v>
      </c>
      <c r="O1931" s="394">
        <v>0.44627</v>
      </c>
      <c r="P1931" s="394">
        <v>10.45834</v>
      </c>
      <c r="Q1931" s="394"/>
      <c r="R1931" s="381" t="s">
        <v>167</v>
      </c>
      <c r="S1931" s="408" t="s">
        <v>175</v>
      </c>
      <c r="T1931" s="385"/>
      <c r="U1931" s="475">
        <v>851</v>
      </c>
      <c r="V1931" s="395"/>
      <c r="W1931" s="395">
        <f t="shared" si="1022"/>
        <v>13.308920000000001</v>
      </c>
      <c r="X1931" s="393"/>
      <c r="Y1931" s="337"/>
      <c r="Z1931" s="497"/>
      <c r="AA1931" s="544"/>
      <c r="AB1931" s="394"/>
      <c r="AC1931" s="394"/>
      <c r="AD1931" s="394"/>
      <c r="AE1931" s="394"/>
      <c r="AF1931" s="394"/>
      <c r="AG1931" s="394"/>
      <c r="AH1931" s="394"/>
      <c r="AI1931" s="394"/>
      <c r="AJ1931" s="394"/>
      <c r="AK1931" s="381"/>
      <c r="AL1931" s="408"/>
      <c r="AM1931" s="385"/>
      <c r="AN1931" s="475"/>
      <c r="AO1931" s="395"/>
      <c r="AP1931" s="395" t="e">
        <f t="shared" ref="AP1931:AP1994" si="1024">AA1931/Y1931</f>
        <v>#DIV/0!</v>
      </c>
      <c r="AQ1931" s="393"/>
      <c r="AR1931" s="337"/>
      <c r="AS1931" s="497"/>
      <c r="AT1931" s="544"/>
      <c r="AU1931" s="394"/>
      <c r="AV1931" s="394"/>
      <c r="AW1931" s="394"/>
      <c r="AX1931" s="394"/>
      <c r="AY1931" s="394"/>
      <c r="AZ1931" s="394"/>
      <c r="BA1931" s="394"/>
      <c r="BB1931" s="394"/>
      <c r="BC1931" s="394"/>
      <c r="BD1931" s="381"/>
      <c r="BE1931" s="408"/>
      <c r="BF1931" s="385"/>
      <c r="BG1931" s="475"/>
      <c r="BH1931" s="395"/>
      <c r="BI1931" s="395" t="e">
        <f t="shared" si="1021"/>
        <v>#DIV/0!</v>
      </c>
    </row>
    <row r="1932" spans="1:61" s="358" customFormat="1" ht="19.2" x14ac:dyDescent="0.3">
      <c r="A1932" s="359" t="s">
        <v>2069</v>
      </c>
      <c r="B1932" s="537" t="s">
        <v>1683</v>
      </c>
      <c r="C1932" s="546" t="s">
        <v>1105</v>
      </c>
      <c r="D1932" s="360">
        <v>0.4</v>
      </c>
      <c r="E1932" s="393"/>
      <c r="F1932" s="337">
        <v>1</v>
      </c>
      <c r="G1932" s="497"/>
      <c r="H1932" s="544">
        <v>13.308920000000001</v>
      </c>
      <c r="I1932" s="394">
        <v>11.394629999999999</v>
      </c>
      <c r="J1932" s="394">
        <v>10.45834</v>
      </c>
      <c r="K1932" s="394"/>
      <c r="L1932" s="394"/>
      <c r="M1932" s="394">
        <v>0</v>
      </c>
      <c r="N1932" s="394">
        <v>0</v>
      </c>
      <c r="O1932" s="394">
        <v>0.44627</v>
      </c>
      <c r="P1932" s="394">
        <v>10.45834</v>
      </c>
      <c r="Q1932" s="394"/>
      <c r="R1932" s="381" t="s">
        <v>167</v>
      </c>
      <c r="S1932" s="408" t="s">
        <v>175</v>
      </c>
      <c r="T1932" s="385"/>
      <c r="U1932" s="475">
        <v>852</v>
      </c>
      <c r="V1932" s="395"/>
      <c r="W1932" s="395">
        <f t="shared" si="1022"/>
        <v>13.308920000000001</v>
      </c>
      <c r="X1932" s="393"/>
      <c r="Y1932" s="337"/>
      <c r="Z1932" s="497"/>
      <c r="AA1932" s="544"/>
      <c r="AB1932" s="394"/>
      <c r="AC1932" s="394"/>
      <c r="AD1932" s="394"/>
      <c r="AE1932" s="394"/>
      <c r="AF1932" s="394"/>
      <c r="AG1932" s="394"/>
      <c r="AH1932" s="394"/>
      <c r="AI1932" s="394"/>
      <c r="AJ1932" s="394"/>
      <c r="AK1932" s="381"/>
      <c r="AL1932" s="408"/>
      <c r="AM1932" s="385"/>
      <c r="AN1932" s="475"/>
      <c r="AO1932" s="395"/>
      <c r="AP1932" s="395" t="e">
        <f t="shared" si="1024"/>
        <v>#DIV/0!</v>
      </c>
      <c r="AQ1932" s="393"/>
      <c r="AR1932" s="337"/>
      <c r="AS1932" s="497"/>
      <c r="AT1932" s="544"/>
      <c r="AU1932" s="394"/>
      <c r="AV1932" s="394"/>
      <c r="AW1932" s="394"/>
      <c r="AX1932" s="394"/>
      <c r="AY1932" s="394"/>
      <c r="AZ1932" s="394"/>
      <c r="BA1932" s="394"/>
      <c r="BB1932" s="394"/>
      <c r="BC1932" s="394"/>
      <c r="BD1932" s="381"/>
      <c r="BE1932" s="408"/>
      <c r="BF1932" s="385"/>
      <c r="BG1932" s="475"/>
      <c r="BH1932" s="395"/>
      <c r="BI1932" s="395" t="e">
        <f t="shared" si="1021"/>
        <v>#DIV/0!</v>
      </c>
    </row>
    <row r="1933" spans="1:61" s="358" customFormat="1" ht="19.2" x14ac:dyDescent="0.3">
      <c r="A1933" s="359" t="s">
        <v>2070</v>
      </c>
      <c r="B1933" s="537" t="s">
        <v>605</v>
      </c>
      <c r="C1933" s="546" t="s">
        <v>478</v>
      </c>
      <c r="D1933" s="360">
        <v>0.4</v>
      </c>
      <c r="E1933" s="393"/>
      <c r="F1933" s="337">
        <v>1</v>
      </c>
      <c r="G1933" s="497"/>
      <c r="H1933" s="544">
        <v>13.3089</v>
      </c>
      <c r="I1933" s="394">
        <v>11.394629999999999</v>
      </c>
      <c r="J1933" s="394">
        <v>10.45833</v>
      </c>
      <c r="K1933" s="394"/>
      <c r="L1933" s="394"/>
      <c r="M1933" s="394">
        <v>0</v>
      </c>
      <c r="N1933" s="394">
        <v>0</v>
      </c>
      <c r="O1933" s="394">
        <v>0.44627</v>
      </c>
      <c r="P1933" s="394">
        <v>10.45833</v>
      </c>
      <c r="Q1933" s="394"/>
      <c r="R1933" s="381" t="s">
        <v>167</v>
      </c>
      <c r="S1933" s="408" t="s">
        <v>175</v>
      </c>
      <c r="T1933" s="385"/>
      <c r="U1933" s="475">
        <v>853</v>
      </c>
      <c r="V1933" s="395"/>
      <c r="W1933" s="395">
        <f t="shared" ref="W1933:W1981" si="1025">H1933/F1933</f>
        <v>13.3089</v>
      </c>
      <c r="X1933" s="393"/>
      <c r="Y1933" s="337"/>
      <c r="Z1933" s="497"/>
      <c r="AA1933" s="544"/>
      <c r="AB1933" s="394"/>
      <c r="AC1933" s="394"/>
      <c r="AD1933" s="394"/>
      <c r="AE1933" s="394"/>
      <c r="AF1933" s="394"/>
      <c r="AG1933" s="394"/>
      <c r="AH1933" s="394"/>
      <c r="AI1933" s="394"/>
      <c r="AJ1933" s="394"/>
      <c r="AK1933" s="381"/>
      <c r="AL1933" s="408"/>
      <c r="AM1933" s="385"/>
      <c r="AN1933" s="475"/>
      <c r="AO1933" s="395"/>
      <c r="AP1933" s="395" t="e">
        <f t="shared" si="1024"/>
        <v>#DIV/0!</v>
      </c>
      <c r="AQ1933" s="393"/>
      <c r="AR1933" s="337"/>
      <c r="AS1933" s="497"/>
      <c r="AT1933" s="544"/>
      <c r="AU1933" s="394"/>
      <c r="AV1933" s="394"/>
      <c r="AW1933" s="394"/>
      <c r="AX1933" s="394"/>
      <c r="AY1933" s="394"/>
      <c r="AZ1933" s="394"/>
      <c r="BA1933" s="394"/>
      <c r="BB1933" s="394"/>
      <c r="BC1933" s="394"/>
      <c r="BD1933" s="381"/>
      <c r="BE1933" s="408"/>
      <c r="BF1933" s="385"/>
      <c r="BG1933" s="475"/>
      <c r="BH1933" s="395"/>
      <c r="BI1933" s="395" t="e">
        <f t="shared" si="1021"/>
        <v>#DIV/0!</v>
      </c>
    </row>
    <row r="1934" spans="1:61" s="358" customFormat="1" ht="19.2" x14ac:dyDescent="0.3">
      <c r="A1934" s="359" t="s">
        <v>2071</v>
      </c>
      <c r="B1934" s="537" t="s">
        <v>1684</v>
      </c>
      <c r="C1934" s="546" t="s">
        <v>1106</v>
      </c>
      <c r="D1934" s="360">
        <v>0.4</v>
      </c>
      <c r="E1934" s="393"/>
      <c r="F1934" s="337">
        <v>1</v>
      </c>
      <c r="G1934" s="497"/>
      <c r="H1934" s="544">
        <v>13.308920000000001</v>
      </c>
      <c r="I1934" s="394">
        <v>11.394629999999999</v>
      </c>
      <c r="J1934" s="394">
        <v>10.45834</v>
      </c>
      <c r="K1934" s="394"/>
      <c r="L1934" s="394"/>
      <c r="M1934" s="394">
        <v>0</v>
      </c>
      <c r="N1934" s="394">
        <v>0</v>
      </c>
      <c r="O1934" s="394">
        <v>0.44627</v>
      </c>
      <c r="P1934" s="394">
        <v>10.45834</v>
      </c>
      <c r="Q1934" s="394"/>
      <c r="R1934" s="381" t="s">
        <v>167</v>
      </c>
      <c r="S1934" s="408" t="s">
        <v>175</v>
      </c>
      <c r="T1934" s="385"/>
      <c r="U1934" s="475">
        <v>854</v>
      </c>
      <c r="V1934" s="395"/>
      <c r="W1934" s="395">
        <f t="shared" si="1025"/>
        <v>13.308920000000001</v>
      </c>
      <c r="X1934" s="393"/>
      <c r="Y1934" s="337"/>
      <c r="Z1934" s="497"/>
      <c r="AA1934" s="544"/>
      <c r="AB1934" s="394"/>
      <c r="AC1934" s="394"/>
      <c r="AD1934" s="394"/>
      <c r="AE1934" s="394"/>
      <c r="AF1934" s="394"/>
      <c r="AG1934" s="394"/>
      <c r="AH1934" s="394"/>
      <c r="AI1934" s="394"/>
      <c r="AJ1934" s="394"/>
      <c r="AK1934" s="381"/>
      <c r="AL1934" s="408"/>
      <c r="AM1934" s="385"/>
      <c r="AN1934" s="475"/>
      <c r="AO1934" s="395"/>
      <c r="AP1934" s="395" t="e">
        <f t="shared" si="1024"/>
        <v>#DIV/0!</v>
      </c>
      <c r="AQ1934" s="393"/>
      <c r="AR1934" s="337"/>
      <c r="AS1934" s="497"/>
      <c r="AT1934" s="544"/>
      <c r="AU1934" s="394"/>
      <c r="AV1934" s="394"/>
      <c r="AW1934" s="394"/>
      <c r="AX1934" s="394"/>
      <c r="AY1934" s="394"/>
      <c r="AZ1934" s="394"/>
      <c r="BA1934" s="394"/>
      <c r="BB1934" s="394"/>
      <c r="BC1934" s="394"/>
      <c r="BD1934" s="381"/>
      <c r="BE1934" s="408"/>
      <c r="BF1934" s="385"/>
      <c r="BG1934" s="475"/>
      <c r="BH1934" s="395"/>
      <c r="BI1934" s="395" t="e">
        <f t="shared" si="1021"/>
        <v>#DIV/0!</v>
      </c>
    </row>
    <row r="1935" spans="1:61" s="358" customFormat="1" ht="19.2" x14ac:dyDescent="0.3">
      <c r="A1935" s="359" t="s">
        <v>2088</v>
      </c>
      <c r="B1935" s="537" t="s">
        <v>1685</v>
      </c>
      <c r="C1935" s="546" t="s">
        <v>1107</v>
      </c>
      <c r="D1935" s="360">
        <v>0.4</v>
      </c>
      <c r="E1935" s="393"/>
      <c r="F1935" s="337">
        <v>1</v>
      </c>
      <c r="G1935" s="497"/>
      <c r="H1935" s="544">
        <v>13.3089</v>
      </c>
      <c r="I1935" s="394">
        <v>11.394629999999999</v>
      </c>
      <c r="J1935" s="394">
        <v>10.45833</v>
      </c>
      <c r="K1935" s="394"/>
      <c r="L1935" s="394"/>
      <c r="M1935" s="394">
        <v>0</v>
      </c>
      <c r="N1935" s="394">
        <v>0</v>
      </c>
      <c r="O1935" s="394">
        <v>0.44627</v>
      </c>
      <c r="P1935" s="394">
        <v>10.45833</v>
      </c>
      <c r="Q1935" s="394"/>
      <c r="R1935" s="381" t="s">
        <v>167</v>
      </c>
      <c r="S1935" s="408" t="s">
        <v>175</v>
      </c>
      <c r="T1935" s="385"/>
      <c r="U1935" s="475">
        <v>855</v>
      </c>
      <c r="V1935" s="395"/>
      <c r="W1935" s="395">
        <f t="shared" si="1025"/>
        <v>13.3089</v>
      </c>
      <c r="X1935" s="393"/>
      <c r="Y1935" s="337"/>
      <c r="Z1935" s="497"/>
      <c r="AA1935" s="544"/>
      <c r="AB1935" s="394"/>
      <c r="AC1935" s="394"/>
      <c r="AD1935" s="394"/>
      <c r="AE1935" s="394"/>
      <c r="AF1935" s="394"/>
      <c r="AG1935" s="394"/>
      <c r="AH1935" s="394"/>
      <c r="AI1935" s="394"/>
      <c r="AJ1935" s="394"/>
      <c r="AK1935" s="381"/>
      <c r="AL1935" s="408"/>
      <c r="AM1935" s="385"/>
      <c r="AN1935" s="475"/>
      <c r="AO1935" s="395"/>
      <c r="AP1935" s="395" t="e">
        <f t="shared" si="1024"/>
        <v>#DIV/0!</v>
      </c>
      <c r="AQ1935" s="393"/>
      <c r="AR1935" s="337"/>
      <c r="AS1935" s="497"/>
      <c r="AT1935" s="544"/>
      <c r="AU1935" s="394"/>
      <c r="AV1935" s="394"/>
      <c r="AW1935" s="394"/>
      <c r="AX1935" s="394"/>
      <c r="AY1935" s="394"/>
      <c r="AZ1935" s="394"/>
      <c r="BA1935" s="394"/>
      <c r="BB1935" s="394"/>
      <c r="BC1935" s="394"/>
      <c r="BD1935" s="381"/>
      <c r="BE1935" s="408"/>
      <c r="BF1935" s="385"/>
      <c r="BG1935" s="475"/>
      <c r="BH1935" s="395"/>
      <c r="BI1935" s="395" t="e">
        <f t="shared" si="1021"/>
        <v>#DIV/0!</v>
      </c>
    </row>
    <row r="1936" spans="1:61" s="358" customFormat="1" ht="19.2" x14ac:dyDescent="0.3">
      <c r="A1936" s="359" t="s">
        <v>2073</v>
      </c>
      <c r="B1936" s="537" t="s">
        <v>1686</v>
      </c>
      <c r="C1936" s="546" t="s">
        <v>1108</v>
      </c>
      <c r="D1936" s="360">
        <v>0.4</v>
      </c>
      <c r="E1936" s="393"/>
      <c r="F1936" s="337">
        <v>1</v>
      </c>
      <c r="G1936" s="497"/>
      <c r="H1936" s="544">
        <v>13.63266</v>
      </c>
      <c r="I1936" s="394">
        <v>11.71838</v>
      </c>
      <c r="J1936" s="394">
        <v>10.45834</v>
      </c>
      <c r="K1936" s="394"/>
      <c r="L1936" s="394"/>
      <c r="M1936" s="394">
        <v>0</v>
      </c>
      <c r="N1936" s="394">
        <v>0</v>
      </c>
      <c r="O1936" s="394">
        <v>0.44627</v>
      </c>
      <c r="P1936" s="394">
        <v>10.45834</v>
      </c>
      <c r="Q1936" s="394"/>
      <c r="R1936" s="381" t="s">
        <v>167</v>
      </c>
      <c r="S1936" s="408" t="s">
        <v>175</v>
      </c>
      <c r="T1936" s="385"/>
      <c r="U1936" s="475">
        <v>856</v>
      </c>
      <c r="V1936" s="395"/>
      <c r="W1936" s="395">
        <f t="shared" si="1025"/>
        <v>13.63266</v>
      </c>
      <c r="X1936" s="393"/>
      <c r="Y1936" s="337"/>
      <c r="Z1936" s="497"/>
      <c r="AA1936" s="544"/>
      <c r="AB1936" s="394"/>
      <c r="AC1936" s="394"/>
      <c r="AD1936" s="394"/>
      <c r="AE1936" s="394"/>
      <c r="AF1936" s="394"/>
      <c r="AG1936" s="394"/>
      <c r="AH1936" s="394"/>
      <c r="AI1936" s="394"/>
      <c r="AJ1936" s="394"/>
      <c r="AK1936" s="381"/>
      <c r="AL1936" s="408"/>
      <c r="AM1936" s="385"/>
      <c r="AN1936" s="475"/>
      <c r="AO1936" s="395"/>
      <c r="AP1936" s="395" t="e">
        <f t="shared" si="1024"/>
        <v>#DIV/0!</v>
      </c>
      <c r="AQ1936" s="393"/>
      <c r="AR1936" s="337"/>
      <c r="AS1936" s="497"/>
      <c r="AT1936" s="544"/>
      <c r="AU1936" s="394"/>
      <c r="AV1936" s="394"/>
      <c r="AW1936" s="394"/>
      <c r="AX1936" s="394"/>
      <c r="AY1936" s="394"/>
      <c r="AZ1936" s="394"/>
      <c r="BA1936" s="394"/>
      <c r="BB1936" s="394"/>
      <c r="BC1936" s="394"/>
      <c r="BD1936" s="381"/>
      <c r="BE1936" s="408"/>
      <c r="BF1936" s="385"/>
      <c r="BG1936" s="475"/>
      <c r="BH1936" s="395"/>
      <c r="BI1936" s="395" t="e">
        <f t="shared" si="1021"/>
        <v>#DIV/0!</v>
      </c>
    </row>
    <row r="1937" spans="1:61" s="358" customFormat="1" ht="19.2" x14ac:dyDescent="0.3">
      <c r="A1937" s="359" t="s">
        <v>2074</v>
      </c>
      <c r="B1937" s="537" t="s">
        <v>1687</v>
      </c>
      <c r="C1937" s="546" t="s">
        <v>1109</v>
      </c>
      <c r="D1937" s="360">
        <v>0.4</v>
      </c>
      <c r="E1937" s="393"/>
      <c r="F1937" s="337">
        <v>1</v>
      </c>
      <c r="G1937" s="497"/>
      <c r="H1937" s="544">
        <v>13.5877</v>
      </c>
      <c r="I1937" s="394">
        <v>11.67342</v>
      </c>
      <c r="J1937" s="394">
        <v>10.45833</v>
      </c>
      <c r="K1937" s="394"/>
      <c r="L1937" s="394"/>
      <c r="M1937" s="394">
        <v>0</v>
      </c>
      <c r="N1937" s="394">
        <v>0</v>
      </c>
      <c r="O1937" s="394">
        <v>0.44627</v>
      </c>
      <c r="P1937" s="394">
        <v>10.45833</v>
      </c>
      <c r="Q1937" s="394"/>
      <c r="R1937" s="381" t="s">
        <v>167</v>
      </c>
      <c r="S1937" s="408" t="s">
        <v>175</v>
      </c>
      <c r="T1937" s="385"/>
      <c r="U1937" s="475">
        <v>857</v>
      </c>
      <c r="V1937" s="395"/>
      <c r="W1937" s="395">
        <f t="shared" si="1025"/>
        <v>13.5877</v>
      </c>
      <c r="X1937" s="393"/>
      <c r="Y1937" s="337"/>
      <c r="Z1937" s="497"/>
      <c r="AA1937" s="544"/>
      <c r="AB1937" s="394"/>
      <c r="AC1937" s="394"/>
      <c r="AD1937" s="394"/>
      <c r="AE1937" s="394"/>
      <c r="AF1937" s="394"/>
      <c r="AG1937" s="394"/>
      <c r="AH1937" s="394"/>
      <c r="AI1937" s="394"/>
      <c r="AJ1937" s="394"/>
      <c r="AK1937" s="381"/>
      <c r="AL1937" s="408"/>
      <c r="AM1937" s="385"/>
      <c r="AN1937" s="475"/>
      <c r="AO1937" s="395"/>
      <c r="AP1937" s="395" t="e">
        <f t="shared" si="1024"/>
        <v>#DIV/0!</v>
      </c>
      <c r="AQ1937" s="393"/>
      <c r="AR1937" s="337"/>
      <c r="AS1937" s="497"/>
      <c r="AT1937" s="544"/>
      <c r="AU1937" s="394"/>
      <c r="AV1937" s="394"/>
      <c r="AW1937" s="394"/>
      <c r="AX1937" s="394"/>
      <c r="AY1937" s="394"/>
      <c r="AZ1937" s="394"/>
      <c r="BA1937" s="394"/>
      <c r="BB1937" s="394"/>
      <c r="BC1937" s="394"/>
      <c r="BD1937" s="381"/>
      <c r="BE1937" s="408"/>
      <c r="BF1937" s="385"/>
      <c r="BG1937" s="475"/>
      <c r="BH1937" s="395"/>
      <c r="BI1937" s="395" t="e">
        <f t="shared" si="1021"/>
        <v>#DIV/0!</v>
      </c>
    </row>
    <row r="1938" spans="1:61" s="358" customFormat="1" ht="19.2" x14ac:dyDescent="0.3">
      <c r="A1938" s="359" t="s">
        <v>2059</v>
      </c>
      <c r="B1938" s="537" t="s">
        <v>1688</v>
      </c>
      <c r="C1938" s="546" t="s">
        <v>1110</v>
      </c>
      <c r="D1938" s="360">
        <v>0.4</v>
      </c>
      <c r="E1938" s="393"/>
      <c r="F1938" s="337">
        <v>1</v>
      </c>
      <c r="G1938" s="497"/>
      <c r="H1938" s="544">
        <v>13.6325</v>
      </c>
      <c r="I1938" s="394">
        <v>11.67342</v>
      </c>
      <c r="J1938" s="394">
        <v>10.45833</v>
      </c>
      <c r="K1938" s="394"/>
      <c r="L1938" s="394"/>
      <c r="M1938" s="394">
        <v>0</v>
      </c>
      <c r="N1938" s="394">
        <v>0</v>
      </c>
      <c r="O1938" s="394">
        <v>0.44672000000000001</v>
      </c>
      <c r="P1938" s="394">
        <v>10.45833</v>
      </c>
      <c r="Q1938" s="394"/>
      <c r="R1938" s="381" t="s">
        <v>167</v>
      </c>
      <c r="S1938" s="408" t="s">
        <v>175</v>
      </c>
      <c r="T1938" s="385"/>
      <c r="U1938" s="475">
        <v>858</v>
      </c>
      <c r="V1938" s="395"/>
      <c r="W1938" s="395">
        <f t="shared" si="1025"/>
        <v>13.6325</v>
      </c>
      <c r="X1938" s="393"/>
      <c r="Y1938" s="337"/>
      <c r="Z1938" s="497"/>
      <c r="AA1938" s="544"/>
      <c r="AB1938" s="394"/>
      <c r="AC1938" s="394"/>
      <c r="AD1938" s="394"/>
      <c r="AE1938" s="394"/>
      <c r="AF1938" s="394"/>
      <c r="AG1938" s="394"/>
      <c r="AH1938" s="394"/>
      <c r="AI1938" s="394"/>
      <c r="AJ1938" s="394"/>
      <c r="AK1938" s="381"/>
      <c r="AL1938" s="408"/>
      <c r="AM1938" s="385"/>
      <c r="AN1938" s="475"/>
      <c r="AO1938" s="395"/>
      <c r="AP1938" s="395" t="e">
        <f t="shared" si="1024"/>
        <v>#DIV/0!</v>
      </c>
      <c r="AQ1938" s="393"/>
      <c r="AR1938" s="337"/>
      <c r="AS1938" s="497"/>
      <c r="AT1938" s="544"/>
      <c r="AU1938" s="394"/>
      <c r="AV1938" s="394"/>
      <c r="AW1938" s="394"/>
      <c r="AX1938" s="394"/>
      <c r="AY1938" s="394"/>
      <c r="AZ1938" s="394"/>
      <c r="BA1938" s="394"/>
      <c r="BB1938" s="394"/>
      <c r="BC1938" s="394"/>
      <c r="BD1938" s="381"/>
      <c r="BE1938" s="408"/>
      <c r="BF1938" s="385"/>
      <c r="BG1938" s="475"/>
      <c r="BH1938" s="395"/>
      <c r="BI1938" s="395" t="e">
        <f t="shared" si="1021"/>
        <v>#DIV/0!</v>
      </c>
    </row>
    <row r="1939" spans="1:61" s="358" customFormat="1" ht="19.2" x14ac:dyDescent="0.3">
      <c r="A1939" s="359" t="s">
        <v>2076</v>
      </c>
      <c r="B1939" s="537" t="s">
        <v>1689</v>
      </c>
      <c r="C1939" s="546" t="s">
        <v>1113</v>
      </c>
      <c r="D1939" s="360">
        <v>0.4</v>
      </c>
      <c r="E1939" s="393"/>
      <c r="F1939" s="337">
        <v>1</v>
      </c>
      <c r="G1939" s="497"/>
      <c r="H1939" s="544">
        <v>13.78523</v>
      </c>
      <c r="I1939" s="394">
        <v>11.870950000000001</v>
      </c>
      <c r="J1939" s="394">
        <v>10.45833</v>
      </c>
      <c r="K1939" s="394"/>
      <c r="L1939" s="394"/>
      <c r="M1939" s="394">
        <v>0</v>
      </c>
      <c r="N1939" s="394">
        <v>0</v>
      </c>
      <c r="O1939" s="394">
        <v>0.44627</v>
      </c>
      <c r="P1939" s="394">
        <v>10.45833</v>
      </c>
      <c r="Q1939" s="394"/>
      <c r="R1939" s="381" t="s">
        <v>167</v>
      </c>
      <c r="S1939" s="408" t="s">
        <v>175</v>
      </c>
      <c r="T1939" s="385"/>
      <c r="U1939" s="475">
        <v>859</v>
      </c>
      <c r="V1939" s="395"/>
      <c r="W1939" s="395">
        <f t="shared" si="1025"/>
        <v>13.78523</v>
      </c>
      <c r="X1939" s="393"/>
      <c r="Y1939" s="337"/>
      <c r="Z1939" s="497"/>
      <c r="AA1939" s="544"/>
      <c r="AB1939" s="394"/>
      <c r="AC1939" s="394"/>
      <c r="AD1939" s="394"/>
      <c r="AE1939" s="394"/>
      <c r="AF1939" s="394"/>
      <c r="AG1939" s="394"/>
      <c r="AH1939" s="394"/>
      <c r="AI1939" s="394"/>
      <c r="AJ1939" s="394"/>
      <c r="AK1939" s="381"/>
      <c r="AL1939" s="408"/>
      <c r="AM1939" s="385"/>
      <c r="AN1939" s="475"/>
      <c r="AO1939" s="395"/>
      <c r="AP1939" s="395" t="e">
        <f t="shared" si="1024"/>
        <v>#DIV/0!</v>
      </c>
      <c r="AQ1939" s="393"/>
      <c r="AR1939" s="337"/>
      <c r="AS1939" s="497"/>
      <c r="AT1939" s="544"/>
      <c r="AU1939" s="394"/>
      <c r="AV1939" s="394"/>
      <c r="AW1939" s="394"/>
      <c r="AX1939" s="394"/>
      <c r="AY1939" s="394"/>
      <c r="AZ1939" s="394"/>
      <c r="BA1939" s="394"/>
      <c r="BB1939" s="394"/>
      <c r="BC1939" s="394"/>
      <c r="BD1939" s="381"/>
      <c r="BE1939" s="408"/>
      <c r="BF1939" s="385"/>
      <c r="BG1939" s="475"/>
      <c r="BH1939" s="395"/>
      <c r="BI1939" s="395" t="e">
        <f t="shared" si="1021"/>
        <v>#DIV/0!</v>
      </c>
    </row>
    <row r="1940" spans="1:61" s="358" customFormat="1" ht="19.2" x14ac:dyDescent="0.3">
      <c r="A1940" s="359" t="s">
        <v>2077</v>
      </c>
      <c r="B1940" s="537" t="s">
        <v>1690</v>
      </c>
      <c r="C1940" s="546" t="s">
        <v>1114</v>
      </c>
      <c r="D1940" s="360">
        <v>0.4</v>
      </c>
      <c r="E1940" s="393"/>
      <c r="F1940" s="337">
        <v>1</v>
      </c>
      <c r="G1940" s="497"/>
      <c r="H1940" s="544">
        <v>13.785209999999999</v>
      </c>
      <c r="I1940" s="394">
        <v>11.87093</v>
      </c>
      <c r="J1940" s="394">
        <v>10.458310000000001</v>
      </c>
      <c r="K1940" s="394"/>
      <c r="L1940" s="394"/>
      <c r="M1940" s="394">
        <v>0</v>
      </c>
      <c r="N1940" s="394">
        <v>0</v>
      </c>
      <c r="O1940" s="394">
        <v>0.44627</v>
      </c>
      <c r="P1940" s="394">
        <v>10.458310000000001</v>
      </c>
      <c r="Q1940" s="394"/>
      <c r="R1940" s="381" t="s">
        <v>167</v>
      </c>
      <c r="S1940" s="408" t="s">
        <v>175</v>
      </c>
      <c r="T1940" s="385"/>
      <c r="U1940" s="475">
        <v>860</v>
      </c>
      <c r="V1940" s="395"/>
      <c r="W1940" s="395">
        <f t="shared" si="1025"/>
        <v>13.785209999999999</v>
      </c>
      <c r="X1940" s="393"/>
      <c r="Y1940" s="337"/>
      <c r="Z1940" s="497"/>
      <c r="AA1940" s="544"/>
      <c r="AB1940" s="394"/>
      <c r="AC1940" s="394"/>
      <c r="AD1940" s="394"/>
      <c r="AE1940" s="394"/>
      <c r="AF1940" s="394"/>
      <c r="AG1940" s="394"/>
      <c r="AH1940" s="394"/>
      <c r="AI1940" s="394"/>
      <c r="AJ1940" s="394"/>
      <c r="AK1940" s="381"/>
      <c r="AL1940" s="408"/>
      <c r="AM1940" s="385"/>
      <c r="AN1940" s="475"/>
      <c r="AO1940" s="395"/>
      <c r="AP1940" s="395" t="e">
        <f t="shared" si="1024"/>
        <v>#DIV/0!</v>
      </c>
      <c r="AQ1940" s="393"/>
      <c r="AR1940" s="337"/>
      <c r="AS1940" s="497"/>
      <c r="AT1940" s="544"/>
      <c r="AU1940" s="394"/>
      <c r="AV1940" s="394"/>
      <c r="AW1940" s="394"/>
      <c r="AX1940" s="394"/>
      <c r="AY1940" s="394"/>
      <c r="AZ1940" s="394"/>
      <c r="BA1940" s="394"/>
      <c r="BB1940" s="394"/>
      <c r="BC1940" s="394"/>
      <c r="BD1940" s="381"/>
      <c r="BE1940" s="408"/>
      <c r="BF1940" s="385"/>
      <c r="BG1940" s="475"/>
      <c r="BH1940" s="395"/>
      <c r="BI1940" s="395" t="e">
        <f t="shared" si="1021"/>
        <v>#DIV/0!</v>
      </c>
    </row>
    <row r="1941" spans="1:61" s="358" customFormat="1" ht="19.2" x14ac:dyDescent="0.3">
      <c r="A1941" s="359" t="s">
        <v>2078</v>
      </c>
      <c r="B1941" s="537" t="s">
        <v>1691</v>
      </c>
      <c r="C1941" s="546" t="s">
        <v>1115</v>
      </c>
      <c r="D1941" s="360">
        <v>0.4</v>
      </c>
      <c r="E1941" s="393"/>
      <c r="F1941" s="337">
        <v>1</v>
      </c>
      <c r="G1941" s="497"/>
      <c r="H1941" s="544">
        <v>13.78523</v>
      </c>
      <c r="I1941" s="394">
        <v>11.87093</v>
      </c>
      <c r="J1941" s="394">
        <v>10.45833</v>
      </c>
      <c r="K1941" s="394"/>
      <c r="L1941" s="394"/>
      <c r="M1941" s="394">
        <v>0</v>
      </c>
      <c r="N1941" s="394">
        <v>0</v>
      </c>
      <c r="O1941" s="394">
        <v>0.44627</v>
      </c>
      <c r="P1941" s="394">
        <v>10.45833</v>
      </c>
      <c r="Q1941" s="394"/>
      <c r="R1941" s="381" t="s">
        <v>167</v>
      </c>
      <c r="S1941" s="408" t="s">
        <v>175</v>
      </c>
      <c r="T1941" s="385"/>
      <c r="U1941" s="475">
        <v>861</v>
      </c>
      <c r="V1941" s="395"/>
      <c r="W1941" s="395">
        <f t="shared" si="1025"/>
        <v>13.78523</v>
      </c>
      <c r="X1941" s="393"/>
      <c r="Y1941" s="337"/>
      <c r="Z1941" s="497"/>
      <c r="AA1941" s="544"/>
      <c r="AB1941" s="394"/>
      <c r="AC1941" s="394"/>
      <c r="AD1941" s="394"/>
      <c r="AE1941" s="394"/>
      <c r="AF1941" s="394"/>
      <c r="AG1941" s="394"/>
      <c r="AH1941" s="394"/>
      <c r="AI1941" s="394"/>
      <c r="AJ1941" s="394"/>
      <c r="AK1941" s="381"/>
      <c r="AL1941" s="408"/>
      <c r="AM1941" s="385"/>
      <c r="AN1941" s="475"/>
      <c r="AO1941" s="395"/>
      <c r="AP1941" s="395" t="e">
        <f t="shared" si="1024"/>
        <v>#DIV/0!</v>
      </c>
      <c r="AQ1941" s="393"/>
      <c r="AR1941" s="337"/>
      <c r="AS1941" s="497"/>
      <c r="AT1941" s="544"/>
      <c r="AU1941" s="394"/>
      <c r="AV1941" s="394"/>
      <c r="AW1941" s="394"/>
      <c r="AX1941" s="394"/>
      <c r="AY1941" s="394"/>
      <c r="AZ1941" s="394"/>
      <c r="BA1941" s="394"/>
      <c r="BB1941" s="394"/>
      <c r="BC1941" s="394"/>
      <c r="BD1941" s="381"/>
      <c r="BE1941" s="408"/>
      <c r="BF1941" s="385"/>
      <c r="BG1941" s="475"/>
      <c r="BH1941" s="395"/>
      <c r="BI1941" s="395" t="e">
        <f t="shared" si="1021"/>
        <v>#DIV/0!</v>
      </c>
    </row>
    <row r="1942" spans="1:61" s="358" customFormat="1" ht="19.2" x14ac:dyDescent="0.3">
      <c r="A1942" s="359" t="s">
        <v>2079</v>
      </c>
      <c r="B1942" s="537" t="s">
        <v>1692</v>
      </c>
      <c r="C1942" s="546" t="s">
        <v>1116</v>
      </c>
      <c r="D1942" s="360">
        <v>0.4</v>
      </c>
      <c r="E1942" s="393"/>
      <c r="F1942" s="337">
        <v>1</v>
      </c>
      <c r="G1942" s="497"/>
      <c r="H1942" s="544">
        <v>13.785209999999999</v>
      </c>
      <c r="I1942" s="394">
        <v>11.87093</v>
      </c>
      <c r="J1942" s="394">
        <v>10.458310000000001</v>
      </c>
      <c r="K1942" s="394"/>
      <c r="L1942" s="394"/>
      <c r="M1942" s="394">
        <v>0</v>
      </c>
      <c r="N1942" s="394">
        <v>0</v>
      </c>
      <c r="O1942" s="394">
        <v>0.44627</v>
      </c>
      <c r="P1942" s="394">
        <v>10.458310000000001</v>
      </c>
      <c r="Q1942" s="394"/>
      <c r="R1942" s="381" t="s">
        <v>167</v>
      </c>
      <c r="S1942" s="408" t="s">
        <v>175</v>
      </c>
      <c r="T1942" s="385"/>
      <c r="U1942" s="475">
        <v>862</v>
      </c>
      <c r="V1942" s="395"/>
      <c r="W1942" s="395">
        <f t="shared" si="1025"/>
        <v>13.785209999999999</v>
      </c>
      <c r="X1942" s="393"/>
      <c r="Y1942" s="337"/>
      <c r="Z1942" s="497"/>
      <c r="AA1942" s="544"/>
      <c r="AB1942" s="394"/>
      <c r="AC1942" s="394"/>
      <c r="AD1942" s="394"/>
      <c r="AE1942" s="394"/>
      <c r="AF1942" s="394"/>
      <c r="AG1942" s="394"/>
      <c r="AH1942" s="394"/>
      <c r="AI1942" s="394"/>
      <c r="AJ1942" s="394"/>
      <c r="AK1942" s="381"/>
      <c r="AL1942" s="408"/>
      <c r="AM1942" s="385"/>
      <c r="AN1942" s="475"/>
      <c r="AO1942" s="395"/>
      <c r="AP1942" s="395" t="e">
        <f t="shared" si="1024"/>
        <v>#DIV/0!</v>
      </c>
      <c r="AQ1942" s="393"/>
      <c r="AR1942" s="337"/>
      <c r="AS1942" s="497"/>
      <c r="AT1942" s="544"/>
      <c r="AU1942" s="394"/>
      <c r="AV1942" s="394"/>
      <c r="AW1942" s="394"/>
      <c r="AX1942" s="394"/>
      <c r="AY1942" s="394"/>
      <c r="AZ1942" s="394"/>
      <c r="BA1942" s="394"/>
      <c r="BB1942" s="394"/>
      <c r="BC1942" s="394"/>
      <c r="BD1942" s="381"/>
      <c r="BE1942" s="408"/>
      <c r="BF1942" s="385"/>
      <c r="BG1942" s="475"/>
      <c r="BH1942" s="395"/>
      <c r="BI1942" s="395" t="e">
        <f t="shared" si="1021"/>
        <v>#DIV/0!</v>
      </c>
    </row>
    <row r="1943" spans="1:61" s="358" customFormat="1" ht="19.2" x14ac:dyDescent="0.3">
      <c r="A1943" s="359" t="s">
        <v>2080</v>
      </c>
      <c r="B1943" s="537" t="s">
        <v>1693</v>
      </c>
      <c r="C1943" s="546" t="s">
        <v>1117</v>
      </c>
      <c r="D1943" s="360">
        <v>0.4</v>
      </c>
      <c r="E1943" s="393"/>
      <c r="F1943" s="337">
        <v>1</v>
      </c>
      <c r="G1943" s="497"/>
      <c r="H1943" s="544">
        <v>13.785220000000001</v>
      </c>
      <c r="I1943" s="394">
        <v>11.87093</v>
      </c>
      <c r="J1943" s="394">
        <v>10.458320000000001</v>
      </c>
      <c r="K1943" s="394"/>
      <c r="L1943" s="394"/>
      <c r="M1943" s="394">
        <v>0</v>
      </c>
      <c r="N1943" s="394">
        <v>0</v>
      </c>
      <c r="O1943" s="394">
        <v>0.44627</v>
      </c>
      <c r="P1943" s="394">
        <v>10.458320000000001</v>
      </c>
      <c r="Q1943" s="394"/>
      <c r="R1943" s="381" t="s">
        <v>167</v>
      </c>
      <c r="S1943" s="408" t="s">
        <v>175</v>
      </c>
      <c r="T1943" s="385"/>
      <c r="U1943" s="475">
        <v>863</v>
      </c>
      <c r="V1943" s="395"/>
      <c r="W1943" s="395">
        <f t="shared" si="1025"/>
        <v>13.785220000000001</v>
      </c>
      <c r="X1943" s="393"/>
      <c r="Y1943" s="337"/>
      <c r="Z1943" s="497"/>
      <c r="AA1943" s="544"/>
      <c r="AB1943" s="394"/>
      <c r="AC1943" s="394"/>
      <c r="AD1943" s="394"/>
      <c r="AE1943" s="394"/>
      <c r="AF1943" s="394"/>
      <c r="AG1943" s="394"/>
      <c r="AH1943" s="394"/>
      <c r="AI1943" s="394"/>
      <c r="AJ1943" s="394"/>
      <c r="AK1943" s="381"/>
      <c r="AL1943" s="408"/>
      <c r="AM1943" s="385"/>
      <c r="AN1943" s="475"/>
      <c r="AO1943" s="395"/>
      <c r="AP1943" s="395" t="e">
        <f t="shared" si="1024"/>
        <v>#DIV/0!</v>
      </c>
      <c r="AQ1943" s="393"/>
      <c r="AR1943" s="337"/>
      <c r="AS1943" s="497"/>
      <c r="AT1943" s="544"/>
      <c r="AU1943" s="394"/>
      <c r="AV1943" s="394"/>
      <c r="AW1943" s="394"/>
      <c r="AX1943" s="394"/>
      <c r="AY1943" s="394"/>
      <c r="AZ1943" s="394"/>
      <c r="BA1943" s="394"/>
      <c r="BB1943" s="394"/>
      <c r="BC1943" s="394"/>
      <c r="BD1943" s="381"/>
      <c r="BE1943" s="408"/>
      <c r="BF1943" s="385"/>
      <c r="BG1943" s="475"/>
      <c r="BH1943" s="395"/>
      <c r="BI1943" s="395" t="e">
        <f t="shared" ref="BI1943:BI2006" si="1026">AT1943/AR1943</f>
        <v>#DIV/0!</v>
      </c>
    </row>
    <row r="1944" spans="1:61" s="358" customFormat="1" ht="19.2" x14ac:dyDescent="0.3">
      <c r="A1944" s="359" t="s">
        <v>2081</v>
      </c>
      <c r="B1944" s="537" t="s">
        <v>1694</v>
      </c>
      <c r="C1944" s="546" t="s">
        <v>1118</v>
      </c>
      <c r="D1944" s="360">
        <v>0.4</v>
      </c>
      <c r="E1944" s="393"/>
      <c r="F1944" s="337">
        <v>1</v>
      </c>
      <c r="G1944" s="497"/>
      <c r="H1944" s="544">
        <v>14.10894</v>
      </c>
      <c r="I1944" s="394">
        <v>12.194660000000001</v>
      </c>
      <c r="J1944" s="394">
        <v>10.45834</v>
      </c>
      <c r="K1944" s="394"/>
      <c r="L1944" s="394"/>
      <c r="M1944" s="394">
        <v>0</v>
      </c>
      <c r="N1944" s="394">
        <v>0</v>
      </c>
      <c r="O1944" s="394">
        <v>0.44627</v>
      </c>
      <c r="P1944" s="394">
        <v>10.45834</v>
      </c>
      <c r="Q1944" s="394"/>
      <c r="R1944" s="381" t="s">
        <v>167</v>
      </c>
      <c r="S1944" s="408" t="s">
        <v>175</v>
      </c>
      <c r="T1944" s="385"/>
      <c r="U1944" s="475">
        <v>864</v>
      </c>
      <c r="V1944" s="395"/>
      <c r="W1944" s="395">
        <f t="shared" si="1025"/>
        <v>14.10894</v>
      </c>
      <c r="X1944" s="393"/>
      <c r="Y1944" s="337"/>
      <c r="Z1944" s="497"/>
      <c r="AA1944" s="544"/>
      <c r="AB1944" s="394"/>
      <c r="AC1944" s="394"/>
      <c r="AD1944" s="394"/>
      <c r="AE1944" s="394"/>
      <c r="AF1944" s="394"/>
      <c r="AG1944" s="394"/>
      <c r="AH1944" s="394"/>
      <c r="AI1944" s="394"/>
      <c r="AJ1944" s="394"/>
      <c r="AK1944" s="381"/>
      <c r="AL1944" s="408"/>
      <c r="AM1944" s="385"/>
      <c r="AN1944" s="475"/>
      <c r="AO1944" s="395"/>
      <c r="AP1944" s="395" t="e">
        <f t="shared" si="1024"/>
        <v>#DIV/0!</v>
      </c>
      <c r="AQ1944" s="393"/>
      <c r="AR1944" s="337"/>
      <c r="AS1944" s="497"/>
      <c r="AT1944" s="544"/>
      <c r="AU1944" s="394"/>
      <c r="AV1944" s="394"/>
      <c r="AW1944" s="394"/>
      <c r="AX1944" s="394"/>
      <c r="AY1944" s="394"/>
      <c r="AZ1944" s="394"/>
      <c r="BA1944" s="394"/>
      <c r="BB1944" s="394"/>
      <c r="BC1944" s="394"/>
      <c r="BD1944" s="381"/>
      <c r="BE1944" s="408"/>
      <c r="BF1944" s="385"/>
      <c r="BG1944" s="475"/>
      <c r="BH1944" s="395"/>
      <c r="BI1944" s="395" t="e">
        <f t="shared" si="1026"/>
        <v>#DIV/0!</v>
      </c>
    </row>
    <row r="1945" spans="1:61" s="358" customFormat="1" ht="19.2" x14ac:dyDescent="0.3">
      <c r="A1945" s="359" t="s">
        <v>2082</v>
      </c>
      <c r="B1945" s="537" t="s">
        <v>1695</v>
      </c>
      <c r="C1945" s="546" t="s">
        <v>1119</v>
      </c>
      <c r="D1945" s="360">
        <v>0.4</v>
      </c>
      <c r="E1945" s="393"/>
      <c r="F1945" s="337">
        <v>1</v>
      </c>
      <c r="G1945" s="497"/>
      <c r="H1945" s="544">
        <v>14.10895</v>
      </c>
      <c r="I1945" s="394">
        <v>12.194660000000001</v>
      </c>
      <c r="J1945" s="394">
        <v>10.45834</v>
      </c>
      <c r="K1945" s="394"/>
      <c r="L1945" s="394"/>
      <c r="M1945" s="394">
        <v>0</v>
      </c>
      <c r="N1945" s="394">
        <v>0</v>
      </c>
      <c r="O1945" s="394">
        <v>0.44627</v>
      </c>
      <c r="P1945" s="394">
        <v>10.45834</v>
      </c>
      <c r="Q1945" s="394"/>
      <c r="R1945" s="381" t="s">
        <v>167</v>
      </c>
      <c r="S1945" s="408" t="s">
        <v>175</v>
      </c>
      <c r="T1945" s="385"/>
      <c r="U1945" s="475">
        <v>865</v>
      </c>
      <c r="V1945" s="395"/>
      <c r="W1945" s="395">
        <f t="shared" si="1025"/>
        <v>14.10895</v>
      </c>
      <c r="X1945" s="393"/>
      <c r="Y1945" s="337"/>
      <c r="Z1945" s="497"/>
      <c r="AA1945" s="544"/>
      <c r="AB1945" s="394"/>
      <c r="AC1945" s="394"/>
      <c r="AD1945" s="394"/>
      <c r="AE1945" s="394"/>
      <c r="AF1945" s="394"/>
      <c r="AG1945" s="394"/>
      <c r="AH1945" s="394"/>
      <c r="AI1945" s="394"/>
      <c r="AJ1945" s="394"/>
      <c r="AK1945" s="381"/>
      <c r="AL1945" s="408"/>
      <c r="AM1945" s="385"/>
      <c r="AN1945" s="475"/>
      <c r="AO1945" s="395"/>
      <c r="AP1945" s="395" t="e">
        <f t="shared" si="1024"/>
        <v>#DIV/0!</v>
      </c>
      <c r="AQ1945" s="393"/>
      <c r="AR1945" s="337"/>
      <c r="AS1945" s="497"/>
      <c r="AT1945" s="544"/>
      <c r="AU1945" s="394"/>
      <c r="AV1945" s="394"/>
      <c r="AW1945" s="394"/>
      <c r="AX1945" s="394"/>
      <c r="AY1945" s="394"/>
      <c r="AZ1945" s="394"/>
      <c r="BA1945" s="394"/>
      <c r="BB1945" s="394"/>
      <c r="BC1945" s="394"/>
      <c r="BD1945" s="381"/>
      <c r="BE1945" s="408"/>
      <c r="BF1945" s="385"/>
      <c r="BG1945" s="475"/>
      <c r="BH1945" s="395"/>
      <c r="BI1945" s="395" t="e">
        <f t="shared" si="1026"/>
        <v>#DIV/0!</v>
      </c>
    </row>
    <row r="1946" spans="1:61" s="358" customFormat="1" ht="19.2" x14ac:dyDescent="0.3">
      <c r="A1946" s="359" t="s">
        <v>2083</v>
      </c>
      <c r="B1946" s="537" t="s">
        <v>1696</v>
      </c>
      <c r="C1946" s="546" t="s">
        <v>1120</v>
      </c>
      <c r="D1946" s="360">
        <v>0.4</v>
      </c>
      <c r="E1946" s="393"/>
      <c r="F1946" s="337">
        <v>1</v>
      </c>
      <c r="G1946" s="497"/>
      <c r="H1946" s="544">
        <v>13.785209999999999</v>
      </c>
      <c r="I1946" s="394">
        <v>11.87093</v>
      </c>
      <c r="J1946" s="394">
        <v>10.458310000000001</v>
      </c>
      <c r="K1946" s="394"/>
      <c r="L1946" s="394"/>
      <c r="M1946" s="394">
        <v>0</v>
      </c>
      <c r="N1946" s="394">
        <v>0</v>
      </c>
      <c r="O1946" s="394">
        <v>0.44627</v>
      </c>
      <c r="P1946" s="394">
        <v>10.458310000000001</v>
      </c>
      <c r="Q1946" s="394"/>
      <c r="R1946" s="381" t="s">
        <v>167</v>
      </c>
      <c r="S1946" s="408" t="s">
        <v>175</v>
      </c>
      <c r="T1946" s="385"/>
      <c r="U1946" s="475">
        <v>866</v>
      </c>
      <c r="V1946" s="395"/>
      <c r="W1946" s="395">
        <f t="shared" si="1025"/>
        <v>13.785209999999999</v>
      </c>
      <c r="X1946" s="393"/>
      <c r="Y1946" s="337"/>
      <c r="Z1946" s="497"/>
      <c r="AA1946" s="544"/>
      <c r="AB1946" s="394"/>
      <c r="AC1946" s="394"/>
      <c r="AD1946" s="394"/>
      <c r="AE1946" s="394"/>
      <c r="AF1946" s="394"/>
      <c r="AG1946" s="394"/>
      <c r="AH1946" s="394"/>
      <c r="AI1946" s="394"/>
      <c r="AJ1946" s="394"/>
      <c r="AK1946" s="381"/>
      <c r="AL1946" s="408"/>
      <c r="AM1946" s="385"/>
      <c r="AN1946" s="475"/>
      <c r="AO1946" s="395"/>
      <c r="AP1946" s="395" t="e">
        <f t="shared" si="1024"/>
        <v>#DIV/0!</v>
      </c>
      <c r="AQ1946" s="393"/>
      <c r="AR1946" s="337"/>
      <c r="AS1946" s="497"/>
      <c r="AT1946" s="544"/>
      <c r="AU1946" s="394"/>
      <c r="AV1946" s="394"/>
      <c r="AW1946" s="394"/>
      <c r="AX1946" s="394"/>
      <c r="AY1946" s="394"/>
      <c r="AZ1946" s="394"/>
      <c r="BA1946" s="394"/>
      <c r="BB1946" s="394"/>
      <c r="BC1946" s="394"/>
      <c r="BD1946" s="381"/>
      <c r="BE1946" s="408"/>
      <c r="BF1946" s="385"/>
      <c r="BG1946" s="475"/>
      <c r="BH1946" s="395"/>
      <c r="BI1946" s="395" t="e">
        <f t="shared" si="1026"/>
        <v>#DIV/0!</v>
      </c>
    </row>
    <row r="1947" spans="1:61" s="358" customFormat="1" ht="19.2" x14ac:dyDescent="0.3">
      <c r="A1947" s="359" t="s">
        <v>2100</v>
      </c>
      <c r="B1947" s="537" t="s">
        <v>1697</v>
      </c>
      <c r="C1947" s="546" t="s">
        <v>1121</v>
      </c>
      <c r="D1947" s="360">
        <v>0.4</v>
      </c>
      <c r="E1947" s="393"/>
      <c r="F1947" s="337">
        <v>1</v>
      </c>
      <c r="G1947" s="497"/>
      <c r="H1947" s="544">
        <v>13.78523</v>
      </c>
      <c r="I1947" s="394">
        <v>11.87093</v>
      </c>
      <c r="J1947" s="394">
        <v>10.45833</v>
      </c>
      <c r="K1947" s="394"/>
      <c r="L1947" s="394"/>
      <c r="M1947" s="394">
        <v>0</v>
      </c>
      <c r="N1947" s="394">
        <v>0</v>
      </c>
      <c r="O1947" s="394">
        <v>0.44627</v>
      </c>
      <c r="P1947" s="394">
        <v>10.45833</v>
      </c>
      <c r="Q1947" s="394"/>
      <c r="R1947" s="381" t="s">
        <v>167</v>
      </c>
      <c r="S1947" s="408" t="s">
        <v>175</v>
      </c>
      <c r="T1947" s="385"/>
      <c r="U1947" s="475">
        <v>867</v>
      </c>
      <c r="V1947" s="395"/>
      <c r="W1947" s="395">
        <f t="shared" si="1025"/>
        <v>13.78523</v>
      </c>
      <c r="X1947" s="393"/>
      <c r="Y1947" s="337"/>
      <c r="Z1947" s="497"/>
      <c r="AA1947" s="544"/>
      <c r="AB1947" s="394"/>
      <c r="AC1947" s="394"/>
      <c r="AD1947" s="394"/>
      <c r="AE1947" s="394"/>
      <c r="AF1947" s="394"/>
      <c r="AG1947" s="394"/>
      <c r="AH1947" s="394"/>
      <c r="AI1947" s="394"/>
      <c r="AJ1947" s="394"/>
      <c r="AK1947" s="381"/>
      <c r="AL1947" s="408"/>
      <c r="AM1947" s="385"/>
      <c r="AN1947" s="475"/>
      <c r="AO1947" s="395"/>
      <c r="AP1947" s="395" t="e">
        <f t="shared" si="1024"/>
        <v>#DIV/0!</v>
      </c>
      <c r="AQ1947" s="393"/>
      <c r="AR1947" s="337"/>
      <c r="AS1947" s="497"/>
      <c r="AT1947" s="544"/>
      <c r="AU1947" s="394"/>
      <c r="AV1947" s="394"/>
      <c r="AW1947" s="394"/>
      <c r="AX1947" s="394"/>
      <c r="AY1947" s="394"/>
      <c r="AZ1947" s="394"/>
      <c r="BA1947" s="394"/>
      <c r="BB1947" s="394"/>
      <c r="BC1947" s="394"/>
      <c r="BD1947" s="381"/>
      <c r="BE1947" s="408"/>
      <c r="BF1947" s="385"/>
      <c r="BG1947" s="475"/>
      <c r="BH1947" s="395"/>
      <c r="BI1947" s="395" t="e">
        <f t="shared" si="1026"/>
        <v>#DIV/0!</v>
      </c>
    </row>
    <row r="1948" spans="1:61" s="358" customFormat="1" ht="19.2" x14ac:dyDescent="0.3">
      <c r="A1948" s="359" t="s">
        <v>2085</v>
      </c>
      <c r="B1948" s="537" t="s">
        <v>1698</v>
      </c>
      <c r="C1948" s="546" t="s">
        <v>1122</v>
      </c>
      <c r="D1948" s="360">
        <v>0.4</v>
      </c>
      <c r="E1948" s="393"/>
      <c r="F1948" s="337">
        <v>1</v>
      </c>
      <c r="G1948" s="497"/>
      <c r="H1948" s="544">
        <v>13.785209999999999</v>
      </c>
      <c r="I1948" s="394">
        <v>11.87093</v>
      </c>
      <c r="J1948" s="394">
        <v>10.458310000000001</v>
      </c>
      <c r="K1948" s="394"/>
      <c r="L1948" s="394"/>
      <c r="M1948" s="394">
        <v>0</v>
      </c>
      <c r="N1948" s="394">
        <v>0</v>
      </c>
      <c r="O1948" s="394">
        <v>0.44627</v>
      </c>
      <c r="P1948" s="394">
        <v>10.458310000000001</v>
      </c>
      <c r="Q1948" s="394"/>
      <c r="R1948" s="381" t="s">
        <v>167</v>
      </c>
      <c r="S1948" s="408" t="s">
        <v>175</v>
      </c>
      <c r="T1948" s="385"/>
      <c r="U1948" s="475">
        <v>868</v>
      </c>
      <c r="V1948" s="395"/>
      <c r="W1948" s="395">
        <f t="shared" si="1025"/>
        <v>13.785209999999999</v>
      </c>
      <c r="X1948" s="393"/>
      <c r="Y1948" s="337"/>
      <c r="Z1948" s="497"/>
      <c r="AA1948" s="544"/>
      <c r="AB1948" s="394"/>
      <c r="AC1948" s="394"/>
      <c r="AD1948" s="394"/>
      <c r="AE1948" s="394"/>
      <c r="AF1948" s="394"/>
      <c r="AG1948" s="394"/>
      <c r="AH1948" s="394"/>
      <c r="AI1948" s="394"/>
      <c r="AJ1948" s="394"/>
      <c r="AK1948" s="381"/>
      <c r="AL1948" s="408"/>
      <c r="AM1948" s="385"/>
      <c r="AN1948" s="475"/>
      <c r="AO1948" s="395"/>
      <c r="AP1948" s="395" t="e">
        <f t="shared" si="1024"/>
        <v>#DIV/0!</v>
      </c>
      <c r="AQ1948" s="393"/>
      <c r="AR1948" s="337"/>
      <c r="AS1948" s="497"/>
      <c r="AT1948" s="544"/>
      <c r="AU1948" s="394"/>
      <c r="AV1948" s="394"/>
      <c r="AW1948" s="394"/>
      <c r="AX1948" s="394"/>
      <c r="AY1948" s="394"/>
      <c r="AZ1948" s="394"/>
      <c r="BA1948" s="394"/>
      <c r="BB1948" s="394"/>
      <c r="BC1948" s="394"/>
      <c r="BD1948" s="381"/>
      <c r="BE1948" s="408"/>
      <c r="BF1948" s="385"/>
      <c r="BG1948" s="475"/>
      <c r="BH1948" s="395"/>
      <c r="BI1948" s="395" t="e">
        <f t="shared" si="1026"/>
        <v>#DIV/0!</v>
      </c>
    </row>
    <row r="1949" spans="1:61" s="358" customFormat="1" ht="19.2" x14ac:dyDescent="0.3">
      <c r="A1949" s="359" t="s">
        <v>2086</v>
      </c>
      <c r="B1949" s="537" t="s">
        <v>1698</v>
      </c>
      <c r="C1949" s="546" t="s">
        <v>1123</v>
      </c>
      <c r="D1949" s="360">
        <v>0.4</v>
      </c>
      <c r="E1949" s="393"/>
      <c r="F1949" s="337">
        <v>1</v>
      </c>
      <c r="G1949" s="497"/>
      <c r="H1949" s="544">
        <v>13.78524</v>
      </c>
      <c r="I1949" s="394">
        <v>11.87093</v>
      </c>
      <c r="J1949" s="394">
        <v>10.45833</v>
      </c>
      <c r="K1949" s="394"/>
      <c r="L1949" s="394"/>
      <c r="M1949" s="394">
        <v>0</v>
      </c>
      <c r="N1949" s="394">
        <v>0</v>
      </c>
      <c r="O1949" s="394">
        <v>0.44627</v>
      </c>
      <c r="P1949" s="394">
        <v>10.45833</v>
      </c>
      <c r="Q1949" s="394"/>
      <c r="R1949" s="381" t="s">
        <v>167</v>
      </c>
      <c r="S1949" s="408" t="s">
        <v>175</v>
      </c>
      <c r="T1949" s="385"/>
      <c r="U1949" s="475">
        <v>869</v>
      </c>
      <c r="V1949" s="395"/>
      <c r="W1949" s="395">
        <f t="shared" si="1025"/>
        <v>13.78524</v>
      </c>
      <c r="X1949" s="393"/>
      <c r="Y1949" s="337"/>
      <c r="Z1949" s="497"/>
      <c r="AA1949" s="544"/>
      <c r="AB1949" s="394"/>
      <c r="AC1949" s="394"/>
      <c r="AD1949" s="394"/>
      <c r="AE1949" s="394"/>
      <c r="AF1949" s="394"/>
      <c r="AG1949" s="394"/>
      <c r="AH1949" s="394"/>
      <c r="AI1949" s="394"/>
      <c r="AJ1949" s="394"/>
      <c r="AK1949" s="381"/>
      <c r="AL1949" s="408"/>
      <c r="AM1949" s="385"/>
      <c r="AN1949" s="475"/>
      <c r="AO1949" s="395"/>
      <c r="AP1949" s="395" t="e">
        <f t="shared" si="1024"/>
        <v>#DIV/0!</v>
      </c>
      <c r="AQ1949" s="393"/>
      <c r="AR1949" s="337"/>
      <c r="AS1949" s="497"/>
      <c r="AT1949" s="544"/>
      <c r="AU1949" s="394"/>
      <c r="AV1949" s="394"/>
      <c r="AW1949" s="394"/>
      <c r="AX1949" s="394"/>
      <c r="AY1949" s="394"/>
      <c r="AZ1949" s="394"/>
      <c r="BA1949" s="394"/>
      <c r="BB1949" s="394"/>
      <c r="BC1949" s="394"/>
      <c r="BD1949" s="381"/>
      <c r="BE1949" s="408"/>
      <c r="BF1949" s="385"/>
      <c r="BG1949" s="475"/>
      <c r="BH1949" s="395"/>
      <c r="BI1949" s="395" t="e">
        <f t="shared" si="1026"/>
        <v>#DIV/0!</v>
      </c>
    </row>
    <row r="1950" spans="1:61" s="358" customFormat="1" ht="19.2" x14ac:dyDescent="0.3">
      <c r="A1950" s="359" t="s">
        <v>2087</v>
      </c>
      <c r="B1950" s="537" t="s">
        <v>1699</v>
      </c>
      <c r="C1950" s="546" t="s">
        <v>1124</v>
      </c>
      <c r="D1950" s="360">
        <v>0.4</v>
      </c>
      <c r="E1950" s="393"/>
      <c r="F1950" s="337">
        <v>1</v>
      </c>
      <c r="G1950" s="497"/>
      <c r="H1950" s="544">
        <v>13.785209999999999</v>
      </c>
      <c r="I1950" s="394">
        <v>11.87093</v>
      </c>
      <c r="J1950" s="394">
        <v>10.458310000000001</v>
      </c>
      <c r="K1950" s="394"/>
      <c r="L1950" s="394"/>
      <c r="M1950" s="394">
        <v>0</v>
      </c>
      <c r="N1950" s="394">
        <v>0</v>
      </c>
      <c r="O1950" s="394">
        <v>0.44627</v>
      </c>
      <c r="P1950" s="394">
        <v>10.458310000000001</v>
      </c>
      <c r="Q1950" s="394"/>
      <c r="R1950" s="381" t="s">
        <v>167</v>
      </c>
      <c r="S1950" s="408" t="s">
        <v>175</v>
      </c>
      <c r="T1950" s="385"/>
      <c r="U1950" s="475">
        <v>870</v>
      </c>
      <c r="V1950" s="395"/>
      <c r="W1950" s="395">
        <f t="shared" si="1025"/>
        <v>13.785209999999999</v>
      </c>
      <c r="X1950" s="393"/>
      <c r="Y1950" s="337"/>
      <c r="Z1950" s="497"/>
      <c r="AA1950" s="544"/>
      <c r="AB1950" s="394"/>
      <c r="AC1950" s="394"/>
      <c r="AD1950" s="394"/>
      <c r="AE1950" s="394"/>
      <c r="AF1950" s="394"/>
      <c r="AG1950" s="394"/>
      <c r="AH1950" s="394"/>
      <c r="AI1950" s="394"/>
      <c r="AJ1950" s="394"/>
      <c r="AK1950" s="381"/>
      <c r="AL1950" s="408"/>
      <c r="AM1950" s="385"/>
      <c r="AN1950" s="475"/>
      <c r="AO1950" s="395"/>
      <c r="AP1950" s="395" t="e">
        <f t="shared" si="1024"/>
        <v>#DIV/0!</v>
      </c>
      <c r="AQ1950" s="393"/>
      <c r="AR1950" s="337"/>
      <c r="AS1950" s="497"/>
      <c r="AT1950" s="544"/>
      <c r="AU1950" s="394"/>
      <c r="AV1950" s="394"/>
      <c r="AW1950" s="394"/>
      <c r="AX1950" s="394"/>
      <c r="AY1950" s="394"/>
      <c r="AZ1950" s="394"/>
      <c r="BA1950" s="394"/>
      <c r="BB1950" s="394"/>
      <c r="BC1950" s="394"/>
      <c r="BD1950" s="381"/>
      <c r="BE1950" s="408"/>
      <c r="BF1950" s="385"/>
      <c r="BG1950" s="475"/>
      <c r="BH1950" s="395"/>
      <c r="BI1950" s="395" t="e">
        <f t="shared" si="1026"/>
        <v>#DIV/0!</v>
      </c>
    </row>
    <row r="1951" spans="1:61" s="358" customFormat="1" ht="19.2" x14ac:dyDescent="0.3">
      <c r="A1951" s="359" t="s">
        <v>2104</v>
      </c>
      <c r="B1951" s="537" t="s">
        <v>1700</v>
      </c>
      <c r="C1951" s="546" t="s">
        <v>1125</v>
      </c>
      <c r="D1951" s="360">
        <v>0.4</v>
      </c>
      <c r="E1951" s="393"/>
      <c r="F1951" s="337">
        <v>1</v>
      </c>
      <c r="G1951" s="497"/>
      <c r="H1951" s="544">
        <v>13.78524</v>
      </c>
      <c r="I1951" s="394">
        <v>11.87093</v>
      </c>
      <c r="J1951" s="394">
        <v>10.45833</v>
      </c>
      <c r="K1951" s="394"/>
      <c r="L1951" s="394"/>
      <c r="M1951" s="394">
        <v>0</v>
      </c>
      <c r="N1951" s="394">
        <v>0</v>
      </c>
      <c r="O1951" s="394">
        <v>0.44627</v>
      </c>
      <c r="P1951" s="394">
        <v>10.45833</v>
      </c>
      <c r="Q1951" s="394"/>
      <c r="R1951" s="381" t="s">
        <v>167</v>
      </c>
      <c r="S1951" s="408" t="s">
        <v>175</v>
      </c>
      <c r="T1951" s="385"/>
      <c r="U1951" s="475">
        <v>871</v>
      </c>
      <c r="V1951" s="395"/>
      <c r="W1951" s="395">
        <f t="shared" si="1025"/>
        <v>13.78524</v>
      </c>
      <c r="X1951" s="393"/>
      <c r="Y1951" s="337"/>
      <c r="Z1951" s="497"/>
      <c r="AA1951" s="544"/>
      <c r="AB1951" s="394"/>
      <c r="AC1951" s="394"/>
      <c r="AD1951" s="394"/>
      <c r="AE1951" s="394"/>
      <c r="AF1951" s="394"/>
      <c r="AG1951" s="394"/>
      <c r="AH1951" s="394"/>
      <c r="AI1951" s="394"/>
      <c r="AJ1951" s="394"/>
      <c r="AK1951" s="381"/>
      <c r="AL1951" s="408"/>
      <c r="AM1951" s="385"/>
      <c r="AN1951" s="475"/>
      <c r="AO1951" s="395"/>
      <c r="AP1951" s="395" t="e">
        <f t="shared" si="1024"/>
        <v>#DIV/0!</v>
      </c>
      <c r="AQ1951" s="393"/>
      <c r="AR1951" s="337"/>
      <c r="AS1951" s="497"/>
      <c r="AT1951" s="544"/>
      <c r="AU1951" s="394"/>
      <c r="AV1951" s="394"/>
      <c r="AW1951" s="394"/>
      <c r="AX1951" s="394"/>
      <c r="AY1951" s="394"/>
      <c r="AZ1951" s="394"/>
      <c r="BA1951" s="394"/>
      <c r="BB1951" s="394"/>
      <c r="BC1951" s="394"/>
      <c r="BD1951" s="381"/>
      <c r="BE1951" s="408"/>
      <c r="BF1951" s="385"/>
      <c r="BG1951" s="475"/>
      <c r="BH1951" s="395"/>
      <c r="BI1951" s="395" t="e">
        <f t="shared" si="1026"/>
        <v>#DIV/0!</v>
      </c>
    </row>
    <row r="1952" spans="1:61" s="358" customFormat="1" ht="19.2" x14ac:dyDescent="0.3">
      <c r="A1952" s="359" t="s">
        <v>2089</v>
      </c>
      <c r="B1952" s="537" t="s">
        <v>1701</v>
      </c>
      <c r="C1952" s="546" t="s">
        <v>1126</v>
      </c>
      <c r="D1952" s="360">
        <v>0.4</v>
      </c>
      <c r="E1952" s="393"/>
      <c r="F1952" s="337">
        <v>1</v>
      </c>
      <c r="G1952" s="497"/>
      <c r="H1952" s="544">
        <v>14.10894</v>
      </c>
      <c r="I1952" s="394">
        <v>12.194660000000001</v>
      </c>
      <c r="J1952" s="394">
        <v>10.45834</v>
      </c>
      <c r="K1952" s="394"/>
      <c r="L1952" s="394"/>
      <c r="M1952" s="394">
        <v>0</v>
      </c>
      <c r="N1952" s="394">
        <v>0</v>
      </c>
      <c r="O1952" s="394">
        <v>0.44627</v>
      </c>
      <c r="P1952" s="394">
        <v>10.45834</v>
      </c>
      <c r="Q1952" s="394"/>
      <c r="R1952" s="381" t="s">
        <v>167</v>
      </c>
      <c r="S1952" s="408" t="s">
        <v>175</v>
      </c>
      <c r="T1952" s="385"/>
      <c r="U1952" s="475">
        <v>872</v>
      </c>
      <c r="V1952" s="395"/>
      <c r="W1952" s="395">
        <f t="shared" si="1025"/>
        <v>14.10894</v>
      </c>
      <c r="X1952" s="393"/>
      <c r="Y1952" s="337"/>
      <c r="Z1952" s="497"/>
      <c r="AA1952" s="544"/>
      <c r="AB1952" s="394"/>
      <c r="AC1952" s="394"/>
      <c r="AD1952" s="394"/>
      <c r="AE1952" s="394"/>
      <c r="AF1952" s="394"/>
      <c r="AG1952" s="394"/>
      <c r="AH1952" s="394"/>
      <c r="AI1952" s="394"/>
      <c r="AJ1952" s="394"/>
      <c r="AK1952" s="381"/>
      <c r="AL1952" s="408"/>
      <c r="AM1952" s="385"/>
      <c r="AN1952" s="475"/>
      <c r="AO1952" s="395"/>
      <c r="AP1952" s="395" t="e">
        <f t="shared" si="1024"/>
        <v>#DIV/0!</v>
      </c>
      <c r="AQ1952" s="393"/>
      <c r="AR1952" s="337"/>
      <c r="AS1952" s="497"/>
      <c r="AT1952" s="544"/>
      <c r="AU1952" s="394"/>
      <c r="AV1952" s="394"/>
      <c r="AW1952" s="394"/>
      <c r="AX1952" s="394"/>
      <c r="AY1952" s="394"/>
      <c r="AZ1952" s="394"/>
      <c r="BA1952" s="394"/>
      <c r="BB1952" s="394"/>
      <c r="BC1952" s="394"/>
      <c r="BD1952" s="381"/>
      <c r="BE1952" s="408"/>
      <c r="BF1952" s="385"/>
      <c r="BG1952" s="475"/>
      <c r="BH1952" s="395"/>
      <c r="BI1952" s="395" t="e">
        <f t="shared" si="1026"/>
        <v>#DIV/0!</v>
      </c>
    </row>
    <row r="1953" spans="1:61" s="358" customFormat="1" ht="19.2" x14ac:dyDescent="0.3">
      <c r="A1953" s="359" t="s">
        <v>2090</v>
      </c>
      <c r="B1953" s="537" t="s">
        <v>1702</v>
      </c>
      <c r="C1953" s="546" t="s">
        <v>1127</v>
      </c>
      <c r="D1953" s="360">
        <v>0.4</v>
      </c>
      <c r="E1953" s="393"/>
      <c r="F1953" s="337">
        <v>1</v>
      </c>
      <c r="G1953" s="497"/>
      <c r="H1953" s="544">
        <v>14.108969999999999</v>
      </c>
      <c r="I1953" s="394">
        <v>12.194660000000001</v>
      </c>
      <c r="J1953" s="394">
        <v>10.45834</v>
      </c>
      <c r="K1953" s="394"/>
      <c r="L1953" s="394"/>
      <c r="M1953" s="394">
        <v>0</v>
      </c>
      <c r="N1953" s="394">
        <v>0</v>
      </c>
      <c r="O1953" s="394">
        <v>0.44627</v>
      </c>
      <c r="P1953" s="394">
        <v>10.45834</v>
      </c>
      <c r="Q1953" s="394"/>
      <c r="R1953" s="381" t="s">
        <v>167</v>
      </c>
      <c r="S1953" s="408" t="s">
        <v>175</v>
      </c>
      <c r="T1953" s="385"/>
      <c r="U1953" s="475">
        <v>873</v>
      </c>
      <c r="V1953" s="395"/>
      <c r="W1953" s="395">
        <f t="shared" si="1025"/>
        <v>14.108969999999999</v>
      </c>
      <c r="X1953" s="393"/>
      <c r="Y1953" s="337"/>
      <c r="Z1953" s="497"/>
      <c r="AA1953" s="544"/>
      <c r="AB1953" s="394"/>
      <c r="AC1953" s="394"/>
      <c r="AD1953" s="394"/>
      <c r="AE1953" s="394"/>
      <c r="AF1953" s="394"/>
      <c r="AG1953" s="394"/>
      <c r="AH1953" s="394"/>
      <c r="AI1953" s="394"/>
      <c r="AJ1953" s="394"/>
      <c r="AK1953" s="381"/>
      <c r="AL1953" s="408"/>
      <c r="AM1953" s="385"/>
      <c r="AN1953" s="475"/>
      <c r="AO1953" s="395"/>
      <c r="AP1953" s="395" t="e">
        <f t="shared" si="1024"/>
        <v>#DIV/0!</v>
      </c>
      <c r="AQ1953" s="393"/>
      <c r="AR1953" s="337"/>
      <c r="AS1953" s="497"/>
      <c r="AT1953" s="544"/>
      <c r="AU1953" s="394"/>
      <c r="AV1953" s="394"/>
      <c r="AW1953" s="394"/>
      <c r="AX1953" s="394"/>
      <c r="AY1953" s="394"/>
      <c r="AZ1953" s="394"/>
      <c r="BA1953" s="394"/>
      <c r="BB1953" s="394"/>
      <c r="BC1953" s="394"/>
      <c r="BD1953" s="381"/>
      <c r="BE1953" s="408"/>
      <c r="BF1953" s="385"/>
      <c r="BG1953" s="475"/>
      <c r="BH1953" s="395"/>
      <c r="BI1953" s="395" t="e">
        <f t="shared" si="1026"/>
        <v>#DIV/0!</v>
      </c>
    </row>
    <row r="1954" spans="1:61" s="358" customFormat="1" ht="19.2" x14ac:dyDescent="0.3">
      <c r="A1954" s="359" t="s">
        <v>2075</v>
      </c>
      <c r="B1954" s="537" t="s">
        <v>633</v>
      </c>
      <c r="C1954" s="546" t="s">
        <v>509</v>
      </c>
      <c r="D1954" s="360">
        <v>0.4</v>
      </c>
      <c r="E1954" s="393"/>
      <c r="F1954" s="337">
        <v>1</v>
      </c>
      <c r="G1954" s="497"/>
      <c r="H1954" s="544">
        <v>13.96088</v>
      </c>
      <c r="I1954" s="394">
        <v>12.0466</v>
      </c>
      <c r="J1954" s="394">
        <v>10.45834</v>
      </c>
      <c r="K1954" s="394"/>
      <c r="L1954" s="394"/>
      <c r="M1954" s="394">
        <v>0</v>
      </c>
      <c r="N1954" s="394">
        <v>0</v>
      </c>
      <c r="O1954" s="394">
        <v>0.44627</v>
      </c>
      <c r="P1954" s="394">
        <v>10.45834</v>
      </c>
      <c r="Q1954" s="394"/>
      <c r="R1954" s="381" t="s">
        <v>167</v>
      </c>
      <c r="S1954" s="408" t="s">
        <v>175</v>
      </c>
      <c r="T1954" s="385"/>
      <c r="U1954" s="475">
        <v>874</v>
      </c>
      <c r="V1954" s="395"/>
      <c r="W1954" s="395">
        <f t="shared" si="1025"/>
        <v>13.96088</v>
      </c>
      <c r="X1954" s="393"/>
      <c r="Y1954" s="337"/>
      <c r="Z1954" s="497"/>
      <c r="AA1954" s="544"/>
      <c r="AB1954" s="394"/>
      <c r="AC1954" s="394"/>
      <c r="AD1954" s="394"/>
      <c r="AE1954" s="394"/>
      <c r="AF1954" s="394"/>
      <c r="AG1954" s="394"/>
      <c r="AH1954" s="394"/>
      <c r="AI1954" s="394"/>
      <c r="AJ1954" s="394"/>
      <c r="AK1954" s="381"/>
      <c r="AL1954" s="408"/>
      <c r="AM1954" s="385"/>
      <c r="AN1954" s="475"/>
      <c r="AO1954" s="395"/>
      <c r="AP1954" s="395" t="e">
        <f t="shared" si="1024"/>
        <v>#DIV/0!</v>
      </c>
      <c r="AQ1954" s="393"/>
      <c r="AR1954" s="337"/>
      <c r="AS1954" s="497"/>
      <c r="AT1954" s="544"/>
      <c r="AU1954" s="394"/>
      <c r="AV1954" s="394"/>
      <c r="AW1954" s="394"/>
      <c r="AX1954" s="394"/>
      <c r="AY1954" s="394"/>
      <c r="AZ1954" s="394"/>
      <c r="BA1954" s="394"/>
      <c r="BB1954" s="394"/>
      <c r="BC1954" s="394"/>
      <c r="BD1954" s="381"/>
      <c r="BE1954" s="408"/>
      <c r="BF1954" s="385"/>
      <c r="BG1954" s="475"/>
      <c r="BH1954" s="395"/>
      <c r="BI1954" s="395" t="e">
        <f t="shared" si="1026"/>
        <v>#DIV/0!</v>
      </c>
    </row>
    <row r="1955" spans="1:61" s="358" customFormat="1" ht="19.2" x14ac:dyDescent="0.3">
      <c r="A1955" s="359" t="s">
        <v>2092</v>
      </c>
      <c r="B1955" s="537" t="s">
        <v>1703</v>
      </c>
      <c r="C1955" s="546" t="s">
        <v>1128</v>
      </c>
      <c r="D1955" s="360">
        <v>0.4</v>
      </c>
      <c r="E1955" s="393"/>
      <c r="F1955" s="337">
        <v>1</v>
      </c>
      <c r="G1955" s="497"/>
      <c r="H1955" s="544">
        <v>13.96091</v>
      </c>
      <c r="I1955" s="394">
        <v>12.0466</v>
      </c>
      <c r="J1955" s="394">
        <v>10.45834</v>
      </c>
      <c r="K1955" s="394"/>
      <c r="L1955" s="394"/>
      <c r="M1955" s="394">
        <v>0</v>
      </c>
      <c r="N1955" s="394">
        <v>0</v>
      </c>
      <c r="O1955" s="394">
        <v>0.44627</v>
      </c>
      <c r="P1955" s="394">
        <v>10.45834</v>
      </c>
      <c r="Q1955" s="394"/>
      <c r="R1955" s="381" t="s">
        <v>167</v>
      </c>
      <c r="S1955" s="408" t="s">
        <v>175</v>
      </c>
      <c r="T1955" s="385"/>
      <c r="U1955" s="475">
        <v>875</v>
      </c>
      <c r="V1955" s="395"/>
      <c r="W1955" s="395">
        <f t="shared" si="1025"/>
        <v>13.96091</v>
      </c>
      <c r="X1955" s="393"/>
      <c r="Y1955" s="337"/>
      <c r="Z1955" s="497"/>
      <c r="AA1955" s="544"/>
      <c r="AB1955" s="394"/>
      <c r="AC1955" s="394"/>
      <c r="AD1955" s="394"/>
      <c r="AE1955" s="394"/>
      <c r="AF1955" s="394"/>
      <c r="AG1955" s="394"/>
      <c r="AH1955" s="394"/>
      <c r="AI1955" s="394"/>
      <c r="AJ1955" s="394"/>
      <c r="AK1955" s="381"/>
      <c r="AL1955" s="408"/>
      <c r="AM1955" s="385"/>
      <c r="AN1955" s="475"/>
      <c r="AO1955" s="395"/>
      <c r="AP1955" s="395" t="e">
        <f t="shared" si="1024"/>
        <v>#DIV/0!</v>
      </c>
      <c r="AQ1955" s="393"/>
      <c r="AR1955" s="337"/>
      <c r="AS1955" s="497"/>
      <c r="AT1955" s="544"/>
      <c r="AU1955" s="394"/>
      <c r="AV1955" s="394"/>
      <c r="AW1955" s="394"/>
      <c r="AX1955" s="394"/>
      <c r="AY1955" s="394"/>
      <c r="AZ1955" s="394"/>
      <c r="BA1955" s="394"/>
      <c r="BB1955" s="394"/>
      <c r="BC1955" s="394"/>
      <c r="BD1955" s="381"/>
      <c r="BE1955" s="408"/>
      <c r="BF1955" s="385"/>
      <c r="BG1955" s="475"/>
      <c r="BH1955" s="395"/>
      <c r="BI1955" s="395" t="e">
        <f t="shared" si="1026"/>
        <v>#DIV/0!</v>
      </c>
    </row>
    <row r="1956" spans="1:61" s="358" customFormat="1" ht="19.2" x14ac:dyDescent="0.3">
      <c r="A1956" s="359" t="s">
        <v>2093</v>
      </c>
      <c r="B1956" s="537" t="s">
        <v>1704</v>
      </c>
      <c r="C1956" s="546" t="s">
        <v>1129</v>
      </c>
      <c r="D1956" s="360">
        <v>0.4</v>
      </c>
      <c r="E1956" s="393"/>
      <c r="F1956" s="337">
        <v>1</v>
      </c>
      <c r="G1956" s="497"/>
      <c r="H1956" s="544">
        <v>13.96088</v>
      </c>
      <c r="I1956" s="394">
        <v>12.0466</v>
      </c>
      <c r="J1956" s="394">
        <v>10.45834</v>
      </c>
      <c r="K1956" s="394"/>
      <c r="L1956" s="394"/>
      <c r="M1956" s="394">
        <v>0</v>
      </c>
      <c r="N1956" s="394">
        <v>0</v>
      </c>
      <c r="O1956" s="394">
        <v>0.44627</v>
      </c>
      <c r="P1956" s="394">
        <v>10.45834</v>
      </c>
      <c r="Q1956" s="394"/>
      <c r="R1956" s="381" t="s">
        <v>167</v>
      </c>
      <c r="S1956" s="408" t="s">
        <v>175</v>
      </c>
      <c r="T1956" s="385"/>
      <c r="U1956" s="475">
        <v>876</v>
      </c>
      <c r="V1956" s="395"/>
      <c r="W1956" s="395">
        <f t="shared" si="1025"/>
        <v>13.96088</v>
      </c>
      <c r="X1956" s="393"/>
      <c r="Y1956" s="337"/>
      <c r="Z1956" s="497"/>
      <c r="AA1956" s="544"/>
      <c r="AB1956" s="394"/>
      <c r="AC1956" s="394"/>
      <c r="AD1956" s="394"/>
      <c r="AE1956" s="394"/>
      <c r="AF1956" s="394"/>
      <c r="AG1956" s="394"/>
      <c r="AH1956" s="394"/>
      <c r="AI1956" s="394"/>
      <c r="AJ1956" s="394"/>
      <c r="AK1956" s="381"/>
      <c r="AL1956" s="408"/>
      <c r="AM1956" s="385"/>
      <c r="AN1956" s="475"/>
      <c r="AO1956" s="395"/>
      <c r="AP1956" s="395" t="e">
        <f t="shared" si="1024"/>
        <v>#DIV/0!</v>
      </c>
      <c r="AQ1956" s="393"/>
      <c r="AR1956" s="337"/>
      <c r="AS1956" s="497"/>
      <c r="AT1956" s="544"/>
      <c r="AU1956" s="394"/>
      <c r="AV1956" s="394"/>
      <c r="AW1956" s="394"/>
      <c r="AX1956" s="394"/>
      <c r="AY1956" s="394"/>
      <c r="AZ1956" s="394"/>
      <c r="BA1956" s="394"/>
      <c r="BB1956" s="394"/>
      <c r="BC1956" s="394"/>
      <c r="BD1956" s="381"/>
      <c r="BE1956" s="408"/>
      <c r="BF1956" s="385"/>
      <c r="BG1956" s="475"/>
      <c r="BH1956" s="395"/>
      <c r="BI1956" s="395" t="e">
        <f t="shared" si="1026"/>
        <v>#DIV/0!</v>
      </c>
    </row>
    <row r="1957" spans="1:61" s="358" customFormat="1" ht="19.2" x14ac:dyDescent="0.3">
      <c r="A1957" s="359" t="s">
        <v>2094</v>
      </c>
      <c r="B1957" s="537" t="s">
        <v>1705</v>
      </c>
      <c r="C1957" s="546" t="s">
        <v>1130</v>
      </c>
      <c r="D1957" s="360">
        <v>0.4</v>
      </c>
      <c r="E1957" s="393"/>
      <c r="F1957" s="337">
        <v>1</v>
      </c>
      <c r="G1957" s="497"/>
      <c r="H1957" s="544">
        <v>13.96091</v>
      </c>
      <c r="I1957" s="394">
        <v>12.0466</v>
      </c>
      <c r="J1957" s="394">
        <v>10.45834</v>
      </c>
      <c r="K1957" s="394"/>
      <c r="L1957" s="394"/>
      <c r="M1957" s="394">
        <v>0</v>
      </c>
      <c r="N1957" s="394">
        <v>0</v>
      </c>
      <c r="O1957" s="394">
        <v>0.44627</v>
      </c>
      <c r="P1957" s="394">
        <v>10.45834</v>
      </c>
      <c r="Q1957" s="394"/>
      <c r="R1957" s="381" t="s">
        <v>167</v>
      </c>
      <c r="S1957" s="408" t="s">
        <v>175</v>
      </c>
      <c r="T1957" s="385"/>
      <c r="U1957" s="475">
        <v>877</v>
      </c>
      <c r="V1957" s="395"/>
      <c r="W1957" s="395">
        <f t="shared" si="1025"/>
        <v>13.96091</v>
      </c>
      <c r="X1957" s="393"/>
      <c r="Y1957" s="337"/>
      <c r="Z1957" s="497"/>
      <c r="AA1957" s="544"/>
      <c r="AB1957" s="394"/>
      <c r="AC1957" s="394"/>
      <c r="AD1957" s="394"/>
      <c r="AE1957" s="394"/>
      <c r="AF1957" s="394"/>
      <c r="AG1957" s="394"/>
      <c r="AH1957" s="394"/>
      <c r="AI1957" s="394"/>
      <c r="AJ1957" s="394"/>
      <c r="AK1957" s="381"/>
      <c r="AL1957" s="408"/>
      <c r="AM1957" s="385"/>
      <c r="AN1957" s="475"/>
      <c r="AO1957" s="395"/>
      <c r="AP1957" s="395" t="e">
        <f t="shared" si="1024"/>
        <v>#DIV/0!</v>
      </c>
      <c r="AQ1957" s="393"/>
      <c r="AR1957" s="337"/>
      <c r="AS1957" s="497"/>
      <c r="AT1957" s="544"/>
      <c r="AU1957" s="394"/>
      <c r="AV1957" s="394"/>
      <c r="AW1957" s="394"/>
      <c r="AX1957" s="394"/>
      <c r="AY1957" s="394"/>
      <c r="AZ1957" s="394"/>
      <c r="BA1957" s="394"/>
      <c r="BB1957" s="394"/>
      <c r="BC1957" s="394"/>
      <c r="BD1957" s="381"/>
      <c r="BE1957" s="408"/>
      <c r="BF1957" s="385"/>
      <c r="BG1957" s="475"/>
      <c r="BH1957" s="395"/>
      <c r="BI1957" s="395" t="e">
        <f t="shared" si="1026"/>
        <v>#DIV/0!</v>
      </c>
    </row>
    <row r="1958" spans="1:61" s="358" customFormat="1" ht="19.2" x14ac:dyDescent="0.3">
      <c r="A1958" s="359" t="s">
        <v>2095</v>
      </c>
      <c r="B1958" s="537" t="s">
        <v>296</v>
      </c>
      <c r="C1958" s="546" t="s">
        <v>288</v>
      </c>
      <c r="D1958" s="360">
        <v>0.4</v>
      </c>
      <c r="E1958" s="393"/>
      <c r="F1958" s="337">
        <v>1</v>
      </c>
      <c r="G1958" s="497"/>
      <c r="H1958" s="544">
        <v>13.96088</v>
      </c>
      <c r="I1958" s="394">
        <v>12.0466</v>
      </c>
      <c r="J1958" s="394">
        <v>10.45834</v>
      </c>
      <c r="K1958" s="394"/>
      <c r="L1958" s="394"/>
      <c r="M1958" s="394">
        <v>0</v>
      </c>
      <c r="N1958" s="394">
        <v>0</v>
      </c>
      <c r="O1958" s="394">
        <v>0.44627</v>
      </c>
      <c r="P1958" s="394">
        <v>10.45834</v>
      </c>
      <c r="Q1958" s="394"/>
      <c r="R1958" s="381" t="s">
        <v>167</v>
      </c>
      <c r="S1958" s="408" t="s">
        <v>175</v>
      </c>
      <c r="T1958" s="385"/>
      <c r="U1958" s="475">
        <v>878</v>
      </c>
      <c r="V1958" s="395"/>
      <c r="W1958" s="395">
        <f t="shared" si="1025"/>
        <v>13.96088</v>
      </c>
      <c r="X1958" s="393"/>
      <c r="Y1958" s="337"/>
      <c r="Z1958" s="497"/>
      <c r="AA1958" s="544"/>
      <c r="AB1958" s="394"/>
      <c r="AC1958" s="394"/>
      <c r="AD1958" s="394"/>
      <c r="AE1958" s="394"/>
      <c r="AF1958" s="394"/>
      <c r="AG1958" s="394"/>
      <c r="AH1958" s="394"/>
      <c r="AI1958" s="394"/>
      <c r="AJ1958" s="394"/>
      <c r="AK1958" s="381"/>
      <c r="AL1958" s="408"/>
      <c r="AM1958" s="385"/>
      <c r="AN1958" s="475"/>
      <c r="AO1958" s="395"/>
      <c r="AP1958" s="395" t="e">
        <f t="shared" si="1024"/>
        <v>#DIV/0!</v>
      </c>
      <c r="AQ1958" s="393"/>
      <c r="AR1958" s="337"/>
      <c r="AS1958" s="497"/>
      <c r="AT1958" s="544"/>
      <c r="AU1958" s="394"/>
      <c r="AV1958" s="394"/>
      <c r="AW1958" s="394"/>
      <c r="AX1958" s="394"/>
      <c r="AY1958" s="394"/>
      <c r="AZ1958" s="394"/>
      <c r="BA1958" s="394"/>
      <c r="BB1958" s="394"/>
      <c r="BC1958" s="394"/>
      <c r="BD1958" s="381"/>
      <c r="BE1958" s="408"/>
      <c r="BF1958" s="385"/>
      <c r="BG1958" s="475"/>
      <c r="BH1958" s="395"/>
      <c r="BI1958" s="395" t="e">
        <f t="shared" si="1026"/>
        <v>#DIV/0!</v>
      </c>
    </row>
    <row r="1959" spans="1:61" s="358" customFormat="1" ht="19.2" x14ac:dyDescent="0.3">
      <c r="A1959" s="359" t="s">
        <v>2096</v>
      </c>
      <c r="B1959" s="537" t="s">
        <v>1706</v>
      </c>
      <c r="C1959" s="546" t="s">
        <v>1131</v>
      </c>
      <c r="D1959" s="360">
        <v>0.4</v>
      </c>
      <c r="E1959" s="393"/>
      <c r="F1959" s="337">
        <v>1</v>
      </c>
      <c r="G1959" s="497"/>
      <c r="H1959" s="544">
        <v>13.96091</v>
      </c>
      <c r="I1959" s="394">
        <v>12.0466</v>
      </c>
      <c r="J1959" s="394">
        <v>10.45834</v>
      </c>
      <c r="K1959" s="394"/>
      <c r="L1959" s="394"/>
      <c r="M1959" s="394">
        <v>0</v>
      </c>
      <c r="N1959" s="394">
        <v>0</v>
      </c>
      <c r="O1959" s="394">
        <v>0.44627</v>
      </c>
      <c r="P1959" s="394">
        <v>10.45834</v>
      </c>
      <c r="Q1959" s="394"/>
      <c r="R1959" s="381" t="s">
        <v>167</v>
      </c>
      <c r="S1959" s="408" t="s">
        <v>175</v>
      </c>
      <c r="T1959" s="385"/>
      <c r="U1959" s="475">
        <v>879</v>
      </c>
      <c r="V1959" s="395"/>
      <c r="W1959" s="395">
        <f t="shared" si="1025"/>
        <v>13.96091</v>
      </c>
      <c r="X1959" s="393"/>
      <c r="Y1959" s="337"/>
      <c r="Z1959" s="497"/>
      <c r="AA1959" s="544"/>
      <c r="AB1959" s="394"/>
      <c r="AC1959" s="394"/>
      <c r="AD1959" s="394"/>
      <c r="AE1959" s="394"/>
      <c r="AF1959" s="394"/>
      <c r="AG1959" s="394"/>
      <c r="AH1959" s="394"/>
      <c r="AI1959" s="394"/>
      <c r="AJ1959" s="394"/>
      <c r="AK1959" s="381"/>
      <c r="AL1959" s="408"/>
      <c r="AM1959" s="385"/>
      <c r="AN1959" s="475"/>
      <c r="AO1959" s="395"/>
      <c r="AP1959" s="395" t="e">
        <f t="shared" si="1024"/>
        <v>#DIV/0!</v>
      </c>
      <c r="AQ1959" s="393"/>
      <c r="AR1959" s="337"/>
      <c r="AS1959" s="497"/>
      <c r="AT1959" s="544"/>
      <c r="AU1959" s="394"/>
      <c r="AV1959" s="394"/>
      <c r="AW1959" s="394"/>
      <c r="AX1959" s="394"/>
      <c r="AY1959" s="394"/>
      <c r="AZ1959" s="394"/>
      <c r="BA1959" s="394"/>
      <c r="BB1959" s="394"/>
      <c r="BC1959" s="394"/>
      <c r="BD1959" s="381"/>
      <c r="BE1959" s="408"/>
      <c r="BF1959" s="385"/>
      <c r="BG1959" s="475"/>
      <c r="BH1959" s="395"/>
      <c r="BI1959" s="395" t="e">
        <f t="shared" si="1026"/>
        <v>#DIV/0!</v>
      </c>
    </row>
    <row r="1960" spans="1:61" s="358" customFormat="1" ht="19.2" x14ac:dyDescent="0.3">
      <c r="A1960" s="359" t="s">
        <v>2097</v>
      </c>
      <c r="B1960" s="537" t="s">
        <v>1707</v>
      </c>
      <c r="C1960" s="546" t="s">
        <v>1132</v>
      </c>
      <c r="D1960" s="360">
        <v>0.4</v>
      </c>
      <c r="E1960" s="393"/>
      <c r="F1960" s="337">
        <v>1</v>
      </c>
      <c r="G1960" s="497"/>
      <c r="H1960" s="544">
        <v>13.96087</v>
      </c>
      <c r="I1960" s="394">
        <v>12.0466</v>
      </c>
      <c r="J1960" s="394">
        <v>10.45833</v>
      </c>
      <c r="K1960" s="394"/>
      <c r="L1960" s="394"/>
      <c r="M1960" s="394">
        <v>0</v>
      </c>
      <c r="N1960" s="394">
        <v>0</v>
      </c>
      <c r="O1960" s="394">
        <v>0.44627</v>
      </c>
      <c r="P1960" s="394">
        <v>10.45833</v>
      </c>
      <c r="Q1960" s="394"/>
      <c r="R1960" s="381" t="s">
        <v>167</v>
      </c>
      <c r="S1960" s="408" t="s">
        <v>175</v>
      </c>
      <c r="T1960" s="385"/>
      <c r="U1960" s="475">
        <v>880</v>
      </c>
      <c r="V1960" s="395"/>
      <c r="W1960" s="395">
        <f t="shared" si="1025"/>
        <v>13.96087</v>
      </c>
      <c r="X1960" s="393"/>
      <c r="Y1960" s="337"/>
      <c r="Z1960" s="497"/>
      <c r="AA1960" s="544"/>
      <c r="AB1960" s="394"/>
      <c r="AC1960" s="394"/>
      <c r="AD1960" s="394"/>
      <c r="AE1960" s="394"/>
      <c r="AF1960" s="394"/>
      <c r="AG1960" s="394"/>
      <c r="AH1960" s="394"/>
      <c r="AI1960" s="394"/>
      <c r="AJ1960" s="394"/>
      <c r="AK1960" s="381"/>
      <c r="AL1960" s="408"/>
      <c r="AM1960" s="385"/>
      <c r="AN1960" s="475"/>
      <c r="AO1960" s="395"/>
      <c r="AP1960" s="395" t="e">
        <f t="shared" si="1024"/>
        <v>#DIV/0!</v>
      </c>
      <c r="AQ1960" s="393"/>
      <c r="AR1960" s="337"/>
      <c r="AS1960" s="497"/>
      <c r="AT1960" s="544"/>
      <c r="AU1960" s="394"/>
      <c r="AV1960" s="394"/>
      <c r="AW1960" s="394"/>
      <c r="AX1960" s="394"/>
      <c r="AY1960" s="394"/>
      <c r="AZ1960" s="394"/>
      <c r="BA1960" s="394"/>
      <c r="BB1960" s="394"/>
      <c r="BC1960" s="394"/>
      <c r="BD1960" s="381"/>
      <c r="BE1960" s="408"/>
      <c r="BF1960" s="385"/>
      <c r="BG1960" s="475"/>
      <c r="BH1960" s="395"/>
      <c r="BI1960" s="395" t="e">
        <f t="shared" si="1026"/>
        <v>#DIV/0!</v>
      </c>
    </row>
    <row r="1961" spans="1:61" s="358" customFormat="1" ht="19.2" x14ac:dyDescent="0.3">
      <c r="A1961" s="359" t="s">
        <v>2098</v>
      </c>
      <c r="B1961" s="537" t="s">
        <v>1708</v>
      </c>
      <c r="C1961" s="546" t="s">
        <v>1133</v>
      </c>
      <c r="D1961" s="360">
        <v>0.4</v>
      </c>
      <c r="E1961" s="393"/>
      <c r="F1961" s="337">
        <v>1</v>
      </c>
      <c r="G1961" s="497"/>
      <c r="H1961" s="544">
        <v>13.899749999999999</v>
      </c>
      <c r="I1961" s="394">
        <v>11.985469999999999</v>
      </c>
      <c r="J1961" s="394">
        <v>10.458320000000001</v>
      </c>
      <c r="K1961" s="394"/>
      <c r="L1961" s="394"/>
      <c r="M1961" s="394">
        <v>0</v>
      </c>
      <c r="N1961" s="394">
        <v>0</v>
      </c>
      <c r="O1961" s="394">
        <v>0.44627</v>
      </c>
      <c r="P1961" s="394">
        <v>10.458320000000001</v>
      </c>
      <c r="Q1961" s="394"/>
      <c r="R1961" s="381" t="s">
        <v>167</v>
      </c>
      <c r="S1961" s="408" t="s">
        <v>175</v>
      </c>
      <c r="T1961" s="385"/>
      <c r="U1961" s="475">
        <v>881</v>
      </c>
      <c r="V1961" s="395"/>
      <c r="W1961" s="395">
        <f t="shared" si="1025"/>
        <v>13.899749999999999</v>
      </c>
      <c r="X1961" s="393"/>
      <c r="Y1961" s="337"/>
      <c r="Z1961" s="497"/>
      <c r="AA1961" s="544"/>
      <c r="AB1961" s="394"/>
      <c r="AC1961" s="394"/>
      <c r="AD1961" s="394"/>
      <c r="AE1961" s="394"/>
      <c r="AF1961" s="394"/>
      <c r="AG1961" s="394"/>
      <c r="AH1961" s="394"/>
      <c r="AI1961" s="394"/>
      <c r="AJ1961" s="394"/>
      <c r="AK1961" s="381"/>
      <c r="AL1961" s="408"/>
      <c r="AM1961" s="385"/>
      <c r="AN1961" s="475"/>
      <c r="AO1961" s="395"/>
      <c r="AP1961" s="395" t="e">
        <f t="shared" si="1024"/>
        <v>#DIV/0!</v>
      </c>
      <c r="AQ1961" s="393"/>
      <c r="AR1961" s="337"/>
      <c r="AS1961" s="497"/>
      <c r="AT1961" s="544"/>
      <c r="AU1961" s="394"/>
      <c r="AV1961" s="394"/>
      <c r="AW1961" s="394"/>
      <c r="AX1961" s="394"/>
      <c r="AY1961" s="394"/>
      <c r="AZ1961" s="394"/>
      <c r="BA1961" s="394"/>
      <c r="BB1961" s="394"/>
      <c r="BC1961" s="394"/>
      <c r="BD1961" s="381"/>
      <c r="BE1961" s="408"/>
      <c r="BF1961" s="385"/>
      <c r="BG1961" s="475"/>
      <c r="BH1961" s="395"/>
      <c r="BI1961" s="395" t="e">
        <f t="shared" si="1026"/>
        <v>#DIV/0!</v>
      </c>
    </row>
    <row r="1962" spans="1:61" s="358" customFormat="1" ht="19.2" x14ac:dyDescent="0.3">
      <c r="A1962" s="359" t="s">
        <v>2099</v>
      </c>
      <c r="B1962" s="537" t="s">
        <v>1709</v>
      </c>
      <c r="C1962" s="546" t="s">
        <v>1134</v>
      </c>
      <c r="D1962" s="360">
        <v>0.4</v>
      </c>
      <c r="E1962" s="393"/>
      <c r="F1962" s="337">
        <v>1</v>
      </c>
      <c r="G1962" s="497"/>
      <c r="H1962" s="544">
        <v>11.4414</v>
      </c>
      <c r="I1962" s="394">
        <v>9.52712</v>
      </c>
      <c r="J1962" s="394">
        <v>8.5416699999999999</v>
      </c>
      <c r="K1962" s="394"/>
      <c r="L1962" s="394"/>
      <c r="M1962" s="394">
        <v>0</v>
      </c>
      <c r="N1962" s="394">
        <v>0</v>
      </c>
      <c r="O1962" s="394">
        <v>0.44627</v>
      </c>
      <c r="P1962" s="394">
        <v>8.5416699999999999</v>
      </c>
      <c r="Q1962" s="394"/>
      <c r="R1962" s="381" t="s">
        <v>167</v>
      </c>
      <c r="S1962" s="408" t="s">
        <v>175</v>
      </c>
      <c r="T1962" s="385"/>
      <c r="U1962" s="475">
        <v>882</v>
      </c>
      <c r="V1962" s="395"/>
      <c r="W1962" s="395">
        <f t="shared" si="1025"/>
        <v>11.4414</v>
      </c>
      <c r="X1962" s="393"/>
      <c r="Y1962" s="337"/>
      <c r="Z1962" s="497"/>
      <c r="AA1962" s="544"/>
      <c r="AB1962" s="394"/>
      <c r="AC1962" s="394"/>
      <c r="AD1962" s="394"/>
      <c r="AE1962" s="394"/>
      <c r="AF1962" s="394"/>
      <c r="AG1962" s="394"/>
      <c r="AH1962" s="394"/>
      <c r="AI1962" s="394"/>
      <c r="AJ1962" s="394"/>
      <c r="AK1962" s="381"/>
      <c r="AL1962" s="408"/>
      <c r="AM1962" s="385"/>
      <c r="AN1962" s="475"/>
      <c r="AO1962" s="395"/>
      <c r="AP1962" s="395" t="e">
        <f t="shared" si="1024"/>
        <v>#DIV/0!</v>
      </c>
      <c r="AQ1962" s="393"/>
      <c r="AR1962" s="337"/>
      <c r="AS1962" s="497"/>
      <c r="AT1962" s="544"/>
      <c r="AU1962" s="394"/>
      <c r="AV1962" s="394"/>
      <c r="AW1962" s="394"/>
      <c r="AX1962" s="394"/>
      <c r="AY1962" s="394"/>
      <c r="AZ1962" s="394"/>
      <c r="BA1962" s="394"/>
      <c r="BB1962" s="394"/>
      <c r="BC1962" s="394"/>
      <c r="BD1962" s="381"/>
      <c r="BE1962" s="408"/>
      <c r="BF1962" s="385"/>
      <c r="BG1962" s="475"/>
      <c r="BH1962" s="395"/>
      <c r="BI1962" s="395" t="e">
        <f t="shared" si="1026"/>
        <v>#DIV/0!</v>
      </c>
    </row>
    <row r="1963" spans="1:61" s="358" customFormat="1" ht="19.2" x14ac:dyDescent="0.3">
      <c r="A1963" s="359" t="s">
        <v>2116</v>
      </c>
      <c r="B1963" s="537" t="s">
        <v>1710</v>
      </c>
      <c r="C1963" s="546" t="s">
        <v>1135</v>
      </c>
      <c r="D1963" s="360">
        <v>0.4</v>
      </c>
      <c r="E1963" s="393"/>
      <c r="F1963" s="337">
        <v>1</v>
      </c>
      <c r="G1963" s="497"/>
      <c r="H1963" s="544">
        <v>12.82563</v>
      </c>
      <c r="I1963" s="394">
        <v>9.6632499999999997</v>
      </c>
      <c r="J1963" s="394">
        <v>8.5416600000000003</v>
      </c>
      <c r="K1963" s="394"/>
      <c r="L1963" s="394"/>
      <c r="M1963" s="394">
        <v>0</v>
      </c>
      <c r="N1963" s="394">
        <v>0</v>
      </c>
      <c r="O1963" s="394">
        <v>0.73724000000000001</v>
      </c>
      <c r="P1963" s="394">
        <v>8.5416600000000003</v>
      </c>
      <c r="Q1963" s="394"/>
      <c r="R1963" s="381" t="s">
        <v>167</v>
      </c>
      <c r="S1963" s="408" t="s">
        <v>175</v>
      </c>
      <c r="T1963" s="385"/>
      <c r="U1963" s="475">
        <v>883</v>
      </c>
      <c r="V1963" s="395"/>
      <c r="W1963" s="395">
        <f t="shared" si="1025"/>
        <v>12.82563</v>
      </c>
      <c r="X1963" s="393"/>
      <c r="Y1963" s="337"/>
      <c r="Z1963" s="497"/>
      <c r="AA1963" s="544"/>
      <c r="AB1963" s="394"/>
      <c r="AC1963" s="394"/>
      <c r="AD1963" s="394"/>
      <c r="AE1963" s="394"/>
      <c r="AF1963" s="394"/>
      <c r="AG1963" s="394"/>
      <c r="AH1963" s="394"/>
      <c r="AI1963" s="394"/>
      <c r="AJ1963" s="394"/>
      <c r="AK1963" s="381"/>
      <c r="AL1963" s="408"/>
      <c r="AM1963" s="385"/>
      <c r="AN1963" s="475"/>
      <c r="AO1963" s="395"/>
      <c r="AP1963" s="395" t="e">
        <f t="shared" si="1024"/>
        <v>#DIV/0!</v>
      </c>
      <c r="AQ1963" s="393"/>
      <c r="AR1963" s="337"/>
      <c r="AS1963" s="497"/>
      <c r="AT1963" s="544"/>
      <c r="AU1963" s="394"/>
      <c r="AV1963" s="394"/>
      <c r="AW1963" s="394"/>
      <c r="AX1963" s="394"/>
      <c r="AY1963" s="394"/>
      <c r="AZ1963" s="394"/>
      <c r="BA1963" s="394"/>
      <c r="BB1963" s="394"/>
      <c r="BC1963" s="394"/>
      <c r="BD1963" s="381"/>
      <c r="BE1963" s="408"/>
      <c r="BF1963" s="385"/>
      <c r="BG1963" s="475"/>
      <c r="BH1963" s="395"/>
      <c r="BI1963" s="395" t="e">
        <f t="shared" si="1026"/>
        <v>#DIV/0!</v>
      </c>
    </row>
    <row r="1964" spans="1:61" s="358" customFormat="1" ht="19.2" x14ac:dyDescent="0.3">
      <c r="A1964" s="359" t="s">
        <v>2101</v>
      </c>
      <c r="B1964" s="537" t="s">
        <v>1711</v>
      </c>
      <c r="C1964" s="546" t="s">
        <v>1136</v>
      </c>
      <c r="D1964" s="360">
        <v>0.4</v>
      </c>
      <c r="E1964" s="393"/>
      <c r="F1964" s="337">
        <v>1</v>
      </c>
      <c r="G1964" s="497"/>
      <c r="H1964" s="544">
        <v>12.82563</v>
      </c>
      <c r="I1964" s="394">
        <v>9.6632499999999997</v>
      </c>
      <c r="J1964" s="394">
        <v>8.5416600000000003</v>
      </c>
      <c r="K1964" s="394"/>
      <c r="L1964" s="394"/>
      <c r="M1964" s="394">
        <v>0</v>
      </c>
      <c r="N1964" s="394">
        <v>0</v>
      </c>
      <c r="O1964" s="394">
        <v>0.73724000000000001</v>
      </c>
      <c r="P1964" s="394">
        <v>8.5416600000000003</v>
      </c>
      <c r="Q1964" s="394"/>
      <c r="R1964" s="381" t="s">
        <v>167</v>
      </c>
      <c r="S1964" s="408" t="s">
        <v>175</v>
      </c>
      <c r="T1964" s="385"/>
      <c r="U1964" s="475">
        <v>884</v>
      </c>
      <c r="V1964" s="395"/>
      <c r="W1964" s="395">
        <f t="shared" si="1025"/>
        <v>12.82563</v>
      </c>
      <c r="X1964" s="393"/>
      <c r="Y1964" s="337"/>
      <c r="Z1964" s="497"/>
      <c r="AA1964" s="544"/>
      <c r="AB1964" s="394"/>
      <c r="AC1964" s="394"/>
      <c r="AD1964" s="394"/>
      <c r="AE1964" s="394"/>
      <c r="AF1964" s="394"/>
      <c r="AG1964" s="394"/>
      <c r="AH1964" s="394"/>
      <c r="AI1964" s="394"/>
      <c r="AJ1964" s="394"/>
      <c r="AK1964" s="381"/>
      <c r="AL1964" s="408"/>
      <c r="AM1964" s="385"/>
      <c r="AN1964" s="475"/>
      <c r="AO1964" s="395"/>
      <c r="AP1964" s="395" t="e">
        <f t="shared" si="1024"/>
        <v>#DIV/0!</v>
      </c>
      <c r="AQ1964" s="393"/>
      <c r="AR1964" s="337"/>
      <c r="AS1964" s="497"/>
      <c r="AT1964" s="544"/>
      <c r="AU1964" s="394"/>
      <c r="AV1964" s="394"/>
      <c r="AW1964" s="394"/>
      <c r="AX1964" s="394"/>
      <c r="AY1964" s="394"/>
      <c r="AZ1964" s="394"/>
      <c r="BA1964" s="394"/>
      <c r="BB1964" s="394"/>
      <c r="BC1964" s="394"/>
      <c r="BD1964" s="381"/>
      <c r="BE1964" s="408"/>
      <c r="BF1964" s="385"/>
      <c r="BG1964" s="475"/>
      <c r="BH1964" s="395"/>
      <c r="BI1964" s="395" t="e">
        <f t="shared" si="1026"/>
        <v>#DIV/0!</v>
      </c>
    </row>
    <row r="1965" spans="1:61" s="358" customFormat="1" ht="19.2" x14ac:dyDescent="0.3">
      <c r="A1965" s="359" t="s">
        <v>2102</v>
      </c>
      <c r="B1965" s="537" t="s">
        <v>1349</v>
      </c>
      <c r="C1965" s="546" t="s">
        <v>736</v>
      </c>
      <c r="D1965" s="360">
        <v>0.4</v>
      </c>
      <c r="E1965" s="393"/>
      <c r="F1965" s="337">
        <v>1</v>
      </c>
      <c r="G1965" s="497"/>
      <c r="H1965" s="544">
        <v>12.913460000000001</v>
      </c>
      <c r="I1965" s="394">
        <v>9.75108</v>
      </c>
      <c r="J1965" s="394">
        <v>8.5416600000000003</v>
      </c>
      <c r="K1965" s="394"/>
      <c r="L1965" s="394"/>
      <c r="M1965" s="394">
        <v>0</v>
      </c>
      <c r="N1965" s="394">
        <v>0</v>
      </c>
      <c r="O1965" s="394">
        <v>0.73724000000000001</v>
      </c>
      <c r="P1965" s="394">
        <v>8.5416600000000003</v>
      </c>
      <c r="Q1965" s="394"/>
      <c r="R1965" s="381" t="s">
        <v>167</v>
      </c>
      <c r="S1965" s="408" t="s">
        <v>175</v>
      </c>
      <c r="T1965" s="385"/>
      <c r="U1965" s="475">
        <v>885</v>
      </c>
      <c r="V1965" s="395"/>
      <c r="W1965" s="395">
        <f t="shared" si="1025"/>
        <v>12.913460000000001</v>
      </c>
      <c r="X1965" s="393"/>
      <c r="Y1965" s="337"/>
      <c r="Z1965" s="497"/>
      <c r="AA1965" s="544"/>
      <c r="AB1965" s="394"/>
      <c r="AC1965" s="394"/>
      <c r="AD1965" s="394"/>
      <c r="AE1965" s="394"/>
      <c r="AF1965" s="394"/>
      <c r="AG1965" s="394"/>
      <c r="AH1965" s="394"/>
      <c r="AI1965" s="394"/>
      <c r="AJ1965" s="394"/>
      <c r="AK1965" s="381"/>
      <c r="AL1965" s="408"/>
      <c r="AM1965" s="385"/>
      <c r="AN1965" s="475"/>
      <c r="AO1965" s="395"/>
      <c r="AP1965" s="395" t="e">
        <f t="shared" si="1024"/>
        <v>#DIV/0!</v>
      </c>
      <c r="AQ1965" s="393"/>
      <c r="AR1965" s="337"/>
      <c r="AS1965" s="497"/>
      <c r="AT1965" s="544"/>
      <c r="AU1965" s="394"/>
      <c r="AV1965" s="394"/>
      <c r="AW1965" s="394"/>
      <c r="AX1965" s="394"/>
      <c r="AY1965" s="394"/>
      <c r="AZ1965" s="394"/>
      <c r="BA1965" s="394"/>
      <c r="BB1965" s="394"/>
      <c r="BC1965" s="394"/>
      <c r="BD1965" s="381"/>
      <c r="BE1965" s="408"/>
      <c r="BF1965" s="385"/>
      <c r="BG1965" s="475"/>
      <c r="BH1965" s="395"/>
      <c r="BI1965" s="395" t="e">
        <f t="shared" si="1026"/>
        <v>#DIV/0!</v>
      </c>
    </row>
    <row r="1966" spans="1:61" s="358" customFormat="1" ht="19.2" x14ac:dyDescent="0.3">
      <c r="A1966" s="359" t="s">
        <v>2103</v>
      </c>
      <c r="B1966" s="537" t="s">
        <v>1712</v>
      </c>
      <c r="C1966" s="546" t="s">
        <v>1143</v>
      </c>
      <c r="D1966" s="360">
        <v>0.4</v>
      </c>
      <c r="E1966" s="393"/>
      <c r="F1966" s="337">
        <v>1</v>
      </c>
      <c r="G1966" s="497"/>
      <c r="H1966" s="544">
        <v>13.30889</v>
      </c>
      <c r="I1966" s="394">
        <v>11.39461</v>
      </c>
      <c r="J1966" s="394">
        <v>10.45833</v>
      </c>
      <c r="K1966" s="394"/>
      <c r="L1966" s="394"/>
      <c r="M1966" s="394">
        <v>0</v>
      </c>
      <c r="N1966" s="394">
        <v>0</v>
      </c>
      <c r="O1966" s="394">
        <v>0.44627</v>
      </c>
      <c r="P1966" s="394">
        <v>10.45833</v>
      </c>
      <c r="Q1966" s="394"/>
      <c r="R1966" s="381" t="s">
        <v>167</v>
      </c>
      <c r="S1966" s="408" t="s">
        <v>175</v>
      </c>
      <c r="T1966" s="385"/>
      <c r="U1966" s="475">
        <v>886</v>
      </c>
      <c r="V1966" s="395"/>
      <c r="W1966" s="395">
        <f t="shared" si="1025"/>
        <v>13.30889</v>
      </c>
      <c r="X1966" s="393"/>
      <c r="Y1966" s="337"/>
      <c r="Z1966" s="497"/>
      <c r="AA1966" s="544"/>
      <c r="AB1966" s="394"/>
      <c r="AC1966" s="394"/>
      <c r="AD1966" s="394"/>
      <c r="AE1966" s="394"/>
      <c r="AF1966" s="394"/>
      <c r="AG1966" s="394"/>
      <c r="AH1966" s="394"/>
      <c r="AI1966" s="394"/>
      <c r="AJ1966" s="394"/>
      <c r="AK1966" s="381"/>
      <c r="AL1966" s="408"/>
      <c r="AM1966" s="385"/>
      <c r="AN1966" s="475"/>
      <c r="AO1966" s="395"/>
      <c r="AP1966" s="395" t="e">
        <f t="shared" si="1024"/>
        <v>#DIV/0!</v>
      </c>
      <c r="AQ1966" s="393"/>
      <c r="AR1966" s="337"/>
      <c r="AS1966" s="497"/>
      <c r="AT1966" s="544"/>
      <c r="AU1966" s="394"/>
      <c r="AV1966" s="394"/>
      <c r="AW1966" s="394"/>
      <c r="AX1966" s="394"/>
      <c r="AY1966" s="394"/>
      <c r="AZ1966" s="394"/>
      <c r="BA1966" s="394"/>
      <c r="BB1966" s="394"/>
      <c r="BC1966" s="394"/>
      <c r="BD1966" s="381"/>
      <c r="BE1966" s="408"/>
      <c r="BF1966" s="385"/>
      <c r="BG1966" s="475"/>
      <c r="BH1966" s="395"/>
      <c r="BI1966" s="395" t="e">
        <f t="shared" si="1026"/>
        <v>#DIV/0!</v>
      </c>
    </row>
    <row r="1967" spans="1:61" s="358" customFormat="1" ht="19.2" x14ac:dyDescent="0.3">
      <c r="A1967" s="359" t="s">
        <v>2120</v>
      </c>
      <c r="B1967" s="537" t="s">
        <v>1713</v>
      </c>
      <c r="C1967" s="546" t="s">
        <v>1144</v>
      </c>
      <c r="D1967" s="360">
        <v>0.4</v>
      </c>
      <c r="E1967" s="393"/>
      <c r="F1967" s="337">
        <v>1</v>
      </c>
      <c r="G1967" s="497"/>
      <c r="H1967" s="544">
        <v>13.3089</v>
      </c>
      <c r="I1967" s="394">
        <v>11.39462</v>
      </c>
      <c r="J1967" s="394">
        <v>10.45833</v>
      </c>
      <c r="K1967" s="394"/>
      <c r="L1967" s="394"/>
      <c r="M1967" s="394">
        <v>0</v>
      </c>
      <c r="N1967" s="394">
        <v>0</v>
      </c>
      <c r="O1967" s="394">
        <v>0.44627</v>
      </c>
      <c r="P1967" s="394">
        <v>10.45833</v>
      </c>
      <c r="Q1967" s="394"/>
      <c r="R1967" s="381" t="s">
        <v>167</v>
      </c>
      <c r="S1967" s="408" t="s">
        <v>175</v>
      </c>
      <c r="T1967" s="385"/>
      <c r="U1967" s="475">
        <v>887</v>
      </c>
      <c r="V1967" s="395"/>
      <c r="W1967" s="395">
        <f t="shared" si="1025"/>
        <v>13.3089</v>
      </c>
      <c r="X1967" s="393"/>
      <c r="Y1967" s="337"/>
      <c r="Z1967" s="497"/>
      <c r="AA1967" s="544"/>
      <c r="AB1967" s="394"/>
      <c r="AC1967" s="394"/>
      <c r="AD1967" s="394"/>
      <c r="AE1967" s="394"/>
      <c r="AF1967" s="394"/>
      <c r="AG1967" s="394"/>
      <c r="AH1967" s="394"/>
      <c r="AI1967" s="394"/>
      <c r="AJ1967" s="394"/>
      <c r="AK1967" s="381"/>
      <c r="AL1967" s="408"/>
      <c r="AM1967" s="385"/>
      <c r="AN1967" s="475"/>
      <c r="AO1967" s="395"/>
      <c r="AP1967" s="395" t="e">
        <f t="shared" si="1024"/>
        <v>#DIV/0!</v>
      </c>
      <c r="AQ1967" s="393"/>
      <c r="AR1967" s="337"/>
      <c r="AS1967" s="497"/>
      <c r="AT1967" s="544"/>
      <c r="AU1967" s="394"/>
      <c r="AV1967" s="394"/>
      <c r="AW1967" s="394"/>
      <c r="AX1967" s="394"/>
      <c r="AY1967" s="394"/>
      <c r="AZ1967" s="394"/>
      <c r="BA1967" s="394"/>
      <c r="BB1967" s="394"/>
      <c r="BC1967" s="394"/>
      <c r="BD1967" s="381"/>
      <c r="BE1967" s="408"/>
      <c r="BF1967" s="385"/>
      <c r="BG1967" s="475"/>
      <c r="BH1967" s="395"/>
      <c r="BI1967" s="395" t="e">
        <f t="shared" si="1026"/>
        <v>#DIV/0!</v>
      </c>
    </row>
    <row r="1968" spans="1:61" s="358" customFormat="1" ht="19.2" x14ac:dyDescent="0.3">
      <c r="A1968" s="359" t="s">
        <v>2105</v>
      </c>
      <c r="B1968" s="537" t="s">
        <v>665</v>
      </c>
      <c r="C1968" s="546" t="s">
        <v>502</v>
      </c>
      <c r="D1968" s="360">
        <v>0.4</v>
      </c>
      <c r="E1968" s="393"/>
      <c r="F1968" s="337">
        <v>1</v>
      </c>
      <c r="G1968" s="497"/>
      <c r="H1968" s="544">
        <v>13.30889</v>
      </c>
      <c r="I1968" s="394">
        <v>11.39461</v>
      </c>
      <c r="J1968" s="394">
        <v>10.45833</v>
      </c>
      <c r="K1968" s="394"/>
      <c r="L1968" s="394"/>
      <c r="M1968" s="394">
        <v>0</v>
      </c>
      <c r="N1968" s="394">
        <v>0</v>
      </c>
      <c r="O1968" s="394">
        <v>0.44627</v>
      </c>
      <c r="P1968" s="394">
        <v>10.45833</v>
      </c>
      <c r="Q1968" s="394"/>
      <c r="R1968" s="381" t="s">
        <v>167</v>
      </c>
      <c r="S1968" s="408" t="s">
        <v>175</v>
      </c>
      <c r="T1968" s="385"/>
      <c r="U1968" s="475">
        <v>888</v>
      </c>
      <c r="V1968" s="395"/>
      <c r="W1968" s="395">
        <f t="shared" si="1025"/>
        <v>13.30889</v>
      </c>
      <c r="X1968" s="393"/>
      <c r="Y1968" s="337"/>
      <c r="Z1968" s="497"/>
      <c r="AA1968" s="544"/>
      <c r="AB1968" s="394"/>
      <c r="AC1968" s="394"/>
      <c r="AD1968" s="394"/>
      <c r="AE1968" s="394"/>
      <c r="AF1968" s="394"/>
      <c r="AG1968" s="394"/>
      <c r="AH1968" s="394"/>
      <c r="AI1968" s="394"/>
      <c r="AJ1968" s="394"/>
      <c r="AK1968" s="381"/>
      <c r="AL1968" s="408"/>
      <c r="AM1968" s="385"/>
      <c r="AN1968" s="475"/>
      <c r="AO1968" s="395"/>
      <c r="AP1968" s="395" t="e">
        <f t="shared" si="1024"/>
        <v>#DIV/0!</v>
      </c>
      <c r="AQ1968" s="393"/>
      <c r="AR1968" s="337"/>
      <c r="AS1968" s="497"/>
      <c r="AT1968" s="544"/>
      <c r="AU1968" s="394"/>
      <c r="AV1968" s="394"/>
      <c r="AW1968" s="394"/>
      <c r="AX1968" s="394"/>
      <c r="AY1968" s="394"/>
      <c r="AZ1968" s="394"/>
      <c r="BA1968" s="394"/>
      <c r="BB1968" s="394"/>
      <c r="BC1968" s="394"/>
      <c r="BD1968" s="381"/>
      <c r="BE1968" s="408"/>
      <c r="BF1968" s="385"/>
      <c r="BG1968" s="475"/>
      <c r="BH1968" s="395"/>
      <c r="BI1968" s="395" t="e">
        <f t="shared" si="1026"/>
        <v>#DIV/0!</v>
      </c>
    </row>
    <row r="1969" spans="1:61" s="358" customFormat="1" ht="19.2" x14ac:dyDescent="0.3">
      <c r="A1969" s="359" t="s">
        <v>2106</v>
      </c>
      <c r="B1969" s="537" t="s">
        <v>1714</v>
      </c>
      <c r="C1969" s="546" t="s">
        <v>1145</v>
      </c>
      <c r="D1969" s="360">
        <v>0.4</v>
      </c>
      <c r="E1969" s="393"/>
      <c r="F1969" s="337">
        <v>1</v>
      </c>
      <c r="G1969" s="497"/>
      <c r="H1969" s="544">
        <v>13.3089</v>
      </c>
      <c r="I1969" s="394">
        <v>11.39462</v>
      </c>
      <c r="J1969" s="394">
        <v>10.45833</v>
      </c>
      <c r="K1969" s="394"/>
      <c r="L1969" s="394"/>
      <c r="M1969" s="394">
        <v>0</v>
      </c>
      <c r="N1969" s="394">
        <v>0</v>
      </c>
      <c r="O1969" s="394">
        <v>0.44627</v>
      </c>
      <c r="P1969" s="394">
        <v>10.45833</v>
      </c>
      <c r="Q1969" s="394"/>
      <c r="R1969" s="381" t="s">
        <v>167</v>
      </c>
      <c r="S1969" s="408" t="s">
        <v>175</v>
      </c>
      <c r="T1969" s="385"/>
      <c r="U1969" s="475">
        <v>889</v>
      </c>
      <c r="V1969" s="395"/>
      <c r="W1969" s="395">
        <f t="shared" si="1025"/>
        <v>13.3089</v>
      </c>
      <c r="X1969" s="393"/>
      <c r="Y1969" s="337"/>
      <c r="Z1969" s="497"/>
      <c r="AA1969" s="544"/>
      <c r="AB1969" s="394"/>
      <c r="AC1969" s="394"/>
      <c r="AD1969" s="394"/>
      <c r="AE1969" s="394"/>
      <c r="AF1969" s="394"/>
      <c r="AG1969" s="394"/>
      <c r="AH1969" s="394"/>
      <c r="AI1969" s="394"/>
      <c r="AJ1969" s="394"/>
      <c r="AK1969" s="381"/>
      <c r="AL1969" s="408"/>
      <c r="AM1969" s="385"/>
      <c r="AN1969" s="475"/>
      <c r="AO1969" s="395"/>
      <c r="AP1969" s="395" t="e">
        <f t="shared" si="1024"/>
        <v>#DIV/0!</v>
      </c>
      <c r="AQ1969" s="393"/>
      <c r="AR1969" s="337"/>
      <c r="AS1969" s="497"/>
      <c r="AT1969" s="544"/>
      <c r="AU1969" s="394"/>
      <c r="AV1969" s="394"/>
      <c r="AW1969" s="394"/>
      <c r="AX1969" s="394"/>
      <c r="AY1969" s="394"/>
      <c r="AZ1969" s="394"/>
      <c r="BA1969" s="394"/>
      <c r="BB1969" s="394"/>
      <c r="BC1969" s="394"/>
      <c r="BD1969" s="381"/>
      <c r="BE1969" s="408"/>
      <c r="BF1969" s="385"/>
      <c r="BG1969" s="475"/>
      <c r="BH1969" s="395"/>
      <c r="BI1969" s="395" t="e">
        <f t="shared" si="1026"/>
        <v>#DIV/0!</v>
      </c>
    </row>
    <row r="1970" spans="1:61" s="358" customFormat="1" ht="19.2" x14ac:dyDescent="0.3">
      <c r="A1970" s="359" t="s">
        <v>2091</v>
      </c>
      <c r="B1970" s="537" t="s">
        <v>643</v>
      </c>
      <c r="C1970" s="546" t="s">
        <v>521</v>
      </c>
      <c r="D1970" s="360">
        <v>0.4</v>
      </c>
      <c r="E1970" s="393"/>
      <c r="F1970" s="337">
        <v>1</v>
      </c>
      <c r="G1970" s="497"/>
      <c r="H1970" s="544">
        <v>13.30889</v>
      </c>
      <c r="I1970" s="394">
        <v>11.39461</v>
      </c>
      <c r="J1970" s="394">
        <v>10.45833</v>
      </c>
      <c r="K1970" s="394"/>
      <c r="L1970" s="394"/>
      <c r="M1970" s="394">
        <v>0</v>
      </c>
      <c r="N1970" s="394">
        <v>0</v>
      </c>
      <c r="O1970" s="394">
        <v>0.44627</v>
      </c>
      <c r="P1970" s="394">
        <v>10.45833</v>
      </c>
      <c r="Q1970" s="394"/>
      <c r="R1970" s="381" t="s">
        <v>167</v>
      </c>
      <c r="S1970" s="408" t="s">
        <v>175</v>
      </c>
      <c r="T1970" s="385"/>
      <c r="U1970" s="475">
        <v>890</v>
      </c>
      <c r="V1970" s="395"/>
      <c r="W1970" s="395">
        <f t="shared" si="1025"/>
        <v>13.30889</v>
      </c>
      <c r="X1970" s="393"/>
      <c r="Y1970" s="337"/>
      <c r="Z1970" s="497"/>
      <c r="AA1970" s="544"/>
      <c r="AB1970" s="394"/>
      <c r="AC1970" s="394"/>
      <c r="AD1970" s="394"/>
      <c r="AE1970" s="394"/>
      <c r="AF1970" s="394"/>
      <c r="AG1970" s="394"/>
      <c r="AH1970" s="394"/>
      <c r="AI1970" s="394"/>
      <c r="AJ1970" s="394"/>
      <c r="AK1970" s="381"/>
      <c r="AL1970" s="408"/>
      <c r="AM1970" s="385"/>
      <c r="AN1970" s="475"/>
      <c r="AO1970" s="395"/>
      <c r="AP1970" s="395" t="e">
        <f t="shared" si="1024"/>
        <v>#DIV/0!</v>
      </c>
      <c r="AQ1970" s="393"/>
      <c r="AR1970" s="337"/>
      <c r="AS1970" s="497"/>
      <c r="AT1970" s="544"/>
      <c r="AU1970" s="394"/>
      <c r="AV1970" s="394"/>
      <c r="AW1970" s="394"/>
      <c r="AX1970" s="394"/>
      <c r="AY1970" s="394"/>
      <c r="AZ1970" s="394"/>
      <c r="BA1970" s="394"/>
      <c r="BB1970" s="394"/>
      <c r="BC1970" s="394"/>
      <c r="BD1970" s="381"/>
      <c r="BE1970" s="408"/>
      <c r="BF1970" s="385"/>
      <c r="BG1970" s="475"/>
      <c r="BH1970" s="395"/>
      <c r="BI1970" s="395" t="e">
        <f t="shared" si="1026"/>
        <v>#DIV/0!</v>
      </c>
    </row>
    <row r="1971" spans="1:61" s="358" customFormat="1" ht="19.2" x14ac:dyDescent="0.3">
      <c r="A1971" s="359" t="s">
        <v>2108</v>
      </c>
      <c r="B1971" s="537" t="s">
        <v>1715</v>
      </c>
      <c r="C1971" s="546" t="s">
        <v>1146</v>
      </c>
      <c r="D1971" s="360">
        <v>0.4</v>
      </c>
      <c r="E1971" s="393"/>
      <c r="F1971" s="337">
        <v>1</v>
      </c>
      <c r="G1971" s="497"/>
      <c r="H1971" s="544">
        <v>13.3089</v>
      </c>
      <c r="I1971" s="394">
        <v>11.39462</v>
      </c>
      <c r="J1971" s="394">
        <v>10.45833</v>
      </c>
      <c r="K1971" s="394"/>
      <c r="L1971" s="394"/>
      <c r="M1971" s="394">
        <v>0</v>
      </c>
      <c r="N1971" s="394">
        <v>0</v>
      </c>
      <c r="O1971" s="394">
        <v>0.44627</v>
      </c>
      <c r="P1971" s="394">
        <v>10.45833</v>
      </c>
      <c r="Q1971" s="394"/>
      <c r="R1971" s="381" t="s">
        <v>167</v>
      </c>
      <c r="S1971" s="408" t="s">
        <v>175</v>
      </c>
      <c r="T1971" s="385"/>
      <c r="U1971" s="475">
        <v>891</v>
      </c>
      <c r="V1971" s="395"/>
      <c r="W1971" s="395">
        <f t="shared" si="1025"/>
        <v>13.3089</v>
      </c>
      <c r="X1971" s="393"/>
      <c r="Y1971" s="337"/>
      <c r="Z1971" s="497"/>
      <c r="AA1971" s="544"/>
      <c r="AB1971" s="394"/>
      <c r="AC1971" s="394"/>
      <c r="AD1971" s="394"/>
      <c r="AE1971" s="394"/>
      <c r="AF1971" s="394"/>
      <c r="AG1971" s="394"/>
      <c r="AH1971" s="394"/>
      <c r="AI1971" s="394"/>
      <c r="AJ1971" s="394"/>
      <c r="AK1971" s="381"/>
      <c r="AL1971" s="408"/>
      <c r="AM1971" s="385"/>
      <c r="AN1971" s="475"/>
      <c r="AO1971" s="395"/>
      <c r="AP1971" s="395" t="e">
        <f t="shared" si="1024"/>
        <v>#DIV/0!</v>
      </c>
      <c r="AQ1971" s="393"/>
      <c r="AR1971" s="337"/>
      <c r="AS1971" s="497"/>
      <c r="AT1971" s="544"/>
      <c r="AU1971" s="394"/>
      <c r="AV1971" s="394"/>
      <c r="AW1971" s="394"/>
      <c r="AX1971" s="394"/>
      <c r="AY1971" s="394"/>
      <c r="AZ1971" s="394"/>
      <c r="BA1971" s="394"/>
      <c r="BB1971" s="394"/>
      <c r="BC1971" s="394"/>
      <c r="BD1971" s="381"/>
      <c r="BE1971" s="408"/>
      <c r="BF1971" s="385"/>
      <c r="BG1971" s="475"/>
      <c r="BH1971" s="395"/>
      <c r="BI1971" s="395" t="e">
        <f t="shared" si="1026"/>
        <v>#DIV/0!</v>
      </c>
    </row>
    <row r="1972" spans="1:61" s="358" customFormat="1" ht="19.2" x14ac:dyDescent="0.3">
      <c r="A1972" s="359" t="s">
        <v>2109</v>
      </c>
      <c r="B1972" s="537" t="s">
        <v>1716</v>
      </c>
      <c r="C1972" s="546" t="s">
        <v>1147</v>
      </c>
      <c r="D1972" s="360">
        <v>0.4</v>
      </c>
      <c r="E1972" s="393"/>
      <c r="F1972" s="337">
        <v>1</v>
      </c>
      <c r="G1972" s="497"/>
      <c r="H1972" s="544">
        <v>13.30889</v>
      </c>
      <c r="I1972" s="394">
        <v>11.39461</v>
      </c>
      <c r="J1972" s="394">
        <v>10.45833</v>
      </c>
      <c r="K1972" s="394"/>
      <c r="L1972" s="394"/>
      <c r="M1972" s="394">
        <v>0</v>
      </c>
      <c r="N1972" s="394">
        <v>0</v>
      </c>
      <c r="O1972" s="394">
        <v>0.44627</v>
      </c>
      <c r="P1972" s="394">
        <v>10.45833</v>
      </c>
      <c r="Q1972" s="394"/>
      <c r="R1972" s="381" t="s">
        <v>167</v>
      </c>
      <c r="S1972" s="408" t="s">
        <v>175</v>
      </c>
      <c r="T1972" s="385"/>
      <c r="U1972" s="475">
        <v>892</v>
      </c>
      <c r="V1972" s="395"/>
      <c r="W1972" s="395">
        <f t="shared" si="1025"/>
        <v>13.30889</v>
      </c>
      <c r="X1972" s="393"/>
      <c r="Y1972" s="337"/>
      <c r="Z1972" s="497"/>
      <c r="AA1972" s="544"/>
      <c r="AB1972" s="394"/>
      <c r="AC1972" s="394"/>
      <c r="AD1972" s="394"/>
      <c r="AE1972" s="394"/>
      <c r="AF1972" s="394"/>
      <c r="AG1972" s="394"/>
      <c r="AH1972" s="394"/>
      <c r="AI1972" s="394"/>
      <c r="AJ1972" s="394"/>
      <c r="AK1972" s="381"/>
      <c r="AL1972" s="408"/>
      <c r="AM1972" s="385"/>
      <c r="AN1972" s="475"/>
      <c r="AO1972" s="395"/>
      <c r="AP1972" s="395" t="e">
        <f t="shared" si="1024"/>
        <v>#DIV/0!</v>
      </c>
      <c r="AQ1972" s="393"/>
      <c r="AR1972" s="337"/>
      <c r="AS1972" s="497"/>
      <c r="AT1972" s="544"/>
      <c r="AU1972" s="394"/>
      <c r="AV1972" s="394"/>
      <c r="AW1972" s="394"/>
      <c r="AX1972" s="394"/>
      <c r="AY1972" s="394"/>
      <c r="AZ1972" s="394"/>
      <c r="BA1972" s="394"/>
      <c r="BB1972" s="394"/>
      <c r="BC1972" s="394"/>
      <c r="BD1972" s="381"/>
      <c r="BE1972" s="408"/>
      <c r="BF1972" s="385"/>
      <c r="BG1972" s="475"/>
      <c r="BH1972" s="395"/>
      <c r="BI1972" s="395" t="e">
        <f t="shared" si="1026"/>
        <v>#DIV/0!</v>
      </c>
    </row>
    <row r="1973" spans="1:61" s="358" customFormat="1" ht="19.2" x14ac:dyDescent="0.3">
      <c r="A1973" s="359" t="s">
        <v>2110</v>
      </c>
      <c r="B1973" s="537" t="s">
        <v>1717</v>
      </c>
      <c r="C1973" s="546" t="s">
        <v>1148</v>
      </c>
      <c r="D1973" s="360">
        <v>0.4</v>
      </c>
      <c r="E1973" s="393"/>
      <c r="F1973" s="337">
        <v>1</v>
      </c>
      <c r="G1973" s="497"/>
      <c r="H1973" s="544">
        <v>13.308909999999999</v>
      </c>
      <c r="I1973" s="394">
        <v>11.394629999999999</v>
      </c>
      <c r="J1973" s="394">
        <v>10.45833</v>
      </c>
      <c r="K1973" s="394"/>
      <c r="L1973" s="394"/>
      <c r="M1973" s="394">
        <v>0</v>
      </c>
      <c r="N1973" s="394">
        <v>0</v>
      </c>
      <c r="O1973" s="394">
        <v>0.44627</v>
      </c>
      <c r="P1973" s="394">
        <v>10.45833</v>
      </c>
      <c r="Q1973" s="394"/>
      <c r="R1973" s="381" t="s">
        <v>167</v>
      </c>
      <c r="S1973" s="408" t="s">
        <v>175</v>
      </c>
      <c r="T1973" s="385"/>
      <c r="U1973" s="475">
        <v>893</v>
      </c>
      <c r="V1973" s="395"/>
      <c r="W1973" s="395">
        <f t="shared" si="1025"/>
        <v>13.308909999999999</v>
      </c>
      <c r="X1973" s="393"/>
      <c r="Y1973" s="337"/>
      <c r="Z1973" s="497"/>
      <c r="AA1973" s="544"/>
      <c r="AB1973" s="394"/>
      <c r="AC1973" s="394"/>
      <c r="AD1973" s="394"/>
      <c r="AE1973" s="394"/>
      <c r="AF1973" s="394"/>
      <c r="AG1973" s="394"/>
      <c r="AH1973" s="394"/>
      <c r="AI1973" s="394"/>
      <c r="AJ1973" s="394"/>
      <c r="AK1973" s="381"/>
      <c r="AL1973" s="408"/>
      <c r="AM1973" s="385"/>
      <c r="AN1973" s="475"/>
      <c r="AO1973" s="395"/>
      <c r="AP1973" s="395" t="e">
        <f t="shared" si="1024"/>
        <v>#DIV/0!</v>
      </c>
      <c r="AQ1973" s="393"/>
      <c r="AR1973" s="337"/>
      <c r="AS1973" s="497"/>
      <c r="AT1973" s="544"/>
      <c r="AU1973" s="394"/>
      <c r="AV1973" s="394"/>
      <c r="AW1973" s="394"/>
      <c r="AX1973" s="394"/>
      <c r="AY1973" s="394"/>
      <c r="AZ1973" s="394"/>
      <c r="BA1973" s="394"/>
      <c r="BB1973" s="394"/>
      <c r="BC1973" s="394"/>
      <c r="BD1973" s="381"/>
      <c r="BE1973" s="408"/>
      <c r="BF1973" s="385"/>
      <c r="BG1973" s="475"/>
      <c r="BH1973" s="395"/>
      <c r="BI1973" s="395" t="e">
        <f t="shared" si="1026"/>
        <v>#DIV/0!</v>
      </c>
    </row>
    <row r="1974" spans="1:61" s="358" customFormat="1" ht="19.2" x14ac:dyDescent="0.3">
      <c r="A1974" s="359" t="s">
        <v>2111</v>
      </c>
      <c r="B1974" s="537" t="s">
        <v>1718</v>
      </c>
      <c r="C1974" s="546" t="s">
        <v>1149</v>
      </c>
      <c r="D1974" s="360">
        <v>0.4</v>
      </c>
      <c r="E1974" s="393"/>
      <c r="F1974" s="337">
        <v>1</v>
      </c>
      <c r="G1974" s="497"/>
      <c r="H1974" s="544">
        <v>13.30889</v>
      </c>
      <c r="I1974" s="394">
        <v>11.39461</v>
      </c>
      <c r="J1974" s="394">
        <v>10.45833</v>
      </c>
      <c r="K1974" s="394"/>
      <c r="L1974" s="394"/>
      <c r="M1974" s="394">
        <v>0</v>
      </c>
      <c r="N1974" s="394">
        <v>0</v>
      </c>
      <c r="O1974" s="394">
        <v>0.44627</v>
      </c>
      <c r="P1974" s="394">
        <v>10.45833</v>
      </c>
      <c r="Q1974" s="394"/>
      <c r="R1974" s="381" t="s">
        <v>167</v>
      </c>
      <c r="S1974" s="408" t="s">
        <v>175</v>
      </c>
      <c r="T1974" s="385"/>
      <c r="U1974" s="475">
        <v>894</v>
      </c>
      <c r="V1974" s="395"/>
      <c r="W1974" s="395">
        <f t="shared" si="1025"/>
        <v>13.30889</v>
      </c>
      <c r="X1974" s="393"/>
      <c r="Y1974" s="337"/>
      <c r="Z1974" s="497"/>
      <c r="AA1974" s="544"/>
      <c r="AB1974" s="394"/>
      <c r="AC1974" s="394"/>
      <c r="AD1974" s="394"/>
      <c r="AE1974" s="394"/>
      <c r="AF1974" s="394"/>
      <c r="AG1974" s="394"/>
      <c r="AH1974" s="394"/>
      <c r="AI1974" s="394"/>
      <c r="AJ1974" s="394"/>
      <c r="AK1974" s="381"/>
      <c r="AL1974" s="408"/>
      <c r="AM1974" s="385"/>
      <c r="AN1974" s="475"/>
      <c r="AO1974" s="395"/>
      <c r="AP1974" s="395" t="e">
        <f t="shared" si="1024"/>
        <v>#DIV/0!</v>
      </c>
      <c r="AQ1974" s="393"/>
      <c r="AR1974" s="337"/>
      <c r="AS1974" s="497"/>
      <c r="AT1974" s="544"/>
      <c r="AU1974" s="394"/>
      <c r="AV1974" s="394"/>
      <c r="AW1974" s="394"/>
      <c r="AX1974" s="394"/>
      <c r="AY1974" s="394"/>
      <c r="AZ1974" s="394"/>
      <c r="BA1974" s="394"/>
      <c r="BB1974" s="394"/>
      <c r="BC1974" s="394"/>
      <c r="BD1974" s="381"/>
      <c r="BE1974" s="408"/>
      <c r="BF1974" s="385"/>
      <c r="BG1974" s="475"/>
      <c r="BH1974" s="395"/>
      <c r="BI1974" s="395" t="e">
        <f t="shared" si="1026"/>
        <v>#DIV/0!</v>
      </c>
    </row>
    <row r="1975" spans="1:61" s="358" customFormat="1" ht="19.2" x14ac:dyDescent="0.3">
      <c r="A1975" s="359" t="s">
        <v>2112</v>
      </c>
      <c r="B1975" s="537" t="s">
        <v>1719</v>
      </c>
      <c r="C1975" s="546" t="s">
        <v>1150</v>
      </c>
      <c r="D1975" s="360">
        <v>0.4</v>
      </c>
      <c r="E1975" s="393"/>
      <c r="F1975" s="337">
        <v>1</v>
      </c>
      <c r="G1975" s="497"/>
      <c r="H1975" s="544">
        <v>13.308909999999999</v>
      </c>
      <c r="I1975" s="394">
        <v>11.394629999999999</v>
      </c>
      <c r="J1975" s="394">
        <v>10.45833</v>
      </c>
      <c r="K1975" s="394"/>
      <c r="L1975" s="394"/>
      <c r="M1975" s="394">
        <v>0</v>
      </c>
      <c r="N1975" s="394">
        <v>0</v>
      </c>
      <c r="O1975" s="394">
        <v>0.44627</v>
      </c>
      <c r="P1975" s="394">
        <v>10.45833</v>
      </c>
      <c r="Q1975" s="394"/>
      <c r="R1975" s="381" t="s">
        <v>167</v>
      </c>
      <c r="S1975" s="408" t="s">
        <v>175</v>
      </c>
      <c r="T1975" s="385"/>
      <c r="U1975" s="475">
        <v>895</v>
      </c>
      <c r="V1975" s="395"/>
      <c r="W1975" s="395">
        <f t="shared" si="1025"/>
        <v>13.308909999999999</v>
      </c>
      <c r="X1975" s="393"/>
      <c r="Y1975" s="337"/>
      <c r="Z1975" s="497"/>
      <c r="AA1975" s="544"/>
      <c r="AB1975" s="394"/>
      <c r="AC1975" s="394"/>
      <c r="AD1975" s="394"/>
      <c r="AE1975" s="394"/>
      <c r="AF1975" s="394"/>
      <c r="AG1975" s="394"/>
      <c r="AH1975" s="394"/>
      <c r="AI1975" s="394"/>
      <c r="AJ1975" s="394"/>
      <c r="AK1975" s="381"/>
      <c r="AL1975" s="408"/>
      <c r="AM1975" s="385"/>
      <c r="AN1975" s="475"/>
      <c r="AO1975" s="395"/>
      <c r="AP1975" s="395" t="e">
        <f t="shared" si="1024"/>
        <v>#DIV/0!</v>
      </c>
      <c r="AQ1975" s="393"/>
      <c r="AR1975" s="337"/>
      <c r="AS1975" s="497"/>
      <c r="AT1975" s="544"/>
      <c r="AU1975" s="394"/>
      <c r="AV1975" s="394"/>
      <c r="AW1975" s="394"/>
      <c r="AX1975" s="394"/>
      <c r="AY1975" s="394"/>
      <c r="AZ1975" s="394"/>
      <c r="BA1975" s="394"/>
      <c r="BB1975" s="394"/>
      <c r="BC1975" s="394"/>
      <c r="BD1975" s="381"/>
      <c r="BE1975" s="408"/>
      <c r="BF1975" s="385"/>
      <c r="BG1975" s="475"/>
      <c r="BH1975" s="395"/>
      <c r="BI1975" s="395" t="e">
        <f t="shared" si="1026"/>
        <v>#DIV/0!</v>
      </c>
    </row>
    <row r="1976" spans="1:61" s="358" customFormat="1" ht="19.2" x14ac:dyDescent="0.3">
      <c r="A1976" s="359" t="s">
        <v>2113</v>
      </c>
      <c r="B1976" s="537" t="s">
        <v>1720</v>
      </c>
      <c r="C1976" s="546" t="s">
        <v>1151</v>
      </c>
      <c r="D1976" s="360">
        <v>0.4</v>
      </c>
      <c r="E1976" s="393"/>
      <c r="F1976" s="337">
        <v>1</v>
      </c>
      <c r="G1976" s="497"/>
      <c r="H1976" s="544">
        <v>13.30889</v>
      </c>
      <c r="I1976" s="394">
        <v>11.39461</v>
      </c>
      <c r="J1976" s="394">
        <v>10.45833</v>
      </c>
      <c r="K1976" s="394"/>
      <c r="L1976" s="394"/>
      <c r="M1976" s="394">
        <v>0</v>
      </c>
      <c r="N1976" s="394">
        <v>0</v>
      </c>
      <c r="O1976" s="394">
        <v>0.44627</v>
      </c>
      <c r="P1976" s="394">
        <v>10.45833</v>
      </c>
      <c r="Q1976" s="394"/>
      <c r="R1976" s="381" t="s">
        <v>167</v>
      </c>
      <c r="S1976" s="408" t="s">
        <v>175</v>
      </c>
      <c r="T1976" s="385"/>
      <c r="U1976" s="475">
        <v>896</v>
      </c>
      <c r="V1976" s="395"/>
      <c r="W1976" s="395">
        <f t="shared" si="1025"/>
        <v>13.30889</v>
      </c>
      <c r="X1976" s="393"/>
      <c r="Y1976" s="337"/>
      <c r="Z1976" s="497"/>
      <c r="AA1976" s="544"/>
      <c r="AB1976" s="394"/>
      <c r="AC1976" s="394"/>
      <c r="AD1976" s="394"/>
      <c r="AE1976" s="394"/>
      <c r="AF1976" s="394"/>
      <c r="AG1976" s="394"/>
      <c r="AH1976" s="394"/>
      <c r="AI1976" s="394"/>
      <c r="AJ1976" s="394"/>
      <c r="AK1976" s="381"/>
      <c r="AL1976" s="408"/>
      <c r="AM1976" s="385"/>
      <c r="AN1976" s="475"/>
      <c r="AO1976" s="395"/>
      <c r="AP1976" s="395" t="e">
        <f t="shared" si="1024"/>
        <v>#DIV/0!</v>
      </c>
      <c r="AQ1976" s="393"/>
      <c r="AR1976" s="337"/>
      <c r="AS1976" s="497"/>
      <c r="AT1976" s="544"/>
      <c r="AU1976" s="394"/>
      <c r="AV1976" s="394"/>
      <c r="AW1976" s="394"/>
      <c r="AX1976" s="394"/>
      <c r="AY1976" s="394"/>
      <c r="AZ1976" s="394"/>
      <c r="BA1976" s="394"/>
      <c r="BB1976" s="394"/>
      <c r="BC1976" s="394"/>
      <c r="BD1976" s="381"/>
      <c r="BE1976" s="408"/>
      <c r="BF1976" s="385"/>
      <c r="BG1976" s="475"/>
      <c r="BH1976" s="395"/>
      <c r="BI1976" s="395" t="e">
        <f t="shared" si="1026"/>
        <v>#DIV/0!</v>
      </c>
    </row>
    <row r="1977" spans="1:61" s="358" customFormat="1" ht="19.2" x14ac:dyDescent="0.3">
      <c r="A1977" s="359" t="s">
        <v>2114</v>
      </c>
      <c r="B1977" s="537" t="s">
        <v>1721</v>
      </c>
      <c r="C1977" s="546" t="s">
        <v>1152</v>
      </c>
      <c r="D1977" s="360">
        <v>0.4</v>
      </c>
      <c r="E1977" s="393"/>
      <c r="F1977" s="337">
        <v>1</v>
      </c>
      <c r="G1977" s="497"/>
      <c r="H1977" s="544">
        <v>13.308909999999999</v>
      </c>
      <c r="I1977" s="394">
        <v>11.394629999999999</v>
      </c>
      <c r="J1977" s="394">
        <v>10.45833</v>
      </c>
      <c r="K1977" s="394"/>
      <c r="L1977" s="394"/>
      <c r="M1977" s="394">
        <v>0</v>
      </c>
      <c r="N1977" s="394">
        <v>0</v>
      </c>
      <c r="O1977" s="394">
        <v>0.44627</v>
      </c>
      <c r="P1977" s="394">
        <v>10.45833</v>
      </c>
      <c r="Q1977" s="394"/>
      <c r="R1977" s="381" t="s">
        <v>167</v>
      </c>
      <c r="S1977" s="408" t="s">
        <v>175</v>
      </c>
      <c r="T1977" s="385"/>
      <c r="U1977" s="475">
        <v>897</v>
      </c>
      <c r="V1977" s="395"/>
      <c r="W1977" s="395">
        <f t="shared" si="1025"/>
        <v>13.308909999999999</v>
      </c>
      <c r="X1977" s="393"/>
      <c r="Y1977" s="337"/>
      <c r="Z1977" s="497"/>
      <c r="AA1977" s="544"/>
      <c r="AB1977" s="394"/>
      <c r="AC1977" s="394"/>
      <c r="AD1977" s="394"/>
      <c r="AE1977" s="394"/>
      <c r="AF1977" s="394"/>
      <c r="AG1977" s="394"/>
      <c r="AH1977" s="394"/>
      <c r="AI1977" s="394"/>
      <c r="AJ1977" s="394"/>
      <c r="AK1977" s="381"/>
      <c r="AL1977" s="408"/>
      <c r="AM1977" s="385"/>
      <c r="AN1977" s="475"/>
      <c r="AO1977" s="395"/>
      <c r="AP1977" s="395" t="e">
        <f t="shared" si="1024"/>
        <v>#DIV/0!</v>
      </c>
      <c r="AQ1977" s="393"/>
      <c r="AR1977" s="337"/>
      <c r="AS1977" s="497"/>
      <c r="AT1977" s="544"/>
      <c r="AU1977" s="394"/>
      <c r="AV1977" s="394"/>
      <c r="AW1977" s="394"/>
      <c r="AX1977" s="394"/>
      <c r="AY1977" s="394"/>
      <c r="AZ1977" s="394"/>
      <c r="BA1977" s="394"/>
      <c r="BB1977" s="394"/>
      <c r="BC1977" s="394"/>
      <c r="BD1977" s="381"/>
      <c r="BE1977" s="408"/>
      <c r="BF1977" s="385"/>
      <c r="BG1977" s="475"/>
      <c r="BH1977" s="395"/>
      <c r="BI1977" s="395" t="e">
        <f t="shared" si="1026"/>
        <v>#DIV/0!</v>
      </c>
    </row>
    <row r="1978" spans="1:61" s="358" customFormat="1" ht="19.2" x14ac:dyDescent="0.3">
      <c r="A1978" s="359" t="s">
        <v>2115</v>
      </c>
      <c r="B1978" s="537" t="s">
        <v>1722</v>
      </c>
      <c r="C1978" s="546" t="s">
        <v>1153</v>
      </c>
      <c r="D1978" s="360">
        <v>0.4</v>
      </c>
      <c r="E1978" s="393"/>
      <c r="F1978" s="337">
        <v>1</v>
      </c>
      <c r="G1978" s="497"/>
      <c r="H1978" s="544">
        <v>13.30889</v>
      </c>
      <c r="I1978" s="394">
        <v>11.39461</v>
      </c>
      <c r="J1978" s="394">
        <v>10.45833</v>
      </c>
      <c r="K1978" s="394"/>
      <c r="L1978" s="394"/>
      <c r="M1978" s="394">
        <v>0</v>
      </c>
      <c r="N1978" s="394">
        <v>0</v>
      </c>
      <c r="O1978" s="394">
        <v>0.44627</v>
      </c>
      <c r="P1978" s="394">
        <v>10.45833</v>
      </c>
      <c r="Q1978" s="394"/>
      <c r="R1978" s="381" t="s">
        <v>167</v>
      </c>
      <c r="S1978" s="408" t="s">
        <v>175</v>
      </c>
      <c r="T1978" s="385"/>
      <c r="U1978" s="475">
        <v>898</v>
      </c>
      <c r="V1978" s="395"/>
      <c r="W1978" s="395">
        <f t="shared" si="1025"/>
        <v>13.30889</v>
      </c>
      <c r="X1978" s="393"/>
      <c r="Y1978" s="337"/>
      <c r="Z1978" s="497"/>
      <c r="AA1978" s="544"/>
      <c r="AB1978" s="394"/>
      <c r="AC1978" s="394"/>
      <c r="AD1978" s="394"/>
      <c r="AE1978" s="394"/>
      <c r="AF1978" s="394"/>
      <c r="AG1978" s="394"/>
      <c r="AH1978" s="394"/>
      <c r="AI1978" s="394"/>
      <c r="AJ1978" s="394"/>
      <c r="AK1978" s="381"/>
      <c r="AL1978" s="408"/>
      <c r="AM1978" s="385"/>
      <c r="AN1978" s="475"/>
      <c r="AO1978" s="395"/>
      <c r="AP1978" s="395" t="e">
        <f t="shared" si="1024"/>
        <v>#DIV/0!</v>
      </c>
      <c r="AQ1978" s="393"/>
      <c r="AR1978" s="337"/>
      <c r="AS1978" s="497"/>
      <c r="AT1978" s="544"/>
      <c r="AU1978" s="394"/>
      <c r="AV1978" s="394"/>
      <c r="AW1978" s="394"/>
      <c r="AX1978" s="394"/>
      <c r="AY1978" s="394"/>
      <c r="AZ1978" s="394"/>
      <c r="BA1978" s="394"/>
      <c r="BB1978" s="394"/>
      <c r="BC1978" s="394"/>
      <c r="BD1978" s="381"/>
      <c r="BE1978" s="408"/>
      <c r="BF1978" s="385"/>
      <c r="BG1978" s="475"/>
      <c r="BH1978" s="395"/>
      <c r="BI1978" s="395" t="e">
        <f t="shared" si="1026"/>
        <v>#DIV/0!</v>
      </c>
    </row>
    <row r="1979" spans="1:61" s="358" customFormat="1" ht="19.2" x14ac:dyDescent="0.3">
      <c r="A1979" s="359" t="s">
        <v>2132</v>
      </c>
      <c r="B1979" s="537" t="s">
        <v>1723</v>
      </c>
      <c r="C1979" s="546" t="s">
        <v>1154</v>
      </c>
      <c r="D1979" s="360">
        <v>0.4</v>
      </c>
      <c r="E1979" s="393"/>
      <c r="F1979" s="337">
        <v>1</v>
      </c>
      <c r="G1979" s="497"/>
      <c r="H1979" s="544">
        <v>13.308909999999999</v>
      </c>
      <c r="I1979" s="394">
        <v>11.394629999999999</v>
      </c>
      <c r="J1979" s="394">
        <v>10.45833</v>
      </c>
      <c r="K1979" s="394"/>
      <c r="L1979" s="394"/>
      <c r="M1979" s="394">
        <v>0</v>
      </c>
      <c r="N1979" s="394">
        <v>0</v>
      </c>
      <c r="O1979" s="394">
        <v>0.44627</v>
      </c>
      <c r="P1979" s="394">
        <v>10.45833</v>
      </c>
      <c r="Q1979" s="394"/>
      <c r="R1979" s="381" t="s">
        <v>167</v>
      </c>
      <c r="S1979" s="408" t="s">
        <v>175</v>
      </c>
      <c r="T1979" s="385"/>
      <c r="U1979" s="475">
        <v>899</v>
      </c>
      <c r="V1979" s="395"/>
      <c r="W1979" s="395">
        <f t="shared" si="1025"/>
        <v>13.308909999999999</v>
      </c>
      <c r="X1979" s="393"/>
      <c r="Y1979" s="337"/>
      <c r="Z1979" s="497"/>
      <c r="AA1979" s="544"/>
      <c r="AB1979" s="394"/>
      <c r="AC1979" s="394"/>
      <c r="AD1979" s="394"/>
      <c r="AE1979" s="394"/>
      <c r="AF1979" s="394"/>
      <c r="AG1979" s="394"/>
      <c r="AH1979" s="394"/>
      <c r="AI1979" s="394"/>
      <c r="AJ1979" s="394"/>
      <c r="AK1979" s="381"/>
      <c r="AL1979" s="408"/>
      <c r="AM1979" s="385"/>
      <c r="AN1979" s="475"/>
      <c r="AO1979" s="395"/>
      <c r="AP1979" s="395" t="e">
        <f t="shared" si="1024"/>
        <v>#DIV/0!</v>
      </c>
      <c r="AQ1979" s="393"/>
      <c r="AR1979" s="337"/>
      <c r="AS1979" s="497"/>
      <c r="AT1979" s="544"/>
      <c r="AU1979" s="394"/>
      <c r="AV1979" s="394"/>
      <c r="AW1979" s="394"/>
      <c r="AX1979" s="394"/>
      <c r="AY1979" s="394"/>
      <c r="AZ1979" s="394"/>
      <c r="BA1979" s="394"/>
      <c r="BB1979" s="394"/>
      <c r="BC1979" s="394"/>
      <c r="BD1979" s="381"/>
      <c r="BE1979" s="408"/>
      <c r="BF1979" s="385"/>
      <c r="BG1979" s="475"/>
      <c r="BH1979" s="395"/>
      <c r="BI1979" s="395" t="e">
        <f t="shared" si="1026"/>
        <v>#DIV/0!</v>
      </c>
    </row>
    <row r="1980" spans="1:61" s="358" customFormat="1" ht="19.2" x14ac:dyDescent="0.3">
      <c r="A1980" s="359" t="s">
        <v>2117</v>
      </c>
      <c r="B1980" s="537" t="s">
        <v>1724</v>
      </c>
      <c r="C1980" s="546" t="s">
        <v>1155</v>
      </c>
      <c r="D1980" s="360">
        <v>0.4</v>
      </c>
      <c r="E1980" s="393"/>
      <c r="F1980" s="337">
        <v>1</v>
      </c>
      <c r="G1980" s="497"/>
      <c r="H1980" s="544">
        <v>13.30889</v>
      </c>
      <c r="I1980" s="394">
        <v>11.39461</v>
      </c>
      <c r="J1980" s="394">
        <v>10.45833</v>
      </c>
      <c r="K1980" s="394"/>
      <c r="L1980" s="394"/>
      <c r="M1980" s="394">
        <v>0</v>
      </c>
      <c r="N1980" s="394">
        <v>0</v>
      </c>
      <c r="O1980" s="394">
        <v>0.44627</v>
      </c>
      <c r="P1980" s="394">
        <v>10.45833</v>
      </c>
      <c r="Q1980" s="394"/>
      <c r="R1980" s="381" t="s">
        <v>167</v>
      </c>
      <c r="S1980" s="408" t="s">
        <v>175</v>
      </c>
      <c r="T1980" s="385"/>
      <c r="U1980" s="475">
        <v>900</v>
      </c>
      <c r="V1980" s="395"/>
      <c r="W1980" s="395">
        <f t="shared" si="1025"/>
        <v>13.30889</v>
      </c>
      <c r="X1980" s="393"/>
      <c r="Y1980" s="337"/>
      <c r="Z1980" s="497"/>
      <c r="AA1980" s="544"/>
      <c r="AB1980" s="394"/>
      <c r="AC1980" s="394"/>
      <c r="AD1980" s="394"/>
      <c r="AE1980" s="394"/>
      <c r="AF1980" s="394"/>
      <c r="AG1980" s="394"/>
      <c r="AH1980" s="394"/>
      <c r="AI1980" s="394"/>
      <c r="AJ1980" s="394"/>
      <c r="AK1980" s="381"/>
      <c r="AL1980" s="408"/>
      <c r="AM1980" s="385"/>
      <c r="AN1980" s="475"/>
      <c r="AO1980" s="395"/>
      <c r="AP1980" s="395" t="e">
        <f t="shared" si="1024"/>
        <v>#DIV/0!</v>
      </c>
      <c r="AQ1980" s="393"/>
      <c r="AR1980" s="337"/>
      <c r="AS1980" s="497"/>
      <c r="AT1980" s="544"/>
      <c r="AU1980" s="394"/>
      <c r="AV1980" s="394"/>
      <c r="AW1980" s="394"/>
      <c r="AX1980" s="394"/>
      <c r="AY1980" s="394"/>
      <c r="AZ1980" s="394"/>
      <c r="BA1980" s="394"/>
      <c r="BB1980" s="394"/>
      <c r="BC1980" s="394"/>
      <c r="BD1980" s="381"/>
      <c r="BE1980" s="408"/>
      <c r="BF1980" s="385"/>
      <c r="BG1980" s="475"/>
      <c r="BH1980" s="395"/>
      <c r="BI1980" s="395" t="e">
        <f t="shared" si="1026"/>
        <v>#DIV/0!</v>
      </c>
    </row>
    <row r="1981" spans="1:61" s="358" customFormat="1" ht="19.2" x14ac:dyDescent="0.3">
      <c r="A1981" s="359" t="s">
        <v>2118</v>
      </c>
      <c r="B1981" s="537" t="s">
        <v>1725</v>
      </c>
      <c r="C1981" s="546" t="s">
        <v>1158</v>
      </c>
      <c r="D1981" s="360">
        <v>0.4</v>
      </c>
      <c r="E1981" s="393"/>
      <c r="F1981" s="337">
        <v>1</v>
      </c>
      <c r="G1981" s="497"/>
      <c r="H1981" s="544">
        <v>16.54034</v>
      </c>
      <c r="I1981" s="394">
        <v>12.258430000000001</v>
      </c>
      <c r="J1981" s="394">
        <v>8.5416699999999999</v>
      </c>
      <c r="K1981" s="394"/>
      <c r="L1981" s="394"/>
      <c r="M1981" s="394">
        <v>0</v>
      </c>
      <c r="N1981" s="394">
        <v>0</v>
      </c>
      <c r="O1981" s="394">
        <v>0.99822999999999995</v>
      </c>
      <c r="P1981" s="394">
        <v>8.5416699999999999</v>
      </c>
      <c r="Q1981" s="394"/>
      <c r="R1981" s="381" t="s">
        <v>167</v>
      </c>
      <c r="S1981" s="408" t="s">
        <v>175</v>
      </c>
      <c r="T1981" s="385"/>
      <c r="U1981" s="475">
        <v>901</v>
      </c>
      <c r="V1981" s="395"/>
      <c r="W1981" s="395">
        <f t="shared" si="1025"/>
        <v>16.54034</v>
      </c>
      <c r="X1981" s="393"/>
      <c r="Y1981" s="337"/>
      <c r="Z1981" s="497"/>
      <c r="AA1981" s="544"/>
      <c r="AB1981" s="394"/>
      <c r="AC1981" s="394"/>
      <c r="AD1981" s="394"/>
      <c r="AE1981" s="394"/>
      <c r="AF1981" s="394"/>
      <c r="AG1981" s="394"/>
      <c r="AH1981" s="394"/>
      <c r="AI1981" s="394"/>
      <c r="AJ1981" s="394"/>
      <c r="AK1981" s="381"/>
      <c r="AL1981" s="408"/>
      <c r="AM1981" s="385"/>
      <c r="AN1981" s="475"/>
      <c r="AO1981" s="395"/>
      <c r="AP1981" s="395" t="e">
        <f t="shared" si="1024"/>
        <v>#DIV/0!</v>
      </c>
      <c r="AQ1981" s="393"/>
      <c r="AR1981" s="337"/>
      <c r="AS1981" s="497"/>
      <c r="AT1981" s="544"/>
      <c r="AU1981" s="394"/>
      <c r="AV1981" s="394"/>
      <c r="AW1981" s="394"/>
      <c r="AX1981" s="394"/>
      <c r="AY1981" s="394"/>
      <c r="AZ1981" s="394"/>
      <c r="BA1981" s="394"/>
      <c r="BB1981" s="394"/>
      <c r="BC1981" s="394"/>
      <c r="BD1981" s="381"/>
      <c r="BE1981" s="408"/>
      <c r="BF1981" s="385"/>
      <c r="BG1981" s="475"/>
      <c r="BH1981" s="395"/>
      <c r="BI1981" s="395" t="e">
        <f t="shared" si="1026"/>
        <v>#DIV/0!</v>
      </c>
    </row>
    <row r="1982" spans="1:61" s="358" customFormat="1" ht="19.2" x14ac:dyDescent="0.3">
      <c r="A1982" s="359" t="s">
        <v>2119</v>
      </c>
      <c r="B1982" s="537" t="s">
        <v>1726</v>
      </c>
      <c r="C1982" s="546" t="s">
        <v>1159</v>
      </c>
      <c r="D1982" s="360">
        <v>0.4</v>
      </c>
      <c r="E1982" s="393"/>
      <c r="F1982" s="337">
        <v>1</v>
      </c>
      <c r="G1982" s="497"/>
      <c r="H1982" s="544">
        <v>9.4122599999999998</v>
      </c>
      <c r="I1982" s="394">
        <v>8.5459999999999994</v>
      </c>
      <c r="J1982" s="394">
        <v>8.5416699999999999</v>
      </c>
      <c r="K1982" s="394"/>
      <c r="L1982" s="394"/>
      <c r="M1982" s="394">
        <v>0</v>
      </c>
      <c r="N1982" s="394">
        <v>0</v>
      </c>
      <c r="O1982" s="394">
        <v>0.20194999999999999</v>
      </c>
      <c r="P1982" s="394">
        <v>8.5416699999999999</v>
      </c>
      <c r="Q1982" s="394"/>
      <c r="R1982" s="381" t="s">
        <v>167</v>
      </c>
      <c r="S1982" s="408" t="s">
        <v>175</v>
      </c>
      <c r="T1982" s="385"/>
      <c r="U1982" s="475">
        <v>902</v>
      </c>
      <c r="V1982" s="395"/>
      <c r="W1982" s="395">
        <f t="shared" si="1022"/>
        <v>9.4122599999999998</v>
      </c>
      <c r="X1982" s="393"/>
      <c r="Y1982" s="337"/>
      <c r="Z1982" s="497"/>
      <c r="AA1982" s="544"/>
      <c r="AB1982" s="394"/>
      <c r="AC1982" s="394"/>
      <c r="AD1982" s="394"/>
      <c r="AE1982" s="394"/>
      <c r="AF1982" s="394"/>
      <c r="AG1982" s="394"/>
      <c r="AH1982" s="394"/>
      <c r="AI1982" s="394"/>
      <c r="AJ1982" s="394"/>
      <c r="AK1982" s="381"/>
      <c r="AL1982" s="408"/>
      <c r="AM1982" s="385"/>
      <c r="AN1982" s="475"/>
      <c r="AO1982" s="395"/>
      <c r="AP1982" s="395" t="e">
        <f t="shared" si="1024"/>
        <v>#DIV/0!</v>
      </c>
      <c r="AQ1982" s="393"/>
      <c r="AR1982" s="337"/>
      <c r="AS1982" s="497"/>
      <c r="AT1982" s="544"/>
      <c r="AU1982" s="394"/>
      <c r="AV1982" s="394"/>
      <c r="AW1982" s="394"/>
      <c r="AX1982" s="394"/>
      <c r="AY1982" s="394"/>
      <c r="AZ1982" s="394"/>
      <c r="BA1982" s="394"/>
      <c r="BB1982" s="394"/>
      <c r="BC1982" s="394"/>
      <c r="BD1982" s="381"/>
      <c r="BE1982" s="408"/>
      <c r="BF1982" s="385"/>
      <c r="BG1982" s="475"/>
      <c r="BH1982" s="395"/>
      <c r="BI1982" s="395" t="e">
        <f t="shared" si="1026"/>
        <v>#DIV/0!</v>
      </c>
    </row>
    <row r="1983" spans="1:61" s="358" customFormat="1" ht="19.2" x14ac:dyDescent="0.3">
      <c r="A1983" s="359" t="s">
        <v>2136</v>
      </c>
      <c r="B1983" s="537" t="s">
        <v>1727</v>
      </c>
      <c r="C1983" s="546" t="s">
        <v>1160</v>
      </c>
      <c r="D1983" s="360">
        <v>0.4</v>
      </c>
      <c r="E1983" s="393"/>
      <c r="F1983" s="337">
        <v>1</v>
      </c>
      <c r="G1983" s="497"/>
      <c r="H1983" s="544">
        <v>9.4122699999999995</v>
      </c>
      <c r="I1983" s="394">
        <v>8.5459999999999994</v>
      </c>
      <c r="J1983" s="394">
        <v>8.5416699999999999</v>
      </c>
      <c r="K1983" s="394"/>
      <c r="L1983" s="394"/>
      <c r="M1983" s="394">
        <v>0</v>
      </c>
      <c r="N1983" s="394">
        <v>0</v>
      </c>
      <c r="O1983" s="394">
        <v>0.20194999999999999</v>
      </c>
      <c r="P1983" s="394">
        <v>8.5416699999999999</v>
      </c>
      <c r="Q1983" s="394"/>
      <c r="R1983" s="381" t="s">
        <v>167</v>
      </c>
      <c r="S1983" s="408" t="s">
        <v>175</v>
      </c>
      <c r="T1983" s="385"/>
      <c r="U1983" s="475">
        <v>903</v>
      </c>
      <c r="V1983" s="395"/>
      <c r="W1983" s="395">
        <f t="shared" si="1022"/>
        <v>9.4122699999999995</v>
      </c>
      <c r="X1983" s="393"/>
      <c r="Y1983" s="337"/>
      <c r="Z1983" s="497"/>
      <c r="AA1983" s="544"/>
      <c r="AB1983" s="394"/>
      <c r="AC1983" s="394"/>
      <c r="AD1983" s="394"/>
      <c r="AE1983" s="394"/>
      <c r="AF1983" s="394"/>
      <c r="AG1983" s="394"/>
      <c r="AH1983" s="394"/>
      <c r="AI1983" s="394"/>
      <c r="AJ1983" s="394"/>
      <c r="AK1983" s="381"/>
      <c r="AL1983" s="408"/>
      <c r="AM1983" s="385"/>
      <c r="AN1983" s="475"/>
      <c r="AO1983" s="395"/>
      <c r="AP1983" s="395" t="e">
        <f t="shared" si="1024"/>
        <v>#DIV/0!</v>
      </c>
      <c r="AQ1983" s="393"/>
      <c r="AR1983" s="337"/>
      <c r="AS1983" s="497"/>
      <c r="AT1983" s="544"/>
      <c r="AU1983" s="394"/>
      <c r="AV1983" s="394"/>
      <c r="AW1983" s="394"/>
      <c r="AX1983" s="394"/>
      <c r="AY1983" s="394"/>
      <c r="AZ1983" s="394"/>
      <c r="BA1983" s="394"/>
      <c r="BB1983" s="394"/>
      <c r="BC1983" s="394"/>
      <c r="BD1983" s="381"/>
      <c r="BE1983" s="408"/>
      <c r="BF1983" s="385"/>
      <c r="BG1983" s="475"/>
      <c r="BH1983" s="395"/>
      <c r="BI1983" s="395" t="e">
        <f t="shared" si="1026"/>
        <v>#DIV/0!</v>
      </c>
    </row>
    <row r="1984" spans="1:61" s="358" customFormat="1" ht="19.2" x14ac:dyDescent="0.3">
      <c r="A1984" s="359" t="s">
        <v>2121</v>
      </c>
      <c r="B1984" s="537" t="s">
        <v>1728</v>
      </c>
      <c r="C1984" s="546" t="s">
        <v>1161</v>
      </c>
      <c r="D1984" s="360">
        <v>0.4</v>
      </c>
      <c r="E1984" s="393"/>
      <c r="F1984" s="337">
        <v>1</v>
      </c>
      <c r="G1984" s="497"/>
      <c r="H1984" s="544">
        <v>9.4122599999999998</v>
      </c>
      <c r="I1984" s="394">
        <v>8.5459999999999994</v>
      </c>
      <c r="J1984" s="394">
        <v>8.5416699999999999</v>
      </c>
      <c r="K1984" s="394"/>
      <c r="L1984" s="394"/>
      <c r="M1984" s="394">
        <v>0</v>
      </c>
      <c r="N1984" s="394">
        <v>0</v>
      </c>
      <c r="O1984" s="394">
        <v>0.20194999999999999</v>
      </c>
      <c r="P1984" s="394">
        <v>8.5416699999999999</v>
      </c>
      <c r="Q1984" s="394"/>
      <c r="R1984" s="381" t="s">
        <v>167</v>
      </c>
      <c r="S1984" s="408" t="s">
        <v>175</v>
      </c>
      <c r="T1984" s="385"/>
      <c r="U1984" s="475">
        <v>904</v>
      </c>
      <c r="V1984" s="395"/>
      <c r="W1984" s="395">
        <f t="shared" si="1003"/>
        <v>9.4122599999999998</v>
      </c>
      <c r="X1984" s="393"/>
      <c r="Y1984" s="337"/>
      <c r="Z1984" s="497"/>
      <c r="AA1984" s="544"/>
      <c r="AB1984" s="394"/>
      <c r="AC1984" s="394"/>
      <c r="AD1984" s="394"/>
      <c r="AE1984" s="394"/>
      <c r="AF1984" s="394"/>
      <c r="AG1984" s="394"/>
      <c r="AH1984" s="394"/>
      <c r="AI1984" s="394"/>
      <c r="AJ1984" s="394"/>
      <c r="AK1984" s="381"/>
      <c r="AL1984" s="408"/>
      <c r="AM1984" s="385"/>
      <c r="AN1984" s="475"/>
      <c r="AO1984" s="395"/>
      <c r="AP1984" s="395" t="e">
        <f t="shared" si="1024"/>
        <v>#DIV/0!</v>
      </c>
      <c r="AQ1984" s="393"/>
      <c r="AR1984" s="337"/>
      <c r="AS1984" s="497"/>
      <c r="AT1984" s="544"/>
      <c r="AU1984" s="394"/>
      <c r="AV1984" s="394"/>
      <c r="AW1984" s="394"/>
      <c r="AX1984" s="394"/>
      <c r="AY1984" s="394"/>
      <c r="AZ1984" s="394"/>
      <c r="BA1984" s="394"/>
      <c r="BB1984" s="394"/>
      <c r="BC1984" s="394"/>
      <c r="BD1984" s="381"/>
      <c r="BE1984" s="408"/>
      <c r="BF1984" s="385"/>
      <c r="BG1984" s="475"/>
      <c r="BH1984" s="395"/>
      <c r="BI1984" s="395" t="e">
        <f t="shared" si="1026"/>
        <v>#DIV/0!</v>
      </c>
    </row>
    <row r="1985" spans="1:61" s="358" customFormat="1" ht="19.2" x14ac:dyDescent="0.3">
      <c r="A1985" s="359" t="s">
        <v>2122</v>
      </c>
      <c r="B1985" s="537" t="s">
        <v>1729</v>
      </c>
      <c r="C1985" s="546" t="s">
        <v>1162</v>
      </c>
      <c r="D1985" s="360">
        <v>0.4</v>
      </c>
      <c r="E1985" s="393"/>
      <c r="F1985" s="337">
        <v>1</v>
      </c>
      <c r="G1985" s="497"/>
      <c r="H1985" s="544">
        <v>9.4122699999999995</v>
      </c>
      <c r="I1985" s="394">
        <v>8.5459999999999994</v>
      </c>
      <c r="J1985" s="394">
        <v>8.5416699999999999</v>
      </c>
      <c r="K1985" s="394"/>
      <c r="L1985" s="394"/>
      <c r="M1985" s="394">
        <v>0</v>
      </c>
      <c r="N1985" s="394">
        <v>0</v>
      </c>
      <c r="O1985" s="394">
        <v>0.20194999999999999</v>
      </c>
      <c r="P1985" s="394">
        <v>8.5416699999999999</v>
      </c>
      <c r="Q1985" s="394"/>
      <c r="R1985" s="381" t="s">
        <v>167</v>
      </c>
      <c r="S1985" s="408" t="s">
        <v>175</v>
      </c>
      <c r="T1985" s="385"/>
      <c r="U1985" s="475">
        <v>905</v>
      </c>
      <c r="V1985" s="395"/>
      <c r="W1985" s="395">
        <f t="shared" ref="W1985:W2048" si="1027">H1985/F1985</f>
        <v>9.4122699999999995</v>
      </c>
      <c r="X1985" s="393"/>
      <c r="Y1985" s="337"/>
      <c r="Z1985" s="497"/>
      <c r="AA1985" s="544"/>
      <c r="AB1985" s="394"/>
      <c r="AC1985" s="394"/>
      <c r="AD1985" s="394"/>
      <c r="AE1985" s="394"/>
      <c r="AF1985" s="394"/>
      <c r="AG1985" s="394"/>
      <c r="AH1985" s="394"/>
      <c r="AI1985" s="394"/>
      <c r="AJ1985" s="394"/>
      <c r="AK1985" s="381"/>
      <c r="AL1985" s="408"/>
      <c r="AM1985" s="385"/>
      <c r="AN1985" s="475"/>
      <c r="AO1985" s="395"/>
      <c r="AP1985" s="395" t="e">
        <f t="shared" si="1024"/>
        <v>#DIV/0!</v>
      </c>
      <c r="AQ1985" s="393"/>
      <c r="AR1985" s="337"/>
      <c r="AS1985" s="497"/>
      <c r="AT1985" s="544"/>
      <c r="AU1985" s="394"/>
      <c r="AV1985" s="394"/>
      <c r="AW1985" s="394"/>
      <c r="AX1985" s="394"/>
      <c r="AY1985" s="394"/>
      <c r="AZ1985" s="394"/>
      <c r="BA1985" s="394"/>
      <c r="BB1985" s="394"/>
      <c r="BC1985" s="394"/>
      <c r="BD1985" s="381"/>
      <c r="BE1985" s="408"/>
      <c r="BF1985" s="385"/>
      <c r="BG1985" s="475"/>
      <c r="BH1985" s="395"/>
      <c r="BI1985" s="395" t="e">
        <f t="shared" si="1026"/>
        <v>#DIV/0!</v>
      </c>
    </row>
    <row r="1986" spans="1:61" s="358" customFormat="1" ht="19.2" x14ac:dyDescent="0.3">
      <c r="A1986" s="359" t="s">
        <v>2107</v>
      </c>
      <c r="B1986" s="537" t="s">
        <v>637</v>
      </c>
      <c r="C1986" s="546" t="s">
        <v>515</v>
      </c>
      <c r="D1986" s="360">
        <v>0.4</v>
      </c>
      <c r="E1986" s="393"/>
      <c r="F1986" s="337">
        <v>1</v>
      </c>
      <c r="G1986" s="497"/>
      <c r="H1986" s="544">
        <v>13.558870000000001</v>
      </c>
      <c r="I1986" s="394">
        <v>10.39649</v>
      </c>
      <c r="J1986" s="394">
        <v>8.5416699999999999</v>
      </c>
      <c r="K1986" s="394"/>
      <c r="L1986" s="394"/>
      <c r="M1986" s="394">
        <v>0</v>
      </c>
      <c r="N1986" s="394">
        <v>0</v>
      </c>
      <c r="O1986" s="394">
        <v>0.73724000000000001</v>
      </c>
      <c r="P1986" s="394">
        <v>8.5416699999999999</v>
      </c>
      <c r="Q1986" s="394"/>
      <c r="R1986" s="381" t="s">
        <v>167</v>
      </c>
      <c r="S1986" s="408" t="s">
        <v>175</v>
      </c>
      <c r="T1986" s="385"/>
      <c r="U1986" s="475">
        <v>906</v>
      </c>
      <c r="V1986" s="395"/>
      <c r="W1986" s="395">
        <f t="shared" si="1027"/>
        <v>13.558870000000001</v>
      </c>
      <c r="X1986" s="393"/>
      <c r="Y1986" s="337"/>
      <c r="Z1986" s="497"/>
      <c r="AA1986" s="544"/>
      <c r="AB1986" s="394"/>
      <c r="AC1986" s="394"/>
      <c r="AD1986" s="394"/>
      <c r="AE1986" s="394"/>
      <c r="AF1986" s="394"/>
      <c r="AG1986" s="394"/>
      <c r="AH1986" s="394"/>
      <c r="AI1986" s="394"/>
      <c r="AJ1986" s="394"/>
      <c r="AK1986" s="381"/>
      <c r="AL1986" s="408"/>
      <c r="AM1986" s="385"/>
      <c r="AN1986" s="475"/>
      <c r="AO1986" s="395"/>
      <c r="AP1986" s="395" t="e">
        <f t="shared" si="1024"/>
        <v>#DIV/0!</v>
      </c>
      <c r="AQ1986" s="393"/>
      <c r="AR1986" s="337"/>
      <c r="AS1986" s="497"/>
      <c r="AT1986" s="544"/>
      <c r="AU1986" s="394"/>
      <c r="AV1986" s="394"/>
      <c r="AW1986" s="394"/>
      <c r="AX1986" s="394"/>
      <c r="AY1986" s="394"/>
      <c r="AZ1986" s="394"/>
      <c r="BA1986" s="394"/>
      <c r="BB1986" s="394"/>
      <c r="BC1986" s="394"/>
      <c r="BD1986" s="381"/>
      <c r="BE1986" s="408"/>
      <c r="BF1986" s="385"/>
      <c r="BG1986" s="475"/>
      <c r="BH1986" s="395"/>
      <c r="BI1986" s="395" t="e">
        <f t="shared" si="1026"/>
        <v>#DIV/0!</v>
      </c>
    </row>
    <row r="1987" spans="1:61" s="358" customFormat="1" ht="19.2" x14ac:dyDescent="0.3">
      <c r="A1987" s="359" t="s">
        <v>2124</v>
      </c>
      <c r="B1987" s="537" t="s">
        <v>1730</v>
      </c>
      <c r="C1987" s="546" t="s">
        <v>1163</v>
      </c>
      <c r="D1987" s="360">
        <v>0.4</v>
      </c>
      <c r="E1987" s="393"/>
      <c r="F1987" s="337">
        <v>1</v>
      </c>
      <c r="G1987" s="497"/>
      <c r="H1987" s="544">
        <v>13.558859999999999</v>
      </c>
      <c r="I1987" s="394">
        <v>10.39649</v>
      </c>
      <c r="J1987" s="394">
        <v>8.5416699999999999</v>
      </c>
      <c r="K1987" s="394"/>
      <c r="L1987" s="394"/>
      <c r="M1987" s="394">
        <v>0</v>
      </c>
      <c r="N1987" s="394">
        <v>0</v>
      </c>
      <c r="O1987" s="394">
        <v>0.73724000000000001</v>
      </c>
      <c r="P1987" s="394">
        <v>8.5416699999999999</v>
      </c>
      <c r="Q1987" s="394"/>
      <c r="R1987" s="381" t="s">
        <v>167</v>
      </c>
      <c r="S1987" s="408" t="s">
        <v>175</v>
      </c>
      <c r="T1987" s="385"/>
      <c r="U1987" s="475">
        <v>907</v>
      </c>
      <c r="V1987" s="395"/>
      <c r="W1987" s="395">
        <f t="shared" si="1027"/>
        <v>13.558859999999999</v>
      </c>
      <c r="X1987" s="393"/>
      <c r="Y1987" s="337"/>
      <c r="Z1987" s="497"/>
      <c r="AA1987" s="544"/>
      <c r="AB1987" s="394"/>
      <c r="AC1987" s="394"/>
      <c r="AD1987" s="394"/>
      <c r="AE1987" s="394"/>
      <c r="AF1987" s="394"/>
      <c r="AG1987" s="394"/>
      <c r="AH1987" s="394"/>
      <c r="AI1987" s="394"/>
      <c r="AJ1987" s="394"/>
      <c r="AK1987" s="381"/>
      <c r="AL1987" s="408"/>
      <c r="AM1987" s="385"/>
      <c r="AN1987" s="475"/>
      <c r="AO1987" s="395"/>
      <c r="AP1987" s="395" t="e">
        <f t="shared" si="1024"/>
        <v>#DIV/0!</v>
      </c>
      <c r="AQ1987" s="393"/>
      <c r="AR1987" s="337"/>
      <c r="AS1987" s="497"/>
      <c r="AT1987" s="544"/>
      <c r="AU1987" s="394"/>
      <c r="AV1987" s="394"/>
      <c r="AW1987" s="394"/>
      <c r="AX1987" s="394"/>
      <c r="AY1987" s="394"/>
      <c r="AZ1987" s="394"/>
      <c r="BA1987" s="394"/>
      <c r="BB1987" s="394"/>
      <c r="BC1987" s="394"/>
      <c r="BD1987" s="381"/>
      <c r="BE1987" s="408"/>
      <c r="BF1987" s="385"/>
      <c r="BG1987" s="475"/>
      <c r="BH1987" s="395"/>
      <c r="BI1987" s="395" t="e">
        <f t="shared" si="1026"/>
        <v>#DIV/0!</v>
      </c>
    </row>
    <row r="1988" spans="1:61" s="358" customFormat="1" ht="19.2" x14ac:dyDescent="0.3">
      <c r="A1988" s="359" t="s">
        <v>2125</v>
      </c>
      <c r="B1988" s="537" t="s">
        <v>1731</v>
      </c>
      <c r="C1988" s="546" t="s">
        <v>1164</v>
      </c>
      <c r="D1988" s="360">
        <v>0.4</v>
      </c>
      <c r="E1988" s="393"/>
      <c r="F1988" s="337">
        <v>1</v>
      </c>
      <c r="G1988" s="497"/>
      <c r="H1988" s="544">
        <v>13.558859999999999</v>
      </c>
      <c r="I1988" s="394">
        <v>10.39649</v>
      </c>
      <c r="J1988" s="394">
        <v>8.5416699999999999</v>
      </c>
      <c r="K1988" s="394"/>
      <c r="L1988" s="394"/>
      <c r="M1988" s="394">
        <v>0</v>
      </c>
      <c r="N1988" s="394">
        <v>0</v>
      </c>
      <c r="O1988" s="394">
        <v>0.73724000000000001</v>
      </c>
      <c r="P1988" s="394">
        <v>8.5416699999999999</v>
      </c>
      <c r="Q1988" s="394"/>
      <c r="R1988" s="381" t="s">
        <v>167</v>
      </c>
      <c r="S1988" s="408" t="s">
        <v>175</v>
      </c>
      <c r="T1988" s="385"/>
      <c r="U1988" s="475">
        <v>908</v>
      </c>
      <c r="V1988" s="395"/>
      <c r="W1988" s="395">
        <f t="shared" si="1027"/>
        <v>13.558859999999999</v>
      </c>
      <c r="X1988" s="393"/>
      <c r="Y1988" s="337"/>
      <c r="Z1988" s="497"/>
      <c r="AA1988" s="544"/>
      <c r="AB1988" s="394"/>
      <c r="AC1988" s="394"/>
      <c r="AD1988" s="394"/>
      <c r="AE1988" s="394"/>
      <c r="AF1988" s="394"/>
      <c r="AG1988" s="394"/>
      <c r="AH1988" s="394"/>
      <c r="AI1988" s="394"/>
      <c r="AJ1988" s="394"/>
      <c r="AK1988" s="381"/>
      <c r="AL1988" s="408"/>
      <c r="AM1988" s="385"/>
      <c r="AN1988" s="475"/>
      <c r="AO1988" s="395"/>
      <c r="AP1988" s="395" t="e">
        <f t="shared" si="1024"/>
        <v>#DIV/0!</v>
      </c>
      <c r="AQ1988" s="393"/>
      <c r="AR1988" s="337"/>
      <c r="AS1988" s="497"/>
      <c r="AT1988" s="544"/>
      <c r="AU1988" s="394"/>
      <c r="AV1988" s="394"/>
      <c r="AW1988" s="394"/>
      <c r="AX1988" s="394"/>
      <c r="AY1988" s="394"/>
      <c r="AZ1988" s="394"/>
      <c r="BA1988" s="394"/>
      <c r="BB1988" s="394"/>
      <c r="BC1988" s="394"/>
      <c r="BD1988" s="381"/>
      <c r="BE1988" s="408"/>
      <c r="BF1988" s="385"/>
      <c r="BG1988" s="475"/>
      <c r="BH1988" s="395"/>
      <c r="BI1988" s="395" t="e">
        <f t="shared" si="1026"/>
        <v>#DIV/0!</v>
      </c>
    </row>
    <row r="1989" spans="1:61" s="358" customFormat="1" ht="19.2" x14ac:dyDescent="0.3">
      <c r="A1989" s="359" t="s">
        <v>2126</v>
      </c>
      <c r="B1989" s="537" t="s">
        <v>630</v>
      </c>
      <c r="C1989" s="546" t="s">
        <v>506</v>
      </c>
      <c r="D1989" s="360">
        <v>0.4</v>
      </c>
      <c r="E1989" s="393"/>
      <c r="F1989" s="337">
        <v>1</v>
      </c>
      <c r="G1989" s="497"/>
      <c r="H1989" s="544">
        <v>13.558870000000001</v>
      </c>
      <c r="I1989" s="394">
        <v>10.39649</v>
      </c>
      <c r="J1989" s="394">
        <v>8.5416699999999999</v>
      </c>
      <c r="K1989" s="394"/>
      <c r="L1989" s="394"/>
      <c r="M1989" s="394">
        <v>0</v>
      </c>
      <c r="N1989" s="394">
        <v>0</v>
      </c>
      <c r="O1989" s="394">
        <v>0.73724000000000001</v>
      </c>
      <c r="P1989" s="394">
        <v>8.5416699999999999</v>
      </c>
      <c r="Q1989" s="394"/>
      <c r="R1989" s="381" t="s">
        <v>167</v>
      </c>
      <c r="S1989" s="408" t="s">
        <v>175</v>
      </c>
      <c r="T1989" s="385"/>
      <c r="U1989" s="475">
        <v>909</v>
      </c>
      <c r="V1989" s="395"/>
      <c r="W1989" s="395">
        <f t="shared" si="1027"/>
        <v>13.558870000000001</v>
      </c>
      <c r="X1989" s="393"/>
      <c r="Y1989" s="337"/>
      <c r="Z1989" s="497"/>
      <c r="AA1989" s="544"/>
      <c r="AB1989" s="394"/>
      <c r="AC1989" s="394"/>
      <c r="AD1989" s="394"/>
      <c r="AE1989" s="394"/>
      <c r="AF1989" s="394"/>
      <c r="AG1989" s="394"/>
      <c r="AH1989" s="394"/>
      <c r="AI1989" s="394"/>
      <c r="AJ1989" s="394"/>
      <c r="AK1989" s="381"/>
      <c r="AL1989" s="408"/>
      <c r="AM1989" s="385"/>
      <c r="AN1989" s="475"/>
      <c r="AO1989" s="395"/>
      <c r="AP1989" s="395" t="e">
        <f t="shared" si="1024"/>
        <v>#DIV/0!</v>
      </c>
      <c r="AQ1989" s="393"/>
      <c r="AR1989" s="337"/>
      <c r="AS1989" s="497"/>
      <c r="AT1989" s="544"/>
      <c r="AU1989" s="394"/>
      <c r="AV1989" s="394"/>
      <c r="AW1989" s="394"/>
      <c r="AX1989" s="394"/>
      <c r="AY1989" s="394"/>
      <c r="AZ1989" s="394"/>
      <c r="BA1989" s="394"/>
      <c r="BB1989" s="394"/>
      <c r="BC1989" s="394"/>
      <c r="BD1989" s="381"/>
      <c r="BE1989" s="408"/>
      <c r="BF1989" s="385"/>
      <c r="BG1989" s="475"/>
      <c r="BH1989" s="395"/>
      <c r="BI1989" s="395" t="e">
        <f t="shared" si="1026"/>
        <v>#DIV/0!</v>
      </c>
    </row>
    <row r="1990" spans="1:61" s="358" customFormat="1" ht="19.2" x14ac:dyDescent="0.3">
      <c r="A1990" s="359" t="s">
        <v>2127</v>
      </c>
      <c r="B1990" s="537" t="s">
        <v>1636</v>
      </c>
      <c r="C1990" s="546" t="s">
        <v>1165</v>
      </c>
      <c r="D1990" s="360">
        <v>0.4</v>
      </c>
      <c r="E1990" s="393"/>
      <c r="F1990" s="337">
        <v>1</v>
      </c>
      <c r="G1990" s="497"/>
      <c r="H1990" s="544">
        <v>13.558859999999999</v>
      </c>
      <c r="I1990" s="394">
        <v>10.39649</v>
      </c>
      <c r="J1990" s="394">
        <v>8.5416699999999999</v>
      </c>
      <c r="K1990" s="394"/>
      <c r="L1990" s="394"/>
      <c r="M1990" s="394">
        <v>0</v>
      </c>
      <c r="N1990" s="394">
        <v>0</v>
      </c>
      <c r="O1990" s="394">
        <v>0.73724000000000001</v>
      </c>
      <c r="P1990" s="394">
        <v>8.5416699999999999</v>
      </c>
      <c r="Q1990" s="394"/>
      <c r="R1990" s="381" t="s">
        <v>167</v>
      </c>
      <c r="S1990" s="408" t="s">
        <v>175</v>
      </c>
      <c r="T1990" s="385"/>
      <c r="U1990" s="475">
        <v>910</v>
      </c>
      <c r="V1990" s="395"/>
      <c r="W1990" s="395">
        <f t="shared" si="1027"/>
        <v>13.558859999999999</v>
      </c>
      <c r="X1990" s="393"/>
      <c r="Y1990" s="337"/>
      <c r="Z1990" s="497"/>
      <c r="AA1990" s="544"/>
      <c r="AB1990" s="394"/>
      <c r="AC1990" s="394"/>
      <c r="AD1990" s="394"/>
      <c r="AE1990" s="394"/>
      <c r="AF1990" s="394"/>
      <c r="AG1990" s="394"/>
      <c r="AH1990" s="394"/>
      <c r="AI1990" s="394"/>
      <c r="AJ1990" s="394"/>
      <c r="AK1990" s="381"/>
      <c r="AL1990" s="408"/>
      <c r="AM1990" s="385"/>
      <c r="AN1990" s="475"/>
      <c r="AO1990" s="395"/>
      <c r="AP1990" s="395" t="e">
        <f t="shared" si="1024"/>
        <v>#DIV/0!</v>
      </c>
      <c r="AQ1990" s="393"/>
      <c r="AR1990" s="337"/>
      <c r="AS1990" s="497"/>
      <c r="AT1990" s="544"/>
      <c r="AU1990" s="394"/>
      <c r="AV1990" s="394"/>
      <c r="AW1990" s="394"/>
      <c r="AX1990" s="394"/>
      <c r="AY1990" s="394"/>
      <c r="AZ1990" s="394"/>
      <c r="BA1990" s="394"/>
      <c r="BB1990" s="394"/>
      <c r="BC1990" s="394"/>
      <c r="BD1990" s="381"/>
      <c r="BE1990" s="408"/>
      <c r="BF1990" s="385"/>
      <c r="BG1990" s="475"/>
      <c r="BH1990" s="395"/>
      <c r="BI1990" s="395" t="e">
        <f t="shared" si="1026"/>
        <v>#DIV/0!</v>
      </c>
    </row>
    <row r="1991" spans="1:61" s="358" customFormat="1" ht="19.2" x14ac:dyDescent="0.3">
      <c r="A1991" s="359" t="s">
        <v>2128</v>
      </c>
      <c r="B1991" s="537" t="s">
        <v>1732</v>
      </c>
      <c r="C1991" s="546" t="s">
        <v>1166</v>
      </c>
      <c r="D1991" s="360">
        <v>0.4</v>
      </c>
      <c r="E1991" s="393"/>
      <c r="F1991" s="337">
        <v>1</v>
      </c>
      <c r="G1991" s="497"/>
      <c r="H1991" s="544">
        <v>13.558870000000001</v>
      </c>
      <c r="I1991" s="394">
        <v>10.39649</v>
      </c>
      <c r="J1991" s="394">
        <v>8.5416699999999999</v>
      </c>
      <c r="K1991" s="394"/>
      <c r="L1991" s="394"/>
      <c r="M1991" s="394">
        <v>0</v>
      </c>
      <c r="N1991" s="394">
        <v>0</v>
      </c>
      <c r="O1991" s="394">
        <v>0.73724000000000001</v>
      </c>
      <c r="P1991" s="394">
        <v>8.5416699999999999</v>
      </c>
      <c r="Q1991" s="394"/>
      <c r="R1991" s="381" t="s">
        <v>167</v>
      </c>
      <c r="S1991" s="408" t="s">
        <v>175</v>
      </c>
      <c r="T1991" s="385"/>
      <c r="U1991" s="475">
        <v>911</v>
      </c>
      <c r="V1991" s="395"/>
      <c r="W1991" s="395">
        <f t="shared" si="1027"/>
        <v>13.558870000000001</v>
      </c>
      <c r="X1991" s="393"/>
      <c r="Y1991" s="337"/>
      <c r="Z1991" s="497"/>
      <c r="AA1991" s="544"/>
      <c r="AB1991" s="394"/>
      <c r="AC1991" s="394"/>
      <c r="AD1991" s="394"/>
      <c r="AE1991" s="394"/>
      <c r="AF1991" s="394"/>
      <c r="AG1991" s="394"/>
      <c r="AH1991" s="394"/>
      <c r="AI1991" s="394"/>
      <c r="AJ1991" s="394"/>
      <c r="AK1991" s="381"/>
      <c r="AL1991" s="408"/>
      <c r="AM1991" s="385"/>
      <c r="AN1991" s="475"/>
      <c r="AO1991" s="395"/>
      <c r="AP1991" s="395" t="e">
        <f t="shared" si="1024"/>
        <v>#DIV/0!</v>
      </c>
      <c r="AQ1991" s="393"/>
      <c r="AR1991" s="337"/>
      <c r="AS1991" s="497"/>
      <c r="AT1991" s="544"/>
      <c r="AU1991" s="394"/>
      <c r="AV1991" s="394"/>
      <c r="AW1991" s="394"/>
      <c r="AX1991" s="394"/>
      <c r="AY1991" s="394"/>
      <c r="AZ1991" s="394"/>
      <c r="BA1991" s="394"/>
      <c r="BB1991" s="394"/>
      <c r="BC1991" s="394"/>
      <c r="BD1991" s="381"/>
      <c r="BE1991" s="408"/>
      <c r="BF1991" s="385"/>
      <c r="BG1991" s="475"/>
      <c r="BH1991" s="395"/>
      <c r="BI1991" s="395" t="e">
        <f t="shared" si="1026"/>
        <v>#DIV/0!</v>
      </c>
    </row>
    <row r="1992" spans="1:61" s="358" customFormat="1" ht="19.2" x14ac:dyDescent="0.3">
      <c r="A1992" s="359" t="s">
        <v>2129</v>
      </c>
      <c r="B1992" s="537" t="s">
        <v>638</v>
      </c>
      <c r="C1992" s="546" t="s">
        <v>516</v>
      </c>
      <c r="D1992" s="360">
        <v>0.4</v>
      </c>
      <c r="E1992" s="393"/>
      <c r="F1992" s="337">
        <v>1</v>
      </c>
      <c r="G1992" s="497"/>
      <c r="H1992" s="544">
        <v>13.558859999999999</v>
      </c>
      <c r="I1992" s="394">
        <v>10.39649</v>
      </c>
      <c r="J1992" s="394">
        <v>8.5416699999999999</v>
      </c>
      <c r="K1992" s="394"/>
      <c r="L1992" s="394"/>
      <c r="M1992" s="394">
        <v>0</v>
      </c>
      <c r="N1992" s="394">
        <v>0</v>
      </c>
      <c r="O1992" s="394">
        <v>0.73724000000000001</v>
      </c>
      <c r="P1992" s="394">
        <v>8.5416699999999999</v>
      </c>
      <c r="Q1992" s="394"/>
      <c r="R1992" s="381" t="s">
        <v>167</v>
      </c>
      <c r="S1992" s="408" t="s">
        <v>175</v>
      </c>
      <c r="T1992" s="385"/>
      <c r="U1992" s="475">
        <v>912</v>
      </c>
      <c r="V1992" s="395"/>
      <c r="W1992" s="395">
        <f t="shared" si="1027"/>
        <v>13.558859999999999</v>
      </c>
      <c r="X1992" s="393"/>
      <c r="Y1992" s="337"/>
      <c r="Z1992" s="497"/>
      <c r="AA1992" s="544"/>
      <c r="AB1992" s="394"/>
      <c r="AC1992" s="394"/>
      <c r="AD1992" s="394"/>
      <c r="AE1992" s="394"/>
      <c r="AF1992" s="394"/>
      <c r="AG1992" s="394"/>
      <c r="AH1992" s="394"/>
      <c r="AI1992" s="394"/>
      <c r="AJ1992" s="394"/>
      <c r="AK1992" s="381"/>
      <c r="AL1992" s="408"/>
      <c r="AM1992" s="385"/>
      <c r="AN1992" s="475"/>
      <c r="AO1992" s="395"/>
      <c r="AP1992" s="395" t="e">
        <f t="shared" si="1024"/>
        <v>#DIV/0!</v>
      </c>
      <c r="AQ1992" s="393"/>
      <c r="AR1992" s="337"/>
      <c r="AS1992" s="497"/>
      <c r="AT1992" s="544"/>
      <c r="AU1992" s="394"/>
      <c r="AV1992" s="394"/>
      <c r="AW1992" s="394"/>
      <c r="AX1992" s="394"/>
      <c r="AY1992" s="394"/>
      <c r="AZ1992" s="394"/>
      <c r="BA1992" s="394"/>
      <c r="BB1992" s="394"/>
      <c r="BC1992" s="394"/>
      <c r="BD1992" s="381"/>
      <c r="BE1992" s="408"/>
      <c r="BF1992" s="385"/>
      <c r="BG1992" s="475"/>
      <c r="BH1992" s="395"/>
      <c r="BI1992" s="395" t="e">
        <f t="shared" si="1026"/>
        <v>#DIV/0!</v>
      </c>
    </row>
    <row r="1993" spans="1:61" s="358" customFormat="1" ht="19.2" x14ac:dyDescent="0.3">
      <c r="A1993" s="359" t="s">
        <v>2130</v>
      </c>
      <c r="B1993" s="537" t="s">
        <v>1733</v>
      </c>
      <c r="C1993" s="546" t="s">
        <v>1167</v>
      </c>
      <c r="D1993" s="360">
        <v>0.4</v>
      </c>
      <c r="E1993" s="393"/>
      <c r="F1993" s="337">
        <v>1</v>
      </c>
      <c r="G1993" s="497"/>
      <c r="H1993" s="544">
        <v>13.558870000000001</v>
      </c>
      <c r="I1993" s="394">
        <v>10.39649</v>
      </c>
      <c r="J1993" s="394">
        <v>8.5416699999999999</v>
      </c>
      <c r="K1993" s="394"/>
      <c r="L1993" s="394"/>
      <c r="M1993" s="394">
        <v>0</v>
      </c>
      <c r="N1993" s="394">
        <v>0</v>
      </c>
      <c r="O1993" s="394">
        <v>0.73724000000000001</v>
      </c>
      <c r="P1993" s="394">
        <v>8.5416699999999999</v>
      </c>
      <c r="Q1993" s="394"/>
      <c r="R1993" s="381" t="s">
        <v>167</v>
      </c>
      <c r="S1993" s="408" t="s">
        <v>175</v>
      </c>
      <c r="T1993" s="385"/>
      <c r="U1993" s="475">
        <v>913</v>
      </c>
      <c r="V1993" s="395"/>
      <c r="W1993" s="395">
        <f t="shared" si="1027"/>
        <v>13.558870000000001</v>
      </c>
      <c r="X1993" s="393"/>
      <c r="Y1993" s="337"/>
      <c r="Z1993" s="497"/>
      <c r="AA1993" s="544"/>
      <c r="AB1993" s="394"/>
      <c r="AC1993" s="394"/>
      <c r="AD1993" s="394"/>
      <c r="AE1993" s="394"/>
      <c r="AF1993" s="394"/>
      <c r="AG1993" s="394"/>
      <c r="AH1993" s="394"/>
      <c r="AI1993" s="394"/>
      <c r="AJ1993" s="394"/>
      <c r="AK1993" s="381"/>
      <c r="AL1993" s="408"/>
      <c r="AM1993" s="385"/>
      <c r="AN1993" s="475"/>
      <c r="AO1993" s="395"/>
      <c r="AP1993" s="395" t="e">
        <f t="shared" si="1024"/>
        <v>#DIV/0!</v>
      </c>
      <c r="AQ1993" s="393"/>
      <c r="AR1993" s="337"/>
      <c r="AS1993" s="497"/>
      <c r="AT1993" s="544"/>
      <c r="AU1993" s="394"/>
      <c r="AV1993" s="394"/>
      <c r="AW1993" s="394"/>
      <c r="AX1993" s="394"/>
      <c r="AY1993" s="394"/>
      <c r="AZ1993" s="394"/>
      <c r="BA1993" s="394"/>
      <c r="BB1993" s="394"/>
      <c r="BC1993" s="394"/>
      <c r="BD1993" s="381"/>
      <c r="BE1993" s="408"/>
      <c r="BF1993" s="385"/>
      <c r="BG1993" s="475"/>
      <c r="BH1993" s="395"/>
      <c r="BI1993" s="395" t="e">
        <f t="shared" si="1026"/>
        <v>#DIV/0!</v>
      </c>
    </row>
    <row r="1994" spans="1:61" s="358" customFormat="1" ht="19.2" x14ac:dyDescent="0.3">
      <c r="A1994" s="359" t="s">
        <v>2131</v>
      </c>
      <c r="B1994" s="537" t="s">
        <v>1734</v>
      </c>
      <c r="C1994" s="546" t="s">
        <v>1168</v>
      </c>
      <c r="D1994" s="360">
        <v>0.4</v>
      </c>
      <c r="E1994" s="393"/>
      <c r="F1994" s="337">
        <v>1</v>
      </c>
      <c r="G1994" s="497"/>
      <c r="H1994" s="544">
        <v>13.55885</v>
      </c>
      <c r="I1994" s="394">
        <v>10.396470000000001</v>
      </c>
      <c r="J1994" s="394">
        <v>8.5416699999999999</v>
      </c>
      <c r="K1994" s="394"/>
      <c r="L1994" s="394"/>
      <c r="M1994" s="394">
        <v>0</v>
      </c>
      <c r="N1994" s="394">
        <v>0</v>
      </c>
      <c r="O1994" s="394">
        <v>0.73724000000000001</v>
      </c>
      <c r="P1994" s="394">
        <v>8.5416699999999999</v>
      </c>
      <c r="Q1994" s="394"/>
      <c r="R1994" s="381" t="s">
        <v>167</v>
      </c>
      <c r="S1994" s="408" t="s">
        <v>175</v>
      </c>
      <c r="T1994" s="385"/>
      <c r="U1994" s="475">
        <v>914</v>
      </c>
      <c r="V1994" s="395"/>
      <c r="W1994" s="395">
        <f t="shared" si="1027"/>
        <v>13.55885</v>
      </c>
      <c r="X1994" s="393"/>
      <c r="Y1994" s="337"/>
      <c r="Z1994" s="497"/>
      <c r="AA1994" s="544"/>
      <c r="AB1994" s="394"/>
      <c r="AC1994" s="394"/>
      <c r="AD1994" s="394"/>
      <c r="AE1994" s="394"/>
      <c r="AF1994" s="394"/>
      <c r="AG1994" s="394"/>
      <c r="AH1994" s="394"/>
      <c r="AI1994" s="394"/>
      <c r="AJ1994" s="394"/>
      <c r="AK1994" s="381"/>
      <c r="AL1994" s="408"/>
      <c r="AM1994" s="385"/>
      <c r="AN1994" s="475"/>
      <c r="AO1994" s="395"/>
      <c r="AP1994" s="395" t="e">
        <f t="shared" si="1024"/>
        <v>#DIV/0!</v>
      </c>
      <c r="AQ1994" s="393"/>
      <c r="AR1994" s="337"/>
      <c r="AS1994" s="497"/>
      <c r="AT1994" s="544"/>
      <c r="AU1994" s="394"/>
      <c r="AV1994" s="394"/>
      <c r="AW1994" s="394"/>
      <c r="AX1994" s="394"/>
      <c r="AY1994" s="394"/>
      <c r="AZ1994" s="394"/>
      <c r="BA1994" s="394"/>
      <c r="BB1994" s="394"/>
      <c r="BC1994" s="394"/>
      <c r="BD1994" s="381"/>
      <c r="BE1994" s="408"/>
      <c r="BF1994" s="385"/>
      <c r="BG1994" s="475"/>
      <c r="BH1994" s="395"/>
      <c r="BI1994" s="395" t="e">
        <f t="shared" si="1026"/>
        <v>#DIV/0!</v>
      </c>
    </row>
    <row r="1995" spans="1:61" s="358" customFormat="1" ht="19.2" x14ac:dyDescent="0.3">
      <c r="A1995" s="359" t="s">
        <v>2148</v>
      </c>
      <c r="B1995" s="537" t="s">
        <v>1735</v>
      </c>
      <c r="C1995" s="546" t="s">
        <v>1169</v>
      </c>
      <c r="D1995" s="360">
        <v>0.4</v>
      </c>
      <c r="E1995" s="393"/>
      <c r="F1995" s="337">
        <v>1</v>
      </c>
      <c r="G1995" s="497"/>
      <c r="H1995" s="544">
        <v>13.558870000000001</v>
      </c>
      <c r="I1995" s="394">
        <v>10.39649</v>
      </c>
      <c r="J1995" s="394">
        <v>8.5416699999999999</v>
      </c>
      <c r="K1995" s="394"/>
      <c r="L1995" s="394"/>
      <c r="M1995" s="394">
        <v>0</v>
      </c>
      <c r="N1995" s="394">
        <v>0</v>
      </c>
      <c r="O1995" s="394">
        <v>0.73724000000000001</v>
      </c>
      <c r="P1995" s="394">
        <v>8.5416699999999999</v>
      </c>
      <c r="Q1995" s="394"/>
      <c r="R1995" s="381" t="s">
        <v>167</v>
      </c>
      <c r="S1995" s="408" t="s">
        <v>175</v>
      </c>
      <c r="T1995" s="385"/>
      <c r="U1995" s="475">
        <v>915</v>
      </c>
      <c r="V1995" s="395"/>
      <c r="W1995" s="395">
        <f t="shared" si="1027"/>
        <v>13.558870000000001</v>
      </c>
      <c r="X1995" s="393"/>
      <c r="Y1995" s="337"/>
      <c r="Z1995" s="497"/>
      <c r="AA1995" s="544"/>
      <c r="AB1995" s="394"/>
      <c r="AC1995" s="394"/>
      <c r="AD1995" s="394"/>
      <c r="AE1995" s="394"/>
      <c r="AF1995" s="394"/>
      <c r="AG1995" s="394"/>
      <c r="AH1995" s="394"/>
      <c r="AI1995" s="394"/>
      <c r="AJ1995" s="394"/>
      <c r="AK1995" s="381"/>
      <c r="AL1995" s="408"/>
      <c r="AM1995" s="385"/>
      <c r="AN1995" s="475"/>
      <c r="AO1995" s="395"/>
      <c r="AP1995" s="395" t="e">
        <f t="shared" ref="AP1995:AP2058" si="1028">AA1995/Y1995</f>
        <v>#DIV/0!</v>
      </c>
      <c r="AQ1995" s="393"/>
      <c r="AR1995" s="337"/>
      <c r="AS1995" s="497"/>
      <c r="AT1995" s="544"/>
      <c r="AU1995" s="394"/>
      <c r="AV1995" s="394"/>
      <c r="AW1995" s="394"/>
      <c r="AX1995" s="394"/>
      <c r="AY1995" s="394"/>
      <c r="AZ1995" s="394"/>
      <c r="BA1995" s="394"/>
      <c r="BB1995" s="394"/>
      <c r="BC1995" s="394"/>
      <c r="BD1995" s="381"/>
      <c r="BE1995" s="408"/>
      <c r="BF1995" s="385"/>
      <c r="BG1995" s="475"/>
      <c r="BH1995" s="395"/>
      <c r="BI1995" s="395" t="e">
        <f t="shared" si="1026"/>
        <v>#DIV/0!</v>
      </c>
    </row>
    <row r="1996" spans="1:61" s="358" customFormat="1" ht="19.2" x14ac:dyDescent="0.3">
      <c r="A1996" s="359" t="s">
        <v>2133</v>
      </c>
      <c r="B1996" s="537" t="s">
        <v>1736</v>
      </c>
      <c r="C1996" s="546" t="s">
        <v>1170</v>
      </c>
      <c r="D1996" s="360">
        <v>0.4</v>
      </c>
      <c r="E1996" s="393"/>
      <c r="F1996" s="337">
        <v>1</v>
      </c>
      <c r="G1996" s="497"/>
      <c r="H1996" s="544">
        <v>13.55885</v>
      </c>
      <c r="I1996" s="394">
        <v>10.396470000000001</v>
      </c>
      <c r="J1996" s="394">
        <v>8.5416699999999999</v>
      </c>
      <c r="K1996" s="394"/>
      <c r="L1996" s="394"/>
      <c r="M1996" s="394">
        <v>0</v>
      </c>
      <c r="N1996" s="394">
        <v>0</v>
      </c>
      <c r="O1996" s="394">
        <v>0.73724000000000001</v>
      </c>
      <c r="P1996" s="394">
        <v>8.5416699999999999</v>
      </c>
      <c r="Q1996" s="394"/>
      <c r="R1996" s="381" t="s">
        <v>167</v>
      </c>
      <c r="S1996" s="408" t="s">
        <v>175</v>
      </c>
      <c r="T1996" s="385"/>
      <c r="U1996" s="475">
        <v>916</v>
      </c>
      <c r="V1996" s="395"/>
      <c r="W1996" s="395">
        <f t="shared" si="1027"/>
        <v>13.55885</v>
      </c>
      <c r="X1996" s="393"/>
      <c r="Y1996" s="337"/>
      <c r="Z1996" s="497"/>
      <c r="AA1996" s="544"/>
      <c r="AB1996" s="394"/>
      <c r="AC1996" s="394"/>
      <c r="AD1996" s="394"/>
      <c r="AE1996" s="394"/>
      <c r="AF1996" s="394"/>
      <c r="AG1996" s="394"/>
      <c r="AH1996" s="394"/>
      <c r="AI1996" s="394"/>
      <c r="AJ1996" s="394"/>
      <c r="AK1996" s="381"/>
      <c r="AL1996" s="408"/>
      <c r="AM1996" s="385"/>
      <c r="AN1996" s="475"/>
      <c r="AO1996" s="395"/>
      <c r="AP1996" s="395" t="e">
        <f t="shared" si="1028"/>
        <v>#DIV/0!</v>
      </c>
      <c r="AQ1996" s="393"/>
      <c r="AR1996" s="337"/>
      <c r="AS1996" s="497"/>
      <c r="AT1996" s="544"/>
      <c r="AU1996" s="394"/>
      <c r="AV1996" s="394"/>
      <c r="AW1996" s="394"/>
      <c r="AX1996" s="394"/>
      <c r="AY1996" s="394"/>
      <c r="AZ1996" s="394"/>
      <c r="BA1996" s="394"/>
      <c r="BB1996" s="394"/>
      <c r="BC1996" s="394"/>
      <c r="BD1996" s="381"/>
      <c r="BE1996" s="408"/>
      <c r="BF1996" s="385"/>
      <c r="BG1996" s="475"/>
      <c r="BH1996" s="395"/>
      <c r="BI1996" s="395" t="e">
        <f t="shared" si="1026"/>
        <v>#DIV/0!</v>
      </c>
    </row>
    <row r="1997" spans="1:61" s="358" customFormat="1" ht="19.2" x14ac:dyDescent="0.3">
      <c r="A1997" s="359" t="s">
        <v>2134</v>
      </c>
      <c r="B1997" s="537" t="s">
        <v>1737</v>
      </c>
      <c r="C1997" s="546" t="s">
        <v>1171</v>
      </c>
      <c r="D1997" s="360">
        <v>0.4</v>
      </c>
      <c r="E1997" s="393"/>
      <c r="F1997" s="337">
        <v>1</v>
      </c>
      <c r="G1997" s="497"/>
      <c r="H1997" s="544">
        <v>13.558870000000001</v>
      </c>
      <c r="I1997" s="394">
        <v>10.39649</v>
      </c>
      <c r="J1997" s="394">
        <v>8.5416699999999999</v>
      </c>
      <c r="K1997" s="394"/>
      <c r="L1997" s="394"/>
      <c r="M1997" s="394">
        <v>0</v>
      </c>
      <c r="N1997" s="394">
        <v>0</v>
      </c>
      <c r="O1997" s="394">
        <v>0.73724000000000001</v>
      </c>
      <c r="P1997" s="394">
        <v>8.5416699999999999</v>
      </c>
      <c r="Q1997" s="394"/>
      <c r="R1997" s="381" t="s">
        <v>167</v>
      </c>
      <c r="S1997" s="408" t="s">
        <v>175</v>
      </c>
      <c r="T1997" s="385"/>
      <c r="U1997" s="475">
        <v>917</v>
      </c>
      <c r="V1997" s="395"/>
      <c r="W1997" s="395">
        <f t="shared" si="1027"/>
        <v>13.558870000000001</v>
      </c>
      <c r="X1997" s="393"/>
      <c r="Y1997" s="337"/>
      <c r="Z1997" s="497"/>
      <c r="AA1997" s="544"/>
      <c r="AB1997" s="394"/>
      <c r="AC1997" s="394"/>
      <c r="AD1997" s="394"/>
      <c r="AE1997" s="394"/>
      <c r="AF1997" s="394"/>
      <c r="AG1997" s="394"/>
      <c r="AH1997" s="394"/>
      <c r="AI1997" s="394"/>
      <c r="AJ1997" s="394"/>
      <c r="AK1997" s="381"/>
      <c r="AL1997" s="408"/>
      <c r="AM1997" s="385"/>
      <c r="AN1997" s="475"/>
      <c r="AO1997" s="395"/>
      <c r="AP1997" s="395" t="e">
        <f t="shared" si="1028"/>
        <v>#DIV/0!</v>
      </c>
      <c r="AQ1997" s="393"/>
      <c r="AR1997" s="337"/>
      <c r="AS1997" s="497"/>
      <c r="AT1997" s="544"/>
      <c r="AU1997" s="394"/>
      <c r="AV1997" s="394"/>
      <c r="AW1997" s="394"/>
      <c r="AX1997" s="394"/>
      <c r="AY1997" s="394"/>
      <c r="AZ1997" s="394"/>
      <c r="BA1997" s="394"/>
      <c r="BB1997" s="394"/>
      <c r="BC1997" s="394"/>
      <c r="BD1997" s="381"/>
      <c r="BE1997" s="408"/>
      <c r="BF1997" s="385"/>
      <c r="BG1997" s="475"/>
      <c r="BH1997" s="395"/>
      <c r="BI1997" s="395" t="e">
        <f t="shared" si="1026"/>
        <v>#DIV/0!</v>
      </c>
    </row>
    <row r="1998" spans="1:61" s="358" customFormat="1" ht="19.2" x14ac:dyDescent="0.3">
      <c r="A1998" s="359" t="s">
        <v>2135</v>
      </c>
      <c r="B1998" s="537" t="s">
        <v>1738</v>
      </c>
      <c r="C1998" s="546" t="s">
        <v>1172</v>
      </c>
      <c r="D1998" s="360">
        <v>0.4</v>
      </c>
      <c r="E1998" s="393"/>
      <c r="F1998" s="337">
        <v>1</v>
      </c>
      <c r="G1998" s="497"/>
      <c r="H1998" s="544">
        <v>13.55885</v>
      </c>
      <c r="I1998" s="394">
        <v>10.396470000000001</v>
      </c>
      <c r="J1998" s="394">
        <v>8.5416699999999999</v>
      </c>
      <c r="K1998" s="394"/>
      <c r="L1998" s="394"/>
      <c r="M1998" s="394">
        <v>0</v>
      </c>
      <c r="N1998" s="394">
        <v>0</v>
      </c>
      <c r="O1998" s="394">
        <v>0.73724000000000001</v>
      </c>
      <c r="P1998" s="394">
        <v>8.5416699999999999</v>
      </c>
      <c r="Q1998" s="394"/>
      <c r="R1998" s="381" t="s">
        <v>167</v>
      </c>
      <c r="S1998" s="408" t="s">
        <v>175</v>
      </c>
      <c r="T1998" s="385"/>
      <c r="U1998" s="475">
        <v>918</v>
      </c>
      <c r="V1998" s="395"/>
      <c r="W1998" s="395">
        <f t="shared" si="1027"/>
        <v>13.55885</v>
      </c>
      <c r="X1998" s="393"/>
      <c r="Y1998" s="337"/>
      <c r="Z1998" s="497"/>
      <c r="AA1998" s="544"/>
      <c r="AB1998" s="394"/>
      <c r="AC1998" s="394"/>
      <c r="AD1998" s="394"/>
      <c r="AE1998" s="394"/>
      <c r="AF1998" s="394"/>
      <c r="AG1998" s="394"/>
      <c r="AH1998" s="394"/>
      <c r="AI1998" s="394"/>
      <c r="AJ1998" s="394"/>
      <c r="AK1998" s="381"/>
      <c r="AL1998" s="408"/>
      <c r="AM1998" s="385"/>
      <c r="AN1998" s="475"/>
      <c r="AO1998" s="395"/>
      <c r="AP1998" s="395" t="e">
        <f t="shared" si="1028"/>
        <v>#DIV/0!</v>
      </c>
      <c r="AQ1998" s="393"/>
      <c r="AR1998" s="337"/>
      <c r="AS1998" s="497"/>
      <c r="AT1998" s="544"/>
      <c r="AU1998" s="394"/>
      <c r="AV1998" s="394"/>
      <c r="AW1998" s="394"/>
      <c r="AX1998" s="394"/>
      <c r="AY1998" s="394"/>
      <c r="AZ1998" s="394"/>
      <c r="BA1998" s="394"/>
      <c r="BB1998" s="394"/>
      <c r="BC1998" s="394"/>
      <c r="BD1998" s="381"/>
      <c r="BE1998" s="408"/>
      <c r="BF1998" s="385"/>
      <c r="BG1998" s="475"/>
      <c r="BH1998" s="395"/>
      <c r="BI1998" s="395" t="e">
        <f t="shared" si="1026"/>
        <v>#DIV/0!</v>
      </c>
    </row>
    <row r="1999" spans="1:61" s="358" customFormat="1" ht="19.2" x14ac:dyDescent="0.3">
      <c r="A1999" s="359" t="s">
        <v>2152</v>
      </c>
      <c r="B1999" s="537" t="s">
        <v>1739</v>
      </c>
      <c r="C1999" s="546" t="s">
        <v>1173</v>
      </c>
      <c r="D1999" s="360">
        <v>0.4</v>
      </c>
      <c r="E1999" s="393"/>
      <c r="F1999" s="337">
        <v>1</v>
      </c>
      <c r="G1999" s="497"/>
      <c r="H1999" s="544">
        <v>9.4122599999999998</v>
      </c>
      <c r="I1999" s="394">
        <v>8.5459999999999994</v>
      </c>
      <c r="J1999" s="394">
        <v>8.5416699999999999</v>
      </c>
      <c r="K1999" s="394"/>
      <c r="L1999" s="394"/>
      <c r="M1999" s="394">
        <v>0</v>
      </c>
      <c r="N1999" s="394">
        <v>0</v>
      </c>
      <c r="O1999" s="394">
        <v>0.20194999999999999</v>
      </c>
      <c r="P1999" s="394">
        <v>8.5416699999999999</v>
      </c>
      <c r="Q1999" s="394"/>
      <c r="R1999" s="381" t="s">
        <v>167</v>
      </c>
      <c r="S1999" s="408" t="s">
        <v>175</v>
      </c>
      <c r="T1999" s="385"/>
      <c r="U1999" s="475">
        <v>919</v>
      </c>
      <c r="V1999" s="395"/>
      <c r="W1999" s="395">
        <f t="shared" si="1027"/>
        <v>9.4122599999999998</v>
      </c>
      <c r="X1999" s="393"/>
      <c r="Y1999" s="337"/>
      <c r="Z1999" s="497"/>
      <c r="AA1999" s="544"/>
      <c r="AB1999" s="394"/>
      <c r="AC1999" s="394"/>
      <c r="AD1999" s="394"/>
      <c r="AE1999" s="394"/>
      <c r="AF1999" s="394"/>
      <c r="AG1999" s="394"/>
      <c r="AH1999" s="394"/>
      <c r="AI1999" s="394"/>
      <c r="AJ1999" s="394"/>
      <c r="AK1999" s="381"/>
      <c r="AL1999" s="408"/>
      <c r="AM1999" s="385"/>
      <c r="AN1999" s="475"/>
      <c r="AO1999" s="395"/>
      <c r="AP1999" s="395" t="e">
        <f t="shared" si="1028"/>
        <v>#DIV/0!</v>
      </c>
      <c r="AQ1999" s="393"/>
      <c r="AR1999" s="337"/>
      <c r="AS1999" s="497"/>
      <c r="AT1999" s="544"/>
      <c r="AU1999" s="394"/>
      <c r="AV1999" s="394"/>
      <c r="AW1999" s="394"/>
      <c r="AX1999" s="394"/>
      <c r="AY1999" s="394"/>
      <c r="AZ1999" s="394"/>
      <c r="BA1999" s="394"/>
      <c r="BB1999" s="394"/>
      <c r="BC1999" s="394"/>
      <c r="BD1999" s="381"/>
      <c r="BE1999" s="408"/>
      <c r="BF1999" s="385"/>
      <c r="BG1999" s="475"/>
      <c r="BH1999" s="395"/>
      <c r="BI1999" s="395" t="e">
        <f t="shared" si="1026"/>
        <v>#DIV/0!</v>
      </c>
    </row>
    <row r="2000" spans="1:61" s="358" customFormat="1" ht="19.2" x14ac:dyDescent="0.3">
      <c r="A2000" s="359" t="s">
        <v>2137</v>
      </c>
      <c r="B2000" s="537" t="s">
        <v>1740</v>
      </c>
      <c r="C2000" s="546" t="s">
        <v>1174</v>
      </c>
      <c r="D2000" s="360">
        <v>0.4</v>
      </c>
      <c r="E2000" s="393"/>
      <c r="F2000" s="337">
        <v>1</v>
      </c>
      <c r="G2000" s="497"/>
      <c r="H2000" s="544">
        <v>13.558870000000001</v>
      </c>
      <c r="I2000" s="394">
        <v>10.39649</v>
      </c>
      <c r="J2000" s="394">
        <v>8.5416699999999999</v>
      </c>
      <c r="K2000" s="394"/>
      <c r="L2000" s="394"/>
      <c r="M2000" s="394">
        <v>0</v>
      </c>
      <c r="N2000" s="394">
        <v>0</v>
      </c>
      <c r="O2000" s="394">
        <v>0.73724000000000001</v>
      </c>
      <c r="P2000" s="394">
        <v>8.5416699999999999</v>
      </c>
      <c r="Q2000" s="394"/>
      <c r="R2000" s="381" t="s">
        <v>167</v>
      </c>
      <c r="S2000" s="408" t="s">
        <v>175</v>
      </c>
      <c r="T2000" s="385"/>
      <c r="U2000" s="475">
        <v>920</v>
      </c>
      <c r="V2000" s="395"/>
      <c r="W2000" s="395">
        <f t="shared" si="1027"/>
        <v>13.558870000000001</v>
      </c>
      <c r="X2000" s="393"/>
      <c r="Y2000" s="337"/>
      <c r="Z2000" s="497"/>
      <c r="AA2000" s="544"/>
      <c r="AB2000" s="394"/>
      <c r="AC2000" s="394"/>
      <c r="AD2000" s="394"/>
      <c r="AE2000" s="394"/>
      <c r="AF2000" s="394"/>
      <c r="AG2000" s="394"/>
      <c r="AH2000" s="394"/>
      <c r="AI2000" s="394"/>
      <c r="AJ2000" s="394"/>
      <c r="AK2000" s="381"/>
      <c r="AL2000" s="408"/>
      <c r="AM2000" s="385"/>
      <c r="AN2000" s="475"/>
      <c r="AO2000" s="395"/>
      <c r="AP2000" s="395" t="e">
        <f t="shared" si="1028"/>
        <v>#DIV/0!</v>
      </c>
      <c r="AQ2000" s="393"/>
      <c r="AR2000" s="337"/>
      <c r="AS2000" s="497"/>
      <c r="AT2000" s="544"/>
      <c r="AU2000" s="394"/>
      <c r="AV2000" s="394"/>
      <c r="AW2000" s="394"/>
      <c r="AX2000" s="394"/>
      <c r="AY2000" s="394"/>
      <c r="AZ2000" s="394"/>
      <c r="BA2000" s="394"/>
      <c r="BB2000" s="394"/>
      <c r="BC2000" s="394"/>
      <c r="BD2000" s="381"/>
      <c r="BE2000" s="408"/>
      <c r="BF2000" s="385"/>
      <c r="BG2000" s="475"/>
      <c r="BH2000" s="395"/>
      <c r="BI2000" s="395" t="e">
        <f t="shared" si="1026"/>
        <v>#DIV/0!</v>
      </c>
    </row>
    <row r="2001" spans="1:61" s="358" customFormat="1" ht="19.2" x14ac:dyDescent="0.3">
      <c r="A2001" s="359" t="s">
        <v>2138</v>
      </c>
      <c r="B2001" s="537" t="s">
        <v>1741</v>
      </c>
      <c r="C2001" s="546" t="s">
        <v>1175</v>
      </c>
      <c r="D2001" s="360">
        <v>0.4</v>
      </c>
      <c r="E2001" s="393"/>
      <c r="F2001" s="337">
        <v>1</v>
      </c>
      <c r="G2001" s="497"/>
      <c r="H2001" s="544">
        <v>13.55884</v>
      </c>
      <c r="I2001" s="394">
        <v>10.396470000000001</v>
      </c>
      <c r="J2001" s="394">
        <v>8.5416699999999999</v>
      </c>
      <c r="K2001" s="394"/>
      <c r="L2001" s="394"/>
      <c r="M2001" s="394">
        <v>0</v>
      </c>
      <c r="N2001" s="394">
        <v>0</v>
      </c>
      <c r="O2001" s="394">
        <v>0.73724000000000001</v>
      </c>
      <c r="P2001" s="394">
        <v>8.5416699999999999</v>
      </c>
      <c r="Q2001" s="394"/>
      <c r="R2001" s="381" t="s">
        <v>167</v>
      </c>
      <c r="S2001" s="408" t="s">
        <v>175</v>
      </c>
      <c r="T2001" s="385"/>
      <c r="U2001" s="475">
        <v>921</v>
      </c>
      <c r="V2001" s="395"/>
      <c r="W2001" s="395">
        <f t="shared" si="1027"/>
        <v>13.55884</v>
      </c>
      <c r="X2001" s="393"/>
      <c r="Y2001" s="337"/>
      <c r="Z2001" s="497"/>
      <c r="AA2001" s="544"/>
      <c r="AB2001" s="394"/>
      <c r="AC2001" s="394"/>
      <c r="AD2001" s="394"/>
      <c r="AE2001" s="394"/>
      <c r="AF2001" s="394"/>
      <c r="AG2001" s="394"/>
      <c r="AH2001" s="394"/>
      <c r="AI2001" s="394"/>
      <c r="AJ2001" s="394"/>
      <c r="AK2001" s="381"/>
      <c r="AL2001" s="408"/>
      <c r="AM2001" s="385"/>
      <c r="AN2001" s="475"/>
      <c r="AO2001" s="395"/>
      <c r="AP2001" s="395" t="e">
        <f t="shared" si="1028"/>
        <v>#DIV/0!</v>
      </c>
      <c r="AQ2001" s="393"/>
      <c r="AR2001" s="337"/>
      <c r="AS2001" s="497"/>
      <c r="AT2001" s="544"/>
      <c r="AU2001" s="394"/>
      <c r="AV2001" s="394"/>
      <c r="AW2001" s="394"/>
      <c r="AX2001" s="394"/>
      <c r="AY2001" s="394"/>
      <c r="AZ2001" s="394"/>
      <c r="BA2001" s="394"/>
      <c r="BB2001" s="394"/>
      <c r="BC2001" s="394"/>
      <c r="BD2001" s="381"/>
      <c r="BE2001" s="408"/>
      <c r="BF2001" s="385"/>
      <c r="BG2001" s="475"/>
      <c r="BH2001" s="395"/>
      <c r="BI2001" s="395" t="e">
        <f t="shared" si="1026"/>
        <v>#DIV/0!</v>
      </c>
    </row>
    <row r="2002" spans="1:61" s="358" customFormat="1" ht="19.2" x14ac:dyDescent="0.3">
      <c r="A2002" s="359" t="s">
        <v>2123</v>
      </c>
      <c r="B2002" s="537" t="s">
        <v>1742</v>
      </c>
      <c r="C2002" s="546" t="s">
        <v>1176</v>
      </c>
      <c r="D2002" s="360">
        <v>0.4</v>
      </c>
      <c r="E2002" s="393"/>
      <c r="F2002" s="337">
        <v>1</v>
      </c>
      <c r="G2002" s="497"/>
      <c r="H2002" s="544">
        <v>13.558870000000001</v>
      </c>
      <c r="I2002" s="394">
        <v>10.39649</v>
      </c>
      <c r="J2002" s="394">
        <v>8.5416699999999999</v>
      </c>
      <c r="K2002" s="394"/>
      <c r="L2002" s="394"/>
      <c r="M2002" s="394">
        <v>0</v>
      </c>
      <c r="N2002" s="394">
        <v>0</v>
      </c>
      <c r="O2002" s="394">
        <v>0.73724000000000001</v>
      </c>
      <c r="P2002" s="394">
        <v>8.5416699999999999</v>
      </c>
      <c r="Q2002" s="394"/>
      <c r="R2002" s="381" t="s">
        <v>167</v>
      </c>
      <c r="S2002" s="408" t="s">
        <v>175</v>
      </c>
      <c r="T2002" s="385"/>
      <c r="U2002" s="475">
        <v>922</v>
      </c>
      <c r="V2002" s="395"/>
      <c r="W2002" s="395">
        <f t="shared" si="1027"/>
        <v>13.558870000000001</v>
      </c>
      <c r="X2002" s="393"/>
      <c r="Y2002" s="337"/>
      <c r="Z2002" s="497"/>
      <c r="AA2002" s="544"/>
      <c r="AB2002" s="394"/>
      <c r="AC2002" s="394"/>
      <c r="AD2002" s="394"/>
      <c r="AE2002" s="394"/>
      <c r="AF2002" s="394"/>
      <c r="AG2002" s="394"/>
      <c r="AH2002" s="394"/>
      <c r="AI2002" s="394"/>
      <c r="AJ2002" s="394"/>
      <c r="AK2002" s="381"/>
      <c r="AL2002" s="408"/>
      <c r="AM2002" s="385"/>
      <c r="AN2002" s="475"/>
      <c r="AO2002" s="395"/>
      <c r="AP2002" s="395" t="e">
        <f t="shared" si="1028"/>
        <v>#DIV/0!</v>
      </c>
      <c r="AQ2002" s="393"/>
      <c r="AR2002" s="337"/>
      <c r="AS2002" s="497"/>
      <c r="AT2002" s="544"/>
      <c r="AU2002" s="394"/>
      <c r="AV2002" s="394"/>
      <c r="AW2002" s="394"/>
      <c r="AX2002" s="394"/>
      <c r="AY2002" s="394"/>
      <c r="AZ2002" s="394"/>
      <c r="BA2002" s="394"/>
      <c r="BB2002" s="394"/>
      <c r="BC2002" s="394"/>
      <c r="BD2002" s="381"/>
      <c r="BE2002" s="408"/>
      <c r="BF2002" s="385"/>
      <c r="BG2002" s="475"/>
      <c r="BH2002" s="395"/>
      <c r="BI2002" s="395" t="e">
        <f t="shared" si="1026"/>
        <v>#DIV/0!</v>
      </c>
    </row>
    <row r="2003" spans="1:61" s="358" customFormat="1" ht="19.2" x14ac:dyDescent="0.3">
      <c r="A2003" s="359" t="s">
        <v>2140</v>
      </c>
      <c r="B2003" s="537" t="s">
        <v>1743</v>
      </c>
      <c r="C2003" s="546" t="s">
        <v>1177</v>
      </c>
      <c r="D2003" s="360">
        <v>0.4</v>
      </c>
      <c r="E2003" s="393"/>
      <c r="F2003" s="337">
        <v>1</v>
      </c>
      <c r="G2003" s="497"/>
      <c r="H2003" s="544">
        <v>13.55884</v>
      </c>
      <c r="I2003" s="394">
        <v>10.396470000000001</v>
      </c>
      <c r="J2003" s="394">
        <v>8.5416699999999999</v>
      </c>
      <c r="K2003" s="394"/>
      <c r="L2003" s="394"/>
      <c r="M2003" s="394">
        <v>0</v>
      </c>
      <c r="N2003" s="394">
        <v>0</v>
      </c>
      <c r="O2003" s="394">
        <v>0.73724000000000001</v>
      </c>
      <c r="P2003" s="394">
        <v>8.5416699999999999</v>
      </c>
      <c r="Q2003" s="394"/>
      <c r="R2003" s="381" t="s">
        <v>167</v>
      </c>
      <c r="S2003" s="408" t="s">
        <v>175</v>
      </c>
      <c r="T2003" s="385"/>
      <c r="U2003" s="475">
        <v>923</v>
      </c>
      <c r="V2003" s="395"/>
      <c r="W2003" s="395">
        <f t="shared" si="1027"/>
        <v>13.55884</v>
      </c>
      <c r="X2003" s="393"/>
      <c r="Y2003" s="337"/>
      <c r="Z2003" s="497"/>
      <c r="AA2003" s="544"/>
      <c r="AB2003" s="394"/>
      <c r="AC2003" s="394"/>
      <c r="AD2003" s="394"/>
      <c r="AE2003" s="394"/>
      <c r="AF2003" s="394"/>
      <c r="AG2003" s="394"/>
      <c r="AH2003" s="394"/>
      <c r="AI2003" s="394"/>
      <c r="AJ2003" s="394"/>
      <c r="AK2003" s="381"/>
      <c r="AL2003" s="408"/>
      <c r="AM2003" s="385"/>
      <c r="AN2003" s="475"/>
      <c r="AO2003" s="395"/>
      <c r="AP2003" s="395" t="e">
        <f t="shared" si="1028"/>
        <v>#DIV/0!</v>
      </c>
      <c r="AQ2003" s="393"/>
      <c r="AR2003" s="337"/>
      <c r="AS2003" s="497"/>
      <c r="AT2003" s="544"/>
      <c r="AU2003" s="394"/>
      <c r="AV2003" s="394"/>
      <c r="AW2003" s="394"/>
      <c r="AX2003" s="394"/>
      <c r="AY2003" s="394"/>
      <c r="AZ2003" s="394"/>
      <c r="BA2003" s="394"/>
      <c r="BB2003" s="394"/>
      <c r="BC2003" s="394"/>
      <c r="BD2003" s="381"/>
      <c r="BE2003" s="408"/>
      <c r="BF2003" s="385"/>
      <c r="BG2003" s="475"/>
      <c r="BH2003" s="395"/>
      <c r="BI2003" s="395" t="e">
        <f t="shared" si="1026"/>
        <v>#DIV/0!</v>
      </c>
    </row>
    <row r="2004" spans="1:61" s="358" customFormat="1" ht="19.2" x14ac:dyDescent="0.3">
      <c r="A2004" s="359" t="s">
        <v>2141</v>
      </c>
      <c r="B2004" s="537" t="s">
        <v>1744</v>
      </c>
      <c r="C2004" s="546" t="s">
        <v>1178</v>
      </c>
      <c r="D2004" s="360">
        <v>0.4</v>
      </c>
      <c r="E2004" s="393"/>
      <c r="F2004" s="337">
        <v>1</v>
      </c>
      <c r="G2004" s="497"/>
      <c r="H2004" s="544">
        <v>12.80307</v>
      </c>
      <c r="I2004" s="394">
        <v>10.88879</v>
      </c>
      <c r="J2004" s="394">
        <v>8.5416600000000003</v>
      </c>
      <c r="K2004" s="394"/>
      <c r="L2004" s="394"/>
      <c r="M2004" s="394">
        <v>0</v>
      </c>
      <c r="N2004" s="394">
        <v>0</v>
      </c>
      <c r="O2004" s="394">
        <v>0.44627</v>
      </c>
      <c r="P2004" s="394">
        <v>8.5416600000000003</v>
      </c>
      <c r="Q2004" s="394"/>
      <c r="R2004" s="381" t="s">
        <v>167</v>
      </c>
      <c r="S2004" s="408" t="s">
        <v>175</v>
      </c>
      <c r="T2004" s="385"/>
      <c r="U2004" s="475">
        <v>924</v>
      </c>
      <c r="V2004" s="395"/>
      <c r="W2004" s="395">
        <f t="shared" si="1027"/>
        <v>12.80307</v>
      </c>
      <c r="X2004" s="393"/>
      <c r="Y2004" s="337"/>
      <c r="Z2004" s="497"/>
      <c r="AA2004" s="544"/>
      <c r="AB2004" s="394"/>
      <c r="AC2004" s="394"/>
      <c r="AD2004" s="394"/>
      <c r="AE2004" s="394"/>
      <c r="AF2004" s="394"/>
      <c r="AG2004" s="394"/>
      <c r="AH2004" s="394"/>
      <c r="AI2004" s="394"/>
      <c r="AJ2004" s="394"/>
      <c r="AK2004" s="381"/>
      <c r="AL2004" s="408"/>
      <c r="AM2004" s="385"/>
      <c r="AN2004" s="475"/>
      <c r="AO2004" s="395"/>
      <c r="AP2004" s="395" t="e">
        <f t="shared" si="1028"/>
        <v>#DIV/0!</v>
      </c>
      <c r="AQ2004" s="393"/>
      <c r="AR2004" s="337"/>
      <c r="AS2004" s="497"/>
      <c r="AT2004" s="544"/>
      <c r="AU2004" s="394"/>
      <c r="AV2004" s="394"/>
      <c r="AW2004" s="394"/>
      <c r="AX2004" s="394"/>
      <c r="AY2004" s="394"/>
      <c r="AZ2004" s="394"/>
      <c r="BA2004" s="394"/>
      <c r="BB2004" s="394"/>
      <c r="BC2004" s="394"/>
      <c r="BD2004" s="381"/>
      <c r="BE2004" s="408"/>
      <c r="BF2004" s="385"/>
      <c r="BG2004" s="475"/>
      <c r="BH2004" s="395"/>
      <c r="BI2004" s="395" t="e">
        <f t="shared" si="1026"/>
        <v>#DIV/0!</v>
      </c>
    </row>
    <row r="2005" spans="1:61" s="358" customFormat="1" ht="19.2" x14ac:dyDescent="0.3">
      <c r="A2005" s="359" t="s">
        <v>2142</v>
      </c>
      <c r="B2005" s="537" t="s">
        <v>1745</v>
      </c>
      <c r="C2005" s="546" t="s">
        <v>1179</v>
      </c>
      <c r="D2005" s="360">
        <v>0.4</v>
      </c>
      <c r="E2005" s="393"/>
      <c r="F2005" s="337">
        <v>1</v>
      </c>
      <c r="G2005" s="497"/>
      <c r="H2005" s="544">
        <v>9.4122599999999998</v>
      </c>
      <c r="I2005" s="394">
        <v>8.5459999999999994</v>
      </c>
      <c r="J2005" s="394">
        <v>8.5416699999999999</v>
      </c>
      <c r="K2005" s="394"/>
      <c r="L2005" s="394"/>
      <c r="M2005" s="394">
        <v>0</v>
      </c>
      <c r="N2005" s="394">
        <v>0</v>
      </c>
      <c r="O2005" s="394">
        <v>0.20194999999999999</v>
      </c>
      <c r="P2005" s="394">
        <v>8.5416699999999999</v>
      </c>
      <c r="Q2005" s="394"/>
      <c r="R2005" s="381" t="s">
        <v>167</v>
      </c>
      <c r="S2005" s="408" t="s">
        <v>175</v>
      </c>
      <c r="T2005" s="385"/>
      <c r="U2005" s="475">
        <v>925</v>
      </c>
      <c r="V2005" s="395"/>
      <c r="W2005" s="395">
        <f t="shared" si="1027"/>
        <v>9.4122599999999998</v>
      </c>
      <c r="X2005" s="393"/>
      <c r="Y2005" s="337"/>
      <c r="Z2005" s="497"/>
      <c r="AA2005" s="544"/>
      <c r="AB2005" s="394"/>
      <c r="AC2005" s="394"/>
      <c r="AD2005" s="394"/>
      <c r="AE2005" s="394"/>
      <c r="AF2005" s="394"/>
      <c r="AG2005" s="394"/>
      <c r="AH2005" s="394"/>
      <c r="AI2005" s="394"/>
      <c r="AJ2005" s="394"/>
      <c r="AK2005" s="381"/>
      <c r="AL2005" s="408"/>
      <c r="AM2005" s="385"/>
      <c r="AN2005" s="475"/>
      <c r="AO2005" s="395"/>
      <c r="AP2005" s="395" t="e">
        <f t="shared" si="1028"/>
        <v>#DIV/0!</v>
      </c>
      <c r="AQ2005" s="393"/>
      <c r="AR2005" s="337"/>
      <c r="AS2005" s="497"/>
      <c r="AT2005" s="544"/>
      <c r="AU2005" s="394"/>
      <c r="AV2005" s="394"/>
      <c r="AW2005" s="394"/>
      <c r="AX2005" s="394"/>
      <c r="AY2005" s="394"/>
      <c r="AZ2005" s="394"/>
      <c r="BA2005" s="394"/>
      <c r="BB2005" s="394"/>
      <c r="BC2005" s="394"/>
      <c r="BD2005" s="381"/>
      <c r="BE2005" s="408"/>
      <c r="BF2005" s="385"/>
      <c r="BG2005" s="475"/>
      <c r="BH2005" s="395"/>
      <c r="BI2005" s="395" t="e">
        <f t="shared" si="1026"/>
        <v>#DIV/0!</v>
      </c>
    </row>
    <row r="2006" spans="1:61" s="358" customFormat="1" ht="19.2" x14ac:dyDescent="0.3">
      <c r="A2006" s="359" t="s">
        <v>2143</v>
      </c>
      <c r="B2006" s="537" t="s">
        <v>1746</v>
      </c>
      <c r="C2006" s="546" t="s">
        <v>1180</v>
      </c>
      <c r="D2006" s="360">
        <v>0.4</v>
      </c>
      <c r="E2006" s="393"/>
      <c r="F2006" s="337">
        <v>1</v>
      </c>
      <c r="G2006" s="497"/>
      <c r="H2006" s="544">
        <v>13.558859999999999</v>
      </c>
      <c r="I2006" s="394">
        <v>10.396470000000001</v>
      </c>
      <c r="J2006" s="394">
        <v>8.5416699999999999</v>
      </c>
      <c r="K2006" s="394"/>
      <c r="L2006" s="394"/>
      <c r="M2006" s="394">
        <v>0</v>
      </c>
      <c r="N2006" s="394">
        <v>0</v>
      </c>
      <c r="O2006" s="394">
        <v>0.73724000000000001</v>
      </c>
      <c r="P2006" s="394">
        <v>8.5416699999999999</v>
      </c>
      <c r="Q2006" s="394"/>
      <c r="R2006" s="381" t="s">
        <v>167</v>
      </c>
      <c r="S2006" s="408" t="s">
        <v>175</v>
      </c>
      <c r="T2006" s="385"/>
      <c r="U2006" s="475">
        <v>926</v>
      </c>
      <c r="V2006" s="395"/>
      <c r="W2006" s="395">
        <f t="shared" si="1027"/>
        <v>13.558859999999999</v>
      </c>
      <c r="X2006" s="393"/>
      <c r="Y2006" s="337"/>
      <c r="Z2006" s="497"/>
      <c r="AA2006" s="544"/>
      <c r="AB2006" s="394"/>
      <c r="AC2006" s="394"/>
      <c r="AD2006" s="394"/>
      <c r="AE2006" s="394"/>
      <c r="AF2006" s="394"/>
      <c r="AG2006" s="394"/>
      <c r="AH2006" s="394"/>
      <c r="AI2006" s="394"/>
      <c r="AJ2006" s="394"/>
      <c r="AK2006" s="381"/>
      <c r="AL2006" s="408"/>
      <c r="AM2006" s="385"/>
      <c r="AN2006" s="475"/>
      <c r="AO2006" s="395"/>
      <c r="AP2006" s="395" t="e">
        <f t="shared" si="1028"/>
        <v>#DIV/0!</v>
      </c>
      <c r="AQ2006" s="393"/>
      <c r="AR2006" s="337"/>
      <c r="AS2006" s="497"/>
      <c r="AT2006" s="544"/>
      <c r="AU2006" s="394"/>
      <c r="AV2006" s="394"/>
      <c r="AW2006" s="394"/>
      <c r="AX2006" s="394"/>
      <c r="AY2006" s="394"/>
      <c r="AZ2006" s="394"/>
      <c r="BA2006" s="394"/>
      <c r="BB2006" s="394"/>
      <c r="BC2006" s="394"/>
      <c r="BD2006" s="381"/>
      <c r="BE2006" s="408"/>
      <c r="BF2006" s="385"/>
      <c r="BG2006" s="475"/>
      <c r="BH2006" s="395"/>
      <c r="BI2006" s="395" t="e">
        <f t="shared" si="1026"/>
        <v>#DIV/0!</v>
      </c>
    </row>
    <row r="2007" spans="1:61" s="358" customFormat="1" ht="19.2" x14ac:dyDescent="0.3">
      <c r="A2007" s="359" t="s">
        <v>2144</v>
      </c>
      <c r="B2007" s="537" t="s">
        <v>1747</v>
      </c>
      <c r="C2007" s="546" t="s">
        <v>1181</v>
      </c>
      <c r="D2007" s="360">
        <v>0.4</v>
      </c>
      <c r="E2007" s="393"/>
      <c r="F2007" s="337">
        <v>1</v>
      </c>
      <c r="G2007" s="497"/>
      <c r="H2007" s="544">
        <v>13.558870000000001</v>
      </c>
      <c r="I2007" s="394">
        <v>10.39649</v>
      </c>
      <c r="J2007" s="394">
        <v>8.5416699999999999</v>
      </c>
      <c r="K2007" s="394"/>
      <c r="L2007" s="394"/>
      <c r="M2007" s="394">
        <v>0</v>
      </c>
      <c r="N2007" s="394">
        <v>0</v>
      </c>
      <c r="O2007" s="394">
        <v>0.73724000000000001</v>
      </c>
      <c r="P2007" s="394">
        <v>8.5416699999999999</v>
      </c>
      <c r="Q2007" s="394"/>
      <c r="R2007" s="381" t="s">
        <v>167</v>
      </c>
      <c r="S2007" s="408" t="s">
        <v>175</v>
      </c>
      <c r="T2007" s="385"/>
      <c r="U2007" s="475">
        <v>927</v>
      </c>
      <c r="V2007" s="395"/>
      <c r="W2007" s="395">
        <f t="shared" si="1027"/>
        <v>13.558870000000001</v>
      </c>
      <c r="X2007" s="393"/>
      <c r="Y2007" s="337"/>
      <c r="Z2007" s="497"/>
      <c r="AA2007" s="544"/>
      <c r="AB2007" s="394"/>
      <c r="AC2007" s="394"/>
      <c r="AD2007" s="394"/>
      <c r="AE2007" s="394"/>
      <c r="AF2007" s="394"/>
      <c r="AG2007" s="394"/>
      <c r="AH2007" s="394"/>
      <c r="AI2007" s="394"/>
      <c r="AJ2007" s="394"/>
      <c r="AK2007" s="381"/>
      <c r="AL2007" s="408"/>
      <c r="AM2007" s="385"/>
      <c r="AN2007" s="475"/>
      <c r="AO2007" s="395"/>
      <c r="AP2007" s="395" t="e">
        <f t="shared" si="1028"/>
        <v>#DIV/0!</v>
      </c>
      <c r="AQ2007" s="393"/>
      <c r="AR2007" s="337"/>
      <c r="AS2007" s="497"/>
      <c r="AT2007" s="544"/>
      <c r="AU2007" s="394"/>
      <c r="AV2007" s="394"/>
      <c r="AW2007" s="394"/>
      <c r="AX2007" s="394"/>
      <c r="AY2007" s="394"/>
      <c r="AZ2007" s="394"/>
      <c r="BA2007" s="394"/>
      <c r="BB2007" s="394"/>
      <c r="BC2007" s="394"/>
      <c r="BD2007" s="381"/>
      <c r="BE2007" s="408"/>
      <c r="BF2007" s="385"/>
      <c r="BG2007" s="475"/>
      <c r="BH2007" s="395"/>
      <c r="BI2007" s="395" t="e">
        <f t="shared" ref="BI2007:BI2070" si="1029">AT2007/AR2007</f>
        <v>#DIV/0!</v>
      </c>
    </row>
    <row r="2008" spans="1:61" s="358" customFormat="1" ht="19.2" x14ac:dyDescent="0.3">
      <c r="A2008" s="359" t="s">
        <v>2145</v>
      </c>
      <c r="B2008" s="537" t="s">
        <v>1748</v>
      </c>
      <c r="C2008" s="546" t="s">
        <v>1182</v>
      </c>
      <c r="D2008" s="360">
        <v>0.4</v>
      </c>
      <c r="E2008" s="393"/>
      <c r="F2008" s="337">
        <v>1</v>
      </c>
      <c r="G2008" s="497"/>
      <c r="H2008" s="544">
        <v>13.55885</v>
      </c>
      <c r="I2008" s="394">
        <v>10.396470000000001</v>
      </c>
      <c r="J2008" s="394">
        <v>8.5416699999999999</v>
      </c>
      <c r="K2008" s="394"/>
      <c r="L2008" s="394"/>
      <c r="M2008" s="394">
        <v>0</v>
      </c>
      <c r="N2008" s="394">
        <v>0</v>
      </c>
      <c r="O2008" s="394">
        <v>0.73724000000000001</v>
      </c>
      <c r="P2008" s="394">
        <v>8.5416699999999999</v>
      </c>
      <c r="Q2008" s="394"/>
      <c r="R2008" s="381" t="s">
        <v>167</v>
      </c>
      <c r="S2008" s="408" t="s">
        <v>175</v>
      </c>
      <c r="T2008" s="385"/>
      <c r="U2008" s="475">
        <v>928</v>
      </c>
      <c r="V2008" s="395"/>
      <c r="W2008" s="395">
        <f t="shared" si="1027"/>
        <v>13.55885</v>
      </c>
      <c r="X2008" s="393"/>
      <c r="Y2008" s="337"/>
      <c r="Z2008" s="497"/>
      <c r="AA2008" s="544"/>
      <c r="AB2008" s="394"/>
      <c r="AC2008" s="394"/>
      <c r="AD2008" s="394"/>
      <c r="AE2008" s="394"/>
      <c r="AF2008" s="394"/>
      <c r="AG2008" s="394"/>
      <c r="AH2008" s="394"/>
      <c r="AI2008" s="394"/>
      <c r="AJ2008" s="394"/>
      <c r="AK2008" s="381"/>
      <c r="AL2008" s="408"/>
      <c r="AM2008" s="385"/>
      <c r="AN2008" s="475"/>
      <c r="AO2008" s="395"/>
      <c r="AP2008" s="395" t="e">
        <f t="shared" si="1028"/>
        <v>#DIV/0!</v>
      </c>
      <c r="AQ2008" s="393"/>
      <c r="AR2008" s="337"/>
      <c r="AS2008" s="497"/>
      <c r="AT2008" s="544"/>
      <c r="AU2008" s="394"/>
      <c r="AV2008" s="394"/>
      <c r="AW2008" s="394"/>
      <c r="AX2008" s="394"/>
      <c r="AY2008" s="394"/>
      <c r="AZ2008" s="394"/>
      <c r="BA2008" s="394"/>
      <c r="BB2008" s="394"/>
      <c r="BC2008" s="394"/>
      <c r="BD2008" s="381"/>
      <c r="BE2008" s="408"/>
      <c r="BF2008" s="385"/>
      <c r="BG2008" s="475"/>
      <c r="BH2008" s="395"/>
      <c r="BI2008" s="395" t="e">
        <f t="shared" si="1029"/>
        <v>#DIV/0!</v>
      </c>
    </row>
    <row r="2009" spans="1:61" s="358" customFormat="1" ht="19.2" x14ac:dyDescent="0.3">
      <c r="A2009" s="359" t="s">
        <v>2146</v>
      </c>
      <c r="B2009" s="537" t="s">
        <v>640</v>
      </c>
      <c r="C2009" s="546" t="s">
        <v>518</v>
      </c>
      <c r="D2009" s="360">
        <v>0.4</v>
      </c>
      <c r="E2009" s="393"/>
      <c r="F2009" s="337">
        <v>1</v>
      </c>
      <c r="G2009" s="497"/>
      <c r="H2009" s="544">
        <v>13.558870000000001</v>
      </c>
      <c r="I2009" s="394">
        <v>10.39649</v>
      </c>
      <c r="J2009" s="394">
        <v>8.5416699999999999</v>
      </c>
      <c r="K2009" s="394"/>
      <c r="L2009" s="394"/>
      <c r="M2009" s="394">
        <v>0</v>
      </c>
      <c r="N2009" s="394">
        <v>0</v>
      </c>
      <c r="O2009" s="394">
        <v>0.73724000000000001</v>
      </c>
      <c r="P2009" s="394">
        <v>8.5416699999999999</v>
      </c>
      <c r="Q2009" s="394"/>
      <c r="R2009" s="381" t="s">
        <v>167</v>
      </c>
      <c r="S2009" s="408" t="s">
        <v>175</v>
      </c>
      <c r="T2009" s="385"/>
      <c r="U2009" s="475">
        <v>929</v>
      </c>
      <c r="V2009" s="395"/>
      <c r="W2009" s="395">
        <f t="shared" si="1027"/>
        <v>13.558870000000001</v>
      </c>
      <c r="X2009" s="393"/>
      <c r="Y2009" s="337"/>
      <c r="Z2009" s="497"/>
      <c r="AA2009" s="544"/>
      <c r="AB2009" s="394"/>
      <c r="AC2009" s="394"/>
      <c r="AD2009" s="394"/>
      <c r="AE2009" s="394"/>
      <c r="AF2009" s="394"/>
      <c r="AG2009" s="394"/>
      <c r="AH2009" s="394"/>
      <c r="AI2009" s="394"/>
      <c r="AJ2009" s="394"/>
      <c r="AK2009" s="381"/>
      <c r="AL2009" s="408"/>
      <c r="AM2009" s="385"/>
      <c r="AN2009" s="475"/>
      <c r="AO2009" s="395"/>
      <c r="AP2009" s="395" t="e">
        <f t="shared" si="1028"/>
        <v>#DIV/0!</v>
      </c>
      <c r="AQ2009" s="393"/>
      <c r="AR2009" s="337"/>
      <c r="AS2009" s="497"/>
      <c r="AT2009" s="544"/>
      <c r="AU2009" s="394"/>
      <c r="AV2009" s="394"/>
      <c r="AW2009" s="394"/>
      <c r="AX2009" s="394"/>
      <c r="AY2009" s="394"/>
      <c r="AZ2009" s="394"/>
      <c r="BA2009" s="394"/>
      <c r="BB2009" s="394"/>
      <c r="BC2009" s="394"/>
      <c r="BD2009" s="381"/>
      <c r="BE2009" s="408"/>
      <c r="BF2009" s="385"/>
      <c r="BG2009" s="475"/>
      <c r="BH2009" s="395"/>
      <c r="BI2009" s="395" t="e">
        <f t="shared" si="1029"/>
        <v>#DIV/0!</v>
      </c>
    </row>
    <row r="2010" spans="1:61" s="358" customFormat="1" ht="19.2" x14ac:dyDescent="0.3">
      <c r="A2010" s="359" t="s">
        <v>2147</v>
      </c>
      <c r="B2010" s="537" t="s">
        <v>1749</v>
      </c>
      <c r="C2010" s="546" t="s">
        <v>1183</v>
      </c>
      <c r="D2010" s="360">
        <v>0.4</v>
      </c>
      <c r="E2010" s="393"/>
      <c r="F2010" s="337">
        <v>1</v>
      </c>
      <c r="G2010" s="497"/>
      <c r="H2010" s="544">
        <v>13.55885</v>
      </c>
      <c r="I2010" s="394">
        <v>10.396470000000001</v>
      </c>
      <c r="J2010" s="394">
        <v>8.5416699999999999</v>
      </c>
      <c r="K2010" s="394"/>
      <c r="L2010" s="394"/>
      <c r="M2010" s="394">
        <v>0</v>
      </c>
      <c r="N2010" s="394">
        <v>0</v>
      </c>
      <c r="O2010" s="394">
        <v>0.73724000000000001</v>
      </c>
      <c r="P2010" s="394">
        <v>8.5416699999999999</v>
      </c>
      <c r="Q2010" s="394"/>
      <c r="R2010" s="381" t="s">
        <v>167</v>
      </c>
      <c r="S2010" s="408" t="s">
        <v>175</v>
      </c>
      <c r="T2010" s="385"/>
      <c r="U2010" s="475">
        <v>930</v>
      </c>
      <c r="V2010" s="395"/>
      <c r="W2010" s="395">
        <f t="shared" ref="W2010:W2026" si="1030">H2010/F2010</f>
        <v>13.55885</v>
      </c>
      <c r="X2010" s="393"/>
      <c r="Y2010" s="337"/>
      <c r="Z2010" s="497"/>
      <c r="AA2010" s="544"/>
      <c r="AB2010" s="394"/>
      <c r="AC2010" s="394"/>
      <c r="AD2010" s="394"/>
      <c r="AE2010" s="394"/>
      <c r="AF2010" s="394"/>
      <c r="AG2010" s="394"/>
      <c r="AH2010" s="394"/>
      <c r="AI2010" s="394"/>
      <c r="AJ2010" s="394"/>
      <c r="AK2010" s="381"/>
      <c r="AL2010" s="408"/>
      <c r="AM2010" s="385"/>
      <c r="AN2010" s="475"/>
      <c r="AO2010" s="395"/>
      <c r="AP2010" s="395" t="e">
        <f t="shared" si="1028"/>
        <v>#DIV/0!</v>
      </c>
      <c r="AQ2010" s="393"/>
      <c r="AR2010" s="337"/>
      <c r="AS2010" s="497"/>
      <c r="AT2010" s="544"/>
      <c r="AU2010" s="394"/>
      <c r="AV2010" s="394"/>
      <c r="AW2010" s="394"/>
      <c r="AX2010" s="394"/>
      <c r="AY2010" s="394"/>
      <c r="AZ2010" s="394"/>
      <c r="BA2010" s="394"/>
      <c r="BB2010" s="394"/>
      <c r="BC2010" s="394"/>
      <c r="BD2010" s="381"/>
      <c r="BE2010" s="408"/>
      <c r="BF2010" s="385"/>
      <c r="BG2010" s="475"/>
      <c r="BH2010" s="395"/>
      <c r="BI2010" s="395" t="e">
        <f t="shared" si="1029"/>
        <v>#DIV/0!</v>
      </c>
    </row>
    <row r="2011" spans="1:61" s="358" customFormat="1" ht="19.2" x14ac:dyDescent="0.3">
      <c r="A2011" s="359" t="s">
        <v>2164</v>
      </c>
      <c r="B2011" s="537" t="s">
        <v>1595</v>
      </c>
      <c r="C2011" s="546" t="s">
        <v>1184</v>
      </c>
      <c r="D2011" s="360">
        <v>0.4</v>
      </c>
      <c r="E2011" s="393"/>
      <c r="F2011" s="337">
        <v>1</v>
      </c>
      <c r="G2011" s="497"/>
      <c r="H2011" s="544">
        <v>13.558870000000001</v>
      </c>
      <c r="I2011" s="394">
        <v>10.39649</v>
      </c>
      <c r="J2011" s="394">
        <v>8.5416699999999999</v>
      </c>
      <c r="K2011" s="394"/>
      <c r="L2011" s="394"/>
      <c r="M2011" s="394">
        <v>0</v>
      </c>
      <c r="N2011" s="394">
        <v>0</v>
      </c>
      <c r="O2011" s="394">
        <v>0.73724000000000001</v>
      </c>
      <c r="P2011" s="394">
        <v>8.5416699999999999</v>
      </c>
      <c r="Q2011" s="394"/>
      <c r="R2011" s="381" t="s">
        <v>167</v>
      </c>
      <c r="S2011" s="408" t="s">
        <v>175</v>
      </c>
      <c r="T2011" s="385"/>
      <c r="U2011" s="475">
        <v>931</v>
      </c>
      <c r="V2011" s="395"/>
      <c r="W2011" s="395">
        <f t="shared" si="1030"/>
        <v>13.558870000000001</v>
      </c>
      <c r="X2011" s="393"/>
      <c r="Y2011" s="337"/>
      <c r="Z2011" s="497"/>
      <c r="AA2011" s="544"/>
      <c r="AB2011" s="394"/>
      <c r="AC2011" s="394"/>
      <c r="AD2011" s="394"/>
      <c r="AE2011" s="394"/>
      <c r="AF2011" s="394"/>
      <c r="AG2011" s="394"/>
      <c r="AH2011" s="394"/>
      <c r="AI2011" s="394"/>
      <c r="AJ2011" s="394"/>
      <c r="AK2011" s="381"/>
      <c r="AL2011" s="408"/>
      <c r="AM2011" s="385"/>
      <c r="AN2011" s="475"/>
      <c r="AO2011" s="395"/>
      <c r="AP2011" s="395" t="e">
        <f t="shared" si="1028"/>
        <v>#DIV/0!</v>
      </c>
      <c r="AQ2011" s="393"/>
      <c r="AR2011" s="337"/>
      <c r="AS2011" s="497"/>
      <c r="AT2011" s="544"/>
      <c r="AU2011" s="394"/>
      <c r="AV2011" s="394"/>
      <c r="AW2011" s="394"/>
      <c r="AX2011" s="394"/>
      <c r="AY2011" s="394"/>
      <c r="AZ2011" s="394"/>
      <c r="BA2011" s="394"/>
      <c r="BB2011" s="394"/>
      <c r="BC2011" s="394"/>
      <c r="BD2011" s="381"/>
      <c r="BE2011" s="408"/>
      <c r="BF2011" s="385"/>
      <c r="BG2011" s="475"/>
      <c r="BH2011" s="395"/>
      <c r="BI2011" s="395" t="e">
        <f t="shared" si="1029"/>
        <v>#DIV/0!</v>
      </c>
    </row>
    <row r="2012" spans="1:61" s="358" customFormat="1" ht="19.2" x14ac:dyDescent="0.3">
      <c r="A2012" s="359" t="s">
        <v>2149</v>
      </c>
      <c r="B2012" s="537" t="s">
        <v>664</v>
      </c>
      <c r="C2012" s="546" t="s">
        <v>493</v>
      </c>
      <c r="D2012" s="360">
        <v>0.4</v>
      </c>
      <c r="E2012" s="393"/>
      <c r="F2012" s="337">
        <v>1</v>
      </c>
      <c r="G2012" s="497"/>
      <c r="H2012" s="544">
        <v>13.55885</v>
      </c>
      <c r="I2012" s="394">
        <v>10.396470000000001</v>
      </c>
      <c r="J2012" s="394">
        <v>8.5416699999999999</v>
      </c>
      <c r="K2012" s="394"/>
      <c r="L2012" s="394"/>
      <c r="M2012" s="394">
        <v>0</v>
      </c>
      <c r="N2012" s="394">
        <v>0</v>
      </c>
      <c r="O2012" s="394">
        <v>0.73724000000000001</v>
      </c>
      <c r="P2012" s="394">
        <v>8.5416699999999999</v>
      </c>
      <c r="Q2012" s="394"/>
      <c r="R2012" s="381" t="s">
        <v>167</v>
      </c>
      <c r="S2012" s="408" t="s">
        <v>175</v>
      </c>
      <c r="T2012" s="385"/>
      <c r="U2012" s="475">
        <v>932</v>
      </c>
      <c r="V2012" s="395"/>
      <c r="W2012" s="395">
        <f t="shared" si="1030"/>
        <v>13.55885</v>
      </c>
      <c r="X2012" s="393"/>
      <c r="Y2012" s="337"/>
      <c r="Z2012" s="497"/>
      <c r="AA2012" s="544"/>
      <c r="AB2012" s="394"/>
      <c r="AC2012" s="394"/>
      <c r="AD2012" s="394"/>
      <c r="AE2012" s="394"/>
      <c r="AF2012" s="394"/>
      <c r="AG2012" s="394"/>
      <c r="AH2012" s="394"/>
      <c r="AI2012" s="394"/>
      <c r="AJ2012" s="394"/>
      <c r="AK2012" s="381"/>
      <c r="AL2012" s="408"/>
      <c r="AM2012" s="385"/>
      <c r="AN2012" s="475"/>
      <c r="AO2012" s="395"/>
      <c r="AP2012" s="395" t="e">
        <f t="shared" si="1028"/>
        <v>#DIV/0!</v>
      </c>
      <c r="AQ2012" s="393"/>
      <c r="AR2012" s="337"/>
      <c r="AS2012" s="497"/>
      <c r="AT2012" s="544"/>
      <c r="AU2012" s="394"/>
      <c r="AV2012" s="394"/>
      <c r="AW2012" s="394"/>
      <c r="AX2012" s="394"/>
      <c r="AY2012" s="394"/>
      <c r="AZ2012" s="394"/>
      <c r="BA2012" s="394"/>
      <c r="BB2012" s="394"/>
      <c r="BC2012" s="394"/>
      <c r="BD2012" s="381"/>
      <c r="BE2012" s="408"/>
      <c r="BF2012" s="385"/>
      <c r="BG2012" s="475"/>
      <c r="BH2012" s="395"/>
      <c r="BI2012" s="395" t="e">
        <f t="shared" si="1029"/>
        <v>#DIV/0!</v>
      </c>
    </row>
    <row r="2013" spans="1:61" s="358" customFormat="1" ht="19.2" x14ac:dyDescent="0.3">
      <c r="A2013" s="359" t="s">
        <v>2150</v>
      </c>
      <c r="B2013" s="537" t="s">
        <v>1750</v>
      </c>
      <c r="C2013" s="546" t="s">
        <v>1185</v>
      </c>
      <c r="D2013" s="360">
        <v>0.4</v>
      </c>
      <c r="E2013" s="393"/>
      <c r="F2013" s="337">
        <v>1</v>
      </c>
      <c r="G2013" s="497"/>
      <c r="H2013" s="544">
        <v>13.558870000000001</v>
      </c>
      <c r="I2013" s="394">
        <v>10.39649</v>
      </c>
      <c r="J2013" s="394">
        <v>8.5416699999999999</v>
      </c>
      <c r="K2013" s="394"/>
      <c r="L2013" s="394"/>
      <c r="M2013" s="394">
        <v>0</v>
      </c>
      <c r="N2013" s="394">
        <v>0</v>
      </c>
      <c r="O2013" s="394">
        <v>0.73724000000000001</v>
      </c>
      <c r="P2013" s="394">
        <v>8.5416699999999999</v>
      </c>
      <c r="Q2013" s="394"/>
      <c r="R2013" s="381" t="s">
        <v>167</v>
      </c>
      <c r="S2013" s="408" t="s">
        <v>175</v>
      </c>
      <c r="T2013" s="385"/>
      <c r="U2013" s="475">
        <v>933</v>
      </c>
      <c r="V2013" s="395"/>
      <c r="W2013" s="395">
        <f t="shared" si="1030"/>
        <v>13.558870000000001</v>
      </c>
      <c r="X2013" s="393"/>
      <c r="Y2013" s="337"/>
      <c r="Z2013" s="497"/>
      <c r="AA2013" s="544"/>
      <c r="AB2013" s="394"/>
      <c r="AC2013" s="394"/>
      <c r="AD2013" s="394"/>
      <c r="AE2013" s="394"/>
      <c r="AF2013" s="394"/>
      <c r="AG2013" s="394"/>
      <c r="AH2013" s="394"/>
      <c r="AI2013" s="394"/>
      <c r="AJ2013" s="394"/>
      <c r="AK2013" s="381"/>
      <c r="AL2013" s="408"/>
      <c r="AM2013" s="385"/>
      <c r="AN2013" s="475"/>
      <c r="AO2013" s="395"/>
      <c r="AP2013" s="395" t="e">
        <f t="shared" si="1028"/>
        <v>#DIV/0!</v>
      </c>
      <c r="AQ2013" s="393"/>
      <c r="AR2013" s="337"/>
      <c r="AS2013" s="497"/>
      <c r="AT2013" s="544"/>
      <c r="AU2013" s="394"/>
      <c r="AV2013" s="394"/>
      <c r="AW2013" s="394"/>
      <c r="AX2013" s="394"/>
      <c r="AY2013" s="394"/>
      <c r="AZ2013" s="394"/>
      <c r="BA2013" s="394"/>
      <c r="BB2013" s="394"/>
      <c r="BC2013" s="394"/>
      <c r="BD2013" s="381"/>
      <c r="BE2013" s="408"/>
      <c r="BF2013" s="385"/>
      <c r="BG2013" s="475"/>
      <c r="BH2013" s="395"/>
      <c r="BI2013" s="395" t="e">
        <f t="shared" si="1029"/>
        <v>#DIV/0!</v>
      </c>
    </row>
    <row r="2014" spans="1:61" s="358" customFormat="1" ht="19.2" x14ac:dyDescent="0.3">
      <c r="A2014" s="359" t="s">
        <v>2151</v>
      </c>
      <c r="B2014" s="537" t="s">
        <v>652</v>
      </c>
      <c r="C2014" s="546" t="s">
        <v>531</v>
      </c>
      <c r="D2014" s="360">
        <v>0.4</v>
      </c>
      <c r="E2014" s="393"/>
      <c r="F2014" s="337">
        <v>1</v>
      </c>
      <c r="G2014" s="497"/>
      <c r="H2014" s="544">
        <v>13.55885</v>
      </c>
      <c r="I2014" s="394">
        <v>10.396470000000001</v>
      </c>
      <c r="J2014" s="394">
        <v>8.5416699999999999</v>
      </c>
      <c r="K2014" s="394"/>
      <c r="L2014" s="394"/>
      <c r="M2014" s="394">
        <v>0</v>
      </c>
      <c r="N2014" s="394">
        <v>0</v>
      </c>
      <c r="O2014" s="394">
        <v>0.73724000000000001</v>
      </c>
      <c r="P2014" s="394">
        <v>8.5416699999999999</v>
      </c>
      <c r="Q2014" s="394"/>
      <c r="R2014" s="381" t="s">
        <v>167</v>
      </c>
      <c r="S2014" s="408" t="s">
        <v>175</v>
      </c>
      <c r="T2014" s="385"/>
      <c r="U2014" s="475">
        <v>934</v>
      </c>
      <c r="V2014" s="395"/>
      <c r="W2014" s="395">
        <f t="shared" si="1030"/>
        <v>13.55885</v>
      </c>
      <c r="X2014" s="393"/>
      <c r="Y2014" s="337"/>
      <c r="Z2014" s="497"/>
      <c r="AA2014" s="544"/>
      <c r="AB2014" s="394"/>
      <c r="AC2014" s="394"/>
      <c r="AD2014" s="394"/>
      <c r="AE2014" s="394"/>
      <c r="AF2014" s="394"/>
      <c r="AG2014" s="394"/>
      <c r="AH2014" s="394"/>
      <c r="AI2014" s="394"/>
      <c r="AJ2014" s="394"/>
      <c r="AK2014" s="381"/>
      <c r="AL2014" s="408"/>
      <c r="AM2014" s="385"/>
      <c r="AN2014" s="475"/>
      <c r="AO2014" s="395"/>
      <c r="AP2014" s="395" t="e">
        <f t="shared" si="1028"/>
        <v>#DIV/0!</v>
      </c>
      <c r="AQ2014" s="393"/>
      <c r="AR2014" s="337"/>
      <c r="AS2014" s="497"/>
      <c r="AT2014" s="544"/>
      <c r="AU2014" s="394"/>
      <c r="AV2014" s="394"/>
      <c r="AW2014" s="394"/>
      <c r="AX2014" s="394"/>
      <c r="AY2014" s="394"/>
      <c r="AZ2014" s="394"/>
      <c r="BA2014" s="394"/>
      <c r="BB2014" s="394"/>
      <c r="BC2014" s="394"/>
      <c r="BD2014" s="381"/>
      <c r="BE2014" s="408"/>
      <c r="BF2014" s="385"/>
      <c r="BG2014" s="475"/>
      <c r="BH2014" s="395"/>
      <c r="BI2014" s="395" t="e">
        <f t="shared" si="1029"/>
        <v>#DIV/0!</v>
      </c>
    </row>
    <row r="2015" spans="1:61" s="358" customFormat="1" ht="19.2" x14ac:dyDescent="0.3">
      <c r="A2015" s="359" t="s">
        <v>2168</v>
      </c>
      <c r="B2015" s="537" t="s">
        <v>1751</v>
      </c>
      <c r="C2015" s="546" t="s">
        <v>1186</v>
      </c>
      <c r="D2015" s="360">
        <v>0.4</v>
      </c>
      <c r="E2015" s="393"/>
      <c r="F2015" s="337">
        <v>1</v>
      </c>
      <c r="G2015" s="497"/>
      <c r="H2015" s="544">
        <v>14.0945</v>
      </c>
      <c r="I2015" s="394">
        <v>12.18022</v>
      </c>
      <c r="J2015" s="394">
        <v>10.45833</v>
      </c>
      <c r="K2015" s="394"/>
      <c r="L2015" s="394"/>
      <c r="M2015" s="394">
        <v>0</v>
      </c>
      <c r="N2015" s="394">
        <v>0</v>
      </c>
      <c r="O2015" s="394">
        <v>0.44627</v>
      </c>
      <c r="P2015" s="394">
        <v>10.45833</v>
      </c>
      <c r="Q2015" s="394"/>
      <c r="R2015" s="381" t="s">
        <v>167</v>
      </c>
      <c r="S2015" s="408" t="s">
        <v>175</v>
      </c>
      <c r="T2015" s="385"/>
      <c r="U2015" s="475">
        <v>935</v>
      </c>
      <c r="V2015" s="395"/>
      <c r="W2015" s="395">
        <f t="shared" si="1030"/>
        <v>14.0945</v>
      </c>
      <c r="X2015" s="393"/>
      <c r="Y2015" s="337"/>
      <c r="Z2015" s="497"/>
      <c r="AA2015" s="544"/>
      <c r="AB2015" s="394"/>
      <c r="AC2015" s="394"/>
      <c r="AD2015" s="394"/>
      <c r="AE2015" s="394"/>
      <c r="AF2015" s="394"/>
      <c r="AG2015" s="394"/>
      <c r="AH2015" s="394"/>
      <c r="AI2015" s="394"/>
      <c r="AJ2015" s="394"/>
      <c r="AK2015" s="381"/>
      <c r="AL2015" s="408"/>
      <c r="AM2015" s="385"/>
      <c r="AN2015" s="475"/>
      <c r="AO2015" s="395"/>
      <c r="AP2015" s="395" t="e">
        <f t="shared" si="1028"/>
        <v>#DIV/0!</v>
      </c>
      <c r="AQ2015" s="393"/>
      <c r="AR2015" s="337"/>
      <c r="AS2015" s="497"/>
      <c r="AT2015" s="544"/>
      <c r="AU2015" s="394"/>
      <c r="AV2015" s="394"/>
      <c r="AW2015" s="394"/>
      <c r="AX2015" s="394"/>
      <c r="AY2015" s="394"/>
      <c r="AZ2015" s="394"/>
      <c r="BA2015" s="394"/>
      <c r="BB2015" s="394"/>
      <c r="BC2015" s="394"/>
      <c r="BD2015" s="381"/>
      <c r="BE2015" s="408"/>
      <c r="BF2015" s="385"/>
      <c r="BG2015" s="475"/>
      <c r="BH2015" s="395"/>
      <c r="BI2015" s="395" t="e">
        <f t="shared" si="1029"/>
        <v>#DIV/0!</v>
      </c>
    </row>
    <row r="2016" spans="1:61" s="358" customFormat="1" ht="19.2" x14ac:dyDescent="0.3">
      <c r="A2016" s="359" t="s">
        <v>2153</v>
      </c>
      <c r="B2016" s="537" t="s">
        <v>1752</v>
      </c>
      <c r="C2016" s="546" t="s">
        <v>1187</v>
      </c>
      <c r="D2016" s="360">
        <v>0.4</v>
      </c>
      <c r="E2016" s="393"/>
      <c r="F2016" s="337">
        <v>1</v>
      </c>
      <c r="G2016" s="497"/>
      <c r="H2016" s="544">
        <v>9.4122599999999998</v>
      </c>
      <c r="I2016" s="394">
        <v>8.5459999999999994</v>
      </c>
      <c r="J2016" s="394">
        <v>8.5416699999999999</v>
      </c>
      <c r="K2016" s="394"/>
      <c r="L2016" s="394"/>
      <c r="M2016" s="394">
        <v>0</v>
      </c>
      <c r="N2016" s="394">
        <v>0</v>
      </c>
      <c r="O2016" s="394">
        <v>0.20194999999999999</v>
      </c>
      <c r="P2016" s="394">
        <v>8.5416699999999999</v>
      </c>
      <c r="Q2016" s="394"/>
      <c r="R2016" s="381" t="s">
        <v>167</v>
      </c>
      <c r="S2016" s="408" t="s">
        <v>175</v>
      </c>
      <c r="T2016" s="385"/>
      <c r="U2016" s="475">
        <v>936</v>
      </c>
      <c r="V2016" s="395"/>
      <c r="W2016" s="395">
        <f t="shared" si="1030"/>
        <v>9.4122599999999998</v>
      </c>
      <c r="X2016" s="393"/>
      <c r="Y2016" s="337"/>
      <c r="Z2016" s="497"/>
      <c r="AA2016" s="544"/>
      <c r="AB2016" s="394"/>
      <c r="AC2016" s="394"/>
      <c r="AD2016" s="394"/>
      <c r="AE2016" s="394"/>
      <c r="AF2016" s="394"/>
      <c r="AG2016" s="394"/>
      <c r="AH2016" s="394"/>
      <c r="AI2016" s="394"/>
      <c r="AJ2016" s="394"/>
      <c r="AK2016" s="381"/>
      <c r="AL2016" s="408"/>
      <c r="AM2016" s="385"/>
      <c r="AN2016" s="475"/>
      <c r="AO2016" s="395"/>
      <c r="AP2016" s="395" t="e">
        <f t="shared" si="1028"/>
        <v>#DIV/0!</v>
      </c>
      <c r="AQ2016" s="393"/>
      <c r="AR2016" s="337"/>
      <c r="AS2016" s="497"/>
      <c r="AT2016" s="544"/>
      <c r="AU2016" s="394"/>
      <c r="AV2016" s="394"/>
      <c r="AW2016" s="394"/>
      <c r="AX2016" s="394"/>
      <c r="AY2016" s="394"/>
      <c r="AZ2016" s="394"/>
      <c r="BA2016" s="394"/>
      <c r="BB2016" s="394"/>
      <c r="BC2016" s="394"/>
      <c r="BD2016" s="381"/>
      <c r="BE2016" s="408"/>
      <c r="BF2016" s="385"/>
      <c r="BG2016" s="475"/>
      <c r="BH2016" s="395"/>
      <c r="BI2016" s="395" t="e">
        <f t="shared" si="1029"/>
        <v>#DIV/0!</v>
      </c>
    </row>
    <row r="2017" spans="1:61" s="358" customFormat="1" ht="19.2" x14ac:dyDescent="0.3">
      <c r="A2017" s="359" t="s">
        <v>2154</v>
      </c>
      <c r="B2017" s="537" t="s">
        <v>635</v>
      </c>
      <c r="C2017" s="546" t="s">
        <v>512</v>
      </c>
      <c r="D2017" s="360">
        <v>0.4</v>
      </c>
      <c r="E2017" s="393"/>
      <c r="F2017" s="337">
        <v>1</v>
      </c>
      <c r="G2017" s="497"/>
      <c r="H2017" s="544">
        <v>14.094519999999999</v>
      </c>
      <c r="I2017" s="394">
        <v>12.18022</v>
      </c>
      <c r="J2017" s="394">
        <v>10.45834</v>
      </c>
      <c r="K2017" s="394"/>
      <c r="L2017" s="394"/>
      <c r="M2017" s="394">
        <v>0</v>
      </c>
      <c r="N2017" s="394">
        <v>0</v>
      </c>
      <c r="O2017" s="394">
        <v>0.44627</v>
      </c>
      <c r="P2017" s="394">
        <v>10.45834</v>
      </c>
      <c r="Q2017" s="394"/>
      <c r="R2017" s="381" t="s">
        <v>167</v>
      </c>
      <c r="S2017" s="408" t="s">
        <v>175</v>
      </c>
      <c r="T2017" s="385"/>
      <c r="U2017" s="475">
        <v>937</v>
      </c>
      <c r="V2017" s="395"/>
      <c r="W2017" s="395">
        <f t="shared" si="1030"/>
        <v>14.094519999999999</v>
      </c>
      <c r="X2017" s="393"/>
      <c r="Y2017" s="337"/>
      <c r="Z2017" s="497"/>
      <c r="AA2017" s="544"/>
      <c r="AB2017" s="394"/>
      <c r="AC2017" s="394"/>
      <c r="AD2017" s="394"/>
      <c r="AE2017" s="394"/>
      <c r="AF2017" s="394"/>
      <c r="AG2017" s="394"/>
      <c r="AH2017" s="394"/>
      <c r="AI2017" s="394"/>
      <c r="AJ2017" s="394"/>
      <c r="AK2017" s="381"/>
      <c r="AL2017" s="408"/>
      <c r="AM2017" s="385"/>
      <c r="AN2017" s="475"/>
      <c r="AO2017" s="395"/>
      <c r="AP2017" s="395" t="e">
        <f t="shared" si="1028"/>
        <v>#DIV/0!</v>
      </c>
      <c r="AQ2017" s="393"/>
      <c r="AR2017" s="337"/>
      <c r="AS2017" s="497"/>
      <c r="AT2017" s="544"/>
      <c r="AU2017" s="394"/>
      <c r="AV2017" s="394"/>
      <c r="AW2017" s="394"/>
      <c r="AX2017" s="394"/>
      <c r="AY2017" s="394"/>
      <c r="AZ2017" s="394"/>
      <c r="BA2017" s="394"/>
      <c r="BB2017" s="394"/>
      <c r="BC2017" s="394"/>
      <c r="BD2017" s="381"/>
      <c r="BE2017" s="408"/>
      <c r="BF2017" s="385"/>
      <c r="BG2017" s="475"/>
      <c r="BH2017" s="395"/>
      <c r="BI2017" s="395" t="e">
        <f t="shared" si="1029"/>
        <v>#DIV/0!</v>
      </c>
    </row>
    <row r="2018" spans="1:61" s="358" customFormat="1" ht="19.2" x14ac:dyDescent="0.3">
      <c r="A2018" s="359" t="s">
        <v>2139</v>
      </c>
      <c r="B2018" s="537" t="s">
        <v>1753</v>
      </c>
      <c r="C2018" s="546" t="s">
        <v>1188</v>
      </c>
      <c r="D2018" s="360">
        <v>0.4</v>
      </c>
      <c r="E2018" s="393"/>
      <c r="F2018" s="337">
        <v>1</v>
      </c>
      <c r="G2018" s="497"/>
      <c r="H2018" s="544">
        <v>14.0945</v>
      </c>
      <c r="I2018" s="394">
        <v>12.18022</v>
      </c>
      <c r="J2018" s="394">
        <v>10.45833</v>
      </c>
      <c r="K2018" s="394"/>
      <c r="L2018" s="394"/>
      <c r="M2018" s="394">
        <v>0</v>
      </c>
      <c r="N2018" s="394">
        <v>0</v>
      </c>
      <c r="O2018" s="394">
        <v>0.44627</v>
      </c>
      <c r="P2018" s="394">
        <v>10.45833</v>
      </c>
      <c r="Q2018" s="394"/>
      <c r="R2018" s="381" t="s">
        <v>167</v>
      </c>
      <c r="S2018" s="408" t="s">
        <v>175</v>
      </c>
      <c r="T2018" s="385"/>
      <c r="U2018" s="475">
        <v>938</v>
      </c>
      <c r="V2018" s="395"/>
      <c r="W2018" s="395">
        <f t="shared" si="1030"/>
        <v>14.0945</v>
      </c>
      <c r="X2018" s="393"/>
      <c r="Y2018" s="337"/>
      <c r="Z2018" s="497"/>
      <c r="AA2018" s="544"/>
      <c r="AB2018" s="394"/>
      <c r="AC2018" s="394"/>
      <c r="AD2018" s="394"/>
      <c r="AE2018" s="394"/>
      <c r="AF2018" s="394"/>
      <c r="AG2018" s="394"/>
      <c r="AH2018" s="394"/>
      <c r="AI2018" s="394"/>
      <c r="AJ2018" s="394"/>
      <c r="AK2018" s="381"/>
      <c r="AL2018" s="408"/>
      <c r="AM2018" s="385"/>
      <c r="AN2018" s="475"/>
      <c r="AO2018" s="395"/>
      <c r="AP2018" s="395" t="e">
        <f t="shared" si="1028"/>
        <v>#DIV/0!</v>
      </c>
      <c r="AQ2018" s="393"/>
      <c r="AR2018" s="337"/>
      <c r="AS2018" s="497"/>
      <c r="AT2018" s="544"/>
      <c r="AU2018" s="394"/>
      <c r="AV2018" s="394"/>
      <c r="AW2018" s="394"/>
      <c r="AX2018" s="394"/>
      <c r="AY2018" s="394"/>
      <c r="AZ2018" s="394"/>
      <c r="BA2018" s="394"/>
      <c r="BB2018" s="394"/>
      <c r="BC2018" s="394"/>
      <c r="BD2018" s="381"/>
      <c r="BE2018" s="408"/>
      <c r="BF2018" s="385"/>
      <c r="BG2018" s="475"/>
      <c r="BH2018" s="395"/>
      <c r="BI2018" s="395" t="e">
        <f t="shared" si="1029"/>
        <v>#DIV/0!</v>
      </c>
    </row>
    <row r="2019" spans="1:61" s="358" customFormat="1" ht="19.2" x14ac:dyDescent="0.3">
      <c r="A2019" s="359" t="s">
        <v>2156</v>
      </c>
      <c r="B2019" s="537" t="s">
        <v>1754</v>
      </c>
      <c r="C2019" s="546" t="s">
        <v>1189</v>
      </c>
      <c r="D2019" s="360">
        <v>0.4</v>
      </c>
      <c r="E2019" s="393"/>
      <c r="F2019" s="337">
        <v>1</v>
      </c>
      <c r="G2019" s="497"/>
      <c r="H2019" s="544">
        <v>14.0945</v>
      </c>
      <c r="I2019" s="394">
        <v>12.18022</v>
      </c>
      <c r="J2019" s="394">
        <v>10.45833</v>
      </c>
      <c r="K2019" s="394"/>
      <c r="L2019" s="394"/>
      <c r="M2019" s="394">
        <v>0</v>
      </c>
      <c r="N2019" s="394">
        <v>0</v>
      </c>
      <c r="O2019" s="394">
        <v>0.44627</v>
      </c>
      <c r="P2019" s="394">
        <v>10.45833</v>
      </c>
      <c r="Q2019" s="394"/>
      <c r="R2019" s="381" t="s">
        <v>167</v>
      </c>
      <c r="S2019" s="408" t="s">
        <v>175</v>
      </c>
      <c r="T2019" s="385"/>
      <c r="U2019" s="475">
        <v>939</v>
      </c>
      <c r="V2019" s="395"/>
      <c r="W2019" s="395">
        <f t="shared" si="1030"/>
        <v>14.0945</v>
      </c>
      <c r="X2019" s="393"/>
      <c r="Y2019" s="337"/>
      <c r="Z2019" s="497"/>
      <c r="AA2019" s="544"/>
      <c r="AB2019" s="394"/>
      <c r="AC2019" s="394"/>
      <c r="AD2019" s="394"/>
      <c r="AE2019" s="394"/>
      <c r="AF2019" s="394"/>
      <c r="AG2019" s="394"/>
      <c r="AH2019" s="394"/>
      <c r="AI2019" s="394"/>
      <c r="AJ2019" s="394"/>
      <c r="AK2019" s="381"/>
      <c r="AL2019" s="408"/>
      <c r="AM2019" s="385"/>
      <c r="AN2019" s="475"/>
      <c r="AO2019" s="395"/>
      <c r="AP2019" s="395" t="e">
        <f t="shared" si="1028"/>
        <v>#DIV/0!</v>
      </c>
      <c r="AQ2019" s="393"/>
      <c r="AR2019" s="337"/>
      <c r="AS2019" s="497"/>
      <c r="AT2019" s="544"/>
      <c r="AU2019" s="394"/>
      <c r="AV2019" s="394"/>
      <c r="AW2019" s="394"/>
      <c r="AX2019" s="394"/>
      <c r="AY2019" s="394"/>
      <c r="AZ2019" s="394"/>
      <c r="BA2019" s="394"/>
      <c r="BB2019" s="394"/>
      <c r="BC2019" s="394"/>
      <c r="BD2019" s="381"/>
      <c r="BE2019" s="408"/>
      <c r="BF2019" s="385"/>
      <c r="BG2019" s="475"/>
      <c r="BH2019" s="395"/>
      <c r="BI2019" s="395" t="e">
        <f t="shared" si="1029"/>
        <v>#DIV/0!</v>
      </c>
    </row>
    <row r="2020" spans="1:61" s="358" customFormat="1" ht="19.2" x14ac:dyDescent="0.3">
      <c r="A2020" s="359" t="s">
        <v>2157</v>
      </c>
      <c r="B2020" s="537" t="s">
        <v>1755</v>
      </c>
      <c r="C2020" s="546" t="s">
        <v>1190</v>
      </c>
      <c r="D2020" s="360">
        <v>0.4</v>
      </c>
      <c r="E2020" s="393"/>
      <c r="F2020" s="337">
        <v>1</v>
      </c>
      <c r="G2020" s="497"/>
      <c r="H2020" s="544">
        <v>14.0945</v>
      </c>
      <c r="I2020" s="394">
        <v>12.18022</v>
      </c>
      <c r="J2020" s="394">
        <v>10.45833</v>
      </c>
      <c r="K2020" s="394"/>
      <c r="L2020" s="394"/>
      <c r="M2020" s="394">
        <v>0</v>
      </c>
      <c r="N2020" s="394">
        <v>0</v>
      </c>
      <c r="O2020" s="394">
        <v>0.44627</v>
      </c>
      <c r="P2020" s="394">
        <v>10.45833</v>
      </c>
      <c r="Q2020" s="394"/>
      <c r="R2020" s="381" t="s">
        <v>167</v>
      </c>
      <c r="S2020" s="408" t="s">
        <v>175</v>
      </c>
      <c r="T2020" s="385"/>
      <c r="U2020" s="475">
        <v>940</v>
      </c>
      <c r="V2020" s="395"/>
      <c r="W2020" s="395">
        <f t="shared" si="1030"/>
        <v>14.0945</v>
      </c>
      <c r="X2020" s="393"/>
      <c r="Y2020" s="337"/>
      <c r="Z2020" s="497"/>
      <c r="AA2020" s="544"/>
      <c r="AB2020" s="394"/>
      <c r="AC2020" s="394"/>
      <c r="AD2020" s="394"/>
      <c r="AE2020" s="394"/>
      <c r="AF2020" s="394"/>
      <c r="AG2020" s="394"/>
      <c r="AH2020" s="394"/>
      <c r="AI2020" s="394"/>
      <c r="AJ2020" s="394"/>
      <c r="AK2020" s="381"/>
      <c r="AL2020" s="408"/>
      <c r="AM2020" s="385"/>
      <c r="AN2020" s="475"/>
      <c r="AO2020" s="395"/>
      <c r="AP2020" s="395" t="e">
        <f t="shared" si="1028"/>
        <v>#DIV/0!</v>
      </c>
      <c r="AQ2020" s="393"/>
      <c r="AR2020" s="337"/>
      <c r="AS2020" s="497"/>
      <c r="AT2020" s="544"/>
      <c r="AU2020" s="394"/>
      <c r="AV2020" s="394"/>
      <c r="AW2020" s="394"/>
      <c r="AX2020" s="394"/>
      <c r="AY2020" s="394"/>
      <c r="AZ2020" s="394"/>
      <c r="BA2020" s="394"/>
      <c r="BB2020" s="394"/>
      <c r="BC2020" s="394"/>
      <c r="BD2020" s="381"/>
      <c r="BE2020" s="408"/>
      <c r="BF2020" s="385"/>
      <c r="BG2020" s="475"/>
      <c r="BH2020" s="395"/>
      <c r="BI2020" s="395" t="e">
        <f t="shared" si="1029"/>
        <v>#DIV/0!</v>
      </c>
    </row>
    <row r="2021" spans="1:61" s="358" customFormat="1" ht="19.2" x14ac:dyDescent="0.3">
      <c r="A2021" s="359" t="s">
        <v>2158</v>
      </c>
      <c r="B2021" s="537" t="s">
        <v>1756</v>
      </c>
      <c r="C2021" s="546" t="s">
        <v>1191</v>
      </c>
      <c r="D2021" s="360">
        <v>0.4</v>
      </c>
      <c r="E2021" s="393"/>
      <c r="F2021" s="337">
        <v>1</v>
      </c>
      <c r="G2021" s="497"/>
      <c r="H2021" s="544">
        <v>14.0945</v>
      </c>
      <c r="I2021" s="394">
        <v>12.18022</v>
      </c>
      <c r="J2021" s="394">
        <v>10.45833</v>
      </c>
      <c r="K2021" s="394"/>
      <c r="L2021" s="394"/>
      <c r="M2021" s="394">
        <v>0</v>
      </c>
      <c r="N2021" s="394">
        <v>0</v>
      </c>
      <c r="O2021" s="394">
        <v>0.44627</v>
      </c>
      <c r="P2021" s="394">
        <v>10.45833</v>
      </c>
      <c r="Q2021" s="394"/>
      <c r="R2021" s="381" t="s">
        <v>167</v>
      </c>
      <c r="S2021" s="408" t="s">
        <v>175</v>
      </c>
      <c r="T2021" s="385"/>
      <c r="U2021" s="475">
        <v>941</v>
      </c>
      <c r="V2021" s="395"/>
      <c r="W2021" s="395">
        <f t="shared" si="1030"/>
        <v>14.0945</v>
      </c>
      <c r="X2021" s="393"/>
      <c r="Y2021" s="337"/>
      <c r="Z2021" s="497"/>
      <c r="AA2021" s="544"/>
      <c r="AB2021" s="394"/>
      <c r="AC2021" s="394"/>
      <c r="AD2021" s="394"/>
      <c r="AE2021" s="394"/>
      <c r="AF2021" s="394"/>
      <c r="AG2021" s="394"/>
      <c r="AH2021" s="394"/>
      <c r="AI2021" s="394"/>
      <c r="AJ2021" s="394"/>
      <c r="AK2021" s="381"/>
      <c r="AL2021" s="408"/>
      <c r="AM2021" s="385"/>
      <c r="AN2021" s="475"/>
      <c r="AO2021" s="395"/>
      <c r="AP2021" s="395" t="e">
        <f t="shared" si="1028"/>
        <v>#DIV/0!</v>
      </c>
      <c r="AQ2021" s="393"/>
      <c r="AR2021" s="337"/>
      <c r="AS2021" s="497"/>
      <c r="AT2021" s="544"/>
      <c r="AU2021" s="394"/>
      <c r="AV2021" s="394"/>
      <c r="AW2021" s="394"/>
      <c r="AX2021" s="394"/>
      <c r="AY2021" s="394"/>
      <c r="AZ2021" s="394"/>
      <c r="BA2021" s="394"/>
      <c r="BB2021" s="394"/>
      <c r="BC2021" s="394"/>
      <c r="BD2021" s="381"/>
      <c r="BE2021" s="408"/>
      <c r="BF2021" s="385"/>
      <c r="BG2021" s="475"/>
      <c r="BH2021" s="395"/>
      <c r="BI2021" s="395" t="e">
        <f t="shared" si="1029"/>
        <v>#DIV/0!</v>
      </c>
    </row>
    <row r="2022" spans="1:61" s="358" customFormat="1" ht="19.2" x14ac:dyDescent="0.3">
      <c r="A2022" s="359" t="s">
        <v>2159</v>
      </c>
      <c r="B2022" s="537" t="s">
        <v>1757</v>
      </c>
      <c r="C2022" s="546" t="s">
        <v>1192</v>
      </c>
      <c r="D2022" s="360">
        <v>0.4</v>
      </c>
      <c r="E2022" s="393"/>
      <c r="F2022" s="337">
        <v>1</v>
      </c>
      <c r="G2022" s="497"/>
      <c r="H2022" s="544">
        <v>14.0945</v>
      </c>
      <c r="I2022" s="394">
        <v>12.18022</v>
      </c>
      <c r="J2022" s="394">
        <v>10.45833</v>
      </c>
      <c r="K2022" s="394"/>
      <c r="L2022" s="394"/>
      <c r="M2022" s="394">
        <v>0</v>
      </c>
      <c r="N2022" s="394">
        <v>0</v>
      </c>
      <c r="O2022" s="394">
        <v>0.44627</v>
      </c>
      <c r="P2022" s="394">
        <v>10.45833</v>
      </c>
      <c r="Q2022" s="394"/>
      <c r="R2022" s="381" t="s">
        <v>167</v>
      </c>
      <c r="S2022" s="408" t="s">
        <v>175</v>
      </c>
      <c r="T2022" s="385"/>
      <c r="U2022" s="475">
        <v>942</v>
      </c>
      <c r="V2022" s="395"/>
      <c r="W2022" s="395">
        <f t="shared" si="1030"/>
        <v>14.0945</v>
      </c>
      <c r="X2022" s="393"/>
      <c r="Y2022" s="337"/>
      <c r="Z2022" s="497"/>
      <c r="AA2022" s="544"/>
      <c r="AB2022" s="394"/>
      <c r="AC2022" s="394"/>
      <c r="AD2022" s="394"/>
      <c r="AE2022" s="394"/>
      <c r="AF2022" s="394"/>
      <c r="AG2022" s="394"/>
      <c r="AH2022" s="394"/>
      <c r="AI2022" s="394"/>
      <c r="AJ2022" s="394"/>
      <c r="AK2022" s="381"/>
      <c r="AL2022" s="408"/>
      <c r="AM2022" s="385"/>
      <c r="AN2022" s="475"/>
      <c r="AO2022" s="395"/>
      <c r="AP2022" s="395" t="e">
        <f t="shared" si="1028"/>
        <v>#DIV/0!</v>
      </c>
      <c r="AQ2022" s="393"/>
      <c r="AR2022" s="337"/>
      <c r="AS2022" s="497"/>
      <c r="AT2022" s="544"/>
      <c r="AU2022" s="394"/>
      <c r="AV2022" s="394"/>
      <c r="AW2022" s="394"/>
      <c r="AX2022" s="394"/>
      <c r="AY2022" s="394"/>
      <c r="AZ2022" s="394"/>
      <c r="BA2022" s="394"/>
      <c r="BB2022" s="394"/>
      <c r="BC2022" s="394"/>
      <c r="BD2022" s="381"/>
      <c r="BE2022" s="408"/>
      <c r="BF2022" s="385"/>
      <c r="BG2022" s="475"/>
      <c r="BH2022" s="395"/>
      <c r="BI2022" s="395" t="e">
        <f t="shared" si="1029"/>
        <v>#DIV/0!</v>
      </c>
    </row>
    <row r="2023" spans="1:61" s="358" customFormat="1" ht="19.2" x14ac:dyDescent="0.3">
      <c r="A2023" s="359" t="s">
        <v>2160</v>
      </c>
      <c r="B2023" s="537" t="s">
        <v>1758</v>
      </c>
      <c r="C2023" s="546" t="s">
        <v>1193</v>
      </c>
      <c r="D2023" s="360">
        <v>0.4</v>
      </c>
      <c r="E2023" s="393"/>
      <c r="F2023" s="337">
        <v>1</v>
      </c>
      <c r="G2023" s="497"/>
      <c r="H2023" s="544">
        <v>14.0945</v>
      </c>
      <c r="I2023" s="394">
        <v>12.18022</v>
      </c>
      <c r="J2023" s="394">
        <v>10.45833</v>
      </c>
      <c r="K2023" s="394"/>
      <c r="L2023" s="394"/>
      <c r="M2023" s="394">
        <v>0</v>
      </c>
      <c r="N2023" s="394">
        <v>0</v>
      </c>
      <c r="O2023" s="394">
        <v>0.44627</v>
      </c>
      <c r="P2023" s="394">
        <v>10.45833</v>
      </c>
      <c r="Q2023" s="394"/>
      <c r="R2023" s="381" t="s">
        <v>167</v>
      </c>
      <c r="S2023" s="408" t="s">
        <v>175</v>
      </c>
      <c r="T2023" s="385"/>
      <c r="U2023" s="475">
        <v>943</v>
      </c>
      <c r="V2023" s="395"/>
      <c r="W2023" s="395">
        <f t="shared" si="1030"/>
        <v>14.0945</v>
      </c>
      <c r="X2023" s="393"/>
      <c r="Y2023" s="337"/>
      <c r="Z2023" s="497"/>
      <c r="AA2023" s="544"/>
      <c r="AB2023" s="394"/>
      <c r="AC2023" s="394"/>
      <c r="AD2023" s="394"/>
      <c r="AE2023" s="394"/>
      <c r="AF2023" s="394"/>
      <c r="AG2023" s="394"/>
      <c r="AH2023" s="394"/>
      <c r="AI2023" s="394"/>
      <c r="AJ2023" s="394"/>
      <c r="AK2023" s="381"/>
      <c r="AL2023" s="408"/>
      <c r="AM2023" s="385"/>
      <c r="AN2023" s="475"/>
      <c r="AO2023" s="395"/>
      <c r="AP2023" s="395" t="e">
        <f t="shared" si="1028"/>
        <v>#DIV/0!</v>
      </c>
      <c r="AQ2023" s="393"/>
      <c r="AR2023" s="337"/>
      <c r="AS2023" s="497"/>
      <c r="AT2023" s="544"/>
      <c r="AU2023" s="394"/>
      <c r="AV2023" s="394"/>
      <c r="AW2023" s="394"/>
      <c r="AX2023" s="394"/>
      <c r="AY2023" s="394"/>
      <c r="AZ2023" s="394"/>
      <c r="BA2023" s="394"/>
      <c r="BB2023" s="394"/>
      <c r="BC2023" s="394"/>
      <c r="BD2023" s="381"/>
      <c r="BE2023" s="408"/>
      <c r="BF2023" s="385"/>
      <c r="BG2023" s="475"/>
      <c r="BH2023" s="395"/>
      <c r="BI2023" s="395" t="e">
        <f t="shared" si="1029"/>
        <v>#DIV/0!</v>
      </c>
    </row>
    <row r="2024" spans="1:61" s="358" customFormat="1" ht="19.2" x14ac:dyDescent="0.3">
      <c r="A2024" s="359" t="s">
        <v>2161</v>
      </c>
      <c r="B2024" s="537" t="s">
        <v>1759</v>
      </c>
      <c r="C2024" s="546" t="s">
        <v>1194</v>
      </c>
      <c r="D2024" s="360">
        <v>0.4</v>
      </c>
      <c r="E2024" s="393"/>
      <c r="F2024" s="337">
        <v>1</v>
      </c>
      <c r="G2024" s="497"/>
      <c r="H2024" s="544">
        <v>14.0945</v>
      </c>
      <c r="I2024" s="394">
        <v>12.18022</v>
      </c>
      <c r="J2024" s="394">
        <v>10.45833</v>
      </c>
      <c r="K2024" s="394"/>
      <c r="L2024" s="394"/>
      <c r="M2024" s="394">
        <v>0</v>
      </c>
      <c r="N2024" s="394">
        <v>0</v>
      </c>
      <c r="O2024" s="394">
        <v>0.44627</v>
      </c>
      <c r="P2024" s="394">
        <v>10.45833</v>
      </c>
      <c r="Q2024" s="394"/>
      <c r="R2024" s="381" t="s">
        <v>167</v>
      </c>
      <c r="S2024" s="408" t="s">
        <v>175</v>
      </c>
      <c r="T2024" s="385"/>
      <c r="U2024" s="475">
        <v>944</v>
      </c>
      <c r="V2024" s="395"/>
      <c r="W2024" s="395">
        <f t="shared" si="1030"/>
        <v>14.0945</v>
      </c>
      <c r="X2024" s="393"/>
      <c r="Y2024" s="337"/>
      <c r="Z2024" s="497"/>
      <c r="AA2024" s="544"/>
      <c r="AB2024" s="394"/>
      <c r="AC2024" s="394"/>
      <c r="AD2024" s="394"/>
      <c r="AE2024" s="394"/>
      <c r="AF2024" s="394"/>
      <c r="AG2024" s="394"/>
      <c r="AH2024" s="394"/>
      <c r="AI2024" s="394"/>
      <c r="AJ2024" s="394"/>
      <c r="AK2024" s="381"/>
      <c r="AL2024" s="408"/>
      <c r="AM2024" s="385"/>
      <c r="AN2024" s="475"/>
      <c r="AO2024" s="395"/>
      <c r="AP2024" s="395" t="e">
        <f t="shared" si="1028"/>
        <v>#DIV/0!</v>
      </c>
      <c r="AQ2024" s="393"/>
      <c r="AR2024" s="337"/>
      <c r="AS2024" s="497"/>
      <c r="AT2024" s="544"/>
      <c r="AU2024" s="394"/>
      <c r="AV2024" s="394"/>
      <c r="AW2024" s="394"/>
      <c r="AX2024" s="394"/>
      <c r="AY2024" s="394"/>
      <c r="AZ2024" s="394"/>
      <c r="BA2024" s="394"/>
      <c r="BB2024" s="394"/>
      <c r="BC2024" s="394"/>
      <c r="BD2024" s="381"/>
      <c r="BE2024" s="408"/>
      <c r="BF2024" s="385"/>
      <c r="BG2024" s="475"/>
      <c r="BH2024" s="395"/>
      <c r="BI2024" s="395" t="e">
        <f t="shared" si="1029"/>
        <v>#DIV/0!</v>
      </c>
    </row>
    <row r="2025" spans="1:61" s="358" customFormat="1" ht="19.2" x14ac:dyDescent="0.3">
      <c r="A2025" s="359" t="s">
        <v>2162</v>
      </c>
      <c r="B2025" s="537" t="s">
        <v>1760</v>
      </c>
      <c r="C2025" s="546" t="s">
        <v>1195</v>
      </c>
      <c r="D2025" s="360">
        <v>0.4</v>
      </c>
      <c r="E2025" s="393"/>
      <c r="F2025" s="337">
        <v>1</v>
      </c>
      <c r="G2025" s="497"/>
      <c r="H2025" s="544">
        <v>14.0945</v>
      </c>
      <c r="I2025" s="394">
        <v>12.18022</v>
      </c>
      <c r="J2025" s="394">
        <v>10.45833</v>
      </c>
      <c r="K2025" s="394"/>
      <c r="L2025" s="394"/>
      <c r="M2025" s="394">
        <v>0</v>
      </c>
      <c r="N2025" s="394">
        <v>0</v>
      </c>
      <c r="O2025" s="394">
        <v>0.44627</v>
      </c>
      <c r="P2025" s="394">
        <v>10.45833</v>
      </c>
      <c r="Q2025" s="394"/>
      <c r="R2025" s="381" t="s">
        <v>167</v>
      </c>
      <c r="S2025" s="408" t="s">
        <v>175</v>
      </c>
      <c r="T2025" s="385"/>
      <c r="U2025" s="475">
        <v>945</v>
      </c>
      <c r="V2025" s="395"/>
      <c r="W2025" s="395">
        <f t="shared" si="1030"/>
        <v>14.0945</v>
      </c>
      <c r="X2025" s="393"/>
      <c r="Y2025" s="337"/>
      <c r="Z2025" s="497"/>
      <c r="AA2025" s="544"/>
      <c r="AB2025" s="394"/>
      <c r="AC2025" s="394"/>
      <c r="AD2025" s="394"/>
      <c r="AE2025" s="394"/>
      <c r="AF2025" s="394"/>
      <c r="AG2025" s="394"/>
      <c r="AH2025" s="394"/>
      <c r="AI2025" s="394"/>
      <c r="AJ2025" s="394"/>
      <c r="AK2025" s="381"/>
      <c r="AL2025" s="408"/>
      <c r="AM2025" s="385"/>
      <c r="AN2025" s="475"/>
      <c r="AO2025" s="395"/>
      <c r="AP2025" s="395" t="e">
        <f t="shared" si="1028"/>
        <v>#DIV/0!</v>
      </c>
      <c r="AQ2025" s="393"/>
      <c r="AR2025" s="337"/>
      <c r="AS2025" s="497"/>
      <c r="AT2025" s="544"/>
      <c r="AU2025" s="394"/>
      <c r="AV2025" s="394"/>
      <c r="AW2025" s="394"/>
      <c r="AX2025" s="394"/>
      <c r="AY2025" s="394"/>
      <c r="AZ2025" s="394"/>
      <c r="BA2025" s="394"/>
      <c r="BB2025" s="394"/>
      <c r="BC2025" s="394"/>
      <c r="BD2025" s="381"/>
      <c r="BE2025" s="408"/>
      <c r="BF2025" s="385"/>
      <c r="BG2025" s="475"/>
      <c r="BH2025" s="395"/>
      <c r="BI2025" s="395" t="e">
        <f t="shared" si="1029"/>
        <v>#DIV/0!</v>
      </c>
    </row>
    <row r="2026" spans="1:61" s="358" customFormat="1" ht="19.2" x14ac:dyDescent="0.3">
      <c r="A2026" s="359" t="s">
        <v>2163</v>
      </c>
      <c r="B2026" s="537" t="s">
        <v>1761</v>
      </c>
      <c r="C2026" s="546" t="s">
        <v>1196</v>
      </c>
      <c r="D2026" s="360">
        <v>0.4</v>
      </c>
      <c r="E2026" s="393"/>
      <c r="F2026" s="337">
        <v>1</v>
      </c>
      <c r="G2026" s="497"/>
      <c r="H2026" s="544">
        <v>14.0945</v>
      </c>
      <c r="I2026" s="394">
        <v>12.18022</v>
      </c>
      <c r="J2026" s="394">
        <v>10.45833</v>
      </c>
      <c r="K2026" s="394"/>
      <c r="L2026" s="394"/>
      <c r="M2026" s="394">
        <v>0</v>
      </c>
      <c r="N2026" s="394">
        <v>0</v>
      </c>
      <c r="O2026" s="394">
        <v>0.44627</v>
      </c>
      <c r="P2026" s="394">
        <v>10.45833</v>
      </c>
      <c r="Q2026" s="394"/>
      <c r="R2026" s="381" t="s">
        <v>167</v>
      </c>
      <c r="S2026" s="408" t="s">
        <v>175</v>
      </c>
      <c r="T2026" s="385"/>
      <c r="U2026" s="475">
        <v>946</v>
      </c>
      <c r="V2026" s="395"/>
      <c r="W2026" s="395">
        <f t="shared" si="1030"/>
        <v>14.0945</v>
      </c>
      <c r="X2026" s="393"/>
      <c r="Y2026" s="337"/>
      <c r="Z2026" s="497"/>
      <c r="AA2026" s="544"/>
      <c r="AB2026" s="394"/>
      <c r="AC2026" s="394"/>
      <c r="AD2026" s="394"/>
      <c r="AE2026" s="394"/>
      <c r="AF2026" s="394"/>
      <c r="AG2026" s="394"/>
      <c r="AH2026" s="394"/>
      <c r="AI2026" s="394"/>
      <c r="AJ2026" s="394"/>
      <c r="AK2026" s="381"/>
      <c r="AL2026" s="408"/>
      <c r="AM2026" s="385"/>
      <c r="AN2026" s="475"/>
      <c r="AO2026" s="395"/>
      <c r="AP2026" s="395" t="e">
        <f t="shared" si="1028"/>
        <v>#DIV/0!</v>
      </c>
      <c r="AQ2026" s="393"/>
      <c r="AR2026" s="337"/>
      <c r="AS2026" s="497"/>
      <c r="AT2026" s="544"/>
      <c r="AU2026" s="394"/>
      <c r="AV2026" s="394"/>
      <c r="AW2026" s="394"/>
      <c r="AX2026" s="394"/>
      <c r="AY2026" s="394"/>
      <c r="AZ2026" s="394"/>
      <c r="BA2026" s="394"/>
      <c r="BB2026" s="394"/>
      <c r="BC2026" s="394"/>
      <c r="BD2026" s="381"/>
      <c r="BE2026" s="408"/>
      <c r="BF2026" s="385"/>
      <c r="BG2026" s="475"/>
      <c r="BH2026" s="395"/>
      <c r="BI2026" s="395" t="e">
        <f t="shared" si="1029"/>
        <v>#DIV/0!</v>
      </c>
    </row>
    <row r="2027" spans="1:61" s="358" customFormat="1" ht="19.2" x14ac:dyDescent="0.3">
      <c r="A2027" s="359" t="s">
        <v>2180</v>
      </c>
      <c r="B2027" s="537" t="s">
        <v>1762</v>
      </c>
      <c r="C2027" s="546" t="s">
        <v>1197</v>
      </c>
      <c r="D2027" s="360">
        <v>0.4</v>
      </c>
      <c r="E2027" s="393"/>
      <c r="F2027" s="337">
        <v>1</v>
      </c>
      <c r="G2027" s="497"/>
      <c r="H2027" s="544">
        <v>14.0945</v>
      </c>
      <c r="I2027" s="394">
        <v>12.18022</v>
      </c>
      <c r="J2027" s="394">
        <v>10.45833</v>
      </c>
      <c r="K2027" s="394"/>
      <c r="L2027" s="394"/>
      <c r="M2027" s="394">
        <v>0</v>
      </c>
      <c r="N2027" s="394">
        <v>0</v>
      </c>
      <c r="O2027" s="394">
        <v>0.44627</v>
      </c>
      <c r="P2027" s="394">
        <v>10.45833</v>
      </c>
      <c r="Q2027" s="394"/>
      <c r="R2027" s="381" t="s">
        <v>167</v>
      </c>
      <c r="S2027" s="408" t="s">
        <v>175</v>
      </c>
      <c r="T2027" s="385"/>
      <c r="U2027" s="475">
        <v>947</v>
      </c>
      <c r="V2027" s="395"/>
      <c r="W2027" s="395">
        <f t="shared" ref="W2027:W2044" si="1031">H2027/F2027</f>
        <v>14.0945</v>
      </c>
      <c r="X2027" s="393"/>
      <c r="Y2027" s="337"/>
      <c r="Z2027" s="497"/>
      <c r="AA2027" s="544"/>
      <c r="AB2027" s="394"/>
      <c r="AC2027" s="394"/>
      <c r="AD2027" s="394"/>
      <c r="AE2027" s="394"/>
      <c r="AF2027" s="394"/>
      <c r="AG2027" s="394"/>
      <c r="AH2027" s="394"/>
      <c r="AI2027" s="394"/>
      <c r="AJ2027" s="394"/>
      <c r="AK2027" s="381"/>
      <c r="AL2027" s="408"/>
      <c r="AM2027" s="385"/>
      <c r="AN2027" s="475"/>
      <c r="AO2027" s="395"/>
      <c r="AP2027" s="395" t="e">
        <f t="shared" si="1028"/>
        <v>#DIV/0!</v>
      </c>
      <c r="AQ2027" s="393"/>
      <c r="AR2027" s="337"/>
      <c r="AS2027" s="497"/>
      <c r="AT2027" s="544"/>
      <c r="AU2027" s="394"/>
      <c r="AV2027" s="394"/>
      <c r="AW2027" s="394"/>
      <c r="AX2027" s="394"/>
      <c r="AY2027" s="394"/>
      <c r="AZ2027" s="394"/>
      <c r="BA2027" s="394"/>
      <c r="BB2027" s="394"/>
      <c r="BC2027" s="394"/>
      <c r="BD2027" s="381"/>
      <c r="BE2027" s="408"/>
      <c r="BF2027" s="385"/>
      <c r="BG2027" s="475"/>
      <c r="BH2027" s="395"/>
      <c r="BI2027" s="395" t="e">
        <f t="shared" si="1029"/>
        <v>#DIV/0!</v>
      </c>
    </row>
    <row r="2028" spans="1:61" s="358" customFormat="1" ht="19.2" x14ac:dyDescent="0.3">
      <c r="A2028" s="359" t="s">
        <v>2165</v>
      </c>
      <c r="B2028" s="537" t="s">
        <v>1763</v>
      </c>
      <c r="C2028" s="546" t="s">
        <v>1198</v>
      </c>
      <c r="D2028" s="360">
        <v>0.4</v>
      </c>
      <c r="E2028" s="393"/>
      <c r="F2028" s="337">
        <v>1</v>
      </c>
      <c r="G2028" s="497"/>
      <c r="H2028" s="544">
        <v>14.0945</v>
      </c>
      <c r="I2028" s="394">
        <v>12.18022</v>
      </c>
      <c r="J2028" s="394">
        <v>10.45833</v>
      </c>
      <c r="K2028" s="394"/>
      <c r="L2028" s="394"/>
      <c r="M2028" s="394">
        <v>0</v>
      </c>
      <c r="N2028" s="394">
        <v>0</v>
      </c>
      <c r="O2028" s="394">
        <v>0.44627</v>
      </c>
      <c r="P2028" s="394">
        <v>10.45833</v>
      </c>
      <c r="Q2028" s="394"/>
      <c r="R2028" s="381" t="s">
        <v>167</v>
      </c>
      <c r="S2028" s="408" t="s">
        <v>175</v>
      </c>
      <c r="T2028" s="385"/>
      <c r="U2028" s="475">
        <v>948</v>
      </c>
      <c r="V2028" s="395"/>
      <c r="W2028" s="395">
        <f t="shared" si="1031"/>
        <v>14.0945</v>
      </c>
      <c r="X2028" s="393"/>
      <c r="Y2028" s="337"/>
      <c r="Z2028" s="497"/>
      <c r="AA2028" s="544"/>
      <c r="AB2028" s="394"/>
      <c r="AC2028" s="394"/>
      <c r="AD2028" s="394"/>
      <c r="AE2028" s="394"/>
      <c r="AF2028" s="394"/>
      <c r="AG2028" s="394"/>
      <c r="AH2028" s="394"/>
      <c r="AI2028" s="394"/>
      <c r="AJ2028" s="394"/>
      <c r="AK2028" s="381"/>
      <c r="AL2028" s="408"/>
      <c r="AM2028" s="385"/>
      <c r="AN2028" s="475"/>
      <c r="AO2028" s="395"/>
      <c r="AP2028" s="395" t="e">
        <f t="shared" si="1028"/>
        <v>#DIV/0!</v>
      </c>
      <c r="AQ2028" s="393"/>
      <c r="AR2028" s="337"/>
      <c r="AS2028" s="497"/>
      <c r="AT2028" s="544"/>
      <c r="AU2028" s="394"/>
      <c r="AV2028" s="394"/>
      <c r="AW2028" s="394"/>
      <c r="AX2028" s="394"/>
      <c r="AY2028" s="394"/>
      <c r="AZ2028" s="394"/>
      <c r="BA2028" s="394"/>
      <c r="BB2028" s="394"/>
      <c r="BC2028" s="394"/>
      <c r="BD2028" s="381"/>
      <c r="BE2028" s="408"/>
      <c r="BF2028" s="385"/>
      <c r="BG2028" s="475"/>
      <c r="BH2028" s="395"/>
      <c r="BI2028" s="395" t="e">
        <f t="shared" si="1029"/>
        <v>#DIV/0!</v>
      </c>
    </row>
    <row r="2029" spans="1:61" s="358" customFormat="1" ht="19.2" x14ac:dyDescent="0.3">
      <c r="A2029" s="359" t="s">
        <v>2166</v>
      </c>
      <c r="B2029" s="537" t="s">
        <v>558</v>
      </c>
      <c r="C2029" s="546" t="s">
        <v>423</v>
      </c>
      <c r="D2029" s="360">
        <v>0.4</v>
      </c>
      <c r="E2029" s="393"/>
      <c r="F2029" s="337">
        <v>1</v>
      </c>
      <c r="G2029" s="497"/>
      <c r="H2029" s="544">
        <v>14.09451</v>
      </c>
      <c r="I2029" s="394">
        <v>12.18022</v>
      </c>
      <c r="J2029" s="394">
        <v>10.45834</v>
      </c>
      <c r="K2029" s="394"/>
      <c r="L2029" s="394"/>
      <c r="M2029" s="394">
        <v>0</v>
      </c>
      <c r="N2029" s="394">
        <v>0</v>
      </c>
      <c r="O2029" s="394">
        <v>0.44627</v>
      </c>
      <c r="P2029" s="394">
        <v>10.45834</v>
      </c>
      <c r="Q2029" s="394"/>
      <c r="R2029" s="381" t="s">
        <v>167</v>
      </c>
      <c r="S2029" s="408" t="s">
        <v>175</v>
      </c>
      <c r="T2029" s="385"/>
      <c r="U2029" s="475">
        <v>949</v>
      </c>
      <c r="V2029" s="395"/>
      <c r="W2029" s="395">
        <f t="shared" si="1031"/>
        <v>14.09451</v>
      </c>
      <c r="X2029" s="393"/>
      <c r="Y2029" s="337"/>
      <c r="Z2029" s="497"/>
      <c r="AA2029" s="544"/>
      <c r="AB2029" s="394"/>
      <c r="AC2029" s="394"/>
      <c r="AD2029" s="394"/>
      <c r="AE2029" s="394"/>
      <c r="AF2029" s="394"/>
      <c r="AG2029" s="394"/>
      <c r="AH2029" s="394"/>
      <c r="AI2029" s="394"/>
      <c r="AJ2029" s="394"/>
      <c r="AK2029" s="381"/>
      <c r="AL2029" s="408"/>
      <c r="AM2029" s="385"/>
      <c r="AN2029" s="475"/>
      <c r="AO2029" s="395"/>
      <c r="AP2029" s="395" t="e">
        <f t="shared" si="1028"/>
        <v>#DIV/0!</v>
      </c>
      <c r="AQ2029" s="393"/>
      <c r="AR2029" s="337"/>
      <c r="AS2029" s="497"/>
      <c r="AT2029" s="544"/>
      <c r="AU2029" s="394"/>
      <c r="AV2029" s="394"/>
      <c r="AW2029" s="394"/>
      <c r="AX2029" s="394"/>
      <c r="AY2029" s="394"/>
      <c r="AZ2029" s="394"/>
      <c r="BA2029" s="394"/>
      <c r="BB2029" s="394"/>
      <c r="BC2029" s="394"/>
      <c r="BD2029" s="381"/>
      <c r="BE2029" s="408"/>
      <c r="BF2029" s="385"/>
      <c r="BG2029" s="475"/>
      <c r="BH2029" s="395"/>
      <c r="BI2029" s="395" t="e">
        <f t="shared" si="1029"/>
        <v>#DIV/0!</v>
      </c>
    </row>
    <row r="2030" spans="1:61" s="358" customFormat="1" ht="19.2" x14ac:dyDescent="0.3">
      <c r="A2030" s="359" t="s">
        <v>2167</v>
      </c>
      <c r="B2030" s="537" t="s">
        <v>634</v>
      </c>
      <c r="C2030" s="546" t="s">
        <v>510</v>
      </c>
      <c r="D2030" s="360">
        <v>0.4</v>
      </c>
      <c r="E2030" s="393"/>
      <c r="F2030" s="337">
        <v>1</v>
      </c>
      <c r="G2030" s="497"/>
      <c r="H2030" s="544">
        <v>14.0945</v>
      </c>
      <c r="I2030" s="394">
        <v>12.18022</v>
      </c>
      <c r="J2030" s="394">
        <v>10.45833</v>
      </c>
      <c r="K2030" s="394"/>
      <c r="L2030" s="394"/>
      <c r="M2030" s="394">
        <v>0</v>
      </c>
      <c r="N2030" s="394">
        <v>0</v>
      </c>
      <c r="O2030" s="394">
        <v>0.44627</v>
      </c>
      <c r="P2030" s="394">
        <v>10.45833</v>
      </c>
      <c r="Q2030" s="394"/>
      <c r="R2030" s="381" t="s">
        <v>167</v>
      </c>
      <c r="S2030" s="408" t="s">
        <v>175</v>
      </c>
      <c r="T2030" s="385"/>
      <c r="U2030" s="475">
        <v>950</v>
      </c>
      <c r="V2030" s="395"/>
      <c r="W2030" s="395">
        <f t="shared" si="1031"/>
        <v>14.0945</v>
      </c>
      <c r="X2030" s="393"/>
      <c r="Y2030" s="337"/>
      <c r="Z2030" s="497"/>
      <c r="AA2030" s="544"/>
      <c r="AB2030" s="394"/>
      <c r="AC2030" s="394"/>
      <c r="AD2030" s="394"/>
      <c r="AE2030" s="394"/>
      <c r="AF2030" s="394"/>
      <c r="AG2030" s="394"/>
      <c r="AH2030" s="394"/>
      <c r="AI2030" s="394"/>
      <c r="AJ2030" s="394"/>
      <c r="AK2030" s="381"/>
      <c r="AL2030" s="408"/>
      <c r="AM2030" s="385"/>
      <c r="AN2030" s="475"/>
      <c r="AO2030" s="395"/>
      <c r="AP2030" s="395" t="e">
        <f t="shared" si="1028"/>
        <v>#DIV/0!</v>
      </c>
      <c r="AQ2030" s="393"/>
      <c r="AR2030" s="337"/>
      <c r="AS2030" s="497"/>
      <c r="AT2030" s="544"/>
      <c r="AU2030" s="394"/>
      <c r="AV2030" s="394"/>
      <c r="AW2030" s="394"/>
      <c r="AX2030" s="394"/>
      <c r="AY2030" s="394"/>
      <c r="AZ2030" s="394"/>
      <c r="BA2030" s="394"/>
      <c r="BB2030" s="394"/>
      <c r="BC2030" s="394"/>
      <c r="BD2030" s="381"/>
      <c r="BE2030" s="408"/>
      <c r="BF2030" s="385"/>
      <c r="BG2030" s="475"/>
      <c r="BH2030" s="395"/>
      <c r="BI2030" s="395" t="e">
        <f t="shared" si="1029"/>
        <v>#DIV/0!</v>
      </c>
    </row>
    <row r="2031" spans="1:61" s="358" customFormat="1" ht="19.2" x14ac:dyDescent="0.3">
      <c r="A2031" s="359" t="s">
        <v>2184</v>
      </c>
      <c r="B2031" s="537" t="s">
        <v>1764</v>
      </c>
      <c r="C2031" s="546" t="s">
        <v>1199</v>
      </c>
      <c r="D2031" s="360">
        <v>0.4</v>
      </c>
      <c r="E2031" s="393"/>
      <c r="F2031" s="337">
        <v>1</v>
      </c>
      <c r="G2031" s="497"/>
      <c r="H2031" s="544">
        <v>14.09451</v>
      </c>
      <c r="I2031" s="394">
        <v>12.18022</v>
      </c>
      <c r="J2031" s="394">
        <v>10.45834</v>
      </c>
      <c r="K2031" s="394"/>
      <c r="L2031" s="394"/>
      <c r="M2031" s="394">
        <v>0</v>
      </c>
      <c r="N2031" s="394">
        <v>0</v>
      </c>
      <c r="O2031" s="394">
        <v>0.44627</v>
      </c>
      <c r="P2031" s="394">
        <v>10.45834</v>
      </c>
      <c r="Q2031" s="394"/>
      <c r="R2031" s="381" t="s">
        <v>167</v>
      </c>
      <c r="S2031" s="408" t="s">
        <v>175</v>
      </c>
      <c r="T2031" s="385"/>
      <c r="U2031" s="475">
        <v>951</v>
      </c>
      <c r="V2031" s="395"/>
      <c r="W2031" s="395">
        <f t="shared" si="1031"/>
        <v>14.09451</v>
      </c>
      <c r="X2031" s="393"/>
      <c r="Y2031" s="337"/>
      <c r="Z2031" s="497"/>
      <c r="AA2031" s="544"/>
      <c r="AB2031" s="394"/>
      <c r="AC2031" s="394"/>
      <c r="AD2031" s="394"/>
      <c r="AE2031" s="394"/>
      <c r="AF2031" s="394"/>
      <c r="AG2031" s="394"/>
      <c r="AH2031" s="394"/>
      <c r="AI2031" s="394"/>
      <c r="AJ2031" s="394"/>
      <c r="AK2031" s="381"/>
      <c r="AL2031" s="408"/>
      <c r="AM2031" s="385"/>
      <c r="AN2031" s="475"/>
      <c r="AO2031" s="395"/>
      <c r="AP2031" s="395" t="e">
        <f t="shared" si="1028"/>
        <v>#DIV/0!</v>
      </c>
      <c r="AQ2031" s="393"/>
      <c r="AR2031" s="337"/>
      <c r="AS2031" s="497"/>
      <c r="AT2031" s="544"/>
      <c r="AU2031" s="394"/>
      <c r="AV2031" s="394"/>
      <c r="AW2031" s="394"/>
      <c r="AX2031" s="394"/>
      <c r="AY2031" s="394"/>
      <c r="AZ2031" s="394"/>
      <c r="BA2031" s="394"/>
      <c r="BB2031" s="394"/>
      <c r="BC2031" s="394"/>
      <c r="BD2031" s="381"/>
      <c r="BE2031" s="408"/>
      <c r="BF2031" s="385"/>
      <c r="BG2031" s="475"/>
      <c r="BH2031" s="395"/>
      <c r="BI2031" s="395" t="e">
        <f t="shared" si="1029"/>
        <v>#DIV/0!</v>
      </c>
    </row>
    <row r="2032" spans="1:61" s="358" customFormat="1" ht="19.2" x14ac:dyDescent="0.3">
      <c r="A2032" s="359" t="s">
        <v>2169</v>
      </c>
      <c r="B2032" s="537" t="s">
        <v>1765</v>
      </c>
      <c r="C2032" s="546" t="s">
        <v>1200</v>
      </c>
      <c r="D2032" s="360">
        <v>0.4</v>
      </c>
      <c r="E2032" s="393"/>
      <c r="F2032" s="337">
        <v>1</v>
      </c>
      <c r="G2032" s="497"/>
      <c r="H2032" s="544">
        <v>14.0945</v>
      </c>
      <c r="I2032" s="394">
        <v>12.18022</v>
      </c>
      <c r="J2032" s="394">
        <v>10.45833</v>
      </c>
      <c r="K2032" s="394"/>
      <c r="L2032" s="394"/>
      <c r="M2032" s="394">
        <v>0</v>
      </c>
      <c r="N2032" s="394">
        <v>0</v>
      </c>
      <c r="O2032" s="394">
        <v>0.44627</v>
      </c>
      <c r="P2032" s="394">
        <v>10.45833</v>
      </c>
      <c r="Q2032" s="394"/>
      <c r="R2032" s="381" t="s">
        <v>167</v>
      </c>
      <c r="S2032" s="408" t="s">
        <v>175</v>
      </c>
      <c r="T2032" s="385"/>
      <c r="U2032" s="475">
        <v>952</v>
      </c>
      <c r="V2032" s="395"/>
      <c r="W2032" s="395">
        <f t="shared" si="1031"/>
        <v>14.0945</v>
      </c>
      <c r="X2032" s="393"/>
      <c r="Y2032" s="337"/>
      <c r="Z2032" s="497"/>
      <c r="AA2032" s="544"/>
      <c r="AB2032" s="394"/>
      <c r="AC2032" s="394"/>
      <c r="AD2032" s="394"/>
      <c r="AE2032" s="394"/>
      <c r="AF2032" s="394"/>
      <c r="AG2032" s="394"/>
      <c r="AH2032" s="394"/>
      <c r="AI2032" s="394"/>
      <c r="AJ2032" s="394"/>
      <c r="AK2032" s="381"/>
      <c r="AL2032" s="408"/>
      <c r="AM2032" s="385"/>
      <c r="AN2032" s="475"/>
      <c r="AO2032" s="395"/>
      <c r="AP2032" s="395" t="e">
        <f t="shared" si="1028"/>
        <v>#DIV/0!</v>
      </c>
      <c r="AQ2032" s="393"/>
      <c r="AR2032" s="337"/>
      <c r="AS2032" s="497"/>
      <c r="AT2032" s="544"/>
      <c r="AU2032" s="394"/>
      <c r="AV2032" s="394"/>
      <c r="AW2032" s="394"/>
      <c r="AX2032" s="394"/>
      <c r="AY2032" s="394"/>
      <c r="AZ2032" s="394"/>
      <c r="BA2032" s="394"/>
      <c r="BB2032" s="394"/>
      <c r="BC2032" s="394"/>
      <c r="BD2032" s="381"/>
      <c r="BE2032" s="408"/>
      <c r="BF2032" s="385"/>
      <c r="BG2032" s="475"/>
      <c r="BH2032" s="395"/>
      <c r="BI2032" s="395" t="e">
        <f t="shared" si="1029"/>
        <v>#DIV/0!</v>
      </c>
    </row>
    <row r="2033" spans="1:61" s="358" customFormat="1" ht="19.2" x14ac:dyDescent="0.3">
      <c r="A2033" s="359" t="s">
        <v>2170</v>
      </c>
      <c r="B2033" s="537" t="s">
        <v>1766</v>
      </c>
      <c r="C2033" s="546" t="s">
        <v>1201</v>
      </c>
      <c r="D2033" s="360">
        <v>0.4</v>
      </c>
      <c r="E2033" s="393"/>
      <c r="F2033" s="337">
        <v>1</v>
      </c>
      <c r="G2033" s="497"/>
      <c r="H2033" s="544">
        <v>14.094519999999999</v>
      </c>
      <c r="I2033" s="394">
        <v>12.18022</v>
      </c>
      <c r="J2033" s="394">
        <v>10.45834</v>
      </c>
      <c r="K2033" s="394"/>
      <c r="L2033" s="394"/>
      <c r="M2033" s="394">
        <v>0</v>
      </c>
      <c r="N2033" s="394">
        <v>0</v>
      </c>
      <c r="O2033" s="394">
        <v>0.44627</v>
      </c>
      <c r="P2033" s="394">
        <v>10.45834</v>
      </c>
      <c r="Q2033" s="394"/>
      <c r="R2033" s="381" t="s">
        <v>167</v>
      </c>
      <c r="S2033" s="408" t="s">
        <v>175</v>
      </c>
      <c r="T2033" s="385"/>
      <c r="U2033" s="475">
        <v>953</v>
      </c>
      <c r="V2033" s="395"/>
      <c r="W2033" s="395">
        <f t="shared" si="1031"/>
        <v>14.094519999999999</v>
      </c>
      <c r="X2033" s="393"/>
      <c r="Y2033" s="337"/>
      <c r="Z2033" s="497"/>
      <c r="AA2033" s="544"/>
      <c r="AB2033" s="394"/>
      <c r="AC2033" s="394"/>
      <c r="AD2033" s="394"/>
      <c r="AE2033" s="394"/>
      <c r="AF2033" s="394"/>
      <c r="AG2033" s="394"/>
      <c r="AH2033" s="394"/>
      <c r="AI2033" s="394"/>
      <c r="AJ2033" s="394"/>
      <c r="AK2033" s="381"/>
      <c r="AL2033" s="408"/>
      <c r="AM2033" s="385"/>
      <c r="AN2033" s="475"/>
      <c r="AO2033" s="395"/>
      <c r="AP2033" s="395" t="e">
        <f t="shared" si="1028"/>
        <v>#DIV/0!</v>
      </c>
      <c r="AQ2033" s="393"/>
      <c r="AR2033" s="337"/>
      <c r="AS2033" s="497"/>
      <c r="AT2033" s="544"/>
      <c r="AU2033" s="394"/>
      <c r="AV2033" s="394"/>
      <c r="AW2033" s="394"/>
      <c r="AX2033" s="394"/>
      <c r="AY2033" s="394"/>
      <c r="AZ2033" s="394"/>
      <c r="BA2033" s="394"/>
      <c r="BB2033" s="394"/>
      <c r="BC2033" s="394"/>
      <c r="BD2033" s="381"/>
      <c r="BE2033" s="408"/>
      <c r="BF2033" s="385"/>
      <c r="BG2033" s="475"/>
      <c r="BH2033" s="395"/>
      <c r="BI2033" s="395" t="e">
        <f t="shared" si="1029"/>
        <v>#DIV/0!</v>
      </c>
    </row>
    <row r="2034" spans="1:61" s="358" customFormat="1" ht="19.2" x14ac:dyDescent="0.3">
      <c r="A2034" s="359" t="s">
        <v>2155</v>
      </c>
      <c r="B2034" s="537" t="s">
        <v>654</v>
      </c>
      <c r="C2034" s="546" t="s">
        <v>534</v>
      </c>
      <c r="D2034" s="360">
        <v>0.4</v>
      </c>
      <c r="E2034" s="393"/>
      <c r="F2034" s="337">
        <v>1</v>
      </c>
      <c r="G2034" s="497"/>
      <c r="H2034" s="544">
        <v>14.0945</v>
      </c>
      <c r="I2034" s="394">
        <v>12.18022</v>
      </c>
      <c r="J2034" s="394">
        <v>10.45833</v>
      </c>
      <c r="K2034" s="394"/>
      <c r="L2034" s="394"/>
      <c r="M2034" s="394">
        <v>0</v>
      </c>
      <c r="N2034" s="394">
        <v>0</v>
      </c>
      <c r="O2034" s="394">
        <v>0.44627</v>
      </c>
      <c r="P2034" s="394">
        <v>10.45833</v>
      </c>
      <c r="Q2034" s="394"/>
      <c r="R2034" s="381" t="s">
        <v>167</v>
      </c>
      <c r="S2034" s="408" t="s">
        <v>175</v>
      </c>
      <c r="T2034" s="385"/>
      <c r="U2034" s="475">
        <v>954</v>
      </c>
      <c r="V2034" s="395"/>
      <c r="W2034" s="395">
        <f t="shared" si="1031"/>
        <v>14.0945</v>
      </c>
      <c r="X2034" s="393"/>
      <c r="Y2034" s="337"/>
      <c r="Z2034" s="497"/>
      <c r="AA2034" s="544"/>
      <c r="AB2034" s="394"/>
      <c r="AC2034" s="394"/>
      <c r="AD2034" s="394"/>
      <c r="AE2034" s="394"/>
      <c r="AF2034" s="394"/>
      <c r="AG2034" s="394"/>
      <c r="AH2034" s="394"/>
      <c r="AI2034" s="394"/>
      <c r="AJ2034" s="394"/>
      <c r="AK2034" s="381"/>
      <c r="AL2034" s="408"/>
      <c r="AM2034" s="385"/>
      <c r="AN2034" s="475"/>
      <c r="AO2034" s="395"/>
      <c r="AP2034" s="395" t="e">
        <f t="shared" si="1028"/>
        <v>#DIV/0!</v>
      </c>
      <c r="AQ2034" s="393"/>
      <c r="AR2034" s="337"/>
      <c r="AS2034" s="497"/>
      <c r="AT2034" s="544"/>
      <c r="AU2034" s="394"/>
      <c r="AV2034" s="394"/>
      <c r="AW2034" s="394"/>
      <c r="AX2034" s="394"/>
      <c r="AY2034" s="394"/>
      <c r="AZ2034" s="394"/>
      <c r="BA2034" s="394"/>
      <c r="BB2034" s="394"/>
      <c r="BC2034" s="394"/>
      <c r="BD2034" s="381"/>
      <c r="BE2034" s="408"/>
      <c r="BF2034" s="385"/>
      <c r="BG2034" s="475"/>
      <c r="BH2034" s="395"/>
      <c r="BI2034" s="395" t="e">
        <f t="shared" si="1029"/>
        <v>#DIV/0!</v>
      </c>
    </row>
    <row r="2035" spans="1:61" s="358" customFormat="1" ht="19.2" x14ac:dyDescent="0.3">
      <c r="A2035" s="359" t="s">
        <v>2172</v>
      </c>
      <c r="B2035" s="537" t="s">
        <v>1767</v>
      </c>
      <c r="C2035" s="546" t="s">
        <v>1202</v>
      </c>
      <c r="D2035" s="360">
        <v>0.4</v>
      </c>
      <c r="E2035" s="393"/>
      <c r="F2035" s="337">
        <v>1</v>
      </c>
      <c r="G2035" s="497"/>
      <c r="H2035" s="544">
        <v>14.094519999999999</v>
      </c>
      <c r="I2035" s="394">
        <v>12.18022</v>
      </c>
      <c r="J2035" s="394">
        <v>10.45834</v>
      </c>
      <c r="K2035" s="394"/>
      <c r="L2035" s="394"/>
      <c r="M2035" s="394">
        <v>0</v>
      </c>
      <c r="N2035" s="394">
        <v>0</v>
      </c>
      <c r="O2035" s="394">
        <v>0.44627</v>
      </c>
      <c r="P2035" s="394">
        <v>10.45834</v>
      </c>
      <c r="Q2035" s="394"/>
      <c r="R2035" s="381" t="s">
        <v>167</v>
      </c>
      <c r="S2035" s="408" t="s">
        <v>175</v>
      </c>
      <c r="T2035" s="385"/>
      <c r="U2035" s="475">
        <v>955</v>
      </c>
      <c r="V2035" s="395"/>
      <c r="W2035" s="395">
        <f>H2035/F2035</f>
        <v>14.094519999999999</v>
      </c>
      <c r="X2035" s="393"/>
      <c r="Y2035" s="337"/>
      <c r="Z2035" s="497"/>
      <c r="AA2035" s="544"/>
      <c r="AB2035" s="394"/>
      <c r="AC2035" s="394"/>
      <c r="AD2035" s="394"/>
      <c r="AE2035" s="394"/>
      <c r="AF2035" s="394"/>
      <c r="AG2035" s="394"/>
      <c r="AH2035" s="394"/>
      <c r="AI2035" s="394"/>
      <c r="AJ2035" s="394"/>
      <c r="AK2035" s="381"/>
      <c r="AL2035" s="408"/>
      <c r="AM2035" s="385"/>
      <c r="AN2035" s="475"/>
      <c r="AO2035" s="395"/>
      <c r="AP2035" s="395" t="e">
        <f t="shared" si="1028"/>
        <v>#DIV/0!</v>
      </c>
      <c r="AQ2035" s="393"/>
      <c r="AR2035" s="337"/>
      <c r="AS2035" s="497"/>
      <c r="AT2035" s="544"/>
      <c r="AU2035" s="394"/>
      <c r="AV2035" s="394"/>
      <c r="AW2035" s="394"/>
      <c r="AX2035" s="394"/>
      <c r="AY2035" s="394"/>
      <c r="AZ2035" s="394"/>
      <c r="BA2035" s="394"/>
      <c r="BB2035" s="394"/>
      <c r="BC2035" s="394"/>
      <c r="BD2035" s="381"/>
      <c r="BE2035" s="408"/>
      <c r="BF2035" s="385"/>
      <c r="BG2035" s="475"/>
      <c r="BH2035" s="395"/>
      <c r="BI2035" s="395" t="e">
        <f t="shared" si="1029"/>
        <v>#DIV/0!</v>
      </c>
    </row>
    <row r="2036" spans="1:61" s="358" customFormat="1" ht="19.2" x14ac:dyDescent="0.3">
      <c r="A2036" s="359" t="s">
        <v>2173</v>
      </c>
      <c r="B2036" s="537" t="s">
        <v>1768</v>
      </c>
      <c r="C2036" s="546" t="s">
        <v>1203</v>
      </c>
      <c r="D2036" s="360">
        <v>0.4</v>
      </c>
      <c r="E2036" s="393"/>
      <c r="F2036" s="337">
        <v>1</v>
      </c>
      <c r="G2036" s="497"/>
      <c r="H2036" s="544">
        <v>14.0945</v>
      </c>
      <c r="I2036" s="394">
        <v>12.18022</v>
      </c>
      <c r="J2036" s="394">
        <v>10.45833</v>
      </c>
      <c r="K2036" s="394"/>
      <c r="L2036" s="394"/>
      <c r="M2036" s="394">
        <v>0</v>
      </c>
      <c r="N2036" s="394">
        <v>0</v>
      </c>
      <c r="O2036" s="394">
        <v>0.44627</v>
      </c>
      <c r="P2036" s="394">
        <v>10.45833</v>
      </c>
      <c r="Q2036" s="394"/>
      <c r="R2036" s="381" t="s">
        <v>167</v>
      </c>
      <c r="S2036" s="408" t="s">
        <v>175</v>
      </c>
      <c r="T2036" s="385"/>
      <c r="U2036" s="475">
        <v>956</v>
      </c>
      <c r="V2036" s="395"/>
      <c r="W2036" s="395">
        <f t="shared" si="1031"/>
        <v>14.0945</v>
      </c>
      <c r="X2036" s="393"/>
      <c r="Y2036" s="337"/>
      <c r="Z2036" s="497"/>
      <c r="AA2036" s="544"/>
      <c r="AB2036" s="394"/>
      <c r="AC2036" s="394"/>
      <c r="AD2036" s="394"/>
      <c r="AE2036" s="394"/>
      <c r="AF2036" s="394"/>
      <c r="AG2036" s="394"/>
      <c r="AH2036" s="394"/>
      <c r="AI2036" s="394"/>
      <c r="AJ2036" s="394"/>
      <c r="AK2036" s="381"/>
      <c r="AL2036" s="408"/>
      <c r="AM2036" s="385"/>
      <c r="AN2036" s="475"/>
      <c r="AO2036" s="395"/>
      <c r="AP2036" s="395" t="e">
        <f t="shared" si="1028"/>
        <v>#DIV/0!</v>
      </c>
      <c r="AQ2036" s="393"/>
      <c r="AR2036" s="337"/>
      <c r="AS2036" s="497"/>
      <c r="AT2036" s="544"/>
      <c r="AU2036" s="394"/>
      <c r="AV2036" s="394"/>
      <c r="AW2036" s="394"/>
      <c r="AX2036" s="394"/>
      <c r="AY2036" s="394"/>
      <c r="AZ2036" s="394"/>
      <c r="BA2036" s="394"/>
      <c r="BB2036" s="394"/>
      <c r="BC2036" s="394"/>
      <c r="BD2036" s="381"/>
      <c r="BE2036" s="408"/>
      <c r="BF2036" s="385"/>
      <c r="BG2036" s="475"/>
      <c r="BH2036" s="395"/>
      <c r="BI2036" s="395" t="e">
        <f t="shared" si="1029"/>
        <v>#DIV/0!</v>
      </c>
    </row>
    <row r="2037" spans="1:61" s="358" customFormat="1" ht="19.2" x14ac:dyDescent="0.3">
      <c r="A2037" s="359" t="s">
        <v>2174</v>
      </c>
      <c r="B2037" s="537" t="s">
        <v>1769</v>
      </c>
      <c r="C2037" s="546" t="s">
        <v>1204</v>
      </c>
      <c r="D2037" s="360">
        <v>0.4</v>
      </c>
      <c r="E2037" s="393"/>
      <c r="F2037" s="337">
        <v>1</v>
      </c>
      <c r="G2037" s="497"/>
      <c r="H2037" s="544">
        <v>14.0945</v>
      </c>
      <c r="I2037" s="394">
        <v>12.18022</v>
      </c>
      <c r="J2037" s="394">
        <v>10.45833</v>
      </c>
      <c r="K2037" s="394"/>
      <c r="L2037" s="394"/>
      <c r="M2037" s="394">
        <v>0</v>
      </c>
      <c r="N2037" s="394">
        <v>0</v>
      </c>
      <c r="O2037" s="394">
        <v>0.44627</v>
      </c>
      <c r="P2037" s="394">
        <v>10.45833</v>
      </c>
      <c r="Q2037" s="394"/>
      <c r="R2037" s="381" t="s">
        <v>167</v>
      </c>
      <c r="S2037" s="408" t="s">
        <v>175</v>
      </c>
      <c r="T2037" s="385"/>
      <c r="U2037" s="475">
        <v>957</v>
      </c>
      <c r="V2037" s="395"/>
      <c r="W2037" s="395">
        <f t="shared" si="1031"/>
        <v>14.0945</v>
      </c>
      <c r="X2037" s="393"/>
      <c r="Y2037" s="337"/>
      <c r="Z2037" s="497"/>
      <c r="AA2037" s="544"/>
      <c r="AB2037" s="394"/>
      <c r="AC2037" s="394"/>
      <c r="AD2037" s="394"/>
      <c r="AE2037" s="394"/>
      <c r="AF2037" s="394"/>
      <c r="AG2037" s="394"/>
      <c r="AH2037" s="394"/>
      <c r="AI2037" s="394"/>
      <c r="AJ2037" s="394"/>
      <c r="AK2037" s="381"/>
      <c r="AL2037" s="408"/>
      <c r="AM2037" s="385"/>
      <c r="AN2037" s="475"/>
      <c r="AO2037" s="395"/>
      <c r="AP2037" s="395" t="e">
        <f t="shared" si="1028"/>
        <v>#DIV/0!</v>
      </c>
      <c r="AQ2037" s="393"/>
      <c r="AR2037" s="337"/>
      <c r="AS2037" s="497"/>
      <c r="AT2037" s="544"/>
      <c r="AU2037" s="394"/>
      <c r="AV2037" s="394"/>
      <c r="AW2037" s="394"/>
      <c r="AX2037" s="394"/>
      <c r="AY2037" s="394"/>
      <c r="AZ2037" s="394"/>
      <c r="BA2037" s="394"/>
      <c r="BB2037" s="394"/>
      <c r="BC2037" s="394"/>
      <c r="BD2037" s="381"/>
      <c r="BE2037" s="408"/>
      <c r="BF2037" s="385"/>
      <c r="BG2037" s="475"/>
      <c r="BH2037" s="395"/>
      <c r="BI2037" s="395" t="e">
        <f t="shared" si="1029"/>
        <v>#DIV/0!</v>
      </c>
    </row>
    <row r="2038" spans="1:61" s="358" customFormat="1" ht="19.2" x14ac:dyDescent="0.3">
      <c r="A2038" s="359" t="s">
        <v>2175</v>
      </c>
      <c r="B2038" s="537" t="s">
        <v>1770</v>
      </c>
      <c r="C2038" s="546" t="s">
        <v>1205</v>
      </c>
      <c r="D2038" s="360">
        <v>0.4</v>
      </c>
      <c r="E2038" s="393"/>
      <c r="F2038" s="337">
        <v>1</v>
      </c>
      <c r="G2038" s="497"/>
      <c r="H2038" s="544">
        <v>14.094519999999999</v>
      </c>
      <c r="I2038" s="394">
        <v>12.18022</v>
      </c>
      <c r="J2038" s="394">
        <v>10.45834</v>
      </c>
      <c r="K2038" s="394"/>
      <c r="L2038" s="394"/>
      <c r="M2038" s="394">
        <v>0</v>
      </c>
      <c r="N2038" s="394">
        <v>0</v>
      </c>
      <c r="O2038" s="394">
        <v>0.44627</v>
      </c>
      <c r="P2038" s="394">
        <v>10.45834</v>
      </c>
      <c r="Q2038" s="394"/>
      <c r="R2038" s="381" t="s">
        <v>167</v>
      </c>
      <c r="S2038" s="408" t="s">
        <v>175</v>
      </c>
      <c r="T2038" s="385"/>
      <c r="U2038" s="475">
        <v>958</v>
      </c>
      <c r="V2038" s="395"/>
      <c r="W2038" s="395">
        <f t="shared" si="1031"/>
        <v>14.094519999999999</v>
      </c>
      <c r="X2038" s="393"/>
      <c r="Y2038" s="337"/>
      <c r="Z2038" s="497"/>
      <c r="AA2038" s="544"/>
      <c r="AB2038" s="394"/>
      <c r="AC2038" s="394"/>
      <c r="AD2038" s="394"/>
      <c r="AE2038" s="394"/>
      <c r="AF2038" s="394"/>
      <c r="AG2038" s="394"/>
      <c r="AH2038" s="394"/>
      <c r="AI2038" s="394"/>
      <c r="AJ2038" s="394"/>
      <c r="AK2038" s="381"/>
      <c r="AL2038" s="408"/>
      <c r="AM2038" s="385"/>
      <c r="AN2038" s="475"/>
      <c r="AO2038" s="395"/>
      <c r="AP2038" s="395" t="e">
        <f t="shared" si="1028"/>
        <v>#DIV/0!</v>
      </c>
      <c r="AQ2038" s="393"/>
      <c r="AR2038" s="337"/>
      <c r="AS2038" s="497"/>
      <c r="AT2038" s="544"/>
      <c r="AU2038" s="394"/>
      <c r="AV2038" s="394"/>
      <c r="AW2038" s="394"/>
      <c r="AX2038" s="394"/>
      <c r="AY2038" s="394"/>
      <c r="AZ2038" s="394"/>
      <c r="BA2038" s="394"/>
      <c r="BB2038" s="394"/>
      <c r="BC2038" s="394"/>
      <c r="BD2038" s="381"/>
      <c r="BE2038" s="408"/>
      <c r="BF2038" s="385"/>
      <c r="BG2038" s="475"/>
      <c r="BH2038" s="395"/>
      <c r="BI2038" s="395" t="e">
        <f t="shared" si="1029"/>
        <v>#DIV/0!</v>
      </c>
    </row>
    <row r="2039" spans="1:61" s="358" customFormat="1" ht="19.2" x14ac:dyDescent="0.3">
      <c r="A2039" s="359" t="s">
        <v>2176</v>
      </c>
      <c r="B2039" s="537" t="s">
        <v>1771</v>
      </c>
      <c r="C2039" s="546" t="s">
        <v>1206</v>
      </c>
      <c r="D2039" s="360">
        <v>0.4</v>
      </c>
      <c r="E2039" s="393"/>
      <c r="F2039" s="337">
        <v>1</v>
      </c>
      <c r="G2039" s="497"/>
      <c r="H2039" s="544">
        <v>14.0945</v>
      </c>
      <c r="I2039" s="394">
        <v>12.18022</v>
      </c>
      <c r="J2039" s="394">
        <v>10.45833</v>
      </c>
      <c r="K2039" s="394"/>
      <c r="L2039" s="394"/>
      <c r="M2039" s="394">
        <v>0</v>
      </c>
      <c r="N2039" s="394">
        <v>0</v>
      </c>
      <c r="O2039" s="394">
        <v>0.44627</v>
      </c>
      <c r="P2039" s="394">
        <v>10.45833</v>
      </c>
      <c r="Q2039" s="394"/>
      <c r="R2039" s="381" t="s">
        <v>167</v>
      </c>
      <c r="S2039" s="408" t="s">
        <v>175</v>
      </c>
      <c r="T2039" s="385"/>
      <c r="U2039" s="475">
        <v>959</v>
      </c>
      <c r="V2039" s="395"/>
      <c r="W2039" s="395">
        <f t="shared" si="1031"/>
        <v>14.0945</v>
      </c>
      <c r="X2039" s="393"/>
      <c r="Y2039" s="337"/>
      <c r="Z2039" s="497"/>
      <c r="AA2039" s="544"/>
      <c r="AB2039" s="394"/>
      <c r="AC2039" s="394"/>
      <c r="AD2039" s="394"/>
      <c r="AE2039" s="394"/>
      <c r="AF2039" s="394"/>
      <c r="AG2039" s="394"/>
      <c r="AH2039" s="394"/>
      <c r="AI2039" s="394"/>
      <c r="AJ2039" s="394"/>
      <c r="AK2039" s="381"/>
      <c r="AL2039" s="408"/>
      <c r="AM2039" s="385"/>
      <c r="AN2039" s="475"/>
      <c r="AO2039" s="395"/>
      <c r="AP2039" s="395" t="e">
        <f t="shared" si="1028"/>
        <v>#DIV/0!</v>
      </c>
      <c r="AQ2039" s="393"/>
      <c r="AR2039" s="337"/>
      <c r="AS2039" s="497"/>
      <c r="AT2039" s="544"/>
      <c r="AU2039" s="394"/>
      <c r="AV2039" s="394"/>
      <c r="AW2039" s="394"/>
      <c r="AX2039" s="394"/>
      <c r="AY2039" s="394"/>
      <c r="AZ2039" s="394"/>
      <c r="BA2039" s="394"/>
      <c r="BB2039" s="394"/>
      <c r="BC2039" s="394"/>
      <c r="BD2039" s="381"/>
      <c r="BE2039" s="408"/>
      <c r="BF2039" s="385"/>
      <c r="BG2039" s="475"/>
      <c r="BH2039" s="395"/>
      <c r="BI2039" s="395" t="e">
        <f t="shared" si="1029"/>
        <v>#DIV/0!</v>
      </c>
    </row>
    <row r="2040" spans="1:61" s="358" customFormat="1" ht="19.2" x14ac:dyDescent="0.3">
      <c r="A2040" s="359" t="s">
        <v>2177</v>
      </c>
      <c r="B2040" s="537" t="s">
        <v>1772</v>
      </c>
      <c r="C2040" s="546" t="s">
        <v>1207</v>
      </c>
      <c r="D2040" s="360">
        <v>0.4</v>
      </c>
      <c r="E2040" s="393"/>
      <c r="F2040" s="337">
        <v>1</v>
      </c>
      <c r="G2040" s="497"/>
      <c r="H2040" s="544">
        <v>14.094519999999999</v>
      </c>
      <c r="I2040" s="394">
        <v>12.18022</v>
      </c>
      <c r="J2040" s="394">
        <v>10.45834</v>
      </c>
      <c r="K2040" s="394"/>
      <c r="L2040" s="394"/>
      <c r="M2040" s="394">
        <v>0</v>
      </c>
      <c r="N2040" s="394">
        <v>0</v>
      </c>
      <c r="O2040" s="394">
        <v>0.44627</v>
      </c>
      <c r="P2040" s="394">
        <v>10.45834</v>
      </c>
      <c r="Q2040" s="394"/>
      <c r="R2040" s="381" t="s">
        <v>167</v>
      </c>
      <c r="S2040" s="408" t="s">
        <v>175</v>
      </c>
      <c r="T2040" s="385"/>
      <c r="U2040" s="475">
        <v>960</v>
      </c>
      <c r="V2040" s="395"/>
      <c r="W2040" s="395">
        <f t="shared" si="1031"/>
        <v>14.094519999999999</v>
      </c>
      <c r="X2040" s="393"/>
      <c r="Y2040" s="337"/>
      <c r="Z2040" s="497"/>
      <c r="AA2040" s="544"/>
      <c r="AB2040" s="394"/>
      <c r="AC2040" s="394"/>
      <c r="AD2040" s="394"/>
      <c r="AE2040" s="394"/>
      <c r="AF2040" s="394"/>
      <c r="AG2040" s="394"/>
      <c r="AH2040" s="394"/>
      <c r="AI2040" s="394"/>
      <c r="AJ2040" s="394"/>
      <c r="AK2040" s="381"/>
      <c r="AL2040" s="408"/>
      <c r="AM2040" s="385"/>
      <c r="AN2040" s="475"/>
      <c r="AO2040" s="395"/>
      <c r="AP2040" s="395" t="e">
        <f t="shared" si="1028"/>
        <v>#DIV/0!</v>
      </c>
      <c r="AQ2040" s="393"/>
      <c r="AR2040" s="337"/>
      <c r="AS2040" s="497"/>
      <c r="AT2040" s="544"/>
      <c r="AU2040" s="394"/>
      <c r="AV2040" s="394"/>
      <c r="AW2040" s="394"/>
      <c r="AX2040" s="394"/>
      <c r="AY2040" s="394"/>
      <c r="AZ2040" s="394"/>
      <c r="BA2040" s="394"/>
      <c r="BB2040" s="394"/>
      <c r="BC2040" s="394"/>
      <c r="BD2040" s="381"/>
      <c r="BE2040" s="408"/>
      <c r="BF2040" s="385"/>
      <c r="BG2040" s="475"/>
      <c r="BH2040" s="395"/>
      <c r="BI2040" s="395" t="e">
        <f t="shared" si="1029"/>
        <v>#DIV/0!</v>
      </c>
    </row>
    <row r="2041" spans="1:61" s="358" customFormat="1" ht="19.2" x14ac:dyDescent="0.3">
      <c r="A2041" s="359" t="s">
        <v>2178</v>
      </c>
      <c r="B2041" s="537" t="s">
        <v>1773</v>
      </c>
      <c r="C2041" s="546" t="s">
        <v>1208</v>
      </c>
      <c r="D2041" s="360">
        <v>0.4</v>
      </c>
      <c r="E2041" s="393"/>
      <c r="F2041" s="337">
        <v>1</v>
      </c>
      <c r="G2041" s="497"/>
      <c r="H2041" s="544">
        <v>14.0945</v>
      </c>
      <c r="I2041" s="394">
        <v>12.18022</v>
      </c>
      <c r="J2041" s="394">
        <v>10.45833</v>
      </c>
      <c r="K2041" s="394"/>
      <c r="L2041" s="394"/>
      <c r="M2041" s="394">
        <v>0</v>
      </c>
      <c r="N2041" s="394">
        <v>0</v>
      </c>
      <c r="O2041" s="394">
        <v>0.44627</v>
      </c>
      <c r="P2041" s="394">
        <v>10.45833</v>
      </c>
      <c r="Q2041" s="394"/>
      <c r="R2041" s="381" t="s">
        <v>167</v>
      </c>
      <c r="S2041" s="408" t="s">
        <v>175</v>
      </c>
      <c r="T2041" s="385"/>
      <c r="U2041" s="475">
        <v>961</v>
      </c>
      <c r="V2041" s="395"/>
      <c r="W2041" s="395">
        <f t="shared" si="1031"/>
        <v>14.0945</v>
      </c>
      <c r="X2041" s="393"/>
      <c r="Y2041" s="337"/>
      <c r="Z2041" s="497"/>
      <c r="AA2041" s="544"/>
      <c r="AB2041" s="394"/>
      <c r="AC2041" s="394"/>
      <c r="AD2041" s="394"/>
      <c r="AE2041" s="394"/>
      <c r="AF2041" s="394"/>
      <c r="AG2041" s="394"/>
      <c r="AH2041" s="394"/>
      <c r="AI2041" s="394"/>
      <c r="AJ2041" s="394"/>
      <c r="AK2041" s="381"/>
      <c r="AL2041" s="408"/>
      <c r="AM2041" s="385"/>
      <c r="AN2041" s="475"/>
      <c r="AO2041" s="395"/>
      <c r="AP2041" s="395" t="e">
        <f t="shared" si="1028"/>
        <v>#DIV/0!</v>
      </c>
      <c r="AQ2041" s="393"/>
      <c r="AR2041" s="337"/>
      <c r="AS2041" s="497"/>
      <c r="AT2041" s="544"/>
      <c r="AU2041" s="394"/>
      <c r="AV2041" s="394"/>
      <c r="AW2041" s="394"/>
      <c r="AX2041" s="394"/>
      <c r="AY2041" s="394"/>
      <c r="AZ2041" s="394"/>
      <c r="BA2041" s="394"/>
      <c r="BB2041" s="394"/>
      <c r="BC2041" s="394"/>
      <c r="BD2041" s="381"/>
      <c r="BE2041" s="408"/>
      <c r="BF2041" s="385"/>
      <c r="BG2041" s="475"/>
      <c r="BH2041" s="395"/>
      <c r="BI2041" s="395" t="e">
        <f t="shared" si="1029"/>
        <v>#DIV/0!</v>
      </c>
    </row>
    <row r="2042" spans="1:61" s="358" customFormat="1" ht="19.2" x14ac:dyDescent="0.3">
      <c r="A2042" s="359" t="s">
        <v>2179</v>
      </c>
      <c r="B2042" s="537" t="s">
        <v>651</v>
      </c>
      <c r="C2042" s="546" t="s">
        <v>530</v>
      </c>
      <c r="D2042" s="360">
        <v>0.4</v>
      </c>
      <c r="E2042" s="393"/>
      <c r="F2042" s="337">
        <v>1</v>
      </c>
      <c r="G2042" s="497"/>
      <c r="H2042" s="544">
        <v>14.094519999999999</v>
      </c>
      <c r="I2042" s="394">
        <v>12.18022</v>
      </c>
      <c r="J2042" s="394">
        <v>10.45834</v>
      </c>
      <c r="K2042" s="394"/>
      <c r="L2042" s="394"/>
      <c r="M2042" s="394">
        <v>0</v>
      </c>
      <c r="N2042" s="394">
        <v>0</v>
      </c>
      <c r="O2042" s="394">
        <v>0.44627</v>
      </c>
      <c r="P2042" s="394">
        <v>10.45834</v>
      </c>
      <c r="Q2042" s="394"/>
      <c r="R2042" s="381" t="s">
        <v>167</v>
      </c>
      <c r="S2042" s="408" t="s">
        <v>175</v>
      </c>
      <c r="T2042" s="385"/>
      <c r="U2042" s="475">
        <v>962</v>
      </c>
      <c r="V2042" s="395"/>
      <c r="W2042" s="395">
        <f t="shared" si="1031"/>
        <v>14.094519999999999</v>
      </c>
      <c r="X2042" s="393"/>
      <c r="Y2042" s="337"/>
      <c r="Z2042" s="497"/>
      <c r="AA2042" s="544"/>
      <c r="AB2042" s="394"/>
      <c r="AC2042" s="394"/>
      <c r="AD2042" s="394"/>
      <c r="AE2042" s="394"/>
      <c r="AF2042" s="394"/>
      <c r="AG2042" s="394"/>
      <c r="AH2042" s="394"/>
      <c r="AI2042" s="394"/>
      <c r="AJ2042" s="394"/>
      <c r="AK2042" s="381"/>
      <c r="AL2042" s="408"/>
      <c r="AM2042" s="385"/>
      <c r="AN2042" s="475"/>
      <c r="AO2042" s="395"/>
      <c r="AP2042" s="395" t="e">
        <f t="shared" si="1028"/>
        <v>#DIV/0!</v>
      </c>
      <c r="AQ2042" s="393"/>
      <c r="AR2042" s="337"/>
      <c r="AS2042" s="497"/>
      <c r="AT2042" s="544"/>
      <c r="AU2042" s="394"/>
      <c r="AV2042" s="394"/>
      <c r="AW2042" s="394"/>
      <c r="AX2042" s="394"/>
      <c r="AY2042" s="394"/>
      <c r="AZ2042" s="394"/>
      <c r="BA2042" s="394"/>
      <c r="BB2042" s="394"/>
      <c r="BC2042" s="394"/>
      <c r="BD2042" s="381"/>
      <c r="BE2042" s="408"/>
      <c r="BF2042" s="385"/>
      <c r="BG2042" s="475"/>
      <c r="BH2042" s="395"/>
      <c r="BI2042" s="395" t="e">
        <f t="shared" si="1029"/>
        <v>#DIV/0!</v>
      </c>
    </row>
    <row r="2043" spans="1:61" s="358" customFormat="1" ht="19.2" x14ac:dyDescent="0.3">
      <c r="A2043" s="359" t="s">
        <v>2196</v>
      </c>
      <c r="B2043" s="537" t="s">
        <v>649</v>
      </c>
      <c r="C2043" s="546" t="s">
        <v>527</v>
      </c>
      <c r="D2043" s="360">
        <v>0.4</v>
      </c>
      <c r="E2043" s="393"/>
      <c r="F2043" s="337">
        <v>1</v>
      </c>
      <c r="G2043" s="497"/>
      <c r="H2043" s="544">
        <v>14.0945</v>
      </c>
      <c r="I2043" s="394">
        <v>12.18022</v>
      </c>
      <c r="J2043" s="394">
        <v>10.45833</v>
      </c>
      <c r="K2043" s="394"/>
      <c r="L2043" s="394"/>
      <c r="M2043" s="394">
        <v>0</v>
      </c>
      <c r="N2043" s="394">
        <v>0</v>
      </c>
      <c r="O2043" s="394">
        <v>0.44627</v>
      </c>
      <c r="P2043" s="394">
        <v>10.45833</v>
      </c>
      <c r="Q2043" s="394"/>
      <c r="R2043" s="381" t="s">
        <v>167</v>
      </c>
      <c r="S2043" s="408" t="s">
        <v>175</v>
      </c>
      <c r="T2043" s="385"/>
      <c r="U2043" s="475">
        <v>963</v>
      </c>
      <c r="V2043" s="395"/>
      <c r="W2043" s="395">
        <f t="shared" si="1031"/>
        <v>14.0945</v>
      </c>
      <c r="X2043" s="393"/>
      <c r="Y2043" s="337"/>
      <c r="Z2043" s="497"/>
      <c r="AA2043" s="544"/>
      <c r="AB2043" s="394"/>
      <c r="AC2043" s="394"/>
      <c r="AD2043" s="394"/>
      <c r="AE2043" s="394"/>
      <c r="AF2043" s="394"/>
      <c r="AG2043" s="394"/>
      <c r="AH2043" s="394"/>
      <c r="AI2043" s="394"/>
      <c r="AJ2043" s="394"/>
      <c r="AK2043" s="381"/>
      <c r="AL2043" s="408"/>
      <c r="AM2043" s="385"/>
      <c r="AN2043" s="475"/>
      <c r="AO2043" s="395"/>
      <c r="AP2043" s="395" t="e">
        <f t="shared" si="1028"/>
        <v>#DIV/0!</v>
      </c>
      <c r="AQ2043" s="393"/>
      <c r="AR2043" s="337"/>
      <c r="AS2043" s="497"/>
      <c r="AT2043" s="544"/>
      <c r="AU2043" s="394"/>
      <c r="AV2043" s="394"/>
      <c r="AW2043" s="394"/>
      <c r="AX2043" s="394"/>
      <c r="AY2043" s="394"/>
      <c r="AZ2043" s="394"/>
      <c r="BA2043" s="394"/>
      <c r="BB2043" s="394"/>
      <c r="BC2043" s="394"/>
      <c r="BD2043" s="381"/>
      <c r="BE2043" s="408"/>
      <c r="BF2043" s="385"/>
      <c r="BG2043" s="475"/>
      <c r="BH2043" s="395"/>
      <c r="BI2043" s="395" t="e">
        <f t="shared" si="1029"/>
        <v>#DIV/0!</v>
      </c>
    </row>
    <row r="2044" spans="1:61" s="358" customFormat="1" ht="19.2" x14ac:dyDescent="0.3">
      <c r="A2044" s="359" t="s">
        <v>2181</v>
      </c>
      <c r="B2044" s="537" t="s">
        <v>1774</v>
      </c>
      <c r="C2044" s="546" t="s">
        <v>1209</v>
      </c>
      <c r="D2044" s="360">
        <v>0.4</v>
      </c>
      <c r="E2044" s="393"/>
      <c r="F2044" s="337">
        <v>1</v>
      </c>
      <c r="G2044" s="497"/>
      <c r="H2044" s="544">
        <v>14.094530000000001</v>
      </c>
      <c r="I2044" s="394">
        <v>12.18022</v>
      </c>
      <c r="J2044" s="394">
        <v>10.45834</v>
      </c>
      <c r="K2044" s="394"/>
      <c r="L2044" s="394"/>
      <c r="M2044" s="394">
        <v>0</v>
      </c>
      <c r="N2044" s="394">
        <v>0</v>
      </c>
      <c r="O2044" s="394">
        <v>0.44627</v>
      </c>
      <c r="P2044" s="394">
        <v>10.45834</v>
      </c>
      <c r="Q2044" s="394"/>
      <c r="R2044" s="381" t="s">
        <v>167</v>
      </c>
      <c r="S2044" s="408" t="s">
        <v>175</v>
      </c>
      <c r="T2044" s="385"/>
      <c r="U2044" s="475">
        <v>964</v>
      </c>
      <c r="V2044" s="395"/>
      <c r="W2044" s="395">
        <f t="shared" si="1031"/>
        <v>14.094530000000001</v>
      </c>
      <c r="X2044" s="393"/>
      <c r="Y2044" s="337"/>
      <c r="Z2044" s="497"/>
      <c r="AA2044" s="544"/>
      <c r="AB2044" s="394"/>
      <c r="AC2044" s="394"/>
      <c r="AD2044" s="394"/>
      <c r="AE2044" s="394"/>
      <c r="AF2044" s="394"/>
      <c r="AG2044" s="394"/>
      <c r="AH2044" s="394"/>
      <c r="AI2044" s="394"/>
      <c r="AJ2044" s="394"/>
      <c r="AK2044" s="381"/>
      <c r="AL2044" s="408"/>
      <c r="AM2044" s="385"/>
      <c r="AN2044" s="475"/>
      <c r="AO2044" s="395"/>
      <c r="AP2044" s="395" t="e">
        <f t="shared" si="1028"/>
        <v>#DIV/0!</v>
      </c>
      <c r="AQ2044" s="393"/>
      <c r="AR2044" s="337"/>
      <c r="AS2044" s="497"/>
      <c r="AT2044" s="544"/>
      <c r="AU2044" s="394"/>
      <c r="AV2044" s="394"/>
      <c r="AW2044" s="394"/>
      <c r="AX2044" s="394"/>
      <c r="AY2044" s="394"/>
      <c r="AZ2044" s="394"/>
      <c r="BA2044" s="394"/>
      <c r="BB2044" s="394"/>
      <c r="BC2044" s="394"/>
      <c r="BD2044" s="381"/>
      <c r="BE2044" s="408"/>
      <c r="BF2044" s="385"/>
      <c r="BG2044" s="475"/>
      <c r="BH2044" s="395"/>
      <c r="BI2044" s="395" t="e">
        <f t="shared" si="1029"/>
        <v>#DIV/0!</v>
      </c>
    </row>
    <row r="2045" spans="1:61" s="358" customFormat="1" ht="19.2" x14ac:dyDescent="0.3">
      <c r="A2045" s="359" t="s">
        <v>2182</v>
      </c>
      <c r="B2045" s="537" t="s">
        <v>650</v>
      </c>
      <c r="C2045" s="546" t="s">
        <v>529</v>
      </c>
      <c r="D2045" s="360">
        <v>0.4</v>
      </c>
      <c r="E2045" s="393"/>
      <c r="F2045" s="337">
        <v>1</v>
      </c>
      <c r="G2045" s="497"/>
      <c r="H2045" s="544">
        <v>14.0945</v>
      </c>
      <c r="I2045" s="394">
        <v>12.18022</v>
      </c>
      <c r="J2045" s="394">
        <v>10.45833</v>
      </c>
      <c r="K2045" s="394"/>
      <c r="L2045" s="394"/>
      <c r="M2045" s="394">
        <v>0</v>
      </c>
      <c r="N2045" s="394">
        <v>0</v>
      </c>
      <c r="O2045" s="394">
        <v>0.44627</v>
      </c>
      <c r="P2045" s="394">
        <v>10.45833</v>
      </c>
      <c r="Q2045" s="394"/>
      <c r="R2045" s="381" t="s">
        <v>167</v>
      </c>
      <c r="S2045" s="408" t="s">
        <v>175</v>
      </c>
      <c r="T2045" s="385"/>
      <c r="U2045" s="475">
        <v>965</v>
      </c>
      <c r="V2045" s="395"/>
      <c r="W2045" s="395">
        <f t="shared" si="1027"/>
        <v>14.0945</v>
      </c>
      <c r="X2045" s="393"/>
      <c r="Y2045" s="337"/>
      <c r="Z2045" s="497"/>
      <c r="AA2045" s="544"/>
      <c r="AB2045" s="394"/>
      <c r="AC2045" s="394"/>
      <c r="AD2045" s="394"/>
      <c r="AE2045" s="394"/>
      <c r="AF2045" s="394"/>
      <c r="AG2045" s="394"/>
      <c r="AH2045" s="394"/>
      <c r="AI2045" s="394"/>
      <c r="AJ2045" s="394"/>
      <c r="AK2045" s="381"/>
      <c r="AL2045" s="408"/>
      <c r="AM2045" s="385"/>
      <c r="AN2045" s="475"/>
      <c r="AO2045" s="395"/>
      <c r="AP2045" s="395" t="e">
        <f t="shared" si="1028"/>
        <v>#DIV/0!</v>
      </c>
      <c r="AQ2045" s="393"/>
      <c r="AR2045" s="337"/>
      <c r="AS2045" s="497"/>
      <c r="AT2045" s="544"/>
      <c r="AU2045" s="394"/>
      <c r="AV2045" s="394"/>
      <c r="AW2045" s="394"/>
      <c r="AX2045" s="394"/>
      <c r="AY2045" s="394"/>
      <c r="AZ2045" s="394"/>
      <c r="BA2045" s="394"/>
      <c r="BB2045" s="394"/>
      <c r="BC2045" s="394"/>
      <c r="BD2045" s="381"/>
      <c r="BE2045" s="408"/>
      <c r="BF2045" s="385"/>
      <c r="BG2045" s="475"/>
      <c r="BH2045" s="395"/>
      <c r="BI2045" s="395" t="e">
        <f t="shared" si="1029"/>
        <v>#DIV/0!</v>
      </c>
    </row>
    <row r="2046" spans="1:61" s="358" customFormat="1" ht="19.2" x14ac:dyDescent="0.3">
      <c r="A2046" s="359" t="s">
        <v>2183</v>
      </c>
      <c r="B2046" s="537" t="s">
        <v>642</v>
      </c>
      <c r="C2046" s="546" t="s">
        <v>520</v>
      </c>
      <c r="D2046" s="360">
        <v>0.4</v>
      </c>
      <c r="E2046" s="393"/>
      <c r="F2046" s="337">
        <v>1</v>
      </c>
      <c r="G2046" s="497"/>
      <c r="H2046" s="544">
        <v>14.094530000000001</v>
      </c>
      <c r="I2046" s="394">
        <v>12.18022</v>
      </c>
      <c r="J2046" s="394">
        <v>10.45834</v>
      </c>
      <c r="K2046" s="394"/>
      <c r="L2046" s="394"/>
      <c r="M2046" s="394">
        <v>0</v>
      </c>
      <c r="N2046" s="394">
        <v>0</v>
      </c>
      <c r="O2046" s="394">
        <v>0.44627</v>
      </c>
      <c r="P2046" s="394">
        <v>10.45834</v>
      </c>
      <c r="Q2046" s="394"/>
      <c r="R2046" s="381" t="s">
        <v>167</v>
      </c>
      <c r="S2046" s="408" t="s">
        <v>175</v>
      </c>
      <c r="T2046" s="385"/>
      <c r="U2046" s="475">
        <v>966</v>
      </c>
      <c r="V2046" s="395"/>
      <c r="W2046" s="395">
        <f t="shared" si="1027"/>
        <v>14.094530000000001</v>
      </c>
      <c r="X2046" s="393"/>
      <c r="Y2046" s="337"/>
      <c r="Z2046" s="497"/>
      <c r="AA2046" s="544"/>
      <c r="AB2046" s="394"/>
      <c r="AC2046" s="394"/>
      <c r="AD2046" s="394"/>
      <c r="AE2046" s="394"/>
      <c r="AF2046" s="394"/>
      <c r="AG2046" s="394"/>
      <c r="AH2046" s="394"/>
      <c r="AI2046" s="394"/>
      <c r="AJ2046" s="394"/>
      <c r="AK2046" s="381"/>
      <c r="AL2046" s="408"/>
      <c r="AM2046" s="385"/>
      <c r="AN2046" s="475"/>
      <c r="AO2046" s="395"/>
      <c r="AP2046" s="395" t="e">
        <f t="shared" si="1028"/>
        <v>#DIV/0!</v>
      </c>
      <c r="AQ2046" s="393"/>
      <c r="AR2046" s="337"/>
      <c r="AS2046" s="497"/>
      <c r="AT2046" s="544"/>
      <c r="AU2046" s="394"/>
      <c r="AV2046" s="394"/>
      <c r="AW2046" s="394"/>
      <c r="AX2046" s="394"/>
      <c r="AY2046" s="394"/>
      <c r="AZ2046" s="394"/>
      <c r="BA2046" s="394"/>
      <c r="BB2046" s="394"/>
      <c r="BC2046" s="394"/>
      <c r="BD2046" s="381"/>
      <c r="BE2046" s="408"/>
      <c r="BF2046" s="385"/>
      <c r="BG2046" s="475"/>
      <c r="BH2046" s="395"/>
      <c r="BI2046" s="395" t="e">
        <f t="shared" si="1029"/>
        <v>#DIV/0!</v>
      </c>
    </row>
    <row r="2047" spans="1:61" s="358" customFormat="1" ht="19.2" x14ac:dyDescent="0.3">
      <c r="A2047" s="359" t="s">
        <v>2200</v>
      </c>
      <c r="B2047" s="537" t="s">
        <v>1775</v>
      </c>
      <c r="C2047" s="546" t="s">
        <v>1210</v>
      </c>
      <c r="D2047" s="360">
        <v>0.4</v>
      </c>
      <c r="E2047" s="393"/>
      <c r="F2047" s="337">
        <v>1</v>
      </c>
      <c r="G2047" s="497"/>
      <c r="H2047" s="544">
        <v>14.0945</v>
      </c>
      <c r="I2047" s="394">
        <v>12.18022</v>
      </c>
      <c r="J2047" s="394">
        <v>10.45833</v>
      </c>
      <c r="K2047" s="394"/>
      <c r="L2047" s="394"/>
      <c r="M2047" s="394">
        <v>0</v>
      </c>
      <c r="N2047" s="394">
        <v>0</v>
      </c>
      <c r="O2047" s="394">
        <v>0.44627</v>
      </c>
      <c r="P2047" s="394">
        <v>10.45833</v>
      </c>
      <c r="Q2047" s="394"/>
      <c r="R2047" s="381" t="s">
        <v>167</v>
      </c>
      <c r="S2047" s="408" t="s">
        <v>175</v>
      </c>
      <c r="T2047" s="385"/>
      <c r="U2047" s="475">
        <v>967</v>
      </c>
      <c r="V2047" s="395"/>
      <c r="W2047" s="395">
        <f t="shared" si="1027"/>
        <v>14.0945</v>
      </c>
      <c r="X2047" s="393"/>
      <c r="Y2047" s="337"/>
      <c r="Z2047" s="497"/>
      <c r="AA2047" s="544"/>
      <c r="AB2047" s="394"/>
      <c r="AC2047" s="394"/>
      <c r="AD2047" s="394"/>
      <c r="AE2047" s="394"/>
      <c r="AF2047" s="394"/>
      <c r="AG2047" s="394"/>
      <c r="AH2047" s="394"/>
      <c r="AI2047" s="394"/>
      <c r="AJ2047" s="394"/>
      <c r="AK2047" s="381"/>
      <c r="AL2047" s="408"/>
      <c r="AM2047" s="385"/>
      <c r="AN2047" s="475"/>
      <c r="AO2047" s="395"/>
      <c r="AP2047" s="395" t="e">
        <f t="shared" si="1028"/>
        <v>#DIV/0!</v>
      </c>
      <c r="AQ2047" s="393"/>
      <c r="AR2047" s="337"/>
      <c r="AS2047" s="497"/>
      <c r="AT2047" s="544"/>
      <c r="AU2047" s="394"/>
      <c r="AV2047" s="394"/>
      <c r="AW2047" s="394"/>
      <c r="AX2047" s="394"/>
      <c r="AY2047" s="394"/>
      <c r="AZ2047" s="394"/>
      <c r="BA2047" s="394"/>
      <c r="BB2047" s="394"/>
      <c r="BC2047" s="394"/>
      <c r="BD2047" s="381"/>
      <c r="BE2047" s="408"/>
      <c r="BF2047" s="385"/>
      <c r="BG2047" s="475"/>
      <c r="BH2047" s="395"/>
      <c r="BI2047" s="395" t="e">
        <f t="shared" si="1029"/>
        <v>#DIV/0!</v>
      </c>
    </row>
    <row r="2048" spans="1:61" s="358" customFormat="1" ht="19.2" x14ac:dyDescent="0.3">
      <c r="A2048" s="359" t="s">
        <v>2185</v>
      </c>
      <c r="B2048" s="537" t="s">
        <v>1776</v>
      </c>
      <c r="C2048" s="546" t="s">
        <v>1211</v>
      </c>
      <c r="D2048" s="360">
        <v>0.4</v>
      </c>
      <c r="E2048" s="393"/>
      <c r="F2048" s="337">
        <v>1</v>
      </c>
      <c r="G2048" s="497"/>
      <c r="H2048" s="544">
        <v>14.094530000000001</v>
      </c>
      <c r="I2048" s="394">
        <v>12.18022</v>
      </c>
      <c r="J2048" s="394">
        <v>10.45834</v>
      </c>
      <c r="K2048" s="394"/>
      <c r="L2048" s="394"/>
      <c r="M2048" s="394">
        <v>0</v>
      </c>
      <c r="N2048" s="394">
        <v>0</v>
      </c>
      <c r="O2048" s="394">
        <v>0.44627</v>
      </c>
      <c r="P2048" s="394">
        <v>10.45834</v>
      </c>
      <c r="Q2048" s="394"/>
      <c r="R2048" s="381" t="s">
        <v>167</v>
      </c>
      <c r="S2048" s="408" t="s">
        <v>175</v>
      </c>
      <c r="T2048" s="385"/>
      <c r="U2048" s="475">
        <v>968</v>
      </c>
      <c r="V2048" s="395"/>
      <c r="W2048" s="395">
        <f t="shared" si="1027"/>
        <v>14.094530000000001</v>
      </c>
      <c r="X2048" s="393"/>
      <c r="Y2048" s="337"/>
      <c r="Z2048" s="497"/>
      <c r="AA2048" s="544"/>
      <c r="AB2048" s="394"/>
      <c r="AC2048" s="394"/>
      <c r="AD2048" s="394"/>
      <c r="AE2048" s="394"/>
      <c r="AF2048" s="394"/>
      <c r="AG2048" s="394"/>
      <c r="AH2048" s="394"/>
      <c r="AI2048" s="394"/>
      <c r="AJ2048" s="394"/>
      <c r="AK2048" s="381"/>
      <c r="AL2048" s="408"/>
      <c r="AM2048" s="385"/>
      <c r="AN2048" s="475"/>
      <c r="AO2048" s="395"/>
      <c r="AP2048" s="395" t="e">
        <f t="shared" si="1028"/>
        <v>#DIV/0!</v>
      </c>
      <c r="AQ2048" s="393"/>
      <c r="AR2048" s="337"/>
      <c r="AS2048" s="497"/>
      <c r="AT2048" s="544"/>
      <c r="AU2048" s="394"/>
      <c r="AV2048" s="394"/>
      <c r="AW2048" s="394"/>
      <c r="AX2048" s="394"/>
      <c r="AY2048" s="394"/>
      <c r="AZ2048" s="394"/>
      <c r="BA2048" s="394"/>
      <c r="BB2048" s="394"/>
      <c r="BC2048" s="394"/>
      <c r="BD2048" s="381"/>
      <c r="BE2048" s="408"/>
      <c r="BF2048" s="385"/>
      <c r="BG2048" s="475"/>
      <c r="BH2048" s="395"/>
      <c r="BI2048" s="395" t="e">
        <f t="shared" si="1029"/>
        <v>#DIV/0!</v>
      </c>
    </row>
    <row r="2049" spans="1:61" s="358" customFormat="1" ht="19.2" x14ac:dyDescent="0.3">
      <c r="A2049" s="359" t="s">
        <v>2186</v>
      </c>
      <c r="B2049" s="537" t="s">
        <v>1777</v>
      </c>
      <c r="C2049" s="546" t="s">
        <v>1212</v>
      </c>
      <c r="D2049" s="360">
        <v>0.4</v>
      </c>
      <c r="E2049" s="393"/>
      <c r="F2049" s="337">
        <v>1</v>
      </c>
      <c r="G2049" s="497"/>
      <c r="H2049" s="544">
        <v>14.0945</v>
      </c>
      <c r="I2049" s="394">
        <v>12.18022</v>
      </c>
      <c r="J2049" s="394">
        <v>10.45833</v>
      </c>
      <c r="K2049" s="394"/>
      <c r="L2049" s="394"/>
      <c r="M2049" s="394">
        <v>0</v>
      </c>
      <c r="N2049" s="394">
        <v>0</v>
      </c>
      <c r="O2049" s="394">
        <v>0.44627</v>
      </c>
      <c r="P2049" s="394">
        <v>10.45833</v>
      </c>
      <c r="Q2049" s="394"/>
      <c r="R2049" s="381" t="s">
        <v>167</v>
      </c>
      <c r="S2049" s="408" t="s">
        <v>175</v>
      </c>
      <c r="T2049" s="385"/>
      <c r="U2049" s="475">
        <v>969</v>
      </c>
      <c r="V2049" s="395"/>
      <c r="W2049" s="395">
        <f t="shared" ref="W2049:W2085" si="1032">H2049/F2049</f>
        <v>14.0945</v>
      </c>
      <c r="X2049" s="393"/>
      <c r="Y2049" s="337"/>
      <c r="Z2049" s="497"/>
      <c r="AA2049" s="544"/>
      <c r="AB2049" s="394"/>
      <c r="AC2049" s="394"/>
      <c r="AD2049" s="394"/>
      <c r="AE2049" s="394"/>
      <c r="AF2049" s="394"/>
      <c r="AG2049" s="394"/>
      <c r="AH2049" s="394"/>
      <c r="AI2049" s="394"/>
      <c r="AJ2049" s="394"/>
      <c r="AK2049" s="381"/>
      <c r="AL2049" s="408"/>
      <c r="AM2049" s="385"/>
      <c r="AN2049" s="475"/>
      <c r="AO2049" s="395"/>
      <c r="AP2049" s="395" t="e">
        <f t="shared" si="1028"/>
        <v>#DIV/0!</v>
      </c>
      <c r="AQ2049" s="393"/>
      <c r="AR2049" s="337"/>
      <c r="AS2049" s="497"/>
      <c r="AT2049" s="544"/>
      <c r="AU2049" s="394"/>
      <c r="AV2049" s="394"/>
      <c r="AW2049" s="394"/>
      <c r="AX2049" s="394"/>
      <c r="AY2049" s="394"/>
      <c r="AZ2049" s="394"/>
      <c r="BA2049" s="394"/>
      <c r="BB2049" s="394"/>
      <c r="BC2049" s="394"/>
      <c r="BD2049" s="381"/>
      <c r="BE2049" s="408"/>
      <c r="BF2049" s="385"/>
      <c r="BG2049" s="475"/>
      <c r="BH2049" s="395"/>
      <c r="BI2049" s="395" t="e">
        <f t="shared" si="1029"/>
        <v>#DIV/0!</v>
      </c>
    </row>
    <row r="2050" spans="1:61" s="358" customFormat="1" ht="19.2" x14ac:dyDescent="0.3">
      <c r="A2050" s="359" t="s">
        <v>2171</v>
      </c>
      <c r="B2050" s="537" t="s">
        <v>1778</v>
      </c>
      <c r="C2050" s="546" t="s">
        <v>1213</v>
      </c>
      <c r="D2050" s="360">
        <v>0.4</v>
      </c>
      <c r="E2050" s="393"/>
      <c r="F2050" s="337">
        <v>1</v>
      </c>
      <c r="G2050" s="497"/>
      <c r="H2050" s="544">
        <v>14.094530000000001</v>
      </c>
      <c r="I2050" s="394">
        <v>12.18022</v>
      </c>
      <c r="J2050" s="394">
        <v>10.45834</v>
      </c>
      <c r="K2050" s="394"/>
      <c r="L2050" s="394"/>
      <c r="M2050" s="394">
        <v>0</v>
      </c>
      <c r="N2050" s="394">
        <v>0</v>
      </c>
      <c r="O2050" s="394">
        <v>0.44627</v>
      </c>
      <c r="P2050" s="394">
        <v>10.45834</v>
      </c>
      <c r="Q2050" s="394"/>
      <c r="R2050" s="381" t="s">
        <v>167</v>
      </c>
      <c r="S2050" s="408" t="s">
        <v>175</v>
      </c>
      <c r="T2050" s="385"/>
      <c r="U2050" s="475">
        <v>970</v>
      </c>
      <c r="V2050" s="395"/>
      <c r="W2050" s="395">
        <f t="shared" si="1032"/>
        <v>14.094530000000001</v>
      </c>
      <c r="X2050" s="393"/>
      <c r="Y2050" s="337"/>
      <c r="Z2050" s="497"/>
      <c r="AA2050" s="544"/>
      <c r="AB2050" s="394"/>
      <c r="AC2050" s="394"/>
      <c r="AD2050" s="394"/>
      <c r="AE2050" s="394"/>
      <c r="AF2050" s="394"/>
      <c r="AG2050" s="394"/>
      <c r="AH2050" s="394"/>
      <c r="AI2050" s="394"/>
      <c r="AJ2050" s="394"/>
      <c r="AK2050" s="381"/>
      <c r="AL2050" s="408"/>
      <c r="AM2050" s="385"/>
      <c r="AN2050" s="475"/>
      <c r="AO2050" s="395"/>
      <c r="AP2050" s="395" t="e">
        <f t="shared" si="1028"/>
        <v>#DIV/0!</v>
      </c>
      <c r="AQ2050" s="393"/>
      <c r="AR2050" s="337"/>
      <c r="AS2050" s="497"/>
      <c r="AT2050" s="544"/>
      <c r="AU2050" s="394"/>
      <c r="AV2050" s="394"/>
      <c r="AW2050" s="394"/>
      <c r="AX2050" s="394"/>
      <c r="AY2050" s="394"/>
      <c r="AZ2050" s="394"/>
      <c r="BA2050" s="394"/>
      <c r="BB2050" s="394"/>
      <c r="BC2050" s="394"/>
      <c r="BD2050" s="381"/>
      <c r="BE2050" s="408"/>
      <c r="BF2050" s="385"/>
      <c r="BG2050" s="475"/>
      <c r="BH2050" s="395"/>
      <c r="BI2050" s="395" t="e">
        <f t="shared" si="1029"/>
        <v>#DIV/0!</v>
      </c>
    </row>
    <row r="2051" spans="1:61" s="358" customFormat="1" ht="19.2" x14ac:dyDescent="0.3">
      <c r="A2051" s="359" t="s">
        <v>2188</v>
      </c>
      <c r="B2051" s="537" t="s">
        <v>1779</v>
      </c>
      <c r="C2051" s="546" t="s">
        <v>1214</v>
      </c>
      <c r="D2051" s="360">
        <v>0.4</v>
      </c>
      <c r="E2051" s="393"/>
      <c r="F2051" s="337">
        <v>1</v>
      </c>
      <c r="G2051" s="497"/>
      <c r="H2051" s="544">
        <v>14.0945</v>
      </c>
      <c r="I2051" s="394">
        <v>12.18022</v>
      </c>
      <c r="J2051" s="394">
        <v>10.45833</v>
      </c>
      <c r="K2051" s="394"/>
      <c r="L2051" s="394"/>
      <c r="M2051" s="394">
        <v>0</v>
      </c>
      <c r="N2051" s="394">
        <v>0</v>
      </c>
      <c r="O2051" s="394">
        <v>0.44627</v>
      </c>
      <c r="P2051" s="394">
        <v>10.45833</v>
      </c>
      <c r="Q2051" s="394"/>
      <c r="R2051" s="381" t="s">
        <v>167</v>
      </c>
      <c r="S2051" s="408" t="s">
        <v>175</v>
      </c>
      <c r="T2051" s="385"/>
      <c r="U2051" s="475">
        <v>971</v>
      </c>
      <c r="V2051" s="395"/>
      <c r="W2051" s="395">
        <f t="shared" si="1032"/>
        <v>14.0945</v>
      </c>
      <c r="X2051" s="393"/>
      <c r="Y2051" s="337"/>
      <c r="Z2051" s="497"/>
      <c r="AA2051" s="544"/>
      <c r="AB2051" s="394"/>
      <c r="AC2051" s="394"/>
      <c r="AD2051" s="394"/>
      <c r="AE2051" s="394"/>
      <c r="AF2051" s="394"/>
      <c r="AG2051" s="394"/>
      <c r="AH2051" s="394"/>
      <c r="AI2051" s="394"/>
      <c r="AJ2051" s="394"/>
      <c r="AK2051" s="381"/>
      <c r="AL2051" s="408"/>
      <c r="AM2051" s="385"/>
      <c r="AN2051" s="475"/>
      <c r="AO2051" s="395"/>
      <c r="AP2051" s="395" t="e">
        <f t="shared" si="1028"/>
        <v>#DIV/0!</v>
      </c>
      <c r="AQ2051" s="393"/>
      <c r="AR2051" s="337"/>
      <c r="AS2051" s="497"/>
      <c r="AT2051" s="544"/>
      <c r="AU2051" s="394"/>
      <c r="AV2051" s="394"/>
      <c r="AW2051" s="394"/>
      <c r="AX2051" s="394"/>
      <c r="AY2051" s="394"/>
      <c r="AZ2051" s="394"/>
      <c r="BA2051" s="394"/>
      <c r="BB2051" s="394"/>
      <c r="BC2051" s="394"/>
      <c r="BD2051" s="381"/>
      <c r="BE2051" s="408"/>
      <c r="BF2051" s="385"/>
      <c r="BG2051" s="475"/>
      <c r="BH2051" s="395"/>
      <c r="BI2051" s="395" t="e">
        <f t="shared" si="1029"/>
        <v>#DIV/0!</v>
      </c>
    </row>
    <row r="2052" spans="1:61" s="358" customFormat="1" ht="19.2" x14ac:dyDescent="0.3">
      <c r="A2052" s="359" t="s">
        <v>2189</v>
      </c>
      <c r="B2052" s="537" t="s">
        <v>644</v>
      </c>
      <c r="C2052" s="546" t="s">
        <v>522</v>
      </c>
      <c r="D2052" s="360">
        <v>0.4</v>
      </c>
      <c r="E2052" s="393"/>
      <c r="F2052" s="337">
        <v>1</v>
      </c>
      <c r="G2052" s="497"/>
      <c r="H2052" s="544">
        <v>14.094530000000001</v>
      </c>
      <c r="I2052" s="394">
        <v>12.18022</v>
      </c>
      <c r="J2052" s="394">
        <v>10.45834</v>
      </c>
      <c r="K2052" s="394"/>
      <c r="L2052" s="394"/>
      <c r="M2052" s="394">
        <v>0</v>
      </c>
      <c r="N2052" s="394">
        <v>0</v>
      </c>
      <c r="O2052" s="394">
        <v>0.44627</v>
      </c>
      <c r="P2052" s="394">
        <v>10.45834</v>
      </c>
      <c r="Q2052" s="394"/>
      <c r="R2052" s="381" t="s">
        <v>167</v>
      </c>
      <c r="S2052" s="408" t="s">
        <v>175</v>
      </c>
      <c r="T2052" s="385"/>
      <c r="U2052" s="475">
        <v>972</v>
      </c>
      <c r="V2052" s="395"/>
      <c r="W2052" s="395">
        <f t="shared" si="1032"/>
        <v>14.094530000000001</v>
      </c>
      <c r="X2052" s="393"/>
      <c r="Y2052" s="337"/>
      <c r="Z2052" s="497"/>
      <c r="AA2052" s="544"/>
      <c r="AB2052" s="394"/>
      <c r="AC2052" s="394"/>
      <c r="AD2052" s="394"/>
      <c r="AE2052" s="394"/>
      <c r="AF2052" s="394"/>
      <c r="AG2052" s="394"/>
      <c r="AH2052" s="394"/>
      <c r="AI2052" s="394"/>
      <c r="AJ2052" s="394"/>
      <c r="AK2052" s="381"/>
      <c r="AL2052" s="408"/>
      <c r="AM2052" s="385"/>
      <c r="AN2052" s="475"/>
      <c r="AO2052" s="395"/>
      <c r="AP2052" s="395" t="e">
        <f t="shared" si="1028"/>
        <v>#DIV/0!</v>
      </c>
      <c r="AQ2052" s="393"/>
      <c r="AR2052" s="337"/>
      <c r="AS2052" s="497"/>
      <c r="AT2052" s="544"/>
      <c r="AU2052" s="394"/>
      <c r="AV2052" s="394"/>
      <c r="AW2052" s="394"/>
      <c r="AX2052" s="394"/>
      <c r="AY2052" s="394"/>
      <c r="AZ2052" s="394"/>
      <c r="BA2052" s="394"/>
      <c r="BB2052" s="394"/>
      <c r="BC2052" s="394"/>
      <c r="BD2052" s="381"/>
      <c r="BE2052" s="408"/>
      <c r="BF2052" s="385"/>
      <c r="BG2052" s="475"/>
      <c r="BH2052" s="395"/>
      <c r="BI2052" s="395" t="e">
        <f t="shared" si="1029"/>
        <v>#DIV/0!</v>
      </c>
    </row>
    <row r="2053" spans="1:61" s="358" customFormat="1" ht="19.2" x14ac:dyDescent="0.3">
      <c r="A2053" s="359" t="s">
        <v>2190</v>
      </c>
      <c r="B2053" s="537" t="s">
        <v>1780</v>
      </c>
      <c r="C2053" s="546" t="s">
        <v>1215</v>
      </c>
      <c r="D2053" s="360">
        <v>0.4</v>
      </c>
      <c r="E2053" s="393"/>
      <c r="F2053" s="337">
        <v>1</v>
      </c>
      <c r="G2053" s="497"/>
      <c r="H2053" s="544">
        <v>14.0945</v>
      </c>
      <c r="I2053" s="394">
        <v>12.18022</v>
      </c>
      <c r="J2053" s="394">
        <v>10.45833</v>
      </c>
      <c r="K2053" s="394"/>
      <c r="L2053" s="394"/>
      <c r="M2053" s="394">
        <v>0</v>
      </c>
      <c r="N2053" s="394">
        <v>0</v>
      </c>
      <c r="O2053" s="394">
        <v>0.44627</v>
      </c>
      <c r="P2053" s="394">
        <v>10.45833</v>
      </c>
      <c r="Q2053" s="394"/>
      <c r="R2053" s="381" t="s">
        <v>167</v>
      </c>
      <c r="S2053" s="408" t="s">
        <v>175</v>
      </c>
      <c r="T2053" s="385"/>
      <c r="U2053" s="475">
        <v>973</v>
      </c>
      <c r="V2053" s="395"/>
      <c r="W2053" s="395">
        <f t="shared" si="1032"/>
        <v>14.0945</v>
      </c>
      <c r="X2053" s="393"/>
      <c r="Y2053" s="337"/>
      <c r="Z2053" s="497"/>
      <c r="AA2053" s="544"/>
      <c r="AB2053" s="394"/>
      <c r="AC2053" s="394"/>
      <c r="AD2053" s="394"/>
      <c r="AE2053" s="394"/>
      <c r="AF2053" s="394"/>
      <c r="AG2053" s="394"/>
      <c r="AH2053" s="394"/>
      <c r="AI2053" s="394"/>
      <c r="AJ2053" s="394"/>
      <c r="AK2053" s="381"/>
      <c r="AL2053" s="408"/>
      <c r="AM2053" s="385"/>
      <c r="AN2053" s="475"/>
      <c r="AO2053" s="395"/>
      <c r="AP2053" s="395" t="e">
        <f t="shared" si="1028"/>
        <v>#DIV/0!</v>
      </c>
      <c r="AQ2053" s="393"/>
      <c r="AR2053" s="337"/>
      <c r="AS2053" s="497"/>
      <c r="AT2053" s="544"/>
      <c r="AU2053" s="394"/>
      <c r="AV2053" s="394"/>
      <c r="AW2053" s="394"/>
      <c r="AX2053" s="394"/>
      <c r="AY2053" s="394"/>
      <c r="AZ2053" s="394"/>
      <c r="BA2053" s="394"/>
      <c r="BB2053" s="394"/>
      <c r="BC2053" s="394"/>
      <c r="BD2053" s="381"/>
      <c r="BE2053" s="408"/>
      <c r="BF2053" s="385"/>
      <c r="BG2053" s="475"/>
      <c r="BH2053" s="395"/>
      <c r="BI2053" s="395" t="e">
        <f t="shared" si="1029"/>
        <v>#DIV/0!</v>
      </c>
    </row>
    <row r="2054" spans="1:61" s="358" customFormat="1" ht="19.2" x14ac:dyDescent="0.3">
      <c r="A2054" s="359" t="s">
        <v>2191</v>
      </c>
      <c r="B2054" s="537" t="s">
        <v>1781</v>
      </c>
      <c r="C2054" s="546" t="s">
        <v>1216</v>
      </c>
      <c r="D2054" s="360">
        <v>0.4</v>
      </c>
      <c r="E2054" s="393"/>
      <c r="F2054" s="337">
        <v>1</v>
      </c>
      <c r="G2054" s="497"/>
      <c r="H2054" s="544">
        <v>14.094530000000001</v>
      </c>
      <c r="I2054" s="394">
        <v>12.18022</v>
      </c>
      <c r="J2054" s="394">
        <v>10.45834</v>
      </c>
      <c r="K2054" s="394"/>
      <c r="L2054" s="394"/>
      <c r="M2054" s="394">
        <v>0</v>
      </c>
      <c r="N2054" s="394">
        <v>0</v>
      </c>
      <c r="O2054" s="394">
        <v>0.44627</v>
      </c>
      <c r="P2054" s="394">
        <v>10.45834</v>
      </c>
      <c r="Q2054" s="394"/>
      <c r="R2054" s="381" t="s">
        <v>167</v>
      </c>
      <c r="S2054" s="408" t="s">
        <v>175</v>
      </c>
      <c r="T2054" s="385"/>
      <c r="U2054" s="475">
        <v>974</v>
      </c>
      <c r="V2054" s="395"/>
      <c r="W2054" s="395">
        <f t="shared" si="1032"/>
        <v>14.094530000000001</v>
      </c>
      <c r="X2054" s="393"/>
      <c r="Y2054" s="337"/>
      <c r="Z2054" s="497"/>
      <c r="AA2054" s="544"/>
      <c r="AB2054" s="394"/>
      <c r="AC2054" s="394"/>
      <c r="AD2054" s="394"/>
      <c r="AE2054" s="394"/>
      <c r="AF2054" s="394"/>
      <c r="AG2054" s="394"/>
      <c r="AH2054" s="394"/>
      <c r="AI2054" s="394"/>
      <c r="AJ2054" s="394"/>
      <c r="AK2054" s="381"/>
      <c r="AL2054" s="408"/>
      <c r="AM2054" s="385"/>
      <c r="AN2054" s="475"/>
      <c r="AO2054" s="395"/>
      <c r="AP2054" s="395" t="e">
        <f t="shared" si="1028"/>
        <v>#DIV/0!</v>
      </c>
      <c r="AQ2054" s="393"/>
      <c r="AR2054" s="337"/>
      <c r="AS2054" s="497"/>
      <c r="AT2054" s="544"/>
      <c r="AU2054" s="394"/>
      <c r="AV2054" s="394"/>
      <c r="AW2054" s="394"/>
      <c r="AX2054" s="394"/>
      <c r="AY2054" s="394"/>
      <c r="AZ2054" s="394"/>
      <c r="BA2054" s="394"/>
      <c r="BB2054" s="394"/>
      <c r="BC2054" s="394"/>
      <c r="BD2054" s="381"/>
      <c r="BE2054" s="408"/>
      <c r="BF2054" s="385"/>
      <c r="BG2054" s="475"/>
      <c r="BH2054" s="395"/>
      <c r="BI2054" s="395" t="e">
        <f t="shared" si="1029"/>
        <v>#DIV/0!</v>
      </c>
    </row>
    <row r="2055" spans="1:61" s="358" customFormat="1" ht="19.2" x14ac:dyDescent="0.3">
      <c r="A2055" s="359" t="s">
        <v>2192</v>
      </c>
      <c r="B2055" s="537" t="s">
        <v>1782</v>
      </c>
      <c r="C2055" s="546" t="s">
        <v>1217</v>
      </c>
      <c r="D2055" s="360">
        <v>0.4</v>
      </c>
      <c r="E2055" s="393"/>
      <c r="F2055" s="337">
        <v>1</v>
      </c>
      <c r="G2055" s="497"/>
      <c r="H2055" s="544">
        <v>14.0945</v>
      </c>
      <c r="I2055" s="394">
        <v>12.18022</v>
      </c>
      <c r="J2055" s="394">
        <v>10.45833</v>
      </c>
      <c r="K2055" s="394"/>
      <c r="L2055" s="394"/>
      <c r="M2055" s="394">
        <v>0</v>
      </c>
      <c r="N2055" s="394">
        <v>0</v>
      </c>
      <c r="O2055" s="394">
        <v>0.44627</v>
      </c>
      <c r="P2055" s="394">
        <v>10.45833</v>
      </c>
      <c r="Q2055" s="394"/>
      <c r="R2055" s="381" t="s">
        <v>167</v>
      </c>
      <c r="S2055" s="408" t="s">
        <v>175</v>
      </c>
      <c r="T2055" s="385"/>
      <c r="U2055" s="475">
        <v>975</v>
      </c>
      <c r="V2055" s="395"/>
      <c r="W2055" s="395">
        <f t="shared" si="1032"/>
        <v>14.0945</v>
      </c>
      <c r="X2055" s="393"/>
      <c r="Y2055" s="337"/>
      <c r="Z2055" s="497"/>
      <c r="AA2055" s="544"/>
      <c r="AB2055" s="394"/>
      <c r="AC2055" s="394"/>
      <c r="AD2055" s="394"/>
      <c r="AE2055" s="394"/>
      <c r="AF2055" s="394"/>
      <c r="AG2055" s="394"/>
      <c r="AH2055" s="394"/>
      <c r="AI2055" s="394"/>
      <c r="AJ2055" s="394"/>
      <c r="AK2055" s="381"/>
      <c r="AL2055" s="408"/>
      <c r="AM2055" s="385"/>
      <c r="AN2055" s="475"/>
      <c r="AO2055" s="395"/>
      <c r="AP2055" s="395" t="e">
        <f t="shared" si="1028"/>
        <v>#DIV/0!</v>
      </c>
      <c r="AQ2055" s="393"/>
      <c r="AR2055" s="337"/>
      <c r="AS2055" s="497"/>
      <c r="AT2055" s="544"/>
      <c r="AU2055" s="394"/>
      <c r="AV2055" s="394"/>
      <c r="AW2055" s="394"/>
      <c r="AX2055" s="394"/>
      <c r="AY2055" s="394"/>
      <c r="AZ2055" s="394"/>
      <c r="BA2055" s="394"/>
      <c r="BB2055" s="394"/>
      <c r="BC2055" s="394"/>
      <c r="BD2055" s="381"/>
      <c r="BE2055" s="408"/>
      <c r="BF2055" s="385"/>
      <c r="BG2055" s="475"/>
      <c r="BH2055" s="395"/>
      <c r="BI2055" s="395" t="e">
        <f t="shared" si="1029"/>
        <v>#DIV/0!</v>
      </c>
    </row>
    <row r="2056" spans="1:61" s="358" customFormat="1" ht="19.2" x14ac:dyDescent="0.3">
      <c r="A2056" s="359" t="s">
        <v>2193</v>
      </c>
      <c r="B2056" s="537" t="s">
        <v>1783</v>
      </c>
      <c r="C2056" s="546" t="s">
        <v>1218</v>
      </c>
      <c r="D2056" s="360">
        <v>0.4</v>
      </c>
      <c r="E2056" s="393"/>
      <c r="F2056" s="337">
        <v>1</v>
      </c>
      <c r="G2056" s="497"/>
      <c r="H2056" s="544">
        <v>14.094530000000001</v>
      </c>
      <c r="I2056" s="394">
        <v>12.18022</v>
      </c>
      <c r="J2056" s="394">
        <v>10.45834</v>
      </c>
      <c r="K2056" s="394"/>
      <c r="L2056" s="394"/>
      <c r="M2056" s="394">
        <v>0</v>
      </c>
      <c r="N2056" s="394">
        <v>0</v>
      </c>
      <c r="O2056" s="394">
        <v>0.44627</v>
      </c>
      <c r="P2056" s="394">
        <v>10.45834</v>
      </c>
      <c r="Q2056" s="394"/>
      <c r="R2056" s="381" t="s">
        <v>167</v>
      </c>
      <c r="S2056" s="408" t="s">
        <v>175</v>
      </c>
      <c r="T2056" s="385"/>
      <c r="U2056" s="475">
        <v>976</v>
      </c>
      <c r="V2056" s="395"/>
      <c r="W2056" s="395">
        <f t="shared" si="1032"/>
        <v>14.094530000000001</v>
      </c>
      <c r="X2056" s="393"/>
      <c r="Y2056" s="337"/>
      <c r="Z2056" s="497"/>
      <c r="AA2056" s="544"/>
      <c r="AB2056" s="394"/>
      <c r="AC2056" s="394"/>
      <c r="AD2056" s="394"/>
      <c r="AE2056" s="394"/>
      <c r="AF2056" s="394"/>
      <c r="AG2056" s="394"/>
      <c r="AH2056" s="394"/>
      <c r="AI2056" s="394"/>
      <c r="AJ2056" s="394"/>
      <c r="AK2056" s="381"/>
      <c r="AL2056" s="408"/>
      <c r="AM2056" s="385"/>
      <c r="AN2056" s="475"/>
      <c r="AO2056" s="395"/>
      <c r="AP2056" s="395" t="e">
        <f t="shared" si="1028"/>
        <v>#DIV/0!</v>
      </c>
      <c r="AQ2056" s="393"/>
      <c r="AR2056" s="337"/>
      <c r="AS2056" s="497"/>
      <c r="AT2056" s="544"/>
      <c r="AU2056" s="394"/>
      <c r="AV2056" s="394"/>
      <c r="AW2056" s="394"/>
      <c r="AX2056" s="394"/>
      <c r="AY2056" s="394"/>
      <c r="AZ2056" s="394"/>
      <c r="BA2056" s="394"/>
      <c r="BB2056" s="394"/>
      <c r="BC2056" s="394"/>
      <c r="BD2056" s="381"/>
      <c r="BE2056" s="408"/>
      <c r="BF2056" s="385"/>
      <c r="BG2056" s="475"/>
      <c r="BH2056" s="395"/>
      <c r="BI2056" s="395" t="e">
        <f t="shared" si="1029"/>
        <v>#DIV/0!</v>
      </c>
    </row>
    <row r="2057" spans="1:61" s="358" customFormat="1" ht="19.2" x14ac:dyDescent="0.3">
      <c r="A2057" s="359" t="s">
        <v>2194</v>
      </c>
      <c r="B2057" s="537" t="s">
        <v>645</v>
      </c>
      <c r="C2057" s="546" t="s">
        <v>523</v>
      </c>
      <c r="D2057" s="360">
        <v>0.4</v>
      </c>
      <c r="E2057" s="393"/>
      <c r="F2057" s="337">
        <v>1</v>
      </c>
      <c r="G2057" s="497"/>
      <c r="H2057" s="544">
        <v>14.0945</v>
      </c>
      <c r="I2057" s="394">
        <v>12.18022</v>
      </c>
      <c r="J2057" s="394">
        <v>10.45833</v>
      </c>
      <c r="K2057" s="394"/>
      <c r="L2057" s="394"/>
      <c r="M2057" s="394">
        <v>0</v>
      </c>
      <c r="N2057" s="394">
        <v>0</v>
      </c>
      <c r="O2057" s="394">
        <v>0.44627</v>
      </c>
      <c r="P2057" s="394">
        <v>10.45833</v>
      </c>
      <c r="Q2057" s="394"/>
      <c r="R2057" s="381" t="s">
        <v>167</v>
      </c>
      <c r="S2057" s="408" t="s">
        <v>175</v>
      </c>
      <c r="T2057" s="385"/>
      <c r="U2057" s="475">
        <v>977</v>
      </c>
      <c r="V2057" s="395"/>
      <c r="W2057" s="395">
        <f t="shared" si="1032"/>
        <v>14.0945</v>
      </c>
      <c r="X2057" s="393"/>
      <c r="Y2057" s="337"/>
      <c r="Z2057" s="497"/>
      <c r="AA2057" s="544"/>
      <c r="AB2057" s="394"/>
      <c r="AC2057" s="394"/>
      <c r="AD2057" s="394"/>
      <c r="AE2057" s="394"/>
      <c r="AF2057" s="394"/>
      <c r="AG2057" s="394"/>
      <c r="AH2057" s="394"/>
      <c r="AI2057" s="394"/>
      <c r="AJ2057" s="394"/>
      <c r="AK2057" s="381"/>
      <c r="AL2057" s="408"/>
      <c r="AM2057" s="385"/>
      <c r="AN2057" s="475"/>
      <c r="AO2057" s="395"/>
      <c r="AP2057" s="395" t="e">
        <f t="shared" si="1028"/>
        <v>#DIV/0!</v>
      </c>
      <c r="AQ2057" s="393"/>
      <c r="AR2057" s="337"/>
      <c r="AS2057" s="497"/>
      <c r="AT2057" s="544"/>
      <c r="AU2057" s="394"/>
      <c r="AV2057" s="394"/>
      <c r="AW2057" s="394"/>
      <c r="AX2057" s="394"/>
      <c r="AY2057" s="394"/>
      <c r="AZ2057" s="394"/>
      <c r="BA2057" s="394"/>
      <c r="BB2057" s="394"/>
      <c r="BC2057" s="394"/>
      <c r="BD2057" s="381"/>
      <c r="BE2057" s="408"/>
      <c r="BF2057" s="385"/>
      <c r="BG2057" s="475"/>
      <c r="BH2057" s="395"/>
      <c r="BI2057" s="395" t="e">
        <f t="shared" si="1029"/>
        <v>#DIV/0!</v>
      </c>
    </row>
    <row r="2058" spans="1:61" s="358" customFormat="1" ht="19.2" x14ac:dyDescent="0.3">
      <c r="A2058" s="359" t="s">
        <v>2195</v>
      </c>
      <c r="B2058" s="537" t="s">
        <v>1784</v>
      </c>
      <c r="C2058" s="546" t="s">
        <v>1219</v>
      </c>
      <c r="D2058" s="360">
        <v>0.4</v>
      </c>
      <c r="E2058" s="393"/>
      <c r="F2058" s="337">
        <v>1</v>
      </c>
      <c r="G2058" s="497"/>
      <c r="H2058" s="544">
        <v>14.094530000000001</v>
      </c>
      <c r="I2058" s="394">
        <v>12.18022</v>
      </c>
      <c r="J2058" s="394">
        <v>10.45834</v>
      </c>
      <c r="K2058" s="394"/>
      <c r="L2058" s="394"/>
      <c r="M2058" s="394">
        <v>0</v>
      </c>
      <c r="N2058" s="394">
        <v>0</v>
      </c>
      <c r="O2058" s="394">
        <v>0.44627</v>
      </c>
      <c r="P2058" s="394">
        <v>10.45834</v>
      </c>
      <c r="Q2058" s="394"/>
      <c r="R2058" s="381" t="s">
        <v>167</v>
      </c>
      <c r="S2058" s="408" t="s">
        <v>175</v>
      </c>
      <c r="T2058" s="385"/>
      <c r="U2058" s="475">
        <v>978</v>
      </c>
      <c r="V2058" s="395"/>
      <c r="W2058" s="395">
        <f t="shared" si="1032"/>
        <v>14.094530000000001</v>
      </c>
      <c r="X2058" s="393"/>
      <c r="Y2058" s="337"/>
      <c r="Z2058" s="497"/>
      <c r="AA2058" s="544"/>
      <c r="AB2058" s="394"/>
      <c r="AC2058" s="394"/>
      <c r="AD2058" s="394"/>
      <c r="AE2058" s="394"/>
      <c r="AF2058" s="394"/>
      <c r="AG2058" s="394"/>
      <c r="AH2058" s="394"/>
      <c r="AI2058" s="394"/>
      <c r="AJ2058" s="394"/>
      <c r="AK2058" s="381"/>
      <c r="AL2058" s="408"/>
      <c r="AM2058" s="385"/>
      <c r="AN2058" s="475"/>
      <c r="AO2058" s="395"/>
      <c r="AP2058" s="395" t="e">
        <f t="shared" si="1028"/>
        <v>#DIV/0!</v>
      </c>
      <c r="AQ2058" s="393"/>
      <c r="AR2058" s="337"/>
      <c r="AS2058" s="497"/>
      <c r="AT2058" s="544"/>
      <c r="AU2058" s="394"/>
      <c r="AV2058" s="394"/>
      <c r="AW2058" s="394"/>
      <c r="AX2058" s="394"/>
      <c r="AY2058" s="394"/>
      <c r="AZ2058" s="394"/>
      <c r="BA2058" s="394"/>
      <c r="BB2058" s="394"/>
      <c r="BC2058" s="394"/>
      <c r="BD2058" s="381"/>
      <c r="BE2058" s="408"/>
      <c r="BF2058" s="385"/>
      <c r="BG2058" s="475"/>
      <c r="BH2058" s="395"/>
      <c r="BI2058" s="395" t="e">
        <f t="shared" si="1029"/>
        <v>#DIV/0!</v>
      </c>
    </row>
    <row r="2059" spans="1:61" s="358" customFormat="1" ht="19.2" x14ac:dyDescent="0.3">
      <c r="A2059" s="359" t="s">
        <v>2212</v>
      </c>
      <c r="B2059" s="537" t="s">
        <v>636</v>
      </c>
      <c r="C2059" s="546" t="s">
        <v>513</v>
      </c>
      <c r="D2059" s="360">
        <v>0.4</v>
      </c>
      <c r="E2059" s="393"/>
      <c r="F2059" s="337">
        <v>1</v>
      </c>
      <c r="G2059" s="497"/>
      <c r="H2059" s="544">
        <v>14.0945</v>
      </c>
      <c r="I2059" s="394">
        <v>12.18022</v>
      </c>
      <c r="J2059" s="394">
        <v>10.45833</v>
      </c>
      <c r="K2059" s="394"/>
      <c r="L2059" s="394"/>
      <c r="M2059" s="394">
        <v>0</v>
      </c>
      <c r="N2059" s="394">
        <v>0</v>
      </c>
      <c r="O2059" s="394">
        <v>0.44627</v>
      </c>
      <c r="P2059" s="394">
        <v>10.45833</v>
      </c>
      <c r="Q2059" s="394"/>
      <c r="R2059" s="381" t="s">
        <v>167</v>
      </c>
      <c r="S2059" s="408" t="s">
        <v>175</v>
      </c>
      <c r="T2059" s="385"/>
      <c r="U2059" s="475">
        <v>979</v>
      </c>
      <c r="V2059" s="395"/>
      <c r="W2059" s="395">
        <f t="shared" si="1032"/>
        <v>14.0945</v>
      </c>
      <c r="X2059" s="393"/>
      <c r="Y2059" s="337"/>
      <c r="Z2059" s="497"/>
      <c r="AA2059" s="544"/>
      <c r="AB2059" s="394"/>
      <c r="AC2059" s="394"/>
      <c r="AD2059" s="394"/>
      <c r="AE2059" s="394"/>
      <c r="AF2059" s="394"/>
      <c r="AG2059" s="394"/>
      <c r="AH2059" s="394"/>
      <c r="AI2059" s="394"/>
      <c r="AJ2059" s="394"/>
      <c r="AK2059" s="381"/>
      <c r="AL2059" s="408"/>
      <c r="AM2059" s="385"/>
      <c r="AN2059" s="475"/>
      <c r="AO2059" s="395"/>
      <c r="AP2059" s="395" t="e">
        <f t="shared" ref="AP2059:AP2121" si="1033">AA2059/Y2059</f>
        <v>#DIV/0!</v>
      </c>
      <c r="AQ2059" s="393"/>
      <c r="AR2059" s="337"/>
      <c r="AS2059" s="497"/>
      <c r="AT2059" s="544"/>
      <c r="AU2059" s="394"/>
      <c r="AV2059" s="394"/>
      <c r="AW2059" s="394"/>
      <c r="AX2059" s="394"/>
      <c r="AY2059" s="394"/>
      <c r="AZ2059" s="394"/>
      <c r="BA2059" s="394"/>
      <c r="BB2059" s="394"/>
      <c r="BC2059" s="394"/>
      <c r="BD2059" s="381"/>
      <c r="BE2059" s="408"/>
      <c r="BF2059" s="385"/>
      <c r="BG2059" s="475"/>
      <c r="BH2059" s="395"/>
      <c r="BI2059" s="395" t="e">
        <f t="shared" si="1029"/>
        <v>#DIV/0!</v>
      </c>
    </row>
    <row r="2060" spans="1:61" s="358" customFormat="1" ht="19.2" x14ac:dyDescent="0.3">
      <c r="A2060" s="359" t="s">
        <v>2197</v>
      </c>
      <c r="B2060" s="537" t="s">
        <v>1785</v>
      </c>
      <c r="C2060" s="546" t="s">
        <v>1220</v>
      </c>
      <c r="D2060" s="360">
        <v>0.4</v>
      </c>
      <c r="E2060" s="393"/>
      <c r="F2060" s="337">
        <v>1</v>
      </c>
      <c r="G2060" s="497"/>
      <c r="H2060" s="544">
        <v>14.094530000000001</v>
      </c>
      <c r="I2060" s="394">
        <v>12.18022</v>
      </c>
      <c r="J2060" s="394">
        <v>10.45834</v>
      </c>
      <c r="K2060" s="394"/>
      <c r="L2060" s="394"/>
      <c r="M2060" s="394">
        <v>0</v>
      </c>
      <c r="N2060" s="394">
        <v>0</v>
      </c>
      <c r="O2060" s="394">
        <v>0.44627</v>
      </c>
      <c r="P2060" s="394">
        <v>10.45834</v>
      </c>
      <c r="Q2060" s="394"/>
      <c r="R2060" s="381" t="s">
        <v>167</v>
      </c>
      <c r="S2060" s="408" t="s">
        <v>175</v>
      </c>
      <c r="T2060" s="385"/>
      <c r="U2060" s="475">
        <v>980</v>
      </c>
      <c r="V2060" s="395"/>
      <c r="W2060" s="395">
        <f t="shared" si="1032"/>
        <v>14.094530000000001</v>
      </c>
      <c r="X2060" s="393"/>
      <c r="Y2060" s="337"/>
      <c r="Z2060" s="497"/>
      <c r="AA2060" s="544"/>
      <c r="AB2060" s="394"/>
      <c r="AC2060" s="394"/>
      <c r="AD2060" s="394"/>
      <c r="AE2060" s="394"/>
      <c r="AF2060" s="394"/>
      <c r="AG2060" s="394"/>
      <c r="AH2060" s="394"/>
      <c r="AI2060" s="394"/>
      <c r="AJ2060" s="394"/>
      <c r="AK2060" s="381"/>
      <c r="AL2060" s="408"/>
      <c r="AM2060" s="385"/>
      <c r="AN2060" s="475"/>
      <c r="AO2060" s="395"/>
      <c r="AP2060" s="395" t="e">
        <f t="shared" si="1033"/>
        <v>#DIV/0!</v>
      </c>
      <c r="AQ2060" s="393"/>
      <c r="AR2060" s="337"/>
      <c r="AS2060" s="497"/>
      <c r="AT2060" s="544"/>
      <c r="AU2060" s="394"/>
      <c r="AV2060" s="394"/>
      <c r="AW2060" s="394"/>
      <c r="AX2060" s="394"/>
      <c r="AY2060" s="394"/>
      <c r="AZ2060" s="394"/>
      <c r="BA2060" s="394"/>
      <c r="BB2060" s="394"/>
      <c r="BC2060" s="394"/>
      <c r="BD2060" s="381"/>
      <c r="BE2060" s="408"/>
      <c r="BF2060" s="385"/>
      <c r="BG2060" s="475"/>
      <c r="BH2060" s="395"/>
      <c r="BI2060" s="395" t="e">
        <f t="shared" si="1029"/>
        <v>#DIV/0!</v>
      </c>
    </row>
    <row r="2061" spans="1:61" s="358" customFormat="1" ht="19.2" x14ac:dyDescent="0.3">
      <c r="A2061" s="359" t="s">
        <v>2198</v>
      </c>
      <c r="B2061" s="537" t="s">
        <v>315</v>
      </c>
      <c r="C2061" s="546" t="s">
        <v>514</v>
      </c>
      <c r="D2061" s="360">
        <v>0.4</v>
      </c>
      <c r="E2061" s="393"/>
      <c r="F2061" s="337">
        <v>1</v>
      </c>
      <c r="G2061" s="497"/>
      <c r="H2061" s="544">
        <v>14.0945</v>
      </c>
      <c r="I2061" s="394">
        <v>12.18022</v>
      </c>
      <c r="J2061" s="394">
        <v>10.45833</v>
      </c>
      <c r="K2061" s="394"/>
      <c r="L2061" s="394"/>
      <c r="M2061" s="394">
        <v>0</v>
      </c>
      <c r="N2061" s="394">
        <v>0</v>
      </c>
      <c r="O2061" s="394">
        <v>0.44627</v>
      </c>
      <c r="P2061" s="394">
        <v>10.45833</v>
      </c>
      <c r="Q2061" s="394"/>
      <c r="R2061" s="381" t="s">
        <v>167</v>
      </c>
      <c r="S2061" s="408" t="s">
        <v>175</v>
      </c>
      <c r="T2061" s="385"/>
      <c r="U2061" s="475">
        <v>981</v>
      </c>
      <c r="V2061" s="395"/>
      <c r="W2061" s="395">
        <f t="shared" si="1032"/>
        <v>14.0945</v>
      </c>
      <c r="X2061" s="393"/>
      <c r="Y2061" s="337"/>
      <c r="Z2061" s="497"/>
      <c r="AA2061" s="544"/>
      <c r="AB2061" s="394"/>
      <c r="AC2061" s="394"/>
      <c r="AD2061" s="394"/>
      <c r="AE2061" s="394"/>
      <c r="AF2061" s="394"/>
      <c r="AG2061" s="394"/>
      <c r="AH2061" s="394"/>
      <c r="AI2061" s="394"/>
      <c r="AJ2061" s="394"/>
      <c r="AK2061" s="381"/>
      <c r="AL2061" s="408"/>
      <c r="AM2061" s="385"/>
      <c r="AN2061" s="475"/>
      <c r="AO2061" s="395"/>
      <c r="AP2061" s="395" t="e">
        <f t="shared" si="1033"/>
        <v>#DIV/0!</v>
      </c>
      <c r="AQ2061" s="393"/>
      <c r="AR2061" s="337"/>
      <c r="AS2061" s="497"/>
      <c r="AT2061" s="544"/>
      <c r="AU2061" s="394"/>
      <c r="AV2061" s="394"/>
      <c r="AW2061" s="394"/>
      <c r="AX2061" s="394"/>
      <c r="AY2061" s="394"/>
      <c r="AZ2061" s="394"/>
      <c r="BA2061" s="394"/>
      <c r="BB2061" s="394"/>
      <c r="BC2061" s="394"/>
      <c r="BD2061" s="381"/>
      <c r="BE2061" s="408"/>
      <c r="BF2061" s="385"/>
      <c r="BG2061" s="475"/>
      <c r="BH2061" s="395"/>
      <c r="BI2061" s="395" t="e">
        <f t="shared" si="1029"/>
        <v>#DIV/0!</v>
      </c>
    </row>
    <row r="2062" spans="1:61" s="358" customFormat="1" ht="19.2" x14ac:dyDescent="0.3">
      <c r="A2062" s="359" t="s">
        <v>2199</v>
      </c>
      <c r="B2062" s="537" t="s">
        <v>1786</v>
      </c>
      <c r="C2062" s="546" t="s">
        <v>1221</v>
      </c>
      <c r="D2062" s="360">
        <v>0.4</v>
      </c>
      <c r="E2062" s="393"/>
      <c r="F2062" s="337">
        <v>1</v>
      </c>
      <c r="G2062" s="497"/>
      <c r="H2062" s="544">
        <v>13.86548</v>
      </c>
      <c r="I2062" s="394">
        <v>11.9512</v>
      </c>
      <c r="J2062" s="394">
        <v>10.45833</v>
      </c>
      <c r="K2062" s="394"/>
      <c r="L2062" s="394"/>
      <c r="M2062" s="394">
        <v>0</v>
      </c>
      <c r="N2062" s="394">
        <v>0</v>
      </c>
      <c r="O2062" s="394">
        <v>0.44627</v>
      </c>
      <c r="P2062" s="394">
        <v>10.45833</v>
      </c>
      <c r="Q2062" s="394"/>
      <c r="R2062" s="381" t="s">
        <v>167</v>
      </c>
      <c r="S2062" s="408" t="s">
        <v>175</v>
      </c>
      <c r="T2062" s="385"/>
      <c r="U2062" s="475">
        <v>982</v>
      </c>
      <c r="V2062" s="395"/>
      <c r="W2062" s="395">
        <f>H2062/F2062</f>
        <v>13.86548</v>
      </c>
      <c r="X2062" s="393"/>
      <c r="Y2062" s="337"/>
      <c r="Z2062" s="497"/>
      <c r="AA2062" s="544"/>
      <c r="AB2062" s="394"/>
      <c r="AC2062" s="394"/>
      <c r="AD2062" s="394"/>
      <c r="AE2062" s="394"/>
      <c r="AF2062" s="394"/>
      <c r="AG2062" s="394"/>
      <c r="AH2062" s="394"/>
      <c r="AI2062" s="394"/>
      <c r="AJ2062" s="394"/>
      <c r="AK2062" s="381"/>
      <c r="AL2062" s="408"/>
      <c r="AM2062" s="385"/>
      <c r="AN2062" s="475"/>
      <c r="AO2062" s="395"/>
      <c r="AP2062" s="395" t="e">
        <f t="shared" si="1033"/>
        <v>#DIV/0!</v>
      </c>
      <c r="AQ2062" s="393"/>
      <c r="AR2062" s="337"/>
      <c r="AS2062" s="497"/>
      <c r="AT2062" s="544"/>
      <c r="AU2062" s="394"/>
      <c r="AV2062" s="394"/>
      <c r="AW2062" s="394"/>
      <c r="AX2062" s="394"/>
      <c r="AY2062" s="394"/>
      <c r="AZ2062" s="394"/>
      <c r="BA2062" s="394"/>
      <c r="BB2062" s="394"/>
      <c r="BC2062" s="394"/>
      <c r="BD2062" s="381"/>
      <c r="BE2062" s="408"/>
      <c r="BF2062" s="385"/>
      <c r="BG2062" s="475"/>
      <c r="BH2062" s="395"/>
      <c r="BI2062" s="395" t="e">
        <f t="shared" si="1029"/>
        <v>#DIV/0!</v>
      </c>
    </row>
    <row r="2063" spans="1:61" s="358" customFormat="1" ht="19.2" x14ac:dyDescent="0.3">
      <c r="A2063" s="359" t="s">
        <v>2216</v>
      </c>
      <c r="B2063" s="537" t="s">
        <v>1787</v>
      </c>
      <c r="C2063" s="546" t="s">
        <v>1222</v>
      </c>
      <c r="D2063" s="360">
        <v>0.4</v>
      </c>
      <c r="E2063" s="393"/>
      <c r="F2063" s="337">
        <v>1</v>
      </c>
      <c r="G2063" s="497"/>
      <c r="H2063" s="544">
        <v>13.86548</v>
      </c>
      <c r="I2063" s="394">
        <v>11.9512</v>
      </c>
      <c r="J2063" s="394">
        <v>10.45833</v>
      </c>
      <c r="K2063" s="394"/>
      <c r="L2063" s="394"/>
      <c r="M2063" s="394">
        <v>0</v>
      </c>
      <c r="N2063" s="394">
        <v>0</v>
      </c>
      <c r="O2063" s="394">
        <v>0.44627</v>
      </c>
      <c r="P2063" s="394">
        <v>10.45833</v>
      </c>
      <c r="Q2063" s="394"/>
      <c r="R2063" s="381" t="s">
        <v>167</v>
      </c>
      <c r="S2063" s="408" t="s">
        <v>175</v>
      </c>
      <c r="T2063" s="385"/>
      <c r="U2063" s="475">
        <v>983</v>
      </c>
      <c r="V2063" s="395"/>
      <c r="W2063" s="395">
        <f t="shared" si="1032"/>
        <v>13.86548</v>
      </c>
      <c r="X2063" s="393"/>
      <c r="Y2063" s="337"/>
      <c r="Z2063" s="497"/>
      <c r="AA2063" s="544"/>
      <c r="AB2063" s="394"/>
      <c r="AC2063" s="394"/>
      <c r="AD2063" s="394"/>
      <c r="AE2063" s="394"/>
      <c r="AF2063" s="394"/>
      <c r="AG2063" s="394"/>
      <c r="AH2063" s="394"/>
      <c r="AI2063" s="394"/>
      <c r="AJ2063" s="394"/>
      <c r="AK2063" s="381"/>
      <c r="AL2063" s="408"/>
      <c r="AM2063" s="385"/>
      <c r="AN2063" s="475"/>
      <c r="AO2063" s="395"/>
      <c r="AP2063" s="395" t="e">
        <f t="shared" si="1033"/>
        <v>#DIV/0!</v>
      </c>
      <c r="AQ2063" s="393"/>
      <c r="AR2063" s="337"/>
      <c r="AS2063" s="497"/>
      <c r="AT2063" s="544"/>
      <c r="AU2063" s="394"/>
      <c r="AV2063" s="394"/>
      <c r="AW2063" s="394"/>
      <c r="AX2063" s="394"/>
      <c r="AY2063" s="394"/>
      <c r="AZ2063" s="394"/>
      <c r="BA2063" s="394"/>
      <c r="BB2063" s="394"/>
      <c r="BC2063" s="394"/>
      <c r="BD2063" s="381"/>
      <c r="BE2063" s="408"/>
      <c r="BF2063" s="385"/>
      <c r="BG2063" s="475"/>
      <c r="BH2063" s="395"/>
      <c r="BI2063" s="395" t="e">
        <f t="shared" si="1029"/>
        <v>#DIV/0!</v>
      </c>
    </row>
    <row r="2064" spans="1:61" s="358" customFormat="1" ht="19.2" x14ac:dyDescent="0.3">
      <c r="A2064" s="359" t="s">
        <v>2201</v>
      </c>
      <c r="B2064" s="537" t="s">
        <v>1788</v>
      </c>
      <c r="C2064" s="546" t="s">
        <v>1223</v>
      </c>
      <c r="D2064" s="360">
        <v>0.4</v>
      </c>
      <c r="E2064" s="393"/>
      <c r="F2064" s="337">
        <v>1</v>
      </c>
      <c r="G2064" s="497"/>
      <c r="H2064" s="544">
        <v>13.86548</v>
      </c>
      <c r="I2064" s="394">
        <v>11.9512</v>
      </c>
      <c r="J2064" s="394">
        <v>10.45833</v>
      </c>
      <c r="K2064" s="394"/>
      <c r="L2064" s="394"/>
      <c r="M2064" s="394">
        <v>0</v>
      </c>
      <c r="N2064" s="394">
        <v>0</v>
      </c>
      <c r="O2064" s="394">
        <v>0.44627</v>
      </c>
      <c r="P2064" s="394">
        <v>10.45833</v>
      </c>
      <c r="Q2064" s="394"/>
      <c r="R2064" s="381" t="s">
        <v>167</v>
      </c>
      <c r="S2064" s="408" t="s">
        <v>175</v>
      </c>
      <c r="T2064" s="385"/>
      <c r="U2064" s="475">
        <v>984</v>
      </c>
      <c r="V2064" s="395"/>
      <c r="W2064" s="395">
        <f>H2064/F2064</f>
        <v>13.86548</v>
      </c>
      <c r="X2064" s="393"/>
      <c r="Y2064" s="337"/>
      <c r="Z2064" s="497"/>
      <c r="AA2064" s="544"/>
      <c r="AB2064" s="394"/>
      <c r="AC2064" s="394"/>
      <c r="AD2064" s="394"/>
      <c r="AE2064" s="394"/>
      <c r="AF2064" s="394"/>
      <c r="AG2064" s="394"/>
      <c r="AH2064" s="394"/>
      <c r="AI2064" s="394"/>
      <c r="AJ2064" s="394"/>
      <c r="AK2064" s="381"/>
      <c r="AL2064" s="408"/>
      <c r="AM2064" s="385"/>
      <c r="AN2064" s="475"/>
      <c r="AO2064" s="395"/>
      <c r="AP2064" s="395" t="e">
        <f t="shared" si="1033"/>
        <v>#DIV/0!</v>
      </c>
      <c r="AQ2064" s="393"/>
      <c r="AR2064" s="337"/>
      <c r="AS2064" s="497"/>
      <c r="AT2064" s="544"/>
      <c r="AU2064" s="394"/>
      <c r="AV2064" s="394"/>
      <c r="AW2064" s="394"/>
      <c r="AX2064" s="394"/>
      <c r="AY2064" s="394"/>
      <c r="AZ2064" s="394"/>
      <c r="BA2064" s="394"/>
      <c r="BB2064" s="394"/>
      <c r="BC2064" s="394"/>
      <c r="BD2064" s="381"/>
      <c r="BE2064" s="408"/>
      <c r="BF2064" s="385"/>
      <c r="BG2064" s="475"/>
      <c r="BH2064" s="395"/>
      <c r="BI2064" s="395" t="e">
        <f t="shared" si="1029"/>
        <v>#DIV/0!</v>
      </c>
    </row>
    <row r="2065" spans="1:61" s="358" customFormat="1" ht="19.2" x14ac:dyDescent="0.3">
      <c r="A2065" s="359" t="s">
        <v>2202</v>
      </c>
      <c r="B2065" s="537" t="s">
        <v>1789</v>
      </c>
      <c r="C2065" s="546" t="s">
        <v>1224</v>
      </c>
      <c r="D2065" s="360">
        <v>0.4</v>
      </c>
      <c r="E2065" s="393"/>
      <c r="F2065" s="337">
        <v>1</v>
      </c>
      <c r="G2065" s="497"/>
      <c r="H2065" s="544">
        <v>13.86548</v>
      </c>
      <c r="I2065" s="394">
        <v>11.9512</v>
      </c>
      <c r="J2065" s="394">
        <v>10.45833</v>
      </c>
      <c r="K2065" s="394"/>
      <c r="L2065" s="394"/>
      <c r="M2065" s="394">
        <v>0</v>
      </c>
      <c r="N2065" s="394">
        <v>0</v>
      </c>
      <c r="O2065" s="394">
        <v>0.44627</v>
      </c>
      <c r="P2065" s="394">
        <v>10.45833</v>
      </c>
      <c r="Q2065" s="394"/>
      <c r="R2065" s="381" t="s">
        <v>167</v>
      </c>
      <c r="S2065" s="408" t="s">
        <v>175</v>
      </c>
      <c r="T2065" s="385"/>
      <c r="U2065" s="475">
        <v>985</v>
      </c>
      <c r="V2065" s="395"/>
      <c r="W2065" s="395">
        <f t="shared" si="1032"/>
        <v>13.86548</v>
      </c>
      <c r="X2065" s="393"/>
      <c r="Y2065" s="337"/>
      <c r="Z2065" s="497"/>
      <c r="AA2065" s="544"/>
      <c r="AB2065" s="394"/>
      <c r="AC2065" s="394"/>
      <c r="AD2065" s="394"/>
      <c r="AE2065" s="394"/>
      <c r="AF2065" s="394"/>
      <c r="AG2065" s="394"/>
      <c r="AH2065" s="394"/>
      <c r="AI2065" s="394"/>
      <c r="AJ2065" s="394"/>
      <c r="AK2065" s="381"/>
      <c r="AL2065" s="408"/>
      <c r="AM2065" s="385"/>
      <c r="AN2065" s="475"/>
      <c r="AO2065" s="395"/>
      <c r="AP2065" s="395" t="e">
        <f t="shared" si="1033"/>
        <v>#DIV/0!</v>
      </c>
      <c r="AQ2065" s="393"/>
      <c r="AR2065" s="337"/>
      <c r="AS2065" s="497"/>
      <c r="AT2065" s="544"/>
      <c r="AU2065" s="394"/>
      <c r="AV2065" s="394"/>
      <c r="AW2065" s="394"/>
      <c r="AX2065" s="394"/>
      <c r="AY2065" s="394"/>
      <c r="AZ2065" s="394"/>
      <c r="BA2065" s="394"/>
      <c r="BB2065" s="394"/>
      <c r="BC2065" s="394"/>
      <c r="BD2065" s="381"/>
      <c r="BE2065" s="408"/>
      <c r="BF2065" s="385"/>
      <c r="BG2065" s="475"/>
      <c r="BH2065" s="395"/>
      <c r="BI2065" s="395" t="e">
        <f t="shared" si="1029"/>
        <v>#DIV/0!</v>
      </c>
    </row>
    <row r="2066" spans="1:61" s="358" customFormat="1" ht="19.2" x14ac:dyDescent="0.3">
      <c r="A2066" s="359" t="s">
        <v>2187</v>
      </c>
      <c r="B2066" s="537" t="s">
        <v>1790</v>
      </c>
      <c r="C2066" s="546" t="s">
        <v>1225</v>
      </c>
      <c r="D2066" s="360">
        <v>0.4</v>
      </c>
      <c r="E2066" s="393"/>
      <c r="F2066" s="337">
        <v>1</v>
      </c>
      <c r="G2066" s="497"/>
      <c r="H2066" s="544">
        <v>13.86548</v>
      </c>
      <c r="I2066" s="394">
        <v>11.9512</v>
      </c>
      <c r="J2066" s="394">
        <v>10.45833</v>
      </c>
      <c r="K2066" s="394"/>
      <c r="L2066" s="394"/>
      <c r="M2066" s="394">
        <v>0</v>
      </c>
      <c r="N2066" s="394">
        <v>0</v>
      </c>
      <c r="O2066" s="394">
        <v>0.44627</v>
      </c>
      <c r="P2066" s="394">
        <v>10.45833</v>
      </c>
      <c r="Q2066" s="394"/>
      <c r="R2066" s="381" t="s">
        <v>167</v>
      </c>
      <c r="S2066" s="408" t="s">
        <v>175</v>
      </c>
      <c r="T2066" s="385"/>
      <c r="U2066" s="475">
        <v>986</v>
      </c>
      <c r="V2066" s="395"/>
      <c r="W2066" s="395">
        <f t="shared" si="1032"/>
        <v>13.86548</v>
      </c>
      <c r="X2066" s="393"/>
      <c r="Y2066" s="337"/>
      <c r="Z2066" s="497"/>
      <c r="AA2066" s="544"/>
      <c r="AB2066" s="394"/>
      <c r="AC2066" s="394"/>
      <c r="AD2066" s="394"/>
      <c r="AE2066" s="394"/>
      <c r="AF2066" s="394"/>
      <c r="AG2066" s="394"/>
      <c r="AH2066" s="394"/>
      <c r="AI2066" s="394"/>
      <c r="AJ2066" s="394"/>
      <c r="AK2066" s="381"/>
      <c r="AL2066" s="408"/>
      <c r="AM2066" s="385"/>
      <c r="AN2066" s="475"/>
      <c r="AO2066" s="395"/>
      <c r="AP2066" s="395" t="e">
        <f t="shared" si="1033"/>
        <v>#DIV/0!</v>
      </c>
      <c r="AQ2066" s="393"/>
      <c r="AR2066" s="337"/>
      <c r="AS2066" s="497"/>
      <c r="AT2066" s="544"/>
      <c r="AU2066" s="394"/>
      <c r="AV2066" s="394"/>
      <c r="AW2066" s="394"/>
      <c r="AX2066" s="394"/>
      <c r="AY2066" s="394"/>
      <c r="AZ2066" s="394"/>
      <c r="BA2066" s="394"/>
      <c r="BB2066" s="394"/>
      <c r="BC2066" s="394"/>
      <c r="BD2066" s="381"/>
      <c r="BE2066" s="408"/>
      <c r="BF2066" s="385"/>
      <c r="BG2066" s="475"/>
      <c r="BH2066" s="395"/>
      <c r="BI2066" s="395" t="e">
        <f t="shared" si="1029"/>
        <v>#DIV/0!</v>
      </c>
    </row>
    <row r="2067" spans="1:61" s="358" customFormat="1" ht="19.2" x14ac:dyDescent="0.3">
      <c r="A2067" s="359" t="s">
        <v>2204</v>
      </c>
      <c r="B2067" s="537" t="s">
        <v>1791</v>
      </c>
      <c r="C2067" s="546" t="s">
        <v>1226</v>
      </c>
      <c r="D2067" s="360">
        <v>0.4</v>
      </c>
      <c r="E2067" s="393"/>
      <c r="F2067" s="337">
        <v>1</v>
      </c>
      <c r="G2067" s="497"/>
      <c r="H2067" s="544">
        <v>13.86548</v>
      </c>
      <c r="I2067" s="394">
        <v>11.9512</v>
      </c>
      <c r="J2067" s="394">
        <v>10.45833</v>
      </c>
      <c r="K2067" s="394"/>
      <c r="L2067" s="394"/>
      <c r="M2067" s="394">
        <v>0</v>
      </c>
      <c r="N2067" s="394">
        <v>0</v>
      </c>
      <c r="O2067" s="394">
        <v>0.44627</v>
      </c>
      <c r="P2067" s="394">
        <v>10.45833</v>
      </c>
      <c r="Q2067" s="394"/>
      <c r="R2067" s="381" t="s">
        <v>167</v>
      </c>
      <c r="S2067" s="408" t="s">
        <v>175</v>
      </c>
      <c r="T2067" s="385"/>
      <c r="U2067" s="475">
        <v>987</v>
      </c>
      <c r="V2067" s="395"/>
      <c r="W2067" s="395">
        <f t="shared" si="1032"/>
        <v>13.86548</v>
      </c>
      <c r="X2067" s="393"/>
      <c r="Y2067" s="337"/>
      <c r="Z2067" s="497"/>
      <c r="AA2067" s="544"/>
      <c r="AB2067" s="394"/>
      <c r="AC2067" s="394"/>
      <c r="AD2067" s="394"/>
      <c r="AE2067" s="394"/>
      <c r="AF2067" s="394"/>
      <c r="AG2067" s="394"/>
      <c r="AH2067" s="394"/>
      <c r="AI2067" s="394"/>
      <c r="AJ2067" s="394"/>
      <c r="AK2067" s="381"/>
      <c r="AL2067" s="408"/>
      <c r="AM2067" s="385"/>
      <c r="AN2067" s="475"/>
      <c r="AO2067" s="395"/>
      <c r="AP2067" s="395" t="e">
        <f t="shared" si="1033"/>
        <v>#DIV/0!</v>
      </c>
      <c r="AQ2067" s="393"/>
      <c r="AR2067" s="337"/>
      <c r="AS2067" s="497"/>
      <c r="AT2067" s="544"/>
      <c r="AU2067" s="394"/>
      <c r="AV2067" s="394"/>
      <c r="AW2067" s="394"/>
      <c r="AX2067" s="394"/>
      <c r="AY2067" s="394"/>
      <c r="AZ2067" s="394"/>
      <c r="BA2067" s="394"/>
      <c r="BB2067" s="394"/>
      <c r="BC2067" s="394"/>
      <c r="BD2067" s="381"/>
      <c r="BE2067" s="408"/>
      <c r="BF2067" s="385"/>
      <c r="BG2067" s="475"/>
      <c r="BH2067" s="395"/>
      <c r="BI2067" s="395" t="e">
        <f t="shared" si="1029"/>
        <v>#DIV/0!</v>
      </c>
    </row>
    <row r="2068" spans="1:61" s="358" customFormat="1" ht="19.2" x14ac:dyDescent="0.3">
      <c r="A2068" s="359" t="s">
        <v>2205</v>
      </c>
      <c r="B2068" s="537" t="s">
        <v>1792</v>
      </c>
      <c r="C2068" s="546" t="s">
        <v>1227</v>
      </c>
      <c r="D2068" s="360">
        <v>0.4</v>
      </c>
      <c r="E2068" s="393"/>
      <c r="F2068" s="337">
        <v>1</v>
      </c>
      <c r="G2068" s="497"/>
      <c r="H2068" s="544">
        <v>13.86548</v>
      </c>
      <c r="I2068" s="394">
        <v>11.9512</v>
      </c>
      <c r="J2068" s="394">
        <v>10.45833</v>
      </c>
      <c r="K2068" s="394"/>
      <c r="L2068" s="394"/>
      <c r="M2068" s="394">
        <v>0</v>
      </c>
      <c r="N2068" s="394">
        <v>0</v>
      </c>
      <c r="O2068" s="394">
        <v>0.44627</v>
      </c>
      <c r="P2068" s="394">
        <v>10.45833</v>
      </c>
      <c r="Q2068" s="394"/>
      <c r="R2068" s="381" t="s">
        <v>167</v>
      </c>
      <c r="S2068" s="408" t="s">
        <v>175</v>
      </c>
      <c r="T2068" s="385"/>
      <c r="U2068" s="475">
        <v>988</v>
      </c>
      <c r="V2068" s="395"/>
      <c r="W2068" s="395">
        <f t="shared" si="1032"/>
        <v>13.86548</v>
      </c>
      <c r="X2068" s="393"/>
      <c r="Y2068" s="337"/>
      <c r="Z2068" s="497"/>
      <c r="AA2068" s="544"/>
      <c r="AB2068" s="394"/>
      <c r="AC2068" s="394"/>
      <c r="AD2068" s="394"/>
      <c r="AE2068" s="394"/>
      <c r="AF2068" s="394"/>
      <c r="AG2068" s="394"/>
      <c r="AH2068" s="394"/>
      <c r="AI2068" s="394"/>
      <c r="AJ2068" s="394"/>
      <c r="AK2068" s="381"/>
      <c r="AL2068" s="408"/>
      <c r="AM2068" s="385"/>
      <c r="AN2068" s="475"/>
      <c r="AO2068" s="395"/>
      <c r="AP2068" s="395" t="e">
        <f t="shared" si="1033"/>
        <v>#DIV/0!</v>
      </c>
      <c r="AQ2068" s="393"/>
      <c r="AR2068" s="337"/>
      <c r="AS2068" s="497"/>
      <c r="AT2068" s="544"/>
      <c r="AU2068" s="394"/>
      <c r="AV2068" s="394"/>
      <c r="AW2068" s="394"/>
      <c r="AX2068" s="394"/>
      <c r="AY2068" s="394"/>
      <c r="AZ2068" s="394"/>
      <c r="BA2068" s="394"/>
      <c r="BB2068" s="394"/>
      <c r="BC2068" s="394"/>
      <c r="BD2068" s="381"/>
      <c r="BE2068" s="408"/>
      <c r="BF2068" s="385"/>
      <c r="BG2068" s="475"/>
      <c r="BH2068" s="395"/>
      <c r="BI2068" s="395" t="e">
        <f t="shared" si="1029"/>
        <v>#DIV/0!</v>
      </c>
    </row>
    <row r="2069" spans="1:61" s="358" customFormat="1" ht="19.2" x14ac:dyDescent="0.3">
      <c r="A2069" s="359" t="s">
        <v>2206</v>
      </c>
      <c r="B2069" s="537" t="s">
        <v>1615</v>
      </c>
      <c r="C2069" s="546" t="s">
        <v>1228</v>
      </c>
      <c r="D2069" s="360">
        <v>0.4</v>
      </c>
      <c r="E2069" s="393"/>
      <c r="F2069" s="337">
        <v>1</v>
      </c>
      <c r="G2069" s="497"/>
      <c r="H2069" s="544">
        <v>13.86548</v>
      </c>
      <c r="I2069" s="394">
        <v>11.9512</v>
      </c>
      <c r="J2069" s="394">
        <v>10.45833</v>
      </c>
      <c r="K2069" s="394"/>
      <c r="L2069" s="394"/>
      <c r="M2069" s="394">
        <v>0</v>
      </c>
      <c r="N2069" s="394">
        <v>0</v>
      </c>
      <c r="O2069" s="394">
        <v>0.44627</v>
      </c>
      <c r="P2069" s="394">
        <v>10.45833</v>
      </c>
      <c r="Q2069" s="394"/>
      <c r="R2069" s="381" t="s">
        <v>167</v>
      </c>
      <c r="S2069" s="408" t="s">
        <v>175</v>
      </c>
      <c r="T2069" s="385"/>
      <c r="U2069" s="475">
        <v>989</v>
      </c>
      <c r="V2069" s="395"/>
      <c r="W2069" s="395">
        <f t="shared" si="1032"/>
        <v>13.86548</v>
      </c>
      <c r="X2069" s="393"/>
      <c r="Y2069" s="337"/>
      <c r="Z2069" s="497"/>
      <c r="AA2069" s="544"/>
      <c r="AB2069" s="394"/>
      <c r="AC2069" s="394"/>
      <c r="AD2069" s="394"/>
      <c r="AE2069" s="394"/>
      <c r="AF2069" s="394"/>
      <c r="AG2069" s="394"/>
      <c r="AH2069" s="394"/>
      <c r="AI2069" s="394"/>
      <c r="AJ2069" s="394"/>
      <c r="AK2069" s="381"/>
      <c r="AL2069" s="408"/>
      <c r="AM2069" s="385"/>
      <c r="AN2069" s="475"/>
      <c r="AO2069" s="395"/>
      <c r="AP2069" s="395" t="e">
        <f t="shared" si="1033"/>
        <v>#DIV/0!</v>
      </c>
      <c r="AQ2069" s="393"/>
      <c r="AR2069" s="337"/>
      <c r="AS2069" s="497"/>
      <c r="AT2069" s="544"/>
      <c r="AU2069" s="394"/>
      <c r="AV2069" s="394"/>
      <c r="AW2069" s="394"/>
      <c r="AX2069" s="394"/>
      <c r="AY2069" s="394"/>
      <c r="AZ2069" s="394"/>
      <c r="BA2069" s="394"/>
      <c r="BB2069" s="394"/>
      <c r="BC2069" s="394"/>
      <c r="BD2069" s="381"/>
      <c r="BE2069" s="408"/>
      <c r="BF2069" s="385"/>
      <c r="BG2069" s="475"/>
      <c r="BH2069" s="395"/>
      <c r="BI2069" s="395" t="e">
        <f t="shared" si="1029"/>
        <v>#DIV/0!</v>
      </c>
    </row>
    <row r="2070" spans="1:61" s="358" customFormat="1" ht="19.2" x14ac:dyDescent="0.3">
      <c r="A2070" s="359" t="s">
        <v>2207</v>
      </c>
      <c r="B2070" s="537" t="s">
        <v>1793</v>
      </c>
      <c r="C2070" s="546" t="s">
        <v>1229</v>
      </c>
      <c r="D2070" s="360">
        <v>0.4</v>
      </c>
      <c r="E2070" s="393"/>
      <c r="F2070" s="337">
        <v>1</v>
      </c>
      <c r="G2070" s="497"/>
      <c r="H2070" s="544">
        <v>13.86548</v>
      </c>
      <c r="I2070" s="394">
        <v>11.9512</v>
      </c>
      <c r="J2070" s="394">
        <v>10.45833</v>
      </c>
      <c r="K2070" s="394"/>
      <c r="L2070" s="394"/>
      <c r="M2070" s="394">
        <v>0</v>
      </c>
      <c r="N2070" s="394">
        <v>0</v>
      </c>
      <c r="O2070" s="394">
        <v>0.44627</v>
      </c>
      <c r="P2070" s="394">
        <v>10.45833</v>
      </c>
      <c r="Q2070" s="394"/>
      <c r="R2070" s="381" t="s">
        <v>167</v>
      </c>
      <c r="S2070" s="408" t="s">
        <v>175</v>
      </c>
      <c r="T2070" s="385"/>
      <c r="U2070" s="475">
        <v>990</v>
      </c>
      <c r="V2070" s="395"/>
      <c r="W2070" s="395">
        <f t="shared" si="1032"/>
        <v>13.86548</v>
      </c>
      <c r="X2070" s="393"/>
      <c r="Y2070" s="337"/>
      <c r="Z2070" s="497"/>
      <c r="AA2070" s="544"/>
      <c r="AB2070" s="394"/>
      <c r="AC2070" s="394"/>
      <c r="AD2070" s="394"/>
      <c r="AE2070" s="394"/>
      <c r="AF2070" s="394"/>
      <c r="AG2070" s="394"/>
      <c r="AH2070" s="394"/>
      <c r="AI2070" s="394"/>
      <c r="AJ2070" s="394"/>
      <c r="AK2070" s="381"/>
      <c r="AL2070" s="408"/>
      <c r="AM2070" s="385"/>
      <c r="AN2070" s="475"/>
      <c r="AO2070" s="395"/>
      <c r="AP2070" s="395" t="e">
        <f t="shared" si="1033"/>
        <v>#DIV/0!</v>
      </c>
      <c r="AQ2070" s="393"/>
      <c r="AR2070" s="337"/>
      <c r="AS2070" s="497"/>
      <c r="AT2070" s="544"/>
      <c r="AU2070" s="394"/>
      <c r="AV2070" s="394"/>
      <c r="AW2070" s="394"/>
      <c r="AX2070" s="394"/>
      <c r="AY2070" s="394"/>
      <c r="AZ2070" s="394"/>
      <c r="BA2070" s="394"/>
      <c r="BB2070" s="394"/>
      <c r="BC2070" s="394"/>
      <c r="BD2070" s="381"/>
      <c r="BE2070" s="408"/>
      <c r="BF2070" s="385"/>
      <c r="BG2070" s="475"/>
      <c r="BH2070" s="395"/>
      <c r="BI2070" s="395" t="e">
        <f t="shared" si="1029"/>
        <v>#DIV/0!</v>
      </c>
    </row>
    <row r="2071" spans="1:61" s="358" customFormat="1" ht="19.2" x14ac:dyDescent="0.3">
      <c r="A2071" s="359" t="s">
        <v>2208</v>
      </c>
      <c r="B2071" s="537" t="s">
        <v>1794</v>
      </c>
      <c r="C2071" s="546" t="s">
        <v>1230</v>
      </c>
      <c r="D2071" s="360">
        <v>0.4</v>
      </c>
      <c r="E2071" s="393"/>
      <c r="F2071" s="337">
        <v>1</v>
      </c>
      <c r="G2071" s="497"/>
      <c r="H2071" s="544">
        <v>13.98779</v>
      </c>
      <c r="I2071" s="394">
        <v>12.073510000000001</v>
      </c>
      <c r="J2071" s="394">
        <v>10.45833</v>
      </c>
      <c r="K2071" s="394"/>
      <c r="L2071" s="394"/>
      <c r="M2071" s="394">
        <v>0</v>
      </c>
      <c r="N2071" s="394">
        <v>0</v>
      </c>
      <c r="O2071" s="394">
        <v>0.44627</v>
      </c>
      <c r="P2071" s="394">
        <v>10.45833</v>
      </c>
      <c r="Q2071" s="394"/>
      <c r="R2071" s="381" t="s">
        <v>167</v>
      </c>
      <c r="S2071" s="408" t="s">
        <v>175</v>
      </c>
      <c r="T2071" s="385"/>
      <c r="U2071" s="475">
        <v>991</v>
      </c>
      <c r="V2071" s="395"/>
      <c r="W2071" s="395">
        <f t="shared" si="1032"/>
        <v>13.98779</v>
      </c>
      <c r="X2071" s="393"/>
      <c r="Y2071" s="337"/>
      <c r="Z2071" s="497"/>
      <c r="AA2071" s="544"/>
      <c r="AB2071" s="394"/>
      <c r="AC2071" s="394"/>
      <c r="AD2071" s="394"/>
      <c r="AE2071" s="394"/>
      <c r="AF2071" s="394"/>
      <c r="AG2071" s="394"/>
      <c r="AH2071" s="394"/>
      <c r="AI2071" s="394"/>
      <c r="AJ2071" s="394"/>
      <c r="AK2071" s="381"/>
      <c r="AL2071" s="408"/>
      <c r="AM2071" s="385"/>
      <c r="AN2071" s="475"/>
      <c r="AO2071" s="395"/>
      <c r="AP2071" s="395" t="e">
        <f t="shared" si="1033"/>
        <v>#DIV/0!</v>
      </c>
      <c r="AQ2071" s="393"/>
      <c r="AR2071" s="337"/>
      <c r="AS2071" s="497"/>
      <c r="AT2071" s="544"/>
      <c r="AU2071" s="394"/>
      <c r="AV2071" s="394"/>
      <c r="AW2071" s="394"/>
      <c r="AX2071" s="394"/>
      <c r="AY2071" s="394"/>
      <c r="AZ2071" s="394"/>
      <c r="BA2071" s="394"/>
      <c r="BB2071" s="394"/>
      <c r="BC2071" s="394"/>
      <c r="BD2071" s="381"/>
      <c r="BE2071" s="408"/>
      <c r="BF2071" s="385"/>
      <c r="BG2071" s="475"/>
      <c r="BH2071" s="395"/>
      <c r="BI2071" s="395" t="e">
        <f t="shared" ref="BI2071:BI2134" si="1034">AT2071/AR2071</f>
        <v>#DIV/0!</v>
      </c>
    </row>
    <row r="2072" spans="1:61" s="358" customFormat="1" ht="19.2" x14ac:dyDescent="0.3">
      <c r="A2072" s="359" t="s">
        <v>2209</v>
      </c>
      <c r="B2072" s="537" t="s">
        <v>1795</v>
      </c>
      <c r="C2072" s="546" t="s">
        <v>1231</v>
      </c>
      <c r="D2072" s="360">
        <v>0.4</v>
      </c>
      <c r="E2072" s="393"/>
      <c r="F2072" s="337">
        <v>1</v>
      </c>
      <c r="G2072" s="497"/>
      <c r="H2072" s="544">
        <v>14.0945</v>
      </c>
      <c r="I2072" s="394">
        <v>12.18022</v>
      </c>
      <c r="J2072" s="394">
        <v>10.45833</v>
      </c>
      <c r="K2072" s="394"/>
      <c r="L2072" s="394"/>
      <c r="M2072" s="394">
        <v>0</v>
      </c>
      <c r="N2072" s="394">
        <v>0</v>
      </c>
      <c r="O2072" s="394">
        <v>0.44627</v>
      </c>
      <c r="P2072" s="394">
        <v>10.45833</v>
      </c>
      <c r="Q2072" s="394"/>
      <c r="R2072" s="381" t="s">
        <v>167</v>
      </c>
      <c r="S2072" s="408" t="s">
        <v>175</v>
      </c>
      <c r="T2072" s="385"/>
      <c r="U2072" s="475">
        <v>992</v>
      </c>
      <c r="V2072" s="395"/>
      <c r="W2072" s="395">
        <f t="shared" si="1032"/>
        <v>14.0945</v>
      </c>
      <c r="X2072" s="393"/>
      <c r="Y2072" s="337"/>
      <c r="Z2072" s="497"/>
      <c r="AA2072" s="544"/>
      <c r="AB2072" s="394"/>
      <c r="AC2072" s="394"/>
      <c r="AD2072" s="394"/>
      <c r="AE2072" s="394"/>
      <c r="AF2072" s="394"/>
      <c r="AG2072" s="394"/>
      <c r="AH2072" s="394"/>
      <c r="AI2072" s="394"/>
      <c r="AJ2072" s="394"/>
      <c r="AK2072" s="381"/>
      <c r="AL2072" s="408"/>
      <c r="AM2072" s="385"/>
      <c r="AN2072" s="475"/>
      <c r="AO2072" s="395"/>
      <c r="AP2072" s="395" t="e">
        <f t="shared" si="1033"/>
        <v>#DIV/0!</v>
      </c>
      <c r="AQ2072" s="393"/>
      <c r="AR2072" s="337"/>
      <c r="AS2072" s="497"/>
      <c r="AT2072" s="544"/>
      <c r="AU2072" s="394"/>
      <c r="AV2072" s="394"/>
      <c r="AW2072" s="394"/>
      <c r="AX2072" s="394"/>
      <c r="AY2072" s="394"/>
      <c r="AZ2072" s="394"/>
      <c r="BA2072" s="394"/>
      <c r="BB2072" s="394"/>
      <c r="BC2072" s="394"/>
      <c r="BD2072" s="381"/>
      <c r="BE2072" s="408"/>
      <c r="BF2072" s="385"/>
      <c r="BG2072" s="475"/>
      <c r="BH2072" s="395"/>
      <c r="BI2072" s="395" t="e">
        <f t="shared" si="1034"/>
        <v>#DIV/0!</v>
      </c>
    </row>
    <row r="2073" spans="1:61" s="358" customFormat="1" ht="19.2" x14ac:dyDescent="0.3">
      <c r="A2073" s="359" t="s">
        <v>2210</v>
      </c>
      <c r="B2073" s="537" t="s">
        <v>1795</v>
      </c>
      <c r="C2073" s="546" t="s">
        <v>2258</v>
      </c>
      <c r="D2073" s="360">
        <v>0.4</v>
      </c>
      <c r="E2073" s="393"/>
      <c r="F2073" s="337">
        <v>1</v>
      </c>
      <c r="G2073" s="497"/>
      <c r="H2073" s="544">
        <v>14.0945</v>
      </c>
      <c r="I2073" s="394">
        <v>12.18022</v>
      </c>
      <c r="J2073" s="394">
        <v>10.45833</v>
      </c>
      <c r="K2073" s="394"/>
      <c r="L2073" s="394"/>
      <c r="M2073" s="394">
        <v>0</v>
      </c>
      <c r="N2073" s="394">
        <v>0</v>
      </c>
      <c r="O2073" s="394">
        <v>0.44627</v>
      </c>
      <c r="P2073" s="394">
        <v>10.45833</v>
      </c>
      <c r="Q2073" s="394"/>
      <c r="R2073" s="381" t="s">
        <v>167</v>
      </c>
      <c r="S2073" s="408" t="s">
        <v>175</v>
      </c>
      <c r="T2073" s="385"/>
      <c r="U2073" s="475">
        <v>993</v>
      </c>
      <c r="V2073" s="395"/>
      <c r="W2073" s="395">
        <f t="shared" si="1032"/>
        <v>14.0945</v>
      </c>
      <c r="X2073" s="393"/>
      <c r="Y2073" s="337"/>
      <c r="Z2073" s="497"/>
      <c r="AA2073" s="544"/>
      <c r="AB2073" s="394"/>
      <c r="AC2073" s="394"/>
      <c r="AD2073" s="394"/>
      <c r="AE2073" s="394"/>
      <c r="AF2073" s="394"/>
      <c r="AG2073" s="394"/>
      <c r="AH2073" s="394"/>
      <c r="AI2073" s="394"/>
      <c r="AJ2073" s="394"/>
      <c r="AK2073" s="381"/>
      <c r="AL2073" s="408"/>
      <c r="AM2073" s="385"/>
      <c r="AN2073" s="475"/>
      <c r="AO2073" s="395"/>
      <c r="AP2073" s="395" t="e">
        <f t="shared" si="1033"/>
        <v>#DIV/0!</v>
      </c>
      <c r="AQ2073" s="393"/>
      <c r="AR2073" s="337"/>
      <c r="AS2073" s="497"/>
      <c r="AT2073" s="544"/>
      <c r="AU2073" s="394"/>
      <c r="AV2073" s="394"/>
      <c r="AW2073" s="394"/>
      <c r="AX2073" s="394"/>
      <c r="AY2073" s="394"/>
      <c r="AZ2073" s="394"/>
      <c r="BA2073" s="394"/>
      <c r="BB2073" s="394"/>
      <c r="BC2073" s="394"/>
      <c r="BD2073" s="381"/>
      <c r="BE2073" s="408"/>
      <c r="BF2073" s="385"/>
      <c r="BG2073" s="475"/>
      <c r="BH2073" s="395"/>
      <c r="BI2073" s="395" t="e">
        <f t="shared" si="1034"/>
        <v>#DIV/0!</v>
      </c>
    </row>
    <row r="2074" spans="1:61" s="358" customFormat="1" ht="19.2" x14ac:dyDescent="0.3">
      <c r="A2074" s="359" t="s">
        <v>2211</v>
      </c>
      <c r="B2074" s="537" t="s">
        <v>1796</v>
      </c>
      <c r="C2074" s="546" t="s">
        <v>1232</v>
      </c>
      <c r="D2074" s="360">
        <v>0.4</v>
      </c>
      <c r="E2074" s="393"/>
      <c r="F2074" s="337">
        <v>1</v>
      </c>
      <c r="G2074" s="497"/>
      <c r="H2074" s="544">
        <v>14.0945</v>
      </c>
      <c r="I2074" s="394">
        <v>12.18022</v>
      </c>
      <c r="J2074" s="394">
        <v>10.45833</v>
      </c>
      <c r="K2074" s="394"/>
      <c r="L2074" s="394"/>
      <c r="M2074" s="394">
        <v>0</v>
      </c>
      <c r="N2074" s="394">
        <v>0</v>
      </c>
      <c r="O2074" s="394">
        <v>0.44627</v>
      </c>
      <c r="P2074" s="394">
        <v>10.45833</v>
      </c>
      <c r="Q2074" s="394"/>
      <c r="R2074" s="381" t="s">
        <v>167</v>
      </c>
      <c r="S2074" s="408" t="s">
        <v>175</v>
      </c>
      <c r="T2074" s="385"/>
      <c r="U2074" s="475">
        <v>994</v>
      </c>
      <c r="V2074" s="395"/>
      <c r="W2074" s="395">
        <f t="shared" si="1032"/>
        <v>14.0945</v>
      </c>
      <c r="X2074" s="393"/>
      <c r="Y2074" s="337"/>
      <c r="Z2074" s="497"/>
      <c r="AA2074" s="544"/>
      <c r="AB2074" s="394"/>
      <c r="AC2074" s="394"/>
      <c r="AD2074" s="394"/>
      <c r="AE2074" s="394"/>
      <c r="AF2074" s="394"/>
      <c r="AG2074" s="394"/>
      <c r="AH2074" s="394"/>
      <c r="AI2074" s="394"/>
      <c r="AJ2074" s="394"/>
      <c r="AK2074" s="381"/>
      <c r="AL2074" s="408"/>
      <c r="AM2074" s="385"/>
      <c r="AN2074" s="475"/>
      <c r="AO2074" s="395"/>
      <c r="AP2074" s="395" t="e">
        <f t="shared" si="1033"/>
        <v>#DIV/0!</v>
      </c>
      <c r="AQ2074" s="393"/>
      <c r="AR2074" s="337"/>
      <c r="AS2074" s="497"/>
      <c r="AT2074" s="544"/>
      <c r="AU2074" s="394"/>
      <c r="AV2074" s="394"/>
      <c r="AW2074" s="394"/>
      <c r="AX2074" s="394"/>
      <c r="AY2074" s="394"/>
      <c r="AZ2074" s="394"/>
      <c r="BA2074" s="394"/>
      <c r="BB2074" s="394"/>
      <c r="BC2074" s="394"/>
      <c r="BD2074" s="381"/>
      <c r="BE2074" s="408"/>
      <c r="BF2074" s="385"/>
      <c r="BG2074" s="475"/>
      <c r="BH2074" s="395"/>
      <c r="BI2074" s="395" t="e">
        <f t="shared" si="1034"/>
        <v>#DIV/0!</v>
      </c>
    </row>
    <row r="2075" spans="1:61" s="358" customFormat="1" ht="19.2" x14ac:dyDescent="0.3">
      <c r="A2075" s="359" t="s">
        <v>2228</v>
      </c>
      <c r="B2075" s="537" t="s">
        <v>1797</v>
      </c>
      <c r="C2075" s="546" t="s">
        <v>1233</v>
      </c>
      <c r="D2075" s="360">
        <v>0.4</v>
      </c>
      <c r="E2075" s="393"/>
      <c r="F2075" s="337">
        <v>1</v>
      </c>
      <c r="G2075" s="497"/>
      <c r="H2075" s="544">
        <v>14.0945</v>
      </c>
      <c r="I2075" s="394">
        <v>12.18022</v>
      </c>
      <c r="J2075" s="394">
        <v>10.45833</v>
      </c>
      <c r="K2075" s="394"/>
      <c r="L2075" s="394"/>
      <c r="M2075" s="394">
        <v>0</v>
      </c>
      <c r="N2075" s="394">
        <v>0</v>
      </c>
      <c r="O2075" s="394">
        <v>0.44627</v>
      </c>
      <c r="P2075" s="394">
        <v>10.45833</v>
      </c>
      <c r="Q2075" s="394"/>
      <c r="R2075" s="381" t="s">
        <v>167</v>
      </c>
      <c r="S2075" s="408" t="s">
        <v>175</v>
      </c>
      <c r="T2075" s="385"/>
      <c r="U2075" s="475">
        <v>995</v>
      </c>
      <c r="V2075" s="395"/>
      <c r="W2075" s="395">
        <f t="shared" si="1032"/>
        <v>14.0945</v>
      </c>
      <c r="X2075" s="393"/>
      <c r="Y2075" s="337"/>
      <c r="Z2075" s="497"/>
      <c r="AA2075" s="544"/>
      <c r="AB2075" s="394"/>
      <c r="AC2075" s="394"/>
      <c r="AD2075" s="394"/>
      <c r="AE2075" s="394"/>
      <c r="AF2075" s="394"/>
      <c r="AG2075" s="394"/>
      <c r="AH2075" s="394"/>
      <c r="AI2075" s="394"/>
      <c r="AJ2075" s="394"/>
      <c r="AK2075" s="381"/>
      <c r="AL2075" s="408"/>
      <c r="AM2075" s="385"/>
      <c r="AN2075" s="475"/>
      <c r="AO2075" s="395"/>
      <c r="AP2075" s="395" t="e">
        <f t="shared" si="1033"/>
        <v>#DIV/0!</v>
      </c>
      <c r="AQ2075" s="393"/>
      <c r="AR2075" s="337"/>
      <c r="AS2075" s="497"/>
      <c r="AT2075" s="544"/>
      <c r="AU2075" s="394"/>
      <c r="AV2075" s="394"/>
      <c r="AW2075" s="394"/>
      <c r="AX2075" s="394"/>
      <c r="AY2075" s="394"/>
      <c r="AZ2075" s="394"/>
      <c r="BA2075" s="394"/>
      <c r="BB2075" s="394"/>
      <c r="BC2075" s="394"/>
      <c r="BD2075" s="381"/>
      <c r="BE2075" s="408"/>
      <c r="BF2075" s="385"/>
      <c r="BG2075" s="475"/>
      <c r="BH2075" s="395"/>
      <c r="BI2075" s="395" t="e">
        <f t="shared" si="1034"/>
        <v>#DIV/0!</v>
      </c>
    </row>
    <row r="2076" spans="1:61" s="358" customFormat="1" ht="19.2" x14ac:dyDescent="0.3">
      <c r="A2076" s="359" t="s">
        <v>2213</v>
      </c>
      <c r="B2076" s="537" t="s">
        <v>319</v>
      </c>
      <c r="C2076" s="546" t="s">
        <v>1234</v>
      </c>
      <c r="D2076" s="360">
        <v>0.4</v>
      </c>
      <c r="E2076" s="393"/>
      <c r="F2076" s="337">
        <v>1</v>
      </c>
      <c r="G2076" s="497"/>
      <c r="H2076" s="544">
        <v>14.0945</v>
      </c>
      <c r="I2076" s="394">
        <v>12.18022</v>
      </c>
      <c r="J2076" s="394">
        <v>10.45833</v>
      </c>
      <c r="K2076" s="394"/>
      <c r="L2076" s="394"/>
      <c r="M2076" s="394">
        <v>0</v>
      </c>
      <c r="N2076" s="394">
        <v>0</v>
      </c>
      <c r="O2076" s="394">
        <v>0.44627</v>
      </c>
      <c r="P2076" s="394">
        <v>10.45833</v>
      </c>
      <c r="Q2076" s="394"/>
      <c r="R2076" s="381" t="s">
        <v>167</v>
      </c>
      <c r="S2076" s="408" t="s">
        <v>175</v>
      </c>
      <c r="T2076" s="385"/>
      <c r="U2076" s="475">
        <v>996</v>
      </c>
      <c r="V2076" s="395"/>
      <c r="W2076" s="395">
        <f t="shared" si="1032"/>
        <v>14.0945</v>
      </c>
      <c r="X2076" s="393"/>
      <c r="Y2076" s="337"/>
      <c r="Z2076" s="497"/>
      <c r="AA2076" s="544"/>
      <c r="AB2076" s="394"/>
      <c r="AC2076" s="394"/>
      <c r="AD2076" s="394"/>
      <c r="AE2076" s="394"/>
      <c r="AF2076" s="394"/>
      <c r="AG2076" s="394"/>
      <c r="AH2076" s="394"/>
      <c r="AI2076" s="394"/>
      <c r="AJ2076" s="394"/>
      <c r="AK2076" s="381"/>
      <c r="AL2076" s="408"/>
      <c r="AM2076" s="385"/>
      <c r="AN2076" s="475"/>
      <c r="AO2076" s="395"/>
      <c r="AP2076" s="395" t="e">
        <f t="shared" si="1033"/>
        <v>#DIV/0!</v>
      </c>
      <c r="AQ2076" s="393"/>
      <c r="AR2076" s="337"/>
      <c r="AS2076" s="497"/>
      <c r="AT2076" s="544"/>
      <c r="AU2076" s="394"/>
      <c r="AV2076" s="394"/>
      <c r="AW2076" s="394"/>
      <c r="AX2076" s="394"/>
      <c r="AY2076" s="394"/>
      <c r="AZ2076" s="394"/>
      <c r="BA2076" s="394"/>
      <c r="BB2076" s="394"/>
      <c r="BC2076" s="394"/>
      <c r="BD2076" s="381"/>
      <c r="BE2076" s="408"/>
      <c r="BF2076" s="385"/>
      <c r="BG2076" s="475"/>
      <c r="BH2076" s="395"/>
      <c r="BI2076" s="395" t="e">
        <f t="shared" si="1034"/>
        <v>#DIV/0!</v>
      </c>
    </row>
    <row r="2077" spans="1:61" s="358" customFormat="1" ht="19.2" x14ac:dyDescent="0.3">
      <c r="A2077" s="359" t="s">
        <v>2214</v>
      </c>
      <c r="B2077" s="537" t="s">
        <v>1798</v>
      </c>
      <c r="C2077" s="546" t="s">
        <v>1235</v>
      </c>
      <c r="D2077" s="360">
        <v>0.4</v>
      </c>
      <c r="E2077" s="393"/>
      <c r="F2077" s="337">
        <v>1</v>
      </c>
      <c r="G2077" s="497"/>
      <c r="H2077" s="544">
        <v>14.0945</v>
      </c>
      <c r="I2077" s="394">
        <v>12.18022</v>
      </c>
      <c r="J2077" s="394">
        <v>10.45833</v>
      </c>
      <c r="K2077" s="394"/>
      <c r="L2077" s="394"/>
      <c r="M2077" s="394">
        <v>0</v>
      </c>
      <c r="N2077" s="394">
        <v>0</v>
      </c>
      <c r="O2077" s="394">
        <v>0.44627</v>
      </c>
      <c r="P2077" s="394">
        <v>10.45833</v>
      </c>
      <c r="Q2077" s="394"/>
      <c r="R2077" s="381" t="s">
        <v>167</v>
      </c>
      <c r="S2077" s="408" t="s">
        <v>175</v>
      </c>
      <c r="T2077" s="385"/>
      <c r="U2077" s="475">
        <v>997</v>
      </c>
      <c r="V2077" s="395"/>
      <c r="W2077" s="395">
        <f t="shared" si="1032"/>
        <v>14.0945</v>
      </c>
      <c r="X2077" s="393"/>
      <c r="Y2077" s="337"/>
      <c r="Z2077" s="497"/>
      <c r="AA2077" s="544"/>
      <c r="AB2077" s="394"/>
      <c r="AC2077" s="394"/>
      <c r="AD2077" s="394"/>
      <c r="AE2077" s="394"/>
      <c r="AF2077" s="394"/>
      <c r="AG2077" s="394"/>
      <c r="AH2077" s="394"/>
      <c r="AI2077" s="394"/>
      <c r="AJ2077" s="394"/>
      <c r="AK2077" s="381"/>
      <c r="AL2077" s="408"/>
      <c r="AM2077" s="385"/>
      <c r="AN2077" s="475"/>
      <c r="AO2077" s="395"/>
      <c r="AP2077" s="395" t="e">
        <f t="shared" si="1033"/>
        <v>#DIV/0!</v>
      </c>
      <c r="AQ2077" s="393"/>
      <c r="AR2077" s="337"/>
      <c r="AS2077" s="497"/>
      <c r="AT2077" s="544"/>
      <c r="AU2077" s="394"/>
      <c r="AV2077" s="394"/>
      <c r="AW2077" s="394"/>
      <c r="AX2077" s="394"/>
      <c r="AY2077" s="394"/>
      <c r="AZ2077" s="394"/>
      <c r="BA2077" s="394"/>
      <c r="BB2077" s="394"/>
      <c r="BC2077" s="394"/>
      <c r="BD2077" s="381"/>
      <c r="BE2077" s="408"/>
      <c r="BF2077" s="385"/>
      <c r="BG2077" s="475"/>
      <c r="BH2077" s="395"/>
      <c r="BI2077" s="395" t="e">
        <f t="shared" si="1034"/>
        <v>#DIV/0!</v>
      </c>
    </row>
    <row r="2078" spans="1:61" s="358" customFormat="1" ht="19.2" x14ac:dyDescent="0.3">
      <c r="A2078" s="359" t="s">
        <v>2215</v>
      </c>
      <c r="B2078" s="537" t="s">
        <v>1799</v>
      </c>
      <c r="C2078" s="546" t="s">
        <v>1236</v>
      </c>
      <c r="D2078" s="360">
        <v>0.4</v>
      </c>
      <c r="E2078" s="393"/>
      <c r="F2078" s="337">
        <v>1</v>
      </c>
      <c r="G2078" s="497"/>
      <c r="H2078" s="544">
        <v>14.0945</v>
      </c>
      <c r="I2078" s="394">
        <v>12.18022</v>
      </c>
      <c r="J2078" s="394">
        <v>10.45833</v>
      </c>
      <c r="K2078" s="394"/>
      <c r="L2078" s="394"/>
      <c r="M2078" s="394">
        <v>0</v>
      </c>
      <c r="N2078" s="394">
        <v>0</v>
      </c>
      <c r="O2078" s="394">
        <v>0.44627</v>
      </c>
      <c r="P2078" s="394">
        <v>10.45833</v>
      </c>
      <c r="Q2078" s="394"/>
      <c r="R2078" s="381" t="s">
        <v>167</v>
      </c>
      <c r="S2078" s="408" t="s">
        <v>175</v>
      </c>
      <c r="T2078" s="385"/>
      <c r="U2078" s="475">
        <v>998</v>
      </c>
      <c r="V2078" s="395"/>
      <c r="W2078" s="395">
        <f t="shared" si="1032"/>
        <v>14.0945</v>
      </c>
      <c r="X2078" s="393"/>
      <c r="Y2078" s="337"/>
      <c r="Z2078" s="497"/>
      <c r="AA2078" s="544"/>
      <c r="AB2078" s="394"/>
      <c r="AC2078" s="394"/>
      <c r="AD2078" s="394"/>
      <c r="AE2078" s="394"/>
      <c r="AF2078" s="394"/>
      <c r="AG2078" s="394"/>
      <c r="AH2078" s="394"/>
      <c r="AI2078" s="394"/>
      <c r="AJ2078" s="394"/>
      <c r="AK2078" s="381"/>
      <c r="AL2078" s="408"/>
      <c r="AM2078" s="385"/>
      <c r="AN2078" s="475"/>
      <c r="AO2078" s="395"/>
      <c r="AP2078" s="395" t="e">
        <f t="shared" si="1033"/>
        <v>#DIV/0!</v>
      </c>
      <c r="AQ2078" s="393"/>
      <c r="AR2078" s="337"/>
      <c r="AS2078" s="497"/>
      <c r="AT2078" s="544"/>
      <c r="AU2078" s="394"/>
      <c r="AV2078" s="394"/>
      <c r="AW2078" s="394"/>
      <c r="AX2078" s="394"/>
      <c r="AY2078" s="394"/>
      <c r="AZ2078" s="394"/>
      <c r="BA2078" s="394"/>
      <c r="BB2078" s="394"/>
      <c r="BC2078" s="394"/>
      <c r="BD2078" s="381"/>
      <c r="BE2078" s="408"/>
      <c r="BF2078" s="385"/>
      <c r="BG2078" s="475"/>
      <c r="BH2078" s="395"/>
      <c r="BI2078" s="395" t="e">
        <f t="shared" si="1034"/>
        <v>#DIV/0!</v>
      </c>
    </row>
    <row r="2079" spans="1:61" s="358" customFormat="1" ht="19.2" x14ac:dyDescent="0.3">
      <c r="A2079" s="359" t="s">
        <v>2232</v>
      </c>
      <c r="B2079" s="537" t="s">
        <v>1800</v>
      </c>
      <c r="C2079" s="546" t="s">
        <v>1237</v>
      </c>
      <c r="D2079" s="360">
        <v>0.4</v>
      </c>
      <c r="E2079" s="393"/>
      <c r="F2079" s="337">
        <v>1</v>
      </c>
      <c r="G2079" s="497"/>
      <c r="H2079" s="544">
        <v>14.0945</v>
      </c>
      <c r="I2079" s="394">
        <v>12.18022</v>
      </c>
      <c r="J2079" s="394">
        <v>10.45833</v>
      </c>
      <c r="K2079" s="394"/>
      <c r="L2079" s="394"/>
      <c r="M2079" s="394">
        <v>0</v>
      </c>
      <c r="N2079" s="394">
        <v>0</v>
      </c>
      <c r="O2079" s="394">
        <v>0.44627</v>
      </c>
      <c r="P2079" s="394">
        <v>10.45833</v>
      </c>
      <c r="Q2079" s="394"/>
      <c r="R2079" s="381" t="s">
        <v>167</v>
      </c>
      <c r="S2079" s="408" t="s">
        <v>175</v>
      </c>
      <c r="T2079" s="385"/>
      <c r="U2079" s="475">
        <v>999</v>
      </c>
      <c r="V2079" s="395"/>
      <c r="W2079" s="395">
        <f t="shared" si="1032"/>
        <v>14.0945</v>
      </c>
      <c r="X2079" s="393"/>
      <c r="Y2079" s="337"/>
      <c r="Z2079" s="497"/>
      <c r="AA2079" s="544"/>
      <c r="AB2079" s="394"/>
      <c r="AC2079" s="394"/>
      <c r="AD2079" s="394"/>
      <c r="AE2079" s="394"/>
      <c r="AF2079" s="394"/>
      <c r="AG2079" s="394"/>
      <c r="AH2079" s="394"/>
      <c r="AI2079" s="394"/>
      <c r="AJ2079" s="394"/>
      <c r="AK2079" s="381"/>
      <c r="AL2079" s="408"/>
      <c r="AM2079" s="385"/>
      <c r="AN2079" s="475"/>
      <c r="AO2079" s="395"/>
      <c r="AP2079" s="395" t="e">
        <f t="shared" si="1033"/>
        <v>#DIV/0!</v>
      </c>
      <c r="AQ2079" s="393"/>
      <c r="AR2079" s="337"/>
      <c r="AS2079" s="497"/>
      <c r="AT2079" s="544"/>
      <c r="AU2079" s="394"/>
      <c r="AV2079" s="394"/>
      <c r="AW2079" s="394"/>
      <c r="AX2079" s="394"/>
      <c r="AY2079" s="394"/>
      <c r="AZ2079" s="394"/>
      <c r="BA2079" s="394"/>
      <c r="BB2079" s="394"/>
      <c r="BC2079" s="394"/>
      <c r="BD2079" s="381"/>
      <c r="BE2079" s="408"/>
      <c r="BF2079" s="385"/>
      <c r="BG2079" s="475"/>
      <c r="BH2079" s="395"/>
      <c r="BI2079" s="395" t="e">
        <f t="shared" si="1034"/>
        <v>#DIV/0!</v>
      </c>
    </row>
    <row r="2080" spans="1:61" s="358" customFormat="1" ht="19.2" x14ac:dyDescent="0.3">
      <c r="A2080" s="359" t="s">
        <v>2217</v>
      </c>
      <c r="B2080" s="537" t="s">
        <v>1801</v>
      </c>
      <c r="C2080" s="546" t="s">
        <v>1238</v>
      </c>
      <c r="D2080" s="360">
        <v>0.4</v>
      </c>
      <c r="E2080" s="393"/>
      <c r="F2080" s="337">
        <v>1</v>
      </c>
      <c r="G2080" s="497"/>
      <c r="H2080" s="544">
        <v>14.0945</v>
      </c>
      <c r="I2080" s="394">
        <v>12.18022</v>
      </c>
      <c r="J2080" s="394">
        <v>10.45833</v>
      </c>
      <c r="K2080" s="394"/>
      <c r="L2080" s="394"/>
      <c r="M2080" s="394">
        <v>0</v>
      </c>
      <c r="N2080" s="394">
        <v>0</v>
      </c>
      <c r="O2080" s="394">
        <v>0.44627</v>
      </c>
      <c r="P2080" s="394">
        <v>10.45833</v>
      </c>
      <c r="Q2080" s="394"/>
      <c r="R2080" s="381" t="s">
        <v>167</v>
      </c>
      <c r="S2080" s="408" t="s">
        <v>175</v>
      </c>
      <c r="T2080" s="385"/>
      <c r="U2080" s="475">
        <v>1000</v>
      </c>
      <c r="V2080" s="395"/>
      <c r="W2080" s="395">
        <f t="shared" si="1032"/>
        <v>14.0945</v>
      </c>
      <c r="X2080" s="393"/>
      <c r="Y2080" s="337"/>
      <c r="Z2080" s="497"/>
      <c r="AA2080" s="544"/>
      <c r="AB2080" s="394"/>
      <c r="AC2080" s="394"/>
      <c r="AD2080" s="394"/>
      <c r="AE2080" s="394"/>
      <c r="AF2080" s="394"/>
      <c r="AG2080" s="394"/>
      <c r="AH2080" s="394"/>
      <c r="AI2080" s="394"/>
      <c r="AJ2080" s="394"/>
      <c r="AK2080" s="381"/>
      <c r="AL2080" s="408"/>
      <c r="AM2080" s="385"/>
      <c r="AN2080" s="475"/>
      <c r="AO2080" s="395"/>
      <c r="AP2080" s="395" t="e">
        <f t="shared" si="1033"/>
        <v>#DIV/0!</v>
      </c>
      <c r="AQ2080" s="393"/>
      <c r="AR2080" s="337"/>
      <c r="AS2080" s="497"/>
      <c r="AT2080" s="544"/>
      <c r="AU2080" s="394"/>
      <c r="AV2080" s="394"/>
      <c r="AW2080" s="394"/>
      <c r="AX2080" s="394"/>
      <c r="AY2080" s="394"/>
      <c r="AZ2080" s="394"/>
      <c r="BA2080" s="394"/>
      <c r="BB2080" s="394"/>
      <c r="BC2080" s="394"/>
      <c r="BD2080" s="381"/>
      <c r="BE2080" s="408"/>
      <c r="BF2080" s="385"/>
      <c r="BG2080" s="475"/>
      <c r="BH2080" s="395"/>
      <c r="BI2080" s="395" t="e">
        <f t="shared" si="1034"/>
        <v>#DIV/0!</v>
      </c>
    </row>
    <row r="2081" spans="1:61" s="358" customFormat="1" ht="19.2" x14ac:dyDescent="0.3">
      <c r="A2081" s="359" t="s">
        <v>2218</v>
      </c>
      <c r="B2081" s="537" t="s">
        <v>1802</v>
      </c>
      <c r="C2081" s="546" t="s">
        <v>1239</v>
      </c>
      <c r="D2081" s="360">
        <v>0.4</v>
      </c>
      <c r="E2081" s="393"/>
      <c r="F2081" s="337">
        <v>1</v>
      </c>
      <c r="G2081" s="497"/>
      <c r="H2081" s="544">
        <v>14.0945</v>
      </c>
      <c r="I2081" s="394">
        <v>12.18022</v>
      </c>
      <c r="J2081" s="394">
        <v>10.45833</v>
      </c>
      <c r="K2081" s="394"/>
      <c r="L2081" s="394"/>
      <c r="M2081" s="394">
        <v>0</v>
      </c>
      <c r="N2081" s="394">
        <v>0</v>
      </c>
      <c r="O2081" s="394">
        <v>0.44627</v>
      </c>
      <c r="P2081" s="394">
        <v>10.45833</v>
      </c>
      <c r="Q2081" s="394"/>
      <c r="R2081" s="381" t="s">
        <v>167</v>
      </c>
      <c r="S2081" s="408" t="s">
        <v>175</v>
      </c>
      <c r="T2081" s="385"/>
      <c r="U2081" s="475">
        <v>1001</v>
      </c>
      <c r="V2081" s="395"/>
      <c r="W2081" s="395">
        <f t="shared" si="1032"/>
        <v>14.0945</v>
      </c>
      <c r="X2081" s="393"/>
      <c r="Y2081" s="337"/>
      <c r="Z2081" s="497"/>
      <c r="AA2081" s="544"/>
      <c r="AB2081" s="394"/>
      <c r="AC2081" s="394"/>
      <c r="AD2081" s="394"/>
      <c r="AE2081" s="394"/>
      <c r="AF2081" s="394"/>
      <c r="AG2081" s="394"/>
      <c r="AH2081" s="394"/>
      <c r="AI2081" s="394"/>
      <c r="AJ2081" s="394"/>
      <c r="AK2081" s="381"/>
      <c r="AL2081" s="408"/>
      <c r="AM2081" s="385"/>
      <c r="AN2081" s="475"/>
      <c r="AO2081" s="395"/>
      <c r="AP2081" s="395" t="e">
        <f t="shared" si="1033"/>
        <v>#DIV/0!</v>
      </c>
      <c r="AQ2081" s="393"/>
      <c r="AR2081" s="337"/>
      <c r="AS2081" s="497"/>
      <c r="AT2081" s="544"/>
      <c r="AU2081" s="394"/>
      <c r="AV2081" s="394"/>
      <c r="AW2081" s="394"/>
      <c r="AX2081" s="394"/>
      <c r="AY2081" s="394"/>
      <c r="AZ2081" s="394"/>
      <c r="BA2081" s="394"/>
      <c r="BB2081" s="394"/>
      <c r="BC2081" s="394"/>
      <c r="BD2081" s="381"/>
      <c r="BE2081" s="408"/>
      <c r="BF2081" s="385"/>
      <c r="BG2081" s="475"/>
      <c r="BH2081" s="395"/>
      <c r="BI2081" s="395" t="e">
        <f t="shared" si="1034"/>
        <v>#DIV/0!</v>
      </c>
    </row>
    <row r="2082" spans="1:61" s="358" customFormat="1" ht="19.2" x14ac:dyDescent="0.3">
      <c r="A2082" s="359" t="s">
        <v>2203</v>
      </c>
      <c r="B2082" s="537" t="s">
        <v>1803</v>
      </c>
      <c r="C2082" s="546" t="s">
        <v>1240</v>
      </c>
      <c r="D2082" s="360">
        <v>0.4</v>
      </c>
      <c r="E2082" s="393"/>
      <c r="F2082" s="337">
        <v>1</v>
      </c>
      <c r="G2082" s="497"/>
      <c r="H2082" s="544">
        <v>14.0945</v>
      </c>
      <c r="I2082" s="394">
        <v>12.18022</v>
      </c>
      <c r="J2082" s="394">
        <v>10.45833</v>
      </c>
      <c r="K2082" s="394"/>
      <c r="L2082" s="394"/>
      <c r="M2082" s="394">
        <v>0</v>
      </c>
      <c r="N2082" s="394">
        <v>0</v>
      </c>
      <c r="O2082" s="394">
        <v>0.44627</v>
      </c>
      <c r="P2082" s="394">
        <v>10.45833</v>
      </c>
      <c r="Q2082" s="394"/>
      <c r="R2082" s="381" t="s">
        <v>167</v>
      </c>
      <c r="S2082" s="408" t="s">
        <v>175</v>
      </c>
      <c r="T2082" s="385"/>
      <c r="U2082" s="475">
        <v>1002</v>
      </c>
      <c r="V2082" s="395"/>
      <c r="W2082" s="395">
        <f t="shared" si="1032"/>
        <v>14.0945</v>
      </c>
      <c r="X2082" s="393"/>
      <c r="Y2082" s="337"/>
      <c r="Z2082" s="497"/>
      <c r="AA2082" s="544"/>
      <c r="AB2082" s="394"/>
      <c r="AC2082" s="394"/>
      <c r="AD2082" s="394"/>
      <c r="AE2082" s="394"/>
      <c r="AF2082" s="394"/>
      <c r="AG2082" s="394"/>
      <c r="AH2082" s="394"/>
      <c r="AI2082" s="394"/>
      <c r="AJ2082" s="394"/>
      <c r="AK2082" s="381"/>
      <c r="AL2082" s="408"/>
      <c r="AM2082" s="385"/>
      <c r="AN2082" s="475"/>
      <c r="AO2082" s="395"/>
      <c r="AP2082" s="395" t="e">
        <f t="shared" si="1033"/>
        <v>#DIV/0!</v>
      </c>
      <c r="AQ2082" s="393"/>
      <c r="AR2082" s="337"/>
      <c r="AS2082" s="497"/>
      <c r="AT2082" s="544"/>
      <c r="AU2082" s="394"/>
      <c r="AV2082" s="394"/>
      <c r="AW2082" s="394"/>
      <c r="AX2082" s="394"/>
      <c r="AY2082" s="394"/>
      <c r="AZ2082" s="394"/>
      <c r="BA2082" s="394"/>
      <c r="BB2082" s="394"/>
      <c r="BC2082" s="394"/>
      <c r="BD2082" s="381"/>
      <c r="BE2082" s="408"/>
      <c r="BF2082" s="385"/>
      <c r="BG2082" s="475"/>
      <c r="BH2082" s="395"/>
      <c r="BI2082" s="395" t="e">
        <f t="shared" si="1034"/>
        <v>#DIV/0!</v>
      </c>
    </row>
    <row r="2083" spans="1:61" s="358" customFormat="1" ht="19.2" x14ac:dyDescent="0.3">
      <c r="A2083" s="359" t="s">
        <v>2220</v>
      </c>
      <c r="B2083" s="537" t="s">
        <v>1804</v>
      </c>
      <c r="C2083" s="546" t="s">
        <v>1241</v>
      </c>
      <c r="D2083" s="360">
        <v>0.4</v>
      </c>
      <c r="E2083" s="393"/>
      <c r="F2083" s="337">
        <v>1</v>
      </c>
      <c r="G2083" s="497"/>
      <c r="H2083" s="544">
        <v>14.094530000000001</v>
      </c>
      <c r="I2083" s="394">
        <v>12.18022</v>
      </c>
      <c r="J2083" s="394">
        <v>10.458349999999999</v>
      </c>
      <c r="K2083" s="394"/>
      <c r="L2083" s="394"/>
      <c r="M2083" s="394">
        <v>0</v>
      </c>
      <c r="N2083" s="394">
        <v>0</v>
      </c>
      <c r="O2083" s="394">
        <v>0.44627</v>
      </c>
      <c r="P2083" s="394">
        <v>10.458349999999999</v>
      </c>
      <c r="Q2083" s="394"/>
      <c r="R2083" s="381" t="s">
        <v>167</v>
      </c>
      <c r="S2083" s="408" t="s">
        <v>175</v>
      </c>
      <c r="T2083" s="385"/>
      <c r="U2083" s="475">
        <v>1003</v>
      </c>
      <c r="V2083" s="395"/>
      <c r="W2083" s="395">
        <f t="shared" si="1032"/>
        <v>14.094530000000001</v>
      </c>
      <c r="X2083" s="393"/>
      <c r="Y2083" s="337"/>
      <c r="Z2083" s="497"/>
      <c r="AA2083" s="544"/>
      <c r="AB2083" s="394"/>
      <c r="AC2083" s="394"/>
      <c r="AD2083" s="394"/>
      <c r="AE2083" s="394"/>
      <c r="AF2083" s="394"/>
      <c r="AG2083" s="394"/>
      <c r="AH2083" s="394"/>
      <c r="AI2083" s="394"/>
      <c r="AJ2083" s="394"/>
      <c r="AK2083" s="381"/>
      <c r="AL2083" s="408"/>
      <c r="AM2083" s="385"/>
      <c r="AN2083" s="475"/>
      <c r="AO2083" s="395"/>
      <c r="AP2083" s="395" t="e">
        <f t="shared" si="1033"/>
        <v>#DIV/0!</v>
      </c>
      <c r="AQ2083" s="393"/>
      <c r="AR2083" s="337"/>
      <c r="AS2083" s="497"/>
      <c r="AT2083" s="544"/>
      <c r="AU2083" s="394"/>
      <c r="AV2083" s="394"/>
      <c r="AW2083" s="394"/>
      <c r="AX2083" s="394"/>
      <c r="AY2083" s="394"/>
      <c r="AZ2083" s="394"/>
      <c r="BA2083" s="394"/>
      <c r="BB2083" s="394"/>
      <c r="BC2083" s="394"/>
      <c r="BD2083" s="381"/>
      <c r="BE2083" s="408"/>
      <c r="BF2083" s="385"/>
      <c r="BG2083" s="475"/>
      <c r="BH2083" s="395"/>
      <c r="BI2083" s="395" t="e">
        <f t="shared" si="1034"/>
        <v>#DIV/0!</v>
      </c>
    </row>
    <row r="2084" spans="1:61" s="358" customFormat="1" ht="19.2" x14ac:dyDescent="0.3">
      <c r="A2084" s="359" t="s">
        <v>2221</v>
      </c>
      <c r="B2084" s="537" t="s">
        <v>1805</v>
      </c>
      <c r="C2084" s="546" t="s">
        <v>1242</v>
      </c>
      <c r="D2084" s="360">
        <v>0.4</v>
      </c>
      <c r="E2084" s="393"/>
      <c r="F2084" s="337">
        <v>1</v>
      </c>
      <c r="G2084" s="497"/>
      <c r="H2084" s="544">
        <v>14.0945</v>
      </c>
      <c r="I2084" s="394">
        <v>12.18022</v>
      </c>
      <c r="J2084" s="394">
        <v>10.45833</v>
      </c>
      <c r="K2084" s="394"/>
      <c r="L2084" s="394"/>
      <c r="M2084" s="394">
        <v>0</v>
      </c>
      <c r="N2084" s="394">
        <v>0</v>
      </c>
      <c r="O2084" s="394">
        <v>0.44627</v>
      </c>
      <c r="P2084" s="394">
        <v>10.45833</v>
      </c>
      <c r="Q2084" s="394"/>
      <c r="R2084" s="381" t="s">
        <v>167</v>
      </c>
      <c r="S2084" s="408" t="s">
        <v>175</v>
      </c>
      <c r="T2084" s="385"/>
      <c r="U2084" s="475">
        <v>1004</v>
      </c>
      <c r="V2084" s="395"/>
      <c r="W2084" s="395">
        <f t="shared" si="1032"/>
        <v>14.0945</v>
      </c>
      <c r="X2084" s="393"/>
      <c r="Y2084" s="337"/>
      <c r="Z2084" s="497"/>
      <c r="AA2084" s="544"/>
      <c r="AB2084" s="394"/>
      <c r="AC2084" s="394"/>
      <c r="AD2084" s="394"/>
      <c r="AE2084" s="394"/>
      <c r="AF2084" s="394"/>
      <c r="AG2084" s="394"/>
      <c r="AH2084" s="394"/>
      <c r="AI2084" s="394"/>
      <c r="AJ2084" s="394"/>
      <c r="AK2084" s="381"/>
      <c r="AL2084" s="408"/>
      <c r="AM2084" s="385"/>
      <c r="AN2084" s="475"/>
      <c r="AO2084" s="395"/>
      <c r="AP2084" s="395" t="e">
        <f t="shared" si="1033"/>
        <v>#DIV/0!</v>
      </c>
      <c r="AQ2084" s="393"/>
      <c r="AR2084" s="337"/>
      <c r="AS2084" s="497"/>
      <c r="AT2084" s="544"/>
      <c r="AU2084" s="394"/>
      <c r="AV2084" s="394"/>
      <c r="AW2084" s="394"/>
      <c r="AX2084" s="394"/>
      <c r="AY2084" s="394"/>
      <c r="AZ2084" s="394"/>
      <c r="BA2084" s="394"/>
      <c r="BB2084" s="394"/>
      <c r="BC2084" s="394"/>
      <c r="BD2084" s="381"/>
      <c r="BE2084" s="408"/>
      <c r="BF2084" s="385"/>
      <c r="BG2084" s="475"/>
      <c r="BH2084" s="395"/>
      <c r="BI2084" s="395" t="e">
        <f t="shared" si="1034"/>
        <v>#DIV/0!</v>
      </c>
    </row>
    <row r="2085" spans="1:61" s="358" customFormat="1" ht="19.2" x14ac:dyDescent="0.3">
      <c r="A2085" s="359" t="s">
        <v>2222</v>
      </c>
      <c r="B2085" s="537" t="s">
        <v>647</v>
      </c>
      <c r="C2085" s="546" t="s">
        <v>525</v>
      </c>
      <c r="D2085" s="360">
        <v>0.4</v>
      </c>
      <c r="E2085" s="393"/>
      <c r="F2085" s="337">
        <v>1</v>
      </c>
      <c r="G2085" s="497"/>
      <c r="H2085" s="544">
        <v>14.0945</v>
      </c>
      <c r="I2085" s="394">
        <v>12.18022</v>
      </c>
      <c r="J2085" s="394">
        <v>10.45833</v>
      </c>
      <c r="K2085" s="394"/>
      <c r="L2085" s="394"/>
      <c r="M2085" s="394">
        <v>0</v>
      </c>
      <c r="N2085" s="394">
        <v>0</v>
      </c>
      <c r="O2085" s="394">
        <v>0.44627</v>
      </c>
      <c r="P2085" s="394">
        <v>10.45833</v>
      </c>
      <c r="Q2085" s="394"/>
      <c r="R2085" s="381" t="s">
        <v>167</v>
      </c>
      <c r="S2085" s="408" t="s">
        <v>175</v>
      </c>
      <c r="T2085" s="385"/>
      <c r="U2085" s="475">
        <v>1005</v>
      </c>
      <c r="V2085" s="395"/>
      <c r="W2085" s="395">
        <f t="shared" si="1032"/>
        <v>14.0945</v>
      </c>
      <c r="X2085" s="393"/>
      <c r="Y2085" s="337"/>
      <c r="Z2085" s="497"/>
      <c r="AA2085" s="544"/>
      <c r="AB2085" s="394"/>
      <c r="AC2085" s="394"/>
      <c r="AD2085" s="394"/>
      <c r="AE2085" s="394"/>
      <c r="AF2085" s="394"/>
      <c r="AG2085" s="394"/>
      <c r="AH2085" s="394"/>
      <c r="AI2085" s="394"/>
      <c r="AJ2085" s="394"/>
      <c r="AK2085" s="381"/>
      <c r="AL2085" s="408"/>
      <c r="AM2085" s="385"/>
      <c r="AN2085" s="475"/>
      <c r="AO2085" s="395"/>
      <c r="AP2085" s="395" t="e">
        <f t="shared" si="1033"/>
        <v>#DIV/0!</v>
      </c>
      <c r="AQ2085" s="393"/>
      <c r="AR2085" s="337"/>
      <c r="AS2085" s="497"/>
      <c r="AT2085" s="544"/>
      <c r="AU2085" s="394"/>
      <c r="AV2085" s="394"/>
      <c r="AW2085" s="394"/>
      <c r="AX2085" s="394"/>
      <c r="AY2085" s="394"/>
      <c r="AZ2085" s="394"/>
      <c r="BA2085" s="394"/>
      <c r="BB2085" s="394"/>
      <c r="BC2085" s="394"/>
      <c r="BD2085" s="381"/>
      <c r="BE2085" s="408"/>
      <c r="BF2085" s="385"/>
      <c r="BG2085" s="475"/>
      <c r="BH2085" s="395"/>
      <c r="BI2085" s="395" t="e">
        <f t="shared" si="1034"/>
        <v>#DIV/0!</v>
      </c>
    </row>
    <row r="2086" spans="1:61" s="358" customFormat="1" ht="19.2" x14ac:dyDescent="0.3">
      <c r="A2086" s="359" t="s">
        <v>2223</v>
      </c>
      <c r="B2086" s="537" t="s">
        <v>1806</v>
      </c>
      <c r="C2086" s="546" t="s">
        <v>1243</v>
      </c>
      <c r="D2086" s="360">
        <v>0.4</v>
      </c>
      <c r="E2086" s="393"/>
      <c r="F2086" s="337">
        <v>1</v>
      </c>
      <c r="G2086" s="497"/>
      <c r="H2086" s="544">
        <v>14.09454</v>
      </c>
      <c r="I2086" s="394">
        <v>12.18022</v>
      </c>
      <c r="J2086" s="394">
        <v>10.458349999999999</v>
      </c>
      <c r="K2086" s="394"/>
      <c r="L2086" s="394"/>
      <c r="M2086" s="394">
        <v>0</v>
      </c>
      <c r="N2086" s="394">
        <v>0</v>
      </c>
      <c r="O2086" s="394">
        <v>0.44627</v>
      </c>
      <c r="P2086" s="394">
        <v>10.458349999999999</v>
      </c>
      <c r="Q2086" s="394"/>
      <c r="R2086" s="381" t="s">
        <v>167</v>
      </c>
      <c r="S2086" s="408" t="s">
        <v>175</v>
      </c>
      <c r="T2086" s="385"/>
      <c r="U2086" s="475">
        <v>1006</v>
      </c>
      <c r="V2086" s="395"/>
      <c r="W2086" s="395">
        <f t="shared" ref="W2086:W2116" si="1035">H2086/F2086</f>
        <v>14.09454</v>
      </c>
      <c r="X2086" s="393"/>
      <c r="Y2086" s="337"/>
      <c r="Z2086" s="497"/>
      <c r="AA2086" s="544"/>
      <c r="AB2086" s="394"/>
      <c r="AC2086" s="394"/>
      <c r="AD2086" s="394"/>
      <c r="AE2086" s="394"/>
      <c r="AF2086" s="394"/>
      <c r="AG2086" s="394"/>
      <c r="AH2086" s="394"/>
      <c r="AI2086" s="394"/>
      <c r="AJ2086" s="394"/>
      <c r="AK2086" s="381"/>
      <c r="AL2086" s="408"/>
      <c r="AM2086" s="385"/>
      <c r="AN2086" s="475"/>
      <c r="AO2086" s="395"/>
      <c r="AP2086" s="395" t="e">
        <f t="shared" si="1033"/>
        <v>#DIV/0!</v>
      </c>
      <c r="AQ2086" s="393"/>
      <c r="AR2086" s="337"/>
      <c r="AS2086" s="497"/>
      <c r="AT2086" s="544"/>
      <c r="AU2086" s="394"/>
      <c r="AV2086" s="394"/>
      <c r="AW2086" s="394"/>
      <c r="AX2086" s="394"/>
      <c r="AY2086" s="394"/>
      <c r="AZ2086" s="394"/>
      <c r="BA2086" s="394"/>
      <c r="BB2086" s="394"/>
      <c r="BC2086" s="394"/>
      <c r="BD2086" s="381"/>
      <c r="BE2086" s="408"/>
      <c r="BF2086" s="385"/>
      <c r="BG2086" s="475"/>
      <c r="BH2086" s="395"/>
      <c r="BI2086" s="395" t="e">
        <f t="shared" si="1034"/>
        <v>#DIV/0!</v>
      </c>
    </row>
    <row r="2087" spans="1:61" s="358" customFormat="1" ht="19.2" x14ac:dyDescent="0.3">
      <c r="A2087" s="359" t="s">
        <v>2224</v>
      </c>
      <c r="B2087" s="537" t="s">
        <v>1807</v>
      </c>
      <c r="C2087" s="546" t="s">
        <v>1244</v>
      </c>
      <c r="D2087" s="360">
        <v>0.4</v>
      </c>
      <c r="E2087" s="393"/>
      <c r="F2087" s="337">
        <v>1</v>
      </c>
      <c r="G2087" s="497"/>
      <c r="H2087" s="544">
        <v>14.0945</v>
      </c>
      <c r="I2087" s="394">
        <v>12.18022</v>
      </c>
      <c r="J2087" s="394">
        <v>10.45833</v>
      </c>
      <c r="K2087" s="394"/>
      <c r="L2087" s="394"/>
      <c r="M2087" s="394">
        <v>0</v>
      </c>
      <c r="N2087" s="394">
        <v>0</v>
      </c>
      <c r="O2087" s="394">
        <v>0.44627</v>
      </c>
      <c r="P2087" s="394">
        <v>10.45833</v>
      </c>
      <c r="Q2087" s="394"/>
      <c r="R2087" s="381" t="s">
        <v>167</v>
      </c>
      <c r="S2087" s="408" t="s">
        <v>175</v>
      </c>
      <c r="T2087" s="385"/>
      <c r="U2087" s="475">
        <v>1007</v>
      </c>
      <c r="V2087" s="395"/>
      <c r="W2087" s="395">
        <f t="shared" si="1035"/>
        <v>14.0945</v>
      </c>
      <c r="X2087" s="393"/>
      <c r="Y2087" s="337"/>
      <c r="Z2087" s="497"/>
      <c r="AA2087" s="544"/>
      <c r="AB2087" s="394"/>
      <c r="AC2087" s="394"/>
      <c r="AD2087" s="394"/>
      <c r="AE2087" s="394"/>
      <c r="AF2087" s="394"/>
      <c r="AG2087" s="394"/>
      <c r="AH2087" s="394"/>
      <c r="AI2087" s="394"/>
      <c r="AJ2087" s="394"/>
      <c r="AK2087" s="381"/>
      <c r="AL2087" s="408"/>
      <c r="AM2087" s="385"/>
      <c r="AN2087" s="475"/>
      <c r="AO2087" s="395"/>
      <c r="AP2087" s="395" t="e">
        <f t="shared" si="1033"/>
        <v>#DIV/0!</v>
      </c>
      <c r="AQ2087" s="393"/>
      <c r="AR2087" s="337"/>
      <c r="AS2087" s="497"/>
      <c r="AT2087" s="544"/>
      <c r="AU2087" s="394"/>
      <c r="AV2087" s="394"/>
      <c r="AW2087" s="394"/>
      <c r="AX2087" s="394"/>
      <c r="AY2087" s="394"/>
      <c r="AZ2087" s="394"/>
      <c r="BA2087" s="394"/>
      <c r="BB2087" s="394"/>
      <c r="BC2087" s="394"/>
      <c r="BD2087" s="381"/>
      <c r="BE2087" s="408"/>
      <c r="BF2087" s="385"/>
      <c r="BG2087" s="475"/>
      <c r="BH2087" s="395"/>
      <c r="BI2087" s="395" t="e">
        <f t="shared" si="1034"/>
        <v>#DIV/0!</v>
      </c>
    </row>
    <row r="2088" spans="1:61" s="358" customFormat="1" ht="19.2" x14ac:dyDescent="0.3">
      <c r="A2088" s="359" t="s">
        <v>2225</v>
      </c>
      <c r="B2088" s="537" t="s">
        <v>1808</v>
      </c>
      <c r="C2088" s="546" t="s">
        <v>1245</v>
      </c>
      <c r="D2088" s="360">
        <v>0.4</v>
      </c>
      <c r="E2088" s="393"/>
      <c r="F2088" s="337">
        <v>1</v>
      </c>
      <c r="G2088" s="497"/>
      <c r="H2088" s="544">
        <v>14.09454</v>
      </c>
      <c r="I2088" s="394">
        <v>12.18022</v>
      </c>
      <c r="J2088" s="394">
        <v>10.458349999999999</v>
      </c>
      <c r="K2088" s="394"/>
      <c r="L2088" s="394"/>
      <c r="M2088" s="394">
        <v>0</v>
      </c>
      <c r="N2088" s="394">
        <v>0</v>
      </c>
      <c r="O2088" s="394">
        <v>0.44627</v>
      </c>
      <c r="P2088" s="394">
        <v>10.458349999999999</v>
      </c>
      <c r="Q2088" s="394"/>
      <c r="R2088" s="381" t="s">
        <v>167</v>
      </c>
      <c r="S2088" s="408" t="s">
        <v>175</v>
      </c>
      <c r="T2088" s="385"/>
      <c r="U2088" s="475">
        <v>1008</v>
      </c>
      <c r="V2088" s="395"/>
      <c r="W2088" s="395">
        <f t="shared" si="1035"/>
        <v>14.09454</v>
      </c>
      <c r="X2088" s="393"/>
      <c r="Y2088" s="337"/>
      <c r="Z2088" s="497"/>
      <c r="AA2088" s="544"/>
      <c r="AB2088" s="394"/>
      <c r="AC2088" s="394"/>
      <c r="AD2088" s="394"/>
      <c r="AE2088" s="394"/>
      <c r="AF2088" s="394"/>
      <c r="AG2088" s="394"/>
      <c r="AH2088" s="394"/>
      <c r="AI2088" s="394"/>
      <c r="AJ2088" s="394"/>
      <c r="AK2088" s="381"/>
      <c r="AL2088" s="408"/>
      <c r="AM2088" s="385"/>
      <c r="AN2088" s="475"/>
      <c r="AO2088" s="395"/>
      <c r="AP2088" s="395" t="e">
        <f t="shared" si="1033"/>
        <v>#DIV/0!</v>
      </c>
      <c r="AQ2088" s="393"/>
      <c r="AR2088" s="337"/>
      <c r="AS2088" s="497"/>
      <c r="AT2088" s="544"/>
      <c r="AU2088" s="394"/>
      <c r="AV2088" s="394"/>
      <c r="AW2088" s="394"/>
      <c r="AX2088" s="394"/>
      <c r="AY2088" s="394"/>
      <c r="AZ2088" s="394"/>
      <c r="BA2088" s="394"/>
      <c r="BB2088" s="394"/>
      <c r="BC2088" s="394"/>
      <c r="BD2088" s="381"/>
      <c r="BE2088" s="408"/>
      <c r="BF2088" s="385"/>
      <c r="BG2088" s="475"/>
      <c r="BH2088" s="395"/>
      <c r="BI2088" s="395" t="e">
        <f t="shared" si="1034"/>
        <v>#DIV/0!</v>
      </c>
    </row>
    <row r="2089" spans="1:61" s="358" customFormat="1" ht="19.2" x14ac:dyDescent="0.3">
      <c r="A2089" s="359" t="s">
        <v>2226</v>
      </c>
      <c r="B2089" s="537" t="s">
        <v>1809</v>
      </c>
      <c r="C2089" s="546" t="s">
        <v>1246</v>
      </c>
      <c r="D2089" s="360">
        <v>0.4</v>
      </c>
      <c r="E2089" s="393"/>
      <c r="F2089" s="337">
        <v>1</v>
      </c>
      <c r="G2089" s="497"/>
      <c r="H2089" s="544">
        <v>14.0945</v>
      </c>
      <c r="I2089" s="394">
        <v>12.18022</v>
      </c>
      <c r="J2089" s="394">
        <v>10.45833</v>
      </c>
      <c r="K2089" s="394"/>
      <c r="L2089" s="394"/>
      <c r="M2089" s="394">
        <v>0</v>
      </c>
      <c r="N2089" s="394">
        <v>0</v>
      </c>
      <c r="O2089" s="394">
        <v>0.44627</v>
      </c>
      <c r="P2089" s="394">
        <v>10.45833</v>
      </c>
      <c r="Q2089" s="394"/>
      <c r="R2089" s="381" t="s">
        <v>167</v>
      </c>
      <c r="S2089" s="408" t="s">
        <v>175</v>
      </c>
      <c r="T2089" s="385"/>
      <c r="U2089" s="475">
        <v>1009</v>
      </c>
      <c r="V2089" s="395"/>
      <c r="W2089" s="395">
        <f t="shared" si="1035"/>
        <v>14.0945</v>
      </c>
      <c r="X2089" s="393"/>
      <c r="Y2089" s="337"/>
      <c r="Z2089" s="497"/>
      <c r="AA2089" s="544"/>
      <c r="AB2089" s="394"/>
      <c r="AC2089" s="394"/>
      <c r="AD2089" s="394"/>
      <c r="AE2089" s="394"/>
      <c r="AF2089" s="394"/>
      <c r="AG2089" s="394"/>
      <c r="AH2089" s="394"/>
      <c r="AI2089" s="394"/>
      <c r="AJ2089" s="394"/>
      <c r="AK2089" s="381"/>
      <c r="AL2089" s="408"/>
      <c r="AM2089" s="385"/>
      <c r="AN2089" s="475"/>
      <c r="AO2089" s="395"/>
      <c r="AP2089" s="395" t="e">
        <f t="shared" si="1033"/>
        <v>#DIV/0!</v>
      </c>
      <c r="AQ2089" s="393"/>
      <c r="AR2089" s="337"/>
      <c r="AS2089" s="497"/>
      <c r="AT2089" s="544"/>
      <c r="AU2089" s="394"/>
      <c r="AV2089" s="394"/>
      <c r="AW2089" s="394"/>
      <c r="AX2089" s="394"/>
      <c r="AY2089" s="394"/>
      <c r="AZ2089" s="394"/>
      <c r="BA2089" s="394"/>
      <c r="BB2089" s="394"/>
      <c r="BC2089" s="394"/>
      <c r="BD2089" s="381"/>
      <c r="BE2089" s="408"/>
      <c r="BF2089" s="385"/>
      <c r="BG2089" s="475"/>
      <c r="BH2089" s="395"/>
      <c r="BI2089" s="395" t="e">
        <f t="shared" si="1034"/>
        <v>#DIV/0!</v>
      </c>
    </row>
    <row r="2090" spans="1:61" s="358" customFormat="1" ht="19.2" x14ac:dyDescent="0.3">
      <c r="A2090" s="359" t="s">
        <v>2227</v>
      </c>
      <c r="B2090" s="537" t="s">
        <v>1810</v>
      </c>
      <c r="C2090" s="546" t="s">
        <v>1247</v>
      </c>
      <c r="D2090" s="360">
        <v>0.4</v>
      </c>
      <c r="E2090" s="393"/>
      <c r="F2090" s="337">
        <v>1</v>
      </c>
      <c r="G2090" s="497"/>
      <c r="H2090" s="544">
        <v>14.0945</v>
      </c>
      <c r="I2090" s="394">
        <v>12.18022</v>
      </c>
      <c r="J2090" s="394">
        <v>10.45833</v>
      </c>
      <c r="K2090" s="394"/>
      <c r="L2090" s="394"/>
      <c r="M2090" s="394">
        <v>0</v>
      </c>
      <c r="N2090" s="394">
        <v>0</v>
      </c>
      <c r="O2090" s="394">
        <v>0.44627</v>
      </c>
      <c r="P2090" s="394">
        <v>10.45833</v>
      </c>
      <c r="Q2090" s="394"/>
      <c r="R2090" s="381" t="s">
        <v>167</v>
      </c>
      <c r="S2090" s="408" t="s">
        <v>175</v>
      </c>
      <c r="T2090" s="385"/>
      <c r="U2090" s="475">
        <v>1010</v>
      </c>
      <c r="V2090" s="395"/>
      <c r="W2090" s="395">
        <f t="shared" si="1035"/>
        <v>14.0945</v>
      </c>
      <c r="X2090" s="393"/>
      <c r="Y2090" s="337"/>
      <c r="Z2090" s="497"/>
      <c r="AA2090" s="544"/>
      <c r="AB2090" s="394"/>
      <c r="AC2090" s="394"/>
      <c r="AD2090" s="394"/>
      <c r="AE2090" s="394"/>
      <c r="AF2090" s="394"/>
      <c r="AG2090" s="394"/>
      <c r="AH2090" s="394"/>
      <c r="AI2090" s="394"/>
      <c r="AJ2090" s="394"/>
      <c r="AK2090" s="381"/>
      <c r="AL2090" s="408"/>
      <c r="AM2090" s="385"/>
      <c r="AN2090" s="475"/>
      <c r="AO2090" s="395"/>
      <c r="AP2090" s="395" t="e">
        <f t="shared" si="1033"/>
        <v>#DIV/0!</v>
      </c>
      <c r="AQ2090" s="393"/>
      <c r="AR2090" s="337"/>
      <c r="AS2090" s="497"/>
      <c r="AT2090" s="544"/>
      <c r="AU2090" s="394"/>
      <c r="AV2090" s="394"/>
      <c r="AW2090" s="394"/>
      <c r="AX2090" s="394"/>
      <c r="AY2090" s="394"/>
      <c r="AZ2090" s="394"/>
      <c r="BA2090" s="394"/>
      <c r="BB2090" s="394"/>
      <c r="BC2090" s="394"/>
      <c r="BD2090" s="381"/>
      <c r="BE2090" s="408"/>
      <c r="BF2090" s="385"/>
      <c r="BG2090" s="475"/>
      <c r="BH2090" s="395"/>
      <c r="BI2090" s="395" t="e">
        <f t="shared" si="1034"/>
        <v>#DIV/0!</v>
      </c>
    </row>
    <row r="2091" spans="1:61" s="358" customFormat="1" ht="19.2" x14ac:dyDescent="0.3">
      <c r="A2091" s="359" t="s">
        <v>2244</v>
      </c>
      <c r="B2091" s="537" t="s">
        <v>1811</v>
      </c>
      <c r="C2091" s="546" t="s">
        <v>1248</v>
      </c>
      <c r="D2091" s="360">
        <v>0.4</v>
      </c>
      <c r="E2091" s="393"/>
      <c r="F2091" s="337">
        <v>1</v>
      </c>
      <c r="G2091" s="497"/>
      <c r="H2091" s="544">
        <v>14.09454</v>
      </c>
      <c r="I2091" s="394">
        <v>12.18022</v>
      </c>
      <c r="J2091" s="394">
        <v>10.458349999999999</v>
      </c>
      <c r="K2091" s="394"/>
      <c r="L2091" s="394"/>
      <c r="M2091" s="394">
        <v>0</v>
      </c>
      <c r="N2091" s="394">
        <v>0</v>
      </c>
      <c r="O2091" s="394">
        <v>0.44627</v>
      </c>
      <c r="P2091" s="394">
        <v>10.458349999999999</v>
      </c>
      <c r="Q2091" s="394"/>
      <c r="R2091" s="381" t="s">
        <v>167</v>
      </c>
      <c r="S2091" s="408" t="s">
        <v>175</v>
      </c>
      <c r="T2091" s="385"/>
      <c r="U2091" s="475">
        <v>1011</v>
      </c>
      <c r="V2091" s="395"/>
      <c r="W2091" s="395">
        <f t="shared" si="1035"/>
        <v>14.09454</v>
      </c>
      <c r="X2091" s="393"/>
      <c r="Y2091" s="337"/>
      <c r="Z2091" s="497"/>
      <c r="AA2091" s="544"/>
      <c r="AB2091" s="394"/>
      <c r="AC2091" s="394"/>
      <c r="AD2091" s="394"/>
      <c r="AE2091" s="394"/>
      <c r="AF2091" s="394"/>
      <c r="AG2091" s="394"/>
      <c r="AH2091" s="394"/>
      <c r="AI2091" s="394"/>
      <c r="AJ2091" s="394"/>
      <c r="AK2091" s="381"/>
      <c r="AL2091" s="408"/>
      <c r="AM2091" s="385"/>
      <c r="AN2091" s="475"/>
      <c r="AO2091" s="395"/>
      <c r="AP2091" s="395" t="e">
        <f t="shared" si="1033"/>
        <v>#DIV/0!</v>
      </c>
      <c r="AQ2091" s="393"/>
      <c r="AR2091" s="337"/>
      <c r="AS2091" s="497"/>
      <c r="AT2091" s="544"/>
      <c r="AU2091" s="394"/>
      <c r="AV2091" s="394"/>
      <c r="AW2091" s="394"/>
      <c r="AX2091" s="394"/>
      <c r="AY2091" s="394"/>
      <c r="AZ2091" s="394"/>
      <c r="BA2091" s="394"/>
      <c r="BB2091" s="394"/>
      <c r="BC2091" s="394"/>
      <c r="BD2091" s="381"/>
      <c r="BE2091" s="408"/>
      <c r="BF2091" s="385"/>
      <c r="BG2091" s="475"/>
      <c r="BH2091" s="395"/>
      <c r="BI2091" s="395" t="e">
        <f t="shared" si="1034"/>
        <v>#DIV/0!</v>
      </c>
    </row>
    <row r="2092" spans="1:61" s="358" customFormat="1" ht="19.2" x14ac:dyDescent="0.3">
      <c r="A2092" s="359" t="s">
        <v>2229</v>
      </c>
      <c r="B2092" s="537" t="s">
        <v>1363</v>
      </c>
      <c r="C2092" s="546" t="s">
        <v>1249</v>
      </c>
      <c r="D2092" s="360">
        <v>0.4</v>
      </c>
      <c r="E2092" s="393"/>
      <c r="F2092" s="337">
        <v>1</v>
      </c>
      <c r="G2092" s="497"/>
      <c r="H2092" s="544">
        <v>14.0945</v>
      </c>
      <c r="I2092" s="394">
        <v>12.18022</v>
      </c>
      <c r="J2092" s="394">
        <v>10.45833</v>
      </c>
      <c r="K2092" s="394"/>
      <c r="L2092" s="394"/>
      <c r="M2092" s="394">
        <v>0</v>
      </c>
      <c r="N2092" s="394">
        <v>0</v>
      </c>
      <c r="O2092" s="394">
        <v>0.44627</v>
      </c>
      <c r="P2092" s="394">
        <v>10.45833</v>
      </c>
      <c r="Q2092" s="394"/>
      <c r="R2092" s="381" t="s">
        <v>167</v>
      </c>
      <c r="S2092" s="408" t="s">
        <v>175</v>
      </c>
      <c r="T2092" s="385"/>
      <c r="U2092" s="475">
        <v>1012</v>
      </c>
      <c r="V2092" s="395"/>
      <c r="W2092" s="395">
        <f t="shared" si="1035"/>
        <v>14.0945</v>
      </c>
      <c r="X2092" s="393"/>
      <c r="Y2092" s="337"/>
      <c r="Z2092" s="497"/>
      <c r="AA2092" s="544"/>
      <c r="AB2092" s="394"/>
      <c r="AC2092" s="394"/>
      <c r="AD2092" s="394"/>
      <c r="AE2092" s="394"/>
      <c r="AF2092" s="394"/>
      <c r="AG2092" s="394"/>
      <c r="AH2092" s="394"/>
      <c r="AI2092" s="394"/>
      <c r="AJ2092" s="394"/>
      <c r="AK2092" s="381"/>
      <c r="AL2092" s="408"/>
      <c r="AM2092" s="385"/>
      <c r="AN2092" s="475"/>
      <c r="AO2092" s="395"/>
      <c r="AP2092" s="395" t="e">
        <f t="shared" si="1033"/>
        <v>#DIV/0!</v>
      </c>
      <c r="AQ2092" s="393"/>
      <c r="AR2092" s="337"/>
      <c r="AS2092" s="497"/>
      <c r="AT2092" s="544"/>
      <c r="AU2092" s="394"/>
      <c r="AV2092" s="394"/>
      <c r="AW2092" s="394"/>
      <c r="AX2092" s="394"/>
      <c r="AY2092" s="394"/>
      <c r="AZ2092" s="394"/>
      <c r="BA2092" s="394"/>
      <c r="BB2092" s="394"/>
      <c r="BC2092" s="394"/>
      <c r="BD2092" s="381"/>
      <c r="BE2092" s="408"/>
      <c r="BF2092" s="385"/>
      <c r="BG2092" s="475"/>
      <c r="BH2092" s="395"/>
      <c r="BI2092" s="395" t="e">
        <f t="shared" si="1034"/>
        <v>#DIV/0!</v>
      </c>
    </row>
    <row r="2093" spans="1:61" s="358" customFormat="1" ht="19.2" x14ac:dyDescent="0.3">
      <c r="A2093" s="359" t="s">
        <v>2230</v>
      </c>
      <c r="B2093" s="537" t="s">
        <v>1812</v>
      </c>
      <c r="C2093" s="546" t="s">
        <v>1250</v>
      </c>
      <c r="D2093" s="360">
        <v>0.4</v>
      </c>
      <c r="E2093" s="393"/>
      <c r="F2093" s="337">
        <v>1</v>
      </c>
      <c r="G2093" s="497"/>
      <c r="H2093" s="544">
        <v>14.09454</v>
      </c>
      <c r="I2093" s="394">
        <v>12.18022</v>
      </c>
      <c r="J2093" s="394">
        <v>10.458349999999999</v>
      </c>
      <c r="K2093" s="394"/>
      <c r="L2093" s="394"/>
      <c r="M2093" s="394">
        <v>0</v>
      </c>
      <c r="N2093" s="394">
        <v>0</v>
      </c>
      <c r="O2093" s="394">
        <v>0.44627</v>
      </c>
      <c r="P2093" s="394">
        <v>10.458349999999999</v>
      </c>
      <c r="Q2093" s="394"/>
      <c r="R2093" s="381" t="s">
        <v>167</v>
      </c>
      <c r="S2093" s="408" t="s">
        <v>175</v>
      </c>
      <c r="T2093" s="385"/>
      <c r="U2093" s="475">
        <v>1013</v>
      </c>
      <c r="V2093" s="395"/>
      <c r="W2093" s="395">
        <f t="shared" si="1035"/>
        <v>14.09454</v>
      </c>
      <c r="X2093" s="393"/>
      <c r="Y2093" s="337"/>
      <c r="Z2093" s="497"/>
      <c r="AA2093" s="544"/>
      <c r="AB2093" s="394"/>
      <c r="AC2093" s="394"/>
      <c r="AD2093" s="394"/>
      <c r="AE2093" s="394"/>
      <c r="AF2093" s="394"/>
      <c r="AG2093" s="394"/>
      <c r="AH2093" s="394"/>
      <c r="AI2093" s="394"/>
      <c r="AJ2093" s="394"/>
      <c r="AK2093" s="381"/>
      <c r="AL2093" s="408"/>
      <c r="AM2093" s="385"/>
      <c r="AN2093" s="475"/>
      <c r="AO2093" s="395"/>
      <c r="AP2093" s="395" t="e">
        <f t="shared" si="1033"/>
        <v>#DIV/0!</v>
      </c>
      <c r="AQ2093" s="393"/>
      <c r="AR2093" s="337"/>
      <c r="AS2093" s="497"/>
      <c r="AT2093" s="544"/>
      <c r="AU2093" s="394"/>
      <c r="AV2093" s="394"/>
      <c r="AW2093" s="394"/>
      <c r="AX2093" s="394"/>
      <c r="AY2093" s="394"/>
      <c r="AZ2093" s="394"/>
      <c r="BA2093" s="394"/>
      <c r="BB2093" s="394"/>
      <c r="BC2093" s="394"/>
      <c r="BD2093" s="381"/>
      <c r="BE2093" s="408"/>
      <c r="BF2093" s="385"/>
      <c r="BG2093" s="475"/>
      <c r="BH2093" s="395"/>
      <c r="BI2093" s="395" t="e">
        <f t="shared" si="1034"/>
        <v>#DIV/0!</v>
      </c>
    </row>
    <row r="2094" spans="1:61" s="358" customFormat="1" ht="19.2" x14ac:dyDescent="0.3">
      <c r="A2094" s="359" t="s">
        <v>2231</v>
      </c>
      <c r="B2094" s="537" t="s">
        <v>1813</v>
      </c>
      <c r="C2094" s="546" t="s">
        <v>1251</v>
      </c>
      <c r="D2094" s="360">
        <v>0.4</v>
      </c>
      <c r="E2094" s="393"/>
      <c r="F2094" s="337">
        <v>1</v>
      </c>
      <c r="G2094" s="497"/>
      <c r="H2094" s="544">
        <v>14.0945</v>
      </c>
      <c r="I2094" s="394">
        <v>12.18022</v>
      </c>
      <c r="J2094" s="394">
        <v>10.45833</v>
      </c>
      <c r="K2094" s="394"/>
      <c r="L2094" s="394"/>
      <c r="M2094" s="394">
        <v>0</v>
      </c>
      <c r="N2094" s="394">
        <v>0</v>
      </c>
      <c r="O2094" s="394">
        <v>0.44627</v>
      </c>
      <c r="P2094" s="394">
        <v>10.45833</v>
      </c>
      <c r="Q2094" s="394"/>
      <c r="R2094" s="381" t="s">
        <v>167</v>
      </c>
      <c r="S2094" s="408" t="s">
        <v>175</v>
      </c>
      <c r="T2094" s="385"/>
      <c r="U2094" s="475">
        <v>1014</v>
      </c>
      <c r="V2094" s="395"/>
      <c r="W2094" s="395">
        <f t="shared" si="1035"/>
        <v>14.0945</v>
      </c>
      <c r="X2094" s="393"/>
      <c r="Y2094" s="337"/>
      <c r="Z2094" s="497"/>
      <c r="AA2094" s="544"/>
      <c r="AB2094" s="394"/>
      <c r="AC2094" s="394"/>
      <c r="AD2094" s="394"/>
      <c r="AE2094" s="394"/>
      <c r="AF2094" s="394"/>
      <c r="AG2094" s="394"/>
      <c r="AH2094" s="394"/>
      <c r="AI2094" s="394"/>
      <c r="AJ2094" s="394"/>
      <c r="AK2094" s="381"/>
      <c r="AL2094" s="408"/>
      <c r="AM2094" s="385"/>
      <c r="AN2094" s="475"/>
      <c r="AO2094" s="395"/>
      <c r="AP2094" s="395" t="e">
        <f t="shared" si="1033"/>
        <v>#DIV/0!</v>
      </c>
      <c r="AQ2094" s="393"/>
      <c r="AR2094" s="337"/>
      <c r="AS2094" s="497"/>
      <c r="AT2094" s="544"/>
      <c r="AU2094" s="394"/>
      <c r="AV2094" s="394"/>
      <c r="AW2094" s="394"/>
      <c r="AX2094" s="394"/>
      <c r="AY2094" s="394"/>
      <c r="AZ2094" s="394"/>
      <c r="BA2094" s="394"/>
      <c r="BB2094" s="394"/>
      <c r="BC2094" s="394"/>
      <c r="BD2094" s="381"/>
      <c r="BE2094" s="408"/>
      <c r="BF2094" s="385"/>
      <c r="BG2094" s="475"/>
      <c r="BH2094" s="395"/>
      <c r="BI2094" s="395" t="e">
        <f t="shared" si="1034"/>
        <v>#DIV/0!</v>
      </c>
    </row>
    <row r="2095" spans="1:61" s="358" customFormat="1" ht="19.2" x14ac:dyDescent="0.3">
      <c r="A2095" s="359" t="s">
        <v>2248</v>
      </c>
      <c r="B2095" s="537" t="s">
        <v>1814</v>
      </c>
      <c r="C2095" s="546" t="s">
        <v>1252</v>
      </c>
      <c r="D2095" s="360">
        <v>0.4</v>
      </c>
      <c r="E2095" s="393"/>
      <c r="F2095" s="337">
        <v>1</v>
      </c>
      <c r="G2095" s="497"/>
      <c r="H2095" s="544">
        <v>14.09454</v>
      </c>
      <c r="I2095" s="394">
        <v>12.18022</v>
      </c>
      <c r="J2095" s="394">
        <v>10.458349999999999</v>
      </c>
      <c r="K2095" s="394"/>
      <c r="L2095" s="394"/>
      <c r="M2095" s="394">
        <v>0</v>
      </c>
      <c r="N2095" s="394">
        <v>0</v>
      </c>
      <c r="O2095" s="394">
        <v>0.44627</v>
      </c>
      <c r="P2095" s="394">
        <v>10.458349999999999</v>
      </c>
      <c r="Q2095" s="394"/>
      <c r="R2095" s="381" t="s">
        <v>167</v>
      </c>
      <c r="S2095" s="408" t="s">
        <v>175</v>
      </c>
      <c r="T2095" s="385"/>
      <c r="U2095" s="475">
        <v>1015</v>
      </c>
      <c r="V2095" s="395"/>
      <c r="W2095" s="395">
        <f t="shared" si="1035"/>
        <v>14.09454</v>
      </c>
      <c r="X2095" s="393"/>
      <c r="Y2095" s="337"/>
      <c r="Z2095" s="497"/>
      <c r="AA2095" s="544"/>
      <c r="AB2095" s="394"/>
      <c r="AC2095" s="394"/>
      <c r="AD2095" s="394"/>
      <c r="AE2095" s="394"/>
      <c r="AF2095" s="394"/>
      <c r="AG2095" s="394"/>
      <c r="AH2095" s="394"/>
      <c r="AI2095" s="394"/>
      <c r="AJ2095" s="394"/>
      <c r="AK2095" s="381"/>
      <c r="AL2095" s="408"/>
      <c r="AM2095" s="385"/>
      <c r="AN2095" s="475"/>
      <c r="AO2095" s="395"/>
      <c r="AP2095" s="395" t="e">
        <f t="shared" si="1033"/>
        <v>#DIV/0!</v>
      </c>
      <c r="AQ2095" s="393"/>
      <c r="AR2095" s="337"/>
      <c r="AS2095" s="497"/>
      <c r="AT2095" s="544"/>
      <c r="AU2095" s="394"/>
      <c r="AV2095" s="394"/>
      <c r="AW2095" s="394"/>
      <c r="AX2095" s="394"/>
      <c r="AY2095" s="394"/>
      <c r="AZ2095" s="394"/>
      <c r="BA2095" s="394"/>
      <c r="BB2095" s="394"/>
      <c r="BC2095" s="394"/>
      <c r="BD2095" s="381"/>
      <c r="BE2095" s="408"/>
      <c r="BF2095" s="385"/>
      <c r="BG2095" s="475"/>
      <c r="BH2095" s="395"/>
      <c r="BI2095" s="395" t="e">
        <f t="shared" si="1034"/>
        <v>#DIV/0!</v>
      </c>
    </row>
    <row r="2096" spans="1:61" s="358" customFormat="1" ht="19.2" x14ac:dyDescent="0.3">
      <c r="A2096" s="359" t="s">
        <v>2233</v>
      </c>
      <c r="B2096" s="537" t="s">
        <v>1815</v>
      </c>
      <c r="C2096" s="546" t="s">
        <v>1253</v>
      </c>
      <c r="D2096" s="360">
        <v>0.4</v>
      </c>
      <c r="E2096" s="393"/>
      <c r="F2096" s="337">
        <v>1</v>
      </c>
      <c r="G2096" s="497"/>
      <c r="H2096" s="544">
        <v>13.34033</v>
      </c>
      <c r="I2096" s="394">
        <v>11.42605</v>
      </c>
      <c r="J2096" s="394">
        <v>10.458320000000001</v>
      </c>
      <c r="K2096" s="394"/>
      <c r="L2096" s="394"/>
      <c r="M2096" s="394">
        <v>0</v>
      </c>
      <c r="N2096" s="394">
        <v>0</v>
      </c>
      <c r="O2096" s="394">
        <v>0.44627</v>
      </c>
      <c r="P2096" s="394">
        <v>10.458320000000001</v>
      </c>
      <c r="Q2096" s="394"/>
      <c r="R2096" s="381" t="s">
        <v>167</v>
      </c>
      <c r="S2096" s="408" t="s">
        <v>175</v>
      </c>
      <c r="T2096" s="385"/>
      <c r="U2096" s="475">
        <v>1016</v>
      </c>
      <c r="V2096" s="395"/>
      <c r="W2096" s="395">
        <f t="shared" si="1035"/>
        <v>13.34033</v>
      </c>
      <c r="X2096" s="393"/>
      <c r="Y2096" s="337"/>
      <c r="Z2096" s="497"/>
      <c r="AA2096" s="544"/>
      <c r="AB2096" s="394"/>
      <c r="AC2096" s="394"/>
      <c r="AD2096" s="394"/>
      <c r="AE2096" s="394"/>
      <c r="AF2096" s="394"/>
      <c r="AG2096" s="394"/>
      <c r="AH2096" s="394"/>
      <c r="AI2096" s="394"/>
      <c r="AJ2096" s="394"/>
      <c r="AK2096" s="381"/>
      <c r="AL2096" s="408"/>
      <c r="AM2096" s="385"/>
      <c r="AN2096" s="475"/>
      <c r="AO2096" s="395"/>
      <c r="AP2096" s="395" t="e">
        <f t="shared" si="1033"/>
        <v>#DIV/0!</v>
      </c>
      <c r="AQ2096" s="393"/>
      <c r="AR2096" s="337"/>
      <c r="AS2096" s="497"/>
      <c r="AT2096" s="544"/>
      <c r="AU2096" s="394"/>
      <c r="AV2096" s="394"/>
      <c r="AW2096" s="394"/>
      <c r="AX2096" s="394"/>
      <c r="AY2096" s="394"/>
      <c r="AZ2096" s="394"/>
      <c r="BA2096" s="394"/>
      <c r="BB2096" s="394"/>
      <c r="BC2096" s="394"/>
      <c r="BD2096" s="381"/>
      <c r="BE2096" s="408"/>
      <c r="BF2096" s="385"/>
      <c r="BG2096" s="475"/>
      <c r="BH2096" s="395"/>
      <c r="BI2096" s="395" t="e">
        <f t="shared" si="1034"/>
        <v>#DIV/0!</v>
      </c>
    </row>
    <row r="2097" spans="1:61" s="358" customFormat="1" ht="19.2" x14ac:dyDescent="0.3">
      <c r="A2097" s="359" t="s">
        <v>2234</v>
      </c>
      <c r="B2097" s="537" t="s">
        <v>1816</v>
      </c>
      <c r="C2097" s="546" t="s">
        <v>1254</v>
      </c>
      <c r="D2097" s="360">
        <v>0.4</v>
      </c>
      <c r="E2097" s="393"/>
      <c r="F2097" s="337">
        <v>1</v>
      </c>
      <c r="G2097" s="497"/>
      <c r="H2097" s="544">
        <v>13.340350000000001</v>
      </c>
      <c r="I2097" s="394">
        <v>11.42605</v>
      </c>
      <c r="J2097" s="394">
        <v>10.45834</v>
      </c>
      <c r="K2097" s="394"/>
      <c r="L2097" s="394"/>
      <c r="M2097" s="394">
        <v>0</v>
      </c>
      <c r="N2097" s="394">
        <v>0</v>
      </c>
      <c r="O2097" s="394">
        <v>0.44627</v>
      </c>
      <c r="P2097" s="394">
        <v>10.45834</v>
      </c>
      <c r="Q2097" s="394"/>
      <c r="R2097" s="381" t="s">
        <v>167</v>
      </c>
      <c r="S2097" s="408" t="s">
        <v>175</v>
      </c>
      <c r="T2097" s="385"/>
      <c r="U2097" s="475">
        <v>1017</v>
      </c>
      <c r="V2097" s="395"/>
      <c r="W2097" s="395">
        <f t="shared" si="1035"/>
        <v>13.340350000000001</v>
      </c>
      <c r="X2097" s="393"/>
      <c r="Y2097" s="337"/>
      <c r="Z2097" s="497"/>
      <c r="AA2097" s="544"/>
      <c r="AB2097" s="394"/>
      <c r="AC2097" s="394"/>
      <c r="AD2097" s="394"/>
      <c r="AE2097" s="394"/>
      <c r="AF2097" s="394"/>
      <c r="AG2097" s="394"/>
      <c r="AH2097" s="394"/>
      <c r="AI2097" s="394"/>
      <c r="AJ2097" s="394"/>
      <c r="AK2097" s="381"/>
      <c r="AL2097" s="408"/>
      <c r="AM2097" s="385"/>
      <c r="AN2097" s="475"/>
      <c r="AO2097" s="395"/>
      <c r="AP2097" s="395" t="e">
        <f t="shared" si="1033"/>
        <v>#DIV/0!</v>
      </c>
      <c r="AQ2097" s="393"/>
      <c r="AR2097" s="337"/>
      <c r="AS2097" s="497"/>
      <c r="AT2097" s="544"/>
      <c r="AU2097" s="394"/>
      <c r="AV2097" s="394"/>
      <c r="AW2097" s="394"/>
      <c r="AX2097" s="394"/>
      <c r="AY2097" s="394"/>
      <c r="AZ2097" s="394"/>
      <c r="BA2097" s="394"/>
      <c r="BB2097" s="394"/>
      <c r="BC2097" s="394"/>
      <c r="BD2097" s="381"/>
      <c r="BE2097" s="408"/>
      <c r="BF2097" s="385"/>
      <c r="BG2097" s="475"/>
      <c r="BH2097" s="395"/>
      <c r="BI2097" s="395" t="e">
        <f t="shared" si="1034"/>
        <v>#DIV/0!</v>
      </c>
    </row>
    <row r="2098" spans="1:61" s="358" customFormat="1" ht="19.2" x14ac:dyDescent="0.3">
      <c r="A2098" s="359" t="s">
        <v>2219</v>
      </c>
      <c r="B2098" s="537" t="s">
        <v>1817</v>
      </c>
      <c r="C2098" s="546" t="s">
        <v>1255</v>
      </c>
      <c r="D2098" s="360">
        <v>0.4</v>
      </c>
      <c r="E2098" s="393"/>
      <c r="F2098" s="337">
        <v>1</v>
      </c>
      <c r="G2098" s="497"/>
      <c r="H2098" s="544">
        <v>13.34033</v>
      </c>
      <c r="I2098" s="394">
        <v>11.42605</v>
      </c>
      <c r="J2098" s="394">
        <v>10.458320000000001</v>
      </c>
      <c r="K2098" s="394"/>
      <c r="L2098" s="394"/>
      <c r="M2098" s="394">
        <v>0</v>
      </c>
      <c r="N2098" s="394">
        <v>0</v>
      </c>
      <c r="O2098" s="394">
        <v>0.44627</v>
      </c>
      <c r="P2098" s="394">
        <v>10.458320000000001</v>
      </c>
      <c r="Q2098" s="394"/>
      <c r="R2098" s="381" t="s">
        <v>167</v>
      </c>
      <c r="S2098" s="408" t="s">
        <v>175</v>
      </c>
      <c r="T2098" s="385"/>
      <c r="U2098" s="475">
        <v>1018</v>
      </c>
      <c r="V2098" s="395"/>
      <c r="W2098" s="395">
        <f t="shared" si="1035"/>
        <v>13.34033</v>
      </c>
      <c r="X2098" s="393"/>
      <c r="Y2098" s="337"/>
      <c r="Z2098" s="497"/>
      <c r="AA2098" s="544"/>
      <c r="AB2098" s="394"/>
      <c r="AC2098" s="394"/>
      <c r="AD2098" s="394"/>
      <c r="AE2098" s="394"/>
      <c r="AF2098" s="394"/>
      <c r="AG2098" s="394"/>
      <c r="AH2098" s="394"/>
      <c r="AI2098" s="394"/>
      <c r="AJ2098" s="394"/>
      <c r="AK2098" s="381"/>
      <c r="AL2098" s="408"/>
      <c r="AM2098" s="385"/>
      <c r="AN2098" s="475"/>
      <c r="AO2098" s="395"/>
      <c r="AP2098" s="395" t="e">
        <f t="shared" si="1033"/>
        <v>#DIV/0!</v>
      </c>
      <c r="AQ2098" s="393"/>
      <c r="AR2098" s="337"/>
      <c r="AS2098" s="497"/>
      <c r="AT2098" s="544"/>
      <c r="AU2098" s="394"/>
      <c r="AV2098" s="394"/>
      <c r="AW2098" s="394"/>
      <c r="AX2098" s="394"/>
      <c r="AY2098" s="394"/>
      <c r="AZ2098" s="394"/>
      <c r="BA2098" s="394"/>
      <c r="BB2098" s="394"/>
      <c r="BC2098" s="394"/>
      <c r="BD2098" s="381"/>
      <c r="BE2098" s="408"/>
      <c r="BF2098" s="385"/>
      <c r="BG2098" s="475"/>
      <c r="BH2098" s="395"/>
      <c r="BI2098" s="395" t="e">
        <f t="shared" si="1034"/>
        <v>#DIV/0!</v>
      </c>
    </row>
    <row r="2099" spans="1:61" s="358" customFormat="1" ht="19.2" x14ac:dyDescent="0.3">
      <c r="A2099" s="359" t="s">
        <v>2236</v>
      </c>
      <c r="B2099" s="537" t="s">
        <v>1818</v>
      </c>
      <c r="C2099" s="546" t="s">
        <v>1256</v>
      </c>
      <c r="D2099" s="360">
        <v>0.4</v>
      </c>
      <c r="E2099" s="393"/>
      <c r="F2099" s="337">
        <v>1</v>
      </c>
      <c r="G2099" s="497"/>
      <c r="H2099" s="544">
        <v>13.340350000000001</v>
      </c>
      <c r="I2099" s="394">
        <v>11.42605</v>
      </c>
      <c r="J2099" s="394">
        <v>10.45834</v>
      </c>
      <c r="K2099" s="394"/>
      <c r="L2099" s="394"/>
      <c r="M2099" s="394">
        <v>0</v>
      </c>
      <c r="N2099" s="394">
        <v>0</v>
      </c>
      <c r="O2099" s="394">
        <v>0.44627</v>
      </c>
      <c r="P2099" s="394">
        <v>10.45834</v>
      </c>
      <c r="Q2099" s="394"/>
      <c r="R2099" s="381" t="s">
        <v>167</v>
      </c>
      <c r="S2099" s="408" t="s">
        <v>175</v>
      </c>
      <c r="T2099" s="385"/>
      <c r="U2099" s="475">
        <v>1019</v>
      </c>
      <c r="V2099" s="395"/>
      <c r="W2099" s="395">
        <f t="shared" si="1035"/>
        <v>13.340350000000001</v>
      </c>
      <c r="X2099" s="393"/>
      <c r="Y2099" s="337"/>
      <c r="Z2099" s="497"/>
      <c r="AA2099" s="544"/>
      <c r="AB2099" s="394"/>
      <c r="AC2099" s="394"/>
      <c r="AD2099" s="394"/>
      <c r="AE2099" s="394"/>
      <c r="AF2099" s="394"/>
      <c r="AG2099" s="394"/>
      <c r="AH2099" s="394"/>
      <c r="AI2099" s="394"/>
      <c r="AJ2099" s="394"/>
      <c r="AK2099" s="381"/>
      <c r="AL2099" s="408"/>
      <c r="AM2099" s="385"/>
      <c r="AN2099" s="475"/>
      <c r="AO2099" s="395"/>
      <c r="AP2099" s="395" t="e">
        <f t="shared" si="1033"/>
        <v>#DIV/0!</v>
      </c>
      <c r="AQ2099" s="393"/>
      <c r="AR2099" s="337"/>
      <c r="AS2099" s="497"/>
      <c r="AT2099" s="544"/>
      <c r="AU2099" s="394"/>
      <c r="AV2099" s="394"/>
      <c r="AW2099" s="394"/>
      <c r="AX2099" s="394"/>
      <c r="AY2099" s="394"/>
      <c r="AZ2099" s="394"/>
      <c r="BA2099" s="394"/>
      <c r="BB2099" s="394"/>
      <c r="BC2099" s="394"/>
      <c r="BD2099" s="381"/>
      <c r="BE2099" s="408"/>
      <c r="BF2099" s="385"/>
      <c r="BG2099" s="475"/>
      <c r="BH2099" s="395"/>
      <c r="BI2099" s="395" t="e">
        <f t="shared" si="1034"/>
        <v>#DIV/0!</v>
      </c>
    </row>
    <row r="2100" spans="1:61" s="358" customFormat="1" ht="19.2" x14ac:dyDescent="0.3">
      <c r="A2100" s="359" t="s">
        <v>2237</v>
      </c>
      <c r="B2100" s="537" t="s">
        <v>1819</v>
      </c>
      <c r="C2100" s="546" t="s">
        <v>1257</v>
      </c>
      <c r="D2100" s="360">
        <v>0.4</v>
      </c>
      <c r="E2100" s="393"/>
      <c r="F2100" s="337">
        <v>1</v>
      </c>
      <c r="G2100" s="497"/>
      <c r="H2100" s="544">
        <v>13.34033</v>
      </c>
      <c r="I2100" s="394">
        <v>11.42605</v>
      </c>
      <c r="J2100" s="394">
        <v>10.458320000000001</v>
      </c>
      <c r="K2100" s="394"/>
      <c r="L2100" s="394"/>
      <c r="M2100" s="394">
        <v>0</v>
      </c>
      <c r="N2100" s="394">
        <v>0</v>
      </c>
      <c r="O2100" s="394">
        <v>0.44627</v>
      </c>
      <c r="P2100" s="394">
        <v>10.458320000000001</v>
      </c>
      <c r="Q2100" s="394"/>
      <c r="R2100" s="381" t="s">
        <v>167</v>
      </c>
      <c r="S2100" s="408" t="s">
        <v>175</v>
      </c>
      <c r="T2100" s="385"/>
      <c r="U2100" s="475">
        <v>1020</v>
      </c>
      <c r="V2100" s="395"/>
      <c r="W2100" s="395">
        <f t="shared" si="1035"/>
        <v>13.34033</v>
      </c>
      <c r="X2100" s="393"/>
      <c r="Y2100" s="337"/>
      <c r="Z2100" s="497"/>
      <c r="AA2100" s="544"/>
      <c r="AB2100" s="394"/>
      <c r="AC2100" s="394"/>
      <c r="AD2100" s="394"/>
      <c r="AE2100" s="394"/>
      <c r="AF2100" s="394"/>
      <c r="AG2100" s="394"/>
      <c r="AH2100" s="394"/>
      <c r="AI2100" s="394"/>
      <c r="AJ2100" s="394"/>
      <c r="AK2100" s="381"/>
      <c r="AL2100" s="408"/>
      <c r="AM2100" s="385"/>
      <c r="AN2100" s="475"/>
      <c r="AO2100" s="395"/>
      <c r="AP2100" s="395" t="e">
        <f t="shared" si="1033"/>
        <v>#DIV/0!</v>
      </c>
      <c r="AQ2100" s="393"/>
      <c r="AR2100" s="337"/>
      <c r="AS2100" s="497"/>
      <c r="AT2100" s="544"/>
      <c r="AU2100" s="394"/>
      <c r="AV2100" s="394"/>
      <c r="AW2100" s="394"/>
      <c r="AX2100" s="394"/>
      <c r="AY2100" s="394"/>
      <c r="AZ2100" s="394"/>
      <c r="BA2100" s="394"/>
      <c r="BB2100" s="394"/>
      <c r="BC2100" s="394"/>
      <c r="BD2100" s="381"/>
      <c r="BE2100" s="408"/>
      <c r="BF2100" s="385"/>
      <c r="BG2100" s="475"/>
      <c r="BH2100" s="395"/>
      <c r="BI2100" s="395" t="e">
        <f t="shared" si="1034"/>
        <v>#DIV/0!</v>
      </c>
    </row>
    <row r="2101" spans="1:61" s="358" customFormat="1" ht="19.2" x14ac:dyDescent="0.3">
      <c r="A2101" s="359" t="s">
        <v>2238</v>
      </c>
      <c r="B2101" s="537" t="s">
        <v>663</v>
      </c>
      <c r="C2101" s="546" t="s">
        <v>511</v>
      </c>
      <c r="D2101" s="360">
        <v>0.4</v>
      </c>
      <c r="E2101" s="393"/>
      <c r="F2101" s="337">
        <v>1</v>
      </c>
      <c r="G2101" s="497"/>
      <c r="H2101" s="544">
        <v>13.340350000000001</v>
      </c>
      <c r="I2101" s="394">
        <v>11.42605</v>
      </c>
      <c r="J2101" s="394">
        <v>10.45834</v>
      </c>
      <c r="K2101" s="394"/>
      <c r="L2101" s="394"/>
      <c r="M2101" s="394">
        <v>0</v>
      </c>
      <c r="N2101" s="394">
        <v>0</v>
      </c>
      <c r="O2101" s="394">
        <v>0.44627</v>
      </c>
      <c r="P2101" s="394">
        <v>10.45834</v>
      </c>
      <c r="Q2101" s="394"/>
      <c r="R2101" s="381" t="s">
        <v>167</v>
      </c>
      <c r="S2101" s="408" t="s">
        <v>175</v>
      </c>
      <c r="T2101" s="385"/>
      <c r="U2101" s="475">
        <v>1021</v>
      </c>
      <c r="V2101" s="395"/>
      <c r="W2101" s="395">
        <f t="shared" si="1035"/>
        <v>13.340350000000001</v>
      </c>
      <c r="X2101" s="393"/>
      <c r="Y2101" s="337"/>
      <c r="Z2101" s="497"/>
      <c r="AA2101" s="544"/>
      <c r="AB2101" s="394"/>
      <c r="AC2101" s="394"/>
      <c r="AD2101" s="394"/>
      <c r="AE2101" s="394"/>
      <c r="AF2101" s="394"/>
      <c r="AG2101" s="394"/>
      <c r="AH2101" s="394"/>
      <c r="AI2101" s="394"/>
      <c r="AJ2101" s="394"/>
      <c r="AK2101" s="381"/>
      <c r="AL2101" s="408"/>
      <c r="AM2101" s="385"/>
      <c r="AN2101" s="475"/>
      <c r="AO2101" s="395"/>
      <c r="AP2101" s="395" t="e">
        <f t="shared" si="1033"/>
        <v>#DIV/0!</v>
      </c>
      <c r="AQ2101" s="393"/>
      <c r="AR2101" s="337"/>
      <c r="AS2101" s="497"/>
      <c r="AT2101" s="544"/>
      <c r="AU2101" s="394"/>
      <c r="AV2101" s="394"/>
      <c r="AW2101" s="394"/>
      <c r="AX2101" s="394"/>
      <c r="AY2101" s="394"/>
      <c r="AZ2101" s="394"/>
      <c r="BA2101" s="394"/>
      <c r="BB2101" s="394"/>
      <c r="BC2101" s="394"/>
      <c r="BD2101" s="381"/>
      <c r="BE2101" s="408"/>
      <c r="BF2101" s="385"/>
      <c r="BG2101" s="475"/>
      <c r="BH2101" s="395"/>
      <c r="BI2101" s="395" t="e">
        <f t="shared" si="1034"/>
        <v>#DIV/0!</v>
      </c>
    </row>
    <row r="2102" spans="1:61" s="358" customFormat="1" ht="19.2" x14ac:dyDescent="0.3">
      <c r="A2102" s="359" t="s">
        <v>2239</v>
      </c>
      <c r="B2102" s="537" t="s">
        <v>1820</v>
      </c>
      <c r="C2102" s="546" t="s">
        <v>1258</v>
      </c>
      <c r="D2102" s="360">
        <v>0.4</v>
      </c>
      <c r="E2102" s="393"/>
      <c r="F2102" s="337">
        <v>1</v>
      </c>
      <c r="G2102" s="497"/>
      <c r="H2102" s="544">
        <v>13.34033</v>
      </c>
      <c r="I2102" s="394">
        <v>11.42605</v>
      </c>
      <c r="J2102" s="394">
        <v>10.458320000000001</v>
      </c>
      <c r="K2102" s="394"/>
      <c r="L2102" s="394"/>
      <c r="M2102" s="394">
        <v>0</v>
      </c>
      <c r="N2102" s="394">
        <v>0</v>
      </c>
      <c r="O2102" s="394">
        <v>0.44627</v>
      </c>
      <c r="P2102" s="394">
        <v>10.458320000000001</v>
      </c>
      <c r="Q2102" s="394"/>
      <c r="R2102" s="381" t="s">
        <v>167</v>
      </c>
      <c r="S2102" s="408" t="s">
        <v>175</v>
      </c>
      <c r="T2102" s="385"/>
      <c r="U2102" s="475">
        <v>1022</v>
      </c>
      <c r="V2102" s="395"/>
      <c r="W2102" s="395">
        <f t="shared" si="1035"/>
        <v>13.34033</v>
      </c>
      <c r="X2102" s="393"/>
      <c r="Y2102" s="337"/>
      <c r="Z2102" s="497"/>
      <c r="AA2102" s="544"/>
      <c r="AB2102" s="394"/>
      <c r="AC2102" s="394"/>
      <c r="AD2102" s="394"/>
      <c r="AE2102" s="394"/>
      <c r="AF2102" s="394"/>
      <c r="AG2102" s="394"/>
      <c r="AH2102" s="394"/>
      <c r="AI2102" s="394"/>
      <c r="AJ2102" s="394"/>
      <c r="AK2102" s="381"/>
      <c r="AL2102" s="408"/>
      <c r="AM2102" s="385"/>
      <c r="AN2102" s="475"/>
      <c r="AO2102" s="395"/>
      <c r="AP2102" s="395" t="e">
        <f t="shared" si="1033"/>
        <v>#DIV/0!</v>
      </c>
      <c r="AQ2102" s="393"/>
      <c r="AR2102" s="337"/>
      <c r="AS2102" s="497"/>
      <c r="AT2102" s="544"/>
      <c r="AU2102" s="394"/>
      <c r="AV2102" s="394"/>
      <c r="AW2102" s="394"/>
      <c r="AX2102" s="394"/>
      <c r="AY2102" s="394"/>
      <c r="AZ2102" s="394"/>
      <c r="BA2102" s="394"/>
      <c r="BB2102" s="394"/>
      <c r="BC2102" s="394"/>
      <c r="BD2102" s="381"/>
      <c r="BE2102" s="408"/>
      <c r="BF2102" s="385"/>
      <c r="BG2102" s="475"/>
      <c r="BH2102" s="395"/>
      <c r="BI2102" s="395" t="e">
        <f t="shared" si="1034"/>
        <v>#DIV/0!</v>
      </c>
    </row>
    <row r="2103" spans="1:61" s="358" customFormat="1" ht="19.2" x14ac:dyDescent="0.3">
      <c r="A2103" s="359" t="s">
        <v>2240</v>
      </c>
      <c r="B2103" s="537" t="s">
        <v>1821</v>
      </c>
      <c r="C2103" s="546" t="s">
        <v>1259</v>
      </c>
      <c r="D2103" s="360">
        <v>0.4</v>
      </c>
      <c r="E2103" s="393"/>
      <c r="F2103" s="337">
        <v>1</v>
      </c>
      <c r="G2103" s="497"/>
      <c r="H2103" s="544">
        <v>13.34036</v>
      </c>
      <c r="I2103" s="394">
        <v>11.42605</v>
      </c>
      <c r="J2103" s="394">
        <v>10.45834</v>
      </c>
      <c r="K2103" s="394"/>
      <c r="L2103" s="394"/>
      <c r="M2103" s="394">
        <v>0</v>
      </c>
      <c r="N2103" s="394">
        <v>0</v>
      </c>
      <c r="O2103" s="394">
        <v>0.44627</v>
      </c>
      <c r="P2103" s="394">
        <v>10.45834</v>
      </c>
      <c r="Q2103" s="394"/>
      <c r="R2103" s="381" t="s">
        <v>167</v>
      </c>
      <c r="S2103" s="408" t="s">
        <v>175</v>
      </c>
      <c r="T2103" s="385"/>
      <c r="U2103" s="475">
        <v>1023</v>
      </c>
      <c r="V2103" s="395"/>
      <c r="W2103" s="395">
        <f t="shared" si="1035"/>
        <v>13.34036</v>
      </c>
      <c r="X2103" s="393"/>
      <c r="Y2103" s="337"/>
      <c r="Z2103" s="497"/>
      <c r="AA2103" s="544"/>
      <c r="AB2103" s="394"/>
      <c r="AC2103" s="394"/>
      <c r="AD2103" s="394"/>
      <c r="AE2103" s="394"/>
      <c r="AF2103" s="394"/>
      <c r="AG2103" s="394"/>
      <c r="AH2103" s="394"/>
      <c r="AI2103" s="394"/>
      <c r="AJ2103" s="394"/>
      <c r="AK2103" s="381"/>
      <c r="AL2103" s="408"/>
      <c r="AM2103" s="385"/>
      <c r="AN2103" s="475"/>
      <c r="AO2103" s="395"/>
      <c r="AP2103" s="395" t="e">
        <f t="shared" si="1033"/>
        <v>#DIV/0!</v>
      </c>
      <c r="AQ2103" s="393"/>
      <c r="AR2103" s="337"/>
      <c r="AS2103" s="497"/>
      <c r="AT2103" s="544"/>
      <c r="AU2103" s="394"/>
      <c r="AV2103" s="394"/>
      <c r="AW2103" s="394"/>
      <c r="AX2103" s="394"/>
      <c r="AY2103" s="394"/>
      <c r="AZ2103" s="394"/>
      <c r="BA2103" s="394"/>
      <c r="BB2103" s="394"/>
      <c r="BC2103" s="394"/>
      <c r="BD2103" s="381"/>
      <c r="BE2103" s="408"/>
      <c r="BF2103" s="385"/>
      <c r="BG2103" s="475"/>
      <c r="BH2103" s="395"/>
      <c r="BI2103" s="395" t="e">
        <f t="shared" si="1034"/>
        <v>#DIV/0!</v>
      </c>
    </row>
    <row r="2104" spans="1:61" s="358" customFormat="1" ht="19.2" x14ac:dyDescent="0.3">
      <c r="A2104" s="359" t="s">
        <v>2241</v>
      </c>
      <c r="B2104" s="537" t="s">
        <v>1453</v>
      </c>
      <c r="C2104" s="546" t="s">
        <v>1260</v>
      </c>
      <c r="D2104" s="360">
        <v>0.4</v>
      </c>
      <c r="E2104" s="393"/>
      <c r="F2104" s="337">
        <v>1</v>
      </c>
      <c r="G2104" s="497"/>
      <c r="H2104" s="544">
        <v>13.34033</v>
      </c>
      <c r="I2104" s="394">
        <v>11.42605</v>
      </c>
      <c r="J2104" s="394">
        <v>10.458320000000001</v>
      </c>
      <c r="K2104" s="394"/>
      <c r="L2104" s="394"/>
      <c r="M2104" s="394">
        <v>0</v>
      </c>
      <c r="N2104" s="394">
        <v>0</v>
      </c>
      <c r="O2104" s="394">
        <v>0.44627</v>
      </c>
      <c r="P2104" s="394">
        <v>10.458320000000001</v>
      </c>
      <c r="Q2104" s="394"/>
      <c r="R2104" s="381" t="s">
        <v>167</v>
      </c>
      <c r="S2104" s="408" t="s">
        <v>175</v>
      </c>
      <c r="T2104" s="385"/>
      <c r="U2104" s="475">
        <v>1024</v>
      </c>
      <c r="V2104" s="395"/>
      <c r="W2104" s="395">
        <f t="shared" si="1035"/>
        <v>13.34033</v>
      </c>
      <c r="X2104" s="393"/>
      <c r="Y2104" s="337"/>
      <c r="Z2104" s="497"/>
      <c r="AA2104" s="544"/>
      <c r="AB2104" s="394"/>
      <c r="AC2104" s="394"/>
      <c r="AD2104" s="394"/>
      <c r="AE2104" s="394"/>
      <c r="AF2104" s="394"/>
      <c r="AG2104" s="394"/>
      <c r="AH2104" s="394"/>
      <c r="AI2104" s="394"/>
      <c r="AJ2104" s="394"/>
      <c r="AK2104" s="381"/>
      <c r="AL2104" s="408"/>
      <c r="AM2104" s="385"/>
      <c r="AN2104" s="475"/>
      <c r="AO2104" s="395"/>
      <c r="AP2104" s="395" t="e">
        <f t="shared" si="1033"/>
        <v>#DIV/0!</v>
      </c>
      <c r="AQ2104" s="393"/>
      <c r="AR2104" s="337"/>
      <c r="AS2104" s="497"/>
      <c r="AT2104" s="544"/>
      <c r="AU2104" s="394"/>
      <c r="AV2104" s="394"/>
      <c r="AW2104" s="394"/>
      <c r="AX2104" s="394"/>
      <c r="AY2104" s="394"/>
      <c r="AZ2104" s="394"/>
      <c r="BA2104" s="394"/>
      <c r="BB2104" s="394"/>
      <c r="BC2104" s="394"/>
      <c r="BD2104" s="381"/>
      <c r="BE2104" s="408"/>
      <c r="BF2104" s="385"/>
      <c r="BG2104" s="475"/>
      <c r="BH2104" s="395"/>
      <c r="BI2104" s="395" t="e">
        <f t="shared" si="1034"/>
        <v>#DIV/0!</v>
      </c>
    </row>
    <row r="2105" spans="1:61" s="358" customFormat="1" ht="19.2" x14ac:dyDescent="0.3">
      <c r="A2105" s="359" t="s">
        <v>2242</v>
      </c>
      <c r="B2105" s="537" t="s">
        <v>1822</v>
      </c>
      <c r="C2105" s="546" t="s">
        <v>1261</v>
      </c>
      <c r="D2105" s="360">
        <v>0.4</v>
      </c>
      <c r="E2105" s="393"/>
      <c r="F2105" s="337">
        <v>1</v>
      </c>
      <c r="G2105" s="497"/>
      <c r="H2105" s="544">
        <v>13.34037</v>
      </c>
      <c r="I2105" s="394">
        <v>11.42605</v>
      </c>
      <c r="J2105" s="394">
        <v>10.458349999999999</v>
      </c>
      <c r="K2105" s="394"/>
      <c r="L2105" s="394"/>
      <c r="M2105" s="394">
        <v>0</v>
      </c>
      <c r="N2105" s="394">
        <v>0</v>
      </c>
      <c r="O2105" s="394">
        <v>0.44627</v>
      </c>
      <c r="P2105" s="394">
        <v>10.458349999999999</v>
      </c>
      <c r="Q2105" s="394"/>
      <c r="R2105" s="381" t="s">
        <v>167</v>
      </c>
      <c r="S2105" s="408" t="s">
        <v>175</v>
      </c>
      <c r="T2105" s="385"/>
      <c r="U2105" s="475">
        <v>1025</v>
      </c>
      <c r="V2105" s="395"/>
      <c r="W2105" s="395">
        <f t="shared" si="1035"/>
        <v>13.34037</v>
      </c>
      <c r="X2105" s="393"/>
      <c r="Y2105" s="337"/>
      <c r="Z2105" s="497"/>
      <c r="AA2105" s="544"/>
      <c r="AB2105" s="394"/>
      <c r="AC2105" s="394"/>
      <c r="AD2105" s="394"/>
      <c r="AE2105" s="394"/>
      <c r="AF2105" s="394"/>
      <c r="AG2105" s="394"/>
      <c r="AH2105" s="394"/>
      <c r="AI2105" s="394"/>
      <c r="AJ2105" s="394"/>
      <c r="AK2105" s="381"/>
      <c r="AL2105" s="408"/>
      <c r="AM2105" s="385"/>
      <c r="AN2105" s="475"/>
      <c r="AO2105" s="395"/>
      <c r="AP2105" s="395" t="e">
        <f t="shared" si="1033"/>
        <v>#DIV/0!</v>
      </c>
      <c r="AQ2105" s="393"/>
      <c r="AR2105" s="337"/>
      <c r="AS2105" s="497"/>
      <c r="AT2105" s="544"/>
      <c r="AU2105" s="394"/>
      <c r="AV2105" s="394"/>
      <c r="AW2105" s="394"/>
      <c r="AX2105" s="394"/>
      <c r="AY2105" s="394"/>
      <c r="AZ2105" s="394"/>
      <c r="BA2105" s="394"/>
      <c r="BB2105" s="394"/>
      <c r="BC2105" s="394"/>
      <c r="BD2105" s="381"/>
      <c r="BE2105" s="408"/>
      <c r="BF2105" s="385"/>
      <c r="BG2105" s="475"/>
      <c r="BH2105" s="395"/>
      <c r="BI2105" s="395" t="e">
        <f t="shared" si="1034"/>
        <v>#DIV/0!</v>
      </c>
    </row>
    <row r="2106" spans="1:61" s="358" customFormat="1" ht="19.2" x14ac:dyDescent="0.3">
      <c r="A2106" s="359" t="s">
        <v>2243</v>
      </c>
      <c r="B2106" s="537" t="s">
        <v>1823</v>
      </c>
      <c r="C2106" s="546" t="s">
        <v>1262</v>
      </c>
      <c r="D2106" s="360">
        <v>0.4</v>
      </c>
      <c r="E2106" s="393"/>
      <c r="F2106" s="337">
        <v>1</v>
      </c>
      <c r="G2106" s="497"/>
      <c r="H2106" s="544">
        <v>13.34033</v>
      </c>
      <c r="I2106" s="394">
        <v>11.42605</v>
      </c>
      <c r="J2106" s="394">
        <v>10.458320000000001</v>
      </c>
      <c r="K2106" s="394"/>
      <c r="L2106" s="394"/>
      <c r="M2106" s="394">
        <v>0</v>
      </c>
      <c r="N2106" s="394">
        <v>0</v>
      </c>
      <c r="O2106" s="394">
        <v>0.44627</v>
      </c>
      <c r="P2106" s="394">
        <v>10.458320000000001</v>
      </c>
      <c r="Q2106" s="394"/>
      <c r="R2106" s="381" t="s">
        <v>167</v>
      </c>
      <c r="S2106" s="408" t="s">
        <v>175</v>
      </c>
      <c r="T2106" s="385"/>
      <c r="U2106" s="475">
        <v>1026</v>
      </c>
      <c r="V2106" s="395"/>
      <c r="W2106" s="395">
        <f t="shared" si="1035"/>
        <v>13.34033</v>
      </c>
      <c r="X2106" s="393"/>
      <c r="Y2106" s="337"/>
      <c r="Z2106" s="497"/>
      <c r="AA2106" s="544"/>
      <c r="AB2106" s="394"/>
      <c r="AC2106" s="394"/>
      <c r="AD2106" s="394"/>
      <c r="AE2106" s="394"/>
      <c r="AF2106" s="394"/>
      <c r="AG2106" s="394"/>
      <c r="AH2106" s="394"/>
      <c r="AI2106" s="394"/>
      <c r="AJ2106" s="394"/>
      <c r="AK2106" s="381"/>
      <c r="AL2106" s="408"/>
      <c r="AM2106" s="385"/>
      <c r="AN2106" s="475"/>
      <c r="AO2106" s="395"/>
      <c r="AP2106" s="395" t="e">
        <f t="shared" si="1033"/>
        <v>#DIV/0!</v>
      </c>
      <c r="AQ2106" s="393"/>
      <c r="AR2106" s="337"/>
      <c r="AS2106" s="497"/>
      <c r="AT2106" s="544"/>
      <c r="AU2106" s="394"/>
      <c r="AV2106" s="394"/>
      <c r="AW2106" s="394"/>
      <c r="AX2106" s="394"/>
      <c r="AY2106" s="394"/>
      <c r="AZ2106" s="394"/>
      <c r="BA2106" s="394"/>
      <c r="BB2106" s="394"/>
      <c r="BC2106" s="394"/>
      <c r="BD2106" s="381"/>
      <c r="BE2106" s="408"/>
      <c r="BF2106" s="385"/>
      <c r="BG2106" s="475"/>
      <c r="BH2106" s="395"/>
      <c r="BI2106" s="395" t="e">
        <f t="shared" si="1034"/>
        <v>#DIV/0!</v>
      </c>
    </row>
    <row r="2107" spans="1:61" s="358" customFormat="1" ht="19.2" x14ac:dyDescent="0.3">
      <c r="A2107" s="359" t="s">
        <v>186</v>
      </c>
      <c r="B2107" s="537" t="s">
        <v>1824</v>
      </c>
      <c r="C2107" s="546" t="s">
        <v>1263</v>
      </c>
      <c r="D2107" s="360">
        <v>0.4</v>
      </c>
      <c r="E2107" s="393"/>
      <c r="F2107" s="337">
        <v>1</v>
      </c>
      <c r="G2107" s="497"/>
      <c r="H2107" s="544">
        <v>13.34037</v>
      </c>
      <c r="I2107" s="394">
        <v>11.42605</v>
      </c>
      <c r="J2107" s="394">
        <v>10.458349999999999</v>
      </c>
      <c r="K2107" s="394"/>
      <c r="L2107" s="394"/>
      <c r="M2107" s="394">
        <v>0</v>
      </c>
      <c r="N2107" s="394">
        <v>0</v>
      </c>
      <c r="O2107" s="394">
        <v>0.44627</v>
      </c>
      <c r="P2107" s="394">
        <v>10.458349999999999</v>
      </c>
      <c r="Q2107" s="394"/>
      <c r="R2107" s="381" t="s">
        <v>167</v>
      </c>
      <c r="S2107" s="408" t="s">
        <v>175</v>
      </c>
      <c r="T2107" s="385"/>
      <c r="U2107" s="475">
        <v>1027</v>
      </c>
      <c r="V2107" s="395"/>
      <c r="W2107" s="395">
        <f t="shared" si="1035"/>
        <v>13.34037</v>
      </c>
      <c r="X2107" s="393"/>
      <c r="Y2107" s="337"/>
      <c r="Z2107" s="497"/>
      <c r="AA2107" s="544"/>
      <c r="AB2107" s="394"/>
      <c r="AC2107" s="394"/>
      <c r="AD2107" s="394"/>
      <c r="AE2107" s="394"/>
      <c r="AF2107" s="394"/>
      <c r="AG2107" s="394"/>
      <c r="AH2107" s="394"/>
      <c r="AI2107" s="394"/>
      <c r="AJ2107" s="394"/>
      <c r="AK2107" s="381"/>
      <c r="AL2107" s="408"/>
      <c r="AM2107" s="385"/>
      <c r="AN2107" s="475"/>
      <c r="AO2107" s="395"/>
      <c r="AP2107" s="395" t="e">
        <f t="shared" si="1033"/>
        <v>#DIV/0!</v>
      </c>
      <c r="AQ2107" s="393"/>
      <c r="AR2107" s="337"/>
      <c r="AS2107" s="497"/>
      <c r="AT2107" s="544"/>
      <c r="AU2107" s="394"/>
      <c r="AV2107" s="394"/>
      <c r="AW2107" s="394"/>
      <c r="AX2107" s="394"/>
      <c r="AY2107" s="394"/>
      <c r="AZ2107" s="394"/>
      <c r="BA2107" s="394"/>
      <c r="BB2107" s="394"/>
      <c r="BC2107" s="394"/>
      <c r="BD2107" s="381"/>
      <c r="BE2107" s="408"/>
      <c r="BF2107" s="385"/>
      <c r="BG2107" s="475"/>
      <c r="BH2107" s="395"/>
      <c r="BI2107" s="395" t="e">
        <f t="shared" si="1034"/>
        <v>#DIV/0!</v>
      </c>
    </row>
    <row r="2108" spans="1:61" s="358" customFormat="1" ht="19.2" x14ac:dyDescent="0.3">
      <c r="A2108" s="359" t="s">
        <v>2245</v>
      </c>
      <c r="B2108" s="537" t="s">
        <v>1825</v>
      </c>
      <c r="C2108" s="546" t="s">
        <v>1264</v>
      </c>
      <c r="D2108" s="360">
        <v>0.4</v>
      </c>
      <c r="E2108" s="393"/>
      <c r="F2108" s="337">
        <v>1</v>
      </c>
      <c r="G2108" s="497"/>
      <c r="H2108" s="544">
        <v>13.34033</v>
      </c>
      <c r="I2108" s="394">
        <v>11.42605</v>
      </c>
      <c r="J2108" s="394">
        <v>10.458320000000001</v>
      </c>
      <c r="K2108" s="394"/>
      <c r="L2108" s="394"/>
      <c r="M2108" s="394">
        <v>0</v>
      </c>
      <c r="N2108" s="394">
        <v>0</v>
      </c>
      <c r="O2108" s="394">
        <v>0.44627</v>
      </c>
      <c r="P2108" s="394">
        <v>10.458320000000001</v>
      </c>
      <c r="Q2108" s="394"/>
      <c r="R2108" s="381" t="s">
        <v>167</v>
      </c>
      <c r="S2108" s="408" t="s">
        <v>175</v>
      </c>
      <c r="T2108" s="385"/>
      <c r="U2108" s="475">
        <v>1028</v>
      </c>
      <c r="V2108" s="395"/>
      <c r="W2108" s="395">
        <f t="shared" si="1035"/>
        <v>13.34033</v>
      </c>
      <c r="X2108" s="393"/>
      <c r="Y2108" s="337"/>
      <c r="Z2108" s="497"/>
      <c r="AA2108" s="544"/>
      <c r="AB2108" s="394"/>
      <c r="AC2108" s="394"/>
      <c r="AD2108" s="394"/>
      <c r="AE2108" s="394"/>
      <c r="AF2108" s="394"/>
      <c r="AG2108" s="394"/>
      <c r="AH2108" s="394"/>
      <c r="AI2108" s="394"/>
      <c r="AJ2108" s="394"/>
      <c r="AK2108" s="381"/>
      <c r="AL2108" s="408"/>
      <c r="AM2108" s="385"/>
      <c r="AN2108" s="475"/>
      <c r="AO2108" s="395"/>
      <c r="AP2108" s="395" t="e">
        <f t="shared" si="1033"/>
        <v>#DIV/0!</v>
      </c>
      <c r="AQ2108" s="393"/>
      <c r="AR2108" s="337"/>
      <c r="AS2108" s="497"/>
      <c r="AT2108" s="544"/>
      <c r="AU2108" s="394"/>
      <c r="AV2108" s="394"/>
      <c r="AW2108" s="394"/>
      <c r="AX2108" s="394"/>
      <c r="AY2108" s="394"/>
      <c r="AZ2108" s="394"/>
      <c r="BA2108" s="394"/>
      <c r="BB2108" s="394"/>
      <c r="BC2108" s="394"/>
      <c r="BD2108" s="381"/>
      <c r="BE2108" s="408"/>
      <c r="BF2108" s="385"/>
      <c r="BG2108" s="475"/>
      <c r="BH2108" s="395"/>
      <c r="BI2108" s="395" t="e">
        <f t="shared" si="1034"/>
        <v>#DIV/0!</v>
      </c>
    </row>
    <row r="2109" spans="1:61" s="358" customFormat="1" ht="19.2" x14ac:dyDescent="0.3">
      <c r="A2109" s="359" t="s">
        <v>2246</v>
      </c>
      <c r="B2109" s="537" t="s">
        <v>1826</v>
      </c>
      <c r="C2109" s="546" t="s">
        <v>1265</v>
      </c>
      <c r="D2109" s="360">
        <v>0.4</v>
      </c>
      <c r="E2109" s="393"/>
      <c r="F2109" s="337">
        <v>1</v>
      </c>
      <c r="G2109" s="497"/>
      <c r="H2109" s="544">
        <v>13.34037</v>
      </c>
      <c r="I2109" s="394">
        <v>11.42605</v>
      </c>
      <c r="J2109" s="394">
        <v>10.458349999999999</v>
      </c>
      <c r="K2109" s="394"/>
      <c r="L2109" s="394"/>
      <c r="M2109" s="394">
        <v>0</v>
      </c>
      <c r="N2109" s="394">
        <v>0</v>
      </c>
      <c r="O2109" s="394">
        <v>0.44627</v>
      </c>
      <c r="P2109" s="394">
        <v>10.458349999999999</v>
      </c>
      <c r="Q2109" s="394"/>
      <c r="R2109" s="381" t="s">
        <v>167</v>
      </c>
      <c r="S2109" s="408" t="s">
        <v>175</v>
      </c>
      <c r="T2109" s="385"/>
      <c r="U2109" s="475">
        <v>1029</v>
      </c>
      <c r="V2109" s="395"/>
      <c r="W2109" s="395">
        <f t="shared" si="1035"/>
        <v>13.34037</v>
      </c>
      <c r="X2109" s="393"/>
      <c r="Y2109" s="337"/>
      <c r="Z2109" s="497"/>
      <c r="AA2109" s="544"/>
      <c r="AB2109" s="394"/>
      <c r="AC2109" s="394"/>
      <c r="AD2109" s="394"/>
      <c r="AE2109" s="394"/>
      <c r="AF2109" s="394"/>
      <c r="AG2109" s="394"/>
      <c r="AH2109" s="394"/>
      <c r="AI2109" s="394"/>
      <c r="AJ2109" s="394"/>
      <c r="AK2109" s="381"/>
      <c r="AL2109" s="408"/>
      <c r="AM2109" s="385"/>
      <c r="AN2109" s="475"/>
      <c r="AO2109" s="395"/>
      <c r="AP2109" s="395" t="e">
        <f t="shared" si="1033"/>
        <v>#DIV/0!</v>
      </c>
      <c r="AQ2109" s="393"/>
      <c r="AR2109" s="337"/>
      <c r="AS2109" s="497"/>
      <c r="AT2109" s="544"/>
      <c r="AU2109" s="394"/>
      <c r="AV2109" s="394"/>
      <c r="AW2109" s="394"/>
      <c r="AX2109" s="394"/>
      <c r="AY2109" s="394"/>
      <c r="AZ2109" s="394"/>
      <c r="BA2109" s="394"/>
      <c r="BB2109" s="394"/>
      <c r="BC2109" s="394"/>
      <c r="BD2109" s="381"/>
      <c r="BE2109" s="408"/>
      <c r="BF2109" s="385"/>
      <c r="BG2109" s="475"/>
      <c r="BH2109" s="395"/>
      <c r="BI2109" s="395" t="e">
        <f t="shared" si="1034"/>
        <v>#DIV/0!</v>
      </c>
    </row>
    <row r="2110" spans="1:61" s="358" customFormat="1" ht="19.2" x14ac:dyDescent="0.3">
      <c r="A2110" s="359" t="s">
        <v>2247</v>
      </c>
      <c r="B2110" s="537" t="s">
        <v>1827</v>
      </c>
      <c r="C2110" s="546" t="s">
        <v>1266</v>
      </c>
      <c r="D2110" s="360">
        <v>0.4</v>
      </c>
      <c r="E2110" s="393"/>
      <c r="F2110" s="337">
        <v>1</v>
      </c>
      <c r="G2110" s="497"/>
      <c r="H2110" s="544">
        <v>13.34033</v>
      </c>
      <c r="I2110" s="394">
        <v>11.42605</v>
      </c>
      <c r="J2110" s="394">
        <v>10.458320000000001</v>
      </c>
      <c r="K2110" s="394"/>
      <c r="L2110" s="394"/>
      <c r="M2110" s="394">
        <v>0</v>
      </c>
      <c r="N2110" s="394">
        <v>0</v>
      </c>
      <c r="O2110" s="394">
        <v>0.44627</v>
      </c>
      <c r="P2110" s="394">
        <v>10.458320000000001</v>
      </c>
      <c r="Q2110" s="394"/>
      <c r="R2110" s="381" t="s">
        <v>167</v>
      </c>
      <c r="S2110" s="408" t="s">
        <v>175</v>
      </c>
      <c r="T2110" s="385"/>
      <c r="U2110" s="475">
        <v>1030</v>
      </c>
      <c r="V2110" s="395"/>
      <c r="W2110" s="395">
        <f t="shared" si="1035"/>
        <v>13.34033</v>
      </c>
      <c r="X2110" s="393"/>
      <c r="Y2110" s="337"/>
      <c r="Z2110" s="497"/>
      <c r="AA2110" s="544"/>
      <c r="AB2110" s="394"/>
      <c r="AC2110" s="394"/>
      <c r="AD2110" s="394"/>
      <c r="AE2110" s="394"/>
      <c r="AF2110" s="394"/>
      <c r="AG2110" s="394"/>
      <c r="AH2110" s="394"/>
      <c r="AI2110" s="394"/>
      <c r="AJ2110" s="394"/>
      <c r="AK2110" s="381"/>
      <c r="AL2110" s="408"/>
      <c r="AM2110" s="385"/>
      <c r="AN2110" s="475"/>
      <c r="AO2110" s="395"/>
      <c r="AP2110" s="395" t="e">
        <f t="shared" si="1033"/>
        <v>#DIV/0!</v>
      </c>
      <c r="AQ2110" s="393"/>
      <c r="AR2110" s="337"/>
      <c r="AS2110" s="497"/>
      <c r="AT2110" s="544"/>
      <c r="AU2110" s="394"/>
      <c r="AV2110" s="394"/>
      <c r="AW2110" s="394"/>
      <c r="AX2110" s="394"/>
      <c r="AY2110" s="394"/>
      <c r="AZ2110" s="394"/>
      <c r="BA2110" s="394"/>
      <c r="BB2110" s="394"/>
      <c r="BC2110" s="394"/>
      <c r="BD2110" s="381"/>
      <c r="BE2110" s="408"/>
      <c r="BF2110" s="385"/>
      <c r="BG2110" s="475"/>
      <c r="BH2110" s="395"/>
      <c r="BI2110" s="395" t="e">
        <f t="shared" si="1034"/>
        <v>#DIV/0!</v>
      </c>
    </row>
    <row r="2111" spans="1:61" s="358" customFormat="1" ht="19.2" x14ac:dyDescent="0.3">
      <c r="A2111" s="359" t="s">
        <v>269</v>
      </c>
      <c r="B2111" s="537" t="s">
        <v>1828</v>
      </c>
      <c r="C2111" s="546" t="s">
        <v>1267</v>
      </c>
      <c r="D2111" s="360">
        <v>0.4</v>
      </c>
      <c r="E2111" s="393"/>
      <c r="F2111" s="337">
        <v>1</v>
      </c>
      <c r="G2111" s="497"/>
      <c r="H2111" s="544">
        <v>13.34037</v>
      </c>
      <c r="I2111" s="394">
        <v>11.42605</v>
      </c>
      <c r="J2111" s="394">
        <v>10.458349999999999</v>
      </c>
      <c r="K2111" s="394"/>
      <c r="L2111" s="394"/>
      <c r="M2111" s="394">
        <v>0</v>
      </c>
      <c r="N2111" s="394">
        <v>0</v>
      </c>
      <c r="O2111" s="394">
        <v>0.44627</v>
      </c>
      <c r="P2111" s="394">
        <v>10.458349999999999</v>
      </c>
      <c r="Q2111" s="394"/>
      <c r="R2111" s="381" t="s">
        <v>167</v>
      </c>
      <c r="S2111" s="408" t="s">
        <v>175</v>
      </c>
      <c r="T2111" s="385"/>
      <c r="U2111" s="475">
        <v>1031</v>
      </c>
      <c r="V2111" s="395"/>
      <c r="W2111" s="395">
        <f t="shared" si="1035"/>
        <v>13.34037</v>
      </c>
      <c r="X2111" s="393"/>
      <c r="Y2111" s="337"/>
      <c r="Z2111" s="497"/>
      <c r="AA2111" s="544"/>
      <c r="AB2111" s="394"/>
      <c r="AC2111" s="394"/>
      <c r="AD2111" s="394"/>
      <c r="AE2111" s="394"/>
      <c r="AF2111" s="394"/>
      <c r="AG2111" s="394"/>
      <c r="AH2111" s="394"/>
      <c r="AI2111" s="394"/>
      <c r="AJ2111" s="394"/>
      <c r="AK2111" s="381"/>
      <c r="AL2111" s="408"/>
      <c r="AM2111" s="385"/>
      <c r="AN2111" s="475"/>
      <c r="AO2111" s="395"/>
      <c r="AP2111" s="395" t="e">
        <f t="shared" si="1033"/>
        <v>#DIV/0!</v>
      </c>
      <c r="AQ2111" s="393"/>
      <c r="AR2111" s="337"/>
      <c r="AS2111" s="497"/>
      <c r="AT2111" s="544"/>
      <c r="AU2111" s="394"/>
      <c r="AV2111" s="394"/>
      <c r="AW2111" s="394"/>
      <c r="AX2111" s="394"/>
      <c r="AY2111" s="394"/>
      <c r="AZ2111" s="394"/>
      <c r="BA2111" s="394"/>
      <c r="BB2111" s="394"/>
      <c r="BC2111" s="394"/>
      <c r="BD2111" s="381"/>
      <c r="BE2111" s="408"/>
      <c r="BF2111" s="385"/>
      <c r="BG2111" s="475"/>
      <c r="BH2111" s="395"/>
      <c r="BI2111" s="395" t="e">
        <f t="shared" si="1034"/>
        <v>#DIV/0!</v>
      </c>
    </row>
    <row r="2112" spans="1:61" s="358" customFormat="1" ht="19.2" x14ac:dyDescent="0.3">
      <c r="A2112" s="359" t="s">
        <v>2249</v>
      </c>
      <c r="B2112" s="537" t="s">
        <v>1829</v>
      </c>
      <c r="C2112" s="546" t="s">
        <v>1268</v>
      </c>
      <c r="D2112" s="360">
        <v>0.4</v>
      </c>
      <c r="E2112" s="393"/>
      <c r="F2112" s="337">
        <v>1</v>
      </c>
      <c r="G2112" s="497"/>
      <c r="H2112" s="544">
        <v>13.34033</v>
      </c>
      <c r="I2112" s="394">
        <v>11.42605</v>
      </c>
      <c r="J2112" s="394">
        <v>10.458320000000001</v>
      </c>
      <c r="K2112" s="394"/>
      <c r="L2112" s="394"/>
      <c r="M2112" s="394">
        <v>0</v>
      </c>
      <c r="N2112" s="394">
        <v>0</v>
      </c>
      <c r="O2112" s="394">
        <v>0.44627</v>
      </c>
      <c r="P2112" s="394">
        <v>10.458320000000001</v>
      </c>
      <c r="Q2112" s="394"/>
      <c r="R2112" s="381" t="s">
        <v>167</v>
      </c>
      <c r="S2112" s="408" t="s">
        <v>175</v>
      </c>
      <c r="T2112" s="385"/>
      <c r="U2112" s="475">
        <v>1032</v>
      </c>
      <c r="V2112" s="395"/>
      <c r="W2112" s="395">
        <f t="shared" si="1035"/>
        <v>13.34033</v>
      </c>
      <c r="X2112" s="393"/>
      <c r="Y2112" s="337"/>
      <c r="Z2112" s="497"/>
      <c r="AA2112" s="544"/>
      <c r="AB2112" s="394"/>
      <c r="AC2112" s="394"/>
      <c r="AD2112" s="394"/>
      <c r="AE2112" s="394"/>
      <c r="AF2112" s="394"/>
      <c r="AG2112" s="394"/>
      <c r="AH2112" s="394"/>
      <c r="AI2112" s="394"/>
      <c r="AJ2112" s="394"/>
      <c r="AK2112" s="381"/>
      <c r="AL2112" s="408"/>
      <c r="AM2112" s="385"/>
      <c r="AN2112" s="475"/>
      <c r="AO2112" s="395"/>
      <c r="AP2112" s="395" t="e">
        <f t="shared" si="1033"/>
        <v>#DIV/0!</v>
      </c>
      <c r="AQ2112" s="393"/>
      <c r="AR2112" s="337"/>
      <c r="AS2112" s="497"/>
      <c r="AT2112" s="544"/>
      <c r="AU2112" s="394"/>
      <c r="AV2112" s="394"/>
      <c r="AW2112" s="394"/>
      <c r="AX2112" s="394"/>
      <c r="AY2112" s="394"/>
      <c r="AZ2112" s="394"/>
      <c r="BA2112" s="394"/>
      <c r="BB2112" s="394"/>
      <c r="BC2112" s="394"/>
      <c r="BD2112" s="381"/>
      <c r="BE2112" s="408"/>
      <c r="BF2112" s="385"/>
      <c r="BG2112" s="475"/>
      <c r="BH2112" s="395"/>
      <c r="BI2112" s="395" t="e">
        <f t="shared" si="1034"/>
        <v>#DIV/0!</v>
      </c>
    </row>
    <row r="2113" spans="1:61" s="358" customFormat="1" ht="19.2" x14ac:dyDescent="0.3">
      <c r="A2113" s="359" t="s">
        <v>2250</v>
      </c>
      <c r="B2113" s="537" t="s">
        <v>1830</v>
      </c>
      <c r="C2113" s="546" t="s">
        <v>1269</v>
      </c>
      <c r="D2113" s="360">
        <v>0.4</v>
      </c>
      <c r="E2113" s="393"/>
      <c r="F2113" s="337">
        <v>1</v>
      </c>
      <c r="G2113" s="497"/>
      <c r="H2113" s="544">
        <v>13.34037</v>
      </c>
      <c r="I2113" s="394">
        <v>11.42605</v>
      </c>
      <c r="J2113" s="394">
        <v>10.458349999999999</v>
      </c>
      <c r="K2113" s="394"/>
      <c r="L2113" s="394"/>
      <c r="M2113" s="394">
        <v>0</v>
      </c>
      <c r="N2113" s="394">
        <v>0</v>
      </c>
      <c r="O2113" s="394">
        <v>0.44627</v>
      </c>
      <c r="P2113" s="394">
        <v>10.458349999999999</v>
      </c>
      <c r="Q2113" s="394"/>
      <c r="R2113" s="381" t="s">
        <v>167</v>
      </c>
      <c r="S2113" s="408" t="s">
        <v>175</v>
      </c>
      <c r="T2113" s="385"/>
      <c r="U2113" s="475">
        <v>1033</v>
      </c>
      <c r="V2113" s="395"/>
      <c r="W2113" s="395">
        <f t="shared" si="1035"/>
        <v>13.34037</v>
      </c>
      <c r="X2113" s="393"/>
      <c r="Y2113" s="337"/>
      <c r="Z2113" s="497"/>
      <c r="AA2113" s="544"/>
      <c r="AB2113" s="394"/>
      <c r="AC2113" s="394"/>
      <c r="AD2113" s="394"/>
      <c r="AE2113" s="394"/>
      <c r="AF2113" s="394"/>
      <c r="AG2113" s="394"/>
      <c r="AH2113" s="394"/>
      <c r="AI2113" s="394"/>
      <c r="AJ2113" s="394"/>
      <c r="AK2113" s="381"/>
      <c r="AL2113" s="408"/>
      <c r="AM2113" s="385"/>
      <c r="AN2113" s="475"/>
      <c r="AO2113" s="395"/>
      <c r="AP2113" s="395" t="e">
        <f t="shared" si="1033"/>
        <v>#DIV/0!</v>
      </c>
      <c r="AQ2113" s="393"/>
      <c r="AR2113" s="337"/>
      <c r="AS2113" s="497"/>
      <c r="AT2113" s="544"/>
      <c r="AU2113" s="394"/>
      <c r="AV2113" s="394"/>
      <c r="AW2113" s="394"/>
      <c r="AX2113" s="394"/>
      <c r="AY2113" s="394"/>
      <c r="AZ2113" s="394"/>
      <c r="BA2113" s="394"/>
      <c r="BB2113" s="394"/>
      <c r="BC2113" s="394"/>
      <c r="BD2113" s="381"/>
      <c r="BE2113" s="408"/>
      <c r="BF2113" s="385"/>
      <c r="BG2113" s="475"/>
      <c r="BH2113" s="395"/>
      <c r="BI2113" s="395" t="e">
        <f t="shared" si="1034"/>
        <v>#DIV/0!</v>
      </c>
    </row>
    <row r="2114" spans="1:61" s="358" customFormat="1" ht="19.2" x14ac:dyDescent="0.3">
      <c r="A2114" s="359" t="s">
        <v>2235</v>
      </c>
      <c r="B2114" s="537" t="s">
        <v>1831</v>
      </c>
      <c r="C2114" s="546" t="s">
        <v>1270</v>
      </c>
      <c r="D2114" s="360">
        <v>0.4</v>
      </c>
      <c r="E2114" s="393"/>
      <c r="F2114" s="337">
        <v>1</v>
      </c>
      <c r="G2114" s="497"/>
      <c r="H2114" s="544">
        <v>13.34033</v>
      </c>
      <c r="I2114" s="394">
        <v>11.42605</v>
      </c>
      <c r="J2114" s="394">
        <v>10.458320000000001</v>
      </c>
      <c r="K2114" s="394"/>
      <c r="L2114" s="394"/>
      <c r="M2114" s="394">
        <v>0</v>
      </c>
      <c r="N2114" s="394">
        <v>0</v>
      </c>
      <c r="O2114" s="394">
        <v>0.44627</v>
      </c>
      <c r="P2114" s="394">
        <v>10.458320000000001</v>
      </c>
      <c r="Q2114" s="394"/>
      <c r="R2114" s="381" t="s">
        <v>167</v>
      </c>
      <c r="S2114" s="408" t="s">
        <v>175</v>
      </c>
      <c r="T2114" s="385"/>
      <c r="U2114" s="475">
        <v>1034</v>
      </c>
      <c r="V2114" s="395"/>
      <c r="W2114" s="395">
        <f t="shared" si="1035"/>
        <v>13.34033</v>
      </c>
      <c r="X2114" s="393"/>
      <c r="Y2114" s="337"/>
      <c r="Z2114" s="497"/>
      <c r="AA2114" s="544"/>
      <c r="AB2114" s="394"/>
      <c r="AC2114" s="394"/>
      <c r="AD2114" s="394"/>
      <c r="AE2114" s="394"/>
      <c r="AF2114" s="394"/>
      <c r="AG2114" s="394"/>
      <c r="AH2114" s="394"/>
      <c r="AI2114" s="394"/>
      <c r="AJ2114" s="394"/>
      <c r="AK2114" s="381"/>
      <c r="AL2114" s="408"/>
      <c r="AM2114" s="385"/>
      <c r="AN2114" s="475"/>
      <c r="AO2114" s="395"/>
      <c r="AP2114" s="395" t="e">
        <f t="shared" si="1033"/>
        <v>#DIV/0!</v>
      </c>
      <c r="AQ2114" s="393"/>
      <c r="AR2114" s="337"/>
      <c r="AS2114" s="497"/>
      <c r="AT2114" s="544"/>
      <c r="AU2114" s="394"/>
      <c r="AV2114" s="394"/>
      <c r="AW2114" s="394"/>
      <c r="AX2114" s="394"/>
      <c r="AY2114" s="394"/>
      <c r="AZ2114" s="394"/>
      <c r="BA2114" s="394"/>
      <c r="BB2114" s="394"/>
      <c r="BC2114" s="394"/>
      <c r="BD2114" s="381"/>
      <c r="BE2114" s="408"/>
      <c r="BF2114" s="385"/>
      <c r="BG2114" s="475"/>
      <c r="BH2114" s="395"/>
      <c r="BI2114" s="395" t="e">
        <f t="shared" si="1034"/>
        <v>#DIV/0!</v>
      </c>
    </row>
    <row r="2115" spans="1:61" s="358" customFormat="1" ht="19.2" x14ac:dyDescent="0.3">
      <c r="A2115" s="359" t="s">
        <v>2252</v>
      </c>
      <c r="B2115" s="537" t="s">
        <v>1832</v>
      </c>
      <c r="C2115" s="546" t="s">
        <v>1271</v>
      </c>
      <c r="D2115" s="360">
        <v>0.4</v>
      </c>
      <c r="E2115" s="393"/>
      <c r="F2115" s="337">
        <v>1</v>
      </c>
      <c r="G2115" s="497"/>
      <c r="H2115" s="544">
        <v>13.34037</v>
      </c>
      <c r="I2115" s="394">
        <v>11.42605</v>
      </c>
      <c r="J2115" s="394">
        <v>10.458349999999999</v>
      </c>
      <c r="K2115" s="394"/>
      <c r="L2115" s="394"/>
      <c r="M2115" s="394">
        <v>0</v>
      </c>
      <c r="N2115" s="394">
        <v>0</v>
      </c>
      <c r="O2115" s="394">
        <v>0.44627</v>
      </c>
      <c r="P2115" s="394">
        <v>10.458349999999999</v>
      </c>
      <c r="Q2115" s="394"/>
      <c r="R2115" s="381" t="s">
        <v>167</v>
      </c>
      <c r="S2115" s="408" t="s">
        <v>175</v>
      </c>
      <c r="T2115" s="385"/>
      <c r="U2115" s="475">
        <v>1035</v>
      </c>
      <c r="V2115" s="395"/>
      <c r="W2115" s="395">
        <f t="shared" si="1035"/>
        <v>13.34037</v>
      </c>
      <c r="X2115" s="393"/>
      <c r="Y2115" s="337"/>
      <c r="Z2115" s="497"/>
      <c r="AA2115" s="544"/>
      <c r="AB2115" s="394"/>
      <c r="AC2115" s="394"/>
      <c r="AD2115" s="394"/>
      <c r="AE2115" s="394"/>
      <c r="AF2115" s="394"/>
      <c r="AG2115" s="394"/>
      <c r="AH2115" s="394"/>
      <c r="AI2115" s="394"/>
      <c r="AJ2115" s="394"/>
      <c r="AK2115" s="381"/>
      <c r="AL2115" s="408"/>
      <c r="AM2115" s="385"/>
      <c r="AN2115" s="475"/>
      <c r="AO2115" s="395"/>
      <c r="AP2115" s="395" t="e">
        <f t="shared" si="1033"/>
        <v>#DIV/0!</v>
      </c>
      <c r="AQ2115" s="393"/>
      <c r="AR2115" s="337"/>
      <c r="AS2115" s="497"/>
      <c r="AT2115" s="544"/>
      <c r="AU2115" s="394"/>
      <c r="AV2115" s="394"/>
      <c r="AW2115" s="394"/>
      <c r="AX2115" s="394"/>
      <c r="AY2115" s="394"/>
      <c r="AZ2115" s="394"/>
      <c r="BA2115" s="394"/>
      <c r="BB2115" s="394"/>
      <c r="BC2115" s="394"/>
      <c r="BD2115" s="381"/>
      <c r="BE2115" s="408"/>
      <c r="BF2115" s="385"/>
      <c r="BG2115" s="475"/>
      <c r="BH2115" s="395"/>
      <c r="BI2115" s="395" t="e">
        <f t="shared" si="1034"/>
        <v>#DIV/0!</v>
      </c>
    </row>
    <row r="2116" spans="1:61" s="358" customFormat="1" ht="19.2" x14ac:dyDescent="0.3">
      <c r="A2116" s="359" t="s">
        <v>2253</v>
      </c>
      <c r="B2116" s="537" t="s">
        <v>1833</v>
      </c>
      <c r="C2116" s="546" t="s">
        <v>1272</v>
      </c>
      <c r="D2116" s="360">
        <v>0.4</v>
      </c>
      <c r="E2116" s="393"/>
      <c r="F2116" s="337">
        <v>1</v>
      </c>
      <c r="G2116" s="497"/>
      <c r="H2116" s="544">
        <v>13.34033</v>
      </c>
      <c r="I2116" s="394">
        <v>11.42605</v>
      </c>
      <c r="J2116" s="394">
        <v>10.458320000000001</v>
      </c>
      <c r="K2116" s="394"/>
      <c r="L2116" s="394"/>
      <c r="M2116" s="394">
        <v>0</v>
      </c>
      <c r="N2116" s="394">
        <v>0</v>
      </c>
      <c r="O2116" s="394">
        <v>0.44627</v>
      </c>
      <c r="P2116" s="394">
        <v>10.458320000000001</v>
      </c>
      <c r="Q2116" s="394"/>
      <c r="R2116" s="381" t="s">
        <v>167</v>
      </c>
      <c r="S2116" s="408" t="s">
        <v>175</v>
      </c>
      <c r="T2116" s="385"/>
      <c r="U2116" s="475">
        <v>1036</v>
      </c>
      <c r="V2116" s="395"/>
      <c r="W2116" s="395">
        <f t="shared" si="1035"/>
        <v>13.34033</v>
      </c>
      <c r="X2116" s="393"/>
      <c r="Y2116" s="337"/>
      <c r="Z2116" s="497"/>
      <c r="AA2116" s="544"/>
      <c r="AB2116" s="394"/>
      <c r="AC2116" s="394"/>
      <c r="AD2116" s="394"/>
      <c r="AE2116" s="394"/>
      <c r="AF2116" s="394"/>
      <c r="AG2116" s="394"/>
      <c r="AH2116" s="394"/>
      <c r="AI2116" s="394"/>
      <c r="AJ2116" s="394"/>
      <c r="AK2116" s="381"/>
      <c r="AL2116" s="408"/>
      <c r="AM2116" s="385"/>
      <c r="AN2116" s="475"/>
      <c r="AO2116" s="395"/>
      <c r="AP2116" s="395" t="e">
        <f t="shared" si="1033"/>
        <v>#DIV/0!</v>
      </c>
      <c r="AQ2116" s="393"/>
      <c r="AR2116" s="337"/>
      <c r="AS2116" s="497"/>
      <c r="AT2116" s="544"/>
      <c r="AU2116" s="394"/>
      <c r="AV2116" s="394"/>
      <c r="AW2116" s="394"/>
      <c r="AX2116" s="394"/>
      <c r="AY2116" s="394"/>
      <c r="AZ2116" s="394"/>
      <c r="BA2116" s="394"/>
      <c r="BB2116" s="394"/>
      <c r="BC2116" s="394"/>
      <c r="BD2116" s="381"/>
      <c r="BE2116" s="408"/>
      <c r="BF2116" s="385"/>
      <c r="BG2116" s="475"/>
      <c r="BH2116" s="395"/>
      <c r="BI2116" s="395" t="e">
        <f t="shared" si="1034"/>
        <v>#DIV/0!</v>
      </c>
    </row>
    <row r="2117" spans="1:61" s="358" customFormat="1" ht="19.2" x14ac:dyDescent="0.3">
      <c r="A2117" s="359" t="s">
        <v>2254</v>
      </c>
      <c r="B2117" s="537" t="s">
        <v>1834</v>
      </c>
      <c r="C2117" s="546" t="s">
        <v>1273</v>
      </c>
      <c r="D2117" s="360">
        <v>0.4</v>
      </c>
      <c r="E2117" s="393"/>
      <c r="F2117" s="337">
        <v>1</v>
      </c>
      <c r="G2117" s="497"/>
      <c r="H2117" s="544">
        <v>13.34037</v>
      </c>
      <c r="I2117" s="394">
        <v>11.42605</v>
      </c>
      <c r="J2117" s="394">
        <v>10.458349999999999</v>
      </c>
      <c r="K2117" s="394"/>
      <c r="L2117" s="394"/>
      <c r="M2117" s="394">
        <v>0</v>
      </c>
      <c r="N2117" s="394">
        <v>0</v>
      </c>
      <c r="O2117" s="394">
        <v>0.44627</v>
      </c>
      <c r="P2117" s="394">
        <v>10.458349999999999</v>
      </c>
      <c r="Q2117" s="394"/>
      <c r="R2117" s="381" t="s">
        <v>167</v>
      </c>
      <c r="S2117" s="408" t="s">
        <v>175</v>
      </c>
      <c r="T2117" s="385"/>
      <c r="U2117" s="475">
        <v>1037</v>
      </c>
      <c r="V2117" s="395"/>
      <c r="W2117" s="395">
        <f t="shared" ref="W2117:W2119" si="1036">H2117/F2117</f>
        <v>13.34037</v>
      </c>
      <c r="X2117" s="393"/>
      <c r="Y2117" s="337"/>
      <c r="Z2117" s="497"/>
      <c r="AA2117" s="544"/>
      <c r="AB2117" s="394"/>
      <c r="AC2117" s="394"/>
      <c r="AD2117" s="394"/>
      <c r="AE2117" s="394"/>
      <c r="AF2117" s="394"/>
      <c r="AG2117" s="394"/>
      <c r="AH2117" s="394"/>
      <c r="AI2117" s="394"/>
      <c r="AJ2117" s="394"/>
      <c r="AK2117" s="381"/>
      <c r="AL2117" s="408"/>
      <c r="AM2117" s="385"/>
      <c r="AN2117" s="475"/>
      <c r="AO2117" s="395"/>
      <c r="AP2117" s="395" t="e">
        <f t="shared" si="1033"/>
        <v>#DIV/0!</v>
      </c>
      <c r="AQ2117" s="393"/>
      <c r="AR2117" s="337"/>
      <c r="AS2117" s="497"/>
      <c r="AT2117" s="544"/>
      <c r="AU2117" s="394"/>
      <c r="AV2117" s="394"/>
      <c r="AW2117" s="394"/>
      <c r="AX2117" s="394"/>
      <c r="AY2117" s="394"/>
      <c r="AZ2117" s="394"/>
      <c r="BA2117" s="394"/>
      <c r="BB2117" s="394"/>
      <c r="BC2117" s="394"/>
      <c r="BD2117" s="381"/>
      <c r="BE2117" s="408"/>
      <c r="BF2117" s="385"/>
      <c r="BG2117" s="475"/>
      <c r="BH2117" s="395"/>
      <c r="BI2117" s="395" t="e">
        <f t="shared" si="1034"/>
        <v>#DIV/0!</v>
      </c>
    </row>
    <row r="2118" spans="1:61" s="358" customFormat="1" ht="19.2" x14ac:dyDescent="0.3">
      <c r="A2118" s="359" t="s">
        <v>2255</v>
      </c>
      <c r="B2118" s="537" t="s">
        <v>1835</v>
      </c>
      <c r="C2118" s="546" t="s">
        <v>1274</v>
      </c>
      <c r="D2118" s="360">
        <v>0.4</v>
      </c>
      <c r="E2118" s="393"/>
      <c r="F2118" s="337">
        <v>1</v>
      </c>
      <c r="G2118" s="497"/>
      <c r="H2118" s="544">
        <v>11.4237</v>
      </c>
      <c r="I2118" s="394">
        <v>9.5094200000000004</v>
      </c>
      <c r="J2118" s="394">
        <v>8.5416699999999999</v>
      </c>
      <c r="K2118" s="394"/>
      <c r="L2118" s="394"/>
      <c r="M2118" s="394">
        <v>0</v>
      </c>
      <c r="N2118" s="394">
        <v>0</v>
      </c>
      <c r="O2118" s="394">
        <v>0.44627</v>
      </c>
      <c r="P2118" s="394">
        <v>8.5416699999999999</v>
      </c>
      <c r="Q2118" s="394"/>
      <c r="R2118" s="381" t="s">
        <v>167</v>
      </c>
      <c r="S2118" s="408" t="s">
        <v>175</v>
      </c>
      <c r="T2118" s="385"/>
      <c r="U2118" s="475">
        <v>1038</v>
      </c>
      <c r="V2118" s="395"/>
      <c r="W2118" s="395">
        <f t="shared" si="1036"/>
        <v>11.4237</v>
      </c>
      <c r="X2118" s="393"/>
      <c r="Y2118" s="337"/>
      <c r="Z2118" s="497"/>
      <c r="AA2118" s="544"/>
      <c r="AB2118" s="394"/>
      <c r="AC2118" s="394"/>
      <c r="AD2118" s="394"/>
      <c r="AE2118" s="394"/>
      <c r="AF2118" s="394"/>
      <c r="AG2118" s="394"/>
      <c r="AH2118" s="394"/>
      <c r="AI2118" s="394"/>
      <c r="AJ2118" s="394"/>
      <c r="AK2118" s="381"/>
      <c r="AL2118" s="408"/>
      <c r="AM2118" s="385"/>
      <c r="AN2118" s="475"/>
      <c r="AO2118" s="395"/>
      <c r="AP2118" s="395" t="e">
        <f t="shared" si="1033"/>
        <v>#DIV/0!</v>
      </c>
      <c r="AQ2118" s="393"/>
      <c r="AR2118" s="337"/>
      <c r="AS2118" s="497"/>
      <c r="AT2118" s="544"/>
      <c r="AU2118" s="394"/>
      <c r="AV2118" s="394"/>
      <c r="AW2118" s="394"/>
      <c r="AX2118" s="394"/>
      <c r="AY2118" s="394"/>
      <c r="AZ2118" s="394"/>
      <c r="BA2118" s="394"/>
      <c r="BB2118" s="394"/>
      <c r="BC2118" s="394"/>
      <c r="BD2118" s="381"/>
      <c r="BE2118" s="408"/>
      <c r="BF2118" s="385"/>
      <c r="BG2118" s="475"/>
      <c r="BH2118" s="395"/>
      <c r="BI2118" s="395" t="e">
        <f t="shared" si="1034"/>
        <v>#DIV/0!</v>
      </c>
    </row>
    <row r="2119" spans="1:61" s="358" customFormat="1" ht="19.2" x14ac:dyDescent="0.3">
      <c r="A2119" s="359" t="s">
        <v>2257</v>
      </c>
      <c r="B2119" s="537" t="s">
        <v>1836</v>
      </c>
      <c r="C2119" s="546" t="s">
        <v>1275</v>
      </c>
      <c r="D2119" s="360">
        <v>0.4</v>
      </c>
      <c r="E2119" s="393"/>
      <c r="F2119" s="337">
        <v>1</v>
      </c>
      <c r="G2119" s="497"/>
      <c r="H2119" s="544">
        <v>13.18033</v>
      </c>
      <c r="I2119" s="394">
        <v>11.26605</v>
      </c>
      <c r="J2119" s="394">
        <v>8.5416699999999999</v>
      </c>
      <c r="K2119" s="394"/>
      <c r="L2119" s="394"/>
      <c r="M2119" s="394">
        <v>0</v>
      </c>
      <c r="N2119" s="394">
        <v>0</v>
      </c>
      <c r="O2119" s="394">
        <v>0.44627</v>
      </c>
      <c r="P2119" s="394">
        <v>8.5416699999999999</v>
      </c>
      <c r="Q2119" s="394"/>
      <c r="R2119" s="381" t="s">
        <v>167</v>
      </c>
      <c r="S2119" s="408" t="s">
        <v>175</v>
      </c>
      <c r="T2119" s="385"/>
      <c r="U2119" s="475">
        <v>1039</v>
      </c>
      <c r="V2119" s="395"/>
      <c r="W2119" s="395">
        <f t="shared" si="1036"/>
        <v>13.18033</v>
      </c>
      <c r="X2119" s="393"/>
      <c r="Y2119" s="337"/>
      <c r="Z2119" s="497"/>
      <c r="AA2119" s="544"/>
      <c r="AB2119" s="394"/>
      <c r="AC2119" s="394"/>
      <c r="AD2119" s="394"/>
      <c r="AE2119" s="394"/>
      <c r="AF2119" s="394"/>
      <c r="AG2119" s="394"/>
      <c r="AH2119" s="394"/>
      <c r="AI2119" s="394"/>
      <c r="AJ2119" s="394"/>
      <c r="AK2119" s="381"/>
      <c r="AL2119" s="408"/>
      <c r="AM2119" s="385"/>
      <c r="AN2119" s="475"/>
      <c r="AO2119" s="395"/>
      <c r="AP2119" s="395" t="e">
        <f t="shared" si="1033"/>
        <v>#DIV/0!</v>
      </c>
      <c r="AQ2119" s="393"/>
      <c r="AR2119" s="337"/>
      <c r="AS2119" s="497"/>
      <c r="AT2119" s="544"/>
      <c r="AU2119" s="394"/>
      <c r="AV2119" s="394"/>
      <c r="AW2119" s="394"/>
      <c r="AX2119" s="394"/>
      <c r="AY2119" s="394"/>
      <c r="AZ2119" s="394"/>
      <c r="BA2119" s="394"/>
      <c r="BB2119" s="394"/>
      <c r="BC2119" s="394"/>
      <c r="BD2119" s="381"/>
      <c r="BE2119" s="408"/>
      <c r="BF2119" s="385"/>
      <c r="BG2119" s="475"/>
      <c r="BH2119" s="395"/>
      <c r="BI2119" s="395" t="e">
        <f t="shared" si="1034"/>
        <v>#DIV/0!</v>
      </c>
    </row>
    <row r="2120" spans="1:61" s="358" customFormat="1" ht="19.2" x14ac:dyDescent="0.3">
      <c r="A2120" s="359" t="s">
        <v>178</v>
      </c>
      <c r="B2120" s="572" t="s">
        <v>3870</v>
      </c>
      <c r="C2120" s="546" t="s">
        <v>2966</v>
      </c>
      <c r="D2120" s="360">
        <v>0.4</v>
      </c>
      <c r="E2120" s="393"/>
      <c r="F2120" s="523"/>
      <c r="G2120" s="393"/>
      <c r="H2120" s="573"/>
      <c r="I2120" s="394"/>
      <c r="J2120" s="394"/>
      <c r="K2120" s="394"/>
      <c r="L2120" s="394"/>
      <c r="M2120" s="394"/>
      <c r="N2120" s="394"/>
      <c r="O2120" s="394"/>
      <c r="P2120" s="394"/>
      <c r="Q2120" s="394"/>
      <c r="R2120" s="381"/>
      <c r="S2120" s="408"/>
      <c r="T2120" s="385"/>
      <c r="U2120" s="475"/>
      <c r="V2120" s="395"/>
      <c r="W2120" s="395"/>
      <c r="X2120" s="393"/>
      <c r="Y2120" s="523">
        <v>1</v>
      </c>
      <c r="Z2120" s="497"/>
      <c r="AA2120" s="573">
        <v>14.043900000000001</v>
      </c>
      <c r="AB2120" s="394">
        <v>11.8565</v>
      </c>
      <c r="AC2120" s="394">
        <v>10.45833</v>
      </c>
      <c r="AD2120" s="394"/>
      <c r="AE2120" s="394"/>
      <c r="AF2120" s="394">
        <v>0</v>
      </c>
      <c r="AG2120" s="394">
        <v>0</v>
      </c>
      <c r="AH2120" s="394">
        <v>0.50993999999999995</v>
      </c>
      <c r="AI2120" s="394">
        <v>10.45833</v>
      </c>
      <c r="AJ2120" s="394"/>
      <c r="AK2120" s="381" t="s">
        <v>167</v>
      </c>
      <c r="AL2120" s="408" t="s">
        <v>175</v>
      </c>
      <c r="AM2120" s="385"/>
      <c r="AN2120" s="475">
        <v>907</v>
      </c>
      <c r="AO2120" s="395"/>
      <c r="AP2120" s="395">
        <f t="shared" si="1033"/>
        <v>14.043900000000001</v>
      </c>
      <c r="AQ2120" s="393"/>
      <c r="AR2120" s="523"/>
      <c r="AS2120" s="497"/>
      <c r="AT2120" s="573"/>
      <c r="AU2120" s="394"/>
      <c r="AV2120" s="394"/>
      <c r="AW2120" s="394"/>
      <c r="AX2120" s="394"/>
      <c r="AY2120" s="394"/>
      <c r="AZ2120" s="394"/>
      <c r="BA2120" s="394"/>
      <c r="BB2120" s="394"/>
      <c r="BC2120" s="394"/>
      <c r="BD2120" s="381"/>
      <c r="BE2120" s="408"/>
      <c r="BF2120" s="385"/>
      <c r="BG2120" s="475"/>
      <c r="BH2120" s="395"/>
      <c r="BI2120" s="395" t="e">
        <f t="shared" si="1034"/>
        <v>#DIV/0!</v>
      </c>
    </row>
    <row r="2121" spans="1:61" s="358" customFormat="1" ht="19.2" x14ac:dyDescent="0.3">
      <c r="A2121" s="359" t="s">
        <v>182</v>
      </c>
      <c r="B2121" s="572" t="s">
        <v>659</v>
      </c>
      <c r="C2121" s="546" t="s">
        <v>542</v>
      </c>
      <c r="D2121" s="360">
        <v>0.4</v>
      </c>
      <c r="E2121" s="393"/>
      <c r="F2121" s="523"/>
      <c r="G2121" s="393"/>
      <c r="H2121" s="573"/>
      <c r="I2121" s="394"/>
      <c r="J2121" s="394"/>
      <c r="K2121" s="394"/>
      <c r="L2121" s="394"/>
      <c r="M2121" s="394"/>
      <c r="N2121" s="394"/>
      <c r="O2121" s="394"/>
      <c r="P2121" s="394"/>
      <c r="Q2121" s="394"/>
      <c r="R2121" s="381"/>
      <c r="S2121" s="408"/>
      <c r="T2121" s="385"/>
      <c r="U2121" s="475"/>
      <c r="V2121" s="395"/>
      <c r="W2121" s="395"/>
      <c r="X2121" s="393"/>
      <c r="Y2121" s="523">
        <v>1</v>
      </c>
      <c r="Z2121" s="497"/>
      <c r="AA2121" s="573">
        <v>14.043900000000001</v>
      </c>
      <c r="AB2121" s="394">
        <v>11.8565</v>
      </c>
      <c r="AC2121" s="394">
        <v>10.45833</v>
      </c>
      <c r="AD2121" s="394"/>
      <c r="AE2121" s="394"/>
      <c r="AF2121" s="394">
        <v>0</v>
      </c>
      <c r="AG2121" s="394">
        <v>0</v>
      </c>
      <c r="AH2121" s="394">
        <v>0.50993999999999995</v>
      </c>
      <c r="AI2121" s="394">
        <v>10.45833</v>
      </c>
      <c r="AJ2121" s="394"/>
      <c r="AK2121" s="381" t="s">
        <v>167</v>
      </c>
      <c r="AL2121" s="408" t="s">
        <v>175</v>
      </c>
      <c r="AM2121" s="385"/>
      <c r="AN2121" s="475">
        <v>908</v>
      </c>
      <c r="AO2121" s="395"/>
      <c r="AP2121" s="395">
        <f t="shared" si="1033"/>
        <v>14.043900000000001</v>
      </c>
      <c r="AQ2121" s="393"/>
      <c r="AR2121" s="523"/>
      <c r="AS2121" s="497"/>
      <c r="AT2121" s="573"/>
      <c r="AU2121" s="394"/>
      <c r="AV2121" s="394"/>
      <c r="AW2121" s="394"/>
      <c r="AX2121" s="394"/>
      <c r="AY2121" s="394"/>
      <c r="AZ2121" s="394"/>
      <c r="BA2121" s="394"/>
      <c r="BB2121" s="394"/>
      <c r="BC2121" s="394"/>
      <c r="BD2121" s="381"/>
      <c r="BE2121" s="408"/>
      <c r="BF2121" s="385"/>
      <c r="BG2121" s="475"/>
      <c r="BH2121" s="395"/>
      <c r="BI2121" s="395" t="e">
        <f t="shared" si="1034"/>
        <v>#DIV/0!</v>
      </c>
    </row>
    <row r="2122" spans="1:61" s="358" customFormat="1" ht="19.2" x14ac:dyDescent="0.3">
      <c r="A2122" s="359" t="s">
        <v>184</v>
      </c>
      <c r="B2122" s="572" t="s">
        <v>3871</v>
      </c>
      <c r="C2122" s="546" t="s">
        <v>2967</v>
      </c>
      <c r="D2122" s="360">
        <v>0.4</v>
      </c>
      <c r="E2122" s="393"/>
      <c r="F2122" s="523"/>
      <c r="G2122" s="393"/>
      <c r="H2122" s="573"/>
      <c r="I2122" s="394"/>
      <c r="J2122" s="394"/>
      <c r="K2122" s="394"/>
      <c r="L2122" s="394"/>
      <c r="M2122" s="394"/>
      <c r="N2122" s="394"/>
      <c r="O2122" s="394"/>
      <c r="P2122" s="394"/>
      <c r="Q2122" s="394"/>
      <c r="R2122" s="381"/>
      <c r="S2122" s="408"/>
      <c r="T2122" s="385"/>
      <c r="U2122" s="475"/>
      <c r="V2122" s="395"/>
      <c r="W2122" s="395"/>
      <c r="X2122" s="393"/>
      <c r="Y2122" s="523">
        <v>1</v>
      </c>
      <c r="Z2122" s="497"/>
      <c r="AA2122" s="573">
        <v>13.23785</v>
      </c>
      <c r="AB2122" s="394">
        <v>11.32357</v>
      </c>
      <c r="AC2122" s="394">
        <v>10.45833</v>
      </c>
      <c r="AD2122" s="394"/>
      <c r="AE2122" s="394"/>
      <c r="AF2122" s="394">
        <v>0</v>
      </c>
      <c r="AG2122" s="394">
        <v>0</v>
      </c>
      <c r="AH2122" s="394">
        <v>0.44627</v>
      </c>
      <c r="AI2122" s="394">
        <v>10.45833</v>
      </c>
      <c r="AJ2122" s="394"/>
      <c r="AK2122" s="381" t="s">
        <v>167</v>
      </c>
      <c r="AL2122" s="408" t="s">
        <v>175</v>
      </c>
      <c r="AM2122" s="385"/>
      <c r="AN2122" s="475">
        <v>909</v>
      </c>
      <c r="AO2122" s="395"/>
      <c r="AP2122" s="395">
        <f t="shared" ref="AP2122:AP2182" si="1037">AA2122/Y2122</f>
        <v>13.23785</v>
      </c>
      <c r="AQ2122" s="393"/>
      <c r="AR2122" s="523"/>
      <c r="AS2122" s="497"/>
      <c r="AT2122" s="573"/>
      <c r="AU2122" s="394"/>
      <c r="AV2122" s="394"/>
      <c r="AW2122" s="394"/>
      <c r="AX2122" s="394"/>
      <c r="AY2122" s="394"/>
      <c r="AZ2122" s="394"/>
      <c r="BA2122" s="394"/>
      <c r="BB2122" s="394"/>
      <c r="BC2122" s="394"/>
      <c r="BD2122" s="381"/>
      <c r="BE2122" s="408"/>
      <c r="BF2122" s="385"/>
      <c r="BG2122" s="475"/>
      <c r="BH2122" s="395"/>
      <c r="BI2122" s="395" t="e">
        <f t="shared" si="1034"/>
        <v>#DIV/0!</v>
      </c>
    </row>
    <row r="2123" spans="1:61" s="358" customFormat="1" ht="19.2" x14ac:dyDescent="0.3">
      <c r="A2123" s="359" t="s">
        <v>329</v>
      </c>
      <c r="B2123" s="572" t="s">
        <v>3872</v>
      </c>
      <c r="C2123" s="546" t="s">
        <v>2968</v>
      </c>
      <c r="D2123" s="360">
        <v>0.4</v>
      </c>
      <c r="E2123" s="393"/>
      <c r="F2123" s="523"/>
      <c r="G2123" s="393"/>
      <c r="H2123" s="573"/>
      <c r="I2123" s="394"/>
      <c r="J2123" s="394"/>
      <c r="K2123" s="394"/>
      <c r="L2123" s="394"/>
      <c r="M2123" s="394"/>
      <c r="N2123" s="394"/>
      <c r="O2123" s="394"/>
      <c r="P2123" s="394"/>
      <c r="Q2123" s="394"/>
      <c r="R2123" s="381"/>
      <c r="S2123" s="408"/>
      <c r="T2123" s="385"/>
      <c r="U2123" s="475"/>
      <c r="V2123" s="395"/>
      <c r="W2123" s="395"/>
      <c r="X2123" s="393"/>
      <c r="Y2123" s="523">
        <v>1</v>
      </c>
      <c r="Z2123" s="497"/>
      <c r="AA2123" s="573">
        <v>14.043900000000001</v>
      </c>
      <c r="AB2123" s="394">
        <v>11.8565</v>
      </c>
      <c r="AC2123" s="394">
        <v>10.45833</v>
      </c>
      <c r="AD2123" s="394"/>
      <c r="AE2123" s="394"/>
      <c r="AF2123" s="394">
        <v>0</v>
      </c>
      <c r="AG2123" s="394">
        <v>0</v>
      </c>
      <c r="AH2123" s="394">
        <v>0.50993999999999995</v>
      </c>
      <c r="AI2123" s="394">
        <v>10.45833</v>
      </c>
      <c r="AJ2123" s="394"/>
      <c r="AK2123" s="381" t="s">
        <v>167</v>
      </c>
      <c r="AL2123" s="408" t="s">
        <v>175</v>
      </c>
      <c r="AM2123" s="385"/>
      <c r="AN2123" s="475">
        <v>910</v>
      </c>
      <c r="AO2123" s="395"/>
      <c r="AP2123" s="395">
        <f t="shared" si="1037"/>
        <v>14.043900000000001</v>
      </c>
      <c r="AQ2123" s="393"/>
      <c r="AR2123" s="523"/>
      <c r="AS2123" s="497"/>
      <c r="AT2123" s="573"/>
      <c r="AU2123" s="394"/>
      <c r="AV2123" s="394"/>
      <c r="AW2123" s="394"/>
      <c r="AX2123" s="394"/>
      <c r="AY2123" s="394"/>
      <c r="AZ2123" s="394"/>
      <c r="BA2123" s="394"/>
      <c r="BB2123" s="394"/>
      <c r="BC2123" s="394"/>
      <c r="BD2123" s="381"/>
      <c r="BE2123" s="408"/>
      <c r="BF2123" s="385"/>
      <c r="BG2123" s="475"/>
      <c r="BH2123" s="395"/>
      <c r="BI2123" s="395" t="e">
        <f t="shared" si="1034"/>
        <v>#DIV/0!</v>
      </c>
    </row>
    <row r="2124" spans="1:61" s="358" customFormat="1" ht="19.2" x14ac:dyDescent="0.3">
      <c r="A2124" s="359" t="s">
        <v>189</v>
      </c>
      <c r="B2124" s="572" t="s">
        <v>3873</v>
      </c>
      <c r="C2124" s="546" t="s">
        <v>2969</v>
      </c>
      <c r="D2124" s="360">
        <v>0.4</v>
      </c>
      <c r="E2124" s="393"/>
      <c r="F2124" s="523"/>
      <c r="G2124" s="393"/>
      <c r="H2124" s="573"/>
      <c r="I2124" s="394"/>
      <c r="J2124" s="394"/>
      <c r="K2124" s="394"/>
      <c r="L2124" s="394"/>
      <c r="M2124" s="394"/>
      <c r="N2124" s="394"/>
      <c r="O2124" s="394"/>
      <c r="P2124" s="394"/>
      <c r="Q2124" s="394"/>
      <c r="R2124" s="381"/>
      <c r="S2124" s="408"/>
      <c r="T2124" s="385"/>
      <c r="U2124" s="475"/>
      <c r="V2124" s="395"/>
      <c r="W2124" s="395"/>
      <c r="X2124" s="393"/>
      <c r="Y2124" s="523">
        <v>1</v>
      </c>
      <c r="Z2124" s="497"/>
      <c r="AA2124" s="573">
        <v>13.23785</v>
      </c>
      <c r="AB2124" s="394">
        <v>11.32357</v>
      </c>
      <c r="AC2124" s="394">
        <v>10.45833</v>
      </c>
      <c r="AD2124" s="394"/>
      <c r="AE2124" s="394"/>
      <c r="AF2124" s="394">
        <v>0</v>
      </c>
      <c r="AG2124" s="394">
        <v>0</v>
      </c>
      <c r="AH2124" s="394">
        <v>0.44627</v>
      </c>
      <c r="AI2124" s="394">
        <v>10.45833</v>
      </c>
      <c r="AJ2124" s="394"/>
      <c r="AK2124" s="381" t="s">
        <v>167</v>
      </c>
      <c r="AL2124" s="408" t="s">
        <v>175</v>
      </c>
      <c r="AM2124" s="385"/>
      <c r="AN2124" s="475">
        <v>911</v>
      </c>
      <c r="AO2124" s="395"/>
      <c r="AP2124" s="395">
        <f t="shared" si="1037"/>
        <v>13.23785</v>
      </c>
      <c r="AQ2124" s="393"/>
      <c r="AR2124" s="523"/>
      <c r="AS2124" s="497"/>
      <c r="AT2124" s="573"/>
      <c r="AU2124" s="394"/>
      <c r="AV2124" s="394"/>
      <c r="AW2124" s="394"/>
      <c r="AX2124" s="394"/>
      <c r="AY2124" s="394"/>
      <c r="AZ2124" s="394"/>
      <c r="BA2124" s="394"/>
      <c r="BB2124" s="394"/>
      <c r="BC2124" s="394"/>
      <c r="BD2124" s="381"/>
      <c r="BE2124" s="408"/>
      <c r="BF2124" s="385"/>
      <c r="BG2124" s="475"/>
      <c r="BH2124" s="395"/>
      <c r="BI2124" s="395" t="e">
        <f t="shared" si="1034"/>
        <v>#DIV/0!</v>
      </c>
    </row>
    <row r="2125" spans="1:61" s="358" customFormat="1" ht="19.2" x14ac:dyDescent="0.3">
      <c r="A2125" s="359" t="s">
        <v>267</v>
      </c>
      <c r="B2125" s="572" t="s">
        <v>3874</v>
      </c>
      <c r="C2125" s="546" t="s">
        <v>2970</v>
      </c>
      <c r="D2125" s="360">
        <v>0.4</v>
      </c>
      <c r="E2125" s="393"/>
      <c r="F2125" s="523"/>
      <c r="G2125" s="393"/>
      <c r="H2125" s="573"/>
      <c r="I2125" s="394"/>
      <c r="J2125" s="394"/>
      <c r="K2125" s="394"/>
      <c r="L2125" s="394"/>
      <c r="M2125" s="394"/>
      <c r="N2125" s="394"/>
      <c r="O2125" s="394"/>
      <c r="P2125" s="394"/>
      <c r="Q2125" s="394"/>
      <c r="R2125" s="381"/>
      <c r="S2125" s="408"/>
      <c r="T2125" s="385"/>
      <c r="U2125" s="475"/>
      <c r="V2125" s="395"/>
      <c r="W2125" s="395"/>
      <c r="X2125" s="393"/>
      <c r="Y2125" s="523">
        <v>1</v>
      </c>
      <c r="Z2125" s="497"/>
      <c r="AA2125" s="573">
        <v>14.043900000000001</v>
      </c>
      <c r="AB2125" s="394">
        <v>11.8565</v>
      </c>
      <c r="AC2125" s="394">
        <v>10.45833</v>
      </c>
      <c r="AD2125" s="394"/>
      <c r="AE2125" s="394"/>
      <c r="AF2125" s="394">
        <v>0</v>
      </c>
      <c r="AG2125" s="394">
        <v>0</v>
      </c>
      <c r="AH2125" s="394">
        <v>0.50993999999999995</v>
      </c>
      <c r="AI2125" s="394">
        <v>10.45833</v>
      </c>
      <c r="AJ2125" s="394"/>
      <c r="AK2125" s="381" t="s">
        <v>167</v>
      </c>
      <c r="AL2125" s="408" t="s">
        <v>175</v>
      </c>
      <c r="AM2125" s="385"/>
      <c r="AN2125" s="475">
        <v>912</v>
      </c>
      <c r="AO2125" s="395"/>
      <c r="AP2125" s="395">
        <f t="shared" si="1037"/>
        <v>14.043900000000001</v>
      </c>
      <c r="AQ2125" s="393"/>
      <c r="AR2125" s="523"/>
      <c r="AS2125" s="497"/>
      <c r="AT2125" s="573"/>
      <c r="AU2125" s="394"/>
      <c r="AV2125" s="394"/>
      <c r="AW2125" s="394"/>
      <c r="AX2125" s="394"/>
      <c r="AY2125" s="394"/>
      <c r="AZ2125" s="394"/>
      <c r="BA2125" s="394"/>
      <c r="BB2125" s="394"/>
      <c r="BC2125" s="394"/>
      <c r="BD2125" s="381"/>
      <c r="BE2125" s="408"/>
      <c r="BF2125" s="385"/>
      <c r="BG2125" s="475"/>
      <c r="BH2125" s="395"/>
      <c r="BI2125" s="395" t="e">
        <f t="shared" si="1034"/>
        <v>#DIV/0!</v>
      </c>
    </row>
    <row r="2126" spans="1:61" s="358" customFormat="1" ht="19.2" x14ac:dyDescent="0.3">
      <c r="A2126" s="359" t="s">
        <v>268</v>
      </c>
      <c r="B2126" s="572" t="s">
        <v>3875</v>
      </c>
      <c r="C2126" s="546" t="s">
        <v>2971</v>
      </c>
      <c r="D2126" s="360">
        <v>0.4</v>
      </c>
      <c r="E2126" s="393"/>
      <c r="F2126" s="523"/>
      <c r="G2126" s="393"/>
      <c r="H2126" s="573"/>
      <c r="I2126" s="394"/>
      <c r="J2126" s="394"/>
      <c r="K2126" s="394"/>
      <c r="L2126" s="394"/>
      <c r="M2126" s="394"/>
      <c r="N2126" s="394"/>
      <c r="O2126" s="394"/>
      <c r="P2126" s="394"/>
      <c r="Q2126" s="394"/>
      <c r="R2126" s="381"/>
      <c r="S2126" s="408"/>
      <c r="T2126" s="385"/>
      <c r="U2126" s="475"/>
      <c r="V2126" s="395"/>
      <c r="W2126" s="395"/>
      <c r="X2126" s="393"/>
      <c r="Y2126" s="523">
        <v>1</v>
      </c>
      <c r="Z2126" s="497"/>
      <c r="AA2126" s="573">
        <v>14.04391</v>
      </c>
      <c r="AB2126" s="394">
        <v>11.85651</v>
      </c>
      <c r="AC2126" s="394">
        <v>10.45833</v>
      </c>
      <c r="AD2126" s="394"/>
      <c r="AE2126" s="394"/>
      <c r="AF2126" s="394">
        <v>0</v>
      </c>
      <c r="AG2126" s="394">
        <v>0</v>
      </c>
      <c r="AH2126" s="394">
        <v>0.50993999999999995</v>
      </c>
      <c r="AI2126" s="394">
        <v>10.45833</v>
      </c>
      <c r="AJ2126" s="394"/>
      <c r="AK2126" s="381" t="s">
        <v>167</v>
      </c>
      <c r="AL2126" s="408" t="s">
        <v>175</v>
      </c>
      <c r="AM2126" s="385"/>
      <c r="AN2126" s="475">
        <v>913</v>
      </c>
      <c r="AO2126" s="395"/>
      <c r="AP2126" s="395">
        <f t="shared" si="1037"/>
        <v>14.04391</v>
      </c>
      <c r="AQ2126" s="393"/>
      <c r="AR2126" s="523"/>
      <c r="AS2126" s="497"/>
      <c r="AT2126" s="573"/>
      <c r="AU2126" s="394"/>
      <c r="AV2126" s="394"/>
      <c r="AW2126" s="394"/>
      <c r="AX2126" s="394"/>
      <c r="AY2126" s="394"/>
      <c r="AZ2126" s="394"/>
      <c r="BA2126" s="394"/>
      <c r="BB2126" s="394"/>
      <c r="BC2126" s="394"/>
      <c r="BD2126" s="381"/>
      <c r="BE2126" s="408"/>
      <c r="BF2126" s="385"/>
      <c r="BG2126" s="475"/>
      <c r="BH2126" s="395"/>
      <c r="BI2126" s="395" t="e">
        <f t="shared" si="1034"/>
        <v>#DIV/0!</v>
      </c>
    </row>
    <row r="2127" spans="1:61" s="358" customFormat="1" ht="19.2" x14ac:dyDescent="0.3">
      <c r="A2127" s="359" t="s">
        <v>333</v>
      </c>
      <c r="B2127" s="572" t="s">
        <v>3876</v>
      </c>
      <c r="C2127" s="546" t="s">
        <v>2972</v>
      </c>
      <c r="D2127" s="360">
        <v>0.4</v>
      </c>
      <c r="E2127" s="393"/>
      <c r="F2127" s="523"/>
      <c r="G2127" s="393"/>
      <c r="H2127" s="573"/>
      <c r="I2127" s="394"/>
      <c r="J2127" s="394"/>
      <c r="K2127" s="394"/>
      <c r="L2127" s="394"/>
      <c r="M2127" s="394"/>
      <c r="N2127" s="394"/>
      <c r="O2127" s="394"/>
      <c r="P2127" s="394"/>
      <c r="Q2127" s="394"/>
      <c r="R2127" s="381"/>
      <c r="S2127" s="408"/>
      <c r="T2127" s="385"/>
      <c r="U2127" s="475"/>
      <c r="V2127" s="395"/>
      <c r="W2127" s="395"/>
      <c r="X2127" s="393"/>
      <c r="Y2127" s="523">
        <v>1</v>
      </c>
      <c r="Z2127" s="497"/>
      <c r="AA2127" s="573">
        <v>14.043900000000001</v>
      </c>
      <c r="AB2127" s="394">
        <v>11.8565</v>
      </c>
      <c r="AC2127" s="394">
        <v>10.45833</v>
      </c>
      <c r="AD2127" s="394"/>
      <c r="AE2127" s="394"/>
      <c r="AF2127" s="394">
        <v>0</v>
      </c>
      <c r="AG2127" s="394">
        <v>0</v>
      </c>
      <c r="AH2127" s="394">
        <v>0.50993999999999995</v>
      </c>
      <c r="AI2127" s="394">
        <v>10.45833</v>
      </c>
      <c r="AJ2127" s="394"/>
      <c r="AK2127" s="381" t="s">
        <v>167</v>
      </c>
      <c r="AL2127" s="408" t="s">
        <v>175</v>
      </c>
      <c r="AM2127" s="385"/>
      <c r="AN2127" s="475">
        <v>914</v>
      </c>
      <c r="AO2127" s="395"/>
      <c r="AP2127" s="395">
        <f t="shared" si="1037"/>
        <v>14.043900000000001</v>
      </c>
      <c r="AQ2127" s="393"/>
      <c r="AR2127" s="523"/>
      <c r="AS2127" s="497"/>
      <c r="AT2127" s="573"/>
      <c r="AU2127" s="394"/>
      <c r="AV2127" s="394"/>
      <c r="AW2127" s="394"/>
      <c r="AX2127" s="394"/>
      <c r="AY2127" s="394"/>
      <c r="AZ2127" s="394"/>
      <c r="BA2127" s="394"/>
      <c r="BB2127" s="394"/>
      <c r="BC2127" s="394"/>
      <c r="BD2127" s="381"/>
      <c r="BE2127" s="408"/>
      <c r="BF2127" s="385"/>
      <c r="BG2127" s="475"/>
      <c r="BH2127" s="395"/>
      <c r="BI2127" s="395" t="e">
        <f t="shared" si="1034"/>
        <v>#DIV/0!</v>
      </c>
    </row>
    <row r="2128" spans="1:61" s="358" customFormat="1" ht="19.2" x14ac:dyDescent="0.3">
      <c r="A2128" s="359" t="s">
        <v>270</v>
      </c>
      <c r="B2128" s="572" t="s">
        <v>3877</v>
      </c>
      <c r="C2128" s="546" t="s">
        <v>2973</v>
      </c>
      <c r="D2128" s="360">
        <v>0.4</v>
      </c>
      <c r="E2128" s="393"/>
      <c r="F2128" s="523"/>
      <c r="G2128" s="393"/>
      <c r="H2128" s="573"/>
      <c r="I2128" s="394"/>
      <c r="J2128" s="394"/>
      <c r="K2128" s="394"/>
      <c r="L2128" s="394"/>
      <c r="M2128" s="394"/>
      <c r="N2128" s="394"/>
      <c r="O2128" s="394"/>
      <c r="P2128" s="394"/>
      <c r="Q2128" s="394"/>
      <c r="R2128" s="381"/>
      <c r="S2128" s="408"/>
      <c r="T2128" s="385"/>
      <c r="U2128" s="475"/>
      <c r="V2128" s="395"/>
      <c r="W2128" s="395"/>
      <c r="X2128" s="393"/>
      <c r="Y2128" s="523">
        <v>1</v>
      </c>
      <c r="Z2128" s="497"/>
      <c r="AA2128" s="573">
        <v>14.043900000000001</v>
      </c>
      <c r="AB2128" s="394">
        <v>11.8565</v>
      </c>
      <c r="AC2128" s="394">
        <v>10.45833</v>
      </c>
      <c r="AD2128" s="394"/>
      <c r="AE2128" s="394"/>
      <c r="AF2128" s="394">
        <v>0</v>
      </c>
      <c r="AG2128" s="394">
        <v>0</v>
      </c>
      <c r="AH2128" s="394">
        <v>0.50993999999999995</v>
      </c>
      <c r="AI2128" s="394">
        <v>10.45833</v>
      </c>
      <c r="AJ2128" s="394"/>
      <c r="AK2128" s="381" t="s">
        <v>167</v>
      </c>
      <c r="AL2128" s="408" t="s">
        <v>175</v>
      </c>
      <c r="AM2128" s="385"/>
      <c r="AN2128" s="475">
        <v>915</v>
      </c>
      <c r="AO2128" s="395"/>
      <c r="AP2128" s="395">
        <f t="shared" si="1037"/>
        <v>14.043900000000001</v>
      </c>
      <c r="AQ2128" s="393"/>
      <c r="AR2128" s="523"/>
      <c r="AS2128" s="497"/>
      <c r="AT2128" s="573"/>
      <c r="AU2128" s="394"/>
      <c r="AV2128" s="394"/>
      <c r="AW2128" s="394"/>
      <c r="AX2128" s="394"/>
      <c r="AY2128" s="394"/>
      <c r="AZ2128" s="394"/>
      <c r="BA2128" s="394"/>
      <c r="BB2128" s="394"/>
      <c r="BC2128" s="394"/>
      <c r="BD2128" s="381"/>
      <c r="BE2128" s="408"/>
      <c r="BF2128" s="385"/>
      <c r="BG2128" s="475"/>
      <c r="BH2128" s="395"/>
      <c r="BI2128" s="395" t="e">
        <f t="shared" si="1034"/>
        <v>#DIV/0!</v>
      </c>
    </row>
    <row r="2129" spans="1:61" s="358" customFormat="1" ht="19.2" x14ac:dyDescent="0.3">
      <c r="A2129" s="359" t="s">
        <v>271</v>
      </c>
      <c r="B2129" s="572" t="s">
        <v>3878</v>
      </c>
      <c r="C2129" s="546" t="s">
        <v>2974</v>
      </c>
      <c r="D2129" s="360">
        <v>0.4</v>
      </c>
      <c r="E2129" s="393"/>
      <c r="F2129" s="523"/>
      <c r="G2129" s="393"/>
      <c r="H2129" s="573"/>
      <c r="I2129" s="394"/>
      <c r="J2129" s="394"/>
      <c r="K2129" s="394"/>
      <c r="L2129" s="394"/>
      <c r="M2129" s="394"/>
      <c r="N2129" s="394"/>
      <c r="O2129" s="394"/>
      <c r="P2129" s="394"/>
      <c r="Q2129" s="394"/>
      <c r="R2129" s="381"/>
      <c r="S2129" s="408"/>
      <c r="T2129" s="385"/>
      <c r="U2129" s="475"/>
      <c r="V2129" s="395"/>
      <c r="W2129" s="395"/>
      <c r="X2129" s="393"/>
      <c r="Y2129" s="523">
        <v>1</v>
      </c>
      <c r="Z2129" s="497"/>
      <c r="AA2129" s="573">
        <v>14.04391</v>
      </c>
      <c r="AB2129" s="394">
        <v>11.85651</v>
      </c>
      <c r="AC2129" s="394">
        <v>10.45833</v>
      </c>
      <c r="AD2129" s="394"/>
      <c r="AE2129" s="394"/>
      <c r="AF2129" s="394">
        <v>0</v>
      </c>
      <c r="AG2129" s="394">
        <v>0</v>
      </c>
      <c r="AH2129" s="394">
        <v>0.50993999999999995</v>
      </c>
      <c r="AI2129" s="394">
        <v>10.45833</v>
      </c>
      <c r="AJ2129" s="394"/>
      <c r="AK2129" s="381" t="s">
        <v>167</v>
      </c>
      <c r="AL2129" s="408" t="s">
        <v>175</v>
      </c>
      <c r="AM2129" s="385"/>
      <c r="AN2129" s="475">
        <v>916</v>
      </c>
      <c r="AO2129" s="395"/>
      <c r="AP2129" s="395">
        <f t="shared" si="1037"/>
        <v>14.04391</v>
      </c>
      <c r="AQ2129" s="393"/>
      <c r="AR2129" s="523"/>
      <c r="AS2129" s="497"/>
      <c r="AT2129" s="573"/>
      <c r="AU2129" s="394"/>
      <c r="AV2129" s="394"/>
      <c r="AW2129" s="394"/>
      <c r="AX2129" s="394"/>
      <c r="AY2129" s="394"/>
      <c r="AZ2129" s="394"/>
      <c r="BA2129" s="394"/>
      <c r="BB2129" s="394"/>
      <c r="BC2129" s="394"/>
      <c r="BD2129" s="381"/>
      <c r="BE2129" s="408"/>
      <c r="BF2129" s="385"/>
      <c r="BG2129" s="475"/>
      <c r="BH2129" s="395"/>
      <c r="BI2129" s="395" t="e">
        <f t="shared" si="1034"/>
        <v>#DIV/0!</v>
      </c>
    </row>
    <row r="2130" spans="1:61" s="358" customFormat="1" ht="19.2" x14ac:dyDescent="0.3">
      <c r="A2130" s="359" t="s">
        <v>2251</v>
      </c>
      <c r="B2130" s="572" t="s">
        <v>3879</v>
      </c>
      <c r="C2130" s="546" t="s">
        <v>2975</v>
      </c>
      <c r="D2130" s="360">
        <v>0.4</v>
      </c>
      <c r="E2130" s="393"/>
      <c r="F2130" s="523"/>
      <c r="G2130" s="393"/>
      <c r="H2130" s="573"/>
      <c r="I2130" s="394"/>
      <c r="J2130" s="394"/>
      <c r="K2130" s="394"/>
      <c r="L2130" s="394"/>
      <c r="M2130" s="394"/>
      <c r="N2130" s="394"/>
      <c r="O2130" s="394"/>
      <c r="P2130" s="394"/>
      <c r="Q2130" s="394"/>
      <c r="R2130" s="381"/>
      <c r="S2130" s="408"/>
      <c r="T2130" s="385"/>
      <c r="U2130" s="475"/>
      <c r="V2130" s="395"/>
      <c r="W2130" s="395"/>
      <c r="X2130" s="393"/>
      <c r="Y2130" s="523">
        <v>1</v>
      </c>
      <c r="Z2130" s="497"/>
      <c r="AA2130" s="573">
        <v>14.043900000000001</v>
      </c>
      <c r="AB2130" s="394">
        <v>11.8565</v>
      </c>
      <c r="AC2130" s="394">
        <v>10.45833</v>
      </c>
      <c r="AD2130" s="394"/>
      <c r="AE2130" s="394"/>
      <c r="AF2130" s="394">
        <v>0</v>
      </c>
      <c r="AG2130" s="394">
        <v>0</v>
      </c>
      <c r="AH2130" s="394">
        <v>0.50993999999999995</v>
      </c>
      <c r="AI2130" s="394">
        <v>10.45833</v>
      </c>
      <c r="AJ2130" s="394"/>
      <c r="AK2130" s="381" t="s">
        <v>167</v>
      </c>
      <c r="AL2130" s="408" t="s">
        <v>175</v>
      </c>
      <c r="AM2130" s="385"/>
      <c r="AN2130" s="475">
        <v>917</v>
      </c>
      <c r="AO2130" s="395"/>
      <c r="AP2130" s="395">
        <f t="shared" si="1037"/>
        <v>14.043900000000001</v>
      </c>
      <c r="AQ2130" s="393"/>
      <c r="AR2130" s="523"/>
      <c r="AS2130" s="497"/>
      <c r="AT2130" s="573"/>
      <c r="AU2130" s="394"/>
      <c r="AV2130" s="394"/>
      <c r="AW2130" s="394"/>
      <c r="AX2130" s="394"/>
      <c r="AY2130" s="394"/>
      <c r="AZ2130" s="394"/>
      <c r="BA2130" s="394"/>
      <c r="BB2130" s="394"/>
      <c r="BC2130" s="394"/>
      <c r="BD2130" s="381"/>
      <c r="BE2130" s="408"/>
      <c r="BF2130" s="385"/>
      <c r="BG2130" s="475"/>
      <c r="BH2130" s="395"/>
      <c r="BI2130" s="395" t="e">
        <f t="shared" si="1034"/>
        <v>#DIV/0!</v>
      </c>
    </row>
    <row r="2131" spans="1:61" s="358" customFormat="1" ht="19.2" x14ac:dyDescent="0.3">
      <c r="A2131" s="359" t="s">
        <v>273</v>
      </c>
      <c r="B2131" s="572" t="s">
        <v>3880</v>
      </c>
      <c r="C2131" s="546" t="s">
        <v>2976</v>
      </c>
      <c r="D2131" s="360">
        <v>0.4</v>
      </c>
      <c r="E2131" s="393"/>
      <c r="F2131" s="523"/>
      <c r="G2131" s="393"/>
      <c r="H2131" s="573"/>
      <c r="I2131" s="394"/>
      <c r="J2131" s="394"/>
      <c r="K2131" s="394"/>
      <c r="L2131" s="394"/>
      <c r="M2131" s="394"/>
      <c r="N2131" s="394"/>
      <c r="O2131" s="394"/>
      <c r="P2131" s="394"/>
      <c r="Q2131" s="394"/>
      <c r="R2131" s="381"/>
      <c r="S2131" s="408"/>
      <c r="T2131" s="385"/>
      <c r="U2131" s="475"/>
      <c r="V2131" s="395"/>
      <c r="W2131" s="395"/>
      <c r="X2131" s="393"/>
      <c r="Y2131" s="523">
        <v>1</v>
      </c>
      <c r="Z2131" s="497"/>
      <c r="AA2131" s="573">
        <v>14.043900000000001</v>
      </c>
      <c r="AB2131" s="394">
        <v>11.8565</v>
      </c>
      <c r="AC2131" s="394">
        <v>10.45833</v>
      </c>
      <c r="AD2131" s="394"/>
      <c r="AE2131" s="394"/>
      <c r="AF2131" s="394">
        <v>0</v>
      </c>
      <c r="AG2131" s="394">
        <v>0</v>
      </c>
      <c r="AH2131" s="394">
        <v>0.50993999999999995</v>
      </c>
      <c r="AI2131" s="394">
        <v>10.45833</v>
      </c>
      <c r="AJ2131" s="394"/>
      <c r="AK2131" s="381" t="s">
        <v>167</v>
      </c>
      <c r="AL2131" s="408" t="s">
        <v>175</v>
      </c>
      <c r="AM2131" s="385"/>
      <c r="AN2131" s="475">
        <v>918</v>
      </c>
      <c r="AO2131" s="395"/>
      <c r="AP2131" s="395">
        <f t="shared" si="1037"/>
        <v>14.043900000000001</v>
      </c>
      <c r="AQ2131" s="393"/>
      <c r="AR2131" s="523"/>
      <c r="AS2131" s="497"/>
      <c r="AT2131" s="573"/>
      <c r="AU2131" s="394"/>
      <c r="AV2131" s="394"/>
      <c r="AW2131" s="394"/>
      <c r="AX2131" s="394"/>
      <c r="AY2131" s="394"/>
      <c r="AZ2131" s="394"/>
      <c r="BA2131" s="394"/>
      <c r="BB2131" s="394"/>
      <c r="BC2131" s="394"/>
      <c r="BD2131" s="381"/>
      <c r="BE2131" s="408"/>
      <c r="BF2131" s="385"/>
      <c r="BG2131" s="475"/>
      <c r="BH2131" s="395"/>
      <c r="BI2131" s="395" t="e">
        <f t="shared" si="1034"/>
        <v>#DIV/0!</v>
      </c>
    </row>
    <row r="2132" spans="1:61" s="358" customFormat="1" ht="19.2" x14ac:dyDescent="0.3">
      <c r="A2132" s="359" t="s">
        <v>274</v>
      </c>
      <c r="B2132" s="572" t="s">
        <v>3881</v>
      </c>
      <c r="C2132" s="546" t="s">
        <v>2977</v>
      </c>
      <c r="D2132" s="360">
        <v>0.4</v>
      </c>
      <c r="E2132" s="393"/>
      <c r="F2132" s="523"/>
      <c r="G2132" s="393"/>
      <c r="H2132" s="573"/>
      <c r="I2132" s="394"/>
      <c r="J2132" s="394"/>
      <c r="K2132" s="394"/>
      <c r="L2132" s="394"/>
      <c r="M2132" s="394"/>
      <c r="N2132" s="394"/>
      <c r="O2132" s="394"/>
      <c r="P2132" s="394"/>
      <c r="Q2132" s="394"/>
      <c r="R2132" s="381"/>
      <c r="S2132" s="408"/>
      <c r="T2132" s="385"/>
      <c r="U2132" s="475"/>
      <c r="V2132" s="395"/>
      <c r="W2132" s="395"/>
      <c r="X2132" s="393"/>
      <c r="Y2132" s="523">
        <v>1</v>
      </c>
      <c r="Z2132" s="497"/>
      <c r="AA2132" s="573">
        <v>14.043900000000001</v>
      </c>
      <c r="AB2132" s="394">
        <v>11.8565</v>
      </c>
      <c r="AC2132" s="394">
        <v>10.45833</v>
      </c>
      <c r="AD2132" s="394"/>
      <c r="AE2132" s="394"/>
      <c r="AF2132" s="394">
        <v>0</v>
      </c>
      <c r="AG2132" s="394">
        <v>0</v>
      </c>
      <c r="AH2132" s="394">
        <v>0.50993999999999995</v>
      </c>
      <c r="AI2132" s="394">
        <v>10.45833</v>
      </c>
      <c r="AJ2132" s="394"/>
      <c r="AK2132" s="381" t="s">
        <v>167</v>
      </c>
      <c r="AL2132" s="408" t="s">
        <v>175</v>
      </c>
      <c r="AM2132" s="385"/>
      <c r="AN2132" s="475">
        <v>919</v>
      </c>
      <c r="AO2132" s="395"/>
      <c r="AP2132" s="395">
        <f t="shared" si="1037"/>
        <v>14.043900000000001</v>
      </c>
      <c r="AQ2132" s="393"/>
      <c r="AR2132" s="523"/>
      <c r="AS2132" s="497"/>
      <c r="AT2132" s="573"/>
      <c r="AU2132" s="394"/>
      <c r="AV2132" s="394"/>
      <c r="AW2132" s="394"/>
      <c r="AX2132" s="394"/>
      <c r="AY2132" s="394"/>
      <c r="AZ2132" s="394"/>
      <c r="BA2132" s="394"/>
      <c r="BB2132" s="394"/>
      <c r="BC2132" s="394"/>
      <c r="BD2132" s="381"/>
      <c r="BE2132" s="408"/>
      <c r="BF2132" s="385"/>
      <c r="BG2132" s="475"/>
      <c r="BH2132" s="395"/>
      <c r="BI2132" s="395" t="e">
        <f t="shared" si="1034"/>
        <v>#DIV/0!</v>
      </c>
    </row>
    <row r="2133" spans="1:61" s="358" customFormat="1" ht="19.2" x14ac:dyDescent="0.3">
      <c r="A2133" s="359" t="s">
        <v>275</v>
      </c>
      <c r="B2133" s="572" t="s">
        <v>3882</v>
      </c>
      <c r="C2133" s="546" t="s">
        <v>2978</v>
      </c>
      <c r="D2133" s="360">
        <v>0.4</v>
      </c>
      <c r="E2133" s="393"/>
      <c r="F2133" s="523"/>
      <c r="G2133" s="393"/>
      <c r="H2133" s="573"/>
      <c r="I2133" s="394"/>
      <c r="J2133" s="394"/>
      <c r="K2133" s="394"/>
      <c r="L2133" s="394"/>
      <c r="M2133" s="394"/>
      <c r="N2133" s="394"/>
      <c r="O2133" s="394"/>
      <c r="P2133" s="394"/>
      <c r="Q2133" s="394"/>
      <c r="R2133" s="381"/>
      <c r="S2133" s="408"/>
      <c r="T2133" s="385"/>
      <c r="U2133" s="475"/>
      <c r="V2133" s="395"/>
      <c r="W2133" s="395"/>
      <c r="X2133" s="393"/>
      <c r="Y2133" s="523">
        <v>1</v>
      </c>
      <c r="Z2133" s="497"/>
      <c r="AA2133" s="573">
        <v>14.043900000000001</v>
      </c>
      <c r="AB2133" s="394">
        <v>11.8565</v>
      </c>
      <c r="AC2133" s="394">
        <v>10.45833</v>
      </c>
      <c r="AD2133" s="394"/>
      <c r="AE2133" s="394"/>
      <c r="AF2133" s="394">
        <v>0</v>
      </c>
      <c r="AG2133" s="394">
        <v>0</v>
      </c>
      <c r="AH2133" s="394">
        <v>0.50993999999999995</v>
      </c>
      <c r="AI2133" s="394">
        <v>10.45833</v>
      </c>
      <c r="AJ2133" s="394"/>
      <c r="AK2133" s="381" t="s">
        <v>167</v>
      </c>
      <c r="AL2133" s="408" t="s">
        <v>175</v>
      </c>
      <c r="AM2133" s="385"/>
      <c r="AN2133" s="475">
        <v>920</v>
      </c>
      <c r="AO2133" s="395"/>
      <c r="AP2133" s="395">
        <f t="shared" si="1037"/>
        <v>14.043900000000001</v>
      </c>
      <c r="AQ2133" s="393"/>
      <c r="AR2133" s="523"/>
      <c r="AS2133" s="497"/>
      <c r="AT2133" s="573"/>
      <c r="AU2133" s="394"/>
      <c r="AV2133" s="394"/>
      <c r="AW2133" s="394"/>
      <c r="AX2133" s="394"/>
      <c r="AY2133" s="394"/>
      <c r="AZ2133" s="394"/>
      <c r="BA2133" s="394"/>
      <c r="BB2133" s="394"/>
      <c r="BC2133" s="394"/>
      <c r="BD2133" s="381"/>
      <c r="BE2133" s="408"/>
      <c r="BF2133" s="385"/>
      <c r="BG2133" s="475"/>
      <c r="BH2133" s="395"/>
      <c r="BI2133" s="395" t="e">
        <f t="shared" si="1034"/>
        <v>#DIV/0!</v>
      </c>
    </row>
    <row r="2134" spans="1:61" s="358" customFormat="1" ht="19.2" x14ac:dyDescent="0.3">
      <c r="A2134" s="359" t="s">
        <v>276</v>
      </c>
      <c r="B2134" s="572" t="s">
        <v>3883</v>
      </c>
      <c r="C2134" s="546" t="s">
        <v>2979</v>
      </c>
      <c r="D2134" s="360">
        <v>0.4</v>
      </c>
      <c r="E2134" s="393"/>
      <c r="F2134" s="523"/>
      <c r="G2134" s="393"/>
      <c r="H2134" s="573"/>
      <c r="I2134" s="394"/>
      <c r="J2134" s="394"/>
      <c r="K2134" s="394"/>
      <c r="L2134" s="394"/>
      <c r="M2134" s="394"/>
      <c r="N2134" s="394"/>
      <c r="O2134" s="394"/>
      <c r="P2134" s="394"/>
      <c r="Q2134" s="394"/>
      <c r="R2134" s="381"/>
      <c r="S2134" s="408"/>
      <c r="T2134" s="385"/>
      <c r="U2134" s="475"/>
      <c r="V2134" s="395"/>
      <c r="W2134" s="395"/>
      <c r="X2134" s="393"/>
      <c r="Y2134" s="523">
        <v>1</v>
      </c>
      <c r="Z2134" s="497"/>
      <c r="AA2134" s="573">
        <v>14.04391</v>
      </c>
      <c r="AB2134" s="394">
        <v>11.85651</v>
      </c>
      <c r="AC2134" s="394">
        <v>10.45833</v>
      </c>
      <c r="AD2134" s="394"/>
      <c r="AE2134" s="394"/>
      <c r="AF2134" s="394">
        <v>0</v>
      </c>
      <c r="AG2134" s="394">
        <v>0</v>
      </c>
      <c r="AH2134" s="394">
        <v>0.50993999999999995</v>
      </c>
      <c r="AI2134" s="394">
        <v>10.45833</v>
      </c>
      <c r="AJ2134" s="394"/>
      <c r="AK2134" s="381" t="s">
        <v>167</v>
      </c>
      <c r="AL2134" s="408" t="s">
        <v>175</v>
      </c>
      <c r="AM2134" s="385"/>
      <c r="AN2134" s="475">
        <v>921</v>
      </c>
      <c r="AO2134" s="395"/>
      <c r="AP2134" s="395">
        <f t="shared" si="1037"/>
        <v>14.04391</v>
      </c>
      <c r="AQ2134" s="393"/>
      <c r="AR2134" s="523"/>
      <c r="AS2134" s="497"/>
      <c r="AT2134" s="573"/>
      <c r="AU2134" s="394"/>
      <c r="AV2134" s="394"/>
      <c r="AW2134" s="394"/>
      <c r="AX2134" s="394"/>
      <c r="AY2134" s="394"/>
      <c r="AZ2134" s="394"/>
      <c r="BA2134" s="394"/>
      <c r="BB2134" s="394"/>
      <c r="BC2134" s="394"/>
      <c r="BD2134" s="381"/>
      <c r="BE2134" s="408"/>
      <c r="BF2134" s="385"/>
      <c r="BG2134" s="475"/>
      <c r="BH2134" s="395"/>
      <c r="BI2134" s="395" t="e">
        <f t="shared" si="1034"/>
        <v>#DIV/0!</v>
      </c>
    </row>
    <row r="2135" spans="1:61" s="358" customFormat="1" ht="19.2" x14ac:dyDescent="0.3">
      <c r="A2135" s="359" t="s">
        <v>277</v>
      </c>
      <c r="B2135" s="572" t="s">
        <v>3884</v>
      </c>
      <c r="C2135" s="546" t="s">
        <v>2980</v>
      </c>
      <c r="D2135" s="360">
        <v>0.4</v>
      </c>
      <c r="E2135" s="393"/>
      <c r="F2135" s="523"/>
      <c r="G2135" s="393"/>
      <c r="H2135" s="573"/>
      <c r="I2135" s="394"/>
      <c r="J2135" s="394"/>
      <c r="K2135" s="394"/>
      <c r="L2135" s="394"/>
      <c r="M2135" s="394"/>
      <c r="N2135" s="394"/>
      <c r="O2135" s="394"/>
      <c r="P2135" s="394"/>
      <c r="Q2135" s="394"/>
      <c r="R2135" s="381"/>
      <c r="S2135" s="408"/>
      <c r="T2135" s="385"/>
      <c r="U2135" s="475"/>
      <c r="V2135" s="395"/>
      <c r="W2135" s="395"/>
      <c r="X2135" s="393"/>
      <c r="Y2135" s="523">
        <v>1</v>
      </c>
      <c r="Z2135" s="497"/>
      <c r="AA2135" s="573">
        <v>14.043900000000001</v>
      </c>
      <c r="AB2135" s="394">
        <v>11.8565</v>
      </c>
      <c r="AC2135" s="394">
        <v>10.45833</v>
      </c>
      <c r="AD2135" s="394"/>
      <c r="AE2135" s="394"/>
      <c r="AF2135" s="394">
        <v>0</v>
      </c>
      <c r="AG2135" s="394">
        <v>0</v>
      </c>
      <c r="AH2135" s="394">
        <v>0.50993999999999995</v>
      </c>
      <c r="AI2135" s="394">
        <v>10.45833</v>
      </c>
      <c r="AJ2135" s="394"/>
      <c r="AK2135" s="381" t="s">
        <v>167</v>
      </c>
      <c r="AL2135" s="408" t="s">
        <v>175</v>
      </c>
      <c r="AM2135" s="385"/>
      <c r="AN2135" s="475">
        <v>922</v>
      </c>
      <c r="AO2135" s="395"/>
      <c r="AP2135" s="395">
        <f t="shared" si="1037"/>
        <v>14.043900000000001</v>
      </c>
      <c r="AQ2135" s="393"/>
      <c r="AR2135" s="523"/>
      <c r="AS2135" s="497"/>
      <c r="AT2135" s="573"/>
      <c r="AU2135" s="394"/>
      <c r="AV2135" s="394"/>
      <c r="AW2135" s="394"/>
      <c r="AX2135" s="394"/>
      <c r="AY2135" s="394"/>
      <c r="AZ2135" s="394"/>
      <c r="BA2135" s="394"/>
      <c r="BB2135" s="394"/>
      <c r="BC2135" s="394"/>
      <c r="BD2135" s="381"/>
      <c r="BE2135" s="408"/>
      <c r="BF2135" s="385"/>
      <c r="BG2135" s="475"/>
      <c r="BH2135" s="395"/>
      <c r="BI2135" s="395" t="e">
        <f t="shared" ref="BI2135:BI2198" si="1038">AT2135/AR2135</f>
        <v>#DIV/0!</v>
      </c>
    </row>
    <row r="2136" spans="1:61" s="358" customFormat="1" ht="19.2" x14ac:dyDescent="0.3">
      <c r="A2136" s="359" t="s">
        <v>326</v>
      </c>
      <c r="B2136" s="572" t="s">
        <v>3885</v>
      </c>
      <c r="C2136" s="546" t="s">
        <v>2981</v>
      </c>
      <c r="D2136" s="360">
        <v>0.4</v>
      </c>
      <c r="E2136" s="393"/>
      <c r="F2136" s="523"/>
      <c r="G2136" s="393"/>
      <c r="H2136" s="573"/>
      <c r="I2136" s="394"/>
      <c r="J2136" s="394"/>
      <c r="K2136" s="394"/>
      <c r="L2136" s="394"/>
      <c r="M2136" s="394"/>
      <c r="N2136" s="394"/>
      <c r="O2136" s="394"/>
      <c r="P2136" s="394"/>
      <c r="Q2136" s="394"/>
      <c r="R2136" s="381"/>
      <c r="S2136" s="408"/>
      <c r="T2136" s="385"/>
      <c r="U2136" s="475"/>
      <c r="V2136" s="395"/>
      <c r="W2136" s="395"/>
      <c r="X2136" s="393"/>
      <c r="Y2136" s="523">
        <v>1</v>
      </c>
      <c r="Z2136" s="497"/>
      <c r="AA2136" s="573">
        <v>14.043889999999999</v>
      </c>
      <c r="AB2136" s="394">
        <v>11.856490000000001</v>
      </c>
      <c r="AC2136" s="394">
        <v>10.45833</v>
      </c>
      <c r="AD2136" s="394"/>
      <c r="AE2136" s="394"/>
      <c r="AF2136" s="394">
        <v>0</v>
      </c>
      <c r="AG2136" s="394">
        <v>0</v>
      </c>
      <c r="AH2136" s="394">
        <v>0.50993999999999995</v>
      </c>
      <c r="AI2136" s="394">
        <v>10.45833</v>
      </c>
      <c r="AJ2136" s="394"/>
      <c r="AK2136" s="381" t="s">
        <v>167</v>
      </c>
      <c r="AL2136" s="408" t="s">
        <v>175</v>
      </c>
      <c r="AM2136" s="385"/>
      <c r="AN2136" s="475">
        <v>923</v>
      </c>
      <c r="AO2136" s="395"/>
      <c r="AP2136" s="395">
        <f t="shared" si="1037"/>
        <v>14.043889999999999</v>
      </c>
      <c r="AQ2136" s="393"/>
      <c r="AR2136" s="523"/>
      <c r="AS2136" s="497"/>
      <c r="AT2136" s="573"/>
      <c r="AU2136" s="394"/>
      <c r="AV2136" s="394"/>
      <c r="AW2136" s="394"/>
      <c r="AX2136" s="394"/>
      <c r="AY2136" s="394"/>
      <c r="AZ2136" s="394"/>
      <c r="BA2136" s="394"/>
      <c r="BB2136" s="394"/>
      <c r="BC2136" s="394"/>
      <c r="BD2136" s="381"/>
      <c r="BE2136" s="408"/>
      <c r="BF2136" s="385"/>
      <c r="BG2136" s="475"/>
      <c r="BH2136" s="395"/>
      <c r="BI2136" s="395" t="e">
        <f t="shared" si="1038"/>
        <v>#DIV/0!</v>
      </c>
    </row>
    <row r="2137" spans="1:61" s="358" customFormat="1" ht="19.2" x14ac:dyDescent="0.3">
      <c r="A2137" s="359" t="s">
        <v>327</v>
      </c>
      <c r="B2137" s="572" t="s">
        <v>660</v>
      </c>
      <c r="C2137" s="546" t="s">
        <v>543</v>
      </c>
      <c r="D2137" s="360">
        <v>0.4</v>
      </c>
      <c r="E2137" s="393"/>
      <c r="F2137" s="523"/>
      <c r="G2137" s="393"/>
      <c r="H2137" s="573"/>
      <c r="I2137" s="394"/>
      <c r="J2137" s="394"/>
      <c r="K2137" s="394"/>
      <c r="L2137" s="394"/>
      <c r="M2137" s="394"/>
      <c r="N2137" s="394"/>
      <c r="O2137" s="394"/>
      <c r="P2137" s="394"/>
      <c r="Q2137" s="394"/>
      <c r="R2137" s="381"/>
      <c r="S2137" s="408"/>
      <c r="T2137" s="385"/>
      <c r="U2137" s="475"/>
      <c r="V2137" s="395"/>
      <c r="W2137" s="395"/>
      <c r="X2137" s="393"/>
      <c r="Y2137" s="523">
        <v>1</v>
      </c>
      <c r="Z2137" s="497"/>
      <c r="AA2137" s="573">
        <v>14.043900000000001</v>
      </c>
      <c r="AB2137" s="394">
        <v>11.8565</v>
      </c>
      <c r="AC2137" s="394">
        <v>10.45833</v>
      </c>
      <c r="AD2137" s="394"/>
      <c r="AE2137" s="394"/>
      <c r="AF2137" s="394">
        <v>0</v>
      </c>
      <c r="AG2137" s="394">
        <v>0</v>
      </c>
      <c r="AH2137" s="394">
        <v>0.50993999999999995</v>
      </c>
      <c r="AI2137" s="394">
        <v>10.45833</v>
      </c>
      <c r="AJ2137" s="394"/>
      <c r="AK2137" s="381" t="s">
        <v>167</v>
      </c>
      <c r="AL2137" s="408" t="s">
        <v>175</v>
      </c>
      <c r="AM2137" s="385"/>
      <c r="AN2137" s="475">
        <v>924</v>
      </c>
      <c r="AO2137" s="395"/>
      <c r="AP2137" s="395">
        <f t="shared" si="1037"/>
        <v>14.043900000000001</v>
      </c>
      <c r="AQ2137" s="393"/>
      <c r="AR2137" s="523"/>
      <c r="AS2137" s="497"/>
      <c r="AT2137" s="573"/>
      <c r="AU2137" s="394"/>
      <c r="AV2137" s="394"/>
      <c r="AW2137" s="394"/>
      <c r="AX2137" s="394"/>
      <c r="AY2137" s="394"/>
      <c r="AZ2137" s="394"/>
      <c r="BA2137" s="394"/>
      <c r="BB2137" s="394"/>
      <c r="BC2137" s="394"/>
      <c r="BD2137" s="381"/>
      <c r="BE2137" s="408"/>
      <c r="BF2137" s="385"/>
      <c r="BG2137" s="475"/>
      <c r="BH2137" s="395"/>
      <c r="BI2137" s="395" t="e">
        <f t="shared" si="1038"/>
        <v>#DIV/0!</v>
      </c>
    </row>
    <row r="2138" spans="1:61" s="358" customFormat="1" ht="19.2" x14ac:dyDescent="0.3">
      <c r="A2138" s="359" t="s">
        <v>328</v>
      </c>
      <c r="B2138" s="572" t="s">
        <v>1472</v>
      </c>
      <c r="C2138" s="546" t="s">
        <v>2982</v>
      </c>
      <c r="D2138" s="360">
        <v>0.4</v>
      </c>
      <c r="E2138" s="393"/>
      <c r="F2138" s="523"/>
      <c r="G2138" s="393"/>
      <c r="H2138" s="573"/>
      <c r="I2138" s="394"/>
      <c r="J2138" s="394"/>
      <c r="K2138" s="394"/>
      <c r="L2138" s="394"/>
      <c r="M2138" s="394"/>
      <c r="N2138" s="394"/>
      <c r="O2138" s="394"/>
      <c r="P2138" s="394"/>
      <c r="Q2138" s="394"/>
      <c r="R2138" s="381"/>
      <c r="S2138" s="408"/>
      <c r="T2138" s="385"/>
      <c r="U2138" s="475"/>
      <c r="V2138" s="395"/>
      <c r="W2138" s="395"/>
      <c r="X2138" s="393"/>
      <c r="Y2138" s="523">
        <v>1</v>
      </c>
      <c r="Z2138" s="497"/>
      <c r="AA2138" s="573">
        <v>14.043900000000001</v>
      </c>
      <c r="AB2138" s="394">
        <v>11.8565</v>
      </c>
      <c r="AC2138" s="394">
        <v>10.45833</v>
      </c>
      <c r="AD2138" s="394"/>
      <c r="AE2138" s="394"/>
      <c r="AF2138" s="394">
        <v>0</v>
      </c>
      <c r="AG2138" s="394">
        <v>0</v>
      </c>
      <c r="AH2138" s="394">
        <v>0.50993999999999995</v>
      </c>
      <c r="AI2138" s="394">
        <v>10.45833</v>
      </c>
      <c r="AJ2138" s="394"/>
      <c r="AK2138" s="381" t="s">
        <v>167</v>
      </c>
      <c r="AL2138" s="408" t="s">
        <v>175</v>
      </c>
      <c r="AM2138" s="385"/>
      <c r="AN2138" s="475">
        <v>925</v>
      </c>
      <c r="AO2138" s="395"/>
      <c r="AP2138" s="395">
        <f t="shared" si="1037"/>
        <v>14.043900000000001</v>
      </c>
      <c r="AQ2138" s="393"/>
      <c r="AR2138" s="523"/>
      <c r="AS2138" s="497"/>
      <c r="AT2138" s="573"/>
      <c r="AU2138" s="394"/>
      <c r="AV2138" s="394"/>
      <c r="AW2138" s="394"/>
      <c r="AX2138" s="394"/>
      <c r="AY2138" s="394"/>
      <c r="AZ2138" s="394"/>
      <c r="BA2138" s="394"/>
      <c r="BB2138" s="394"/>
      <c r="BC2138" s="394"/>
      <c r="BD2138" s="381"/>
      <c r="BE2138" s="408"/>
      <c r="BF2138" s="385"/>
      <c r="BG2138" s="475"/>
      <c r="BH2138" s="395"/>
      <c r="BI2138" s="395" t="e">
        <f t="shared" si="1038"/>
        <v>#DIV/0!</v>
      </c>
    </row>
    <row r="2139" spans="1:61" s="358" customFormat="1" ht="19.2" x14ac:dyDescent="0.3">
      <c r="A2139" s="359" t="s">
        <v>345</v>
      </c>
      <c r="B2139" s="572" t="s">
        <v>1414</v>
      </c>
      <c r="C2139" s="546" t="s">
        <v>2983</v>
      </c>
      <c r="D2139" s="360">
        <v>0.4</v>
      </c>
      <c r="E2139" s="393"/>
      <c r="F2139" s="523"/>
      <c r="G2139" s="393"/>
      <c r="H2139" s="573"/>
      <c r="I2139" s="394"/>
      <c r="J2139" s="394"/>
      <c r="K2139" s="394"/>
      <c r="L2139" s="394"/>
      <c r="M2139" s="394"/>
      <c r="N2139" s="394"/>
      <c r="O2139" s="394"/>
      <c r="P2139" s="394"/>
      <c r="Q2139" s="394"/>
      <c r="R2139" s="381"/>
      <c r="S2139" s="408"/>
      <c r="T2139" s="385"/>
      <c r="U2139" s="475"/>
      <c r="V2139" s="395"/>
      <c r="W2139" s="395"/>
      <c r="X2139" s="393"/>
      <c r="Y2139" s="523">
        <v>1</v>
      </c>
      <c r="Z2139" s="497"/>
      <c r="AA2139" s="573">
        <v>13.301069999999999</v>
      </c>
      <c r="AB2139" s="394">
        <v>9.9238300000000006</v>
      </c>
      <c r="AC2139" s="394">
        <v>8.5416699999999999</v>
      </c>
      <c r="AD2139" s="394"/>
      <c r="AE2139" s="394"/>
      <c r="AF2139" s="394">
        <v>0</v>
      </c>
      <c r="AG2139" s="394">
        <v>0</v>
      </c>
      <c r="AH2139" s="394">
        <v>0.78732999999999997</v>
      </c>
      <c r="AI2139" s="394">
        <v>8.5416699999999999</v>
      </c>
      <c r="AJ2139" s="394"/>
      <c r="AK2139" s="381" t="s">
        <v>167</v>
      </c>
      <c r="AL2139" s="408" t="s">
        <v>175</v>
      </c>
      <c r="AM2139" s="385"/>
      <c r="AN2139" s="475">
        <v>926</v>
      </c>
      <c r="AO2139" s="395"/>
      <c r="AP2139" s="395">
        <f t="shared" si="1037"/>
        <v>13.301069999999999</v>
      </c>
      <c r="AQ2139" s="393"/>
      <c r="AR2139" s="523"/>
      <c r="AS2139" s="497"/>
      <c r="AT2139" s="573"/>
      <c r="AU2139" s="394"/>
      <c r="AV2139" s="394"/>
      <c r="AW2139" s="394"/>
      <c r="AX2139" s="394"/>
      <c r="AY2139" s="394"/>
      <c r="AZ2139" s="394"/>
      <c r="BA2139" s="394"/>
      <c r="BB2139" s="394"/>
      <c r="BC2139" s="394"/>
      <c r="BD2139" s="381"/>
      <c r="BE2139" s="408"/>
      <c r="BF2139" s="385"/>
      <c r="BG2139" s="475"/>
      <c r="BH2139" s="395"/>
      <c r="BI2139" s="395" t="e">
        <f t="shared" si="1038"/>
        <v>#DIV/0!</v>
      </c>
    </row>
    <row r="2140" spans="1:61" s="358" customFormat="1" ht="19.2" x14ac:dyDescent="0.3">
      <c r="A2140" s="359" t="s">
        <v>330</v>
      </c>
      <c r="B2140" s="572" t="s">
        <v>1414</v>
      </c>
      <c r="C2140" s="546" t="s">
        <v>2984</v>
      </c>
      <c r="D2140" s="360">
        <v>0.4</v>
      </c>
      <c r="E2140" s="393"/>
      <c r="F2140" s="523"/>
      <c r="G2140" s="393"/>
      <c r="H2140" s="573"/>
      <c r="I2140" s="394"/>
      <c r="J2140" s="394"/>
      <c r="K2140" s="394"/>
      <c r="L2140" s="394"/>
      <c r="M2140" s="394"/>
      <c r="N2140" s="394"/>
      <c r="O2140" s="394"/>
      <c r="P2140" s="394"/>
      <c r="Q2140" s="394"/>
      <c r="R2140" s="381"/>
      <c r="S2140" s="408"/>
      <c r="T2140" s="385"/>
      <c r="U2140" s="475"/>
      <c r="V2140" s="395"/>
      <c r="W2140" s="395"/>
      <c r="X2140" s="393"/>
      <c r="Y2140" s="523">
        <v>1</v>
      </c>
      <c r="Z2140" s="497"/>
      <c r="AA2140" s="573">
        <v>13.301069999999999</v>
      </c>
      <c r="AB2140" s="394">
        <v>9.9238300000000006</v>
      </c>
      <c r="AC2140" s="394">
        <v>8.5416699999999999</v>
      </c>
      <c r="AD2140" s="394"/>
      <c r="AE2140" s="394"/>
      <c r="AF2140" s="394">
        <v>0</v>
      </c>
      <c r="AG2140" s="394">
        <v>0</v>
      </c>
      <c r="AH2140" s="394">
        <v>0.78732999999999997</v>
      </c>
      <c r="AI2140" s="394">
        <v>8.5416699999999999</v>
      </c>
      <c r="AJ2140" s="394"/>
      <c r="AK2140" s="381" t="s">
        <v>167</v>
      </c>
      <c r="AL2140" s="408" t="s">
        <v>175</v>
      </c>
      <c r="AM2140" s="385"/>
      <c r="AN2140" s="475">
        <v>927</v>
      </c>
      <c r="AO2140" s="395"/>
      <c r="AP2140" s="395">
        <f t="shared" si="1037"/>
        <v>13.301069999999999</v>
      </c>
      <c r="AQ2140" s="393"/>
      <c r="AR2140" s="523"/>
      <c r="AS2140" s="497"/>
      <c r="AT2140" s="573"/>
      <c r="AU2140" s="394"/>
      <c r="AV2140" s="394"/>
      <c r="AW2140" s="394"/>
      <c r="AX2140" s="394"/>
      <c r="AY2140" s="394"/>
      <c r="AZ2140" s="394"/>
      <c r="BA2140" s="394"/>
      <c r="BB2140" s="394"/>
      <c r="BC2140" s="394"/>
      <c r="BD2140" s="381"/>
      <c r="BE2140" s="408"/>
      <c r="BF2140" s="385"/>
      <c r="BG2140" s="475"/>
      <c r="BH2140" s="395"/>
      <c r="BI2140" s="395" t="e">
        <f t="shared" si="1038"/>
        <v>#DIV/0!</v>
      </c>
    </row>
    <row r="2141" spans="1:61" s="358" customFormat="1" ht="19.2" x14ac:dyDescent="0.3">
      <c r="A2141" s="359" t="s">
        <v>331</v>
      </c>
      <c r="B2141" s="572" t="s">
        <v>1414</v>
      </c>
      <c r="C2141" s="546" t="s">
        <v>2985</v>
      </c>
      <c r="D2141" s="360">
        <v>0.4</v>
      </c>
      <c r="E2141" s="393"/>
      <c r="F2141" s="523"/>
      <c r="G2141" s="393"/>
      <c r="H2141" s="573"/>
      <c r="I2141" s="394"/>
      <c r="J2141" s="394"/>
      <c r="K2141" s="394"/>
      <c r="L2141" s="394"/>
      <c r="M2141" s="394"/>
      <c r="N2141" s="394"/>
      <c r="O2141" s="394"/>
      <c r="P2141" s="394"/>
      <c r="Q2141" s="394"/>
      <c r="R2141" s="381"/>
      <c r="S2141" s="408"/>
      <c r="T2141" s="385"/>
      <c r="U2141" s="475"/>
      <c r="V2141" s="395"/>
      <c r="W2141" s="395"/>
      <c r="X2141" s="393"/>
      <c r="Y2141" s="523">
        <v>1</v>
      </c>
      <c r="Z2141" s="497"/>
      <c r="AA2141" s="573">
        <v>13.301069999999999</v>
      </c>
      <c r="AB2141" s="394">
        <v>9.9238300000000006</v>
      </c>
      <c r="AC2141" s="394">
        <v>8.5416699999999999</v>
      </c>
      <c r="AD2141" s="394"/>
      <c r="AE2141" s="394"/>
      <c r="AF2141" s="394">
        <v>0</v>
      </c>
      <c r="AG2141" s="394">
        <v>0</v>
      </c>
      <c r="AH2141" s="394">
        <v>0.78732999999999997</v>
      </c>
      <c r="AI2141" s="394">
        <v>8.5416699999999999</v>
      </c>
      <c r="AJ2141" s="394"/>
      <c r="AK2141" s="381" t="s">
        <v>167</v>
      </c>
      <c r="AL2141" s="408" t="s">
        <v>175</v>
      </c>
      <c r="AM2141" s="385"/>
      <c r="AN2141" s="475">
        <v>928</v>
      </c>
      <c r="AO2141" s="395"/>
      <c r="AP2141" s="395">
        <f t="shared" si="1037"/>
        <v>13.301069999999999</v>
      </c>
      <c r="AQ2141" s="393"/>
      <c r="AR2141" s="523"/>
      <c r="AS2141" s="497"/>
      <c r="AT2141" s="573"/>
      <c r="AU2141" s="394"/>
      <c r="AV2141" s="394"/>
      <c r="AW2141" s="394"/>
      <c r="AX2141" s="394"/>
      <c r="AY2141" s="394"/>
      <c r="AZ2141" s="394"/>
      <c r="BA2141" s="394"/>
      <c r="BB2141" s="394"/>
      <c r="BC2141" s="394"/>
      <c r="BD2141" s="381"/>
      <c r="BE2141" s="408"/>
      <c r="BF2141" s="385"/>
      <c r="BG2141" s="475"/>
      <c r="BH2141" s="395"/>
      <c r="BI2141" s="395" t="e">
        <f t="shared" si="1038"/>
        <v>#DIV/0!</v>
      </c>
    </row>
    <row r="2142" spans="1:61" s="358" customFormat="1" ht="19.2" x14ac:dyDescent="0.3">
      <c r="A2142" s="359" t="s">
        <v>332</v>
      </c>
      <c r="B2142" s="572" t="s">
        <v>3886</v>
      </c>
      <c r="C2142" s="550" t="s">
        <v>2986</v>
      </c>
      <c r="D2142" s="360">
        <v>0.4</v>
      </c>
      <c r="E2142" s="393"/>
      <c r="F2142" s="523"/>
      <c r="G2142" s="393"/>
      <c r="H2142" s="573"/>
      <c r="I2142" s="394"/>
      <c r="J2142" s="394"/>
      <c r="K2142" s="394"/>
      <c r="L2142" s="394"/>
      <c r="M2142" s="394"/>
      <c r="N2142" s="394"/>
      <c r="O2142" s="394"/>
      <c r="P2142" s="394"/>
      <c r="Q2142" s="394"/>
      <c r="R2142" s="381"/>
      <c r="S2142" s="408"/>
      <c r="T2142" s="385"/>
      <c r="U2142" s="475"/>
      <c r="V2142" s="395"/>
      <c r="W2142" s="395"/>
      <c r="X2142" s="393"/>
      <c r="Y2142" s="523">
        <v>1</v>
      </c>
      <c r="Z2142" s="497"/>
      <c r="AA2142" s="573">
        <v>15.69051</v>
      </c>
      <c r="AB2142" s="394">
        <v>13.77623</v>
      </c>
      <c r="AC2142" s="394">
        <v>12.00836</v>
      </c>
      <c r="AD2142" s="394"/>
      <c r="AE2142" s="394"/>
      <c r="AF2142" s="394">
        <v>0</v>
      </c>
      <c r="AG2142" s="394">
        <v>0</v>
      </c>
      <c r="AH2142" s="394">
        <v>0.44627</v>
      </c>
      <c r="AI2142" s="394">
        <v>12.00836</v>
      </c>
      <c r="AJ2142" s="394"/>
      <c r="AK2142" s="381" t="s">
        <v>167</v>
      </c>
      <c r="AL2142" s="408" t="s">
        <v>175</v>
      </c>
      <c r="AM2142" s="385"/>
      <c r="AN2142" s="475">
        <v>929</v>
      </c>
      <c r="AO2142" s="395"/>
      <c r="AP2142" s="395">
        <f t="shared" si="1037"/>
        <v>15.69051</v>
      </c>
      <c r="AQ2142" s="393"/>
      <c r="AR2142" s="523"/>
      <c r="AS2142" s="497"/>
      <c r="AT2142" s="573"/>
      <c r="AU2142" s="394"/>
      <c r="AV2142" s="394"/>
      <c r="AW2142" s="394"/>
      <c r="AX2142" s="394"/>
      <c r="AY2142" s="394"/>
      <c r="AZ2142" s="394"/>
      <c r="BA2142" s="394"/>
      <c r="BB2142" s="394"/>
      <c r="BC2142" s="394"/>
      <c r="BD2142" s="381"/>
      <c r="BE2142" s="408"/>
      <c r="BF2142" s="385"/>
      <c r="BG2142" s="475"/>
      <c r="BH2142" s="395"/>
      <c r="BI2142" s="395" t="e">
        <f t="shared" si="1038"/>
        <v>#DIV/0!</v>
      </c>
    </row>
    <row r="2143" spans="1:61" s="358" customFormat="1" ht="19.2" x14ac:dyDescent="0.3">
      <c r="A2143" s="359" t="s">
        <v>349</v>
      </c>
      <c r="B2143" s="572" t="s">
        <v>3887</v>
      </c>
      <c r="C2143" s="546" t="s">
        <v>2987</v>
      </c>
      <c r="D2143" s="360">
        <v>0.4</v>
      </c>
      <c r="E2143" s="393"/>
      <c r="F2143" s="523"/>
      <c r="G2143" s="393"/>
      <c r="H2143" s="573"/>
      <c r="I2143" s="394"/>
      <c r="J2143" s="394"/>
      <c r="K2143" s="394"/>
      <c r="L2143" s="394"/>
      <c r="M2143" s="394"/>
      <c r="N2143" s="394"/>
      <c r="O2143" s="394"/>
      <c r="P2143" s="394"/>
      <c r="Q2143" s="394"/>
      <c r="R2143" s="381"/>
      <c r="S2143" s="408"/>
      <c r="T2143" s="385"/>
      <c r="U2143" s="475"/>
      <c r="V2143" s="395"/>
      <c r="W2143" s="395"/>
      <c r="X2143" s="393"/>
      <c r="Y2143" s="523">
        <v>1</v>
      </c>
      <c r="Z2143" s="497"/>
      <c r="AA2143" s="573">
        <v>15.690519999999999</v>
      </c>
      <c r="AB2143" s="394">
        <v>13.77624</v>
      </c>
      <c r="AC2143" s="394">
        <v>12.00836</v>
      </c>
      <c r="AD2143" s="394"/>
      <c r="AE2143" s="394"/>
      <c r="AF2143" s="394">
        <v>0</v>
      </c>
      <c r="AG2143" s="394">
        <v>0</v>
      </c>
      <c r="AH2143" s="394">
        <v>0.44627</v>
      </c>
      <c r="AI2143" s="394">
        <v>12.00836</v>
      </c>
      <c r="AJ2143" s="394"/>
      <c r="AK2143" s="381" t="s">
        <v>167</v>
      </c>
      <c r="AL2143" s="408" t="s">
        <v>175</v>
      </c>
      <c r="AM2143" s="385"/>
      <c r="AN2143" s="475">
        <v>930</v>
      </c>
      <c r="AO2143" s="395"/>
      <c r="AP2143" s="395">
        <f t="shared" si="1037"/>
        <v>15.690519999999999</v>
      </c>
      <c r="AQ2143" s="393"/>
      <c r="AR2143" s="523"/>
      <c r="AS2143" s="497"/>
      <c r="AT2143" s="573"/>
      <c r="AU2143" s="394"/>
      <c r="AV2143" s="394"/>
      <c r="AW2143" s="394"/>
      <c r="AX2143" s="394"/>
      <c r="AY2143" s="394"/>
      <c r="AZ2143" s="394"/>
      <c r="BA2143" s="394"/>
      <c r="BB2143" s="394"/>
      <c r="BC2143" s="394"/>
      <c r="BD2143" s="381"/>
      <c r="BE2143" s="408"/>
      <c r="BF2143" s="385"/>
      <c r="BG2143" s="475"/>
      <c r="BH2143" s="395"/>
      <c r="BI2143" s="395" t="e">
        <f t="shared" si="1038"/>
        <v>#DIV/0!</v>
      </c>
    </row>
    <row r="2144" spans="1:61" s="358" customFormat="1" ht="19.2" x14ac:dyDescent="0.3">
      <c r="A2144" s="359" t="s">
        <v>334</v>
      </c>
      <c r="B2144" s="572" t="s">
        <v>3888</v>
      </c>
      <c r="C2144" s="546" t="s">
        <v>2988</v>
      </c>
      <c r="D2144" s="360">
        <v>0.4</v>
      </c>
      <c r="E2144" s="393"/>
      <c r="F2144" s="523"/>
      <c r="G2144" s="393"/>
      <c r="H2144" s="573"/>
      <c r="I2144" s="394"/>
      <c r="J2144" s="394"/>
      <c r="K2144" s="394"/>
      <c r="L2144" s="394"/>
      <c r="M2144" s="394"/>
      <c r="N2144" s="394"/>
      <c r="O2144" s="394"/>
      <c r="P2144" s="394"/>
      <c r="Q2144" s="394"/>
      <c r="R2144" s="381"/>
      <c r="S2144" s="408"/>
      <c r="T2144" s="385"/>
      <c r="U2144" s="475"/>
      <c r="V2144" s="395"/>
      <c r="W2144" s="395"/>
      <c r="X2144" s="393"/>
      <c r="Y2144" s="523">
        <v>1</v>
      </c>
      <c r="Z2144" s="497"/>
      <c r="AA2144" s="573">
        <v>15.485939999999999</v>
      </c>
      <c r="AB2144" s="394">
        <v>13.57166</v>
      </c>
      <c r="AC2144" s="394">
        <v>12.00835</v>
      </c>
      <c r="AD2144" s="394"/>
      <c r="AE2144" s="394"/>
      <c r="AF2144" s="394">
        <v>0</v>
      </c>
      <c r="AG2144" s="394">
        <v>0</v>
      </c>
      <c r="AH2144" s="394">
        <v>0.44627</v>
      </c>
      <c r="AI2144" s="394">
        <v>12.00835</v>
      </c>
      <c r="AJ2144" s="394"/>
      <c r="AK2144" s="381" t="s">
        <v>167</v>
      </c>
      <c r="AL2144" s="408" t="s">
        <v>175</v>
      </c>
      <c r="AM2144" s="385"/>
      <c r="AN2144" s="475">
        <v>931</v>
      </c>
      <c r="AO2144" s="395"/>
      <c r="AP2144" s="395">
        <f t="shared" si="1037"/>
        <v>15.485939999999999</v>
      </c>
      <c r="AQ2144" s="393"/>
      <c r="AR2144" s="523"/>
      <c r="AS2144" s="497"/>
      <c r="AT2144" s="573"/>
      <c r="AU2144" s="394"/>
      <c r="AV2144" s="394"/>
      <c r="AW2144" s="394"/>
      <c r="AX2144" s="394"/>
      <c r="AY2144" s="394"/>
      <c r="AZ2144" s="394"/>
      <c r="BA2144" s="394"/>
      <c r="BB2144" s="394"/>
      <c r="BC2144" s="394"/>
      <c r="BD2144" s="381"/>
      <c r="BE2144" s="408"/>
      <c r="BF2144" s="385"/>
      <c r="BG2144" s="475"/>
      <c r="BH2144" s="395"/>
      <c r="BI2144" s="395" t="e">
        <f t="shared" si="1038"/>
        <v>#DIV/0!</v>
      </c>
    </row>
    <row r="2145" spans="1:61" s="358" customFormat="1" ht="19.2" x14ac:dyDescent="0.3">
      <c r="A2145" s="359" t="s">
        <v>335</v>
      </c>
      <c r="B2145" s="572" t="s">
        <v>3889</v>
      </c>
      <c r="C2145" s="546" t="s">
        <v>2989</v>
      </c>
      <c r="D2145" s="360">
        <v>0.4</v>
      </c>
      <c r="E2145" s="393"/>
      <c r="F2145" s="523"/>
      <c r="G2145" s="393"/>
      <c r="H2145" s="573"/>
      <c r="I2145" s="394"/>
      <c r="J2145" s="394"/>
      <c r="K2145" s="394"/>
      <c r="L2145" s="394"/>
      <c r="M2145" s="394"/>
      <c r="N2145" s="394"/>
      <c r="O2145" s="394"/>
      <c r="P2145" s="394"/>
      <c r="Q2145" s="394"/>
      <c r="R2145" s="381"/>
      <c r="S2145" s="408"/>
      <c r="T2145" s="385"/>
      <c r="U2145" s="475"/>
      <c r="V2145" s="395"/>
      <c r="W2145" s="395"/>
      <c r="X2145" s="393"/>
      <c r="Y2145" s="523">
        <v>1</v>
      </c>
      <c r="Z2145" s="497"/>
      <c r="AA2145" s="573">
        <v>15.602880000000001</v>
      </c>
      <c r="AB2145" s="394">
        <v>13.6884</v>
      </c>
      <c r="AC2145" s="394">
        <v>12.00836</v>
      </c>
      <c r="AD2145" s="394"/>
      <c r="AE2145" s="394"/>
      <c r="AF2145" s="394">
        <v>0</v>
      </c>
      <c r="AG2145" s="394">
        <v>0</v>
      </c>
      <c r="AH2145" s="394">
        <v>0.44627</v>
      </c>
      <c r="AI2145" s="394">
        <v>12.00836</v>
      </c>
      <c r="AJ2145" s="394"/>
      <c r="AK2145" s="381" t="s">
        <v>167</v>
      </c>
      <c r="AL2145" s="408" t="s">
        <v>175</v>
      </c>
      <c r="AM2145" s="385"/>
      <c r="AN2145" s="475">
        <v>932</v>
      </c>
      <c r="AO2145" s="395"/>
      <c r="AP2145" s="395">
        <f t="shared" si="1037"/>
        <v>15.602880000000001</v>
      </c>
      <c r="AQ2145" s="393"/>
      <c r="AR2145" s="523"/>
      <c r="AS2145" s="497"/>
      <c r="AT2145" s="573"/>
      <c r="AU2145" s="394"/>
      <c r="AV2145" s="394"/>
      <c r="AW2145" s="394"/>
      <c r="AX2145" s="394"/>
      <c r="AY2145" s="394"/>
      <c r="AZ2145" s="394"/>
      <c r="BA2145" s="394"/>
      <c r="BB2145" s="394"/>
      <c r="BC2145" s="394"/>
      <c r="BD2145" s="381"/>
      <c r="BE2145" s="408"/>
      <c r="BF2145" s="385"/>
      <c r="BG2145" s="475"/>
      <c r="BH2145" s="395"/>
      <c r="BI2145" s="395" t="e">
        <f t="shared" si="1038"/>
        <v>#DIV/0!</v>
      </c>
    </row>
    <row r="2146" spans="1:61" s="358" customFormat="1" ht="19.2" x14ac:dyDescent="0.3">
      <c r="A2146" s="359" t="s">
        <v>272</v>
      </c>
      <c r="B2146" s="572" t="s">
        <v>3890</v>
      </c>
      <c r="C2146" s="546" t="s">
        <v>2990</v>
      </c>
      <c r="D2146" s="360">
        <v>0.4</v>
      </c>
      <c r="E2146" s="393"/>
      <c r="F2146" s="523"/>
      <c r="G2146" s="393"/>
      <c r="H2146" s="573"/>
      <c r="I2146" s="394"/>
      <c r="J2146" s="394"/>
      <c r="K2146" s="394"/>
      <c r="L2146" s="394"/>
      <c r="M2146" s="394"/>
      <c r="N2146" s="394"/>
      <c r="O2146" s="394"/>
      <c r="P2146" s="394"/>
      <c r="Q2146" s="394"/>
      <c r="R2146" s="381"/>
      <c r="S2146" s="408"/>
      <c r="T2146" s="385"/>
      <c r="U2146" s="475"/>
      <c r="V2146" s="395"/>
      <c r="W2146" s="395"/>
      <c r="X2146" s="393"/>
      <c r="Y2146" s="523">
        <v>1</v>
      </c>
      <c r="Z2146" s="497"/>
      <c r="AA2146" s="573">
        <v>19.794080000000001</v>
      </c>
      <c r="AB2146" s="394">
        <v>17.333570000000002</v>
      </c>
      <c r="AC2146" s="394">
        <v>12.00873</v>
      </c>
      <c r="AD2146" s="394"/>
      <c r="AE2146" s="394"/>
      <c r="AF2146" s="394">
        <v>0</v>
      </c>
      <c r="AG2146" s="394">
        <v>0</v>
      </c>
      <c r="AH2146" s="394">
        <v>0.57360999999999995</v>
      </c>
      <c r="AI2146" s="394">
        <v>12.00873</v>
      </c>
      <c r="AJ2146" s="394"/>
      <c r="AK2146" s="381" t="s">
        <v>167</v>
      </c>
      <c r="AL2146" s="408" t="s">
        <v>175</v>
      </c>
      <c r="AM2146" s="385"/>
      <c r="AN2146" s="475">
        <v>933</v>
      </c>
      <c r="AO2146" s="395"/>
      <c r="AP2146" s="395">
        <f t="shared" si="1037"/>
        <v>19.794080000000001</v>
      </c>
      <c r="AQ2146" s="393"/>
      <c r="AR2146" s="523"/>
      <c r="AS2146" s="497"/>
      <c r="AT2146" s="573"/>
      <c r="AU2146" s="394"/>
      <c r="AV2146" s="394"/>
      <c r="AW2146" s="394"/>
      <c r="AX2146" s="394"/>
      <c r="AY2146" s="394"/>
      <c r="AZ2146" s="394"/>
      <c r="BA2146" s="394"/>
      <c r="BB2146" s="394"/>
      <c r="BC2146" s="394"/>
      <c r="BD2146" s="381"/>
      <c r="BE2146" s="408"/>
      <c r="BF2146" s="385"/>
      <c r="BG2146" s="475"/>
      <c r="BH2146" s="395"/>
      <c r="BI2146" s="395" t="e">
        <f t="shared" si="1038"/>
        <v>#DIV/0!</v>
      </c>
    </row>
    <row r="2147" spans="1:61" s="358" customFormat="1" ht="19.2" x14ac:dyDescent="0.3">
      <c r="A2147" s="359" t="s">
        <v>337</v>
      </c>
      <c r="B2147" s="572" t="s">
        <v>2430</v>
      </c>
      <c r="C2147" s="546" t="s">
        <v>2429</v>
      </c>
      <c r="D2147" s="360">
        <v>0.4</v>
      </c>
      <c r="E2147" s="393"/>
      <c r="F2147" s="523"/>
      <c r="G2147" s="393"/>
      <c r="H2147" s="573"/>
      <c r="I2147" s="394"/>
      <c r="J2147" s="394"/>
      <c r="K2147" s="394"/>
      <c r="L2147" s="394"/>
      <c r="M2147" s="394"/>
      <c r="N2147" s="394"/>
      <c r="O2147" s="394"/>
      <c r="P2147" s="394"/>
      <c r="Q2147" s="394"/>
      <c r="R2147" s="381"/>
      <c r="S2147" s="408"/>
      <c r="T2147" s="385"/>
      <c r="U2147" s="475"/>
      <c r="V2147" s="395"/>
      <c r="W2147" s="395"/>
      <c r="X2147" s="393"/>
      <c r="Y2147" s="523">
        <v>1</v>
      </c>
      <c r="Z2147" s="497"/>
      <c r="AA2147" s="573">
        <v>15.48596</v>
      </c>
      <c r="AB2147" s="394">
        <v>13.571680000000001</v>
      </c>
      <c r="AC2147" s="394">
        <v>12.00835</v>
      </c>
      <c r="AD2147" s="394"/>
      <c r="AE2147" s="394"/>
      <c r="AF2147" s="394">
        <v>0</v>
      </c>
      <c r="AG2147" s="394">
        <v>0</v>
      </c>
      <c r="AH2147" s="394">
        <v>0.44627</v>
      </c>
      <c r="AI2147" s="394">
        <v>12.00835</v>
      </c>
      <c r="AJ2147" s="394"/>
      <c r="AK2147" s="381" t="s">
        <v>167</v>
      </c>
      <c r="AL2147" s="408" t="s">
        <v>175</v>
      </c>
      <c r="AM2147" s="385"/>
      <c r="AN2147" s="475">
        <v>934</v>
      </c>
      <c r="AO2147" s="395"/>
      <c r="AP2147" s="395">
        <f t="shared" si="1037"/>
        <v>15.48596</v>
      </c>
      <c r="AQ2147" s="393"/>
      <c r="AR2147" s="523"/>
      <c r="AS2147" s="497"/>
      <c r="AT2147" s="573"/>
      <c r="AU2147" s="394"/>
      <c r="AV2147" s="394"/>
      <c r="AW2147" s="394"/>
      <c r="AX2147" s="394"/>
      <c r="AY2147" s="394"/>
      <c r="AZ2147" s="394"/>
      <c r="BA2147" s="394"/>
      <c r="BB2147" s="394"/>
      <c r="BC2147" s="394"/>
      <c r="BD2147" s="381"/>
      <c r="BE2147" s="408"/>
      <c r="BF2147" s="385"/>
      <c r="BG2147" s="475"/>
      <c r="BH2147" s="395"/>
      <c r="BI2147" s="395" t="e">
        <f t="shared" si="1038"/>
        <v>#DIV/0!</v>
      </c>
    </row>
    <row r="2148" spans="1:61" s="358" customFormat="1" ht="19.2" x14ac:dyDescent="0.3">
      <c r="A2148" s="359" t="s">
        <v>338</v>
      </c>
      <c r="B2148" s="572" t="s">
        <v>3891</v>
      </c>
      <c r="C2148" s="546" t="s">
        <v>2991</v>
      </c>
      <c r="D2148" s="360">
        <v>0.4</v>
      </c>
      <c r="E2148" s="393"/>
      <c r="F2148" s="523"/>
      <c r="G2148" s="393"/>
      <c r="H2148" s="573"/>
      <c r="I2148" s="394"/>
      <c r="J2148" s="394"/>
      <c r="K2148" s="394"/>
      <c r="L2148" s="394"/>
      <c r="M2148" s="394"/>
      <c r="N2148" s="394"/>
      <c r="O2148" s="394"/>
      <c r="P2148" s="394"/>
      <c r="Q2148" s="394"/>
      <c r="R2148" s="381"/>
      <c r="S2148" s="408"/>
      <c r="T2148" s="385"/>
      <c r="U2148" s="475"/>
      <c r="V2148" s="395"/>
      <c r="W2148" s="395"/>
      <c r="X2148" s="393"/>
      <c r="Y2148" s="523">
        <v>1</v>
      </c>
      <c r="Z2148" s="497"/>
      <c r="AA2148" s="573">
        <v>14.30916</v>
      </c>
      <c r="AB2148" s="394">
        <v>10.93192</v>
      </c>
      <c r="AC2148" s="394">
        <v>8.95852</v>
      </c>
      <c r="AD2148" s="394"/>
      <c r="AE2148" s="394"/>
      <c r="AF2148" s="394">
        <v>0</v>
      </c>
      <c r="AG2148" s="394">
        <v>0</v>
      </c>
      <c r="AH2148" s="394">
        <v>0.78732999999999997</v>
      </c>
      <c r="AI2148" s="394">
        <v>8.95852</v>
      </c>
      <c r="AJ2148" s="394"/>
      <c r="AK2148" s="381" t="s">
        <v>167</v>
      </c>
      <c r="AL2148" s="408" t="s">
        <v>175</v>
      </c>
      <c r="AM2148" s="385"/>
      <c r="AN2148" s="475">
        <v>935</v>
      </c>
      <c r="AO2148" s="395"/>
      <c r="AP2148" s="395">
        <f t="shared" si="1037"/>
        <v>14.30916</v>
      </c>
      <c r="AQ2148" s="393"/>
      <c r="AR2148" s="523"/>
      <c r="AS2148" s="497"/>
      <c r="AT2148" s="573"/>
      <c r="AU2148" s="394"/>
      <c r="AV2148" s="394"/>
      <c r="AW2148" s="394"/>
      <c r="AX2148" s="394"/>
      <c r="AY2148" s="394"/>
      <c r="AZ2148" s="394"/>
      <c r="BA2148" s="394"/>
      <c r="BB2148" s="394"/>
      <c r="BC2148" s="394"/>
      <c r="BD2148" s="381"/>
      <c r="BE2148" s="408"/>
      <c r="BF2148" s="385"/>
      <c r="BG2148" s="475"/>
      <c r="BH2148" s="395"/>
      <c r="BI2148" s="395" t="e">
        <f t="shared" si="1038"/>
        <v>#DIV/0!</v>
      </c>
    </row>
    <row r="2149" spans="1:61" s="358" customFormat="1" ht="19.2" x14ac:dyDescent="0.3">
      <c r="A2149" s="359" t="s">
        <v>339</v>
      </c>
      <c r="B2149" s="572" t="s">
        <v>3892</v>
      </c>
      <c r="C2149" s="546" t="s">
        <v>2992</v>
      </c>
      <c r="D2149" s="360">
        <v>0.4</v>
      </c>
      <c r="E2149" s="393"/>
      <c r="F2149" s="523"/>
      <c r="G2149" s="393"/>
      <c r="H2149" s="573"/>
      <c r="I2149" s="394"/>
      <c r="J2149" s="394"/>
      <c r="K2149" s="394"/>
      <c r="L2149" s="394"/>
      <c r="M2149" s="394"/>
      <c r="N2149" s="394"/>
      <c r="O2149" s="394"/>
      <c r="P2149" s="394"/>
      <c r="Q2149" s="394"/>
      <c r="R2149" s="381"/>
      <c r="S2149" s="408"/>
      <c r="T2149" s="385"/>
      <c r="U2149" s="475"/>
      <c r="V2149" s="395"/>
      <c r="W2149" s="395"/>
      <c r="X2149" s="393"/>
      <c r="Y2149" s="523">
        <v>1</v>
      </c>
      <c r="Z2149" s="497"/>
      <c r="AA2149" s="573">
        <v>15.48593</v>
      </c>
      <c r="AB2149" s="394">
        <v>13.57165</v>
      </c>
      <c r="AC2149" s="394">
        <v>12.00835</v>
      </c>
      <c r="AD2149" s="394"/>
      <c r="AE2149" s="394"/>
      <c r="AF2149" s="394">
        <v>0</v>
      </c>
      <c r="AG2149" s="394">
        <v>0</v>
      </c>
      <c r="AH2149" s="394">
        <v>0.44627</v>
      </c>
      <c r="AI2149" s="394">
        <v>12.00835</v>
      </c>
      <c r="AJ2149" s="394"/>
      <c r="AK2149" s="381" t="s">
        <v>167</v>
      </c>
      <c r="AL2149" s="408" t="s">
        <v>175</v>
      </c>
      <c r="AM2149" s="385"/>
      <c r="AN2149" s="475">
        <v>936</v>
      </c>
      <c r="AO2149" s="395"/>
      <c r="AP2149" s="395">
        <f t="shared" si="1037"/>
        <v>15.48593</v>
      </c>
      <c r="AQ2149" s="393"/>
      <c r="AR2149" s="523"/>
      <c r="AS2149" s="497"/>
      <c r="AT2149" s="573"/>
      <c r="AU2149" s="394"/>
      <c r="AV2149" s="394"/>
      <c r="AW2149" s="394"/>
      <c r="AX2149" s="394"/>
      <c r="AY2149" s="394"/>
      <c r="AZ2149" s="394"/>
      <c r="BA2149" s="394"/>
      <c r="BB2149" s="394"/>
      <c r="BC2149" s="394"/>
      <c r="BD2149" s="381"/>
      <c r="BE2149" s="408"/>
      <c r="BF2149" s="385"/>
      <c r="BG2149" s="475"/>
      <c r="BH2149" s="395"/>
      <c r="BI2149" s="395" t="e">
        <f t="shared" si="1038"/>
        <v>#DIV/0!</v>
      </c>
    </row>
    <row r="2150" spans="1:61" s="358" customFormat="1" ht="19.2" x14ac:dyDescent="0.3">
      <c r="A2150" s="359" t="s">
        <v>340</v>
      </c>
      <c r="B2150" s="572" t="s">
        <v>3893</v>
      </c>
      <c r="C2150" s="546" t="s">
        <v>2993</v>
      </c>
      <c r="D2150" s="360">
        <v>0.4</v>
      </c>
      <c r="E2150" s="393"/>
      <c r="F2150" s="523"/>
      <c r="G2150" s="393"/>
      <c r="H2150" s="573"/>
      <c r="I2150" s="394"/>
      <c r="J2150" s="394"/>
      <c r="K2150" s="394"/>
      <c r="L2150" s="394"/>
      <c r="M2150" s="394"/>
      <c r="N2150" s="394"/>
      <c r="O2150" s="394"/>
      <c r="P2150" s="394"/>
      <c r="Q2150" s="394"/>
      <c r="R2150" s="381"/>
      <c r="S2150" s="408"/>
      <c r="T2150" s="385"/>
      <c r="U2150" s="475"/>
      <c r="V2150" s="395"/>
      <c r="W2150" s="395"/>
      <c r="X2150" s="393"/>
      <c r="Y2150" s="523">
        <v>1</v>
      </c>
      <c r="Z2150" s="497"/>
      <c r="AA2150" s="573">
        <v>15.48593</v>
      </c>
      <c r="AB2150" s="394">
        <v>13.57165</v>
      </c>
      <c r="AC2150" s="394">
        <v>12.00835</v>
      </c>
      <c r="AD2150" s="394"/>
      <c r="AE2150" s="394"/>
      <c r="AF2150" s="394">
        <v>0</v>
      </c>
      <c r="AG2150" s="394">
        <v>0</v>
      </c>
      <c r="AH2150" s="394">
        <v>0.44627</v>
      </c>
      <c r="AI2150" s="394">
        <v>12.00835</v>
      </c>
      <c r="AJ2150" s="394"/>
      <c r="AK2150" s="381" t="s">
        <v>167</v>
      </c>
      <c r="AL2150" s="408" t="s">
        <v>175</v>
      </c>
      <c r="AM2150" s="385"/>
      <c r="AN2150" s="475">
        <v>937</v>
      </c>
      <c r="AO2150" s="395"/>
      <c r="AP2150" s="395">
        <f t="shared" si="1037"/>
        <v>15.48593</v>
      </c>
      <c r="AQ2150" s="393"/>
      <c r="AR2150" s="523"/>
      <c r="AS2150" s="497"/>
      <c r="AT2150" s="573"/>
      <c r="AU2150" s="394"/>
      <c r="AV2150" s="394"/>
      <c r="AW2150" s="394"/>
      <c r="AX2150" s="394"/>
      <c r="AY2150" s="394"/>
      <c r="AZ2150" s="394"/>
      <c r="BA2150" s="394"/>
      <c r="BB2150" s="394"/>
      <c r="BC2150" s="394"/>
      <c r="BD2150" s="381"/>
      <c r="BE2150" s="408"/>
      <c r="BF2150" s="385"/>
      <c r="BG2150" s="475"/>
      <c r="BH2150" s="395"/>
      <c r="BI2150" s="395" t="e">
        <f t="shared" si="1038"/>
        <v>#DIV/0!</v>
      </c>
    </row>
    <row r="2151" spans="1:61" s="358" customFormat="1" ht="19.2" x14ac:dyDescent="0.3">
      <c r="A2151" s="359" t="s">
        <v>341</v>
      </c>
      <c r="B2151" s="572" t="s">
        <v>3894</v>
      </c>
      <c r="C2151" s="546" t="s">
        <v>2994</v>
      </c>
      <c r="D2151" s="360">
        <v>0.4</v>
      </c>
      <c r="E2151" s="393"/>
      <c r="F2151" s="523"/>
      <c r="G2151" s="393"/>
      <c r="H2151" s="573"/>
      <c r="I2151" s="394"/>
      <c r="J2151" s="394"/>
      <c r="K2151" s="394"/>
      <c r="L2151" s="394"/>
      <c r="M2151" s="394"/>
      <c r="N2151" s="394"/>
      <c r="O2151" s="394"/>
      <c r="P2151" s="394"/>
      <c r="Q2151" s="394"/>
      <c r="R2151" s="381"/>
      <c r="S2151" s="408"/>
      <c r="T2151" s="385"/>
      <c r="U2151" s="475"/>
      <c r="V2151" s="395"/>
      <c r="W2151" s="395"/>
      <c r="X2151" s="393"/>
      <c r="Y2151" s="523">
        <v>1</v>
      </c>
      <c r="Z2151" s="497"/>
      <c r="AA2151" s="573">
        <v>15.602880000000001</v>
      </c>
      <c r="AB2151" s="394">
        <v>13.6884</v>
      </c>
      <c r="AC2151" s="394">
        <v>12.00836</v>
      </c>
      <c r="AD2151" s="394"/>
      <c r="AE2151" s="394"/>
      <c r="AF2151" s="394">
        <v>0</v>
      </c>
      <c r="AG2151" s="394">
        <v>0</v>
      </c>
      <c r="AH2151" s="394">
        <v>0.44627</v>
      </c>
      <c r="AI2151" s="394">
        <v>12.00836</v>
      </c>
      <c r="AJ2151" s="394"/>
      <c r="AK2151" s="381" t="s">
        <v>167</v>
      </c>
      <c r="AL2151" s="408" t="s">
        <v>175</v>
      </c>
      <c r="AM2151" s="385"/>
      <c r="AN2151" s="475">
        <v>938</v>
      </c>
      <c r="AO2151" s="395"/>
      <c r="AP2151" s="395">
        <f t="shared" si="1037"/>
        <v>15.602880000000001</v>
      </c>
      <c r="AQ2151" s="393"/>
      <c r="AR2151" s="523"/>
      <c r="AS2151" s="497"/>
      <c r="AT2151" s="573"/>
      <c r="AU2151" s="394"/>
      <c r="AV2151" s="394"/>
      <c r="AW2151" s="394"/>
      <c r="AX2151" s="394"/>
      <c r="AY2151" s="394"/>
      <c r="AZ2151" s="394"/>
      <c r="BA2151" s="394"/>
      <c r="BB2151" s="394"/>
      <c r="BC2151" s="394"/>
      <c r="BD2151" s="381"/>
      <c r="BE2151" s="408"/>
      <c r="BF2151" s="385"/>
      <c r="BG2151" s="475"/>
      <c r="BH2151" s="395"/>
      <c r="BI2151" s="395" t="e">
        <f t="shared" si="1038"/>
        <v>#DIV/0!</v>
      </c>
    </row>
    <row r="2152" spans="1:61" s="358" customFormat="1" ht="19.2" x14ac:dyDescent="0.3">
      <c r="A2152" s="359" t="s">
        <v>342</v>
      </c>
      <c r="B2152" s="572" t="s">
        <v>3895</v>
      </c>
      <c r="C2152" s="546" t="s">
        <v>2995</v>
      </c>
      <c r="D2152" s="360">
        <v>0.4</v>
      </c>
      <c r="E2152" s="393"/>
      <c r="F2152" s="523"/>
      <c r="G2152" s="393"/>
      <c r="H2152" s="573"/>
      <c r="I2152" s="394"/>
      <c r="J2152" s="394"/>
      <c r="K2152" s="394"/>
      <c r="L2152" s="394"/>
      <c r="M2152" s="394"/>
      <c r="N2152" s="394"/>
      <c r="O2152" s="394"/>
      <c r="P2152" s="394"/>
      <c r="Q2152" s="394"/>
      <c r="R2152" s="381"/>
      <c r="S2152" s="408"/>
      <c r="T2152" s="385"/>
      <c r="U2152" s="475"/>
      <c r="V2152" s="395"/>
      <c r="W2152" s="395"/>
      <c r="X2152" s="393"/>
      <c r="Y2152" s="523">
        <v>1</v>
      </c>
      <c r="Z2152" s="497"/>
      <c r="AA2152" s="573">
        <v>15.48596</v>
      </c>
      <c r="AB2152" s="394">
        <v>13.571680000000001</v>
      </c>
      <c r="AC2152" s="394">
        <v>12.00835</v>
      </c>
      <c r="AD2152" s="394"/>
      <c r="AE2152" s="394"/>
      <c r="AF2152" s="394">
        <v>0</v>
      </c>
      <c r="AG2152" s="394">
        <v>0</v>
      </c>
      <c r="AH2152" s="394">
        <v>0.44627</v>
      </c>
      <c r="AI2152" s="394">
        <v>12.00835</v>
      </c>
      <c r="AJ2152" s="394"/>
      <c r="AK2152" s="381" t="s">
        <v>167</v>
      </c>
      <c r="AL2152" s="408" t="s">
        <v>175</v>
      </c>
      <c r="AM2152" s="385"/>
      <c r="AN2152" s="475">
        <v>939</v>
      </c>
      <c r="AO2152" s="395"/>
      <c r="AP2152" s="395">
        <f t="shared" si="1037"/>
        <v>15.48596</v>
      </c>
      <c r="AQ2152" s="393"/>
      <c r="AR2152" s="523"/>
      <c r="AS2152" s="497"/>
      <c r="AT2152" s="573"/>
      <c r="AU2152" s="394"/>
      <c r="AV2152" s="394"/>
      <c r="AW2152" s="394"/>
      <c r="AX2152" s="394"/>
      <c r="AY2152" s="394"/>
      <c r="AZ2152" s="394"/>
      <c r="BA2152" s="394"/>
      <c r="BB2152" s="394"/>
      <c r="BC2152" s="394"/>
      <c r="BD2152" s="381"/>
      <c r="BE2152" s="408"/>
      <c r="BF2152" s="385"/>
      <c r="BG2152" s="475"/>
      <c r="BH2152" s="395"/>
      <c r="BI2152" s="395" t="e">
        <f t="shared" si="1038"/>
        <v>#DIV/0!</v>
      </c>
    </row>
    <row r="2153" spans="1:61" s="358" customFormat="1" ht="19.2" x14ac:dyDescent="0.3">
      <c r="A2153" s="359" t="s">
        <v>343</v>
      </c>
      <c r="B2153" s="572" t="s">
        <v>3708</v>
      </c>
      <c r="C2153" s="546" t="s">
        <v>2794</v>
      </c>
      <c r="D2153" s="360">
        <v>0.4</v>
      </c>
      <c r="E2153" s="393"/>
      <c r="F2153" s="523"/>
      <c r="G2153" s="393"/>
      <c r="H2153" s="573"/>
      <c r="I2153" s="394"/>
      <c r="J2153" s="394"/>
      <c r="K2153" s="394"/>
      <c r="L2153" s="394"/>
      <c r="M2153" s="394"/>
      <c r="N2153" s="394"/>
      <c r="O2153" s="394"/>
      <c r="P2153" s="394"/>
      <c r="Q2153" s="394"/>
      <c r="R2153" s="381"/>
      <c r="S2153" s="408"/>
      <c r="T2153" s="385"/>
      <c r="U2153" s="475"/>
      <c r="V2153" s="395"/>
      <c r="W2153" s="395"/>
      <c r="X2153" s="393"/>
      <c r="Y2153" s="523">
        <v>1</v>
      </c>
      <c r="Z2153" s="497"/>
      <c r="AA2153" s="573">
        <v>15.48593</v>
      </c>
      <c r="AB2153" s="394">
        <v>13.57165</v>
      </c>
      <c r="AC2153" s="394">
        <v>12.00835</v>
      </c>
      <c r="AD2153" s="394"/>
      <c r="AE2153" s="394"/>
      <c r="AF2153" s="394">
        <v>0</v>
      </c>
      <c r="AG2153" s="394">
        <v>0</v>
      </c>
      <c r="AH2153" s="394">
        <v>0.44627</v>
      </c>
      <c r="AI2153" s="394">
        <v>12.00835</v>
      </c>
      <c r="AJ2153" s="394"/>
      <c r="AK2153" s="381" t="s">
        <v>167</v>
      </c>
      <c r="AL2153" s="408" t="s">
        <v>175</v>
      </c>
      <c r="AM2153" s="385"/>
      <c r="AN2153" s="475">
        <v>940</v>
      </c>
      <c r="AO2153" s="395"/>
      <c r="AP2153" s="395">
        <f t="shared" si="1037"/>
        <v>15.48593</v>
      </c>
      <c r="AQ2153" s="393"/>
      <c r="AR2153" s="523"/>
      <c r="AS2153" s="497"/>
      <c r="AT2153" s="573"/>
      <c r="AU2153" s="394"/>
      <c r="AV2153" s="394"/>
      <c r="AW2153" s="394"/>
      <c r="AX2153" s="394"/>
      <c r="AY2153" s="394"/>
      <c r="AZ2153" s="394"/>
      <c r="BA2153" s="394"/>
      <c r="BB2153" s="394"/>
      <c r="BC2153" s="394"/>
      <c r="BD2153" s="381"/>
      <c r="BE2153" s="408"/>
      <c r="BF2153" s="385"/>
      <c r="BG2153" s="475"/>
      <c r="BH2153" s="395"/>
      <c r="BI2153" s="395" t="e">
        <f t="shared" si="1038"/>
        <v>#DIV/0!</v>
      </c>
    </row>
    <row r="2154" spans="1:61" s="358" customFormat="1" ht="19.2" x14ac:dyDescent="0.3">
      <c r="A2154" s="359" t="s">
        <v>344</v>
      </c>
      <c r="B2154" s="572" t="s">
        <v>3896</v>
      </c>
      <c r="C2154" s="546" t="s">
        <v>2996</v>
      </c>
      <c r="D2154" s="360">
        <v>0.4</v>
      </c>
      <c r="E2154" s="393"/>
      <c r="F2154" s="523"/>
      <c r="G2154" s="393"/>
      <c r="H2154" s="573"/>
      <c r="I2154" s="394"/>
      <c r="J2154" s="394"/>
      <c r="K2154" s="394"/>
      <c r="L2154" s="394"/>
      <c r="M2154" s="394"/>
      <c r="N2154" s="394"/>
      <c r="O2154" s="394"/>
      <c r="P2154" s="394"/>
      <c r="Q2154" s="394"/>
      <c r="R2154" s="381"/>
      <c r="S2154" s="408"/>
      <c r="T2154" s="385"/>
      <c r="U2154" s="475"/>
      <c r="V2154" s="395"/>
      <c r="W2154" s="395"/>
      <c r="X2154" s="393"/>
      <c r="Y2154" s="523">
        <v>1</v>
      </c>
      <c r="Z2154" s="497"/>
      <c r="AA2154" s="573">
        <v>15.48596</v>
      </c>
      <c r="AB2154" s="394">
        <v>13.571680000000001</v>
      </c>
      <c r="AC2154" s="394">
        <v>12.00835</v>
      </c>
      <c r="AD2154" s="394"/>
      <c r="AE2154" s="394"/>
      <c r="AF2154" s="394">
        <v>0</v>
      </c>
      <c r="AG2154" s="394">
        <v>0</v>
      </c>
      <c r="AH2154" s="394">
        <v>0.44627</v>
      </c>
      <c r="AI2154" s="394">
        <v>12.00835</v>
      </c>
      <c r="AJ2154" s="394"/>
      <c r="AK2154" s="381" t="s">
        <v>167</v>
      </c>
      <c r="AL2154" s="408" t="s">
        <v>175</v>
      </c>
      <c r="AM2154" s="385"/>
      <c r="AN2154" s="475">
        <v>941</v>
      </c>
      <c r="AO2154" s="395"/>
      <c r="AP2154" s="395">
        <f t="shared" si="1037"/>
        <v>15.48596</v>
      </c>
      <c r="AQ2154" s="393"/>
      <c r="AR2154" s="523"/>
      <c r="AS2154" s="497"/>
      <c r="AT2154" s="573"/>
      <c r="AU2154" s="394"/>
      <c r="AV2154" s="394"/>
      <c r="AW2154" s="394"/>
      <c r="AX2154" s="394"/>
      <c r="AY2154" s="394"/>
      <c r="AZ2154" s="394"/>
      <c r="BA2154" s="394"/>
      <c r="BB2154" s="394"/>
      <c r="BC2154" s="394"/>
      <c r="BD2154" s="381"/>
      <c r="BE2154" s="408"/>
      <c r="BF2154" s="385"/>
      <c r="BG2154" s="475"/>
      <c r="BH2154" s="395"/>
      <c r="BI2154" s="395" t="e">
        <f t="shared" si="1038"/>
        <v>#DIV/0!</v>
      </c>
    </row>
    <row r="2155" spans="1:61" s="358" customFormat="1" ht="19.2" x14ac:dyDescent="0.3">
      <c r="A2155" s="359" t="s">
        <v>361</v>
      </c>
      <c r="B2155" s="572" t="s">
        <v>3897</v>
      </c>
      <c r="C2155" s="546" t="s">
        <v>2997</v>
      </c>
      <c r="D2155" s="360">
        <v>0.4</v>
      </c>
      <c r="E2155" s="393"/>
      <c r="F2155" s="523"/>
      <c r="G2155" s="393"/>
      <c r="H2155" s="573"/>
      <c r="I2155" s="394"/>
      <c r="J2155" s="394"/>
      <c r="K2155" s="394"/>
      <c r="L2155" s="394"/>
      <c r="M2155" s="394"/>
      <c r="N2155" s="394"/>
      <c r="O2155" s="394"/>
      <c r="P2155" s="394"/>
      <c r="Q2155" s="394"/>
      <c r="R2155" s="381"/>
      <c r="S2155" s="408"/>
      <c r="T2155" s="385"/>
      <c r="U2155" s="475"/>
      <c r="V2155" s="395"/>
      <c r="W2155" s="395"/>
      <c r="X2155" s="393"/>
      <c r="Y2155" s="523">
        <v>1</v>
      </c>
      <c r="Z2155" s="497"/>
      <c r="AA2155" s="573">
        <v>15.602650000000001</v>
      </c>
      <c r="AB2155" s="394">
        <v>13.688370000000001</v>
      </c>
      <c r="AC2155" s="394">
        <v>12.00836</v>
      </c>
      <c r="AD2155" s="394"/>
      <c r="AE2155" s="394"/>
      <c r="AF2155" s="394">
        <v>0</v>
      </c>
      <c r="AG2155" s="394">
        <v>0</v>
      </c>
      <c r="AH2155" s="394">
        <v>0.44627</v>
      </c>
      <c r="AI2155" s="394">
        <v>12.00836</v>
      </c>
      <c r="AJ2155" s="394"/>
      <c r="AK2155" s="381" t="s">
        <v>167</v>
      </c>
      <c r="AL2155" s="408" t="s">
        <v>175</v>
      </c>
      <c r="AM2155" s="385"/>
      <c r="AN2155" s="475">
        <v>942</v>
      </c>
      <c r="AO2155" s="395"/>
      <c r="AP2155" s="395">
        <f t="shared" si="1037"/>
        <v>15.602650000000001</v>
      </c>
      <c r="AQ2155" s="393"/>
      <c r="AR2155" s="523"/>
      <c r="AS2155" s="497"/>
      <c r="AT2155" s="573"/>
      <c r="AU2155" s="394"/>
      <c r="AV2155" s="394"/>
      <c r="AW2155" s="394"/>
      <c r="AX2155" s="394"/>
      <c r="AY2155" s="394"/>
      <c r="AZ2155" s="394"/>
      <c r="BA2155" s="394"/>
      <c r="BB2155" s="394"/>
      <c r="BC2155" s="394"/>
      <c r="BD2155" s="381"/>
      <c r="BE2155" s="408"/>
      <c r="BF2155" s="385"/>
      <c r="BG2155" s="475"/>
      <c r="BH2155" s="395"/>
      <c r="BI2155" s="395" t="e">
        <f t="shared" si="1038"/>
        <v>#DIV/0!</v>
      </c>
    </row>
    <row r="2156" spans="1:61" s="358" customFormat="1" ht="19.2" x14ac:dyDescent="0.3">
      <c r="A2156" s="359" t="s">
        <v>346</v>
      </c>
      <c r="B2156" s="572" t="s">
        <v>648</v>
      </c>
      <c r="C2156" s="546" t="s">
        <v>526</v>
      </c>
      <c r="D2156" s="360">
        <v>0.4</v>
      </c>
      <c r="E2156" s="393"/>
      <c r="F2156" s="523"/>
      <c r="G2156" s="393"/>
      <c r="H2156" s="573"/>
      <c r="I2156" s="394"/>
      <c r="J2156" s="394"/>
      <c r="K2156" s="394"/>
      <c r="L2156" s="394"/>
      <c r="M2156" s="394"/>
      <c r="N2156" s="394"/>
      <c r="O2156" s="394"/>
      <c r="P2156" s="394"/>
      <c r="Q2156" s="394"/>
      <c r="R2156" s="381"/>
      <c r="S2156" s="408"/>
      <c r="T2156" s="385"/>
      <c r="U2156" s="475"/>
      <c r="V2156" s="395"/>
      <c r="W2156" s="395"/>
      <c r="X2156" s="393"/>
      <c r="Y2156" s="523">
        <v>1</v>
      </c>
      <c r="Z2156" s="497"/>
      <c r="AA2156" s="573">
        <v>15.42699</v>
      </c>
      <c r="AB2156" s="394">
        <v>13.51271</v>
      </c>
      <c r="AC2156" s="394">
        <v>12.00836</v>
      </c>
      <c r="AD2156" s="394"/>
      <c r="AE2156" s="394"/>
      <c r="AF2156" s="394">
        <v>0</v>
      </c>
      <c r="AG2156" s="394">
        <v>0</v>
      </c>
      <c r="AH2156" s="394">
        <v>0.44627</v>
      </c>
      <c r="AI2156" s="394">
        <v>12.00836</v>
      </c>
      <c r="AJ2156" s="394"/>
      <c r="AK2156" s="381" t="s">
        <v>167</v>
      </c>
      <c r="AL2156" s="408" t="s">
        <v>175</v>
      </c>
      <c r="AM2156" s="385"/>
      <c r="AN2156" s="475">
        <v>943</v>
      </c>
      <c r="AO2156" s="395"/>
      <c r="AP2156" s="395">
        <f t="shared" si="1037"/>
        <v>15.42699</v>
      </c>
      <c r="AQ2156" s="393"/>
      <c r="AR2156" s="523"/>
      <c r="AS2156" s="497"/>
      <c r="AT2156" s="573"/>
      <c r="AU2156" s="394"/>
      <c r="AV2156" s="394"/>
      <c r="AW2156" s="394"/>
      <c r="AX2156" s="394"/>
      <c r="AY2156" s="394"/>
      <c r="AZ2156" s="394"/>
      <c r="BA2156" s="394"/>
      <c r="BB2156" s="394"/>
      <c r="BC2156" s="394"/>
      <c r="BD2156" s="381"/>
      <c r="BE2156" s="408"/>
      <c r="BF2156" s="385"/>
      <c r="BG2156" s="475"/>
      <c r="BH2156" s="395"/>
      <c r="BI2156" s="395" t="e">
        <f t="shared" si="1038"/>
        <v>#DIV/0!</v>
      </c>
    </row>
    <row r="2157" spans="1:61" s="358" customFormat="1" ht="19.2" x14ac:dyDescent="0.3">
      <c r="A2157" s="359" t="s">
        <v>347</v>
      </c>
      <c r="B2157" s="572" t="s">
        <v>2281</v>
      </c>
      <c r="C2157" s="546" t="s">
        <v>2280</v>
      </c>
      <c r="D2157" s="360">
        <v>0.4</v>
      </c>
      <c r="E2157" s="393"/>
      <c r="F2157" s="523"/>
      <c r="G2157" s="393"/>
      <c r="H2157" s="573"/>
      <c r="I2157" s="394"/>
      <c r="J2157" s="394"/>
      <c r="K2157" s="394"/>
      <c r="L2157" s="394"/>
      <c r="M2157" s="394"/>
      <c r="N2157" s="394"/>
      <c r="O2157" s="394"/>
      <c r="P2157" s="394"/>
      <c r="Q2157" s="394"/>
      <c r="R2157" s="381"/>
      <c r="S2157" s="408"/>
      <c r="T2157" s="385"/>
      <c r="U2157" s="475"/>
      <c r="V2157" s="395"/>
      <c r="W2157" s="395"/>
      <c r="X2157" s="393"/>
      <c r="Y2157" s="523">
        <v>1</v>
      </c>
      <c r="Z2157" s="497"/>
      <c r="AA2157" s="573">
        <v>15.48593</v>
      </c>
      <c r="AB2157" s="394">
        <v>13.57165</v>
      </c>
      <c r="AC2157" s="394">
        <v>12.00835</v>
      </c>
      <c r="AD2157" s="394"/>
      <c r="AE2157" s="394"/>
      <c r="AF2157" s="394">
        <v>0</v>
      </c>
      <c r="AG2157" s="394">
        <v>0</v>
      </c>
      <c r="AH2157" s="394">
        <v>0.44627</v>
      </c>
      <c r="AI2157" s="394">
        <v>12.00835</v>
      </c>
      <c r="AJ2157" s="394"/>
      <c r="AK2157" s="381" t="s">
        <v>167</v>
      </c>
      <c r="AL2157" s="408" t="s">
        <v>175</v>
      </c>
      <c r="AM2157" s="385"/>
      <c r="AN2157" s="475">
        <v>944</v>
      </c>
      <c r="AO2157" s="395"/>
      <c r="AP2157" s="395">
        <f t="shared" si="1037"/>
        <v>15.48593</v>
      </c>
      <c r="AQ2157" s="393"/>
      <c r="AR2157" s="523"/>
      <c r="AS2157" s="497"/>
      <c r="AT2157" s="573"/>
      <c r="AU2157" s="394"/>
      <c r="AV2157" s="394"/>
      <c r="AW2157" s="394"/>
      <c r="AX2157" s="394"/>
      <c r="AY2157" s="394"/>
      <c r="AZ2157" s="394"/>
      <c r="BA2157" s="394"/>
      <c r="BB2157" s="394"/>
      <c r="BC2157" s="394"/>
      <c r="BD2157" s="381"/>
      <c r="BE2157" s="408"/>
      <c r="BF2157" s="385"/>
      <c r="BG2157" s="475"/>
      <c r="BH2157" s="395"/>
      <c r="BI2157" s="395" t="e">
        <f t="shared" si="1038"/>
        <v>#DIV/0!</v>
      </c>
    </row>
    <row r="2158" spans="1:61" s="358" customFormat="1" ht="19.2" x14ac:dyDescent="0.3">
      <c r="A2158" s="359" t="s">
        <v>348</v>
      </c>
      <c r="B2158" s="572" t="s">
        <v>3898</v>
      </c>
      <c r="C2158" s="546" t="s">
        <v>2998</v>
      </c>
      <c r="D2158" s="360">
        <v>0.4</v>
      </c>
      <c r="E2158" s="393"/>
      <c r="F2158" s="523"/>
      <c r="G2158" s="393"/>
      <c r="H2158" s="573"/>
      <c r="I2158" s="394"/>
      <c r="J2158" s="394"/>
      <c r="K2158" s="394"/>
      <c r="L2158" s="394"/>
      <c r="M2158" s="394"/>
      <c r="N2158" s="394"/>
      <c r="O2158" s="394"/>
      <c r="P2158" s="394"/>
      <c r="Q2158" s="394"/>
      <c r="R2158" s="381"/>
      <c r="S2158" s="408"/>
      <c r="T2158" s="385"/>
      <c r="U2158" s="475"/>
      <c r="V2158" s="395"/>
      <c r="W2158" s="395"/>
      <c r="X2158" s="393"/>
      <c r="Y2158" s="523">
        <v>1</v>
      </c>
      <c r="Z2158" s="497"/>
      <c r="AA2158" s="573">
        <v>14.309189999999999</v>
      </c>
      <c r="AB2158" s="394">
        <v>10.931950000000001</v>
      </c>
      <c r="AC2158" s="394">
        <v>8.9585399999999993</v>
      </c>
      <c r="AD2158" s="394"/>
      <c r="AE2158" s="394"/>
      <c r="AF2158" s="394">
        <v>0</v>
      </c>
      <c r="AG2158" s="394">
        <v>0</v>
      </c>
      <c r="AH2158" s="394">
        <v>0.78732999999999997</v>
      </c>
      <c r="AI2158" s="394">
        <v>8.9585399999999993</v>
      </c>
      <c r="AJ2158" s="394"/>
      <c r="AK2158" s="381" t="s">
        <v>167</v>
      </c>
      <c r="AL2158" s="408" t="s">
        <v>175</v>
      </c>
      <c r="AM2158" s="385"/>
      <c r="AN2158" s="475">
        <v>945</v>
      </c>
      <c r="AO2158" s="395"/>
      <c r="AP2158" s="395">
        <f t="shared" si="1037"/>
        <v>14.309189999999999</v>
      </c>
      <c r="AQ2158" s="393"/>
      <c r="AR2158" s="523"/>
      <c r="AS2158" s="497"/>
      <c r="AT2158" s="573"/>
      <c r="AU2158" s="394"/>
      <c r="AV2158" s="394"/>
      <c r="AW2158" s="394"/>
      <c r="AX2158" s="394"/>
      <c r="AY2158" s="394"/>
      <c r="AZ2158" s="394"/>
      <c r="BA2158" s="394"/>
      <c r="BB2158" s="394"/>
      <c r="BC2158" s="394"/>
      <c r="BD2158" s="381"/>
      <c r="BE2158" s="408"/>
      <c r="BF2158" s="385"/>
      <c r="BG2158" s="475"/>
      <c r="BH2158" s="395"/>
      <c r="BI2158" s="395" t="e">
        <f t="shared" si="1038"/>
        <v>#DIV/0!</v>
      </c>
    </row>
    <row r="2159" spans="1:61" s="358" customFormat="1" ht="19.2" x14ac:dyDescent="0.3">
      <c r="A2159" s="359" t="s">
        <v>365</v>
      </c>
      <c r="B2159" s="572" t="s">
        <v>3899</v>
      </c>
      <c r="C2159" s="546" t="s">
        <v>2999</v>
      </c>
      <c r="D2159" s="360">
        <v>0.4</v>
      </c>
      <c r="E2159" s="393"/>
      <c r="F2159" s="523"/>
      <c r="G2159" s="393"/>
      <c r="H2159" s="573"/>
      <c r="I2159" s="394"/>
      <c r="J2159" s="394"/>
      <c r="K2159" s="394"/>
      <c r="L2159" s="394"/>
      <c r="M2159" s="394"/>
      <c r="N2159" s="394"/>
      <c r="O2159" s="394"/>
      <c r="P2159" s="394"/>
      <c r="Q2159" s="394"/>
      <c r="R2159" s="381"/>
      <c r="S2159" s="408"/>
      <c r="T2159" s="385"/>
      <c r="U2159" s="475"/>
      <c r="V2159" s="395"/>
      <c r="W2159" s="395"/>
      <c r="X2159" s="393"/>
      <c r="Y2159" s="523">
        <v>1</v>
      </c>
      <c r="Z2159" s="497"/>
      <c r="AA2159" s="573">
        <v>15.48596</v>
      </c>
      <c r="AB2159" s="394">
        <v>13.571680000000001</v>
      </c>
      <c r="AC2159" s="394">
        <v>12.00835</v>
      </c>
      <c r="AD2159" s="394"/>
      <c r="AE2159" s="394"/>
      <c r="AF2159" s="394">
        <v>0</v>
      </c>
      <c r="AG2159" s="394">
        <v>0</v>
      </c>
      <c r="AH2159" s="394">
        <v>0.44627</v>
      </c>
      <c r="AI2159" s="394">
        <v>12.00835</v>
      </c>
      <c r="AJ2159" s="394"/>
      <c r="AK2159" s="381" t="s">
        <v>167</v>
      </c>
      <c r="AL2159" s="408" t="s">
        <v>175</v>
      </c>
      <c r="AM2159" s="385"/>
      <c r="AN2159" s="475">
        <v>946</v>
      </c>
      <c r="AO2159" s="395"/>
      <c r="AP2159" s="395">
        <f t="shared" si="1037"/>
        <v>15.48596</v>
      </c>
      <c r="AQ2159" s="393"/>
      <c r="AR2159" s="523"/>
      <c r="AS2159" s="497"/>
      <c r="AT2159" s="573"/>
      <c r="AU2159" s="394"/>
      <c r="AV2159" s="394"/>
      <c r="AW2159" s="394"/>
      <c r="AX2159" s="394"/>
      <c r="AY2159" s="394"/>
      <c r="AZ2159" s="394"/>
      <c r="BA2159" s="394"/>
      <c r="BB2159" s="394"/>
      <c r="BC2159" s="394"/>
      <c r="BD2159" s="381"/>
      <c r="BE2159" s="408"/>
      <c r="BF2159" s="385"/>
      <c r="BG2159" s="475"/>
      <c r="BH2159" s="395"/>
      <c r="BI2159" s="395" t="e">
        <f t="shared" si="1038"/>
        <v>#DIV/0!</v>
      </c>
    </row>
    <row r="2160" spans="1:61" s="358" customFormat="1" ht="19.2" x14ac:dyDescent="0.3">
      <c r="A2160" s="359" t="s">
        <v>350</v>
      </c>
      <c r="B2160" s="572" t="s">
        <v>3900</v>
      </c>
      <c r="C2160" s="546" t="s">
        <v>3000</v>
      </c>
      <c r="D2160" s="360">
        <v>0.4</v>
      </c>
      <c r="E2160" s="393"/>
      <c r="F2160" s="523"/>
      <c r="G2160" s="393"/>
      <c r="H2160" s="573"/>
      <c r="I2160" s="394"/>
      <c r="J2160" s="394"/>
      <c r="K2160" s="394"/>
      <c r="L2160" s="394"/>
      <c r="M2160" s="394"/>
      <c r="N2160" s="394"/>
      <c r="O2160" s="394"/>
      <c r="P2160" s="394"/>
      <c r="Q2160" s="394"/>
      <c r="R2160" s="381"/>
      <c r="S2160" s="408"/>
      <c r="T2160" s="385"/>
      <c r="U2160" s="475"/>
      <c r="V2160" s="395"/>
      <c r="W2160" s="395"/>
      <c r="X2160" s="393"/>
      <c r="Y2160" s="523">
        <v>1</v>
      </c>
      <c r="Z2160" s="497"/>
      <c r="AA2160" s="573">
        <v>15.461460000000001</v>
      </c>
      <c r="AB2160" s="394">
        <v>13.547180000000001</v>
      </c>
      <c r="AC2160" s="394">
        <v>12.00836</v>
      </c>
      <c r="AD2160" s="394"/>
      <c r="AE2160" s="394"/>
      <c r="AF2160" s="394">
        <v>0</v>
      </c>
      <c r="AG2160" s="394">
        <v>0</v>
      </c>
      <c r="AH2160" s="394">
        <v>0.44627</v>
      </c>
      <c r="AI2160" s="394">
        <v>12.00836</v>
      </c>
      <c r="AJ2160" s="394"/>
      <c r="AK2160" s="381" t="s">
        <v>167</v>
      </c>
      <c r="AL2160" s="408" t="s">
        <v>175</v>
      </c>
      <c r="AM2160" s="385"/>
      <c r="AN2160" s="475">
        <v>947</v>
      </c>
      <c r="AO2160" s="395"/>
      <c r="AP2160" s="395">
        <f t="shared" si="1037"/>
        <v>15.461460000000001</v>
      </c>
      <c r="AQ2160" s="393"/>
      <c r="AR2160" s="523"/>
      <c r="AS2160" s="497"/>
      <c r="AT2160" s="573"/>
      <c r="AU2160" s="394"/>
      <c r="AV2160" s="394"/>
      <c r="AW2160" s="394"/>
      <c r="AX2160" s="394"/>
      <c r="AY2160" s="394"/>
      <c r="AZ2160" s="394"/>
      <c r="BA2160" s="394"/>
      <c r="BB2160" s="394"/>
      <c r="BC2160" s="394"/>
      <c r="BD2160" s="381"/>
      <c r="BE2160" s="408"/>
      <c r="BF2160" s="385"/>
      <c r="BG2160" s="475"/>
      <c r="BH2160" s="395"/>
      <c r="BI2160" s="395" t="e">
        <f t="shared" si="1038"/>
        <v>#DIV/0!</v>
      </c>
    </row>
    <row r="2161" spans="1:61" s="358" customFormat="1" ht="19.2" x14ac:dyDescent="0.3">
      <c r="A2161" s="359" t="s">
        <v>351</v>
      </c>
      <c r="B2161" s="572" t="s">
        <v>2570</v>
      </c>
      <c r="C2161" s="546" t="s">
        <v>2569</v>
      </c>
      <c r="D2161" s="360">
        <v>0.4</v>
      </c>
      <c r="E2161" s="393"/>
      <c r="F2161" s="523"/>
      <c r="G2161" s="393"/>
      <c r="H2161" s="573"/>
      <c r="I2161" s="394"/>
      <c r="J2161" s="394"/>
      <c r="K2161" s="394"/>
      <c r="L2161" s="394"/>
      <c r="M2161" s="394"/>
      <c r="N2161" s="394"/>
      <c r="O2161" s="394"/>
      <c r="P2161" s="394"/>
      <c r="Q2161" s="394"/>
      <c r="R2161" s="381"/>
      <c r="S2161" s="408"/>
      <c r="T2161" s="385"/>
      <c r="U2161" s="475"/>
      <c r="V2161" s="395"/>
      <c r="W2161" s="395"/>
      <c r="X2161" s="393"/>
      <c r="Y2161" s="523">
        <v>1</v>
      </c>
      <c r="Z2161" s="497"/>
      <c r="AA2161" s="573">
        <v>15.485950000000001</v>
      </c>
      <c r="AB2161" s="394">
        <v>13.571669999999999</v>
      </c>
      <c r="AC2161" s="394">
        <v>12.00835</v>
      </c>
      <c r="AD2161" s="394"/>
      <c r="AE2161" s="394"/>
      <c r="AF2161" s="394">
        <v>0</v>
      </c>
      <c r="AG2161" s="394">
        <v>0</v>
      </c>
      <c r="AH2161" s="394">
        <v>0.44627</v>
      </c>
      <c r="AI2161" s="394">
        <v>12.00835</v>
      </c>
      <c r="AJ2161" s="394"/>
      <c r="AK2161" s="381" t="s">
        <v>167</v>
      </c>
      <c r="AL2161" s="408" t="s">
        <v>175</v>
      </c>
      <c r="AM2161" s="385"/>
      <c r="AN2161" s="475">
        <v>948</v>
      </c>
      <c r="AO2161" s="395"/>
      <c r="AP2161" s="395">
        <f t="shared" si="1037"/>
        <v>15.485950000000001</v>
      </c>
      <c r="AQ2161" s="393"/>
      <c r="AR2161" s="523"/>
      <c r="AS2161" s="497"/>
      <c r="AT2161" s="573"/>
      <c r="AU2161" s="394"/>
      <c r="AV2161" s="394"/>
      <c r="AW2161" s="394"/>
      <c r="AX2161" s="394"/>
      <c r="AY2161" s="394"/>
      <c r="AZ2161" s="394"/>
      <c r="BA2161" s="394"/>
      <c r="BB2161" s="394"/>
      <c r="BC2161" s="394"/>
      <c r="BD2161" s="381"/>
      <c r="BE2161" s="408"/>
      <c r="BF2161" s="385"/>
      <c r="BG2161" s="475"/>
      <c r="BH2161" s="395"/>
      <c r="BI2161" s="395" t="e">
        <f t="shared" si="1038"/>
        <v>#DIV/0!</v>
      </c>
    </row>
    <row r="2162" spans="1:61" s="358" customFormat="1" ht="19.2" x14ac:dyDescent="0.3">
      <c r="A2162" s="359" t="s">
        <v>336</v>
      </c>
      <c r="B2162" s="572" t="s">
        <v>3901</v>
      </c>
      <c r="C2162" s="546" t="s">
        <v>3001</v>
      </c>
      <c r="D2162" s="360">
        <v>0.4</v>
      </c>
      <c r="E2162" s="393"/>
      <c r="F2162" s="523"/>
      <c r="G2162" s="393"/>
      <c r="H2162" s="573"/>
      <c r="I2162" s="394"/>
      <c r="J2162" s="394"/>
      <c r="K2162" s="394"/>
      <c r="L2162" s="394"/>
      <c r="M2162" s="394"/>
      <c r="N2162" s="394"/>
      <c r="O2162" s="394"/>
      <c r="P2162" s="394"/>
      <c r="Q2162" s="394"/>
      <c r="R2162" s="381"/>
      <c r="S2162" s="408"/>
      <c r="T2162" s="385"/>
      <c r="U2162" s="475"/>
      <c r="V2162" s="395"/>
      <c r="W2162" s="395"/>
      <c r="X2162" s="393"/>
      <c r="Y2162" s="523">
        <v>1</v>
      </c>
      <c r="Z2162" s="497"/>
      <c r="AA2162" s="573">
        <v>15.47982</v>
      </c>
      <c r="AB2162" s="394">
        <v>13.56554</v>
      </c>
      <c r="AC2162" s="394">
        <v>12.00836</v>
      </c>
      <c r="AD2162" s="394"/>
      <c r="AE2162" s="394"/>
      <c r="AF2162" s="394">
        <v>0</v>
      </c>
      <c r="AG2162" s="394">
        <v>0</v>
      </c>
      <c r="AH2162" s="394">
        <v>0.44627</v>
      </c>
      <c r="AI2162" s="394">
        <v>12.00836</v>
      </c>
      <c r="AJ2162" s="394"/>
      <c r="AK2162" s="381" t="s">
        <v>167</v>
      </c>
      <c r="AL2162" s="408" t="s">
        <v>175</v>
      </c>
      <c r="AM2162" s="385"/>
      <c r="AN2162" s="475">
        <v>949</v>
      </c>
      <c r="AO2162" s="395"/>
      <c r="AP2162" s="395">
        <f t="shared" si="1037"/>
        <v>15.47982</v>
      </c>
      <c r="AQ2162" s="393"/>
      <c r="AR2162" s="523"/>
      <c r="AS2162" s="497"/>
      <c r="AT2162" s="573"/>
      <c r="AU2162" s="394"/>
      <c r="AV2162" s="394"/>
      <c r="AW2162" s="394"/>
      <c r="AX2162" s="394"/>
      <c r="AY2162" s="394"/>
      <c r="AZ2162" s="394"/>
      <c r="BA2162" s="394"/>
      <c r="BB2162" s="394"/>
      <c r="BC2162" s="394"/>
      <c r="BD2162" s="381"/>
      <c r="BE2162" s="408"/>
      <c r="BF2162" s="385"/>
      <c r="BG2162" s="475"/>
      <c r="BH2162" s="395"/>
      <c r="BI2162" s="395" t="e">
        <f t="shared" si="1038"/>
        <v>#DIV/0!</v>
      </c>
    </row>
    <row r="2163" spans="1:61" s="358" customFormat="1" ht="19.2" x14ac:dyDescent="0.3">
      <c r="A2163" s="359" t="s">
        <v>353</v>
      </c>
      <c r="B2163" s="572" t="s">
        <v>3902</v>
      </c>
      <c r="C2163" s="546" t="s">
        <v>3002</v>
      </c>
      <c r="D2163" s="360">
        <v>0.4</v>
      </c>
      <c r="E2163" s="393"/>
      <c r="F2163" s="523"/>
      <c r="G2163" s="393"/>
      <c r="H2163" s="573"/>
      <c r="I2163" s="394"/>
      <c r="J2163" s="394"/>
      <c r="K2163" s="394"/>
      <c r="L2163" s="394"/>
      <c r="M2163" s="394"/>
      <c r="N2163" s="394"/>
      <c r="O2163" s="394"/>
      <c r="P2163" s="394"/>
      <c r="Q2163" s="394"/>
      <c r="R2163" s="381"/>
      <c r="S2163" s="408"/>
      <c r="T2163" s="385"/>
      <c r="U2163" s="475"/>
      <c r="V2163" s="395"/>
      <c r="W2163" s="395"/>
      <c r="X2163" s="393"/>
      <c r="Y2163" s="523">
        <v>1</v>
      </c>
      <c r="Z2163" s="497"/>
      <c r="AA2163" s="573">
        <v>15.485939999999999</v>
      </c>
      <c r="AB2163" s="394">
        <v>13.57166</v>
      </c>
      <c r="AC2163" s="394">
        <v>12.00835</v>
      </c>
      <c r="AD2163" s="394"/>
      <c r="AE2163" s="394"/>
      <c r="AF2163" s="394">
        <v>0</v>
      </c>
      <c r="AG2163" s="394">
        <v>0</v>
      </c>
      <c r="AH2163" s="394">
        <v>0.44627</v>
      </c>
      <c r="AI2163" s="394">
        <v>12.00835</v>
      </c>
      <c r="AJ2163" s="394"/>
      <c r="AK2163" s="381" t="s">
        <v>167</v>
      </c>
      <c r="AL2163" s="408" t="s">
        <v>175</v>
      </c>
      <c r="AM2163" s="385"/>
      <c r="AN2163" s="475">
        <v>950</v>
      </c>
      <c r="AO2163" s="395"/>
      <c r="AP2163" s="395">
        <f t="shared" si="1037"/>
        <v>15.485939999999999</v>
      </c>
      <c r="AQ2163" s="393"/>
      <c r="AR2163" s="523"/>
      <c r="AS2163" s="497"/>
      <c r="AT2163" s="573"/>
      <c r="AU2163" s="394"/>
      <c r="AV2163" s="394"/>
      <c r="AW2163" s="394"/>
      <c r="AX2163" s="394"/>
      <c r="AY2163" s="394"/>
      <c r="AZ2163" s="394"/>
      <c r="BA2163" s="394"/>
      <c r="BB2163" s="394"/>
      <c r="BC2163" s="394"/>
      <c r="BD2163" s="381"/>
      <c r="BE2163" s="408"/>
      <c r="BF2163" s="385"/>
      <c r="BG2163" s="475"/>
      <c r="BH2163" s="395"/>
      <c r="BI2163" s="395" t="e">
        <f t="shared" si="1038"/>
        <v>#DIV/0!</v>
      </c>
    </row>
    <row r="2164" spans="1:61" s="358" customFormat="1" ht="19.2" x14ac:dyDescent="0.3">
      <c r="A2164" s="359" t="s">
        <v>354</v>
      </c>
      <c r="B2164" s="572" t="s">
        <v>3903</v>
      </c>
      <c r="C2164" s="546" t="s">
        <v>3003</v>
      </c>
      <c r="D2164" s="360">
        <v>0.4</v>
      </c>
      <c r="E2164" s="393"/>
      <c r="F2164" s="523"/>
      <c r="G2164" s="393"/>
      <c r="H2164" s="573"/>
      <c r="I2164" s="394"/>
      <c r="J2164" s="394"/>
      <c r="K2164" s="394"/>
      <c r="L2164" s="394"/>
      <c r="M2164" s="394"/>
      <c r="N2164" s="394"/>
      <c r="O2164" s="394"/>
      <c r="P2164" s="394"/>
      <c r="Q2164" s="394"/>
      <c r="R2164" s="381"/>
      <c r="S2164" s="408"/>
      <c r="T2164" s="385"/>
      <c r="U2164" s="475"/>
      <c r="V2164" s="395"/>
      <c r="W2164" s="395"/>
      <c r="X2164" s="393"/>
      <c r="Y2164" s="523">
        <v>1</v>
      </c>
      <c r="Z2164" s="497"/>
      <c r="AA2164" s="573">
        <v>15.48593</v>
      </c>
      <c r="AB2164" s="394">
        <v>13.57165</v>
      </c>
      <c r="AC2164" s="394">
        <v>12.00835</v>
      </c>
      <c r="AD2164" s="394"/>
      <c r="AE2164" s="394"/>
      <c r="AF2164" s="394">
        <v>0</v>
      </c>
      <c r="AG2164" s="394">
        <v>0</v>
      </c>
      <c r="AH2164" s="394">
        <v>0.44627</v>
      </c>
      <c r="AI2164" s="394">
        <v>12.00835</v>
      </c>
      <c r="AJ2164" s="394"/>
      <c r="AK2164" s="381" t="s">
        <v>167</v>
      </c>
      <c r="AL2164" s="408" t="s">
        <v>175</v>
      </c>
      <c r="AM2164" s="385"/>
      <c r="AN2164" s="475">
        <v>951</v>
      </c>
      <c r="AO2164" s="395"/>
      <c r="AP2164" s="395">
        <f t="shared" si="1037"/>
        <v>15.48593</v>
      </c>
      <c r="AQ2164" s="393"/>
      <c r="AR2164" s="523"/>
      <c r="AS2164" s="497"/>
      <c r="AT2164" s="573"/>
      <c r="AU2164" s="394"/>
      <c r="AV2164" s="394"/>
      <c r="AW2164" s="394"/>
      <c r="AX2164" s="394"/>
      <c r="AY2164" s="394"/>
      <c r="AZ2164" s="394"/>
      <c r="BA2164" s="394"/>
      <c r="BB2164" s="394"/>
      <c r="BC2164" s="394"/>
      <c r="BD2164" s="381"/>
      <c r="BE2164" s="408"/>
      <c r="BF2164" s="385"/>
      <c r="BG2164" s="475"/>
      <c r="BH2164" s="395"/>
      <c r="BI2164" s="395" t="e">
        <f t="shared" si="1038"/>
        <v>#DIV/0!</v>
      </c>
    </row>
    <row r="2165" spans="1:61" s="358" customFormat="1" ht="19.2" x14ac:dyDescent="0.3">
      <c r="A2165" s="359" t="s">
        <v>355</v>
      </c>
      <c r="B2165" s="572" t="s">
        <v>3904</v>
      </c>
      <c r="C2165" s="546" t="s">
        <v>3004</v>
      </c>
      <c r="D2165" s="360">
        <v>0.4</v>
      </c>
      <c r="E2165" s="393"/>
      <c r="F2165" s="523"/>
      <c r="G2165" s="393"/>
      <c r="H2165" s="573"/>
      <c r="I2165" s="394"/>
      <c r="J2165" s="394"/>
      <c r="K2165" s="394"/>
      <c r="L2165" s="394"/>
      <c r="M2165" s="394"/>
      <c r="N2165" s="394"/>
      <c r="O2165" s="394"/>
      <c r="P2165" s="394"/>
      <c r="Q2165" s="394"/>
      <c r="R2165" s="381"/>
      <c r="S2165" s="408"/>
      <c r="T2165" s="385"/>
      <c r="U2165" s="475"/>
      <c r="V2165" s="395"/>
      <c r="W2165" s="395"/>
      <c r="X2165" s="393"/>
      <c r="Y2165" s="523">
        <v>1</v>
      </c>
      <c r="Z2165" s="497"/>
      <c r="AA2165" s="573">
        <v>15.48593</v>
      </c>
      <c r="AB2165" s="394">
        <v>13.57165</v>
      </c>
      <c r="AC2165" s="394">
        <v>12.00835</v>
      </c>
      <c r="AD2165" s="394"/>
      <c r="AE2165" s="394"/>
      <c r="AF2165" s="394">
        <v>0</v>
      </c>
      <c r="AG2165" s="394">
        <v>0</v>
      </c>
      <c r="AH2165" s="394">
        <v>0.44627</v>
      </c>
      <c r="AI2165" s="394">
        <v>12.00835</v>
      </c>
      <c r="AJ2165" s="394"/>
      <c r="AK2165" s="381" t="s">
        <v>167</v>
      </c>
      <c r="AL2165" s="408" t="s">
        <v>175</v>
      </c>
      <c r="AM2165" s="385"/>
      <c r="AN2165" s="475">
        <v>952</v>
      </c>
      <c r="AO2165" s="395"/>
      <c r="AP2165" s="395">
        <f t="shared" si="1037"/>
        <v>15.48593</v>
      </c>
      <c r="AQ2165" s="393"/>
      <c r="AR2165" s="523"/>
      <c r="AS2165" s="497"/>
      <c r="AT2165" s="573"/>
      <c r="AU2165" s="394"/>
      <c r="AV2165" s="394"/>
      <c r="AW2165" s="394"/>
      <c r="AX2165" s="394"/>
      <c r="AY2165" s="394"/>
      <c r="AZ2165" s="394"/>
      <c r="BA2165" s="394"/>
      <c r="BB2165" s="394"/>
      <c r="BC2165" s="394"/>
      <c r="BD2165" s="381"/>
      <c r="BE2165" s="408"/>
      <c r="BF2165" s="385"/>
      <c r="BG2165" s="475"/>
      <c r="BH2165" s="395"/>
      <c r="BI2165" s="395" t="e">
        <f t="shared" si="1038"/>
        <v>#DIV/0!</v>
      </c>
    </row>
    <row r="2166" spans="1:61" s="358" customFormat="1" ht="19.2" x14ac:dyDescent="0.3">
      <c r="A2166" s="359" t="s">
        <v>356</v>
      </c>
      <c r="B2166" s="572" t="s">
        <v>2359</v>
      </c>
      <c r="C2166" s="546" t="s">
        <v>2358</v>
      </c>
      <c r="D2166" s="360">
        <v>0.4</v>
      </c>
      <c r="E2166" s="393"/>
      <c r="F2166" s="523"/>
      <c r="G2166" s="393"/>
      <c r="H2166" s="573"/>
      <c r="I2166" s="394"/>
      <c r="J2166" s="394"/>
      <c r="K2166" s="394"/>
      <c r="L2166" s="394"/>
      <c r="M2166" s="394"/>
      <c r="N2166" s="394"/>
      <c r="O2166" s="394"/>
      <c r="P2166" s="394"/>
      <c r="Q2166" s="394"/>
      <c r="R2166" s="381"/>
      <c r="S2166" s="408"/>
      <c r="T2166" s="385"/>
      <c r="U2166" s="475"/>
      <c r="V2166" s="395"/>
      <c r="W2166" s="395"/>
      <c r="X2166" s="393"/>
      <c r="Y2166" s="523">
        <v>1</v>
      </c>
      <c r="Z2166" s="497"/>
      <c r="AA2166" s="573">
        <v>15.485950000000001</v>
      </c>
      <c r="AB2166" s="394">
        <v>13.571669999999999</v>
      </c>
      <c r="AC2166" s="394">
        <v>12.00835</v>
      </c>
      <c r="AD2166" s="394"/>
      <c r="AE2166" s="394"/>
      <c r="AF2166" s="394">
        <v>0</v>
      </c>
      <c r="AG2166" s="394">
        <v>0</v>
      </c>
      <c r="AH2166" s="394">
        <v>0.44627</v>
      </c>
      <c r="AI2166" s="394">
        <v>12.00835</v>
      </c>
      <c r="AJ2166" s="394"/>
      <c r="AK2166" s="381" t="s">
        <v>167</v>
      </c>
      <c r="AL2166" s="408" t="s">
        <v>175</v>
      </c>
      <c r="AM2166" s="385"/>
      <c r="AN2166" s="475">
        <v>953</v>
      </c>
      <c r="AO2166" s="395"/>
      <c r="AP2166" s="395">
        <f t="shared" si="1037"/>
        <v>15.485950000000001</v>
      </c>
      <c r="AQ2166" s="393"/>
      <c r="AR2166" s="523"/>
      <c r="AS2166" s="497"/>
      <c r="AT2166" s="573"/>
      <c r="AU2166" s="394"/>
      <c r="AV2166" s="394"/>
      <c r="AW2166" s="394"/>
      <c r="AX2166" s="394"/>
      <c r="AY2166" s="394"/>
      <c r="AZ2166" s="394"/>
      <c r="BA2166" s="394"/>
      <c r="BB2166" s="394"/>
      <c r="BC2166" s="394"/>
      <c r="BD2166" s="381"/>
      <c r="BE2166" s="408"/>
      <c r="BF2166" s="385"/>
      <c r="BG2166" s="475"/>
      <c r="BH2166" s="395"/>
      <c r="BI2166" s="395" t="e">
        <f t="shared" si="1038"/>
        <v>#DIV/0!</v>
      </c>
    </row>
    <row r="2167" spans="1:61" s="358" customFormat="1" ht="19.2" x14ac:dyDescent="0.3">
      <c r="A2167" s="359" t="s">
        <v>357</v>
      </c>
      <c r="B2167" s="572" t="s">
        <v>3905</v>
      </c>
      <c r="C2167" s="546" t="s">
        <v>3005</v>
      </c>
      <c r="D2167" s="360">
        <v>0.4</v>
      </c>
      <c r="E2167" s="393"/>
      <c r="F2167" s="523"/>
      <c r="G2167" s="393"/>
      <c r="H2167" s="573"/>
      <c r="I2167" s="394"/>
      <c r="J2167" s="394"/>
      <c r="K2167" s="394"/>
      <c r="L2167" s="394"/>
      <c r="M2167" s="394"/>
      <c r="N2167" s="394"/>
      <c r="O2167" s="394"/>
      <c r="P2167" s="394"/>
      <c r="Q2167" s="394"/>
      <c r="R2167" s="381"/>
      <c r="S2167" s="408"/>
      <c r="T2167" s="385"/>
      <c r="U2167" s="475"/>
      <c r="V2167" s="395"/>
      <c r="W2167" s="395"/>
      <c r="X2167" s="393"/>
      <c r="Y2167" s="523">
        <v>1</v>
      </c>
      <c r="Z2167" s="497"/>
      <c r="AA2167" s="573">
        <v>15.48593</v>
      </c>
      <c r="AB2167" s="394">
        <v>13.57165</v>
      </c>
      <c r="AC2167" s="394">
        <v>12.00835</v>
      </c>
      <c r="AD2167" s="394"/>
      <c r="AE2167" s="394"/>
      <c r="AF2167" s="394">
        <v>0</v>
      </c>
      <c r="AG2167" s="394">
        <v>0</v>
      </c>
      <c r="AH2167" s="394">
        <v>0.44627</v>
      </c>
      <c r="AI2167" s="394">
        <v>12.00835</v>
      </c>
      <c r="AJ2167" s="394"/>
      <c r="AK2167" s="381" t="s">
        <v>167</v>
      </c>
      <c r="AL2167" s="408" t="s">
        <v>175</v>
      </c>
      <c r="AM2167" s="385"/>
      <c r="AN2167" s="475">
        <v>954</v>
      </c>
      <c r="AO2167" s="395"/>
      <c r="AP2167" s="395">
        <f t="shared" si="1037"/>
        <v>15.48593</v>
      </c>
      <c r="AQ2167" s="393"/>
      <c r="AR2167" s="523"/>
      <c r="AS2167" s="497"/>
      <c r="AT2167" s="573"/>
      <c r="AU2167" s="394"/>
      <c r="AV2167" s="394"/>
      <c r="AW2167" s="394"/>
      <c r="AX2167" s="394"/>
      <c r="AY2167" s="394"/>
      <c r="AZ2167" s="394"/>
      <c r="BA2167" s="394"/>
      <c r="BB2167" s="394"/>
      <c r="BC2167" s="394"/>
      <c r="BD2167" s="381"/>
      <c r="BE2167" s="408"/>
      <c r="BF2167" s="385"/>
      <c r="BG2167" s="475"/>
      <c r="BH2167" s="395"/>
      <c r="BI2167" s="395" t="e">
        <f t="shared" si="1038"/>
        <v>#DIV/0!</v>
      </c>
    </row>
    <row r="2168" spans="1:61" s="358" customFormat="1" ht="19.2" x14ac:dyDescent="0.3">
      <c r="A2168" s="359" t="s">
        <v>358</v>
      </c>
      <c r="B2168" s="572" t="s">
        <v>3906</v>
      </c>
      <c r="C2168" s="546" t="s">
        <v>3006</v>
      </c>
      <c r="D2168" s="360">
        <v>0.4</v>
      </c>
      <c r="E2168" s="393"/>
      <c r="F2168" s="523"/>
      <c r="G2168" s="393"/>
      <c r="H2168" s="573"/>
      <c r="I2168" s="394"/>
      <c r="J2168" s="394"/>
      <c r="K2168" s="394"/>
      <c r="L2168" s="394"/>
      <c r="M2168" s="394"/>
      <c r="N2168" s="394"/>
      <c r="O2168" s="394"/>
      <c r="P2168" s="394"/>
      <c r="Q2168" s="394"/>
      <c r="R2168" s="381"/>
      <c r="S2168" s="408"/>
      <c r="T2168" s="385"/>
      <c r="U2168" s="475"/>
      <c r="V2168" s="395"/>
      <c r="W2168" s="395"/>
      <c r="X2168" s="393"/>
      <c r="Y2168" s="523">
        <v>1</v>
      </c>
      <c r="Z2168" s="497"/>
      <c r="AA2168" s="573">
        <v>15.43703</v>
      </c>
      <c r="AB2168" s="394">
        <v>13.52275</v>
      </c>
      <c r="AC2168" s="394">
        <v>12.00836</v>
      </c>
      <c r="AD2168" s="394"/>
      <c r="AE2168" s="394"/>
      <c r="AF2168" s="394">
        <v>0</v>
      </c>
      <c r="AG2168" s="394">
        <v>0</v>
      </c>
      <c r="AH2168" s="394">
        <v>0.44627</v>
      </c>
      <c r="AI2168" s="394">
        <v>12.00836</v>
      </c>
      <c r="AJ2168" s="394"/>
      <c r="AK2168" s="381" t="s">
        <v>167</v>
      </c>
      <c r="AL2168" s="408" t="s">
        <v>175</v>
      </c>
      <c r="AM2168" s="385"/>
      <c r="AN2168" s="475">
        <v>955</v>
      </c>
      <c r="AO2168" s="395"/>
      <c r="AP2168" s="395">
        <f t="shared" si="1037"/>
        <v>15.43703</v>
      </c>
      <c r="AQ2168" s="393"/>
      <c r="AR2168" s="523"/>
      <c r="AS2168" s="497"/>
      <c r="AT2168" s="573"/>
      <c r="AU2168" s="394"/>
      <c r="AV2168" s="394"/>
      <c r="AW2168" s="394"/>
      <c r="AX2168" s="394"/>
      <c r="AY2168" s="394"/>
      <c r="AZ2168" s="394"/>
      <c r="BA2168" s="394"/>
      <c r="BB2168" s="394"/>
      <c r="BC2168" s="394"/>
      <c r="BD2168" s="381"/>
      <c r="BE2168" s="408"/>
      <c r="BF2168" s="385"/>
      <c r="BG2168" s="475"/>
      <c r="BH2168" s="395"/>
      <c r="BI2168" s="395" t="e">
        <f t="shared" si="1038"/>
        <v>#DIV/0!</v>
      </c>
    </row>
    <row r="2169" spans="1:61" s="358" customFormat="1" ht="19.2" x14ac:dyDescent="0.3">
      <c r="A2169" s="359" t="s">
        <v>359</v>
      </c>
      <c r="B2169" s="572" t="s">
        <v>3907</v>
      </c>
      <c r="C2169" s="546" t="s">
        <v>3007</v>
      </c>
      <c r="D2169" s="360">
        <v>0.4</v>
      </c>
      <c r="E2169" s="393"/>
      <c r="F2169" s="523"/>
      <c r="G2169" s="393"/>
      <c r="H2169" s="573"/>
      <c r="I2169" s="394"/>
      <c r="J2169" s="394"/>
      <c r="K2169" s="394"/>
      <c r="L2169" s="394"/>
      <c r="M2169" s="394"/>
      <c r="N2169" s="394"/>
      <c r="O2169" s="394"/>
      <c r="P2169" s="394"/>
      <c r="Q2169" s="394"/>
      <c r="R2169" s="381"/>
      <c r="S2169" s="408"/>
      <c r="T2169" s="385"/>
      <c r="U2169" s="475"/>
      <c r="V2169" s="395"/>
      <c r="W2169" s="395"/>
      <c r="X2169" s="393"/>
      <c r="Y2169" s="523">
        <v>1</v>
      </c>
      <c r="Z2169" s="497"/>
      <c r="AA2169" s="573">
        <v>15.485939999999999</v>
      </c>
      <c r="AB2169" s="394">
        <v>13.57166</v>
      </c>
      <c r="AC2169" s="394">
        <v>12.00835</v>
      </c>
      <c r="AD2169" s="394"/>
      <c r="AE2169" s="394"/>
      <c r="AF2169" s="394">
        <v>0</v>
      </c>
      <c r="AG2169" s="394">
        <v>0</v>
      </c>
      <c r="AH2169" s="394">
        <v>0.44627</v>
      </c>
      <c r="AI2169" s="394">
        <v>12.00835</v>
      </c>
      <c r="AJ2169" s="394"/>
      <c r="AK2169" s="381" t="s">
        <v>167</v>
      </c>
      <c r="AL2169" s="408" t="s">
        <v>175</v>
      </c>
      <c r="AM2169" s="385"/>
      <c r="AN2169" s="475">
        <v>956</v>
      </c>
      <c r="AO2169" s="395"/>
      <c r="AP2169" s="395">
        <f t="shared" si="1037"/>
        <v>15.485939999999999</v>
      </c>
      <c r="AQ2169" s="393"/>
      <c r="AR2169" s="523"/>
      <c r="AS2169" s="497"/>
      <c r="AT2169" s="573"/>
      <c r="AU2169" s="394"/>
      <c r="AV2169" s="394"/>
      <c r="AW2169" s="394"/>
      <c r="AX2169" s="394"/>
      <c r="AY2169" s="394"/>
      <c r="AZ2169" s="394"/>
      <c r="BA2169" s="394"/>
      <c r="BB2169" s="394"/>
      <c r="BC2169" s="394"/>
      <c r="BD2169" s="381"/>
      <c r="BE2169" s="408"/>
      <c r="BF2169" s="385"/>
      <c r="BG2169" s="475"/>
      <c r="BH2169" s="395"/>
      <c r="BI2169" s="395" t="e">
        <f t="shared" si="1038"/>
        <v>#DIV/0!</v>
      </c>
    </row>
    <row r="2170" spans="1:61" s="358" customFormat="1" ht="19.2" x14ac:dyDescent="0.3">
      <c r="A2170" s="359" t="s">
        <v>360</v>
      </c>
      <c r="B2170" s="572" t="s">
        <v>3908</v>
      </c>
      <c r="C2170" s="546" t="s">
        <v>3008</v>
      </c>
      <c r="D2170" s="360">
        <v>0.4</v>
      </c>
      <c r="E2170" s="393"/>
      <c r="F2170" s="523"/>
      <c r="G2170" s="393"/>
      <c r="H2170" s="573"/>
      <c r="I2170" s="394"/>
      <c r="J2170" s="394"/>
      <c r="K2170" s="394"/>
      <c r="L2170" s="394"/>
      <c r="M2170" s="394"/>
      <c r="N2170" s="394"/>
      <c r="O2170" s="394"/>
      <c r="P2170" s="394"/>
      <c r="Q2170" s="394"/>
      <c r="R2170" s="381"/>
      <c r="S2170" s="408"/>
      <c r="T2170" s="385"/>
      <c r="U2170" s="475"/>
      <c r="V2170" s="395"/>
      <c r="W2170" s="395"/>
      <c r="X2170" s="393"/>
      <c r="Y2170" s="523">
        <v>1</v>
      </c>
      <c r="Z2170" s="497"/>
      <c r="AA2170" s="573">
        <v>15.48596</v>
      </c>
      <c r="AB2170" s="394">
        <v>13.571680000000001</v>
      </c>
      <c r="AC2170" s="394">
        <v>12.00835</v>
      </c>
      <c r="AD2170" s="394"/>
      <c r="AE2170" s="394"/>
      <c r="AF2170" s="394">
        <v>0</v>
      </c>
      <c r="AG2170" s="394">
        <v>0</v>
      </c>
      <c r="AH2170" s="394">
        <v>0.44627</v>
      </c>
      <c r="AI2170" s="394">
        <v>12.00835</v>
      </c>
      <c r="AJ2170" s="394"/>
      <c r="AK2170" s="381" t="s">
        <v>167</v>
      </c>
      <c r="AL2170" s="408" t="s">
        <v>175</v>
      </c>
      <c r="AM2170" s="385"/>
      <c r="AN2170" s="475">
        <v>957</v>
      </c>
      <c r="AO2170" s="395"/>
      <c r="AP2170" s="395">
        <f t="shared" si="1037"/>
        <v>15.48596</v>
      </c>
      <c r="AQ2170" s="393"/>
      <c r="AR2170" s="523"/>
      <c r="AS2170" s="497"/>
      <c r="AT2170" s="573"/>
      <c r="AU2170" s="394"/>
      <c r="AV2170" s="394"/>
      <c r="AW2170" s="394"/>
      <c r="AX2170" s="394"/>
      <c r="AY2170" s="394"/>
      <c r="AZ2170" s="394"/>
      <c r="BA2170" s="394"/>
      <c r="BB2170" s="394"/>
      <c r="BC2170" s="394"/>
      <c r="BD2170" s="381"/>
      <c r="BE2170" s="408"/>
      <c r="BF2170" s="385"/>
      <c r="BG2170" s="475"/>
      <c r="BH2170" s="395"/>
      <c r="BI2170" s="395" t="e">
        <f t="shared" si="1038"/>
        <v>#DIV/0!</v>
      </c>
    </row>
    <row r="2171" spans="1:61" s="358" customFormat="1" ht="19.2" x14ac:dyDescent="0.3">
      <c r="A2171" s="359" t="s">
        <v>377</v>
      </c>
      <c r="B2171" s="572" t="s">
        <v>3909</v>
      </c>
      <c r="C2171" s="546" t="s">
        <v>3009</v>
      </c>
      <c r="D2171" s="360">
        <v>0.4</v>
      </c>
      <c r="E2171" s="393"/>
      <c r="F2171" s="523"/>
      <c r="G2171" s="393"/>
      <c r="H2171" s="573"/>
      <c r="I2171" s="394"/>
      <c r="J2171" s="394"/>
      <c r="K2171" s="394"/>
      <c r="L2171" s="394"/>
      <c r="M2171" s="394"/>
      <c r="N2171" s="394"/>
      <c r="O2171" s="394"/>
      <c r="P2171" s="394"/>
      <c r="Q2171" s="394"/>
      <c r="R2171" s="381"/>
      <c r="S2171" s="408"/>
      <c r="T2171" s="385"/>
      <c r="U2171" s="475"/>
      <c r="V2171" s="395"/>
      <c r="W2171" s="395"/>
      <c r="X2171" s="393"/>
      <c r="Y2171" s="523">
        <v>1</v>
      </c>
      <c r="Z2171" s="497"/>
      <c r="AA2171" s="573">
        <v>14.41925</v>
      </c>
      <c r="AB2171" s="394">
        <v>11.042009999999999</v>
      </c>
      <c r="AC2171" s="394">
        <v>8.95852</v>
      </c>
      <c r="AD2171" s="394"/>
      <c r="AE2171" s="394"/>
      <c r="AF2171" s="394">
        <v>0</v>
      </c>
      <c r="AG2171" s="394">
        <v>0</v>
      </c>
      <c r="AH2171" s="394">
        <v>0.78732999999999997</v>
      </c>
      <c r="AI2171" s="394">
        <v>8.95852</v>
      </c>
      <c r="AJ2171" s="394"/>
      <c r="AK2171" s="381" t="s">
        <v>167</v>
      </c>
      <c r="AL2171" s="408" t="s">
        <v>175</v>
      </c>
      <c r="AM2171" s="385"/>
      <c r="AN2171" s="475">
        <v>958</v>
      </c>
      <c r="AO2171" s="395"/>
      <c r="AP2171" s="395">
        <f t="shared" si="1037"/>
        <v>14.41925</v>
      </c>
      <c r="AQ2171" s="393"/>
      <c r="AR2171" s="523"/>
      <c r="AS2171" s="497"/>
      <c r="AT2171" s="573"/>
      <c r="AU2171" s="394"/>
      <c r="AV2171" s="394"/>
      <c r="AW2171" s="394"/>
      <c r="AX2171" s="394"/>
      <c r="AY2171" s="394"/>
      <c r="AZ2171" s="394"/>
      <c r="BA2171" s="394"/>
      <c r="BB2171" s="394"/>
      <c r="BC2171" s="394"/>
      <c r="BD2171" s="381"/>
      <c r="BE2171" s="408"/>
      <c r="BF2171" s="385"/>
      <c r="BG2171" s="475"/>
      <c r="BH2171" s="395"/>
      <c r="BI2171" s="395" t="e">
        <f t="shared" si="1038"/>
        <v>#DIV/0!</v>
      </c>
    </row>
    <row r="2172" spans="1:61" s="358" customFormat="1" ht="19.2" x14ac:dyDescent="0.3">
      <c r="A2172" s="359" t="s">
        <v>362</v>
      </c>
      <c r="B2172" s="572" t="s">
        <v>3910</v>
      </c>
      <c r="C2172" s="546" t="s">
        <v>3010</v>
      </c>
      <c r="D2172" s="360">
        <v>0.4</v>
      </c>
      <c r="E2172" s="393"/>
      <c r="F2172" s="523"/>
      <c r="G2172" s="393"/>
      <c r="H2172" s="573"/>
      <c r="I2172" s="394"/>
      <c r="J2172" s="394"/>
      <c r="K2172" s="394"/>
      <c r="L2172" s="394"/>
      <c r="M2172" s="394"/>
      <c r="N2172" s="394"/>
      <c r="O2172" s="394"/>
      <c r="P2172" s="394"/>
      <c r="Q2172" s="394"/>
      <c r="R2172" s="381"/>
      <c r="S2172" s="408"/>
      <c r="T2172" s="385"/>
      <c r="U2172" s="475"/>
      <c r="V2172" s="395"/>
      <c r="W2172" s="395"/>
      <c r="X2172" s="393"/>
      <c r="Y2172" s="523">
        <v>1</v>
      </c>
      <c r="Z2172" s="497"/>
      <c r="AA2172" s="573">
        <v>15.69049</v>
      </c>
      <c r="AB2172" s="394">
        <v>13.776210000000001</v>
      </c>
      <c r="AC2172" s="394">
        <v>12.00836</v>
      </c>
      <c r="AD2172" s="394"/>
      <c r="AE2172" s="394"/>
      <c r="AF2172" s="394">
        <v>0</v>
      </c>
      <c r="AG2172" s="394">
        <v>0</v>
      </c>
      <c r="AH2172" s="394">
        <v>0.44627</v>
      </c>
      <c r="AI2172" s="394">
        <v>12.00836</v>
      </c>
      <c r="AJ2172" s="394"/>
      <c r="AK2172" s="381" t="s">
        <v>167</v>
      </c>
      <c r="AL2172" s="408" t="s">
        <v>175</v>
      </c>
      <c r="AM2172" s="385"/>
      <c r="AN2172" s="475">
        <v>959</v>
      </c>
      <c r="AO2172" s="395"/>
      <c r="AP2172" s="395">
        <f t="shared" si="1037"/>
        <v>15.69049</v>
      </c>
      <c r="AQ2172" s="393"/>
      <c r="AR2172" s="523"/>
      <c r="AS2172" s="497"/>
      <c r="AT2172" s="573"/>
      <c r="AU2172" s="394"/>
      <c r="AV2172" s="394"/>
      <c r="AW2172" s="394"/>
      <c r="AX2172" s="394"/>
      <c r="AY2172" s="394"/>
      <c r="AZ2172" s="394"/>
      <c r="BA2172" s="394"/>
      <c r="BB2172" s="394"/>
      <c r="BC2172" s="394"/>
      <c r="BD2172" s="381"/>
      <c r="BE2172" s="408"/>
      <c r="BF2172" s="385"/>
      <c r="BG2172" s="475"/>
      <c r="BH2172" s="395"/>
      <c r="BI2172" s="395" t="e">
        <f t="shared" si="1038"/>
        <v>#DIV/0!</v>
      </c>
    </row>
    <row r="2173" spans="1:61" s="358" customFormat="1" ht="19.2" x14ac:dyDescent="0.3">
      <c r="A2173" s="359" t="s">
        <v>363</v>
      </c>
      <c r="B2173" s="572" t="s">
        <v>3911</v>
      </c>
      <c r="C2173" s="546" t="s">
        <v>3011</v>
      </c>
      <c r="D2173" s="360">
        <v>0.4</v>
      </c>
      <c r="E2173" s="393"/>
      <c r="F2173" s="523"/>
      <c r="G2173" s="393"/>
      <c r="H2173" s="573"/>
      <c r="I2173" s="394"/>
      <c r="J2173" s="394"/>
      <c r="K2173" s="394"/>
      <c r="L2173" s="394"/>
      <c r="M2173" s="394"/>
      <c r="N2173" s="394"/>
      <c r="O2173" s="394"/>
      <c r="P2173" s="394"/>
      <c r="Q2173" s="394"/>
      <c r="R2173" s="381"/>
      <c r="S2173" s="408"/>
      <c r="T2173" s="385"/>
      <c r="U2173" s="475"/>
      <c r="V2173" s="395"/>
      <c r="W2173" s="395"/>
      <c r="X2173" s="393"/>
      <c r="Y2173" s="523">
        <v>1</v>
      </c>
      <c r="Z2173" s="497"/>
      <c r="AA2173" s="573">
        <v>9.8096599999999992</v>
      </c>
      <c r="AB2173" s="394">
        <v>8.9434000000000005</v>
      </c>
      <c r="AC2173" s="394">
        <v>8.9390699999999992</v>
      </c>
      <c r="AD2173" s="394"/>
      <c r="AE2173" s="394"/>
      <c r="AF2173" s="394">
        <v>0</v>
      </c>
      <c r="AG2173" s="394">
        <v>0</v>
      </c>
      <c r="AH2173" s="394">
        <v>0.20194999999999999</v>
      </c>
      <c r="AI2173" s="394">
        <v>8.9390699999999992</v>
      </c>
      <c r="AJ2173" s="394"/>
      <c r="AK2173" s="381" t="s">
        <v>167</v>
      </c>
      <c r="AL2173" s="408" t="s">
        <v>175</v>
      </c>
      <c r="AM2173" s="385"/>
      <c r="AN2173" s="475">
        <v>960</v>
      </c>
      <c r="AO2173" s="395"/>
      <c r="AP2173" s="395">
        <f t="shared" si="1037"/>
        <v>9.8096599999999992</v>
      </c>
      <c r="AQ2173" s="393"/>
      <c r="AR2173" s="523"/>
      <c r="AS2173" s="497"/>
      <c r="AT2173" s="573"/>
      <c r="AU2173" s="394"/>
      <c r="AV2173" s="394"/>
      <c r="AW2173" s="394"/>
      <c r="AX2173" s="394"/>
      <c r="AY2173" s="394"/>
      <c r="AZ2173" s="394"/>
      <c r="BA2173" s="394"/>
      <c r="BB2173" s="394"/>
      <c r="BC2173" s="394"/>
      <c r="BD2173" s="381"/>
      <c r="BE2173" s="408"/>
      <c r="BF2173" s="385"/>
      <c r="BG2173" s="475"/>
      <c r="BH2173" s="395"/>
      <c r="BI2173" s="395" t="e">
        <f t="shared" si="1038"/>
        <v>#DIV/0!</v>
      </c>
    </row>
    <row r="2174" spans="1:61" s="358" customFormat="1" ht="19.2" x14ac:dyDescent="0.3">
      <c r="A2174" s="359" t="s">
        <v>364</v>
      </c>
      <c r="B2174" s="572" t="s">
        <v>3912</v>
      </c>
      <c r="C2174" s="546" t="s">
        <v>3012</v>
      </c>
      <c r="D2174" s="360">
        <v>0.4</v>
      </c>
      <c r="E2174" s="393"/>
      <c r="F2174" s="523"/>
      <c r="G2174" s="393"/>
      <c r="H2174" s="573"/>
      <c r="I2174" s="394"/>
      <c r="J2174" s="394"/>
      <c r="K2174" s="394"/>
      <c r="L2174" s="394"/>
      <c r="M2174" s="394"/>
      <c r="N2174" s="394"/>
      <c r="O2174" s="394"/>
      <c r="P2174" s="394"/>
      <c r="Q2174" s="394"/>
      <c r="R2174" s="381"/>
      <c r="S2174" s="408"/>
      <c r="T2174" s="385"/>
      <c r="U2174" s="475"/>
      <c r="V2174" s="395"/>
      <c r="W2174" s="395"/>
      <c r="X2174" s="393"/>
      <c r="Y2174" s="523">
        <v>1</v>
      </c>
      <c r="Z2174" s="497"/>
      <c r="AA2174" s="573">
        <v>15.690519999999999</v>
      </c>
      <c r="AB2174" s="394">
        <v>13.77624</v>
      </c>
      <c r="AC2174" s="394">
        <v>12.00836</v>
      </c>
      <c r="AD2174" s="394"/>
      <c r="AE2174" s="394"/>
      <c r="AF2174" s="394">
        <v>0</v>
      </c>
      <c r="AG2174" s="394">
        <v>0</v>
      </c>
      <c r="AH2174" s="394">
        <v>0.44627</v>
      </c>
      <c r="AI2174" s="394">
        <v>12.00836</v>
      </c>
      <c r="AJ2174" s="394"/>
      <c r="AK2174" s="381" t="s">
        <v>167</v>
      </c>
      <c r="AL2174" s="408" t="s">
        <v>175</v>
      </c>
      <c r="AM2174" s="385"/>
      <c r="AN2174" s="475">
        <v>961</v>
      </c>
      <c r="AO2174" s="395"/>
      <c r="AP2174" s="395">
        <f t="shared" si="1037"/>
        <v>15.690519999999999</v>
      </c>
      <c r="AQ2174" s="393"/>
      <c r="AR2174" s="523"/>
      <c r="AS2174" s="497"/>
      <c r="AT2174" s="573"/>
      <c r="AU2174" s="394"/>
      <c r="AV2174" s="394"/>
      <c r="AW2174" s="394"/>
      <c r="AX2174" s="394"/>
      <c r="AY2174" s="394"/>
      <c r="AZ2174" s="394"/>
      <c r="BA2174" s="394"/>
      <c r="BB2174" s="394"/>
      <c r="BC2174" s="394"/>
      <c r="BD2174" s="381"/>
      <c r="BE2174" s="408"/>
      <c r="BF2174" s="385"/>
      <c r="BG2174" s="475"/>
      <c r="BH2174" s="395"/>
      <c r="BI2174" s="395" t="e">
        <f t="shared" si="1038"/>
        <v>#DIV/0!</v>
      </c>
    </row>
    <row r="2175" spans="1:61" s="358" customFormat="1" ht="19.2" x14ac:dyDescent="0.3">
      <c r="A2175" s="359" t="s">
        <v>381</v>
      </c>
      <c r="B2175" s="572" t="s">
        <v>3913</v>
      </c>
      <c r="C2175" s="546" t="s">
        <v>3013</v>
      </c>
      <c r="D2175" s="360">
        <v>0.4</v>
      </c>
      <c r="E2175" s="393"/>
      <c r="F2175" s="523"/>
      <c r="G2175" s="393"/>
      <c r="H2175" s="573"/>
      <c r="I2175" s="394"/>
      <c r="J2175" s="394"/>
      <c r="K2175" s="394"/>
      <c r="L2175" s="394"/>
      <c r="M2175" s="394"/>
      <c r="N2175" s="394"/>
      <c r="O2175" s="394"/>
      <c r="P2175" s="394"/>
      <c r="Q2175" s="394"/>
      <c r="R2175" s="381"/>
      <c r="S2175" s="408"/>
      <c r="T2175" s="385"/>
      <c r="U2175" s="475"/>
      <c r="V2175" s="395"/>
      <c r="W2175" s="395"/>
      <c r="X2175" s="393"/>
      <c r="Y2175" s="523">
        <v>1</v>
      </c>
      <c r="Z2175" s="497"/>
      <c r="AA2175" s="573">
        <v>15.690519999999999</v>
      </c>
      <c r="AB2175" s="394">
        <v>13.77624</v>
      </c>
      <c r="AC2175" s="394">
        <v>12.00836</v>
      </c>
      <c r="AD2175" s="394"/>
      <c r="AE2175" s="394"/>
      <c r="AF2175" s="394">
        <v>0</v>
      </c>
      <c r="AG2175" s="394">
        <v>0</v>
      </c>
      <c r="AH2175" s="394">
        <v>0.44627</v>
      </c>
      <c r="AI2175" s="394">
        <v>12.00836</v>
      </c>
      <c r="AJ2175" s="394"/>
      <c r="AK2175" s="381" t="s">
        <v>167</v>
      </c>
      <c r="AL2175" s="408" t="s">
        <v>175</v>
      </c>
      <c r="AM2175" s="385"/>
      <c r="AN2175" s="475">
        <v>962</v>
      </c>
      <c r="AO2175" s="395"/>
      <c r="AP2175" s="395">
        <f t="shared" si="1037"/>
        <v>15.690519999999999</v>
      </c>
      <c r="AQ2175" s="393"/>
      <c r="AR2175" s="523"/>
      <c r="AS2175" s="497"/>
      <c r="AT2175" s="573"/>
      <c r="AU2175" s="394"/>
      <c r="AV2175" s="394"/>
      <c r="AW2175" s="394"/>
      <c r="AX2175" s="394"/>
      <c r="AY2175" s="394"/>
      <c r="AZ2175" s="394"/>
      <c r="BA2175" s="394"/>
      <c r="BB2175" s="394"/>
      <c r="BC2175" s="394"/>
      <c r="BD2175" s="381"/>
      <c r="BE2175" s="408"/>
      <c r="BF2175" s="385"/>
      <c r="BG2175" s="475"/>
      <c r="BH2175" s="395"/>
      <c r="BI2175" s="395" t="e">
        <f t="shared" si="1038"/>
        <v>#DIV/0!</v>
      </c>
    </row>
    <row r="2176" spans="1:61" s="358" customFormat="1" ht="19.2" x14ac:dyDescent="0.3">
      <c r="A2176" s="359" t="s">
        <v>366</v>
      </c>
      <c r="B2176" s="572" t="s">
        <v>3914</v>
      </c>
      <c r="C2176" s="546" t="s">
        <v>3014</v>
      </c>
      <c r="D2176" s="360">
        <v>0.4</v>
      </c>
      <c r="E2176" s="393"/>
      <c r="F2176" s="523"/>
      <c r="G2176" s="393"/>
      <c r="H2176" s="573"/>
      <c r="I2176" s="394"/>
      <c r="J2176" s="394"/>
      <c r="K2176" s="394"/>
      <c r="L2176" s="394"/>
      <c r="M2176" s="394"/>
      <c r="N2176" s="394"/>
      <c r="O2176" s="394"/>
      <c r="P2176" s="394"/>
      <c r="Q2176" s="394"/>
      <c r="R2176" s="381"/>
      <c r="S2176" s="408"/>
      <c r="T2176" s="385"/>
      <c r="U2176" s="475"/>
      <c r="V2176" s="395"/>
      <c r="W2176" s="395"/>
      <c r="X2176" s="393"/>
      <c r="Y2176" s="523">
        <v>1</v>
      </c>
      <c r="Z2176" s="497"/>
      <c r="AA2176" s="573">
        <v>15.485950000000001</v>
      </c>
      <c r="AB2176" s="394">
        <v>13.571669999999999</v>
      </c>
      <c r="AC2176" s="394">
        <v>12.00835</v>
      </c>
      <c r="AD2176" s="394"/>
      <c r="AE2176" s="394"/>
      <c r="AF2176" s="394">
        <v>0</v>
      </c>
      <c r="AG2176" s="394">
        <v>0</v>
      </c>
      <c r="AH2176" s="394">
        <v>0.44627</v>
      </c>
      <c r="AI2176" s="394">
        <v>12.00835</v>
      </c>
      <c r="AJ2176" s="394"/>
      <c r="AK2176" s="381" t="s">
        <v>167</v>
      </c>
      <c r="AL2176" s="408" t="s">
        <v>175</v>
      </c>
      <c r="AM2176" s="385"/>
      <c r="AN2176" s="475">
        <v>963</v>
      </c>
      <c r="AO2176" s="395"/>
      <c r="AP2176" s="395">
        <f t="shared" si="1037"/>
        <v>15.485950000000001</v>
      </c>
      <c r="AQ2176" s="393"/>
      <c r="AR2176" s="523"/>
      <c r="AS2176" s="497"/>
      <c r="AT2176" s="573"/>
      <c r="AU2176" s="394"/>
      <c r="AV2176" s="394"/>
      <c r="AW2176" s="394"/>
      <c r="AX2176" s="394"/>
      <c r="AY2176" s="394"/>
      <c r="AZ2176" s="394"/>
      <c r="BA2176" s="394"/>
      <c r="BB2176" s="394"/>
      <c r="BC2176" s="394"/>
      <c r="BD2176" s="381"/>
      <c r="BE2176" s="408"/>
      <c r="BF2176" s="385"/>
      <c r="BG2176" s="475"/>
      <c r="BH2176" s="395"/>
      <c r="BI2176" s="395" t="e">
        <f t="shared" si="1038"/>
        <v>#DIV/0!</v>
      </c>
    </row>
    <row r="2177" spans="1:61" s="358" customFormat="1" ht="19.2" x14ac:dyDescent="0.3">
      <c r="A2177" s="359" t="s">
        <v>367</v>
      </c>
      <c r="B2177" s="572" t="s">
        <v>3915</v>
      </c>
      <c r="C2177" s="546" t="s">
        <v>3015</v>
      </c>
      <c r="D2177" s="360">
        <v>0.4</v>
      </c>
      <c r="E2177" s="393"/>
      <c r="F2177" s="523"/>
      <c r="G2177" s="393"/>
      <c r="H2177" s="573"/>
      <c r="I2177" s="394"/>
      <c r="J2177" s="394"/>
      <c r="K2177" s="394"/>
      <c r="L2177" s="394"/>
      <c r="M2177" s="394"/>
      <c r="N2177" s="394"/>
      <c r="O2177" s="394"/>
      <c r="P2177" s="394"/>
      <c r="Q2177" s="394"/>
      <c r="R2177" s="381"/>
      <c r="S2177" s="408"/>
      <c r="T2177" s="385"/>
      <c r="U2177" s="475"/>
      <c r="V2177" s="395"/>
      <c r="W2177" s="395"/>
      <c r="X2177" s="393"/>
      <c r="Y2177" s="523">
        <v>1</v>
      </c>
      <c r="Z2177" s="497"/>
      <c r="AA2177" s="573">
        <v>15.48593</v>
      </c>
      <c r="AB2177" s="394">
        <v>13.57165</v>
      </c>
      <c r="AC2177" s="394">
        <v>12.00835</v>
      </c>
      <c r="AD2177" s="394"/>
      <c r="AE2177" s="394"/>
      <c r="AF2177" s="394">
        <v>0</v>
      </c>
      <c r="AG2177" s="394">
        <v>0</v>
      </c>
      <c r="AH2177" s="394">
        <v>0.44627</v>
      </c>
      <c r="AI2177" s="394">
        <v>12.00835</v>
      </c>
      <c r="AJ2177" s="394"/>
      <c r="AK2177" s="381" t="s">
        <v>167</v>
      </c>
      <c r="AL2177" s="408" t="s">
        <v>175</v>
      </c>
      <c r="AM2177" s="385"/>
      <c r="AN2177" s="475">
        <v>964</v>
      </c>
      <c r="AO2177" s="395"/>
      <c r="AP2177" s="395">
        <f t="shared" si="1037"/>
        <v>15.48593</v>
      </c>
      <c r="AQ2177" s="393"/>
      <c r="AR2177" s="523"/>
      <c r="AS2177" s="497"/>
      <c r="AT2177" s="573"/>
      <c r="AU2177" s="394"/>
      <c r="AV2177" s="394"/>
      <c r="AW2177" s="394"/>
      <c r="AX2177" s="394"/>
      <c r="AY2177" s="394"/>
      <c r="AZ2177" s="394"/>
      <c r="BA2177" s="394"/>
      <c r="BB2177" s="394"/>
      <c r="BC2177" s="394"/>
      <c r="BD2177" s="381"/>
      <c r="BE2177" s="408"/>
      <c r="BF2177" s="385"/>
      <c r="BG2177" s="475"/>
      <c r="BH2177" s="395"/>
      <c r="BI2177" s="395" t="e">
        <f t="shared" si="1038"/>
        <v>#DIV/0!</v>
      </c>
    </row>
    <row r="2178" spans="1:61" s="358" customFormat="1" ht="19.2" x14ac:dyDescent="0.3">
      <c r="A2178" s="359" t="s">
        <v>352</v>
      </c>
      <c r="B2178" s="572" t="s">
        <v>1414</v>
      </c>
      <c r="C2178" s="546" t="s">
        <v>3016</v>
      </c>
      <c r="D2178" s="360">
        <v>0.4</v>
      </c>
      <c r="E2178" s="393"/>
      <c r="F2178" s="523"/>
      <c r="G2178" s="393"/>
      <c r="H2178" s="573"/>
      <c r="I2178" s="394"/>
      <c r="J2178" s="394"/>
      <c r="K2178" s="394"/>
      <c r="L2178" s="394"/>
      <c r="M2178" s="394"/>
      <c r="N2178" s="394"/>
      <c r="O2178" s="394"/>
      <c r="P2178" s="394"/>
      <c r="Q2178" s="394"/>
      <c r="R2178" s="381"/>
      <c r="S2178" s="408"/>
      <c r="T2178" s="385"/>
      <c r="U2178" s="475"/>
      <c r="V2178" s="395"/>
      <c r="W2178" s="395"/>
      <c r="X2178" s="393"/>
      <c r="Y2178" s="523">
        <v>1</v>
      </c>
      <c r="Z2178" s="497"/>
      <c r="AA2178" s="573">
        <v>14.309150000000001</v>
      </c>
      <c r="AB2178" s="394">
        <v>10.93191</v>
      </c>
      <c r="AC2178" s="394">
        <v>8.95852</v>
      </c>
      <c r="AD2178" s="394"/>
      <c r="AE2178" s="394"/>
      <c r="AF2178" s="394">
        <v>0</v>
      </c>
      <c r="AG2178" s="394">
        <v>0</v>
      </c>
      <c r="AH2178" s="394">
        <v>0.78732999999999997</v>
      </c>
      <c r="AI2178" s="394">
        <v>8.95852</v>
      </c>
      <c r="AJ2178" s="394"/>
      <c r="AK2178" s="381" t="s">
        <v>167</v>
      </c>
      <c r="AL2178" s="408" t="s">
        <v>175</v>
      </c>
      <c r="AM2178" s="385"/>
      <c r="AN2178" s="475">
        <v>965</v>
      </c>
      <c r="AO2178" s="395"/>
      <c r="AP2178" s="395">
        <f t="shared" si="1037"/>
        <v>14.309150000000001</v>
      </c>
      <c r="AQ2178" s="393"/>
      <c r="AR2178" s="523"/>
      <c r="AS2178" s="497"/>
      <c r="AT2178" s="573"/>
      <c r="AU2178" s="394"/>
      <c r="AV2178" s="394"/>
      <c r="AW2178" s="394"/>
      <c r="AX2178" s="394"/>
      <c r="AY2178" s="394"/>
      <c r="AZ2178" s="394"/>
      <c r="BA2178" s="394"/>
      <c r="BB2178" s="394"/>
      <c r="BC2178" s="394"/>
      <c r="BD2178" s="381"/>
      <c r="BE2178" s="408"/>
      <c r="BF2178" s="385"/>
      <c r="BG2178" s="475"/>
      <c r="BH2178" s="395"/>
      <c r="BI2178" s="395" t="e">
        <f t="shared" si="1038"/>
        <v>#DIV/0!</v>
      </c>
    </row>
    <row r="2179" spans="1:61" s="358" customFormat="1" ht="19.2" x14ac:dyDescent="0.3">
      <c r="A2179" s="359" t="s">
        <v>369</v>
      </c>
      <c r="B2179" s="572" t="s">
        <v>1414</v>
      </c>
      <c r="C2179" s="546" t="s">
        <v>3017</v>
      </c>
      <c r="D2179" s="360">
        <v>0.4</v>
      </c>
      <c r="E2179" s="393"/>
      <c r="F2179" s="523"/>
      <c r="G2179" s="393"/>
      <c r="H2179" s="573"/>
      <c r="I2179" s="394"/>
      <c r="J2179" s="394"/>
      <c r="K2179" s="394"/>
      <c r="L2179" s="394"/>
      <c r="M2179" s="394"/>
      <c r="N2179" s="394"/>
      <c r="O2179" s="394"/>
      <c r="P2179" s="394"/>
      <c r="Q2179" s="394"/>
      <c r="R2179" s="381"/>
      <c r="S2179" s="408"/>
      <c r="T2179" s="385"/>
      <c r="U2179" s="475"/>
      <c r="V2179" s="395"/>
      <c r="W2179" s="395"/>
      <c r="X2179" s="393"/>
      <c r="Y2179" s="523">
        <v>1</v>
      </c>
      <c r="Z2179" s="497"/>
      <c r="AA2179" s="573">
        <v>14.30918</v>
      </c>
      <c r="AB2179" s="394">
        <v>10.931940000000001</v>
      </c>
      <c r="AC2179" s="394">
        <v>8.95852</v>
      </c>
      <c r="AD2179" s="394"/>
      <c r="AE2179" s="394"/>
      <c r="AF2179" s="394">
        <v>0</v>
      </c>
      <c r="AG2179" s="394">
        <v>0</v>
      </c>
      <c r="AH2179" s="394">
        <v>0.78732999999999997</v>
      </c>
      <c r="AI2179" s="394">
        <v>8.95852</v>
      </c>
      <c r="AJ2179" s="394"/>
      <c r="AK2179" s="381" t="s">
        <v>167</v>
      </c>
      <c r="AL2179" s="408" t="s">
        <v>175</v>
      </c>
      <c r="AM2179" s="385"/>
      <c r="AN2179" s="475">
        <v>966</v>
      </c>
      <c r="AO2179" s="395"/>
      <c r="AP2179" s="395">
        <f t="shared" si="1037"/>
        <v>14.30918</v>
      </c>
      <c r="AQ2179" s="393"/>
      <c r="AR2179" s="523"/>
      <c r="AS2179" s="497"/>
      <c r="AT2179" s="573"/>
      <c r="AU2179" s="394"/>
      <c r="AV2179" s="394"/>
      <c r="AW2179" s="394"/>
      <c r="AX2179" s="394"/>
      <c r="AY2179" s="394"/>
      <c r="AZ2179" s="394"/>
      <c r="BA2179" s="394"/>
      <c r="BB2179" s="394"/>
      <c r="BC2179" s="394"/>
      <c r="BD2179" s="381"/>
      <c r="BE2179" s="408"/>
      <c r="BF2179" s="385"/>
      <c r="BG2179" s="475"/>
      <c r="BH2179" s="395"/>
      <c r="BI2179" s="395" t="e">
        <f t="shared" si="1038"/>
        <v>#DIV/0!</v>
      </c>
    </row>
    <row r="2180" spans="1:61" s="358" customFormat="1" ht="19.2" x14ac:dyDescent="0.3">
      <c r="A2180" s="359" t="s">
        <v>370</v>
      </c>
      <c r="B2180" s="572" t="s">
        <v>1414</v>
      </c>
      <c r="C2180" s="546" t="s">
        <v>2282</v>
      </c>
      <c r="D2180" s="360">
        <v>0.4</v>
      </c>
      <c r="E2180" s="393"/>
      <c r="F2180" s="523"/>
      <c r="G2180" s="393"/>
      <c r="H2180" s="573"/>
      <c r="I2180" s="394"/>
      <c r="J2180" s="394"/>
      <c r="K2180" s="394"/>
      <c r="L2180" s="394"/>
      <c r="M2180" s="394"/>
      <c r="N2180" s="394"/>
      <c r="O2180" s="394"/>
      <c r="P2180" s="394"/>
      <c r="Q2180" s="394"/>
      <c r="R2180" s="381"/>
      <c r="S2180" s="408"/>
      <c r="T2180" s="385"/>
      <c r="U2180" s="475"/>
      <c r="V2180" s="395"/>
      <c r="W2180" s="395"/>
      <c r="X2180" s="393"/>
      <c r="Y2180" s="523">
        <v>1</v>
      </c>
      <c r="Z2180" s="497"/>
      <c r="AA2180" s="573">
        <v>14.30917</v>
      </c>
      <c r="AB2180" s="394">
        <v>10.931929999999999</v>
      </c>
      <c r="AC2180" s="394">
        <v>8.95852</v>
      </c>
      <c r="AD2180" s="394"/>
      <c r="AE2180" s="394"/>
      <c r="AF2180" s="394">
        <v>0</v>
      </c>
      <c r="AG2180" s="394">
        <v>0</v>
      </c>
      <c r="AH2180" s="394">
        <v>0.78732999999999997</v>
      </c>
      <c r="AI2180" s="394">
        <v>8.95852</v>
      </c>
      <c r="AJ2180" s="394"/>
      <c r="AK2180" s="381" t="s">
        <v>167</v>
      </c>
      <c r="AL2180" s="408" t="s">
        <v>175</v>
      </c>
      <c r="AM2180" s="385"/>
      <c r="AN2180" s="475">
        <v>967</v>
      </c>
      <c r="AO2180" s="395"/>
      <c r="AP2180" s="395">
        <f t="shared" si="1037"/>
        <v>14.30917</v>
      </c>
      <c r="AQ2180" s="393"/>
      <c r="AR2180" s="523"/>
      <c r="AS2180" s="497"/>
      <c r="AT2180" s="573"/>
      <c r="AU2180" s="394"/>
      <c r="AV2180" s="394"/>
      <c r="AW2180" s="394"/>
      <c r="AX2180" s="394"/>
      <c r="AY2180" s="394"/>
      <c r="AZ2180" s="394"/>
      <c r="BA2180" s="394"/>
      <c r="BB2180" s="394"/>
      <c r="BC2180" s="394"/>
      <c r="BD2180" s="381"/>
      <c r="BE2180" s="408"/>
      <c r="BF2180" s="385"/>
      <c r="BG2180" s="475"/>
      <c r="BH2180" s="395"/>
      <c r="BI2180" s="395" t="e">
        <f t="shared" si="1038"/>
        <v>#DIV/0!</v>
      </c>
    </row>
    <row r="2181" spans="1:61" s="358" customFormat="1" ht="19.2" x14ac:dyDescent="0.3">
      <c r="A2181" s="359" t="s">
        <v>371</v>
      </c>
      <c r="B2181" s="572" t="s">
        <v>1414</v>
      </c>
      <c r="C2181" s="546" t="s">
        <v>2362</v>
      </c>
      <c r="D2181" s="360">
        <v>0.4</v>
      </c>
      <c r="E2181" s="393"/>
      <c r="F2181" s="523"/>
      <c r="G2181" s="393"/>
      <c r="H2181" s="573"/>
      <c r="I2181" s="394"/>
      <c r="J2181" s="394"/>
      <c r="K2181" s="394"/>
      <c r="L2181" s="394"/>
      <c r="M2181" s="394"/>
      <c r="N2181" s="394"/>
      <c r="O2181" s="394"/>
      <c r="P2181" s="394"/>
      <c r="Q2181" s="394"/>
      <c r="R2181" s="381"/>
      <c r="S2181" s="408"/>
      <c r="T2181" s="385"/>
      <c r="U2181" s="475"/>
      <c r="V2181" s="395"/>
      <c r="W2181" s="395"/>
      <c r="X2181" s="393"/>
      <c r="Y2181" s="523">
        <v>1</v>
      </c>
      <c r="Z2181" s="497"/>
      <c r="AA2181" s="573">
        <v>14.205220000000001</v>
      </c>
      <c r="AB2181" s="394">
        <v>10.82798</v>
      </c>
      <c r="AC2181" s="394">
        <v>8.9585500000000007</v>
      </c>
      <c r="AD2181" s="394"/>
      <c r="AE2181" s="394"/>
      <c r="AF2181" s="394">
        <v>0</v>
      </c>
      <c r="AG2181" s="394">
        <v>0</v>
      </c>
      <c r="AH2181" s="394">
        <v>0.78732999999999997</v>
      </c>
      <c r="AI2181" s="394">
        <v>8.9585500000000007</v>
      </c>
      <c r="AJ2181" s="394"/>
      <c r="AK2181" s="381" t="s">
        <v>167</v>
      </c>
      <c r="AL2181" s="408" t="s">
        <v>175</v>
      </c>
      <c r="AM2181" s="385"/>
      <c r="AN2181" s="475">
        <v>968</v>
      </c>
      <c r="AO2181" s="395"/>
      <c r="AP2181" s="395">
        <f t="shared" si="1037"/>
        <v>14.205220000000001</v>
      </c>
      <c r="AQ2181" s="393"/>
      <c r="AR2181" s="523"/>
      <c r="AS2181" s="497"/>
      <c r="AT2181" s="573"/>
      <c r="AU2181" s="394"/>
      <c r="AV2181" s="394"/>
      <c r="AW2181" s="394"/>
      <c r="AX2181" s="394"/>
      <c r="AY2181" s="394"/>
      <c r="AZ2181" s="394"/>
      <c r="BA2181" s="394"/>
      <c r="BB2181" s="394"/>
      <c r="BC2181" s="394"/>
      <c r="BD2181" s="381"/>
      <c r="BE2181" s="408"/>
      <c r="BF2181" s="385"/>
      <c r="BG2181" s="475"/>
      <c r="BH2181" s="395"/>
      <c r="BI2181" s="395" t="e">
        <f t="shared" si="1038"/>
        <v>#DIV/0!</v>
      </c>
    </row>
    <row r="2182" spans="1:61" s="358" customFormat="1" ht="19.2" x14ac:dyDescent="0.3">
      <c r="A2182" s="359" t="s">
        <v>372</v>
      </c>
      <c r="B2182" s="572" t="s">
        <v>1414</v>
      </c>
      <c r="C2182" s="546" t="s">
        <v>2284</v>
      </c>
      <c r="D2182" s="360">
        <v>0.4</v>
      </c>
      <c r="E2182" s="393"/>
      <c r="F2182" s="523"/>
      <c r="G2182" s="393"/>
      <c r="H2182" s="573"/>
      <c r="I2182" s="394"/>
      <c r="J2182" s="394"/>
      <c r="K2182" s="394"/>
      <c r="L2182" s="394"/>
      <c r="M2182" s="394"/>
      <c r="N2182" s="394"/>
      <c r="O2182" s="394"/>
      <c r="P2182" s="394"/>
      <c r="Q2182" s="394"/>
      <c r="R2182" s="381"/>
      <c r="S2182" s="408"/>
      <c r="T2182" s="385"/>
      <c r="U2182" s="475"/>
      <c r="V2182" s="395"/>
      <c r="W2182" s="395"/>
      <c r="X2182" s="393"/>
      <c r="Y2182" s="523">
        <v>1</v>
      </c>
      <c r="Z2182" s="497"/>
      <c r="AA2182" s="573">
        <v>14.30918</v>
      </c>
      <c r="AB2182" s="394">
        <v>10.931940000000001</v>
      </c>
      <c r="AC2182" s="394">
        <v>8.95852</v>
      </c>
      <c r="AD2182" s="394"/>
      <c r="AE2182" s="394"/>
      <c r="AF2182" s="394">
        <v>0</v>
      </c>
      <c r="AG2182" s="394">
        <v>0</v>
      </c>
      <c r="AH2182" s="394">
        <v>0.78732999999999997</v>
      </c>
      <c r="AI2182" s="394">
        <v>8.95852</v>
      </c>
      <c r="AJ2182" s="394"/>
      <c r="AK2182" s="381" t="s">
        <v>167</v>
      </c>
      <c r="AL2182" s="408" t="s">
        <v>175</v>
      </c>
      <c r="AM2182" s="385"/>
      <c r="AN2182" s="475">
        <v>969</v>
      </c>
      <c r="AO2182" s="395"/>
      <c r="AP2182" s="395">
        <f t="shared" si="1037"/>
        <v>14.30918</v>
      </c>
      <c r="AQ2182" s="393"/>
      <c r="AR2182" s="523"/>
      <c r="AS2182" s="497"/>
      <c r="AT2182" s="573"/>
      <c r="AU2182" s="394"/>
      <c r="AV2182" s="394"/>
      <c r="AW2182" s="394"/>
      <c r="AX2182" s="394"/>
      <c r="AY2182" s="394"/>
      <c r="AZ2182" s="394"/>
      <c r="BA2182" s="394"/>
      <c r="BB2182" s="394"/>
      <c r="BC2182" s="394"/>
      <c r="BD2182" s="381"/>
      <c r="BE2182" s="408"/>
      <c r="BF2182" s="385"/>
      <c r="BG2182" s="475"/>
      <c r="BH2182" s="395"/>
      <c r="BI2182" s="395" t="e">
        <f t="shared" si="1038"/>
        <v>#DIV/0!</v>
      </c>
    </row>
    <row r="2183" spans="1:61" s="358" customFormat="1" ht="19.2" x14ac:dyDescent="0.3">
      <c r="A2183" s="359" t="s">
        <v>373</v>
      </c>
      <c r="B2183" s="572" t="s">
        <v>1414</v>
      </c>
      <c r="C2183" s="546" t="s">
        <v>3018</v>
      </c>
      <c r="D2183" s="360">
        <v>0.4</v>
      </c>
      <c r="E2183" s="393"/>
      <c r="F2183" s="523"/>
      <c r="G2183" s="393"/>
      <c r="H2183" s="573"/>
      <c r="I2183" s="394"/>
      <c r="J2183" s="394"/>
      <c r="K2183" s="394"/>
      <c r="L2183" s="394"/>
      <c r="M2183" s="394"/>
      <c r="N2183" s="394"/>
      <c r="O2183" s="394"/>
      <c r="P2183" s="394"/>
      <c r="Q2183" s="394"/>
      <c r="R2183" s="381"/>
      <c r="S2183" s="408"/>
      <c r="T2183" s="385"/>
      <c r="U2183" s="475"/>
      <c r="V2183" s="395"/>
      <c r="W2183" s="395"/>
      <c r="X2183" s="393"/>
      <c r="Y2183" s="523">
        <v>1</v>
      </c>
      <c r="Z2183" s="497"/>
      <c r="AA2183" s="573">
        <v>14.30918</v>
      </c>
      <c r="AB2183" s="394">
        <v>10.931940000000001</v>
      </c>
      <c r="AC2183" s="394">
        <v>8.95852</v>
      </c>
      <c r="AD2183" s="394"/>
      <c r="AE2183" s="394"/>
      <c r="AF2183" s="394">
        <v>0</v>
      </c>
      <c r="AG2183" s="394">
        <v>0</v>
      </c>
      <c r="AH2183" s="394">
        <v>0.78732999999999997</v>
      </c>
      <c r="AI2183" s="394">
        <v>8.95852</v>
      </c>
      <c r="AJ2183" s="394"/>
      <c r="AK2183" s="381" t="s">
        <v>167</v>
      </c>
      <c r="AL2183" s="408" t="s">
        <v>175</v>
      </c>
      <c r="AM2183" s="385"/>
      <c r="AN2183" s="475">
        <v>970</v>
      </c>
      <c r="AO2183" s="395"/>
      <c r="AP2183" s="395">
        <f t="shared" ref="AP2183:AP2245" si="1039">AA2183/Y2183</f>
        <v>14.30918</v>
      </c>
      <c r="AQ2183" s="393"/>
      <c r="AR2183" s="523"/>
      <c r="AS2183" s="497"/>
      <c r="AT2183" s="573"/>
      <c r="AU2183" s="394"/>
      <c r="AV2183" s="394"/>
      <c r="AW2183" s="394"/>
      <c r="AX2183" s="394"/>
      <c r="AY2183" s="394"/>
      <c r="AZ2183" s="394"/>
      <c r="BA2183" s="394"/>
      <c r="BB2183" s="394"/>
      <c r="BC2183" s="394"/>
      <c r="BD2183" s="381"/>
      <c r="BE2183" s="408"/>
      <c r="BF2183" s="385"/>
      <c r="BG2183" s="475"/>
      <c r="BH2183" s="395"/>
      <c r="BI2183" s="395" t="e">
        <f t="shared" si="1038"/>
        <v>#DIV/0!</v>
      </c>
    </row>
    <row r="2184" spans="1:61" s="358" customFormat="1" ht="19.2" x14ac:dyDescent="0.3">
      <c r="A2184" s="359" t="s">
        <v>374</v>
      </c>
      <c r="B2184" s="572" t="s">
        <v>1414</v>
      </c>
      <c r="C2184" s="546" t="s">
        <v>2287</v>
      </c>
      <c r="D2184" s="360">
        <v>0.4</v>
      </c>
      <c r="E2184" s="393"/>
      <c r="F2184" s="523"/>
      <c r="G2184" s="393"/>
      <c r="H2184" s="573"/>
      <c r="I2184" s="394"/>
      <c r="J2184" s="394"/>
      <c r="K2184" s="394"/>
      <c r="L2184" s="394"/>
      <c r="M2184" s="394"/>
      <c r="N2184" s="394"/>
      <c r="O2184" s="394"/>
      <c r="P2184" s="394"/>
      <c r="Q2184" s="394"/>
      <c r="R2184" s="381"/>
      <c r="S2184" s="408"/>
      <c r="T2184" s="385"/>
      <c r="U2184" s="475"/>
      <c r="V2184" s="395"/>
      <c r="W2184" s="395"/>
      <c r="X2184" s="393"/>
      <c r="Y2184" s="523">
        <v>1</v>
      </c>
      <c r="Z2184" s="497"/>
      <c r="AA2184" s="573">
        <v>14.30917</v>
      </c>
      <c r="AB2184" s="394">
        <v>10.931929999999999</v>
      </c>
      <c r="AC2184" s="394">
        <v>8.95852</v>
      </c>
      <c r="AD2184" s="394"/>
      <c r="AE2184" s="394"/>
      <c r="AF2184" s="394">
        <v>0</v>
      </c>
      <c r="AG2184" s="394">
        <v>0</v>
      </c>
      <c r="AH2184" s="394">
        <v>0.78732999999999997</v>
      </c>
      <c r="AI2184" s="394">
        <v>8.95852</v>
      </c>
      <c r="AJ2184" s="394"/>
      <c r="AK2184" s="381" t="s">
        <v>167</v>
      </c>
      <c r="AL2184" s="408" t="s">
        <v>175</v>
      </c>
      <c r="AM2184" s="385"/>
      <c r="AN2184" s="475">
        <v>971</v>
      </c>
      <c r="AO2184" s="395"/>
      <c r="AP2184" s="395">
        <f t="shared" si="1039"/>
        <v>14.30917</v>
      </c>
      <c r="AQ2184" s="393"/>
      <c r="AR2184" s="523"/>
      <c r="AS2184" s="497"/>
      <c r="AT2184" s="573"/>
      <c r="AU2184" s="394"/>
      <c r="AV2184" s="394"/>
      <c r="AW2184" s="394"/>
      <c r="AX2184" s="394"/>
      <c r="AY2184" s="394"/>
      <c r="AZ2184" s="394"/>
      <c r="BA2184" s="394"/>
      <c r="BB2184" s="394"/>
      <c r="BC2184" s="394"/>
      <c r="BD2184" s="381"/>
      <c r="BE2184" s="408"/>
      <c r="BF2184" s="385"/>
      <c r="BG2184" s="475"/>
      <c r="BH2184" s="395"/>
      <c r="BI2184" s="395" t="e">
        <f t="shared" si="1038"/>
        <v>#DIV/0!</v>
      </c>
    </row>
    <row r="2185" spans="1:61" s="358" customFormat="1" ht="19.2" x14ac:dyDescent="0.3">
      <c r="A2185" s="359" t="s">
        <v>375</v>
      </c>
      <c r="B2185" s="572" t="s">
        <v>1414</v>
      </c>
      <c r="C2185" s="546" t="s">
        <v>2286</v>
      </c>
      <c r="D2185" s="360">
        <v>0.4</v>
      </c>
      <c r="E2185" s="393"/>
      <c r="F2185" s="523"/>
      <c r="G2185" s="393"/>
      <c r="H2185" s="573"/>
      <c r="I2185" s="394"/>
      <c r="J2185" s="394"/>
      <c r="K2185" s="394"/>
      <c r="L2185" s="394"/>
      <c r="M2185" s="394"/>
      <c r="N2185" s="394"/>
      <c r="O2185" s="394"/>
      <c r="P2185" s="394"/>
      <c r="Q2185" s="394"/>
      <c r="R2185" s="381"/>
      <c r="S2185" s="408"/>
      <c r="T2185" s="385"/>
      <c r="U2185" s="475"/>
      <c r="V2185" s="395"/>
      <c r="W2185" s="395"/>
      <c r="X2185" s="393"/>
      <c r="Y2185" s="523">
        <v>1</v>
      </c>
      <c r="Z2185" s="497"/>
      <c r="AA2185" s="573">
        <v>12.373810000000001</v>
      </c>
      <c r="AB2185" s="394">
        <v>10.459530000000001</v>
      </c>
      <c r="AC2185" s="394">
        <v>8.9390300000000007</v>
      </c>
      <c r="AD2185" s="394"/>
      <c r="AE2185" s="394"/>
      <c r="AF2185" s="394">
        <v>0</v>
      </c>
      <c r="AG2185" s="394">
        <v>0</v>
      </c>
      <c r="AH2185" s="394">
        <v>0.44627</v>
      </c>
      <c r="AI2185" s="394">
        <v>8.9390300000000007</v>
      </c>
      <c r="AJ2185" s="394"/>
      <c r="AK2185" s="381" t="s">
        <v>167</v>
      </c>
      <c r="AL2185" s="408" t="s">
        <v>175</v>
      </c>
      <c r="AM2185" s="385"/>
      <c r="AN2185" s="475">
        <v>972</v>
      </c>
      <c r="AO2185" s="395"/>
      <c r="AP2185" s="395">
        <f t="shared" si="1039"/>
        <v>12.373810000000001</v>
      </c>
      <c r="AQ2185" s="393"/>
      <c r="AR2185" s="523"/>
      <c r="AS2185" s="497"/>
      <c r="AT2185" s="573"/>
      <c r="AU2185" s="394"/>
      <c r="AV2185" s="394"/>
      <c r="AW2185" s="394"/>
      <c r="AX2185" s="394"/>
      <c r="AY2185" s="394"/>
      <c r="AZ2185" s="394"/>
      <c r="BA2185" s="394"/>
      <c r="BB2185" s="394"/>
      <c r="BC2185" s="394"/>
      <c r="BD2185" s="381"/>
      <c r="BE2185" s="408"/>
      <c r="BF2185" s="385"/>
      <c r="BG2185" s="475"/>
      <c r="BH2185" s="395"/>
      <c r="BI2185" s="395" t="e">
        <f t="shared" si="1038"/>
        <v>#DIV/0!</v>
      </c>
    </row>
    <row r="2186" spans="1:61" s="358" customFormat="1" ht="19.2" x14ac:dyDescent="0.3">
      <c r="A2186" s="359" t="s">
        <v>376</v>
      </c>
      <c r="B2186" s="572" t="s">
        <v>1414</v>
      </c>
      <c r="C2186" s="546" t="s">
        <v>2285</v>
      </c>
      <c r="D2186" s="360">
        <v>0.4</v>
      </c>
      <c r="E2186" s="393"/>
      <c r="F2186" s="523"/>
      <c r="G2186" s="393"/>
      <c r="H2186" s="573"/>
      <c r="I2186" s="394"/>
      <c r="J2186" s="394"/>
      <c r="K2186" s="394"/>
      <c r="L2186" s="394"/>
      <c r="M2186" s="394"/>
      <c r="N2186" s="394"/>
      <c r="O2186" s="394"/>
      <c r="P2186" s="394"/>
      <c r="Q2186" s="394"/>
      <c r="R2186" s="381"/>
      <c r="S2186" s="408"/>
      <c r="T2186" s="385"/>
      <c r="U2186" s="475"/>
      <c r="V2186" s="395"/>
      <c r="W2186" s="395"/>
      <c r="X2186" s="393"/>
      <c r="Y2186" s="523">
        <v>1</v>
      </c>
      <c r="Z2186" s="497"/>
      <c r="AA2186" s="573">
        <v>14.309189999999999</v>
      </c>
      <c r="AB2186" s="394">
        <v>10.931950000000001</v>
      </c>
      <c r="AC2186" s="394">
        <v>8.95852</v>
      </c>
      <c r="AD2186" s="394"/>
      <c r="AE2186" s="394"/>
      <c r="AF2186" s="394">
        <v>0</v>
      </c>
      <c r="AG2186" s="394">
        <v>0</v>
      </c>
      <c r="AH2186" s="394">
        <v>0.78732999999999997</v>
      </c>
      <c r="AI2186" s="394">
        <v>8.95852</v>
      </c>
      <c r="AJ2186" s="394"/>
      <c r="AK2186" s="381" t="s">
        <v>167</v>
      </c>
      <c r="AL2186" s="408" t="s">
        <v>175</v>
      </c>
      <c r="AM2186" s="385"/>
      <c r="AN2186" s="475">
        <v>973</v>
      </c>
      <c r="AO2186" s="395"/>
      <c r="AP2186" s="395">
        <f t="shared" si="1039"/>
        <v>14.309189999999999</v>
      </c>
      <c r="AQ2186" s="393"/>
      <c r="AR2186" s="523"/>
      <c r="AS2186" s="497"/>
      <c r="AT2186" s="573"/>
      <c r="AU2186" s="394"/>
      <c r="AV2186" s="394"/>
      <c r="AW2186" s="394"/>
      <c r="AX2186" s="394"/>
      <c r="AY2186" s="394"/>
      <c r="AZ2186" s="394"/>
      <c r="BA2186" s="394"/>
      <c r="BB2186" s="394"/>
      <c r="BC2186" s="394"/>
      <c r="BD2186" s="381"/>
      <c r="BE2186" s="408"/>
      <c r="BF2186" s="385"/>
      <c r="BG2186" s="475"/>
      <c r="BH2186" s="395"/>
      <c r="BI2186" s="395" t="e">
        <f t="shared" si="1038"/>
        <v>#DIV/0!</v>
      </c>
    </row>
    <row r="2187" spans="1:61" s="358" customFormat="1" ht="19.2" x14ac:dyDescent="0.3">
      <c r="A2187" s="359" t="s">
        <v>393</v>
      </c>
      <c r="B2187" s="572" t="s">
        <v>3916</v>
      </c>
      <c r="C2187" s="546" t="s">
        <v>3019</v>
      </c>
      <c r="D2187" s="360">
        <v>0.4</v>
      </c>
      <c r="E2187" s="393"/>
      <c r="F2187" s="523"/>
      <c r="G2187" s="393"/>
      <c r="H2187" s="573"/>
      <c r="I2187" s="394"/>
      <c r="J2187" s="394"/>
      <c r="K2187" s="394"/>
      <c r="L2187" s="394"/>
      <c r="M2187" s="394"/>
      <c r="N2187" s="394"/>
      <c r="O2187" s="394"/>
      <c r="P2187" s="394"/>
      <c r="Q2187" s="394"/>
      <c r="R2187" s="381"/>
      <c r="S2187" s="408"/>
      <c r="T2187" s="385"/>
      <c r="U2187" s="475"/>
      <c r="V2187" s="395"/>
      <c r="W2187" s="395"/>
      <c r="X2187" s="393"/>
      <c r="Y2187" s="523">
        <v>1</v>
      </c>
      <c r="Z2187" s="497"/>
      <c r="AA2187" s="573">
        <v>15.690480000000001</v>
      </c>
      <c r="AB2187" s="394">
        <v>13.776199999999999</v>
      </c>
      <c r="AC2187" s="394">
        <v>12.00836</v>
      </c>
      <c r="AD2187" s="394"/>
      <c r="AE2187" s="394"/>
      <c r="AF2187" s="394">
        <v>0</v>
      </c>
      <c r="AG2187" s="394">
        <v>0</v>
      </c>
      <c r="AH2187" s="394">
        <v>0.44627</v>
      </c>
      <c r="AI2187" s="394">
        <v>12.00836</v>
      </c>
      <c r="AJ2187" s="394"/>
      <c r="AK2187" s="381" t="s">
        <v>167</v>
      </c>
      <c r="AL2187" s="408" t="s">
        <v>175</v>
      </c>
      <c r="AM2187" s="385"/>
      <c r="AN2187" s="475">
        <v>974</v>
      </c>
      <c r="AO2187" s="395"/>
      <c r="AP2187" s="395">
        <f t="shared" si="1039"/>
        <v>15.690480000000001</v>
      </c>
      <c r="AQ2187" s="393"/>
      <c r="AR2187" s="523"/>
      <c r="AS2187" s="497"/>
      <c r="AT2187" s="573"/>
      <c r="AU2187" s="394"/>
      <c r="AV2187" s="394"/>
      <c r="AW2187" s="394"/>
      <c r="AX2187" s="394"/>
      <c r="AY2187" s="394"/>
      <c r="AZ2187" s="394"/>
      <c r="BA2187" s="394"/>
      <c r="BB2187" s="394"/>
      <c r="BC2187" s="394"/>
      <c r="BD2187" s="381"/>
      <c r="BE2187" s="408"/>
      <c r="BF2187" s="385"/>
      <c r="BG2187" s="475"/>
      <c r="BH2187" s="395"/>
      <c r="BI2187" s="395" t="e">
        <f t="shared" si="1038"/>
        <v>#DIV/0!</v>
      </c>
    </row>
    <row r="2188" spans="1:61" s="358" customFormat="1" ht="19.2" x14ac:dyDescent="0.3">
      <c r="A2188" s="359" t="s">
        <v>378</v>
      </c>
      <c r="B2188" s="572" t="s">
        <v>1414</v>
      </c>
      <c r="C2188" s="546" t="s">
        <v>2283</v>
      </c>
      <c r="D2188" s="360">
        <v>0.4</v>
      </c>
      <c r="E2188" s="393"/>
      <c r="F2188" s="523"/>
      <c r="G2188" s="393"/>
      <c r="H2188" s="573"/>
      <c r="I2188" s="394"/>
      <c r="J2188" s="394"/>
      <c r="K2188" s="394"/>
      <c r="L2188" s="394"/>
      <c r="M2188" s="394"/>
      <c r="N2188" s="394"/>
      <c r="O2188" s="394"/>
      <c r="P2188" s="394"/>
      <c r="Q2188" s="394"/>
      <c r="R2188" s="381"/>
      <c r="S2188" s="408"/>
      <c r="T2188" s="385"/>
      <c r="U2188" s="475"/>
      <c r="V2188" s="395"/>
      <c r="W2188" s="395"/>
      <c r="X2188" s="393"/>
      <c r="Y2188" s="523">
        <v>1</v>
      </c>
      <c r="Z2188" s="497"/>
      <c r="AA2188" s="573">
        <v>14.30918</v>
      </c>
      <c r="AB2188" s="394">
        <v>10.931940000000001</v>
      </c>
      <c r="AC2188" s="394">
        <v>8.95852</v>
      </c>
      <c r="AD2188" s="394"/>
      <c r="AE2188" s="394"/>
      <c r="AF2188" s="394">
        <v>0</v>
      </c>
      <c r="AG2188" s="394">
        <v>0</v>
      </c>
      <c r="AH2188" s="394">
        <v>0.78732999999999997</v>
      </c>
      <c r="AI2188" s="394">
        <v>8.95852</v>
      </c>
      <c r="AJ2188" s="394"/>
      <c r="AK2188" s="381" t="s">
        <v>167</v>
      </c>
      <c r="AL2188" s="408" t="s">
        <v>175</v>
      </c>
      <c r="AM2188" s="385"/>
      <c r="AN2188" s="475">
        <v>975</v>
      </c>
      <c r="AO2188" s="395"/>
      <c r="AP2188" s="395">
        <f t="shared" si="1039"/>
        <v>14.30918</v>
      </c>
      <c r="AQ2188" s="393"/>
      <c r="AR2188" s="523"/>
      <c r="AS2188" s="497"/>
      <c r="AT2188" s="573"/>
      <c r="AU2188" s="394"/>
      <c r="AV2188" s="394"/>
      <c r="AW2188" s="394"/>
      <c r="AX2188" s="394"/>
      <c r="AY2188" s="394"/>
      <c r="AZ2188" s="394"/>
      <c r="BA2188" s="394"/>
      <c r="BB2188" s="394"/>
      <c r="BC2188" s="394"/>
      <c r="BD2188" s="381"/>
      <c r="BE2188" s="408"/>
      <c r="BF2188" s="385"/>
      <c r="BG2188" s="475"/>
      <c r="BH2188" s="395"/>
      <c r="BI2188" s="395" t="e">
        <f t="shared" si="1038"/>
        <v>#DIV/0!</v>
      </c>
    </row>
    <row r="2189" spans="1:61" s="358" customFormat="1" ht="19.2" x14ac:dyDescent="0.3">
      <c r="A2189" s="359" t="s">
        <v>379</v>
      </c>
      <c r="B2189" s="572" t="s">
        <v>3917</v>
      </c>
      <c r="C2189" s="546" t="s">
        <v>3020</v>
      </c>
      <c r="D2189" s="360">
        <v>0.4</v>
      </c>
      <c r="E2189" s="393"/>
      <c r="F2189" s="523"/>
      <c r="G2189" s="393"/>
      <c r="H2189" s="573"/>
      <c r="I2189" s="394"/>
      <c r="J2189" s="394"/>
      <c r="K2189" s="394"/>
      <c r="L2189" s="394"/>
      <c r="M2189" s="394"/>
      <c r="N2189" s="394"/>
      <c r="O2189" s="394"/>
      <c r="P2189" s="394"/>
      <c r="Q2189" s="394"/>
      <c r="R2189" s="381"/>
      <c r="S2189" s="408"/>
      <c r="T2189" s="385"/>
      <c r="U2189" s="475"/>
      <c r="V2189" s="395"/>
      <c r="W2189" s="395"/>
      <c r="X2189" s="393"/>
      <c r="Y2189" s="523">
        <v>1</v>
      </c>
      <c r="Z2189" s="497"/>
      <c r="AA2189" s="573">
        <v>14.309150000000001</v>
      </c>
      <c r="AB2189" s="394">
        <v>10.93191</v>
      </c>
      <c r="AC2189" s="394">
        <v>8.95852</v>
      </c>
      <c r="AD2189" s="394"/>
      <c r="AE2189" s="394"/>
      <c r="AF2189" s="394">
        <v>0</v>
      </c>
      <c r="AG2189" s="394">
        <v>0</v>
      </c>
      <c r="AH2189" s="394">
        <v>0.78732999999999997</v>
      </c>
      <c r="AI2189" s="394">
        <v>8.95852</v>
      </c>
      <c r="AJ2189" s="394"/>
      <c r="AK2189" s="381" t="s">
        <v>167</v>
      </c>
      <c r="AL2189" s="408" t="s">
        <v>175</v>
      </c>
      <c r="AM2189" s="385"/>
      <c r="AN2189" s="475">
        <v>976</v>
      </c>
      <c r="AO2189" s="395"/>
      <c r="AP2189" s="395">
        <f t="shared" si="1039"/>
        <v>14.309150000000001</v>
      </c>
      <c r="AQ2189" s="393"/>
      <c r="AR2189" s="523"/>
      <c r="AS2189" s="497"/>
      <c r="AT2189" s="573"/>
      <c r="AU2189" s="394"/>
      <c r="AV2189" s="394"/>
      <c r="AW2189" s="394"/>
      <c r="AX2189" s="394"/>
      <c r="AY2189" s="394"/>
      <c r="AZ2189" s="394"/>
      <c r="BA2189" s="394"/>
      <c r="BB2189" s="394"/>
      <c r="BC2189" s="394"/>
      <c r="BD2189" s="381"/>
      <c r="BE2189" s="408"/>
      <c r="BF2189" s="385"/>
      <c r="BG2189" s="475"/>
      <c r="BH2189" s="395"/>
      <c r="BI2189" s="395" t="e">
        <f t="shared" si="1038"/>
        <v>#DIV/0!</v>
      </c>
    </row>
    <row r="2190" spans="1:61" s="358" customFormat="1" ht="19.2" x14ac:dyDescent="0.3">
      <c r="A2190" s="359" t="s">
        <v>380</v>
      </c>
      <c r="B2190" s="572" t="s">
        <v>1445</v>
      </c>
      <c r="C2190" s="546" t="s">
        <v>3021</v>
      </c>
      <c r="D2190" s="360">
        <v>0.4</v>
      </c>
      <c r="E2190" s="393"/>
      <c r="F2190" s="523"/>
      <c r="G2190" s="393"/>
      <c r="H2190" s="573"/>
      <c r="I2190" s="394"/>
      <c r="J2190" s="394"/>
      <c r="K2190" s="394"/>
      <c r="L2190" s="394"/>
      <c r="M2190" s="394"/>
      <c r="N2190" s="394"/>
      <c r="O2190" s="394"/>
      <c r="P2190" s="394"/>
      <c r="Q2190" s="394"/>
      <c r="R2190" s="381"/>
      <c r="S2190" s="408"/>
      <c r="T2190" s="385"/>
      <c r="U2190" s="475"/>
      <c r="V2190" s="395"/>
      <c r="W2190" s="395"/>
      <c r="X2190" s="393"/>
      <c r="Y2190" s="523">
        <v>1</v>
      </c>
      <c r="Z2190" s="497"/>
      <c r="AA2190" s="573">
        <v>15.69051</v>
      </c>
      <c r="AB2190" s="394">
        <v>13.77623</v>
      </c>
      <c r="AC2190" s="394">
        <v>12.00836</v>
      </c>
      <c r="AD2190" s="394"/>
      <c r="AE2190" s="394"/>
      <c r="AF2190" s="394">
        <v>0</v>
      </c>
      <c r="AG2190" s="394">
        <v>0</v>
      </c>
      <c r="AH2190" s="394">
        <v>0.44627</v>
      </c>
      <c r="AI2190" s="394">
        <v>12.00836</v>
      </c>
      <c r="AJ2190" s="394"/>
      <c r="AK2190" s="381" t="s">
        <v>167</v>
      </c>
      <c r="AL2190" s="408" t="s">
        <v>175</v>
      </c>
      <c r="AM2190" s="385"/>
      <c r="AN2190" s="475">
        <v>977</v>
      </c>
      <c r="AO2190" s="395"/>
      <c r="AP2190" s="395">
        <f t="shared" si="1039"/>
        <v>15.69051</v>
      </c>
      <c r="AQ2190" s="393"/>
      <c r="AR2190" s="523"/>
      <c r="AS2190" s="497"/>
      <c r="AT2190" s="573"/>
      <c r="AU2190" s="394"/>
      <c r="AV2190" s="394"/>
      <c r="AW2190" s="394"/>
      <c r="AX2190" s="394"/>
      <c r="AY2190" s="394"/>
      <c r="AZ2190" s="394"/>
      <c r="BA2190" s="394"/>
      <c r="BB2190" s="394"/>
      <c r="BC2190" s="394"/>
      <c r="BD2190" s="381"/>
      <c r="BE2190" s="408"/>
      <c r="BF2190" s="385"/>
      <c r="BG2190" s="475"/>
      <c r="BH2190" s="395"/>
      <c r="BI2190" s="395" t="e">
        <f t="shared" si="1038"/>
        <v>#DIV/0!</v>
      </c>
    </row>
    <row r="2191" spans="1:61" s="358" customFormat="1" ht="19.2" x14ac:dyDescent="0.3">
      <c r="A2191" s="359" t="s">
        <v>397</v>
      </c>
      <c r="B2191" s="572" t="s">
        <v>3918</v>
      </c>
      <c r="C2191" s="546" t="s">
        <v>3022</v>
      </c>
      <c r="D2191" s="360">
        <v>0.4</v>
      </c>
      <c r="E2191" s="393"/>
      <c r="F2191" s="523"/>
      <c r="G2191" s="393"/>
      <c r="H2191" s="573"/>
      <c r="I2191" s="394"/>
      <c r="J2191" s="394"/>
      <c r="K2191" s="394"/>
      <c r="L2191" s="394"/>
      <c r="M2191" s="394"/>
      <c r="N2191" s="394"/>
      <c r="O2191" s="394"/>
      <c r="P2191" s="394"/>
      <c r="Q2191" s="394"/>
      <c r="R2191" s="381"/>
      <c r="S2191" s="408"/>
      <c r="T2191" s="385"/>
      <c r="U2191" s="475"/>
      <c r="V2191" s="395"/>
      <c r="W2191" s="395"/>
      <c r="X2191" s="393"/>
      <c r="Y2191" s="523">
        <v>1</v>
      </c>
      <c r="Z2191" s="497"/>
      <c r="AA2191" s="573">
        <v>15.69049</v>
      </c>
      <c r="AB2191" s="394">
        <v>13.776300000000001</v>
      </c>
      <c r="AC2191" s="394">
        <v>12.00836</v>
      </c>
      <c r="AD2191" s="394"/>
      <c r="AE2191" s="394"/>
      <c r="AF2191" s="394">
        <v>0</v>
      </c>
      <c r="AG2191" s="394">
        <v>0</v>
      </c>
      <c r="AH2191" s="394">
        <v>0.44627</v>
      </c>
      <c r="AI2191" s="394">
        <v>12.00836</v>
      </c>
      <c r="AJ2191" s="394"/>
      <c r="AK2191" s="381" t="s">
        <v>167</v>
      </c>
      <c r="AL2191" s="408" t="s">
        <v>175</v>
      </c>
      <c r="AM2191" s="385"/>
      <c r="AN2191" s="475">
        <v>978</v>
      </c>
      <c r="AO2191" s="395"/>
      <c r="AP2191" s="395">
        <f t="shared" si="1039"/>
        <v>15.69049</v>
      </c>
      <c r="AQ2191" s="393"/>
      <c r="AR2191" s="523"/>
      <c r="AS2191" s="497"/>
      <c r="AT2191" s="573"/>
      <c r="AU2191" s="394"/>
      <c r="AV2191" s="394"/>
      <c r="AW2191" s="394"/>
      <c r="AX2191" s="394"/>
      <c r="AY2191" s="394"/>
      <c r="AZ2191" s="394"/>
      <c r="BA2191" s="394"/>
      <c r="BB2191" s="394"/>
      <c r="BC2191" s="394"/>
      <c r="BD2191" s="381"/>
      <c r="BE2191" s="408"/>
      <c r="BF2191" s="385"/>
      <c r="BG2191" s="475"/>
      <c r="BH2191" s="395"/>
      <c r="BI2191" s="395" t="e">
        <f t="shared" si="1038"/>
        <v>#DIV/0!</v>
      </c>
    </row>
    <row r="2192" spans="1:61" s="358" customFormat="1" ht="19.2" x14ac:dyDescent="0.3">
      <c r="A2192" s="359" t="s">
        <v>382</v>
      </c>
      <c r="B2192" s="572" t="s">
        <v>3919</v>
      </c>
      <c r="C2192" s="546" t="s">
        <v>3023</v>
      </c>
      <c r="D2192" s="360">
        <v>0.4</v>
      </c>
      <c r="E2192" s="393"/>
      <c r="F2192" s="523"/>
      <c r="G2192" s="393"/>
      <c r="H2192" s="573"/>
      <c r="I2192" s="394"/>
      <c r="J2192" s="394"/>
      <c r="K2192" s="394"/>
      <c r="L2192" s="394"/>
      <c r="M2192" s="394"/>
      <c r="N2192" s="394"/>
      <c r="O2192" s="394"/>
      <c r="P2192" s="394"/>
      <c r="Q2192" s="394"/>
      <c r="R2192" s="381"/>
      <c r="S2192" s="408"/>
      <c r="T2192" s="385"/>
      <c r="U2192" s="475"/>
      <c r="V2192" s="395"/>
      <c r="W2192" s="395"/>
      <c r="X2192" s="393"/>
      <c r="Y2192" s="523">
        <v>1</v>
      </c>
      <c r="Z2192" s="497"/>
      <c r="AA2192" s="573">
        <v>15.48593</v>
      </c>
      <c r="AB2192" s="394">
        <v>13.57165</v>
      </c>
      <c r="AC2192" s="394">
        <v>12.00835</v>
      </c>
      <c r="AD2192" s="394"/>
      <c r="AE2192" s="394"/>
      <c r="AF2192" s="394">
        <v>0</v>
      </c>
      <c r="AG2192" s="394">
        <v>0</v>
      </c>
      <c r="AH2192" s="394">
        <v>0.44627</v>
      </c>
      <c r="AI2192" s="394">
        <v>12.00835</v>
      </c>
      <c r="AJ2192" s="394"/>
      <c r="AK2192" s="381" t="s">
        <v>167</v>
      </c>
      <c r="AL2192" s="408" t="s">
        <v>175</v>
      </c>
      <c r="AM2192" s="385"/>
      <c r="AN2192" s="475">
        <v>979</v>
      </c>
      <c r="AO2192" s="395"/>
      <c r="AP2192" s="395">
        <f t="shared" si="1039"/>
        <v>15.48593</v>
      </c>
      <c r="AQ2192" s="393"/>
      <c r="AR2192" s="523"/>
      <c r="AS2192" s="497"/>
      <c r="AT2192" s="573"/>
      <c r="AU2192" s="394"/>
      <c r="AV2192" s="394"/>
      <c r="AW2192" s="394"/>
      <c r="AX2192" s="394"/>
      <c r="AY2192" s="394"/>
      <c r="AZ2192" s="394"/>
      <c r="BA2192" s="394"/>
      <c r="BB2192" s="394"/>
      <c r="BC2192" s="394"/>
      <c r="BD2192" s="381"/>
      <c r="BE2192" s="408"/>
      <c r="BF2192" s="385"/>
      <c r="BG2192" s="475"/>
      <c r="BH2192" s="395"/>
      <c r="BI2192" s="395" t="e">
        <f t="shared" si="1038"/>
        <v>#DIV/0!</v>
      </c>
    </row>
    <row r="2193" spans="1:61" s="358" customFormat="1" ht="19.2" x14ac:dyDescent="0.3">
      <c r="A2193" s="359" t="s">
        <v>383</v>
      </c>
      <c r="B2193" s="572" t="s">
        <v>2380</v>
      </c>
      <c r="C2193" s="546" t="s">
        <v>3024</v>
      </c>
      <c r="D2193" s="360">
        <v>0.4</v>
      </c>
      <c r="E2193" s="393"/>
      <c r="F2193" s="523"/>
      <c r="G2193" s="393"/>
      <c r="H2193" s="573"/>
      <c r="I2193" s="394"/>
      <c r="J2193" s="394"/>
      <c r="K2193" s="394"/>
      <c r="L2193" s="394"/>
      <c r="M2193" s="394"/>
      <c r="N2193" s="394"/>
      <c r="O2193" s="394"/>
      <c r="P2193" s="394"/>
      <c r="Q2193" s="394"/>
      <c r="R2193" s="381"/>
      <c r="S2193" s="408"/>
      <c r="T2193" s="385"/>
      <c r="U2193" s="475"/>
      <c r="V2193" s="395"/>
      <c r="W2193" s="395"/>
      <c r="X2193" s="393"/>
      <c r="Y2193" s="523">
        <v>1</v>
      </c>
      <c r="Z2193" s="497"/>
      <c r="AA2193" s="573">
        <v>15.69049</v>
      </c>
      <c r="AB2193" s="394">
        <v>13.776300000000001</v>
      </c>
      <c r="AC2193" s="394">
        <v>12.00836</v>
      </c>
      <c r="AD2193" s="394"/>
      <c r="AE2193" s="394"/>
      <c r="AF2193" s="394">
        <v>0</v>
      </c>
      <c r="AG2193" s="394">
        <v>0</v>
      </c>
      <c r="AH2193" s="394">
        <v>0.44627</v>
      </c>
      <c r="AI2193" s="394">
        <v>12.00836</v>
      </c>
      <c r="AJ2193" s="394"/>
      <c r="AK2193" s="381" t="s">
        <v>167</v>
      </c>
      <c r="AL2193" s="408" t="s">
        <v>175</v>
      </c>
      <c r="AM2193" s="385"/>
      <c r="AN2193" s="475">
        <v>980</v>
      </c>
      <c r="AO2193" s="395"/>
      <c r="AP2193" s="395">
        <f t="shared" si="1039"/>
        <v>15.69049</v>
      </c>
      <c r="AQ2193" s="393"/>
      <c r="AR2193" s="523"/>
      <c r="AS2193" s="497"/>
      <c r="AT2193" s="573"/>
      <c r="AU2193" s="394"/>
      <c r="AV2193" s="394"/>
      <c r="AW2193" s="394"/>
      <c r="AX2193" s="394"/>
      <c r="AY2193" s="394"/>
      <c r="AZ2193" s="394"/>
      <c r="BA2193" s="394"/>
      <c r="BB2193" s="394"/>
      <c r="BC2193" s="394"/>
      <c r="BD2193" s="381"/>
      <c r="BE2193" s="408"/>
      <c r="BF2193" s="385"/>
      <c r="BG2193" s="475"/>
      <c r="BH2193" s="395"/>
      <c r="BI2193" s="395" t="e">
        <f t="shared" si="1038"/>
        <v>#DIV/0!</v>
      </c>
    </row>
    <row r="2194" spans="1:61" s="358" customFormat="1" ht="19.2" x14ac:dyDescent="0.3">
      <c r="A2194" s="359" t="s">
        <v>368</v>
      </c>
      <c r="B2194" s="572" t="s">
        <v>3920</v>
      </c>
      <c r="C2194" s="546" t="s">
        <v>3025</v>
      </c>
      <c r="D2194" s="360">
        <v>0.4</v>
      </c>
      <c r="E2194" s="393"/>
      <c r="F2194" s="523"/>
      <c r="G2194" s="393"/>
      <c r="H2194" s="573"/>
      <c r="I2194" s="394"/>
      <c r="J2194" s="394"/>
      <c r="K2194" s="394"/>
      <c r="L2194" s="394"/>
      <c r="M2194" s="394"/>
      <c r="N2194" s="394"/>
      <c r="O2194" s="394"/>
      <c r="P2194" s="394"/>
      <c r="Q2194" s="394"/>
      <c r="R2194" s="381"/>
      <c r="S2194" s="408"/>
      <c r="T2194" s="385"/>
      <c r="U2194" s="475"/>
      <c r="V2194" s="395"/>
      <c r="W2194" s="395"/>
      <c r="X2194" s="393"/>
      <c r="Y2194" s="523">
        <v>1</v>
      </c>
      <c r="Z2194" s="497"/>
      <c r="AA2194" s="573">
        <v>15.48596</v>
      </c>
      <c r="AB2194" s="394">
        <v>13.571680000000001</v>
      </c>
      <c r="AC2194" s="394">
        <v>12.00835</v>
      </c>
      <c r="AD2194" s="394"/>
      <c r="AE2194" s="394"/>
      <c r="AF2194" s="394">
        <v>0</v>
      </c>
      <c r="AG2194" s="394">
        <v>0</v>
      </c>
      <c r="AH2194" s="394">
        <v>0.44627</v>
      </c>
      <c r="AI2194" s="394">
        <v>12.00835</v>
      </c>
      <c r="AJ2194" s="394"/>
      <c r="AK2194" s="381" t="s">
        <v>167</v>
      </c>
      <c r="AL2194" s="408" t="s">
        <v>175</v>
      </c>
      <c r="AM2194" s="385"/>
      <c r="AN2194" s="475">
        <v>981</v>
      </c>
      <c r="AO2194" s="395"/>
      <c r="AP2194" s="395">
        <f t="shared" si="1039"/>
        <v>15.48596</v>
      </c>
      <c r="AQ2194" s="393"/>
      <c r="AR2194" s="523"/>
      <c r="AS2194" s="497"/>
      <c r="AT2194" s="573"/>
      <c r="AU2194" s="394"/>
      <c r="AV2194" s="394"/>
      <c r="AW2194" s="394"/>
      <c r="AX2194" s="394"/>
      <c r="AY2194" s="394"/>
      <c r="AZ2194" s="394"/>
      <c r="BA2194" s="394"/>
      <c r="BB2194" s="394"/>
      <c r="BC2194" s="394"/>
      <c r="BD2194" s="381"/>
      <c r="BE2194" s="408"/>
      <c r="BF2194" s="385"/>
      <c r="BG2194" s="475"/>
      <c r="BH2194" s="395"/>
      <c r="BI2194" s="395" t="e">
        <f t="shared" si="1038"/>
        <v>#DIV/0!</v>
      </c>
    </row>
    <row r="2195" spans="1:61" s="358" customFormat="1" ht="19.2" x14ac:dyDescent="0.3">
      <c r="A2195" s="359" t="s">
        <v>385</v>
      </c>
      <c r="B2195" s="572" t="s">
        <v>3922</v>
      </c>
      <c r="C2195" s="546" t="s">
        <v>3027</v>
      </c>
      <c r="D2195" s="360">
        <v>0.4</v>
      </c>
      <c r="E2195" s="393"/>
      <c r="F2195" s="523"/>
      <c r="G2195" s="393"/>
      <c r="H2195" s="573"/>
      <c r="I2195" s="394"/>
      <c r="J2195" s="394"/>
      <c r="K2195" s="394"/>
      <c r="L2195" s="394"/>
      <c r="M2195" s="394"/>
      <c r="N2195" s="394"/>
      <c r="O2195" s="394"/>
      <c r="P2195" s="394"/>
      <c r="Q2195" s="394"/>
      <c r="R2195" s="381"/>
      <c r="S2195" s="408"/>
      <c r="T2195" s="385"/>
      <c r="U2195" s="475"/>
      <c r="V2195" s="395"/>
      <c r="W2195" s="395"/>
      <c r="X2195" s="393"/>
      <c r="Y2195" s="523">
        <v>1</v>
      </c>
      <c r="Z2195" s="497"/>
      <c r="AA2195" s="573">
        <v>15.485939999999999</v>
      </c>
      <c r="AB2195" s="394">
        <v>13.57166</v>
      </c>
      <c r="AC2195" s="394">
        <v>12.00835</v>
      </c>
      <c r="AD2195" s="394"/>
      <c r="AE2195" s="394"/>
      <c r="AF2195" s="394">
        <v>0</v>
      </c>
      <c r="AG2195" s="394">
        <v>0</v>
      </c>
      <c r="AH2195" s="394">
        <v>0.44627</v>
      </c>
      <c r="AI2195" s="394">
        <v>12.00835</v>
      </c>
      <c r="AJ2195" s="394"/>
      <c r="AK2195" s="381" t="s">
        <v>167</v>
      </c>
      <c r="AL2195" s="408" t="s">
        <v>175</v>
      </c>
      <c r="AM2195" s="385"/>
      <c r="AN2195" s="475">
        <v>982</v>
      </c>
      <c r="AO2195" s="395"/>
      <c r="AP2195" s="395">
        <f t="shared" si="1039"/>
        <v>15.485939999999999</v>
      </c>
      <c r="AQ2195" s="393"/>
      <c r="AR2195" s="523"/>
      <c r="AS2195" s="497"/>
      <c r="AT2195" s="573"/>
      <c r="AU2195" s="394"/>
      <c r="AV2195" s="394"/>
      <c r="AW2195" s="394"/>
      <c r="AX2195" s="394"/>
      <c r="AY2195" s="394"/>
      <c r="AZ2195" s="394"/>
      <c r="BA2195" s="394"/>
      <c r="BB2195" s="394"/>
      <c r="BC2195" s="394"/>
      <c r="BD2195" s="381"/>
      <c r="BE2195" s="408"/>
      <c r="BF2195" s="385"/>
      <c r="BG2195" s="475"/>
      <c r="BH2195" s="395"/>
      <c r="BI2195" s="395" t="e">
        <f t="shared" si="1038"/>
        <v>#DIV/0!</v>
      </c>
    </row>
    <row r="2196" spans="1:61" s="358" customFormat="1" ht="19.2" x14ac:dyDescent="0.3">
      <c r="A2196" s="359" t="s">
        <v>386</v>
      </c>
      <c r="B2196" s="572" t="s">
        <v>3923</v>
      </c>
      <c r="C2196" s="546" t="s">
        <v>3028</v>
      </c>
      <c r="D2196" s="360">
        <v>0.4</v>
      </c>
      <c r="E2196" s="393"/>
      <c r="F2196" s="523"/>
      <c r="G2196" s="393"/>
      <c r="H2196" s="573"/>
      <c r="I2196" s="394"/>
      <c r="J2196" s="394"/>
      <c r="K2196" s="394"/>
      <c r="L2196" s="394"/>
      <c r="M2196" s="394"/>
      <c r="N2196" s="394"/>
      <c r="O2196" s="394"/>
      <c r="P2196" s="394"/>
      <c r="Q2196" s="394"/>
      <c r="R2196" s="381"/>
      <c r="S2196" s="408"/>
      <c r="T2196" s="385"/>
      <c r="U2196" s="475"/>
      <c r="V2196" s="395"/>
      <c r="W2196" s="395"/>
      <c r="X2196" s="393"/>
      <c r="Y2196" s="523">
        <v>1</v>
      </c>
      <c r="Z2196" s="497"/>
      <c r="AA2196" s="573">
        <v>9.9031599999999997</v>
      </c>
      <c r="AB2196" s="394">
        <v>9.0368999999999993</v>
      </c>
      <c r="AC2196" s="394">
        <v>9.0325699999999998</v>
      </c>
      <c r="AD2196" s="394"/>
      <c r="AE2196" s="394"/>
      <c r="AF2196" s="394">
        <v>0</v>
      </c>
      <c r="AG2196" s="394">
        <v>0</v>
      </c>
      <c r="AH2196" s="394">
        <v>0.20194999999999999</v>
      </c>
      <c r="AI2196" s="394">
        <v>9.0325699999999998</v>
      </c>
      <c r="AJ2196" s="394"/>
      <c r="AK2196" s="381" t="s">
        <v>167</v>
      </c>
      <c r="AL2196" s="408" t="s">
        <v>175</v>
      </c>
      <c r="AM2196" s="385"/>
      <c r="AN2196" s="475">
        <v>983</v>
      </c>
      <c r="AO2196" s="395"/>
      <c r="AP2196" s="395">
        <f t="shared" si="1039"/>
        <v>9.9031599999999997</v>
      </c>
      <c r="AQ2196" s="393"/>
      <c r="AR2196" s="523"/>
      <c r="AS2196" s="497"/>
      <c r="AT2196" s="573"/>
      <c r="AU2196" s="394"/>
      <c r="AV2196" s="394"/>
      <c r="AW2196" s="394"/>
      <c r="AX2196" s="394"/>
      <c r="AY2196" s="394"/>
      <c r="AZ2196" s="394"/>
      <c r="BA2196" s="394"/>
      <c r="BB2196" s="394"/>
      <c r="BC2196" s="394"/>
      <c r="BD2196" s="381"/>
      <c r="BE2196" s="408"/>
      <c r="BF2196" s="385"/>
      <c r="BG2196" s="475"/>
      <c r="BH2196" s="395"/>
      <c r="BI2196" s="395" t="e">
        <f t="shared" si="1038"/>
        <v>#DIV/0!</v>
      </c>
    </row>
    <row r="2197" spans="1:61" s="358" customFormat="1" ht="19.2" x14ac:dyDescent="0.3">
      <c r="A2197" s="359" t="s">
        <v>387</v>
      </c>
      <c r="B2197" s="572" t="s">
        <v>3924</v>
      </c>
      <c r="C2197" s="546" t="s">
        <v>3029</v>
      </c>
      <c r="D2197" s="360">
        <v>0.4</v>
      </c>
      <c r="E2197" s="393"/>
      <c r="F2197" s="523"/>
      <c r="G2197" s="393"/>
      <c r="H2197" s="573"/>
      <c r="I2197" s="394"/>
      <c r="J2197" s="394"/>
      <c r="K2197" s="394"/>
      <c r="L2197" s="394"/>
      <c r="M2197" s="394"/>
      <c r="N2197" s="394"/>
      <c r="O2197" s="394"/>
      <c r="P2197" s="394"/>
      <c r="Q2197" s="394"/>
      <c r="R2197" s="381"/>
      <c r="S2197" s="408"/>
      <c r="T2197" s="385"/>
      <c r="U2197" s="475"/>
      <c r="V2197" s="395"/>
      <c r="W2197" s="395"/>
      <c r="X2197" s="393"/>
      <c r="Y2197" s="523">
        <v>1</v>
      </c>
      <c r="Z2197" s="497"/>
      <c r="AA2197" s="573">
        <v>15.13111</v>
      </c>
      <c r="AB2197" s="394">
        <v>13.21683</v>
      </c>
      <c r="AC2197" s="394">
        <v>12.28293</v>
      </c>
      <c r="AD2197" s="394"/>
      <c r="AE2197" s="394"/>
      <c r="AF2197" s="394">
        <v>0</v>
      </c>
      <c r="AG2197" s="394">
        <v>0</v>
      </c>
      <c r="AH2197" s="394">
        <v>0.44627</v>
      </c>
      <c r="AI2197" s="394">
        <v>12.28293</v>
      </c>
      <c r="AJ2197" s="394"/>
      <c r="AK2197" s="381" t="s">
        <v>167</v>
      </c>
      <c r="AL2197" s="408" t="s">
        <v>175</v>
      </c>
      <c r="AM2197" s="385"/>
      <c r="AN2197" s="475">
        <v>984</v>
      </c>
      <c r="AO2197" s="395"/>
      <c r="AP2197" s="395">
        <f t="shared" si="1039"/>
        <v>15.13111</v>
      </c>
      <c r="AQ2197" s="393"/>
      <c r="AR2197" s="523"/>
      <c r="AS2197" s="497"/>
      <c r="AT2197" s="573"/>
      <c r="AU2197" s="394"/>
      <c r="AV2197" s="394"/>
      <c r="AW2197" s="394"/>
      <c r="AX2197" s="394"/>
      <c r="AY2197" s="394"/>
      <c r="AZ2197" s="394"/>
      <c r="BA2197" s="394"/>
      <c r="BB2197" s="394"/>
      <c r="BC2197" s="394"/>
      <c r="BD2197" s="381"/>
      <c r="BE2197" s="408"/>
      <c r="BF2197" s="385"/>
      <c r="BG2197" s="475"/>
      <c r="BH2197" s="395"/>
      <c r="BI2197" s="395" t="e">
        <f t="shared" si="1038"/>
        <v>#DIV/0!</v>
      </c>
    </row>
    <row r="2198" spans="1:61" s="358" customFormat="1" ht="19.2" x14ac:dyDescent="0.3">
      <c r="A2198" s="359" t="s">
        <v>388</v>
      </c>
      <c r="B2198" s="572" t="s">
        <v>3925</v>
      </c>
      <c r="C2198" s="546" t="s">
        <v>3030</v>
      </c>
      <c r="D2198" s="360">
        <v>0.4</v>
      </c>
      <c r="E2198" s="393"/>
      <c r="F2198" s="523"/>
      <c r="G2198" s="393"/>
      <c r="H2198" s="573"/>
      <c r="I2198" s="394"/>
      <c r="J2198" s="394"/>
      <c r="K2198" s="394"/>
      <c r="L2198" s="394"/>
      <c r="M2198" s="394"/>
      <c r="N2198" s="394"/>
      <c r="O2198" s="394"/>
      <c r="P2198" s="394"/>
      <c r="Q2198" s="394"/>
      <c r="R2198" s="381"/>
      <c r="S2198" s="408"/>
      <c r="T2198" s="385"/>
      <c r="U2198" s="475"/>
      <c r="V2198" s="395"/>
      <c r="W2198" s="395"/>
      <c r="X2198" s="393"/>
      <c r="Y2198" s="523">
        <v>1</v>
      </c>
      <c r="Z2198" s="497"/>
      <c r="AA2198" s="573">
        <v>15.1311</v>
      </c>
      <c r="AB2198" s="394">
        <v>13.21682</v>
      </c>
      <c r="AC2198" s="394">
        <v>12.28293</v>
      </c>
      <c r="AD2198" s="394"/>
      <c r="AE2198" s="394"/>
      <c r="AF2198" s="394">
        <v>0</v>
      </c>
      <c r="AG2198" s="394">
        <v>0</v>
      </c>
      <c r="AH2198" s="394">
        <v>0.44627</v>
      </c>
      <c r="AI2198" s="394">
        <v>12.28293</v>
      </c>
      <c r="AJ2198" s="394"/>
      <c r="AK2198" s="381" t="s">
        <v>167</v>
      </c>
      <c r="AL2198" s="408" t="s">
        <v>175</v>
      </c>
      <c r="AM2198" s="385"/>
      <c r="AN2198" s="475">
        <v>985</v>
      </c>
      <c r="AO2198" s="395"/>
      <c r="AP2198" s="395">
        <f t="shared" si="1039"/>
        <v>15.1311</v>
      </c>
      <c r="AQ2198" s="393"/>
      <c r="AR2198" s="523"/>
      <c r="AS2198" s="497"/>
      <c r="AT2198" s="573"/>
      <c r="AU2198" s="394"/>
      <c r="AV2198" s="394"/>
      <c r="AW2198" s="394"/>
      <c r="AX2198" s="394"/>
      <c r="AY2198" s="394"/>
      <c r="AZ2198" s="394"/>
      <c r="BA2198" s="394"/>
      <c r="BB2198" s="394"/>
      <c r="BC2198" s="394"/>
      <c r="BD2198" s="381"/>
      <c r="BE2198" s="408"/>
      <c r="BF2198" s="385"/>
      <c r="BG2198" s="475"/>
      <c r="BH2198" s="395"/>
      <c r="BI2198" s="395" t="e">
        <f t="shared" si="1038"/>
        <v>#DIV/0!</v>
      </c>
    </row>
    <row r="2199" spans="1:61" s="358" customFormat="1" ht="19.2" x14ac:dyDescent="0.3">
      <c r="A2199" s="359" t="s">
        <v>389</v>
      </c>
      <c r="B2199" s="572" t="s">
        <v>3926</v>
      </c>
      <c r="C2199" s="546" t="s">
        <v>3031</v>
      </c>
      <c r="D2199" s="360">
        <v>0.4</v>
      </c>
      <c r="E2199" s="393"/>
      <c r="F2199" s="523"/>
      <c r="G2199" s="393"/>
      <c r="H2199" s="573"/>
      <c r="I2199" s="394"/>
      <c r="J2199" s="394"/>
      <c r="K2199" s="394"/>
      <c r="L2199" s="394"/>
      <c r="M2199" s="394"/>
      <c r="N2199" s="394"/>
      <c r="O2199" s="394"/>
      <c r="P2199" s="394"/>
      <c r="Q2199" s="394"/>
      <c r="R2199" s="381"/>
      <c r="S2199" s="408"/>
      <c r="T2199" s="385"/>
      <c r="U2199" s="475"/>
      <c r="V2199" s="395"/>
      <c r="W2199" s="395"/>
      <c r="X2199" s="393"/>
      <c r="Y2199" s="523">
        <v>1</v>
      </c>
      <c r="Z2199" s="497"/>
      <c r="AA2199" s="573">
        <v>15.13111</v>
      </c>
      <c r="AB2199" s="394">
        <v>13.21683</v>
      </c>
      <c r="AC2199" s="394">
        <v>12.28293</v>
      </c>
      <c r="AD2199" s="394"/>
      <c r="AE2199" s="394"/>
      <c r="AF2199" s="394">
        <v>0</v>
      </c>
      <c r="AG2199" s="394">
        <v>0</v>
      </c>
      <c r="AH2199" s="394">
        <v>0.44627</v>
      </c>
      <c r="AI2199" s="394">
        <v>12.28293</v>
      </c>
      <c r="AJ2199" s="394"/>
      <c r="AK2199" s="381" t="s">
        <v>167</v>
      </c>
      <c r="AL2199" s="408" t="s">
        <v>175</v>
      </c>
      <c r="AM2199" s="385"/>
      <c r="AN2199" s="475">
        <v>986</v>
      </c>
      <c r="AO2199" s="395"/>
      <c r="AP2199" s="395">
        <f t="shared" si="1039"/>
        <v>15.13111</v>
      </c>
      <c r="AQ2199" s="393"/>
      <c r="AR2199" s="523"/>
      <c r="AS2199" s="497"/>
      <c r="AT2199" s="573"/>
      <c r="AU2199" s="394"/>
      <c r="AV2199" s="394"/>
      <c r="AW2199" s="394"/>
      <c r="AX2199" s="394"/>
      <c r="AY2199" s="394"/>
      <c r="AZ2199" s="394"/>
      <c r="BA2199" s="394"/>
      <c r="BB2199" s="394"/>
      <c r="BC2199" s="394"/>
      <c r="BD2199" s="381"/>
      <c r="BE2199" s="408"/>
      <c r="BF2199" s="385"/>
      <c r="BG2199" s="475"/>
      <c r="BH2199" s="395"/>
      <c r="BI2199" s="395" t="e">
        <f t="shared" ref="BI2199:BI2262" si="1040">AT2199/AR2199</f>
        <v>#DIV/0!</v>
      </c>
    </row>
    <row r="2200" spans="1:61" s="358" customFormat="1" ht="19.2" x14ac:dyDescent="0.3">
      <c r="A2200" s="359" t="s">
        <v>390</v>
      </c>
      <c r="B2200" s="572" t="s">
        <v>3927</v>
      </c>
      <c r="C2200" s="546" t="s">
        <v>3032</v>
      </c>
      <c r="D2200" s="360">
        <v>0.4</v>
      </c>
      <c r="E2200" s="393"/>
      <c r="F2200" s="523"/>
      <c r="G2200" s="393"/>
      <c r="H2200" s="573"/>
      <c r="I2200" s="394"/>
      <c r="J2200" s="394"/>
      <c r="K2200" s="394"/>
      <c r="L2200" s="394"/>
      <c r="M2200" s="394"/>
      <c r="N2200" s="394"/>
      <c r="O2200" s="394"/>
      <c r="P2200" s="394"/>
      <c r="Q2200" s="394"/>
      <c r="R2200" s="381"/>
      <c r="S2200" s="408"/>
      <c r="T2200" s="385"/>
      <c r="U2200" s="475"/>
      <c r="V2200" s="395"/>
      <c r="W2200" s="395"/>
      <c r="X2200" s="393"/>
      <c r="Y2200" s="523">
        <v>1</v>
      </c>
      <c r="Z2200" s="497"/>
      <c r="AA2200" s="573">
        <v>15.1311</v>
      </c>
      <c r="AB2200" s="394">
        <v>13.21682</v>
      </c>
      <c r="AC2200" s="394">
        <v>12.28293</v>
      </c>
      <c r="AD2200" s="394"/>
      <c r="AE2200" s="394"/>
      <c r="AF2200" s="394">
        <v>0</v>
      </c>
      <c r="AG2200" s="394">
        <v>0</v>
      </c>
      <c r="AH2200" s="394">
        <v>0.44627</v>
      </c>
      <c r="AI2200" s="394">
        <v>12.28293</v>
      </c>
      <c r="AJ2200" s="394"/>
      <c r="AK2200" s="381" t="s">
        <v>167</v>
      </c>
      <c r="AL2200" s="408" t="s">
        <v>175</v>
      </c>
      <c r="AM2200" s="385"/>
      <c r="AN2200" s="475">
        <v>987</v>
      </c>
      <c r="AO2200" s="395"/>
      <c r="AP2200" s="395">
        <f t="shared" si="1039"/>
        <v>15.1311</v>
      </c>
      <c r="AQ2200" s="393"/>
      <c r="AR2200" s="523"/>
      <c r="AS2200" s="497"/>
      <c r="AT2200" s="573"/>
      <c r="AU2200" s="394"/>
      <c r="AV2200" s="394"/>
      <c r="AW2200" s="394"/>
      <c r="AX2200" s="394"/>
      <c r="AY2200" s="394"/>
      <c r="AZ2200" s="394"/>
      <c r="BA2200" s="394"/>
      <c r="BB2200" s="394"/>
      <c r="BC2200" s="394"/>
      <c r="BD2200" s="381"/>
      <c r="BE2200" s="408"/>
      <c r="BF2200" s="385"/>
      <c r="BG2200" s="475"/>
      <c r="BH2200" s="395"/>
      <c r="BI2200" s="395" t="e">
        <f t="shared" si="1040"/>
        <v>#DIV/0!</v>
      </c>
    </row>
    <row r="2201" spans="1:61" s="358" customFormat="1" ht="19.2" x14ac:dyDescent="0.3">
      <c r="A2201" s="359" t="s">
        <v>391</v>
      </c>
      <c r="B2201" s="572" t="s">
        <v>3928</v>
      </c>
      <c r="C2201" s="546" t="s">
        <v>3033</v>
      </c>
      <c r="D2201" s="360">
        <v>0.4</v>
      </c>
      <c r="E2201" s="393"/>
      <c r="F2201" s="523"/>
      <c r="G2201" s="393"/>
      <c r="H2201" s="573"/>
      <c r="I2201" s="394"/>
      <c r="J2201" s="394"/>
      <c r="K2201" s="394"/>
      <c r="L2201" s="394"/>
      <c r="M2201" s="394"/>
      <c r="N2201" s="394"/>
      <c r="O2201" s="394"/>
      <c r="P2201" s="394"/>
      <c r="Q2201" s="394"/>
      <c r="R2201" s="381"/>
      <c r="S2201" s="408"/>
      <c r="T2201" s="385"/>
      <c r="U2201" s="475"/>
      <c r="V2201" s="395"/>
      <c r="W2201" s="395"/>
      <c r="X2201" s="393"/>
      <c r="Y2201" s="523">
        <v>1</v>
      </c>
      <c r="Z2201" s="497"/>
      <c r="AA2201" s="573">
        <v>15.1311</v>
      </c>
      <c r="AB2201" s="394">
        <v>13.21682</v>
      </c>
      <c r="AC2201" s="394">
        <v>12.28293</v>
      </c>
      <c r="AD2201" s="394"/>
      <c r="AE2201" s="394"/>
      <c r="AF2201" s="394">
        <v>0</v>
      </c>
      <c r="AG2201" s="394">
        <v>0</v>
      </c>
      <c r="AH2201" s="394">
        <v>0.44627</v>
      </c>
      <c r="AI2201" s="394">
        <v>12.28293</v>
      </c>
      <c r="AJ2201" s="394"/>
      <c r="AK2201" s="381" t="s">
        <v>167</v>
      </c>
      <c r="AL2201" s="408" t="s">
        <v>175</v>
      </c>
      <c r="AM2201" s="385"/>
      <c r="AN2201" s="475">
        <v>988</v>
      </c>
      <c r="AO2201" s="395"/>
      <c r="AP2201" s="395">
        <f t="shared" si="1039"/>
        <v>15.1311</v>
      </c>
      <c r="AQ2201" s="393"/>
      <c r="AR2201" s="523"/>
      <c r="AS2201" s="497"/>
      <c r="AT2201" s="573"/>
      <c r="AU2201" s="394"/>
      <c r="AV2201" s="394"/>
      <c r="AW2201" s="394"/>
      <c r="AX2201" s="394"/>
      <c r="AY2201" s="394"/>
      <c r="AZ2201" s="394"/>
      <c r="BA2201" s="394"/>
      <c r="BB2201" s="394"/>
      <c r="BC2201" s="394"/>
      <c r="BD2201" s="381"/>
      <c r="BE2201" s="408"/>
      <c r="BF2201" s="385"/>
      <c r="BG2201" s="475"/>
      <c r="BH2201" s="395"/>
      <c r="BI2201" s="395" t="e">
        <f t="shared" si="1040"/>
        <v>#DIV/0!</v>
      </c>
    </row>
    <row r="2202" spans="1:61" s="358" customFormat="1" ht="19.2" x14ac:dyDescent="0.3">
      <c r="A2202" s="359" t="s">
        <v>392</v>
      </c>
      <c r="B2202" s="572" t="s">
        <v>3929</v>
      </c>
      <c r="C2202" s="546" t="s">
        <v>3034</v>
      </c>
      <c r="D2202" s="360">
        <v>0.4</v>
      </c>
      <c r="E2202" s="393"/>
      <c r="F2202" s="523"/>
      <c r="G2202" s="393"/>
      <c r="H2202" s="573"/>
      <c r="I2202" s="394"/>
      <c r="J2202" s="394"/>
      <c r="K2202" s="394"/>
      <c r="L2202" s="394"/>
      <c r="M2202" s="394"/>
      <c r="N2202" s="394"/>
      <c r="O2202" s="394"/>
      <c r="P2202" s="394"/>
      <c r="Q2202" s="394"/>
      <c r="R2202" s="381"/>
      <c r="S2202" s="408"/>
      <c r="T2202" s="385"/>
      <c r="U2202" s="475"/>
      <c r="V2202" s="395"/>
      <c r="W2202" s="395"/>
      <c r="X2202" s="393"/>
      <c r="Y2202" s="523">
        <v>1</v>
      </c>
      <c r="Z2202" s="497"/>
      <c r="AA2202" s="573">
        <v>15.12116</v>
      </c>
      <c r="AB2202" s="394">
        <v>13.70867</v>
      </c>
      <c r="AC2202" s="394">
        <v>13.7</v>
      </c>
      <c r="AD2202" s="394"/>
      <c r="AE2202" s="394"/>
      <c r="AF2202" s="394">
        <v>0</v>
      </c>
      <c r="AG2202" s="394">
        <v>0</v>
      </c>
      <c r="AH2202" s="394">
        <v>0.32929000000000003</v>
      </c>
      <c r="AI2202" s="394">
        <v>13.7</v>
      </c>
      <c r="AJ2202" s="394"/>
      <c r="AK2202" s="381" t="s">
        <v>167</v>
      </c>
      <c r="AL2202" s="408" t="s">
        <v>175</v>
      </c>
      <c r="AM2202" s="385"/>
      <c r="AN2202" s="475">
        <v>989</v>
      </c>
      <c r="AO2202" s="395"/>
      <c r="AP2202" s="395">
        <f t="shared" si="1039"/>
        <v>15.12116</v>
      </c>
      <c r="AQ2202" s="393"/>
      <c r="AR2202" s="523"/>
      <c r="AS2202" s="497"/>
      <c r="AT2202" s="573"/>
      <c r="AU2202" s="394"/>
      <c r="AV2202" s="394"/>
      <c r="AW2202" s="394"/>
      <c r="AX2202" s="394"/>
      <c r="AY2202" s="394"/>
      <c r="AZ2202" s="394"/>
      <c r="BA2202" s="394"/>
      <c r="BB2202" s="394"/>
      <c r="BC2202" s="394"/>
      <c r="BD2202" s="381"/>
      <c r="BE2202" s="408"/>
      <c r="BF2202" s="385"/>
      <c r="BG2202" s="475"/>
      <c r="BH2202" s="395"/>
      <c r="BI2202" s="395" t="e">
        <f t="shared" si="1040"/>
        <v>#DIV/0!</v>
      </c>
    </row>
    <row r="2203" spans="1:61" s="358" customFormat="1" ht="19.2" x14ac:dyDescent="0.3">
      <c r="A2203" s="359" t="s">
        <v>1858</v>
      </c>
      <c r="B2203" s="572" t="s">
        <v>3930</v>
      </c>
      <c r="C2203" s="546" t="s">
        <v>3035</v>
      </c>
      <c r="D2203" s="360">
        <v>0.4</v>
      </c>
      <c r="E2203" s="393"/>
      <c r="F2203" s="523"/>
      <c r="G2203" s="393"/>
      <c r="H2203" s="573"/>
      <c r="I2203" s="394"/>
      <c r="J2203" s="394"/>
      <c r="K2203" s="394"/>
      <c r="L2203" s="394"/>
      <c r="M2203" s="394"/>
      <c r="N2203" s="394"/>
      <c r="O2203" s="394"/>
      <c r="P2203" s="394"/>
      <c r="Q2203" s="394"/>
      <c r="R2203" s="381"/>
      <c r="S2203" s="408"/>
      <c r="T2203" s="385"/>
      <c r="U2203" s="475"/>
      <c r="V2203" s="395"/>
      <c r="W2203" s="395"/>
      <c r="X2203" s="393"/>
      <c r="Y2203" s="523">
        <v>1</v>
      </c>
      <c r="Z2203" s="497"/>
      <c r="AA2203" s="573">
        <v>15.13111</v>
      </c>
      <c r="AB2203" s="394">
        <v>13.21683</v>
      </c>
      <c r="AC2203" s="394">
        <v>12.28293</v>
      </c>
      <c r="AD2203" s="394"/>
      <c r="AE2203" s="394"/>
      <c r="AF2203" s="394">
        <v>0</v>
      </c>
      <c r="AG2203" s="394">
        <v>0</v>
      </c>
      <c r="AH2203" s="394">
        <v>0.44627</v>
      </c>
      <c r="AI2203" s="394">
        <v>12.28293</v>
      </c>
      <c r="AJ2203" s="394"/>
      <c r="AK2203" s="381" t="s">
        <v>167</v>
      </c>
      <c r="AL2203" s="408" t="s">
        <v>175</v>
      </c>
      <c r="AM2203" s="385"/>
      <c r="AN2203" s="475">
        <v>990</v>
      </c>
      <c r="AO2203" s="395"/>
      <c r="AP2203" s="395">
        <f t="shared" si="1039"/>
        <v>15.13111</v>
      </c>
      <c r="AQ2203" s="393"/>
      <c r="AR2203" s="523"/>
      <c r="AS2203" s="497"/>
      <c r="AT2203" s="573"/>
      <c r="AU2203" s="394"/>
      <c r="AV2203" s="394"/>
      <c r="AW2203" s="394"/>
      <c r="AX2203" s="394"/>
      <c r="AY2203" s="394"/>
      <c r="AZ2203" s="394"/>
      <c r="BA2203" s="394"/>
      <c r="BB2203" s="394"/>
      <c r="BC2203" s="394"/>
      <c r="BD2203" s="381"/>
      <c r="BE2203" s="408"/>
      <c r="BF2203" s="385"/>
      <c r="BG2203" s="475"/>
      <c r="BH2203" s="395"/>
      <c r="BI2203" s="395" t="e">
        <f t="shared" si="1040"/>
        <v>#DIV/0!</v>
      </c>
    </row>
    <row r="2204" spans="1:61" s="358" customFormat="1" ht="19.2" x14ac:dyDescent="0.3">
      <c r="A2204" s="359" t="s">
        <v>394</v>
      </c>
      <c r="B2204" s="572" t="s">
        <v>3931</v>
      </c>
      <c r="C2204" s="546" t="s">
        <v>3036</v>
      </c>
      <c r="D2204" s="360">
        <v>0.4</v>
      </c>
      <c r="E2204" s="393"/>
      <c r="F2204" s="523"/>
      <c r="G2204" s="393"/>
      <c r="H2204" s="573"/>
      <c r="I2204" s="394"/>
      <c r="J2204" s="394"/>
      <c r="K2204" s="394"/>
      <c r="L2204" s="394"/>
      <c r="M2204" s="394"/>
      <c r="N2204" s="394"/>
      <c r="O2204" s="394"/>
      <c r="P2204" s="394"/>
      <c r="Q2204" s="394"/>
      <c r="R2204" s="381"/>
      <c r="S2204" s="408"/>
      <c r="T2204" s="385"/>
      <c r="U2204" s="475"/>
      <c r="V2204" s="395"/>
      <c r="W2204" s="395"/>
      <c r="X2204" s="393"/>
      <c r="Y2204" s="523">
        <v>1</v>
      </c>
      <c r="Z2204" s="497"/>
      <c r="AA2204" s="573">
        <v>15.11843</v>
      </c>
      <c r="AB2204" s="394">
        <v>13.20415</v>
      </c>
      <c r="AC2204" s="394">
        <v>12.270250000000001</v>
      </c>
      <c r="AD2204" s="394"/>
      <c r="AE2204" s="394"/>
      <c r="AF2204" s="394">
        <v>0</v>
      </c>
      <c r="AG2204" s="394">
        <v>0</v>
      </c>
      <c r="AH2204" s="394">
        <v>0.44627</v>
      </c>
      <c r="AI2204" s="394">
        <v>12.270250000000001</v>
      </c>
      <c r="AJ2204" s="394"/>
      <c r="AK2204" s="381" t="s">
        <v>167</v>
      </c>
      <c r="AL2204" s="408" t="s">
        <v>175</v>
      </c>
      <c r="AM2204" s="385"/>
      <c r="AN2204" s="475">
        <v>991</v>
      </c>
      <c r="AO2204" s="395"/>
      <c r="AP2204" s="395">
        <f t="shared" si="1039"/>
        <v>15.11843</v>
      </c>
      <c r="AQ2204" s="393"/>
      <c r="AR2204" s="523"/>
      <c r="AS2204" s="497"/>
      <c r="AT2204" s="573"/>
      <c r="AU2204" s="394"/>
      <c r="AV2204" s="394"/>
      <c r="AW2204" s="394"/>
      <c r="AX2204" s="394"/>
      <c r="AY2204" s="394"/>
      <c r="AZ2204" s="394"/>
      <c r="BA2204" s="394"/>
      <c r="BB2204" s="394"/>
      <c r="BC2204" s="394"/>
      <c r="BD2204" s="381"/>
      <c r="BE2204" s="408"/>
      <c r="BF2204" s="385"/>
      <c r="BG2204" s="475"/>
      <c r="BH2204" s="395"/>
      <c r="BI2204" s="395" t="e">
        <f t="shared" si="1040"/>
        <v>#DIV/0!</v>
      </c>
    </row>
    <row r="2205" spans="1:61" s="358" customFormat="1" ht="19.2" x14ac:dyDescent="0.3">
      <c r="A2205" s="359" t="s">
        <v>395</v>
      </c>
      <c r="B2205" s="572" t="s">
        <v>3932</v>
      </c>
      <c r="C2205" s="546" t="s">
        <v>3037</v>
      </c>
      <c r="D2205" s="360">
        <v>0.4</v>
      </c>
      <c r="E2205" s="393"/>
      <c r="F2205" s="523"/>
      <c r="G2205" s="393"/>
      <c r="H2205" s="573"/>
      <c r="I2205" s="394"/>
      <c r="J2205" s="394"/>
      <c r="K2205" s="394"/>
      <c r="L2205" s="394"/>
      <c r="M2205" s="394"/>
      <c r="N2205" s="394"/>
      <c r="O2205" s="394"/>
      <c r="P2205" s="394"/>
      <c r="Q2205" s="394"/>
      <c r="R2205" s="381"/>
      <c r="S2205" s="408"/>
      <c r="T2205" s="385"/>
      <c r="U2205" s="475"/>
      <c r="V2205" s="395"/>
      <c r="W2205" s="395"/>
      <c r="X2205" s="393"/>
      <c r="Y2205" s="523">
        <v>1</v>
      </c>
      <c r="Z2205" s="497"/>
      <c r="AA2205" s="573">
        <v>15.1311</v>
      </c>
      <c r="AB2205" s="394">
        <v>13.21682</v>
      </c>
      <c r="AC2205" s="394">
        <v>12.28293</v>
      </c>
      <c r="AD2205" s="394"/>
      <c r="AE2205" s="394"/>
      <c r="AF2205" s="394">
        <v>0</v>
      </c>
      <c r="AG2205" s="394">
        <v>0</v>
      </c>
      <c r="AH2205" s="394">
        <v>0.44627</v>
      </c>
      <c r="AI2205" s="394">
        <v>12.28293</v>
      </c>
      <c r="AJ2205" s="394"/>
      <c r="AK2205" s="381" t="s">
        <v>167</v>
      </c>
      <c r="AL2205" s="408" t="s">
        <v>175</v>
      </c>
      <c r="AM2205" s="385"/>
      <c r="AN2205" s="475">
        <v>992</v>
      </c>
      <c r="AO2205" s="395"/>
      <c r="AP2205" s="395">
        <f t="shared" si="1039"/>
        <v>15.1311</v>
      </c>
      <c r="AQ2205" s="393"/>
      <c r="AR2205" s="523"/>
      <c r="AS2205" s="497"/>
      <c r="AT2205" s="573"/>
      <c r="AU2205" s="394"/>
      <c r="AV2205" s="394"/>
      <c r="AW2205" s="394"/>
      <c r="AX2205" s="394"/>
      <c r="AY2205" s="394"/>
      <c r="AZ2205" s="394"/>
      <c r="BA2205" s="394"/>
      <c r="BB2205" s="394"/>
      <c r="BC2205" s="394"/>
      <c r="BD2205" s="381"/>
      <c r="BE2205" s="408"/>
      <c r="BF2205" s="385"/>
      <c r="BG2205" s="475"/>
      <c r="BH2205" s="395"/>
      <c r="BI2205" s="395" t="e">
        <f t="shared" si="1040"/>
        <v>#DIV/0!</v>
      </c>
    </row>
    <row r="2206" spans="1:61" s="358" customFormat="1" ht="19.2" x14ac:dyDescent="0.3">
      <c r="A2206" s="359" t="s">
        <v>396</v>
      </c>
      <c r="B2206" s="572" t="s">
        <v>3933</v>
      </c>
      <c r="C2206" s="546" t="s">
        <v>3038</v>
      </c>
      <c r="D2206" s="360">
        <v>0.4</v>
      </c>
      <c r="E2206" s="393"/>
      <c r="F2206" s="523"/>
      <c r="G2206" s="393"/>
      <c r="H2206" s="573"/>
      <c r="I2206" s="394"/>
      <c r="J2206" s="394"/>
      <c r="K2206" s="394"/>
      <c r="L2206" s="394"/>
      <c r="M2206" s="394"/>
      <c r="N2206" s="394"/>
      <c r="O2206" s="394"/>
      <c r="P2206" s="394"/>
      <c r="Q2206" s="394"/>
      <c r="R2206" s="381"/>
      <c r="S2206" s="408"/>
      <c r="T2206" s="385"/>
      <c r="U2206" s="475"/>
      <c r="V2206" s="395"/>
      <c r="W2206" s="395"/>
      <c r="X2206" s="393"/>
      <c r="Y2206" s="523">
        <v>1</v>
      </c>
      <c r="Z2206" s="497"/>
      <c r="AA2206" s="573">
        <v>15.13111</v>
      </c>
      <c r="AB2206" s="394">
        <v>13.21683</v>
      </c>
      <c r="AC2206" s="394">
        <v>12.28293</v>
      </c>
      <c r="AD2206" s="394"/>
      <c r="AE2206" s="394"/>
      <c r="AF2206" s="394">
        <v>0</v>
      </c>
      <c r="AG2206" s="394">
        <v>0</v>
      </c>
      <c r="AH2206" s="394">
        <v>0.44627</v>
      </c>
      <c r="AI2206" s="394">
        <v>12.28293</v>
      </c>
      <c r="AJ2206" s="394"/>
      <c r="AK2206" s="381" t="s">
        <v>167</v>
      </c>
      <c r="AL2206" s="408" t="s">
        <v>175</v>
      </c>
      <c r="AM2206" s="385"/>
      <c r="AN2206" s="475">
        <v>993</v>
      </c>
      <c r="AO2206" s="395"/>
      <c r="AP2206" s="395">
        <f t="shared" si="1039"/>
        <v>15.13111</v>
      </c>
      <c r="AQ2206" s="393"/>
      <c r="AR2206" s="523"/>
      <c r="AS2206" s="497"/>
      <c r="AT2206" s="573"/>
      <c r="AU2206" s="394"/>
      <c r="AV2206" s="394"/>
      <c r="AW2206" s="394"/>
      <c r="AX2206" s="394"/>
      <c r="AY2206" s="394"/>
      <c r="AZ2206" s="394"/>
      <c r="BA2206" s="394"/>
      <c r="BB2206" s="394"/>
      <c r="BC2206" s="394"/>
      <c r="BD2206" s="381"/>
      <c r="BE2206" s="408"/>
      <c r="BF2206" s="385"/>
      <c r="BG2206" s="475"/>
      <c r="BH2206" s="395"/>
      <c r="BI2206" s="395" t="e">
        <f t="shared" si="1040"/>
        <v>#DIV/0!</v>
      </c>
    </row>
    <row r="2207" spans="1:61" s="358" customFormat="1" ht="19.2" x14ac:dyDescent="0.3">
      <c r="A2207" s="359" t="s">
        <v>1862</v>
      </c>
      <c r="B2207" s="572" t="s">
        <v>3934</v>
      </c>
      <c r="C2207" s="546" t="s">
        <v>3039</v>
      </c>
      <c r="D2207" s="360">
        <v>0.4</v>
      </c>
      <c r="E2207" s="393"/>
      <c r="F2207" s="523"/>
      <c r="G2207" s="393"/>
      <c r="H2207" s="573"/>
      <c r="I2207" s="394"/>
      <c r="J2207" s="394"/>
      <c r="K2207" s="394"/>
      <c r="L2207" s="394"/>
      <c r="M2207" s="394"/>
      <c r="N2207" s="394"/>
      <c r="O2207" s="394"/>
      <c r="P2207" s="394"/>
      <c r="Q2207" s="394"/>
      <c r="R2207" s="381"/>
      <c r="S2207" s="408"/>
      <c r="T2207" s="385"/>
      <c r="U2207" s="475"/>
      <c r="V2207" s="395"/>
      <c r="W2207" s="395"/>
      <c r="X2207" s="393"/>
      <c r="Y2207" s="523">
        <v>1</v>
      </c>
      <c r="Z2207" s="497"/>
      <c r="AA2207" s="573">
        <v>15.13111</v>
      </c>
      <c r="AB2207" s="394">
        <v>13.21683</v>
      </c>
      <c r="AC2207" s="394">
        <v>12.28293</v>
      </c>
      <c r="AD2207" s="394"/>
      <c r="AE2207" s="394"/>
      <c r="AF2207" s="394">
        <v>0</v>
      </c>
      <c r="AG2207" s="394">
        <v>0</v>
      </c>
      <c r="AH2207" s="394">
        <v>0.44627</v>
      </c>
      <c r="AI2207" s="394">
        <v>12.28293</v>
      </c>
      <c r="AJ2207" s="394"/>
      <c r="AK2207" s="381" t="s">
        <v>167</v>
      </c>
      <c r="AL2207" s="408" t="s">
        <v>175</v>
      </c>
      <c r="AM2207" s="385"/>
      <c r="AN2207" s="475">
        <v>994</v>
      </c>
      <c r="AO2207" s="395"/>
      <c r="AP2207" s="395">
        <f t="shared" si="1039"/>
        <v>15.13111</v>
      </c>
      <c r="AQ2207" s="393"/>
      <c r="AR2207" s="523"/>
      <c r="AS2207" s="497"/>
      <c r="AT2207" s="573"/>
      <c r="AU2207" s="394"/>
      <c r="AV2207" s="394"/>
      <c r="AW2207" s="394"/>
      <c r="AX2207" s="394"/>
      <c r="AY2207" s="394"/>
      <c r="AZ2207" s="394"/>
      <c r="BA2207" s="394"/>
      <c r="BB2207" s="394"/>
      <c r="BC2207" s="394"/>
      <c r="BD2207" s="381"/>
      <c r="BE2207" s="408"/>
      <c r="BF2207" s="385"/>
      <c r="BG2207" s="475"/>
      <c r="BH2207" s="395"/>
      <c r="BI2207" s="395" t="e">
        <f t="shared" si="1040"/>
        <v>#DIV/0!</v>
      </c>
    </row>
    <row r="2208" spans="1:61" s="358" customFormat="1" ht="19.2" x14ac:dyDescent="0.3">
      <c r="A2208" s="359" t="s">
        <v>398</v>
      </c>
      <c r="B2208" s="572" t="s">
        <v>2364</v>
      </c>
      <c r="C2208" s="546" t="s">
        <v>2363</v>
      </c>
      <c r="D2208" s="360">
        <v>0.4</v>
      </c>
      <c r="E2208" s="393"/>
      <c r="F2208" s="523"/>
      <c r="G2208" s="393"/>
      <c r="H2208" s="573"/>
      <c r="I2208" s="394"/>
      <c r="J2208" s="394"/>
      <c r="K2208" s="394"/>
      <c r="L2208" s="394"/>
      <c r="M2208" s="394"/>
      <c r="N2208" s="394"/>
      <c r="O2208" s="394"/>
      <c r="P2208" s="394"/>
      <c r="Q2208" s="394"/>
      <c r="R2208" s="381"/>
      <c r="S2208" s="408"/>
      <c r="T2208" s="385"/>
      <c r="U2208" s="475"/>
      <c r="V2208" s="395"/>
      <c r="W2208" s="395"/>
      <c r="X2208" s="393"/>
      <c r="Y2208" s="523">
        <v>1</v>
      </c>
      <c r="Z2208" s="497"/>
      <c r="AA2208" s="573">
        <v>15.1311</v>
      </c>
      <c r="AB2208" s="394">
        <v>13.21682</v>
      </c>
      <c r="AC2208" s="394">
        <v>12.28293</v>
      </c>
      <c r="AD2208" s="394"/>
      <c r="AE2208" s="394"/>
      <c r="AF2208" s="394">
        <v>0</v>
      </c>
      <c r="AG2208" s="394">
        <v>0</v>
      </c>
      <c r="AH2208" s="394">
        <v>0.44627</v>
      </c>
      <c r="AI2208" s="394">
        <v>12.28293</v>
      </c>
      <c r="AJ2208" s="394"/>
      <c r="AK2208" s="381" t="s">
        <v>167</v>
      </c>
      <c r="AL2208" s="408" t="s">
        <v>175</v>
      </c>
      <c r="AM2208" s="385"/>
      <c r="AN2208" s="475">
        <v>995</v>
      </c>
      <c r="AO2208" s="395"/>
      <c r="AP2208" s="395">
        <f t="shared" si="1039"/>
        <v>15.1311</v>
      </c>
      <c r="AQ2208" s="393"/>
      <c r="AR2208" s="523"/>
      <c r="AS2208" s="497"/>
      <c r="AT2208" s="573"/>
      <c r="AU2208" s="394"/>
      <c r="AV2208" s="394"/>
      <c r="AW2208" s="394"/>
      <c r="AX2208" s="394"/>
      <c r="AY2208" s="394"/>
      <c r="AZ2208" s="394"/>
      <c r="BA2208" s="394"/>
      <c r="BB2208" s="394"/>
      <c r="BC2208" s="394"/>
      <c r="BD2208" s="381"/>
      <c r="BE2208" s="408"/>
      <c r="BF2208" s="385"/>
      <c r="BG2208" s="475"/>
      <c r="BH2208" s="395"/>
      <c r="BI2208" s="395" t="e">
        <f t="shared" si="1040"/>
        <v>#DIV/0!</v>
      </c>
    </row>
    <row r="2209" spans="1:61" s="358" customFormat="1" ht="19.2" x14ac:dyDescent="0.3">
      <c r="A2209" s="359" t="s">
        <v>399</v>
      </c>
      <c r="B2209" s="572" t="s">
        <v>2357</v>
      </c>
      <c r="C2209" s="546" t="s">
        <v>2356</v>
      </c>
      <c r="D2209" s="360">
        <v>0.4</v>
      </c>
      <c r="E2209" s="393"/>
      <c r="F2209" s="523"/>
      <c r="G2209" s="393"/>
      <c r="H2209" s="573"/>
      <c r="I2209" s="394"/>
      <c r="J2209" s="394"/>
      <c r="K2209" s="394"/>
      <c r="L2209" s="394"/>
      <c r="M2209" s="394"/>
      <c r="N2209" s="394"/>
      <c r="O2209" s="394"/>
      <c r="P2209" s="394"/>
      <c r="Q2209" s="394"/>
      <c r="R2209" s="381"/>
      <c r="S2209" s="408"/>
      <c r="T2209" s="385"/>
      <c r="U2209" s="475"/>
      <c r="V2209" s="395"/>
      <c r="W2209" s="395"/>
      <c r="X2209" s="393"/>
      <c r="Y2209" s="523">
        <v>1</v>
      </c>
      <c r="Z2209" s="497"/>
      <c r="AA2209" s="573">
        <v>15.13111</v>
      </c>
      <c r="AB2209" s="394">
        <v>13.21683</v>
      </c>
      <c r="AC2209" s="394">
        <v>12.28293</v>
      </c>
      <c r="AD2209" s="394"/>
      <c r="AE2209" s="394"/>
      <c r="AF2209" s="394">
        <v>0</v>
      </c>
      <c r="AG2209" s="394">
        <v>0</v>
      </c>
      <c r="AH2209" s="394">
        <v>0.44627</v>
      </c>
      <c r="AI2209" s="394">
        <v>12.28293</v>
      </c>
      <c r="AJ2209" s="394"/>
      <c r="AK2209" s="381" t="s">
        <v>167</v>
      </c>
      <c r="AL2209" s="408" t="s">
        <v>175</v>
      </c>
      <c r="AM2209" s="385"/>
      <c r="AN2209" s="475">
        <v>996</v>
      </c>
      <c r="AO2209" s="395"/>
      <c r="AP2209" s="395">
        <f t="shared" si="1039"/>
        <v>15.13111</v>
      </c>
      <c r="AQ2209" s="393"/>
      <c r="AR2209" s="523"/>
      <c r="AS2209" s="497"/>
      <c r="AT2209" s="573"/>
      <c r="AU2209" s="394"/>
      <c r="AV2209" s="394"/>
      <c r="AW2209" s="394"/>
      <c r="AX2209" s="394"/>
      <c r="AY2209" s="394"/>
      <c r="AZ2209" s="394"/>
      <c r="BA2209" s="394"/>
      <c r="BB2209" s="394"/>
      <c r="BC2209" s="394"/>
      <c r="BD2209" s="381"/>
      <c r="BE2209" s="408"/>
      <c r="BF2209" s="385"/>
      <c r="BG2209" s="475"/>
      <c r="BH2209" s="395"/>
      <c r="BI2209" s="395" t="e">
        <f t="shared" si="1040"/>
        <v>#DIV/0!</v>
      </c>
    </row>
    <row r="2210" spans="1:61" s="358" customFormat="1" ht="19.2" x14ac:dyDescent="0.3">
      <c r="A2210" s="359" t="s">
        <v>384</v>
      </c>
      <c r="B2210" s="572" t="s">
        <v>3935</v>
      </c>
      <c r="C2210" s="546" t="s">
        <v>3040</v>
      </c>
      <c r="D2210" s="360">
        <v>0.4</v>
      </c>
      <c r="E2210" s="393"/>
      <c r="F2210" s="523"/>
      <c r="G2210" s="393"/>
      <c r="H2210" s="573"/>
      <c r="I2210" s="394"/>
      <c r="J2210" s="394"/>
      <c r="K2210" s="394"/>
      <c r="L2210" s="394"/>
      <c r="M2210" s="394"/>
      <c r="N2210" s="394"/>
      <c r="O2210" s="394"/>
      <c r="P2210" s="394"/>
      <c r="Q2210" s="394"/>
      <c r="R2210" s="381"/>
      <c r="S2210" s="408"/>
      <c r="T2210" s="385"/>
      <c r="U2210" s="475"/>
      <c r="V2210" s="395"/>
      <c r="W2210" s="395"/>
      <c r="X2210" s="393"/>
      <c r="Y2210" s="523">
        <v>1</v>
      </c>
      <c r="Z2210" s="497"/>
      <c r="AA2210" s="573">
        <v>15.1311</v>
      </c>
      <c r="AB2210" s="394">
        <v>13.21682</v>
      </c>
      <c r="AC2210" s="394">
        <v>12.28293</v>
      </c>
      <c r="AD2210" s="394"/>
      <c r="AE2210" s="394"/>
      <c r="AF2210" s="394">
        <v>0</v>
      </c>
      <c r="AG2210" s="394">
        <v>0</v>
      </c>
      <c r="AH2210" s="394">
        <v>0.44627</v>
      </c>
      <c r="AI2210" s="394">
        <v>12.28293</v>
      </c>
      <c r="AJ2210" s="394"/>
      <c r="AK2210" s="381" t="s">
        <v>167</v>
      </c>
      <c r="AL2210" s="408" t="s">
        <v>175</v>
      </c>
      <c r="AM2210" s="385"/>
      <c r="AN2210" s="475">
        <v>997</v>
      </c>
      <c r="AO2210" s="395"/>
      <c r="AP2210" s="395">
        <f t="shared" si="1039"/>
        <v>15.1311</v>
      </c>
      <c r="AQ2210" s="393"/>
      <c r="AR2210" s="523"/>
      <c r="AS2210" s="497"/>
      <c r="AT2210" s="573"/>
      <c r="AU2210" s="394"/>
      <c r="AV2210" s="394"/>
      <c r="AW2210" s="394"/>
      <c r="AX2210" s="394"/>
      <c r="AY2210" s="394"/>
      <c r="AZ2210" s="394"/>
      <c r="BA2210" s="394"/>
      <c r="BB2210" s="394"/>
      <c r="BC2210" s="394"/>
      <c r="BD2210" s="381"/>
      <c r="BE2210" s="408"/>
      <c r="BF2210" s="385"/>
      <c r="BG2210" s="475"/>
      <c r="BH2210" s="395"/>
      <c r="BI2210" s="395" t="e">
        <f t="shared" si="1040"/>
        <v>#DIV/0!</v>
      </c>
    </row>
    <row r="2211" spans="1:61" s="358" customFormat="1" ht="19.2" x14ac:dyDescent="0.3">
      <c r="A2211" s="359" t="s">
        <v>401</v>
      </c>
      <c r="B2211" s="572" t="s">
        <v>3936</v>
      </c>
      <c r="C2211" s="546" t="s">
        <v>3041</v>
      </c>
      <c r="D2211" s="360">
        <v>0.4</v>
      </c>
      <c r="E2211" s="393"/>
      <c r="F2211" s="523"/>
      <c r="G2211" s="393"/>
      <c r="H2211" s="573"/>
      <c r="I2211" s="394"/>
      <c r="J2211" s="394"/>
      <c r="K2211" s="394"/>
      <c r="L2211" s="394"/>
      <c r="M2211" s="394"/>
      <c r="N2211" s="394"/>
      <c r="O2211" s="394"/>
      <c r="P2211" s="394"/>
      <c r="Q2211" s="394"/>
      <c r="R2211" s="381"/>
      <c r="S2211" s="408"/>
      <c r="T2211" s="385"/>
      <c r="U2211" s="475"/>
      <c r="V2211" s="395"/>
      <c r="W2211" s="395"/>
      <c r="X2211" s="393"/>
      <c r="Y2211" s="523">
        <v>1</v>
      </c>
      <c r="Z2211" s="497"/>
      <c r="AA2211" s="573">
        <v>15.11842</v>
      </c>
      <c r="AB2211" s="394">
        <v>13.204140000000001</v>
      </c>
      <c r="AC2211" s="394">
        <v>12.270250000000001</v>
      </c>
      <c r="AD2211" s="394"/>
      <c r="AE2211" s="394"/>
      <c r="AF2211" s="394">
        <v>0</v>
      </c>
      <c r="AG2211" s="394">
        <v>0</v>
      </c>
      <c r="AH2211" s="394">
        <v>0.44627</v>
      </c>
      <c r="AI2211" s="394">
        <v>12.270250000000001</v>
      </c>
      <c r="AJ2211" s="394"/>
      <c r="AK2211" s="381" t="s">
        <v>167</v>
      </c>
      <c r="AL2211" s="408" t="s">
        <v>175</v>
      </c>
      <c r="AM2211" s="385"/>
      <c r="AN2211" s="475">
        <v>998</v>
      </c>
      <c r="AO2211" s="395"/>
      <c r="AP2211" s="395">
        <f t="shared" si="1039"/>
        <v>15.11842</v>
      </c>
      <c r="AQ2211" s="393"/>
      <c r="AR2211" s="523"/>
      <c r="AS2211" s="497"/>
      <c r="AT2211" s="573"/>
      <c r="AU2211" s="394"/>
      <c r="AV2211" s="394"/>
      <c r="AW2211" s="394"/>
      <c r="AX2211" s="394"/>
      <c r="AY2211" s="394"/>
      <c r="AZ2211" s="394"/>
      <c r="BA2211" s="394"/>
      <c r="BB2211" s="394"/>
      <c r="BC2211" s="394"/>
      <c r="BD2211" s="381"/>
      <c r="BE2211" s="408"/>
      <c r="BF2211" s="385"/>
      <c r="BG2211" s="475"/>
      <c r="BH2211" s="395"/>
      <c r="BI2211" s="395" t="e">
        <f t="shared" si="1040"/>
        <v>#DIV/0!</v>
      </c>
    </row>
    <row r="2212" spans="1:61" s="358" customFormat="1" ht="19.2" x14ac:dyDescent="0.3">
      <c r="A2212" s="359" t="s">
        <v>402</v>
      </c>
      <c r="B2212" s="572" t="s">
        <v>1795</v>
      </c>
      <c r="C2212" s="546" t="s">
        <v>3042</v>
      </c>
      <c r="D2212" s="360">
        <v>0.4</v>
      </c>
      <c r="E2212" s="393"/>
      <c r="F2212" s="523"/>
      <c r="G2212" s="393"/>
      <c r="H2212" s="573"/>
      <c r="I2212" s="394"/>
      <c r="J2212" s="394"/>
      <c r="K2212" s="394"/>
      <c r="L2212" s="394"/>
      <c r="M2212" s="394"/>
      <c r="N2212" s="394"/>
      <c r="O2212" s="394"/>
      <c r="P2212" s="394"/>
      <c r="Q2212" s="394"/>
      <c r="R2212" s="381"/>
      <c r="S2212" s="408"/>
      <c r="T2212" s="385"/>
      <c r="U2212" s="475"/>
      <c r="V2212" s="395"/>
      <c r="W2212" s="395"/>
      <c r="X2212" s="393"/>
      <c r="Y2212" s="523">
        <v>1</v>
      </c>
      <c r="Z2212" s="497"/>
      <c r="AA2212" s="573">
        <v>15.1311</v>
      </c>
      <c r="AB2212" s="394">
        <v>13.21682</v>
      </c>
      <c r="AC2212" s="394">
        <v>12.28293</v>
      </c>
      <c r="AD2212" s="394"/>
      <c r="AE2212" s="394"/>
      <c r="AF2212" s="394">
        <v>0</v>
      </c>
      <c r="AG2212" s="394">
        <v>0</v>
      </c>
      <c r="AH2212" s="394">
        <v>0.44627</v>
      </c>
      <c r="AI2212" s="394">
        <v>12.28293</v>
      </c>
      <c r="AJ2212" s="394"/>
      <c r="AK2212" s="381" t="s">
        <v>167</v>
      </c>
      <c r="AL2212" s="408" t="s">
        <v>175</v>
      </c>
      <c r="AM2212" s="385"/>
      <c r="AN2212" s="475">
        <v>999</v>
      </c>
      <c r="AO2212" s="395"/>
      <c r="AP2212" s="395">
        <f t="shared" si="1039"/>
        <v>15.1311</v>
      </c>
      <c r="AQ2212" s="393"/>
      <c r="AR2212" s="523"/>
      <c r="AS2212" s="497"/>
      <c r="AT2212" s="573"/>
      <c r="AU2212" s="394"/>
      <c r="AV2212" s="394"/>
      <c r="AW2212" s="394"/>
      <c r="AX2212" s="394"/>
      <c r="AY2212" s="394"/>
      <c r="AZ2212" s="394"/>
      <c r="BA2212" s="394"/>
      <c r="BB2212" s="394"/>
      <c r="BC2212" s="394"/>
      <c r="BD2212" s="381"/>
      <c r="BE2212" s="408"/>
      <c r="BF2212" s="385"/>
      <c r="BG2212" s="475"/>
      <c r="BH2212" s="395"/>
      <c r="BI2212" s="395" t="e">
        <f t="shared" si="1040"/>
        <v>#DIV/0!</v>
      </c>
    </row>
    <row r="2213" spans="1:61" s="358" customFormat="1" ht="19.2" x14ac:dyDescent="0.3">
      <c r="A2213" s="359" t="s">
        <v>403</v>
      </c>
      <c r="B2213" s="572" t="s">
        <v>3937</v>
      </c>
      <c r="C2213" s="546" t="s">
        <v>3043</v>
      </c>
      <c r="D2213" s="360">
        <v>0.4</v>
      </c>
      <c r="E2213" s="393"/>
      <c r="F2213" s="523"/>
      <c r="G2213" s="393"/>
      <c r="H2213" s="573"/>
      <c r="I2213" s="394"/>
      <c r="J2213" s="394"/>
      <c r="K2213" s="394"/>
      <c r="L2213" s="394"/>
      <c r="M2213" s="394"/>
      <c r="N2213" s="394"/>
      <c r="O2213" s="394"/>
      <c r="P2213" s="394"/>
      <c r="Q2213" s="394"/>
      <c r="R2213" s="381"/>
      <c r="S2213" s="408"/>
      <c r="T2213" s="385"/>
      <c r="U2213" s="475"/>
      <c r="V2213" s="395"/>
      <c r="W2213" s="395"/>
      <c r="X2213" s="393"/>
      <c r="Y2213" s="523">
        <v>1</v>
      </c>
      <c r="Z2213" s="497"/>
      <c r="AA2213" s="573">
        <v>15.11843</v>
      </c>
      <c r="AB2213" s="394">
        <v>13.20415</v>
      </c>
      <c r="AC2213" s="394">
        <v>12.270250000000001</v>
      </c>
      <c r="AD2213" s="394"/>
      <c r="AE2213" s="394"/>
      <c r="AF2213" s="394">
        <v>0</v>
      </c>
      <c r="AG2213" s="394">
        <v>0</v>
      </c>
      <c r="AH2213" s="394">
        <v>0.44627</v>
      </c>
      <c r="AI2213" s="394">
        <v>12.270250000000001</v>
      </c>
      <c r="AJ2213" s="394"/>
      <c r="AK2213" s="381" t="s">
        <v>167</v>
      </c>
      <c r="AL2213" s="408" t="s">
        <v>175</v>
      </c>
      <c r="AM2213" s="385"/>
      <c r="AN2213" s="475">
        <v>1000</v>
      </c>
      <c r="AO2213" s="395"/>
      <c r="AP2213" s="395">
        <f t="shared" si="1039"/>
        <v>15.11843</v>
      </c>
      <c r="AQ2213" s="393"/>
      <c r="AR2213" s="523"/>
      <c r="AS2213" s="497"/>
      <c r="AT2213" s="573"/>
      <c r="AU2213" s="394"/>
      <c r="AV2213" s="394"/>
      <c r="AW2213" s="394"/>
      <c r="AX2213" s="394"/>
      <c r="AY2213" s="394"/>
      <c r="AZ2213" s="394"/>
      <c r="BA2213" s="394"/>
      <c r="BB2213" s="394"/>
      <c r="BC2213" s="394"/>
      <c r="BD2213" s="381"/>
      <c r="BE2213" s="408"/>
      <c r="BF2213" s="385"/>
      <c r="BG2213" s="475"/>
      <c r="BH2213" s="395"/>
      <c r="BI2213" s="395" t="e">
        <f t="shared" si="1040"/>
        <v>#DIV/0!</v>
      </c>
    </row>
    <row r="2214" spans="1:61" s="358" customFormat="1" ht="19.2" x14ac:dyDescent="0.3">
      <c r="A2214" s="359" t="s">
        <v>404</v>
      </c>
      <c r="B2214" s="572" t="s">
        <v>3938</v>
      </c>
      <c r="C2214" s="546" t="s">
        <v>3044</v>
      </c>
      <c r="D2214" s="360">
        <v>0.4</v>
      </c>
      <c r="E2214" s="393"/>
      <c r="F2214" s="523"/>
      <c r="G2214" s="393"/>
      <c r="H2214" s="573"/>
      <c r="I2214" s="394"/>
      <c r="J2214" s="394"/>
      <c r="K2214" s="394"/>
      <c r="L2214" s="394"/>
      <c r="M2214" s="394"/>
      <c r="N2214" s="394"/>
      <c r="O2214" s="394"/>
      <c r="P2214" s="394"/>
      <c r="Q2214" s="394"/>
      <c r="R2214" s="381"/>
      <c r="S2214" s="408"/>
      <c r="T2214" s="385"/>
      <c r="U2214" s="475"/>
      <c r="V2214" s="395"/>
      <c r="W2214" s="395"/>
      <c r="X2214" s="393"/>
      <c r="Y2214" s="523">
        <v>1</v>
      </c>
      <c r="Z2214" s="497"/>
      <c r="AA2214" s="573">
        <v>15.11842</v>
      </c>
      <c r="AB2214" s="394">
        <v>13.204140000000001</v>
      </c>
      <c r="AC2214" s="394">
        <v>12.270250000000001</v>
      </c>
      <c r="AD2214" s="394"/>
      <c r="AE2214" s="394"/>
      <c r="AF2214" s="394">
        <v>0</v>
      </c>
      <c r="AG2214" s="394">
        <v>0</v>
      </c>
      <c r="AH2214" s="394">
        <v>0.44627</v>
      </c>
      <c r="AI2214" s="394">
        <v>12.270250000000001</v>
      </c>
      <c r="AJ2214" s="394"/>
      <c r="AK2214" s="381" t="s">
        <v>167</v>
      </c>
      <c r="AL2214" s="408" t="s">
        <v>175</v>
      </c>
      <c r="AM2214" s="385"/>
      <c r="AN2214" s="475">
        <v>1001</v>
      </c>
      <c r="AO2214" s="395"/>
      <c r="AP2214" s="395">
        <f t="shared" si="1039"/>
        <v>15.11842</v>
      </c>
      <c r="AQ2214" s="393"/>
      <c r="AR2214" s="523"/>
      <c r="AS2214" s="497"/>
      <c r="AT2214" s="573"/>
      <c r="AU2214" s="394"/>
      <c r="AV2214" s="394"/>
      <c r="AW2214" s="394"/>
      <c r="AX2214" s="394"/>
      <c r="AY2214" s="394"/>
      <c r="AZ2214" s="394"/>
      <c r="BA2214" s="394"/>
      <c r="BB2214" s="394"/>
      <c r="BC2214" s="394"/>
      <c r="BD2214" s="381"/>
      <c r="BE2214" s="408"/>
      <c r="BF2214" s="385"/>
      <c r="BG2214" s="475"/>
      <c r="BH2214" s="395"/>
      <c r="BI2214" s="395" t="e">
        <f t="shared" si="1040"/>
        <v>#DIV/0!</v>
      </c>
    </row>
    <row r="2215" spans="1:61" s="358" customFormat="1" ht="19.2" x14ac:dyDescent="0.3">
      <c r="A2215" s="359" t="s">
        <v>405</v>
      </c>
      <c r="B2215" s="572" t="s">
        <v>3939</v>
      </c>
      <c r="C2215" s="546" t="s">
        <v>3045</v>
      </c>
      <c r="D2215" s="360">
        <v>0.4</v>
      </c>
      <c r="E2215" s="393"/>
      <c r="F2215" s="523"/>
      <c r="G2215" s="393"/>
      <c r="H2215" s="573"/>
      <c r="I2215" s="394"/>
      <c r="J2215" s="394"/>
      <c r="K2215" s="394"/>
      <c r="L2215" s="394"/>
      <c r="M2215" s="394"/>
      <c r="N2215" s="394"/>
      <c r="O2215" s="394"/>
      <c r="P2215" s="394"/>
      <c r="Q2215" s="394"/>
      <c r="R2215" s="381"/>
      <c r="S2215" s="408"/>
      <c r="T2215" s="385"/>
      <c r="U2215" s="475"/>
      <c r="V2215" s="395"/>
      <c r="W2215" s="395"/>
      <c r="X2215" s="393"/>
      <c r="Y2215" s="523">
        <v>1</v>
      </c>
      <c r="Z2215" s="497"/>
      <c r="AA2215" s="573">
        <v>15.11843</v>
      </c>
      <c r="AB2215" s="394">
        <v>13.20415</v>
      </c>
      <c r="AC2215" s="394">
        <v>12.270250000000001</v>
      </c>
      <c r="AD2215" s="394"/>
      <c r="AE2215" s="394"/>
      <c r="AF2215" s="394">
        <v>0</v>
      </c>
      <c r="AG2215" s="394">
        <v>0</v>
      </c>
      <c r="AH2215" s="394">
        <v>0.44627</v>
      </c>
      <c r="AI2215" s="394">
        <v>12.270250000000001</v>
      </c>
      <c r="AJ2215" s="394"/>
      <c r="AK2215" s="381" t="s">
        <v>167</v>
      </c>
      <c r="AL2215" s="408" t="s">
        <v>175</v>
      </c>
      <c r="AM2215" s="385"/>
      <c r="AN2215" s="475">
        <v>1002</v>
      </c>
      <c r="AO2215" s="395"/>
      <c r="AP2215" s="395">
        <f t="shared" si="1039"/>
        <v>15.11843</v>
      </c>
      <c r="AQ2215" s="393"/>
      <c r="AR2215" s="523"/>
      <c r="AS2215" s="497"/>
      <c r="AT2215" s="573"/>
      <c r="AU2215" s="394"/>
      <c r="AV2215" s="394"/>
      <c r="AW2215" s="394"/>
      <c r="AX2215" s="394"/>
      <c r="AY2215" s="394"/>
      <c r="AZ2215" s="394"/>
      <c r="BA2215" s="394"/>
      <c r="BB2215" s="394"/>
      <c r="BC2215" s="394"/>
      <c r="BD2215" s="381"/>
      <c r="BE2215" s="408"/>
      <c r="BF2215" s="385"/>
      <c r="BG2215" s="475"/>
      <c r="BH2215" s="395"/>
      <c r="BI2215" s="395" t="e">
        <f t="shared" si="1040"/>
        <v>#DIV/0!</v>
      </c>
    </row>
    <row r="2216" spans="1:61" s="358" customFormat="1" ht="19.2" x14ac:dyDescent="0.3">
      <c r="A2216" s="359" t="s">
        <v>406</v>
      </c>
      <c r="B2216" s="572" t="s">
        <v>3940</v>
      </c>
      <c r="C2216" s="546" t="s">
        <v>3046</v>
      </c>
      <c r="D2216" s="360">
        <v>0.4</v>
      </c>
      <c r="E2216" s="393"/>
      <c r="F2216" s="523"/>
      <c r="G2216" s="393"/>
      <c r="H2216" s="573"/>
      <c r="I2216" s="394"/>
      <c r="J2216" s="394"/>
      <c r="K2216" s="394"/>
      <c r="L2216" s="394"/>
      <c r="M2216" s="394"/>
      <c r="N2216" s="394"/>
      <c r="O2216" s="394"/>
      <c r="P2216" s="394"/>
      <c r="Q2216" s="394"/>
      <c r="R2216" s="381"/>
      <c r="S2216" s="408"/>
      <c r="T2216" s="385"/>
      <c r="U2216" s="475"/>
      <c r="V2216" s="395"/>
      <c r="W2216" s="395"/>
      <c r="X2216" s="393"/>
      <c r="Y2216" s="523">
        <v>1</v>
      </c>
      <c r="Z2216" s="497"/>
      <c r="AA2216" s="573">
        <v>15.13111</v>
      </c>
      <c r="AB2216" s="394">
        <v>13.21683</v>
      </c>
      <c r="AC2216" s="394">
        <v>12.28293</v>
      </c>
      <c r="AD2216" s="394"/>
      <c r="AE2216" s="394"/>
      <c r="AF2216" s="394">
        <v>0</v>
      </c>
      <c r="AG2216" s="394">
        <v>0</v>
      </c>
      <c r="AH2216" s="394">
        <v>0.44627</v>
      </c>
      <c r="AI2216" s="394">
        <v>12.28293</v>
      </c>
      <c r="AJ2216" s="394"/>
      <c r="AK2216" s="381" t="s">
        <v>167</v>
      </c>
      <c r="AL2216" s="408" t="s">
        <v>175</v>
      </c>
      <c r="AM2216" s="385"/>
      <c r="AN2216" s="475">
        <v>1003</v>
      </c>
      <c r="AO2216" s="395"/>
      <c r="AP2216" s="395">
        <f t="shared" si="1039"/>
        <v>15.13111</v>
      </c>
      <c r="AQ2216" s="393"/>
      <c r="AR2216" s="523"/>
      <c r="AS2216" s="497"/>
      <c r="AT2216" s="573"/>
      <c r="AU2216" s="394"/>
      <c r="AV2216" s="394"/>
      <c r="AW2216" s="394"/>
      <c r="AX2216" s="394"/>
      <c r="AY2216" s="394"/>
      <c r="AZ2216" s="394"/>
      <c r="BA2216" s="394"/>
      <c r="BB2216" s="394"/>
      <c r="BC2216" s="394"/>
      <c r="BD2216" s="381"/>
      <c r="BE2216" s="408"/>
      <c r="BF2216" s="385"/>
      <c r="BG2216" s="475"/>
      <c r="BH2216" s="395"/>
      <c r="BI2216" s="395" t="e">
        <f t="shared" si="1040"/>
        <v>#DIV/0!</v>
      </c>
    </row>
    <row r="2217" spans="1:61" s="358" customFormat="1" ht="19.2" x14ac:dyDescent="0.3">
      <c r="A2217" s="359" t="s">
        <v>407</v>
      </c>
      <c r="B2217" s="572" t="s">
        <v>3941</v>
      </c>
      <c r="C2217" s="546" t="s">
        <v>3047</v>
      </c>
      <c r="D2217" s="360">
        <v>0.4</v>
      </c>
      <c r="E2217" s="393"/>
      <c r="F2217" s="523"/>
      <c r="G2217" s="393"/>
      <c r="H2217" s="573"/>
      <c r="I2217" s="394"/>
      <c r="J2217" s="394"/>
      <c r="K2217" s="394"/>
      <c r="L2217" s="394"/>
      <c r="M2217" s="394"/>
      <c r="N2217" s="394"/>
      <c r="O2217" s="394"/>
      <c r="P2217" s="394"/>
      <c r="Q2217" s="394"/>
      <c r="R2217" s="381"/>
      <c r="S2217" s="408"/>
      <c r="T2217" s="385"/>
      <c r="U2217" s="475"/>
      <c r="V2217" s="395"/>
      <c r="W2217" s="395"/>
      <c r="X2217" s="393"/>
      <c r="Y2217" s="523">
        <v>1</v>
      </c>
      <c r="Z2217" s="497"/>
      <c r="AA2217" s="573">
        <v>16.31212</v>
      </c>
      <c r="AB2217" s="394">
        <v>13.851610000000001</v>
      </c>
      <c r="AC2217" s="394">
        <v>12.2829</v>
      </c>
      <c r="AD2217" s="394"/>
      <c r="AE2217" s="394"/>
      <c r="AF2217" s="394">
        <v>0</v>
      </c>
      <c r="AG2217" s="394">
        <v>0</v>
      </c>
      <c r="AH2217" s="394">
        <v>0.57360999999999995</v>
      </c>
      <c r="AI2217" s="394">
        <v>12.2829</v>
      </c>
      <c r="AJ2217" s="394"/>
      <c r="AK2217" s="381" t="s">
        <v>167</v>
      </c>
      <c r="AL2217" s="408" t="s">
        <v>175</v>
      </c>
      <c r="AM2217" s="385"/>
      <c r="AN2217" s="475">
        <v>1004</v>
      </c>
      <c r="AO2217" s="395"/>
      <c r="AP2217" s="395">
        <f t="shared" si="1039"/>
        <v>16.31212</v>
      </c>
      <c r="AQ2217" s="393"/>
      <c r="AR2217" s="523"/>
      <c r="AS2217" s="497"/>
      <c r="AT2217" s="573"/>
      <c r="AU2217" s="394"/>
      <c r="AV2217" s="394"/>
      <c r="AW2217" s="394"/>
      <c r="AX2217" s="394"/>
      <c r="AY2217" s="394"/>
      <c r="AZ2217" s="394"/>
      <c r="BA2217" s="394"/>
      <c r="BB2217" s="394"/>
      <c r="BC2217" s="394"/>
      <c r="BD2217" s="381"/>
      <c r="BE2217" s="408"/>
      <c r="BF2217" s="385"/>
      <c r="BG2217" s="475"/>
      <c r="BH2217" s="395"/>
      <c r="BI2217" s="395" t="e">
        <f t="shared" si="1040"/>
        <v>#DIV/0!</v>
      </c>
    </row>
    <row r="2218" spans="1:61" s="358" customFormat="1" ht="19.2" x14ac:dyDescent="0.3">
      <c r="A2218" s="359" t="s">
        <v>408</v>
      </c>
      <c r="B2218" s="572" t="s">
        <v>3941</v>
      </c>
      <c r="C2218" s="546" t="s">
        <v>3048</v>
      </c>
      <c r="D2218" s="360">
        <v>0.4</v>
      </c>
      <c r="E2218" s="393"/>
      <c r="F2218" s="523"/>
      <c r="G2218" s="393"/>
      <c r="H2218" s="573"/>
      <c r="I2218" s="394"/>
      <c r="J2218" s="394"/>
      <c r="K2218" s="394"/>
      <c r="L2218" s="394"/>
      <c r="M2218" s="394"/>
      <c r="N2218" s="394"/>
      <c r="O2218" s="394"/>
      <c r="P2218" s="394"/>
      <c r="Q2218" s="394"/>
      <c r="R2218" s="381"/>
      <c r="S2218" s="408"/>
      <c r="T2218" s="385"/>
      <c r="U2218" s="475"/>
      <c r="V2218" s="395"/>
      <c r="W2218" s="395"/>
      <c r="X2218" s="393"/>
      <c r="Y2218" s="523">
        <v>1</v>
      </c>
      <c r="Z2218" s="497"/>
      <c r="AA2218" s="573">
        <v>16.312110000000001</v>
      </c>
      <c r="AB2218" s="394">
        <v>13.851599999999999</v>
      </c>
      <c r="AC2218" s="394">
        <v>12.2829</v>
      </c>
      <c r="AD2218" s="394"/>
      <c r="AE2218" s="394"/>
      <c r="AF2218" s="394">
        <v>0</v>
      </c>
      <c r="AG2218" s="394">
        <v>0</v>
      </c>
      <c r="AH2218" s="394">
        <v>0.57360999999999995</v>
      </c>
      <c r="AI2218" s="394">
        <v>12.2829</v>
      </c>
      <c r="AJ2218" s="394"/>
      <c r="AK2218" s="381" t="s">
        <v>167</v>
      </c>
      <c r="AL2218" s="408" t="s">
        <v>175</v>
      </c>
      <c r="AM2218" s="385"/>
      <c r="AN2218" s="475">
        <v>1005</v>
      </c>
      <c r="AO2218" s="395"/>
      <c r="AP2218" s="395">
        <f t="shared" si="1039"/>
        <v>16.312110000000001</v>
      </c>
      <c r="AQ2218" s="393"/>
      <c r="AR2218" s="523"/>
      <c r="AS2218" s="497"/>
      <c r="AT2218" s="573"/>
      <c r="AU2218" s="394"/>
      <c r="AV2218" s="394"/>
      <c r="AW2218" s="394"/>
      <c r="AX2218" s="394"/>
      <c r="AY2218" s="394"/>
      <c r="AZ2218" s="394"/>
      <c r="BA2218" s="394"/>
      <c r="BB2218" s="394"/>
      <c r="BC2218" s="394"/>
      <c r="BD2218" s="381"/>
      <c r="BE2218" s="408"/>
      <c r="BF2218" s="385"/>
      <c r="BG2218" s="475"/>
      <c r="BH2218" s="395"/>
      <c r="BI2218" s="395" t="e">
        <f t="shared" si="1040"/>
        <v>#DIV/0!</v>
      </c>
    </row>
    <row r="2219" spans="1:61" s="358" customFormat="1" ht="19.2" x14ac:dyDescent="0.3">
      <c r="A2219" s="359" t="s">
        <v>1874</v>
      </c>
      <c r="B2219" s="572" t="s">
        <v>3942</v>
      </c>
      <c r="C2219" s="546" t="s">
        <v>3049</v>
      </c>
      <c r="D2219" s="360">
        <v>0.4</v>
      </c>
      <c r="E2219" s="393"/>
      <c r="F2219" s="523"/>
      <c r="G2219" s="393"/>
      <c r="H2219" s="573"/>
      <c r="I2219" s="394"/>
      <c r="J2219" s="394"/>
      <c r="K2219" s="394"/>
      <c r="L2219" s="394"/>
      <c r="M2219" s="394"/>
      <c r="N2219" s="394"/>
      <c r="O2219" s="394"/>
      <c r="P2219" s="394"/>
      <c r="Q2219" s="394"/>
      <c r="R2219" s="381"/>
      <c r="S2219" s="408"/>
      <c r="T2219" s="385"/>
      <c r="U2219" s="475"/>
      <c r="V2219" s="395"/>
      <c r="W2219" s="395"/>
      <c r="X2219" s="393"/>
      <c r="Y2219" s="523">
        <v>1</v>
      </c>
      <c r="Z2219" s="497"/>
      <c r="AA2219" s="573">
        <v>15.11843</v>
      </c>
      <c r="AB2219" s="394">
        <v>13.20415</v>
      </c>
      <c r="AC2219" s="394">
        <v>12.270250000000001</v>
      </c>
      <c r="AD2219" s="394"/>
      <c r="AE2219" s="394"/>
      <c r="AF2219" s="394">
        <v>0</v>
      </c>
      <c r="AG2219" s="394">
        <v>0</v>
      </c>
      <c r="AH2219" s="394">
        <v>0.44627</v>
      </c>
      <c r="AI2219" s="394">
        <v>12.270250000000001</v>
      </c>
      <c r="AJ2219" s="394"/>
      <c r="AK2219" s="381" t="s">
        <v>167</v>
      </c>
      <c r="AL2219" s="408" t="s">
        <v>175</v>
      </c>
      <c r="AM2219" s="385"/>
      <c r="AN2219" s="475">
        <v>1006</v>
      </c>
      <c r="AO2219" s="395"/>
      <c r="AP2219" s="395">
        <f t="shared" si="1039"/>
        <v>15.11843</v>
      </c>
      <c r="AQ2219" s="393"/>
      <c r="AR2219" s="523"/>
      <c r="AS2219" s="497"/>
      <c r="AT2219" s="573"/>
      <c r="AU2219" s="394"/>
      <c r="AV2219" s="394"/>
      <c r="AW2219" s="394"/>
      <c r="AX2219" s="394"/>
      <c r="AY2219" s="394"/>
      <c r="AZ2219" s="394"/>
      <c r="BA2219" s="394"/>
      <c r="BB2219" s="394"/>
      <c r="BC2219" s="394"/>
      <c r="BD2219" s="381"/>
      <c r="BE2219" s="408"/>
      <c r="BF2219" s="385"/>
      <c r="BG2219" s="475"/>
      <c r="BH2219" s="395"/>
      <c r="BI2219" s="395" t="e">
        <f t="shared" si="1040"/>
        <v>#DIV/0!</v>
      </c>
    </row>
    <row r="2220" spans="1:61" s="358" customFormat="1" ht="19.2" x14ac:dyDescent="0.3">
      <c r="A2220" s="359" t="s">
        <v>1859</v>
      </c>
      <c r="B2220" s="572" t="s">
        <v>3943</v>
      </c>
      <c r="C2220" s="546" t="s">
        <v>3050</v>
      </c>
      <c r="D2220" s="360">
        <v>0.4</v>
      </c>
      <c r="E2220" s="393"/>
      <c r="F2220" s="523"/>
      <c r="G2220" s="393"/>
      <c r="H2220" s="573"/>
      <c r="I2220" s="394"/>
      <c r="J2220" s="394"/>
      <c r="K2220" s="394"/>
      <c r="L2220" s="394"/>
      <c r="M2220" s="394"/>
      <c r="N2220" s="394"/>
      <c r="O2220" s="394"/>
      <c r="P2220" s="394"/>
      <c r="Q2220" s="394"/>
      <c r="R2220" s="381"/>
      <c r="S2220" s="408"/>
      <c r="T2220" s="385"/>
      <c r="U2220" s="475"/>
      <c r="V2220" s="395"/>
      <c r="W2220" s="395"/>
      <c r="X2220" s="393"/>
      <c r="Y2220" s="523">
        <v>1</v>
      </c>
      <c r="Z2220" s="497"/>
      <c r="AA2220" s="573">
        <v>15.11843</v>
      </c>
      <c r="AB2220" s="394">
        <v>13.20415</v>
      </c>
      <c r="AC2220" s="394">
        <v>12.270250000000001</v>
      </c>
      <c r="AD2220" s="394"/>
      <c r="AE2220" s="394"/>
      <c r="AF2220" s="394">
        <v>0</v>
      </c>
      <c r="AG2220" s="394">
        <v>0</v>
      </c>
      <c r="AH2220" s="394">
        <v>0.44627</v>
      </c>
      <c r="AI2220" s="394">
        <v>12.270250000000001</v>
      </c>
      <c r="AJ2220" s="394"/>
      <c r="AK2220" s="381" t="s">
        <v>167</v>
      </c>
      <c r="AL2220" s="408" t="s">
        <v>175</v>
      </c>
      <c r="AM2220" s="385"/>
      <c r="AN2220" s="475">
        <v>1007</v>
      </c>
      <c r="AO2220" s="395"/>
      <c r="AP2220" s="395">
        <f t="shared" si="1039"/>
        <v>15.11843</v>
      </c>
      <c r="AQ2220" s="393"/>
      <c r="AR2220" s="523"/>
      <c r="AS2220" s="497"/>
      <c r="AT2220" s="573"/>
      <c r="AU2220" s="394"/>
      <c r="AV2220" s="394"/>
      <c r="AW2220" s="394"/>
      <c r="AX2220" s="394"/>
      <c r="AY2220" s="394"/>
      <c r="AZ2220" s="394"/>
      <c r="BA2220" s="394"/>
      <c r="BB2220" s="394"/>
      <c r="BC2220" s="394"/>
      <c r="BD2220" s="381"/>
      <c r="BE2220" s="408"/>
      <c r="BF2220" s="385"/>
      <c r="BG2220" s="475"/>
      <c r="BH2220" s="395"/>
      <c r="BI2220" s="395" t="e">
        <f t="shared" si="1040"/>
        <v>#DIV/0!</v>
      </c>
    </row>
    <row r="2221" spans="1:61" s="358" customFormat="1" ht="19.2" x14ac:dyDescent="0.3">
      <c r="A2221" s="359" t="s">
        <v>1860</v>
      </c>
      <c r="B2221" s="572" t="s">
        <v>3944</v>
      </c>
      <c r="C2221" s="546" t="s">
        <v>3051</v>
      </c>
      <c r="D2221" s="360">
        <v>0.4</v>
      </c>
      <c r="E2221" s="393"/>
      <c r="F2221" s="523"/>
      <c r="G2221" s="393"/>
      <c r="H2221" s="573"/>
      <c r="I2221" s="394"/>
      <c r="J2221" s="394"/>
      <c r="K2221" s="394"/>
      <c r="L2221" s="394"/>
      <c r="M2221" s="394"/>
      <c r="N2221" s="394"/>
      <c r="O2221" s="394"/>
      <c r="P2221" s="394"/>
      <c r="Q2221" s="394"/>
      <c r="R2221" s="381"/>
      <c r="S2221" s="408"/>
      <c r="T2221" s="385"/>
      <c r="U2221" s="475"/>
      <c r="V2221" s="395"/>
      <c r="W2221" s="395"/>
      <c r="X2221" s="393"/>
      <c r="Y2221" s="523">
        <v>1</v>
      </c>
      <c r="Z2221" s="497"/>
      <c r="AA2221" s="573">
        <v>15.13111</v>
      </c>
      <c r="AB2221" s="394">
        <v>13.21683</v>
      </c>
      <c r="AC2221" s="394">
        <v>12.28293</v>
      </c>
      <c r="AD2221" s="394"/>
      <c r="AE2221" s="394"/>
      <c r="AF2221" s="394">
        <v>0</v>
      </c>
      <c r="AG2221" s="394">
        <v>0</v>
      </c>
      <c r="AH2221" s="394">
        <v>0.44627</v>
      </c>
      <c r="AI2221" s="394">
        <v>12.28293</v>
      </c>
      <c r="AJ2221" s="394"/>
      <c r="AK2221" s="381" t="s">
        <v>167</v>
      </c>
      <c r="AL2221" s="408" t="s">
        <v>175</v>
      </c>
      <c r="AM2221" s="385"/>
      <c r="AN2221" s="475">
        <v>1008</v>
      </c>
      <c r="AO2221" s="395"/>
      <c r="AP2221" s="395">
        <f t="shared" si="1039"/>
        <v>15.13111</v>
      </c>
      <c r="AQ2221" s="393"/>
      <c r="AR2221" s="523"/>
      <c r="AS2221" s="497"/>
      <c r="AT2221" s="573"/>
      <c r="AU2221" s="394"/>
      <c r="AV2221" s="394"/>
      <c r="AW2221" s="394"/>
      <c r="AX2221" s="394"/>
      <c r="AY2221" s="394"/>
      <c r="AZ2221" s="394"/>
      <c r="BA2221" s="394"/>
      <c r="BB2221" s="394"/>
      <c r="BC2221" s="394"/>
      <c r="BD2221" s="381"/>
      <c r="BE2221" s="408"/>
      <c r="BF2221" s="385"/>
      <c r="BG2221" s="475"/>
      <c r="BH2221" s="395"/>
      <c r="BI2221" s="395" t="e">
        <f t="shared" si="1040"/>
        <v>#DIV/0!</v>
      </c>
    </row>
    <row r="2222" spans="1:61" s="358" customFormat="1" ht="19.2" x14ac:dyDescent="0.3">
      <c r="A2222" s="359" t="s">
        <v>1861</v>
      </c>
      <c r="B2222" s="572" t="s">
        <v>3945</v>
      </c>
      <c r="C2222" s="546" t="s">
        <v>3052</v>
      </c>
      <c r="D2222" s="360">
        <v>0.4</v>
      </c>
      <c r="E2222" s="393"/>
      <c r="F2222" s="523"/>
      <c r="G2222" s="393"/>
      <c r="H2222" s="573"/>
      <c r="I2222" s="394"/>
      <c r="J2222" s="394"/>
      <c r="K2222" s="394"/>
      <c r="L2222" s="394"/>
      <c r="M2222" s="394"/>
      <c r="N2222" s="394"/>
      <c r="O2222" s="394"/>
      <c r="P2222" s="394"/>
      <c r="Q2222" s="394"/>
      <c r="R2222" s="381"/>
      <c r="S2222" s="408"/>
      <c r="T2222" s="385"/>
      <c r="U2222" s="475"/>
      <c r="V2222" s="395"/>
      <c r="W2222" s="395"/>
      <c r="X2222" s="393"/>
      <c r="Y2222" s="523">
        <v>1</v>
      </c>
      <c r="Z2222" s="497"/>
      <c r="AA2222" s="573">
        <v>15.1311</v>
      </c>
      <c r="AB2222" s="394">
        <v>13.21682</v>
      </c>
      <c r="AC2222" s="394">
        <v>12.28293</v>
      </c>
      <c r="AD2222" s="394"/>
      <c r="AE2222" s="394"/>
      <c r="AF2222" s="394">
        <v>0</v>
      </c>
      <c r="AG2222" s="394">
        <v>0</v>
      </c>
      <c r="AH2222" s="394">
        <v>0.44627</v>
      </c>
      <c r="AI2222" s="394">
        <v>12.28293</v>
      </c>
      <c r="AJ2222" s="394"/>
      <c r="AK2222" s="381" t="s">
        <v>167</v>
      </c>
      <c r="AL2222" s="408" t="s">
        <v>175</v>
      </c>
      <c r="AM2222" s="385"/>
      <c r="AN2222" s="475">
        <v>1009</v>
      </c>
      <c r="AO2222" s="395"/>
      <c r="AP2222" s="395">
        <f t="shared" si="1039"/>
        <v>15.1311</v>
      </c>
      <c r="AQ2222" s="393"/>
      <c r="AR2222" s="523"/>
      <c r="AS2222" s="497"/>
      <c r="AT2222" s="573"/>
      <c r="AU2222" s="394"/>
      <c r="AV2222" s="394"/>
      <c r="AW2222" s="394"/>
      <c r="AX2222" s="394"/>
      <c r="AY2222" s="394"/>
      <c r="AZ2222" s="394"/>
      <c r="BA2222" s="394"/>
      <c r="BB2222" s="394"/>
      <c r="BC2222" s="394"/>
      <c r="BD2222" s="381"/>
      <c r="BE2222" s="408"/>
      <c r="BF2222" s="385"/>
      <c r="BG2222" s="475"/>
      <c r="BH2222" s="395"/>
      <c r="BI2222" s="395" t="e">
        <f t="shared" si="1040"/>
        <v>#DIV/0!</v>
      </c>
    </row>
    <row r="2223" spans="1:61" s="358" customFormat="1" ht="19.2" x14ac:dyDescent="0.3">
      <c r="A2223" s="359" t="s">
        <v>1878</v>
      </c>
      <c r="B2223" s="572" t="s">
        <v>3946</v>
      </c>
      <c r="C2223" s="546" t="s">
        <v>3053</v>
      </c>
      <c r="D2223" s="360">
        <v>0.4</v>
      </c>
      <c r="E2223" s="393"/>
      <c r="F2223" s="523"/>
      <c r="G2223" s="393"/>
      <c r="H2223" s="573"/>
      <c r="I2223" s="394"/>
      <c r="J2223" s="394"/>
      <c r="K2223" s="394"/>
      <c r="L2223" s="394"/>
      <c r="M2223" s="394"/>
      <c r="N2223" s="394"/>
      <c r="O2223" s="394"/>
      <c r="P2223" s="394"/>
      <c r="Q2223" s="394"/>
      <c r="R2223" s="381"/>
      <c r="S2223" s="408"/>
      <c r="T2223" s="385"/>
      <c r="U2223" s="475"/>
      <c r="V2223" s="395"/>
      <c r="W2223" s="395"/>
      <c r="X2223" s="393"/>
      <c r="Y2223" s="523">
        <v>1</v>
      </c>
      <c r="Z2223" s="497"/>
      <c r="AA2223" s="573">
        <v>16.312110000000001</v>
      </c>
      <c r="AB2223" s="394">
        <v>13.851599999999999</v>
      </c>
      <c r="AC2223" s="394">
        <v>12.2829</v>
      </c>
      <c r="AD2223" s="394"/>
      <c r="AE2223" s="394"/>
      <c r="AF2223" s="394">
        <v>0</v>
      </c>
      <c r="AG2223" s="394">
        <v>0</v>
      </c>
      <c r="AH2223" s="394">
        <v>0.57360999999999995</v>
      </c>
      <c r="AI2223" s="394">
        <v>12.2829</v>
      </c>
      <c r="AJ2223" s="394"/>
      <c r="AK2223" s="381" t="s">
        <v>167</v>
      </c>
      <c r="AL2223" s="408" t="s">
        <v>175</v>
      </c>
      <c r="AM2223" s="385"/>
      <c r="AN2223" s="475">
        <v>1010</v>
      </c>
      <c r="AO2223" s="395"/>
      <c r="AP2223" s="395">
        <f t="shared" si="1039"/>
        <v>16.312110000000001</v>
      </c>
      <c r="AQ2223" s="393"/>
      <c r="AR2223" s="523"/>
      <c r="AS2223" s="497"/>
      <c r="AT2223" s="573"/>
      <c r="AU2223" s="394"/>
      <c r="AV2223" s="394"/>
      <c r="AW2223" s="394"/>
      <c r="AX2223" s="394"/>
      <c r="AY2223" s="394"/>
      <c r="AZ2223" s="394"/>
      <c r="BA2223" s="394"/>
      <c r="BB2223" s="394"/>
      <c r="BC2223" s="394"/>
      <c r="BD2223" s="381"/>
      <c r="BE2223" s="408"/>
      <c r="BF2223" s="385"/>
      <c r="BG2223" s="475"/>
      <c r="BH2223" s="395"/>
      <c r="BI2223" s="395" t="e">
        <f t="shared" si="1040"/>
        <v>#DIV/0!</v>
      </c>
    </row>
    <row r="2224" spans="1:61" s="358" customFormat="1" ht="19.2" x14ac:dyDescent="0.3">
      <c r="A2224" s="359" t="s">
        <v>1863</v>
      </c>
      <c r="B2224" s="572" t="s">
        <v>3947</v>
      </c>
      <c r="C2224" s="546" t="s">
        <v>3054</v>
      </c>
      <c r="D2224" s="360">
        <v>0.4</v>
      </c>
      <c r="E2224" s="393"/>
      <c r="F2224" s="523"/>
      <c r="G2224" s="393"/>
      <c r="H2224" s="573"/>
      <c r="I2224" s="394"/>
      <c r="J2224" s="394"/>
      <c r="K2224" s="394"/>
      <c r="L2224" s="394"/>
      <c r="M2224" s="394"/>
      <c r="N2224" s="394"/>
      <c r="O2224" s="394"/>
      <c r="P2224" s="394"/>
      <c r="Q2224" s="394"/>
      <c r="R2224" s="381"/>
      <c r="S2224" s="408"/>
      <c r="T2224" s="385"/>
      <c r="U2224" s="475"/>
      <c r="V2224" s="395"/>
      <c r="W2224" s="395"/>
      <c r="X2224" s="393"/>
      <c r="Y2224" s="523">
        <v>1</v>
      </c>
      <c r="Z2224" s="497"/>
      <c r="AA2224" s="573">
        <v>15.1311</v>
      </c>
      <c r="AB2224" s="394">
        <v>13.21682</v>
      </c>
      <c r="AC2224" s="394">
        <v>12.28293</v>
      </c>
      <c r="AD2224" s="394"/>
      <c r="AE2224" s="394"/>
      <c r="AF2224" s="394">
        <v>0</v>
      </c>
      <c r="AG2224" s="394">
        <v>0</v>
      </c>
      <c r="AH2224" s="394">
        <v>0.44627</v>
      </c>
      <c r="AI2224" s="394">
        <v>12.28293</v>
      </c>
      <c r="AJ2224" s="394"/>
      <c r="AK2224" s="381" t="s">
        <v>167</v>
      </c>
      <c r="AL2224" s="408" t="s">
        <v>175</v>
      </c>
      <c r="AM2224" s="385"/>
      <c r="AN2224" s="475">
        <v>1011</v>
      </c>
      <c r="AO2224" s="395"/>
      <c r="AP2224" s="395">
        <f t="shared" si="1039"/>
        <v>15.1311</v>
      </c>
      <c r="AQ2224" s="393"/>
      <c r="AR2224" s="523"/>
      <c r="AS2224" s="497"/>
      <c r="AT2224" s="573"/>
      <c r="AU2224" s="394"/>
      <c r="AV2224" s="394"/>
      <c r="AW2224" s="394"/>
      <c r="AX2224" s="394"/>
      <c r="AY2224" s="394"/>
      <c r="AZ2224" s="394"/>
      <c r="BA2224" s="394"/>
      <c r="BB2224" s="394"/>
      <c r="BC2224" s="394"/>
      <c r="BD2224" s="381"/>
      <c r="BE2224" s="408"/>
      <c r="BF2224" s="385"/>
      <c r="BG2224" s="475"/>
      <c r="BH2224" s="395"/>
      <c r="BI2224" s="395" t="e">
        <f t="shared" si="1040"/>
        <v>#DIV/0!</v>
      </c>
    </row>
    <row r="2225" spans="1:61" s="358" customFormat="1" ht="19.2" x14ac:dyDescent="0.3">
      <c r="A2225" s="359" t="s">
        <v>1864</v>
      </c>
      <c r="B2225" s="572" t="s">
        <v>2463</v>
      </c>
      <c r="C2225" s="546" t="s">
        <v>2462</v>
      </c>
      <c r="D2225" s="360">
        <v>0.4</v>
      </c>
      <c r="E2225" s="393"/>
      <c r="F2225" s="523"/>
      <c r="G2225" s="393"/>
      <c r="H2225" s="573"/>
      <c r="I2225" s="394"/>
      <c r="J2225" s="394"/>
      <c r="K2225" s="394"/>
      <c r="L2225" s="394"/>
      <c r="M2225" s="394"/>
      <c r="N2225" s="394"/>
      <c r="O2225" s="394"/>
      <c r="P2225" s="394"/>
      <c r="Q2225" s="394"/>
      <c r="R2225" s="381"/>
      <c r="S2225" s="408"/>
      <c r="T2225" s="385"/>
      <c r="U2225" s="475"/>
      <c r="V2225" s="395"/>
      <c r="W2225" s="395"/>
      <c r="X2225" s="393"/>
      <c r="Y2225" s="523">
        <v>1</v>
      </c>
      <c r="Z2225" s="497"/>
      <c r="AA2225" s="573">
        <v>15.1311</v>
      </c>
      <c r="AB2225" s="394">
        <v>13.21682</v>
      </c>
      <c r="AC2225" s="394">
        <v>12.28293</v>
      </c>
      <c r="AD2225" s="394"/>
      <c r="AE2225" s="394"/>
      <c r="AF2225" s="394">
        <v>0</v>
      </c>
      <c r="AG2225" s="394">
        <v>0</v>
      </c>
      <c r="AH2225" s="394">
        <v>0.44627</v>
      </c>
      <c r="AI2225" s="394">
        <v>12.28293</v>
      </c>
      <c r="AJ2225" s="394"/>
      <c r="AK2225" s="381" t="s">
        <v>167</v>
      </c>
      <c r="AL2225" s="408" t="s">
        <v>175</v>
      </c>
      <c r="AM2225" s="385"/>
      <c r="AN2225" s="475">
        <v>1012</v>
      </c>
      <c r="AO2225" s="395"/>
      <c r="AP2225" s="395">
        <f t="shared" si="1039"/>
        <v>15.1311</v>
      </c>
      <c r="AQ2225" s="393"/>
      <c r="AR2225" s="523"/>
      <c r="AS2225" s="497"/>
      <c r="AT2225" s="573"/>
      <c r="AU2225" s="394"/>
      <c r="AV2225" s="394"/>
      <c r="AW2225" s="394"/>
      <c r="AX2225" s="394"/>
      <c r="AY2225" s="394"/>
      <c r="AZ2225" s="394"/>
      <c r="BA2225" s="394"/>
      <c r="BB2225" s="394"/>
      <c r="BC2225" s="394"/>
      <c r="BD2225" s="381"/>
      <c r="BE2225" s="408"/>
      <c r="BF2225" s="385"/>
      <c r="BG2225" s="475"/>
      <c r="BH2225" s="395"/>
      <c r="BI2225" s="395" t="e">
        <f t="shared" si="1040"/>
        <v>#DIV/0!</v>
      </c>
    </row>
    <row r="2226" spans="1:61" s="358" customFormat="1" ht="19.2" x14ac:dyDescent="0.3">
      <c r="A2226" s="359" t="s">
        <v>400</v>
      </c>
      <c r="B2226" s="572" t="s">
        <v>3948</v>
      </c>
      <c r="C2226" s="546" t="s">
        <v>3055</v>
      </c>
      <c r="D2226" s="360">
        <v>0.4</v>
      </c>
      <c r="E2226" s="393"/>
      <c r="F2226" s="523"/>
      <c r="G2226" s="393"/>
      <c r="H2226" s="573"/>
      <c r="I2226" s="394"/>
      <c r="J2226" s="394"/>
      <c r="K2226" s="394"/>
      <c r="L2226" s="394"/>
      <c r="M2226" s="394"/>
      <c r="N2226" s="394"/>
      <c r="O2226" s="394"/>
      <c r="P2226" s="394"/>
      <c r="Q2226" s="394"/>
      <c r="R2226" s="381"/>
      <c r="S2226" s="408"/>
      <c r="T2226" s="385"/>
      <c r="U2226" s="475"/>
      <c r="V2226" s="395"/>
      <c r="W2226" s="395"/>
      <c r="X2226" s="393"/>
      <c r="Y2226" s="523">
        <v>1</v>
      </c>
      <c r="Z2226" s="497"/>
      <c r="AA2226" s="573">
        <v>16.254200000000001</v>
      </c>
      <c r="AB2226" s="394">
        <v>13.79369</v>
      </c>
      <c r="AC2226" s="394">
        <v>12.28288</v>
      </c>
      <c r="AD2226" s="394"/>
      <c r="AE2226" s="394"/>
      <c r="AF2226" s="394">
        <v>0</v>
      </c>
      <c r="AG2226" s="394">
        <v>0</v>
      </c>
      <c r="AH2226" s="394">
        <v>0.57360999999999995</v>
      </c>
      <c r="AI2226" s="394">
        <v>12.28288</v>
      </c>
      <c r="AJ2226" s="394"/>
      <c r="AK2226" s="381" t="s">
        <v>167</v>
      </c>
      <c r="AL2226" s="408" t="s">
        <v>175</v>
      </c>
      <c r="AM2226" s="385"/>
      <c r="AN2226" s="475">
        <v>1013</v>
      </c>
      <c r="AO2226" s="395"/>
      <c r="AP2226" s="395">
        <f t="shared" si="1039"/>
        <v>16.254200000000001</v>
      </c>
      <c r="AQ2226" s="393"/>
      <c r="AR2226" s="523"/>
      <c r="AS2226" s="497"/>
      <c r="AT2226" s="573"/>
      <c r="AU2226" s="394"/>
      <c r="AV2226" s="394"/>
      <c r="AW2226" s="394"/>
      <c r="AX2226" s="394"/>
      <c r="AY2226" s="394"/>
      <c r="AZ2226" s="394"/>
      <c r="BA2226" s="394"/>
      <c r="BB2226" s="394"/>
      <c r="BC2226" s="394"/>
      <c r="BD2226" s="381"/>
      <c r="BE2226" s="408"/>
      <c r="BF2226" s="385"/>
      <c r="BG2226" s="475"/>
      <c r="BH2226" s="395"/>
      <c r="BI2226" s="395" t="e">
        <f t="shared" si="1040"/>
        <v>#DIV/0!</v>
      </c>
    </row>
    <row r="2227" spans="1:61" s="358" customFormat="1" ht="19.2" x14ac:dyDescent="0.3">
      <c r="A2227" s="359" t="s">
        <v>1866</v>
      </c>
      <c r="B2227" s="572" t="s">
        <v>3949</v>
      </c>
      <c r="C2227" s="546" t="s">
        <v>3056</v>
      </c>
      <c r="D2227" s="360">
        <v>0.4</v>
      </c>
      <c r="E2227" s="393"/>
      <c r="F2227" s="523"/>
      <c r="G2227" s="393"/>
      <c r="H2227" s="573"/>
      <c r="I2227" s="394"/>
      <c r="J2227" s="394"/>
      <c r="K2227" s="394"/>
      <c r="L2227" s="394"/>
      <c r="M2227" s="394"/>
      <c r="N2227" s="394"/>
      <c r="O2227" s="394"/>
      <c r="P2227" s="394"/>
      <c r="Q2227" s="394"/>
      <c r="R2227" s="381"/>
      <c r="S2227" s="408"/>
      <c r="T2227" s="385"/>
      <c r="U2227" s="475"/>
      <c r="V2227" s="395"/>
      <c r="W2227" s="395"/>
      <c r="X2227" s="393"/>
      <c r="Y2227" s="523">
        <v>1</v>
      </c>
      <c r="Z2227" s="497"/>
      <c r="AA2227" s="573">
        <v>16.254200000000001</v>
      </c>
      <c r="AB2227" s="394">
        <v>13.79369</v>
      </c>
      <c r="AC2227" s="394">
        <v>12.28288</v>
      </c>
      <c r="AD2227" s="394"/>
      <c r="AE2227" s="394"/>
      <c r="AF2227" s="394">
        <v>0</v>
      </c>
      <c r="AG2227" s="394">
        <v>0</v>
      </c>
      <c r="AH2227" s="394">
        <v>0.57360999999999995</v>
      </c>
      <c r="AI2227" s="394">
        <v>12.28288</v>
      </c>
      <c r="AJ2227" s="394"/>
      <c r="AK2227" s="381" t="s">
        <v>167</v>
      </c>
      <c r="AL2227" s="408" t="s">
        <v>175</v>
      </c>
      <c r="AM2227" s="385"/>
      <c r="AN2227" s="475">
        <v>1014</v>
      </c>
      <c r="AO2227" s="395"/>
      <c r="AP2227" s="395">
        <f t="shared" si="1039"/>
        <v>16.254200000000001</v>
      </c>
      <c r="AQ2227" s="393"/>
      <c r="AR2227" s="523"/>
      <c r="AS2227" s="497"/>
      <c r="AT2227" s="573"/>
      <c r="AU2227" s="394"/>
      <c r="AV2227" s="394"/>
      <c r="AW2227" s="394"/>
      <c r="AX2227" s="394"/>
      <c r="AY2227" s="394"/>
      <c r="AZ2227" s="394"/>
      <c r="BA2227" s="394"/>
      <c r="BB2227" s="394"/>
      <c r="BC2227" s="394"/>
      <c r="BD2227" s="381"/>
      <c r="BE2227" s="408"/>
      <c r="BF2227" s="385"/>
      <c r="BG2227" s="475"/>
      <c r="BH2227" s="395"/>
      <c r="BI2227" s="395" t="e">
        <f t="shared" si="1040"/>
        <v>#DIV/0!</v>
      </c>
    </row>
    <row r="2228" spans="1:61" s="358" customFormat="1" ht="19.2" x14ac:dyDescent="0.3">
      <c r="A2228" s="359" t="s">
        <v>1867</v>
      </c>
      <c r="B2228" s="572" t="s">
        <v>3950</v>
      </c>
      <c r="C2228" s="546" t="s">
        <v>3057</v>
      </c>
      <c r="D2228" s="360">
        <v>0.4</v>
      </c>
      <c r="E2228" s="393"/>
      <c r="F2228" s="523"/>
      <c r="G2228" s="393"/>
      <c r="H2228" s="573"/>
      <c r="I2228" s="394"/>
      <c r="J2228" s="394"/>
      <c r="K2228" s="394"/>
      <c r="L2228" s="394"/>
      <c r="M2228" s="394"/>
      <c r="N2228" s="394"/>
      <c r="O2228" s="394"/>
      <c r="P2228" s="394"/>
      <c r="Q2228" s="394"/>
      <c r="R2228" s="381"/>
      <c r="S2228" s="408"/>
      <c r="T2228" s="385"/>
      <c r="U2228" s="475"/>
      <c r="V2228" s="395"/>
      <c r="W2228" s="395"/>
      <c r="X2228" s="393"/>
      <c r="Y2228" s="523">
        <v>1</v>
      </c>
      <c r="Z2228" s="497"/>
      <c r="AA2228" s="573">
        <v>15.925050000000001</v>
      </c>
      <c r="AB2228" s="394">
        <v>13.46454</v>
      </c>
      <c r="AC2228" s="394">
        <v>12.28294</v>
      </c>
      <c r="AD2228" s="394"/>
      <c r="AE2228" s="394"/>
      <c r="AF2228" s="394">
        <v>0</v>
      </c>
      <c r="AG2228" s="394">
        <v>0</v>
      </c>
      <c r="AH2228" s="394">
        <v>0.57360999999999995</v>
      </c>
      <c r="AI2228" s="394">
        <v>12.28294</v>
      </c>
      <c r="AJ2228" s="394"/>
      <c r="AK2228" s="381" t="s">
        <v>167</v>
      </c>
      <c r="AL2228" s="408" t="s">
        <v>175</v>
      </c>
      <c r="AM2228" s="385"/>
      <c r="AN2228" s="475">
        <v>1015</v>
      </c>
      <c r="AO2228" s="395"/>
      <c r="AP2228" s="395">
        <f t="shared" si="1039"/>
        <v>15.925050000000001</v>
      </c>
      <c r="AQ2228" s="393"/>
      <c r="AR2228" s="523"/>
      <c r="AS2228" s="497"/>
      <c r="AT2228" s="573"/>
      <c r="AU2228" s="394"/>
      <c r="AV2228" s="394"/>
      <c r="AW2228" s="394"/>
      <c r="AX2228" s="394"/>
      <c r="AY2228" s="394"/>
      <c r="AZ2228" s="394"/>
      <c r="BA2228" s="394"/>
      <c r="BB2228" s="394"/>
      <c r="BC2228" s="394"/>
      <c r="BD2228" s="381"/>
      <c r="BE2228" s="408"/>
      <c r="BF2228" s="385"/>
      <c r="BG2228" s="475"/>
      <c r="BH2228" s="395"/>
      <c r="BI2228" s="395" t="e">
        <f t="shared" si="1040"/>
        <v>#DIV/0!</v>
      </c>
    </row>
    <row r="2229" spans="1:61" s="358" customFormat="1" ht="19.2" x14ac:dyDescent="0.3">
      <c r="A2229" s="359" t="s">
        <v>1868</v>
      </c>
      <c r="B2229" s="572" t="s">
        <v>2434</v>
      </c>
      <c r="C2229" s="546" t="s">
        <v>2433</v>
      </c>
      <c r="D2229" s="360">
        <v>0.4</v>
      </c>
      <c r="E2229" s="393"/>
      <c r="F2229" s="523"/>
      <c r="G2229" s="393"/>
      <c r="H2229" s="573"/>
      <c r="I2229" s="394"/>
      <c r="J2229" s="394"/>
      <c r="K2229" s="394"/>
      <c r="L2229" s="394"/>
      <c r="M2229" s="394"/>
      <c r="N2229" s="394"/>
      <c r="O2229" s="394"/>
      <c r="P2229" s="394"/>
      <c r="Q2229" s="394"/>
      <c r="R2229" s="381"/>
      <c r="S2229" s="408"/>
      <c r="T2229" s="385"/>
      <c r="U2229" s="475"/>
      <c r="V2229" s="395"/>
      <c r="W2229" s="395"/>
      <c r="X2229" s="393"/>
      <c r="Y2229" s="523">
        <v>1</v>
      </c>
      <c r="Z2229" s="497"/>
      <c r="AA2229" s="573">
        <v>16.254200000000001</v>
      </c>
      <c r="AB2229" s="394">
        <v>13.79369</v>
      </c>
      <c r="AC2229" s="394">
        <v>12.28288</v>
      </c>
      <c r="AD2229" s="394"/>
      <c r="AE2229" s="394"/>
      <c r="AF2229" s="394">
        <v>0</v>
      </c>
      <c r="AG2229" s="394">
        <v>0</v>
      </c>
      <c r="AH2229" s="394">
        <v>0.57360999999999995</v>
      </c>
      <c r="AI2229" s="394">
        <v>12.28288</v>
      </c>
      <c r="AJ2229" s="394"/>
      <c r="AK2229" s="381" t="s">
        <v>167</v>
      </c>
      <c r="AL2229" s="408" t="s">
        <v>175</v>
      </c>
      <c r="AM2229" s="385"/>
      <c r="AN2229" s="475">
        <v>1016</v>
      </c>
      <c r="AO2229" s="395"/>
      <c r="AP2229" s="395">
        <f t="shared" si="1039"/>
        <v>16.254200000000001</v>
      </c>
      <c r="AQ2229" s="393"/>
      <c r="AR2229" s="523"/>
      <c r="AS2229" s="497"/>
      <c r="AT2229" s="573"/>
      <c r="AU2229" s="394"/>
      <c r="AV2229" s="394"/>
      <c r="AW2229" s="394"/>
      <c r="AX2229" s="394"/>
      <c r="AY2229" s="394"/>
      <c r="AZ2229" s="394"/>
      <c r="BA2229" s="394"/>
      <c r="BB2229" s="394"/>
      <c r="BC2229" s="394"/>
      <c r="BD2229" s="381"/>
      <c r="BE2229" s="408"/>
      <c r="BF2229" s="385"/>
      <c r="BG2229" s="475"/>
      <c r="BH2229" s="395"/>
      <c r="BI2229" s="395" t="e">
        <f t="shared" si="1040"/>
        <v>#DIV/0!</v>
      </c>
    </row>
    <row r="2230" spans="1:61" s="358" customFormat="1" ht="19.2" x14ac:dyDescent="0.3">
      <c r="A2230" s="359" t="s">
        <v>1869</v>
      </c>
      <c r="B2230" s="572" t="s">
        <v>2376</v>
      </c>
      <c r="C2230" s="546" t="s">
        <v>2375</v>
      </c>
      <c r="D2230" s="360">
        <v>0.4</v>
      </c>
      <c r="E2230" s="393"/>
      <c r="F2230" s="523"/>
      <c r="G2230" s="393"/>
      <c r="H2230" s="573"/>
      <c r="I2230" s="394"/>
      <c r="J2230" s="394"/>
      <c r="K2230" s="394"/>
      <c r="L2230" s="394"/>
      <c r="M2230" s="394"/>
      <c r="N2230" s="394"/>
      <c r="O2230" s="394"/>
      <c r="P2230" s="394"/>
      <c r="Q2230" s="394"/>
      <c r="R2230" s="381"/>
      <c r="S2230" s="408"/>
      <c r="T2230" s="385"/>
      <c r="U2230" s="475"/>
      <c r="V2230" s="395"/>
      <c r="W2230" s="395"/>
      <c r="X2230" s="393"/>
      <c r="Y2230" s="523">
        <v>1</v>
      </c>
      <c r="Z2230" s="497"/>
      <c r="AA2230" s="573">
        <v>9.9031599999999997</v>
      </c>
      <c r="AB2230" s="394">
        <v>9.0368999999999993</v>
      </c>
      <c r="AC2230" s="394">
        <v>9.0325699999999998</v>
      </c>
      <c r="AD2230" s="394"/>
      <c r="AE2230" s="394"/>
      <c r="AF2230" s="394">
        <v>0</v>
      </c>
      <c r="AG2230" s="394">
        <v>0</v>
      </c>
      <c r="AH2230" s="394">
        <v>0.20194999999999999</v>
      </c>
      <c r="AI2230" s="394">
        <v>9.0325699999999998</v>
      </c>
      <c r="AJ2230" s="394"/>
      <c r="AK2230" s="381" t="s">
        <v>167</v>
      </c>
      <c r="AL2230" s="408" t="s">
        <v>175</v>
      </c>
      <c r="AM2230" s="385"/>
      <c r="AN2230" s="475">
        <v>1017</v>
      </c>
      <c r="AO2230" s="395"/>
      <c r="AP2230" s="395">
        <f t="shared" si="1039"/>
        <v>9.9031599999999997</v>
      </c>
      <c r="AQ2230" s="393"/>
      <c r="AR2230" s="523"/>
      <c r="AS2230" s="497"/>
      <c r="AT2230" s="573"/>
      <c r="AU2230" s="394"/>
      <c r="AV2230" s="394"/>
      <c r="AW2230" s="394"/>
      <c r="AX2230" s="394"/>
      <c r="AY2230" s="394"/>
      <c r="AZ2230" s="394"/>
      <c r="BA2230" s="394"/>
      <c r="BB2230" s="394"/>
      <c r="BC2230" s="394"/>
      <c r="BD2230" s="381"/>
      <c r="BE2230" s="408"/>
      <c r="BF2230" s="385"/>
      <c r="BG2230" s="475"/>
      <c r="BH2230" s="395"/>
      <c r="BI2230" s="395" t="e">
        <f t="shared" si="1040"/>
        <v>#DIV/0!</v>
      </c>
    </row>
    <row r="2231" spans="1:61" s="358" customFormat="1" ht="19.2" x14ac:dyDescent="0.3">
      <c r="A2231" s="359" t="s">
        <v>1870</v>
      </c>
      <c r="B2231" s="572" t="s">
        <v>2302</v>
      </c>
      <c r="C2231" s="546" t="s">
        <v>2301</v>
      </c>
      <c r="D2231" s="360">
        <v>0.4</v>
      </c>
      <c r="E2231" s="393"/>
      <c r="F2231" s="523"/>
      <c r="G2231" s="393"/>
      <c r="H2231" s="573"/>
      <c r="I2231" s="394"/>
      <c r="J2231" s="394"/>
      <c r="K2231" s="394"/>
      <c r="L2231" s="394"/>
      <c r="M2231" s="394"/>
      <c r="N2231" s="394"/>
      <c r="O2231" s="394"/>
      <c r="P2231" s="394"/>
      <c r="Q2231" s="394"/>
      <c r="R2231" s="381"/>
      <c r="S2231" s="408"/>
      <c r="T2231" s="385"/>
      <c r="U2231" s="475"/>
      <c r="V2231" s="395"/>
      <c r="W2231" s="395"/>
      <c r="X2231" s="393"/>
      <c r="Y2231" s="523">
        <v>1</v>
      </c>
      <c r="Z2231" s="497"/>
      <c r="AA2231" s="573">
        <v>15.1311</v>
      </c>
      <c r="AB2231" s="394">
        <v>13.21682</v>
      </c>
      <c r="AC2231" s="394">
        <v>12.28293</v>
      </c>
      <c r="AD2231" s="394"/>
      <c r="AE2231" s="394"/>
      <c r="AF2231" s="394">
        <v>0</v>
      </c>
      <c r="AG2231" s="394">
        <v>0</v>
      </c>
      <c r="AH2231" s="394">
        <v>0.44627</v>
      </c>
      <c r="AI2231" s="394">
        <v>12.28293</v>
      </c>
      <c r="AJ2231" s="394"/>
      <c r="AK2231" s="381" t="s">
        <v>167</v>
      </c>
      <c r="AL2231" s="408" t="s">
        <v>175</v>
      </c>
      <c r="AM2231" s="385"/>
      <c r="AN2231" s="475">
        <v>1018</v>
      </c>
      <c r="AO2231" s="395"/>
      <c r="AP2231" s="395">
        <f t="shared" si="1039"/>
        <v>15.1311</v>
      </c>
      <c r="AQ2231" s="393"/>
      <c r="AR2231" s="523"/>
      <c r="AS2231" s="497"/>
      <c r="AT2231" s="573"/>
      <c r="AU2231" s="394"/>
      <c r="AV2231" s="394"/>
      <c r="AW2231" s="394"/>
      <c r="AX2231" s="394"/>
      <c r="AY2231" s="394"/>
      <c r="AZ2231" s="394"/>
      <c r="BA2231" s="394"/>
      <c r="BB2231" s="394"/>
      <c r="BC2231" s="394"/>
      <c r="BD2231" s="381"/>
      <c r="BE2231" s="408"/>
      <c r="BF2231" s="385"/>
      <c r="BG2231" s="475"/>
      <c r="BH2231" s="395"/>
      <c r="BI2231" s="395" t="e">
        <f t="shared" si="1040"/>
        <v>#DIV/0!</v>
      </c>
    </row>
    <row r="2232" spans="1:61" s="358" customFormat="1" ht="19.2" x14ac:dyDescent="0.3">
      <c r="A2232" s="359" t="s">
        <v>1871</v>
      </c>
      <c r="B2232" s="572" t="s">
        <v>3951</v>
      </c>
      <c r="C2232" s="546" t="s">
        <v>3058</v>
      </c>
      <c r="D2232" s="360">
        <v>0.4</v>
      </c>
      <c r="E2232" s="393"/>
      <c r="F2232" s="523"/>
      <c r="G2232" s="393"/>
      <c r="H2232" s="573"/>
      <c r="I2232" s="394"/>
      <c r="J2232" s="394"/>
      <c r="K2232" s="394"/>
      <c r="L2232" s="394"/>
      <c r="M2232" s="394"/>
      <c r="N2232" s="394"/>
      <c r="O2232" s="394"/>
      <c r="P2232" s="394"/>
      <c r="Q2232" s="394"/>
      <c r="R2232" s="381"/>
      <c r="S2232" s="408"/>
      <c r="T2232" s="385"/>
      <c r="U2232" s="475"/>
      <c r="V2232" s="395"/>
      <c r="W2232" s="395"/>
      <c r="X2232" s="393"/>
      <c r="Y2232" s="523">
        <v>1</v>
      </c>
      <c r="Z2232" s="497"/>
      <c r="AA2232" s="573">
        <v>15.1311</v>
      </c>
      <c r="AB2232" s="394">
        <v>13.21682</v>
      </c>
      <c r="AC2232" s="394">
        <v>12.28293</v>
      </c>
      <c r="AD2232" s="394"/>
      <c r="AE2232" s="394"/>
      <c r="AF2232" s="394">
        <v>0</v>
      </c>
      <c r="AG2232" s="394">
        <v>0</v>
      </c>
      <c r="AH2232" s="394">
        <v>0.44627</v>
      </c>
      <c r="AI2232" s="394">
        <v>12.28293</v>
      </c>
      <c r="AJ2232" s="394"/>
      <c r="AK2232" s="381" t="s">
        <v>167</v>
      </c>
      <c r="AL2232" s="408" t="s">
        <v>175</v>
      </c>
      <c r="AM2232" s="385"/>
      <c r="AN2232" s="475">
        <v>1019</v>
      </c>
      <c r="AO2232" s="395"/>
      <c r="AP2232" s="395">
        <f t="shared" si="1039"/>
        <v>15.1311</v>
      </c>
      <c r="AQ2232" s="393"/>
      <c r="AR2232" s="523"/>
      <c r="AS2232" s="497"/>
      <c r="AT2232" s="573"/>
      <c r="AU2232" s="394"/>
      <c r="AV2232" s="394"/>
      <c r="AW2232" s="394"/>
      <c r="AX2232" s="394"/>
      <c r="AY2232" s="394"/>
      <c r="AZ2232" s="394"/>
      <c r="BA2232" s="394"/>
      <c r="BB2232" s="394"/>
      <c r="BC2232" s="394"/>
      <c r="BD2232" s="381"/>
      <c r="BE2232" s="408"/>
      <c r="BF2232" s="385"/>
      <c r="BG2232" s="475"/>
      <c r="BH2232" s="395"/>
      <c r="BI2232" s="395" t="e">
        <f t="shared" si="1040"/>
        <v>#DIV/0!</v>
      </c>
    </row>
    <row r="2233" spans="1:61" s="358" customFormat="1" ht="19.2" x14ac:dyDescent="0.3">
      <c r="A2233" s="359" t="s">
        <v>1872</v>
      </c>
      <c r="B2233" s="572" t="s">
        <v>2432</v>
      </c>
      <c r="C2233" s="546" t="s">
        <v>2431</v>
      </c>
      <c r="D2233" s="360">
        <v>0.4</v>
      </c>
      <c r="E2233" s="393"/>
      <c r="F2233" s="523"/>
      <c r="G2233" s="393"/>
      <c r="H2233" s="573"/>
      <c r="I2233" s="394"/>
      <c r="J2233" s="394"/>
      <c r="K2233" s="394"/>
      <c r="L2233" s="394"/>
      <c r="M2233" s="394"/>
      <c r="N2233" s="394"/>
      <c r="O2233" s="394"/>
      <c r="P2233" s="394"/>
      <c r="Q2233" s="394"/>
      <c r="R2233" s="381"/>
      <c r="S2233" s="408"/>
      <c r="T2233" s="385"/>
      <c r="U2233" s="475"/>
      <c r="V2233" s="395"/>
      <c r="W2233" s="395"/>
      <c r="X2233" s="393"/>
      <c r="Y2233" s="523">
        <v>1</v>
      </c>
      <c r="Z2233" s="497"/>
      <c r="AA2233" s="573">
        <v>16.254200000000001</v>
      </c>
      <c r="AB2233" s="394">
        <v>13.79369</v>
      </c>
      <c r="AC2233" s="394">
        <v>12.28288</v>
      </c>
      <c r="AD2233" s="394"/>
      <c r="AE2233" s="394"/>
      <c r="AF2233" s="394">
        <v>0</v>
      </c>
      <c r="AG2233" s="394">
        <v>0</v>
      </c>
      <c r="AH2233" s="394">
        <v>0.57360999999999995</v>
      </c>
      <c r="AI2233" s="394">
        <v>12.28288</v>
      </c>
      <c r="AJ2233" s="394"/>
      <c r="AK2233" s="381" t="s">
        <v>167</v>
      </c>
      <c r="AL2233" s="408" t="s">
        <v>175</v>
      </c>
      <c r="AM2233" s="385"/>
      <c r="AN2233" s="475">
        <v>1020</v>
      </c>
      <c r="AO2233" s="395"/>
      <c r="AP2233" s="395">
        <f t="shared" si="1039"/>
        <v>16.254200000000001</v>
      </c>
      <c r="AQ2233" s="393"/>
      <c r="AR2233" s="523"/>
      <c r="AS2233" s="497"/>
      <c r="AT2233" s="573"/>
      <c r="AU2233" s="394"/>
      <c r="AV2233" s="394"/>
      <c r="AW2233" s="394"/>
      <c r="AX2233" s="394"/>
      <c r="AY2233" s="394"/>
      <c r="AZ2233" s="394"/>
      <c r="BA2233" s="394"/>
      <c r="BB2233" s="394"/>
      <c r="BC2233" s="394"/>
      <c r="BD2233" s="381"/>
      <c r="BE2233" s="408"/>
      <c r="BF2233" s="385"/>
      <c r="BG2233" s="475"/>
      <c r="BH2233" s="395"/>
      <c r="BI2233" s="395" t="e">
        <f t="shared" si="1040"/>
        <v>#DIV/0!</v>
      </c>
    </row>
    <row r="2234" spans="1:61" s="358" customFormat="1" ht="19.2" x14ac:dyDescent="0.3">
      <c r="A2234" s="359" t="s">
        <v>1873</v>
      </c>
      <c r="B2234" s="572" t="s">
        <v>2298</v>
      </c>
      <c r="C2234" s="546" t="s">
        <v>2297</v>
      </c>
      <c r="D2234" s="360">
        <v>0.4</v>
      </c>
      <c r="E2234" s="393"/>
      <c r="F2234" s="523"/>
      <c r="G2234" s="393"/>
      <c r="H2234" s="573"/>
      <c r="I2234" s="394"/>
      <c r="J2234" s="394"/>
      <c r="K2234" s="394"/>
      <c r="L2234" s="394"/>
      <c r="M2234" s="394"/>
      <c r="N2234" s="394"/>
      <c r="O2234" s="394"/>
      <c r="P2234" s="394"/>
      <c r="Q2234" s="394"/>
      <c r="R2234" s="381"/>
      <c r="S2234" s="408"/>
      <c r="T2234" s="385"/>
      <c r="U2234" s="475"/>
      <c r="V2234" s="395"/>
      <c r="W2234" s="395"/>
      <c r="X2234" s="393"/>
      <c r="Y2234" s="523">
        <v>1</v>
      </c>
      <c r="Z2234" s="497"/>
      <c r="AA2234" s="573">
        <v>15.1311</v>
      </c>
      <c r="AB2234" s="394">
        <v>13.21682</v>
      </c>
      <c r="AC2234" s="394">
        <v>12.28293</v>
      </c>
      <c r="AD2234" s="394"/>
      <c r="AE2234" s="394"/>
      <c r="AF2234" s="394">
        <v>0</v>
      </c>
      <c r="AG2234" s="394">
        <v>0</v>
      </c>
      <c r="AH2234" s="394">
        <v>0.44627</v>
      </c>
      <c r="AI2234" s="394">
        <v>12.28293</v>
      </c>
      <c r="AJ2234" s="394"/>
      <c r="AK2234" s="381" t="s">
        <v>167</v>
      </c>
      <c r="AL2234" s="408" t="s">
        <v>175</v>
      </c>
      <c r="AM2234" s="385"/>
      <c r="AN2234" s="475">
        <v>1021</v>
      </c>
      <c r="AO2234" s="395"/>
      <c r="AP2234" s="395">
        <f t="shared" si="1039"/>
        <v>15.1311</v>
      </c>
      <c r="AQ2234" s="393"/>
      <c r="AR2234" s="523"/>
      <c r="AS2234" s="497"/>
      <c r="AT2234" s="573"/>
      <c r="AU2234" s="394"/>
      <c r="AV2234" s="394"/>
      <c r="AW2234" s="394"/>
      <c r="AX2234" s="394"/>
      <c r="AY2234" s="394"/>
      <c r="AZ2234" s="394"/>
      <c r="BA2234" s="394"/>
      <c r="BB2234" s="394"/>
      <c r="BC2234" s="394"/>
      <c r="BD2234" s="381"/>
      <c r="BE2234" s="408"/>
      <c r="BF2234" s="385"/>
      <c r="BG2234" s="475"/>
      <c r="BH2234" s="395"/>
      <c r="BI2234" s="395" t="e">
        <f t="shared" si="1040"/>
        <v>#DIV/0!</v>
      </c>
    </row>
    <row r="2235" spans="1:61" s="358" customFormat="1" ht="19.2" x14ac:dyDescent="0.3">
      <c r="A2235" s="359" t="s">
        <v>1890</v>
      </c>
      <c r="B2235" s="572" t="s">
        <v>2304</v>
      </c>
      <c r="C2235" s="546" t="s">
        <v>2303</v>
      </c>
      <c r="D2235" s="360">
        <v>0.4</v>
      </c>
      <c r="E2235" s="393"/>
      <c r="F2235" s="523"/>
      <c r="G2235" s="393"/>
      <c r="H2235" s="573"/>
      <c r="I2235" s="394"/>
      <c r="J2235" s="394"/>
      <c r="K2235" s="394"/>
      <c r="L2235" s="394"/>
      <c r="M2235" s="394"/>
      <c r="N2235" s="394"/>
      <c r="O2235" s="394"/>
      <c r="P2235" s="394"/>
      <c r="Q2235" s="394"/>
      <c r="R2235" s="381"/>
      <c r="S2235" s="408"/>
      <c r="T2235" s="385"/>
      <c r="U2235" s="475"/>
      <c r="V2235" s="395"/>
      <c r="W2235" s="395"/>
      <c r="X2235" s="393"/>
      <c r="Y2235" s="523">
        <v>1</v>
      </c>
      <c r="Z2235" s="497"/>
      <c r="AA2235" s="573">
        <v>15.409739999999999</v>
      </c>
      <c r="AB2235" s="394">
        <v>13.49546</v>
      </c>
      <c r="AC2235" s="394">
        <v>12.529210000000001</v>
      </c>
      <c r="AD2235" s="394"/>
      <c r="AE2235" s="394"/>
      <c r="AF2235" s="394">
        <v>0</v>
      </c>
      <c r="AG2235" s="394">
        <v>0</v>
      </c>
      <c r="AH2235" s="394">
        <v>0.44627</v>
      </c>
      <c r="AI2235" s="394">
        <v>12.529210000000001</v>
      </c>
      <c r="AJ2235" s="394"/>
      <c r="AK2235" s="381" t="s">
        <v>167</v>
      </c>
      <c r="AL2235" s="408" t="s">
        <v>175</v>
      </c>
      <c r="AM2235" s="385"/>
      <c r="AN2235" s="475">
        <v>1022</v>
      </c>
      <c r="AO2235" s="395"/>
      <c r="AP2235" s="395">
        <f t="shared" si="1039"/>
        <v>15.409739999999999</v>
      </c>
      <c r="AQ2235" s="393"/>
      <c r="AR2235" s="523"/>
      <c r="AS2235" s="497"/>
      <c r="AT2235" s="573"/>
      <c r="AU2235" s="394"/>
      <c r="AV2235" s="394"/>
      <c r="AW2235" s="394"/>
      <c r="AX2235" s="394"/>
      <c r="AY2235" s="394"/>
      <c r="AZ2235" s="394"/>
      <c r="BA2235" s="394"/>
      <c r="BB2235" s="394"/>
      <c r="BC2235" s="394"/>
      <c r="BD2235" s="381"/>
      <c r="BE2235" s="408"/>
      <c r="BF2235" s="385"/>
      <c r="BG2235" s="475"/>
      <c r="BH2235" s="395"/>
      <c r="BI2235" s="395" t="e">
        <f t="shared" si="1040"/>
        <v>#DIV/0!</v>
      </c>
    </row>
    <row r="2236" spans="1:61" s="358" customFormat="1" ht="19.2" x14ac:dyDescent="0.3">
      <c r="A2236" s="359" t="s">
        <v>1875</v>
      </c>
      <c r="B2236" s="572" t="s">
        <v>3952</v>
      </c>
      <c r="C2236" s="546" t="s">
        <v>3059</v>
      </c>
      <c r="D2236" s="360">
        <v>0.4</v>
      </c>
      <c r="E2236" s="393"/>
      <c r="F2236" s="523"/>
      <c r="G2236" s="393"/>
      <c r="H2236" s="573"/>
      <c r="I2236" s="394"/>
      <c r="J2236" s="394"/>
      <c r="K2236" s="394"/>
      <c r="L2236" s="394"/>
      <c r="M2236" s="394"/>
      <c r="N2236" s="394"/>
      <c r="O2236" s="394"/>
      <c r="P2236" s="394"/>
      <c r="Q2236" s="394"/>
      <c r="R2236" s="381"/>
      <c r="S2236" s="408"/>
      <c r="T2236" s="385"/>
      <c r="U2236" s="475"/>
      <c r="V2236" s="395"/>
      <c r="W2236" s="395"/>
      <c r="X2236" s="393"/>
      <c r="Y2236" s="523">
        <v>1</v>
      </c>
      <c r="Z2236" s="497"/>
      <c r="AA2236" s="573">
        <v>15.13111</v>
      </c>
      <c r="AB2236" s="394">
        <v>13.21683</v>
      </c>
      <c r="AC2236" s="394">
        <v>12.28293</v>
      </c>
      <c r="AD2236" s="394"/>
      <c r="AE2236" s="394"/>
      <c r="AF2236" s="394">
        <v>0</v>
      </c>
      <c r="AG2236" s="394">
        <v>0</v>
      </c>
      <c r="AH2236" s="394">
        <v>0.44627</v>
      </c>
      <c r="AI2236" s="394">
        <v>12.28293</v>
      </c>
      <c r="AJ2236" s="394"/>
      <c r="AK2236" s="381" t="s">
        <v>167</v>
      </c>
      <c r="AL2236" s="408" t="s">
        <v>175</v>
      </c>
      <c r="AM2236" s="385"/>
      <c r="AN2236" s="475">
        <v>1023</v>
      </c>
      <c r="AO2236" s="395"/>
      <c r="AP2236" s="395">
        <f t="shared" si="1039"/>
        <v>15.13111</v>
      </c>
      <c r="AQ2236" s="393"/>
      <c r="AR2236" s="523"/>
      <c r="AS2236" s="497"/>
      <c r="AT2236" s="573"/>
      <c r="AU2236" s="394"/>
      <c r="AV2236" s="394"/>
      <c r="AW2236" s="394"/>
      <c r="AX2236" s="394"/>
      <c r="AY2236" s="394"/>
      <c r="AZ2236" s="394"/>
      <c r="BA2236" s="394"/>
      <c r="BB2236" s="394"/>
      <c r="BC2236" s="394"/>
      <c r="BD2236" s="381"/>
      <c r="BE2236" s="408"/>
      <c r="BF2236" s="385"/>
      <c r="BG2236" s="475"/>
      <c r="BH2236" s="395"/>
      <c r="BI2236" s="395" t="e">
        <f t="shared" si="1040"/>
        <v>#DIV/0!</v>
      </c>
    </row>
    <row r="2237" spans="1:61" s="358" customFormat="1" ht="19.2" x14ac:dyDescent="0.3">
      <c r="A2237" s="359" t="s">
        <v>1876</v>
      </c>
      <c r="B2237" s="572" t="s">
        <v>3953</v>
      </c>
      <c r="C2237" s="546" t="s">
        <v>3060</v>
      </c>
      <c r="D2237" s="360">
        <v>0.4</v>
      </c>
      <c r="E2237" s="393"/>
      <c r="F2237" s="523"/>
      <c r="G2237" s="393"/>
      <c r="H2237" s="573"/>
      <c r="I2237" s="394"/>
      <c r="J2237" s="394"/>
      <c r="K2237" s="394"/>
      <c r="L2237" s="394"/>
      <c r="M2237" s="394"/>
      <c r="N2237" s="394"/>
      <c r="O2237" s="394"/>
      <c r="P2237" s="394"/>
      <c r="Q2237" s="394"/>
      <c r="R2237" s="381"/>
      <c r="S2237" s="408"/>
      <c r="T2237" s="385"/>
      <c r="U2237" s="475"/>
      <c r="V2237" s="395"/>
      <c r="W2237" s="395"/>
      <c r="X2237" s="393"/>
      <c r="Y2237" s="523">
        <v>1</v>
      </c>
      <c r="Z2237" s="497"/>
      <c r="AA2237" s="573">
        <v>15.13111</v>
      </c>
      <c r="AB2237" s="394">
        <v>13.21683</v>
      </c>
      <c r="AC2237" s="394">
        <v>12.28293</v>
      </c>
      <c r="AD2237" s="394"/>
      <c r="AE2237" s="394"/>
      <c r="AF2237" s="394">
        <v>0</v>
      </c>
      <c r="AG2237" s="394">
        <v>0</v>
      </c>
      <c r="AH2237" s="394">
        <v>0.44627</v>
      </c>
      <c r="AI2237" s="394">
        <v>12.28293</v>
      </c>
      <c r="AJ2237" s="394"/>
      <c r="AK2237" s="381" t="s">
        <v>167</v>
      </c>
      <c r="AL2237" s="408" t="s">
        <v>175</v>
      </c>
      <c r="AM2237" s="385"/>
      <c r="AN2237" s="475">
        <v>1024</v>
      </c>
      <c r="AO2237" s="395"/>
      <c r="AP2237" s="395">
        <f t="shared" si="1039"/>
        <v>15.13111</v>
      </c>
      <c r="AQ2237" s="393"/>
      <c r="AR2237" s="523"/>
      <c r="AS2237" s="497"/>
      <c r="AT2237" s="573"/>
      <c r="AU2237" s="394"/>
      <c r="AV2237" s="394"/>
      <c r="AW2237" s="394"/>
      <c r="AX2237" s="394"/>
      <c r="AY2237" s="394"/>
      <c r="AZ2237" s="394"/>
      <c r="BA2237" s="394"/>
      <c r="BB2237" s="394"/>
      <c r="BC2237" s="394"/>
      <c r="BD2237" s="381"/>
      <c r="BE2237" s="408"/>
      <c r="BF2237" s="385"/>
      <c r="BG2237" s="475"/>
      <c r="BH2237" s="395"/>
      <c r="BI2237" s="395" t="e">
        <f t="shared" si="1040"/>
        <v>#DIV/0!</v>
      </c>
    </row>
    <row r="2238" spans="1:61" s="358" customFormat="1" ht="19.2" x14ac:dyDescent="0.3">
      <c r="A2238" s="359" t="s">
        <v>1877</v>
      </c>
      <c r="B2238" s="572" t="s">
        <v>3954</v>
      </c>
      <c r="C2238" s="546" t="s">
        <v>3061</v>
      </c>
      <c r="D2238" s="360">
        <v>0.4</v>
      </c>
      <c r="E2238" s="393"/>
      <c r="F2238" s="523"/>
      <c r="G2238" s="393"/>
      <c r="H2238" s="573"/>
      <c r="I2238" s="394"/>
      <c r="J2238" s="394"/>
      <c r="K2238" s="394"/>
      <c r="L2238" s="394"/>
      <c r="M2238" s="394"/>
      <c r="N2238" s="394"/>
      <c r="O2238" s="394"/>
      <c r="P2238" s="394"/>
      <c r="Q2238" s="394"/>
      <c r="R2238" s="381"/>
      <c r="S2238" s="408"/>
      <c r="T2238" s="385"/>
      <c r="U2238" s="475"/>
      <c r="V2238" s="395"/>
      <c r="W2238" s="395"/>
      <c r="X2238" s="393"/>
      <c r="Y2238" s="523">
        <v>1</v>
      </c>
      <c r="Z2238" s="497"/>
      <c r="AA2238" s="573">
        <v>16.254200000000001</v>
      </c>
      <c r="AB2238" s="394">
        <v>13.79369</v>
      </c>
      <c r="AC2238" s="394">
        <v>12.28288</v>
      </c>
      <c r="AD2238" s="394"/>
      <c r="AE2238" s="394"/>
      <c r="AF2238" s="394">
        <v>0</v>
      </c>
      <c r="AG2238" s="394">
        <v>0</v>
      </c>
      <c r="AH2238" s="394">
        <v>0.57360999999999995</v>
      </c>
      <c r="AI2238" s="394">
        <v>12.28288</v>
      </c>
      <c r="AJ2238" s="394"/>
      <c r="AK2238" s="381" t="s">
        <v>167</v>
      </c>
      <c r="AL2238" s="408" t="s">
        <v>175</v>
      </c>
      <c r="AM2238" s="385"/>
      <c r="AN2238" s="475">
        <v>1025</v>
      </c>
      <c r="AO2238" s="395"/>
      <c r="AP2238" s="395">
        <f t="shared" si="1039"/>
        <v>16.254200000000001</v>
      </c>
      <c r="AQ2238" s="393"/>
      <c r="AR2238" s="523"/>
      <c r="AS2238" s="497"/>
      <c r="AT2238" s="573"/>
      <c r="AU2238" s="394"/>
      <c r="AV2238" s="394"/>
      <c r="AW2238" s="394"/>
      <c r="AX2238" s="394"/>
      <c r="AY2238" s="394"/>
      <c r="AZ2238" s="394"/>
      <c r="BA2238" s="394"/>
      <c r="BB2238" s="394"/>
      <c r="BC2238" s="394"/>
      <c r="BD2238" s="381"/>
      <c r="BE2238" s="408"/>
      <c r="BF2238" s="385"/>
      <c r="BG2238" s="475"/>
      <c r="BH2238" s="395"/>
      <c r="BI2238" s="395" t="e">
        <f t="shared" si="1040"/>
        <v>#DIV/0!</v>
      </c>
    </row>
    <row r="2239" spans="1:61" s="358" customFormat="1" ht="19.2" x14ac:dyDescent="0.3">
      <c r="A2239" s="359" t="s">
        <v>1894</v>
      </c>
      <c r="B2239" s="572" t="s">
        <v>3955</v>
      </c>
      <c r="C2239" s="546" t="s">
        <v>3062</v>
      </c>
      <c r="D2239" s="360">
        <v>0.4</v>
      </c>
      <c r="E2239" s="393"/>
      <c r="F2239" s="523"/>
      <c r="G2239" s="393"/>
      <c r="H2239" s="573"/>
      <c r="I2239" s="394"/>
      <c r="J2239" s="394"/>
      <c r="K2239" s="394"/>
      <c r="L2239" s="394"/>
      <c r="M2239" s="394"/>
      <c r="N2239" s="394"/>
      <c r="O2239" s="394"/>
      <c r="P2239" s="394"/>
      <c r="Q2239" s="394"/>
      <c r="R2239" s="381"/>
      <c r="S2239" s="408"/>
      <c r="T2239" s="385"/>
      <c r="U2239" s="475"/>
      <c r="V2239" s="395"/>
      <c r="W2239" s="395"/>
      <c r="X2239" s="393"/>
      <c r="Y2239" s="523">
        <v>1</v>
      </c>
      <c r="Z2239" s="497"/>
      <c r="AA2239" s="573">
        <v>15.13111</v>
      </c>
      <c r="AB2239" s="394">
        <v>13.21683</v>
      </c>
      <c r="AC2239" s="394">
        <v>12.28293</v>
      </c>
      <c r="AD2239" s="394"/>
      <c r="AE2239" s="394"/>
      <c r="AF2239" s="394">
        <v>0</v>
      </c>
      <c r="AG2239" s="394">
        <v>0</v>
      </c>
      <c r="AH2239" s="394">
        <v>0.44627</v>
      </c>
      <c r="AI2239" s="394">
        <v>12.28293</v>
      </c>
      <c r="AJ2239" s="394"/>
      <c r="AK2239" s="381" t="s">
        <v>167</v>
      </c>
      <c r="AL2239" s="408" t="s">
        <v>175</v>
      </c>
      <c r="AM2239" s="385"/>
      <c r="AN2239" s="475">
        <v>1026</v>
      </c>
      <c r="AO2239" s="395"/>
      <c r="AP2239" s="395">
        <f t="shared" si="1039"/>
        <v>15.13111</v>
      </c>
      <c r="AQ2239" s="393"/>
      <c r="AR2239" s="523"/>
      <c r="AS2239" s="497"/>
      <c r="AT2239" s="573"/>
      <c r="AU2239" s="394"/>
      <c r="AV2239" s="394"/>
      <c r="AW2239" s="394"/>
      <c r="AX2239" s="394"/>
      <c r="AY2239" s="394"/>
      <c r="AZ2239" s="394"/>
      <c r="BA2239" s="394"/>
      <c r="BB2239" s="394"/>
      <c r="BC2239" s="394"/>
      <c r="BD2239" s="381"/>
      <c r="BE2239" s="408"/>
      <c r="BF2239" s="385"/>
      <c r="BG2239" s="475"/>
      <c r="BH2239" s="395"/>
      <c r="BI2239" s="395" t="e">
        <f t="shared" si="1040"/>
        <v>#DIV/0!</v>
      </c>
    </row>
    <row r="2240" spans="1:61" s="358" customFormat="1" ht="19.2" x14ac:dyDescent="0.3">
      <c r="A2240" s="359" t="s">
        <v>1879</v>
      </c>
      <c r="B2240" s="572" t="s">
        <v>2486</v>
      </c>
      <c r="C2240" s="546" t="s">
        <v>2485</v>
      </c>
      <c r="D2240" s="360">
        <v>0.4</v>
      </c>
      <c r="E2240" s="393"/>
      <c r="F2240" s="523"/>
      <c r="G2240" s="393"/>
      <c r="H2240" s="573"/>
      <c r="I2240" s="394"/>
      <c r="J2240" s="394"/>
      <c r="K2240" s="394"/>
      <c r="L2240" s="394"/>
      <c r="M2240" s="394"/>
      <c r="N2240" s="394"/>
      <c r="O2240" s="394"/>
      <c r="P2240" s="394"/>
      <c r="Q2240" s="394"/>
      <c r="R2240" s="381"/>
      <c r="S2240" s="408"/>
      <c r="T2240" s="385"/>
      <c r="U2240" s="475"/>
      <c r="V2240" s="395"/>
      <c r="W2240" s="395"/>
      <c r="X2240" s="393"/>
      <c r="Y2240" s="523">
        <v>1</v>
      </c>
      <c r="Z2240" s="497"/>
      <c r="AA2240" s="573">
        <v>15.1311</v>
      </c>
      <c r="AB2240" s="394">
        <v>13.21682</v>
      </c>
      <c r="AC2240" s="394">
        <v>12.28293</v>
      </c>
      <c r="AD2240" s="394"/>
      <c r="AE2240" s="394"/>
      <c r="AF2240" s="394">
        <v>0</v>
      </c>
      <c r="AG2240" s="394">
        <v>0</v>
      </c>
      <c r="AH2240" s="394">
        <v>0.44627</v>
      </c>
      <c r="AI2240" s="394">
        <v>12.28293</v>
      </c>
      <c r="AJ2240" s="394"/>
      <c r="AK2240" s="381" t="s">
        <v>167</v>
      </c>
      <c r="AL2240" s="408" t="s">
        <v>175</v>
      </c>
      <c r="AM2240" s="385"/>
      <c r="AN2240" s="475">
        <v>1027</v>
      </c>
      <c r="AO2240" s="395"/>
      <c r="AP2240" s="395">
        <f t="shared" si="1039"/>
        <v>15.1311</v>
      </c>
      <c r="AQ2240" s="393"/>
      <c r="AR2240" s="523"/>
      <c r="AS2240" s="497"/>
      <c r="AT2240" s="573"/>
      <c r="AU2240" s="394"/>
      <c r="AV2240" s="394"/>
      <c r="AW2240" s="394"/>
      <c r="AX2240" s="394"/>
      <c r="AY2240" s="394"/>
      <c r="AZ2240" s="394"/>
      <c r="BA2240" s="394"/>
      <c r="BB2240" s="394"/>
      <c r="BC2240" s="394"/>
      <c r="BD2240" s="381"/>
      <c r="BE2240" s="408"/>
      <c r="BF2240" s="385"/>
      <c r="BG2240" s="475"/>
      <c r="BH2240" s="395"/>
      <c r="BI2240" s="395" t="e">
        <f t="shared" si="1040"/>
        <v>#DIV/0!</v>
      </c>
    </row>
    <row r="2241" spans="1:61" s="358" customFormat="1" ht="19.2" x14ac:dyDescent="0.3">
      <c r="A2241" s="359" t="s">
        <v>1880</v>
      </c>
      <c r="B2241" s="572" t="s">
        <v>3911</v>
      </c>
      <c r="C2241" s="546" t="s">
        <v>3063</v>
      </c>
      <c r="D2241" s="360">
        <v>0.4</v>
      </c>
      <c r="E2241" s="393"/>
      <c r="F2241" s="523"/>
      <c r="G2241" s="393"/>
      <c r="H2241" s="573"/>
      <c r="I2241" s="394"/>
      <c r="J2241" s="394"/>
      <c r="K2241" s="394"/>
      <c r="L2241" s="394"/>
      <c r="M2241" s="394"/>
      <c r="N2241" s="394"/>
      <c r="O2241" s="394"/>
      <c r="P2241" s="394"/>
      <c r="Q2241" s="394"/>
      <c r="R2241" s="381"/>
      <c r="S2241" s="408"/>
      <c r="T2241" s="385"/>
      <c r="U2241" s="475"/>
      <c r="V2241" s="395"/>
      <c r="W2241" s="395"/>
      <c r="X2241" s="393"/>
      <c r="Y2241" s="523">
        <v>1</v>
      </c>
      <c r="Z2241" s="497"/>
      <c r="AA2241" s="573">
        <v>9.9031599999999997</v>
      </c>
      <c r="AB2241" s="394">
        <v>9.0368999999999993</v>
      </c>
      <c r="AC2241" s="394">
        <v>9.0325699999999998</v>
      </c>
      <c r="AD2241" s="394"/>
      <c r="AE2241" s="394"/>
      <c r="AF2241" s="394">
        <v>0</v>
      </c>
      <c r="AG2241" s="394">
        <v>0</v>
      </c>
      <c r="AH2241" s="394">
        <v>0.20194999999999999</v>
      </c>
      <c r="AI2241" s="394">
        <v>9.0325699999999998</v>
      </c>
      <c r="AJ2241" s="394"/>
      <c r="AK2241" s="381" t="s">
        <v>167</v>
      </c>
      <c r="AL2241" s="408" t="s">
        <v>175</v>
      </c>
      <c r="AM2241" s="385"/>
      <c r="AN2241" s="475">
        <v>1028</v>
      </c>
      <c r="AO2241" s="395"/>
      <c r="AP2241" s="395">
        <f t="shared" si="1039"/>
        <v>9.9031599999999997</v>
      </c>
      <c r="AQ2241" s="393"/>
      <c r="AR2241" s="523"/>
      <c r="AS2241" s="497"/>
      <c r="AT2241" s="573"/>
      <c r="AU2241" s="394"/>
      <c r="AV2241" s="394"/>
      <c r="AW2241" s="394"/>
      <c r="AX2241" s="394"/>
      <c r="AY2241" s="394"/>
      <c r="AZ2241" s="394"/>
      <c r="BA2241" s="394"/>
      <c r="BB2241" s="394"/>
      <c r="BC2241" s="394"/>
      <c r="BD2241" s="381"/>
      <c r="BE2241" s="408"/>
      <c r="BF2241" s="385"/>
      <c r="BG2241" s="475"/>
      <c r="BH2241" s="395"/>
      <c r="BI2241" s="395" t="e">
        <f t="shared" si="1040"/>
        <v>#DIV/0!</v>
      </c>
    </row>
    <row r="2242" spans="1:61" s="358" customFormat="1" ht="19.2" x14ac:dyDescent="0.3">
      <c r="A2242" s="359" t="s">
        <v>1865</v>
      </c>
      <c r="B2242" s="572" t="s">
        <v>2300</v>
      </c>
      <c r="C2242" s="546" t="s">
        <v>2299</v>
      </c>
      <c r="D2242" s="360">
        <v>0.4</v>
      </c>
      <c r="E2242" s="393"/>
      <c r="F2242" s="523"/>
      <c r="G2242" s="393"/>
      <c r="H2242" s="573"/>
      <c r="I2242" s="394"/>
      <c r="J2242" s="394"/>
      <c r="K2242" s="394"/>
      <c r="L2242" s="394"/>
      <c r="M2242" s="394"/>
      <c r="N2242" s="394"/>
      <c r="O2242" s="394"/>
      <c r="P2242" s="394"/>
      <c r="Q2242" s="394"/>
      <c r="R2242" s="381"/>
      <c r="S2242" s="408"/>
      <c r="T2242" s="385"/>
      <c r="U2242" s="475"/>
      <c r="V2242" s="395"/>
      <c r="W2242" s="395"/>
      <c r="X2242" s="393"/>
      <c r="Y2242" s="523">
        <v>1</v>
      </c>
      <c r="Z2242" s="497"/>
      <c r="AA2242" s="573">
        <v>15.1311</v>
      </c>
      <c r="AB2242" s="394">
        <v>13.21682</v>
      </c>
      <c r="AC2242" s="394">
        <v>12.28293</v>
      </c>
      <c r="AD2242" s="394"/>
      <c r="AE2242" s="394"/>
      <c r="AF2242" s="394">
        <v>0</v>
      </c>
      <c r="AG2242" s="394">
        <v>0</v>
      </c>
      <c r="AH2242" s="394">
        <v>0.44627</v>
      </c>
      <c r="AI2242" s="394">
        <v>12.28293</v>
      </c>
      <c r="AJ2242" s="394"/>
      <c r="AK2242" s="381" t="s">
        <v>167</v>
      </c>
      <c r="AL2242" s="408" t="s">
        <v>175</v>
      </c>
      <c r="AM2242" s="385"/>
      <c r="AN2242" s="475">
        <v>1029</v>
      </c>
      <c r="AO2242" s="395"/>
      <c r="AP2242" s="395">
        <f t="shared" si="1039"/>
        <v>15.1311</v>
      </c>
      <c r="AQ2242" s="393"/>
      <c r="AR2242" s="523"/>
      <c r="AS2242" s="497"/>
      <c r="AT2242" s="573"/>
      <c r="AU2242" s="394"/>
      <c r="AV2242" s="394"/>
      <c r="AW2242" s="394"/>
      <c r="AX2242" s="394"/>
      <c r="AY2242" s="394"/>
      <c r="AZ2242" s="394"/>
      <c r="BA2242" s="394"/>
      <c r="BB2242" s="394"/>
      <c r="BC2242" s="394"/>
      <c r="BD2242" s="381"/>
      <c r="BE2242" s="408"/>
      <c r="BF2242" s="385"/>
      <c r="BG2242" s="475"/>
      <c r="BH2242" s="395"/>
      <c r="BI2242" s="395" t="e">
        <f t="shared" si="1040"/>
        <v>#DIV/0!</v>
      </c>
    </row>
    <row r="2243" spans="1:61" s="358" customFormat="1" ht="19.2" x14ac:dyDescent="0.3">
      <c r="A2243" s="359" t="s">
        <v>1882</v>
      </c>
      <c r="B2243" s="572" t="s">
        <v>2398</v>
      </c>
      <c r="C2243" s="546" t="s">
        <v>2397</v>
      </c>
      <c r="D2243" s="360">
        <v>0.4</v>
      </c>
      <c r="E2243" s="393"/>
      <c r="F2243" s="523"/>
      <c r="G2243" s="393"/>
      <c r="H2243" s="573"/>
      <c r="I2243" s="394"/>
      <c r="J2243" s="394"/>
      <c r="K2243" s="394"/>
      <c r="L2243" s="394"/>
      <c r="M2243" s="394"/>
      <c r="N2243" s="394"/>
      <c r="O2243" s="394"/>
      <c r="P2243" s="394"/>
      <c r="Q2243" s="394"/>
      <c r="R2243" s="381"/>
      <c r="S2243" s="408"/>
      <c r="T2243" s="385"/>
      <c r="U2243" s="475"/>
      <c r="V2243" s="395"/>
      <c r="W2243" s="395"/>
      <c r="X2243" s="393"/>
      <c r="Y2243" s="523">
        <v>1</v>
      </c>
      <c r="Z2243" s="497"/>
      <c r="AA2243" s="573">
        <v>16.254200000000001</v>
      </c>
      <c r="AB2243" s="394">
        <v>13.79369</v>
      </c>
      <c r="AC2243" s="394">
        <v>12.28288</v>
      </c>
      <c r="AD2243" s="394"/>
      <c r="AE2243" s="394"/>
      <c r="AF2243" s="394">
        <v>0</v>
      </c>
      <c r="AG2243" s="394">
        <v>0</v>
      </c>
      <c r="AH2243" s="394">
        <v>0.57360999999999995</v>
      </c>
      <c r="AI2243" s="394">
        <v>12.28288</v>
      </c>
      <c r="AJ2243" s="394"/>
      <c r="AK2243" s="381" t="s">
        <v>167</v>
      </c>
      <c r="AL2243" s="408" t="s">
        <v>175</v>
      </c>
      <c r="AM2243" s="385"/>
      <c r="AN2243" s="475">
        <v>1030</v>
      </c>
      <c r="AO2243" s="395"/>
      <c r="AP2243" s="395">
        <f t="shared" si="1039"/>
        <v>16.254200000000001</v>
      </c>
      <c r="AQ2243" s="393"/>
      <c r="AR2243" s="523"/>
      <c r="AS2243" s="497"/>
      <c r="AT2243" s="573"/>
      <c r="AU2243" s="394"/>
      <c r="AV2243" s="394"/>
      <c r="AW2243" s="394"/>
      <c r="AX2243" s="394"/>
      <c r="AY2243" s="394"/>
      <c r="AZ2243" s="394"/>
      <c r="BA2243" s="394"/>
      <c r="BB2243" s="394"/>
      <c r="BC2243" s="394"/>
      <c r="BD2243" s="381"/>
      <c r="BE2243" s="408"/>
      <c r="BF2243" s="385"/>
      <c r="BG2243" s="475"/>
      <c r="BH2243" s="395"/>
      <c r="BI2243" s="395" t="e">
        <f t="shared" si="1040"/>
        <v>#DIV/0!</v>
      </c>
    </row>
    <row r="2244" spans="1:61" s="358" customFormat="1" ht="19.2" x14ac:dyDescent="0.3">
      <c r="A2244" s="359" t="s">
        <v>1883</v>
      </c>
      <c r="B2244" s="572" t="s">
        <v>3956</v>
      </c>
      <c r="C2244" s="546" t="s">
        <v>3064</v>
      </c>
      <c r="D2244" s="360">
        <v>0.4</v>
      </c>
      <c r="E2244" s="393"/>
      <c r="F2244" s="523"/>
      <c r="G2244" s="393"/>
      <c r="H2244" s="573"/>
      <c r="I2244" s="394"/>
      <c r="J2244" s="394"/>
      <c r="K2244" s="394"/>
      <c r="L2244" s="394"/>
      <c r="M2244" s="394"/>
      <c r="N2244" s="394"/>
      <c r="O2244" s="394"/>
      <c r="P2244" s="394"/>
      <c r="Q2244" s="394"/>
      <c r="R2244" s="381"/>
      <c r="S2244" s="408"/>
      <c r="T2244" s="385"/>
      <c r="U2244" s="475"/>
      <c r="V2244" s="395"/>
      <c r="W2244" s="395"/>
      <c r="X2244" s="393"/>
      <c r="Y2244" s="523">
        <v>1</v>
      </c>
      <c r="Z2244" s="497"/>
      <c r="AA2244" s="573">
        <v>15.1311</v>
      </c>
      <c r="AB2244" s="394">
        <v>13.21682</v>
      </c>
      <c r="AC2244" s="394">
        <v>12.28293</v>
      </c>
      <c r="AD2244" s="394"/>
      <c r="AE2244" s="394"/>
      <c r="AF2244" s="394">
        <v>0</v>
      </c>
      <c r="AG2244" s="394">
        <v>0</v>
      </c>
      <c r="AH2244" s="394">
        <v>0.44627</v>
      </c>
      <c r="AI2244" s="394">
        <v>12.28293</v>
      </c>
      <c r="AJ2244" s="394"/>
      <c r="AK2244" s="381" t="s">
        <v>167</v>
      </c>
      <c r="AL2244" s="408" t="s">
        <v>175</v>
      </c>
      <c r="AM2244" s="385"/>
      <c r="AN2244" s="475">
        <v>1031</v>
      </c>
      <c r="AO2244" s="395"/>
      <c r="AP2244" s="395">
        <f t="shared" si="1039"/>
        <v>15.1311</v>
      </c>
      <c r="AQ2244" s="393"/>
      <c r="AR2244" s="523"/>
      <c r="AS2244" s="497"/>
      <c r="AT2244" s="573"/>
      <c r="AU2244" s="394"/>
      <c r="AV2244" s="394"/>
      <c r="AW2244" s="394"/>
      <c r="AX2244" s="394"/>
      <c r="AY2244" s="394"/>
      <c r="AZ2244" s="394"/>
      <c r="BA2244" s="394"/>
      <c r="BB2244" s="394"/>
      <c r="BC2244" s="394"/>
      <c r="BD2244" s="381"/>
      <c r="BE2244" s="408"/>
      <c r="BF2244" s="385"/>
      <c r="BG2244" s="475"/>
      <c r="BH2244" s="395"/>
      <c r="BI2244" s="395" t="e">
        <f t="shared" si="1040"/>
        <v>#DIV/0!</v>
      </c>
    </row>
    <row r="2245" spans="1:61" s="358" customFormat="1" ht="19.2" x14ac:dyDescent="0.3">
      <c r="A2245" s="359" t="s">
        <v>1884</v>
      </c>
      <c r="B2245" s="572" t="s">
        <v>3957</v>
      </c>
      <c r="C2245" s="546" t="s">
        <v>3065</v>
      </c>
      <c r="D2245" s="360">
        <v>0.4</v>
      </c>
      <c r="E2245" s="393"/>
      <c r="F2245" s="523"/>
      <c r="G2245" s="393"/>
      <c r="H2245" s="573"/>
      <c r="I2245" s="394"/>
      <c r="J2245" s="394"/>
      <c r="K2245" s="394"/>
      <c r="L2245" s="394"/>
      <c r="M2245" s="394"/>
      <c r="N2245" s="394"/>
      <c r="O2245" s="394"/>
      <c r="P2245" s="394"/>
      <c r="Q2245" s="394"/>
      <c r="R2245" s="381"/>
      <c r="S2245" s="408"/>
      <c r="T2245" s="385"/>
      <c r="U2245" s="475"/>
      <c r="V2245" s="395"/>
      <c r="W2245" s="395"/>
      <c r="X2245" s="393"/>
      <c r="Y2245" s="523">
        <v>1</v>
      </c>
      <c r="Z2245" s="497"/>
      <c r="AA2245" s="573">
        <v>16.254190000000001</v>
      </c>
      <c r="AB2245" s="394">
        <v>13.79368</v>
      </c>
      <c r="AC2245" s="394">
        <v>12.28288</v>
      </c>
      <c r="AD2245" s="394"/>
      <c r="AE2245" s="394"/>
      <c r="AF2245" s="394">
        <v>0</v>
      </c>
      <c r="AG2245" s="394">
        <v>0</v>
      </c>
      <c r="AH2245" s="394">
        <v>0.57360999999999995</v>
      </c>
      <c r="AI2245" s="394">
        <v>12.28288</v>
      </c>
      <c r="AJ2245" s="394"/>
      <c r="AK2245" s="381" t="s">
        <v>167</v>
      </c>
      <c r="AL2245" s="408" t="s">
        <v>175</v>
      </c>
      <c r="AM2245" s="385"/>
      <c r="AN2245" s="475">
        <v>1032</v>
      </c>
      <c r="AO2245" s="395"/>
      <c r="AP2245" s="395">
        <f t="shared" si="1039"/>
        <v>16.254190000000001</v>
      </c>
      <c r="AQ2245" s="393"/>
      <c r="AR2245" s="523"/>
      <c r="AS2245" s="497"/>
      <c r="AT2245" s="573"/>
      <c r="AU2245" s="394"/>
      <c r="AV2245" s="394"/>
      <c r="AW2245" s="394"/>
      <c r="AX2245" s="394"/>
      <c r="AY2245" s="394"/>
      <c r="AZ2245" s="394"/>
      <c r="BA2245" s="394"/>
      <c r="BB2245" s="394"/>
      <c r="BC2245" s="394"/>
      <c r="BD2245" s="381"/>
      <c r="BE2245" s="408"/>
      <c r="BF2245" s="385"/>
      <c r="BG2245" s="475"/>
      <c r="BH2245" s="395"/>
      <c r="BI2245" s="395" t="e">
        <f t="shared" si="1040"/>
        <v>#DIV/0!</v>
      </c>
    </row>
    <row r="2246" spans="1:61" s="358" customFormat="1" ht="19.2" x14ac:dyDescent="0.3">
      <c r="A2246" s="359" t="s">
        <v>1885</v>
      </c>
      <c r="B2246" s="572" t="s">
        <v>3958</v>
      </c>
      <c r="C2246" s="546" t="s">
        <v>3066</v>
      </c>
      <c r="D2246" s="360">
        <v>0.4</v>
      </c>
      <c r="E2246" s="393"/>
      <c r="F2246" s="523"/>
      <c r="G2246" s="393"/>
      <c r="H2246" s="573"/>
      <c r="I2246" s="394"/>
      <c r="J2246" s="394"/>
      <c r="K2246" s="394"/>
      <c r="L2246" s="394"/>
      <c r="M2246" s="394"/>
      <c r="N2246" s="394"/>
      <c r="O2246" s="394"/>
      <c r="P2246" s="394"/>
      <c r="Q2246" s="394"/>
      <c r="R2246" s="381"/>
      <c r="S2246" s="408"/>
      <c r="T2246" s="385"/>
      <c r="U2246" s="475"/>
      <c r="V2246" s="395"/>
      <c r="W2246" s="395"/>
      <c r="X2246" s="393"/>
      <c r="Y2246" s="523">
        <v>1</v>
      </c>
      <c r="Z2246" s="497"/>
      <c r="AA2246" s="573">
        <v>15.1311</v>
      </c>
      <c r="AB2246" s="394">
        <v>13.21682</v>
      </c>
      <c r="AC2246" s="394">
        <v>12.28293</v>
      </c>
      <c r="AD2246" s="394"/>
      <c r="AE2246" s="394"/>
      <c r="AF2246" s="394">
        <v>0</v>
      </c>
      <c r="AG2246" s="394">
        <v>0</v>
      </c>
      <c r="AH2246" s="394">
        <v>0.44627</v>
      </c>
      <c r="AI2246" s="394">
        <v>12.28293</v>
      </c>
      <c r="AJ2246" s="394"/>
      <c r="AK2246" s="381" t="s">
        <v>167</v>
      </c>
      <c r="AL2246" s="408" t="s">
        <v>175</v>
      </c>
      <c r="AM2246" s="385"/>
      <c r="AN2246" s="475">
        <v>1033</v>
      </c>
      <c r="AO2246" s="395"/>
      <c r="AP2246" s="395">
        <f t="shared" ref="AP2246:AP2307" si="1041">AA2246/Y2246</f>
        <v>15.1311</v>
      </c>
      <c r="AQ2246" s="393"/>
      <c r="AR2246" s="523"/>
      <c r="AS2246" s="497"/>
      <c r="AT2246" s="573"/>
      <c r="AU2246" s="394"/>
      <c r="AV2246" s="394"/>
      <c r="AW2246" s="394"/>
      <c r="AX2246" s="394"/>
      <c r="AY2246" s="394"/>
      <c r="AZ2246" s="394"/>
      <c r="BA2246" s="394"/>
      <c r="BB2246" s="394"/>
      <c r="BC2246" s="394"/>
      <c r="BD2246" s="381"/>
      <c r="BE2246" s="408"/>
      <c r="BF2246" s="385"/>
      <c r="BG2246" s="475"/>
      <c r="BH2246" s="395"/>
      <c r="BI2246" s="395" t="e">
        <f t="shared" si="1040"/>
        <v>#DIV/0!</v>
      </c>
    </row>
    <row r="2247" spans="1:61" s="358" customFormat="1" ht="19.2" x14ac:dyDescent="0.3">
      <c r="A2247" s="359" t="s">
        <v>1886</v>
      </c>
      <c r="B2247" s="572" t="s">
        <v>1414</v>
      </c>
      <c r="C2247" s="546" t="s">
        <v>2288</v>
      </c>
      <c r="D2247" s="360">
        <v>0.4</v>
      </c>
      <c r="E2247" s="393"/>
      <c r="F2247" s="523"/>
      <c r="G2247" s="393"/>
      <c r="H2247" s="573"/>
      <c r="I2247" s="394"/>
      <c r="J2247" s="394"/>
      <c r="K2247" s="394"/>
      <c r="L2247" s="394"/>
      <c r="M2247" s="394"/>
      <c r="N2247" s="394"/>
      <c r="O2247" s="394"/>
      <c r="P2247" s="394"/>
      <c r="Q2247" s="394"/>
      <c r="R2247" s="381"/>
      <c r="S2247" s="408"/>
      <c r="T2247" s="385"/>
      <c r="U2247" s="475"/>
      <c r="V2247" s="395"/>
      <c r="W2247" s="395"/>
      <c r="X2247" s="393"/>
      <c r="Y2247" s="523">
        <v>1</v>
      </c>
      <c r="Z2247" s="497"/>
      <c r="AA2247" s="573">
        <v>9.9031599999999997</v>
      </c>
      <c r="AB2247" s="394">
        <v>9.0368999999999993</v>
      </c>
      <c r="AC2247" s="394">
        <v>9.0325699999999998</v>
      </c>
      <c r="AD2247" s="394"/>
      <c r="AE2247" s="394"/>
      <c r="AF2247" s="394">
        <v>0</v>
      </c>
      <c r="AG2247" s="394">
        <v>0</v>
      </c>
      <c r="AH2247" s="394">
        <v>0.20194999999999999</v>
      </c>
      <c r="AI2247" s="394">
        <v>9.0325699999999998</v>
      </c>
      <c r="AJ2247" s="394"/>
      <c r="AK2247" s="381" t="s">
        <v>167</v>
      </c>
      <c r="AL2247" s="408" t="s">
        <v>175</v>
      </c>
      <c r="AM2247" s="385"/>
      <c r="AN2247" s="475">
        <v>1034</v>
      </c>
      <c r="AO2247" s="395"/>
      <c r="AP2247" s="395">
        <f t="shared" si="1041"/>
        <v>9.9031599999999997</v>
      </c>
      <c r="AQ2247" s="393"/>
      <c r="AR2247" s="523"/>
      <c r="AS2247" s="497"/>
      <c r="AT2247" s="573"/>
      <c r="AU2247" s="394"/>
      <c r="AV2247" s="394"/>
      <c r="AW2247" s="394"/>
      <c r="AX2247" s="394"/>
      <c r="AY2247" s="394"/>
      <c r="AZ2247" s="394"/>
      <c r="BA2247" s="394"/>
      <c r="BB2247" s="394"/>
      <c r="BC2247" s="394"/>
      <c r="BD2247" s="381"/>
      <c r="BE2247" s="408"/>
      <c r="BF2247" s="385"/>
      <c r="BG2247" s="475"/>
      <c r="BH2247" s="395"/>
      <c r="BI2247" s="395" t="e">
        <f t="shared" si="1040"/>
        <v>#DIV/0!</v>
      </c>
    </row>
    <row r="2248" spans="1:61" s="358" customFormat="1" ht="19.2" x14ac:dyDescent="0.3">
      <c r="A2248" s="359" t="s">
        <v>1887</v>
      </c>
      <c r="B2248" s="572" t="s">
        <v>3959</v>
      </c>
      <c r="C2248" s="546" t="s">
        <v>3067</v>
      </c>
      <c r="D2248" s="360">
        <v>0.4</v>
      </c>
      <c r="E2248" s="393"/>
      <c r="F2248" s="523"/>
      <c r="G2248" s="393"/>
      <c r="H2248" s="573"/>
      <c r="I2248" s="394"/>
      <c r="J2248" s="394"/>
      <c r="K2248" s="394"/>
      <c r="L2248" s="394"/>
      <c r="M2248" s="394"/>
      <c r="N2248" s="394"/>
      <c r="O2248" s="394"/>
      <c r="P2248" s="394"/>
      <c r="Q2248" s="394"/>
      <c r="R2248" s="381"/>
      <c r="S2248" s="408"/>
      <c r="T2248" s="385"/>
      <c r="U2248" s="475"/>
      <c r="V2248" s="395"/>
      <c r="W2248" s="395"/>
      <c r="X2248" s="393"/>
      <c r="Y2248" s="523">
        <v>1</v>
      </c>
      <c r="Z2248" s="497"/>
      <c r="AA2248" s="573">
        <v>15.13111</v>
      </c>
      <c r="AB2248" s="394">
        <v>13.21683</v>
      </c>
      <c r="AC2248" s="394">
        <v>12.28293</v>
      </c>
      <c r="AD2248" s="394"/>
      <c r="AE2248" s="394"/>
      <c r="AF2248" s="394">
        <v>0</v>
      </c>
      <c r="AG2248" s="394">
        <v>0</v>
      </c>
      <c r="AH2248" s="394">
        <v>0.44627</v>
      </c>
      <c r="AI2248" s="394">
        <v>12.28293</v>
      </c>
      <c r="AJ2248" s="394"/>
      <c r="AK2248" s="381" t="s">
        <v>167</v>
      </c>
      <c r="AL2248" s="408" t="s">
        <v>175</v>
      </c>
      <c r="AM2248" s="385"/>
      <c r="AN2248" s="475">
        <v>1035</v>
      </c>
      <c r="AO2248" s="395"/>
      <c r="AP2248" s="395">
        <f t="shared" si="1041"/>
        <v>15.13111</v>
      </c>
      <c r="AQ2248" s="393"/>
      <c r="AR2248" s="523"/>
      <c r="AS2248" s="497"/>
      <c r="AT2248" s="573"/>
      <c r="AU2248" s="394"/>
      <c r="AV2248" s="394"/>
      <c r="AW2248" s="394"/>
      <c r="AX2248" s="394"/>
      <c r="AY2248" s="394"/>
      <c r="AZ2248" s="394"/>
      <c r="BA2248" s="394"/>
      <c r="BB2248" s="394"/>
      <c r="BC2248" s="394"/>
      <c r="BD2248" s="381"/>
      <c r="BE2248" s="408"/>
      <c r="BF2248" s="385"/>
      <c r="BG2248" s="475"/>
      <c r="BH2248" s="395"/>
      <c r="BI2248" s="395" t="e">
        <f t="shared" si="1040"/>
        <v>#DIV/0!</v>
      </c>
    </row>
    <row r="2249" spans="1:61" s="358" customFormat="1" ht="19.2" x14ac:dyDescent="0.3">
      <c r="A2249" s="359" t="s">
        <v>1888</v>
      </c>
      <c r="B2249" s="572" t="s">
        <v>3960</v>
      </c>
      <c r="C2249" s="546" t="s">
        <v>3068</v>
      </c>
      <c r="D2249" s="360">
        <v>0.4</v>
      </c>
      <c r="E2249" s="393"/>
      <c r="F2249" s="523"/>
      <c r="G2249" s="393"/>
      <c r="H2249" s="573"/>
      <c r="I2249" s="394"/>
      <c r="J2249" s="394"/>
      <c r="K2249" s="394"/>
      <c r="L2249" s="394"/>
      <c r="M2249" s="394"/>
      <c r="N2249" s="394"/>
      <c r="O2249" s="394"/>
      <c r="P2249" s="394"/>
      <c r="Q2249" s="394"/>
      <c r="R2249" s="381"/>
      <c r="S2249" s="408"/>
      <c r="T2249" s="385"/>
      <c r="U2249" s="475"/>
      <c r="V2249" s="395"/>
      <c r="W2249" s="395"/>
      <c r="X2249" s="393"/>
      <c r="Y2249" s="523">
        <v>1</v>
      </c>
      <c r="Z2249" s="497"/>
      <c r="AA2249" s="573">
        <v>15.13111</v>
      </c>
      <c r="AB2249" s="394">
        <v>13.21683</v>
      </c>
      <c r="AC2249" s="394">
        <v>12.28293</v>
      </c>
      <c r="AD2249" s="394"/>
      <c r="AE2249" s="394"/>
      <c r="AF2249" s="394">
        <v>0</v>
      </c>
      <c r="AG2249" s="394">
        <v>0</v>
      </c>
      <c r="AH2249" s="394">
        <v>0.44627</v>
      </c>
      <c r="AI2249" s="394">
        <v>12.28293</v>
      </c>
      <c r="AJ2249" s="394"/>
      <c r="AK2249" s="381" t="s">
        <v>167</v>
      </c>
      <c r="AL2249" s="408" t="s">
        <v>175</v>
      </c>
      <c r="AM2249" s="385"/>
      <c r="AN2249" s="475">
        <v>1036</v>
      </c>
      <c r="AO2249" s="395"/>
      <c r="AP2249" s="395">
        <f t="shared" si="1041"/>
        <v>15.13111</v>
      </c>
      <c r="AQ2249" s="393"/>
      <c r="AR2249" s="523"/>
      <c r="AS2249" s="497"/>
      <c r="AT2249" s="573"/>
      <c r="AU2249" s="394"/>
      <c r="AV2249" s="394"/>
      <c r="AW2249" s="394"/>
      <c r="AX2249" s="394"/>
      <c r="AY2249" s="394"/>
      <c r="AZ2249" s="394"/>
      <c r="BA2249" s="394"/>
      <c r="BB2249" s="394"/>
      <c r="BC2249" s="394"/>
      <c r="BD2249" s="381"/>
      <c r="BE2249" s="408"/>
      <c r="BF2249" s="385"/>
      <c r="BG2249" s="475"/>
      <c r="BH2249" s="395"/>
      <c r="BI2249" s="395" t="e">
        <f t="shared" si="1040"/>
        <v>#DIV/0!</v>
      </c>
    </row>
    <row r="2250" spans="1:61" s="358" customFormat="1" ht="19.2" x14ac:dyDescent="0.3">
      <c r="A2250" s="359" t="s">
        <v>1889</v>
      </c>
      <c r="B2250" s="572" t="s">
        <v>3860</v>
      </c>
      <c r="C2250" s="546" t="s">
        <v>3069</v>
      </c>
      <c r="D2250" s="360">
        <v>0.4</v>
      </c>
      <c r="E2250" s="393"/>
      <c r="F2250" s="523"/>
      <c r="G2250" s="393"/>
      <c r="H2250" s="573"/>
      <c r="I2250" s="394"/>
      <c r="J2250" s="394"/>
      <c r="K2250" s="394"/>
      <c r="L2250" s="394"/>
      <c r="M2250" s="394"/>
      <c r="N2250" s="394"/>
      <c r="O2250" s="394"/>
      <c r="P2250" s="394"/>
      <c r="Q2250" s="394"/>
      <c r="R2250" s="381"/>
      <c r="S2250" s="408"/>
      <c r="T2250" s="385"/>
      <c r="U2250" s="475"/>
      <c r="V2250" s="395"/>
      <c r="W2250" s="395"/>
      <c r="X2250" s="393"/>
      <c r="Y2250" s="523">
        <v>1</v>
      </c>
      <c r="Z2250" s="497"/>
      <c r="AA2250" s="573">
        <v>15.1311</v>
      </c>
      <c r="AB2250" s="394">
        <v>13.21682</v>
      </c>
      <c r="AC2250" s="394">
        <v>12.28293</v>
      </c>
      <c r="AD2250" s="394"/>
      <c r="AE2250" s="394"/>
      <c r="AF2250" s="394">
        <v>0</v>
      </c>
      <c r="AG2250" s="394">
        <v>0</v>
      </c>
      <c r="AH2250" s="394">
        <v>0.44627</v>
      </c>
      <c r="AI2250" s="394">
        <v>12.28293</v>
      </c>
      <c r="AJ2250" s="394"/>
      <c r="AK2250" s="381" t="s">
        <v>167</v>
      </c>
      <c r="AL2250" s="408" t="s">
        <v>175</v>
      </c>
      <c r="AM2250" s="385"/>
      <c r="AN2250" s="475">
        <v>1037</v>
      </c>
      <c r="AO2250" s="395"/>
      <c r="AP2250" s="395">
        <f t="shared" si="1041"/>
        <v>15.1311</v>
      </c>
      <c r="AQ2250" s="393"/>
      <c r="AR2250" s="523"/>
      <c r="AS2250" s="497"/>
      <c r="AT2250" s="573"/>
      <c r="AU2250" s="394"/>
      <c r="AV2250" s="394"/>
      <c r="AW2250" s="394"/>
      <c r="AX2250" s="394"/>
      <c r="AY2250" s="394"/>
      <c r="AZ2250" s="394"/>
      <c r="BA2250" s="394"/>
      <c r="BB2250" s="394"/>
      <c r="BC2250" s="394"/>
      <c r="BD2250" s="381"/>
      <c r="BE2250" s="408"/>
      <c r="BF2250" s="385"/>
      <c r="BG2250" s="475"/>
      <c r="BH2250" s="395"/>
      <c r="BI2250" s="395" t="e">
        <f t="shared" si="1040"/>
        <v>#DIV/0!</v>
      </c>
    </row>
    <row r="2251" spans="1:61" s="358" customFormat="1" ht="19.2" x14ac:dyDescent="0.3">
      <c r="A2251" s="359" t="s">
        <v>1906</v>
      </c>
      <c r="B2251" s="572" t="s">
        <v>3961</v>
      </c>
      <c r="C2251" s="546" t="s">
        <v>3070</v>
      </c>
      <c r="D2251" s="360">
        <v>0.4</v>
      </c>
      <c r="E2251" s="393"/>
      <c r="F2251" s="523"/>
      <c r="G2251" s="393"/>
      <c r="H2251" s="573"/>
      <c r="I2251" s="394"/>
      <c r="J2251" s="394"/>
      <c r="K2251" s="394"/>
      <c r="L2251" s="394"/>
      <c r="M2251" s="394"/>
      <c r="N2251" s="394"/>
      <c r="O2251" s="394"/>
      <c r="P2251" s="394"/>
      <c r="Q2251" s="394"/>
      <c r="R2251" s="381"/>
      <c r="S2251" s="408"/>
      <c r="T2251" s="385"/>
      <c r="U2251" s="475"/>
      <c r="V2251" s="395"/>
      <c r="W2251" s="395"/>
      <c r="X2251" s="393"/>
      <c r="Y2251" s="523">
        <v>1</v>
      </c>
      <c r="Z2251" s="497"/>
      <c r="AA2251" s="573">
        <v>16.309239999999999</v>
      </c>
      <c r="AB2251" s="394">
        <v>13.84873</v>
      </c>
      <c r="AC2251" s="394">
        <v>12.28289</v>
      </c>
      <c r="AD2251" s="394"/>
      <c r="AE2251" s="394"/>
      <c r="AF2251" s="394">
        <v>0</v>
      </c>
      <c r="AG2251" s="394">
        <v>0</v>
      </c>
      <c r="AH2251" s="394">
        <v>0.57360999999999995</v>
      </c>
      <c r="AI2251" s="394">
        <v>12.28289</v>
      </c>
      <c r="AJ2251" s="394"/>
      <c r="AK2251" s="381" t="s">
        <v>167</v>
      </c>
      <c r="AL2251" s="408" t="s">
        <v>175</v>
      </c>
      <c r="AM2251" s="385"/>
      <c r="AN2251" s="475">
        <v>1038</v>
      </c>
      <c r="AO2251" s="395"/>
      <c r="AP2251" s="395">
        <f t="shared" si="1041"/>
        <v>16.309239999999999</v>
      </c>
      <c r="AQ2251" s="393"/>
      <c r="AR2251" s="523"/>
      <c r="AS2251" s="497"/>
      <c r="AT2251" s="573"/>
      <c r="AU2251" s="394"/>
      <c r="AV2251" s="394"/>
      <c r="AW2251" s="394"/>
      <c r="AX2251" s="394"/>
      <c r="AY2251" s="394"/>
      <c r="AZ2251" s="394"/>
      <c r="BA2251" s="394"/>
      <c r="BB2251" s="394"/>
      <c r="BC2251" s="394"/>
      <c r="BD2251" s="381"/>
      <c r="BE2251" s="408"/>
      <c r="BF2251" s="385"/>
      <c r="BG2251" s="475"/>
      <c r="BH2251" s="395"/>
      <c r="BI2251" s="395" t="e">
        <f t="shared" si="1040"/>
        <v>#DIV/0!</v>
      </c>
    </row>
    <row r="2252" spans="1:61" s="358" customFormat="1" ht="19.2" x14ac:dyDescent="0.3">
      <c r="A2252" s="359" t="s">
        <v>1891</v>
      </c>
      <c r="B2252" s="572" t="s">
        <v>3962</v>
      </c>
      <c r="C2252" s="546" t="s">
        <v>3071</v>
      </c>
      <c r="D2252" s="360">
        <v>0.4</v>
      </c>
      <c r="E2252" s="393"/>
      <c r="F2252" s="523"/>
      <c r="G2252" s="393"/>
      <c r="H2252" s="573"/>
      <c r="I2252" s="394"/>
      <c r="J2252" s="394"/>
      <c r="K2252" s="394"/>
      <c r="L2252" s="394"/>
      <c r="M2252" s="394"/>
      <c r="N2252" s="394"/>
      <c r="O2252" s="394"/>
      <c r="P2252" s="394"/>
      <c r="Q2252" s="394"/>
      <c r="R2252" s="381"/>
      <c r="S2252" s="408"/>
      <c r="T2252" s="385"/>
      <c r="U2252" s="475"/>
      <c r="V2252" s="395"/>
      <c r="W2252" s="395"/>
      <c r="X2252" s="393"/>
      <c r="Y2252" s="523">
        <v>1</v>
      </c>
      <c r="Z2252" s="497"/>
      <c r="AA2252" s="573">
        <v>16.254200000000001</v>
      </c>
      <c r="AB2252" s="394">
        <v>13.79369</v>
      </c>
      <c r="AC2252" s="394">
        <v>12.28288</v>
      </c>
      <c r="AD2252" s="394"/>
      <c r="AE2252" s="394"/>
      <c r="AF2252" s="394">
        <v>0</v>
      </c>
      <c r="AG2252" s="394">
        <v>0</v>
      </c>
      <c r="AH2252" s="394">
        <v>0.57360999999999995</v>
      </c>
      <c r="AI2252" s="394">
        <v>12.28288</v>
      </c>
      <c r="AJ2252" s="394"/>
      <c r="AK2252" s="381" t="s">
        <v>167</v>
      </c>
      <c r="AL2252" s="408" t="s">
        <v>175</v>
      </c>
      <c r="AM2252" s="385"/>
      <c r="AN2252" s="475">
        <v>1039</v>
      </c>
      <c r="AO2252" s="395"/>
      <c r="AP2252" s="395">
        <f t="shared" si="1041"/>
        <v>16.254200000000001</v>
      </c>
      <c r="AQ2252" s="393"/>
      <c r="AR2252" s="523"/>
      <c r="AS2252" s="497"/>
      <c r="AT2252" s="573"/>
      <c r="AU2252" s="394"/>
      <c r="AV2252" s="394"/>
      <c r="AW2252" s="394"/>
      <c r="AX2252" s="394"/>
      <c r="AY2252" s="394"/>
      <c r="AZ2252" s="394"/>
      <c r="BA2252" s="394"/>
      <c r="BB2252" s="394"/>
      <c r="BC2252" s="394"/>
      <c r="BD2252" s="381"/>
      <c r="BE2252" s="408"/>
      <c r="BF2252" s="385"/>
      <c r="BG2252" s="475"/>
      <c r="BH2252" s="395"/>
      <c r="BI2252" s="395" t="e">
        <f t="shared" si="1040"/>
        <v>#DIV/0!</v>
      </c>
    </row>
    <row r="2253" spans="1:61" s="358" customFormat="1" ht="19.2" x14ac:dyDescent="0.3">
      <c r="A2253" s="359" t="s">
        <v>1892</v>
      </c>
      <c r="B2253" s="572" t="s">
        <v>3963</v>
      </c>
      <c r="C2253" s="546" t="s">
        <v>3072</v>
      </c>
      <c r="D2253" s="360">
        <v>0.4</v>
      </c>
      <c r="E2253" s="393"/>
      <c r="F2253" s="523"/>
      <c r="G2253" s="393"/>
      <c r="H2253" s="573"/>
      <c r="I2253" s="394"/>
      <c r="J2253" s="394"/>
      <c r="K2253" s="394"/>
      <c r="L2253" s="394"/>
      <c r="M2253" s="394"/>
      <c r="N2253" s="394"/>
      <c r="O2253" s="394"/>
      <c r="P2253" s="394"/>
      <c r="Q2253" s="394"/>
      <c r="R2253" s="381"/>
      <c r="S2253" s="408"/>
      <c r="T2253" s="385"/>
      <c r="U2253" s="475"/>
      <c r="V2253" s="395"/>
      <c r="W2253" s="395"/>
      <c r="X2253" s="393"/>
      <c r="Y2253" s="523">
        <v>1</v>
      </c>
      <c r="Z2253" s="497"/>
      <c r="AA2253" s="573">
        <v>15.1311</v>
      </c>
      <c r="AB2253" s="394">
        <v>13.21682</v>
      </c>
      <c r="AC2253" s="394">
        <v>12.28293</v>
      </c>
      <c r="AD2253" s="394"/>
      <c r="AE2253" s="394"/>
      <c r="AF2253" s="394">
        <v>0</v>
      </c>
      <c r="AG2253" s="394">
        <v>0</v>
      </c>
      <c r="AH2253" s="394">
        <v>0.44627</v>
      </c>
      <c r="AI2253" s="394">
        <v>12.28293</v>
      </c>
      <c r="AJ2253" s="394"/>
      <c r="AK2253" s="381" t="s">
        <v>167</v>
      </c>
      <c r="AL2253" s="408" t="s">
        <v>175</v>
      </c>
      <c r="AM2253" s="385"/>
      <c r="AN2253" s="475">
        <v>1040</v>
      </c>
      <c r="AO2253" s="395"/>
      <c r="AP2253" s="395">
        <f t="shared" si="1041"/>
        <v>15.1311</v>
      </c>
      <c r="AQ2253" s="393"/>
      <c r="AR2253" s="523"/>
      <c r="AS2253" s="497"/>
      <c r="AT2253" s="573"/>
      <c r="AU2253" s="394"/>
      <c r="AV2253" s="394"/>
      <c r="AW2253" s="394"/>
      <c r="AX2253" s="394"/>
      <c r="AY2253" s="394"/>
      <c r="AZ2253" s="394"/>
      <c r="BA2253" s="394"/>
      <c r="BB2253" s="394"/>
      <c r="BC2253" s="394"/>
      <c r="BD2253" s="381"/>
      <c r="BE2253" s="408"/>
      <c r="BF2253" s="385"/>
      <c r="BG2253" s="475"/>
      <c r="BH2253" s="395"/>
      <c r="BI2253" s="395" t="e">
        <f t="shared" si="1040"/>
        <v>#DIV/0!</v>
      </c>
    </row>
    <row r="2254" spans="1:61" s="358" customFormat="1" ht="19.2" x14ac:dyDescent="0.3">
      <c r="A2254" s="359" t="s">
        <v>1893</v>
      </c>
      <c r="B2254" s="572" t="s">
        <v>2296</v>
      </c>
      <c r="C2254" s="546" t="s">
        <v>2295</v>
      </c>
      <c r="D2254" s="360">
        <v>0.4</v>
      </c>
      <c r="E2254" s="393"/>
      <c r="F2254" s="523"/>
      <c r="G2254" s="393"/>
      <c r="H2254" s="573"/>
      <c r="I2254" s="394"/>
      <c r="J2254" s="394"/>
      <c r="K2254" s="394"/>
      <c r="L2254" s="394"/>
      <c r="M2254" s="394"/>
      <c r="N2254" s="394"/>
      <c r="O2254" s="394"/>
      <c r="P2254" s="394"/>
      <c r="Q2254" s="394"/>
      <c r="R2254" s="381"/>
      <c r="S2254" s="408"/>
      <c r="T2254" s="385"/>
      <c r="U2254" s="475"/>
      <c r="V2254" s="395"/>
      <c r="W2254" s="395"/>
      <c r="X2254" s="393"/>
      <c r="Y2254" s="523">
        <v>1</v>
      </c>
      <c r="Z2254" s="497"/>
      <c r="AA2254" s="573">
        <v>15.1311</v>
      </c>
      <c r="AB2254" s="394">
        <v>13.21682</v>
      </c>
      <c r="AC2254" s="394">
        <v>12.28293</v>
      </c>
      <c r="AD2254" s="394"/>
      <c r="AE2254" s="394"/>
      <c r="AF2254" s="394">
        <v>0</v>
      </c>
      <c r="AG2254" s="394">
        <v>0</v>
      </c>
      <c r="AH2254" s="394">
        <v>0.44627</v>
      </c>
      <c r="AI2254" s="394">
        <v>12.28293</v>
      </c>
      <c r="AJ2254" s="394"/>
      <c r="AK2254" s="381" t="s">
        <v>167</v>
      </c>
      <c r="AL2254" s="408" t="s">
        <v>175</v>
      </c>
      <c r="AM2254" s="385"/>
      <c r="AN2254" s="475">
        <v>1041</v>
      </c>
      <c r="AO2254" s="395"/>
      <c r="AP2254" s="395">
        <f t="shared" si="1041"/>
        <v>15.1311</v>
      </c>
      <c r="AQ2254" s="393"/>
      <c r="AR2254" s="523"/>
      <c r="AS2254" s="497"/>
      <c r="AT2254" s="573"/>
      <c r="AU2254" s="394"/>
      <c r="AV2254" s="394"/>
      <c r="AW2254" s="394"/>
      <c r="AX2254" s="394"/>
      <c r="AY2254" s="394"/>
      <c r="AZ2254" s="394"/>
      <c r="BA2254" s="394"/>
      <c r="BB2254" s="394"/>
      <c r="BC2254" s="394"/>
      <c r="BD2254" s="381"/>
      <c r="BE2254" s="408"/>
      <c r="BF2254" s="385"/>
      <c r="BG2254" s="475"/>
      <c r="BH2254" s="395"/>
      <c r="BI2254" s="395" t="e">
        <f t="shared" si="1040"/>
        <v>#DIV/0!</v>
      </c>
    </row>
    <row r="2255" spans="1:61" s="358" customFormat="1" ht="19.2" x14ac:dyDescent="0.3">
      <c r="A2255" s="359" t="s">
        <v>1910</v>
      </c>
      <c r="B2255" s="572" t="s">
        <v>3964</v>
      </c>
      <c r="C2255" s="546" t="s">
        <v>3073</v>
      </c>
      <c r="D2255" s="360">
        <v>0.4</v>
      </c>
      <c r="E2255" s="393"/>
      <c r="F2255" s="523"/>
      <c r="G2255" s="393"/>
      <c r="H2255" s="573"/>
      <c r="I2255" s="394"/>
      <c r="J2255" s="394"/>
      <c r="K2255" s="394"/>
      <c r="L2255" s="394"/>
      <c r="M2255" s="394"/>
      <c r="N2255" s="394"/>
      <c r="O2255" s="394"/>
      <c r="P2255" s="394"/>
      <c r="Q2255" s="394"/>
      <c r="R2255" s="381"/>
      <c r="S2255" s="408"/>
      <c r="T2255" s="385"/>
      <c r="U2255" s="475"/>
      <c r="V2255" s="395"/>
      <c r="W2255" s="395"/>
      <c r="X2255" s="393"/>
      <c r="Y2255" s="523">
        <v>1</v>
      </c>
      <c r="Z2255" s="497"/>
      <c r="AA2255" s="573">
        <v>15.1311</v>
      </c>
      <c r="AB2255" s="394">
        <v>13.21682</v>
      </c>
      <c r="AC2255" s="394">
        <v>12.28293</v>
      </c>
      <c r="AD2255" s="394"/>
      <c r="AE2255" s="394"/>
      <c r="AF2255" s="394">
        <v>0</v>
      </c>
      <c r="AG2255" s="394">
        <v>0</v>
      </c>
      <c r="AH2255" s="394">
        <v>0.44627</v>
      </c>
      <c r="AI2255" s="394">
        <v>12.28293</v>
      </c>
      <c r="AJ2255" s="394"/>
      <c r="AK2255" s="381" t="s">
        <v>167</v>
      </c>
      <c r="AL2255" s="408" t="s">
        <v>175</v>
      </c>
      <c r="AM2255" s="385"/>
      <c r="AN2255" s="475">
        <v>1042</v>
      </c>
      <c r="AO2255" s="395"/>
      <c r="AP2255" s="395">
        <f t="shared" si="1041"/>
        <v>15.1311</v>
      </c>
      <c r="AQ2255" s="393"/>
      <c r="AR2255" s="523"/>
      <c r="AS2255" s="497"/>
      <c r="AT2255" s="573"/>
      <c r="AU2255" s="394"/>
      <c r="AV2255" s="394"/>
      <c r="AW2255" s="394"/>
      <c r="AX2255" s="394"/>
      <c r="AY2255" s="394"/>
      <c r="AZ2255" s="394"/>
      <c r="BA2255" s="394"/>
      <c r="BB2255" s="394"/>
      <c r="BC2255" s="394"/>
      <c r="BD2255" s="381"/>
      <c r="BE2255" s="408"/>
      <c r="BF2255" s="385"/>
      <c r="BG2255" s="475"/>
      <c r="BH2255" s="395"/>
      <c r="BI2255" s="395" t="e">
        <f t="shared" si="1040"/>
        <v>#DIV/0!</v>
      </c>
    </row>
    <row r="2256" spans="1:61" s="358" customFormat="1" ht="19.2" x14ac:dyDescent="0.3">
      <c r="A2256" s="359" t="s">
        <v>1895</v>
      </c>
      <c r="B2256" s="572" t="s">
        <v>3965</v>
      </c>
      <c r="C2256" s="546" t="s">
        <v>3074</v>
      </c>
      <c r="D2256" s="360">
        <v>0.4</v>
      </c>
      <c r="E2256" s="393"/>
      <c r="F2256" s="523"/>
      <c r="G2256" s="393"/>
      <c r="H2256" s="573"/>
      <c r="I2256" s="394"/>
      <c r="J2256" s="394"/>
      <c r="K2256" s="394"/>
      <c r="L2256" s="394"/>
      <c r="M2256" s="394"/>
      <c r="N2256" s="394"/>
      <c r="O2256" s="394"/>
      <c r="P2256" s="394"/>
      <c r="Q2256" s="394"/>
      <c r="R2256" s="381"/>
      <c r="S2256" s="408"/>
      <c r="T2256" s="385"/>
      <c r="U2256" s="475"/>
      <c r="V2256" s="395"/>
      <c r="W2256" s="395"/>
      <c r="X2256" s="393"/>
      <c r="Y2256" s="523">
        <v>1</v>
      </c>
      <c r="Z2256" s="497"/>
      <c r="AA2256" s="573">
        <v>15.13111</v>
      </c>
      <c r="AB2256" s="394">
        <v>13.21683</v>
      </c>
      <c r="AC2256" s="394">
        <v>12.28293</v>
      </c>
      <c r="AD2256" s="394"/>
      <c r="AE2256" s="394"/>
      <c r="AF2256" s="394">
        <v>0</v>
      </c>
      <c r="AG2256" s="394">
        <v>0</v>
      </c>
      <c r="AH2256" s="394">
        <v>0.44627</v>
      </c>
      <c r="AI2256" s="394">
        <v>12.28293</v>
      </c>
      <c r="AJ2256" s="394"/>
      <c r="AK2256" s="381" t="s">
        <v>167</v>
      </c>
      <c r="AL2256" s="408" t="s">
        <v>175</v>
      </c>
      <c r="AM2256" s="385"/>
      <c r="AN2256" s="475">
        <v>1043</v>
      </c>
      <c r="AO2256" s="395"/>
      <c r="AP2256" s="395">
        <f t="shared" si="1041"/>
        <v>15.13111</v>
      </c>
      <c r="AQ2256" s="393"/>
      <c r="AR2256" s="523"/>
      <c r="AS2256" s="497"/>
      <c r="AT2256" s="573"/>
      <c r="AU2256" s="394"/>
      <c r="AV2256" s="394"/>
      <c r="AW2256" s="394"/>
      <c r="AX2256" s="394"/>
      <c r="AY2256" s="394"/>
      <c r="AZ2256" s="394"/>
      <c r="BA2256" s="394"/>
      <c r="BB2256" s="394"/>
      <c r="BC2256" s="394"/>
      <c r="BD2256" s="381"/>
      <c r="BE2256" s="408"/>
      <c r="BF2256" s="385"/>
      <c r="BG2256" s="475"/>
      <c r="BH2256" s="395"/>
      <c r="BI2256" s="395" t="e">
        <f t="shared" si="1040"/>
        <v>#DIV/0!</v>
      </c>
    </row>
    <row r="2257" spans="1:61" s="358" customFormat="1" ht="19.2" x14ac:dyDescent="0.3">
      <c r="A2257" s="359" t="s">
        <v>1896</v>
      </c>
      <c r="B2257" s="572" t="s">
        <v>3966</v>
      </c>
      <c r="C2257" s="546" t="s">
        <v>3075</v>
      </c>
      <c r="D2257" s="360">
        <v>0.4</v>
      </c>
      <c r="E2257" s="393"/>
      <c r="F2257" s="523"/>
      <c r="G2257" s="393"/>
      <c r="H2257" s="573"/>
      <c r="I2257" s="394"/>
      <c r="J2257" s="394"/>
      <c r="K2257" s="394"/>
      <c r="L2257" s="394"/>
      <c r="M2257" s="394"/>
      <c r="N2257" s="394"/>
      <c r="O2257" s="394"/>
      <c r="P2257" s="394"/>
      <c r="Q2257" s="394"/>
      <c r="R2257" s="381"/>
      <c r="S2257" s="408"/>
      <c r="T2257" s="385"/>
      <c r="U2257" s="475"/>
      <c r="V2257" s="395"/>
      <c r="W2257" s="395"/>
      <c r="X2257" s="393"/>
      <c r="Y2257" s="523">
        <v>1</v>
      </c>
      <c r="Z2257" s="497"/>
      <c r="AA2257" s="573">
        <v>15.13111</v>
      </c>
      <c r="AB2257" s="394">
        <v>13.21683</v>
      </c>
      <c r="AC2257" s="394">
        <v>12.28293</v>
      </c>
      <c r="AD2257" s="394"/>
      <c r="AE2257" s="394"/>
      <c r="AF2257" s="394">
        <v>0</v>
      </c>
      <c r="AG2257" s="394">
        <v>0</v>
      </c>
      <c r="AH2257" s="394">
        <v>0.44627</v>
      </c>
      <c r="AI2257" s="394">
        <v>12.28293</v>
      </c>
      <c r="AJ2257" s="394"/>
      <c r="AK2257" s="381" t="s">
        <v>167</v>
      </c>
      <c r="AL2257" s="408" t="s">
        <v>175</v>
      </c>
      <c r="AM2257" s="385"/>
      <c r="AN2257" s="475">
        <v>1044</v>
      </c>
      <c r="AO2257" s="395"/>
      <c r="AP2257" s="395">
        <f t="shared" si="1041"/>
        <v>15.13111</v>
      </c>
      <c r="AQ2257" s="393"/>
      <c r="AR2257" s="523"/>
      <c r="AS2257" s="497"/>
      <c r="AT2257" s="573"/>
      <c r="AU2257" s="394"/>
      <c r="AV2257" s="394"/>
      <c r="AW2257" s="394"/>
      <c r="AX2257" s="394"/>
      <c r="AY2257" s="394"/>
      <c r="AZ2257" s="394"/>
      <c r="BA2257" s="394"/>
      <c r="BB2257" s="394"/>
      <c r="BC2257" s="394"/>
      <c r="BD2257" s="381"/>
      <c r="BE2257" s="408"/>
      <c r="BF2257" s="385"/>
      <c r="BG2257" s="475"/>
      <c r="BH2257" s="395"/>
      <c r="BI2257" s="395" t="e">
        <f t="shared" si="1040"/>
        <v>#DIV/0!</v>
      </c>
    </row>
    <row r="2258" spans="1:61" s="358" customFormat="1" ht="19.2" x14ac:dyDescent="0.3">
      <c r="A2258" s="359" t="s">
        <v>1881</v>
      </c>
      <c r="B2258" s="572" t="s">
        <v>3967</v>
      </c>
      <c r="C2258" s="546" t="s">
        <v>3076</v>
      </c>
      <c r="D2258" s="360">
        <v>0.4</v>
      </c>
      <c r="E2258" s="393"/>
      <c r="F2258" s="523"/>
      <c r="G2258" s="393"/>
      <c r="H2258" s="573"/>
      <c r="I2258" s="394"/>
      <c r="J2258" s="394"/>
      <c r="K2258" s="394"/>
      <c r="L2258" s="394"/>
      <c r="M2258" s="394"/>
      <c r="N2258" s="394"/>
      <c r="O2258" s="394"/>
      <c r="P2258" s="394"/>
      <c r="Q2258" s="394"/>
      <c r="R2258" s="381"/>
      <c r="S2258" s="408"/>
      <c r="T2258" s="385"/>
      <c r="U2258" s="475"/>
      <c r="V2258" s="395"/>
      <c r="W2258" s="395"/>
      <c r="X2258" s="393"/>
      <c r="Y2258" s="523">
        <v>1</v>
      </c>
      <c r="Z2258" s="497"/>
      <c r="AA2258" s="573">
        <v>15.1311</v>
      </c>
      <c r="AB2258" s="394">
        <v>13.21682</v>
      </c>
      <c r="AC2258" s="394">
        <v>12.28293</v>
      </c>
      <c r="AD2258" s="394"/>
      <c r="AE2258" s="394"/>
      <c r="AF2258" s="394">
        <v>0</v>
      </c>
      <c r="AG2258" s="394">
        <v>0</v>
      </c>
      <c r="AH2258" s="394">
        <v>0.44627</v>
      </c>
      <c r="AI2258" s="394">
        <v>12.28293</v>
      </c>
      <c r="AJ2258" s="394"/>
      <c r="AK2258" s="381" t="s">
        <v>167</v>
      </c>
      <c r="AL2258" s="408" t="s">
        <v>175</v>
      </c>
      <c r="AM2258" s="385"/>
      <c r="AN2258" s="475">
        <v>1045</v>
      </c>
      <c r="AO2258" s="395"/>
      <c r="AP2258" s="395">
        <f t="shared" si="1041"/>
        <v>15.1311</v>
      </c>
      <c r="AQ2258" s="393"/>
      <c r="AR2258" s="523"/>
      <c r="AS2258" s="497"/>
      <c r="AT2258" s="573"/>
      <c r="AU2258" s="394"/>
      <c r="AV2258" s="394"/>
      <c r="AW2258" s="394"/>
      <c r="AX2258" s="394"/>
      <c r="AY2258" s="394"/>
      <c r="AZ2258" s="394"/>
      <c r="BA2258" s="394"/>
      <c r="BB2258" s="394"/>
      <c r="BC2258" s="394"/>
      <c r="BD2258" s="381"/>
      <c r="BE2258" s="408"/>
      <c r="BF2258" s="385"/>
      <c r="BG2258" s="475"/>
      <c r="BH2258" s="395"/>
      <c r="BI2258" s="395" t="e">
        <f t="shared" si="1040"/>
        <v>#DIV/0!</v>
      </c>
    </row>
    <row r="2259" spans="1:61" s="358" customFormat="1" ht="19.2" x14ac:dyDescent="0.3">
      <c r="A2259" s="359" t="s">
        <v>1898</v>
      </c>
      <c r="B2259" s="572" t="s">
        <v>3968</v>
      </c>
      <c r="C2259" s="546" t="s">
        <v>3077</v>
      </c>
      <c r="D2259" s="360">
        <v>0.4</v>
      </c>
      <c r="E2259" s="393"/>
      <c r="F2259" s="523"/>
      <c r="G2259" s="393"/>
      <c r="H2259" s="573"/>
      <c r="I2259" s="394"/>
      <c r="J2259" s="394"/>
      <c r="K2259" s="394"/>
      <c r="L2259" s="394"/>
      <c r="M2259" s="394"/>
      <c r="N2259" s="394"/>
      <c r="O2259" s="394"/>
      <c r="P2259" s="394"/>
      <c r="Q2259" s="394"/>
      <c r="R2259" s="381"/>
      <c r="S2259" s="408"/>
      <c r="T2259" s="385"/>
      <c r="U2259" s="475"/>
      <c r="V2259" s="395"/>
      <c r="W2259" s="395"/>
      <c r="X2259" s="393"/>
      <c r="Y2259" s="523">
        <v>1</v>
      </c>
      <c r="Z2259" s="497"/>
      <c r="AA2259" s="573">
        <v>15.1311</v>
      </c>
      <c r="AB2259" s="394">
        <v>13.21682</v>
      </c>
      <c r="AC2259" s="394">
        <v>12.28293</v>
      </c>
      <c r="AD2259" s="394"/>
      <c r="AE2259" s="394"/>
      <c r="AF2259" s="394">
        <v>0</v>
      </c>
      <c r="AG2259" s="394">
        <v>0</v>
      </c>
      <c r="AH2259" s="394">
        <v>0.44627</v>
      </c>
      <c r="AI2259" s="394">
        <v>12.28293</v>
      </c>
      <c r="AJ2259" s="394"/>
      <c r="AK2259" s="381" t="s">
        <v>167</v>
      </c>
      <c r="AL2259" s="408" t="s">
        <v>175</v>
      </c>
      <c r="AM2259" s="385"/>
      <c r="AN2259" s="475">
        <v>1046</v>
      </c>
      <c r="AO2259" s="395"/>
      <c r="AP2259" s="395">
        <f t="shared" si="1041"/>
        <v>15.1311</v>
      </c>
      <c r="AQ2259" s="393"/>
      <c r="AR2259" s="523"/>
      <c r="AS2259" s="497"/>
      <c r="AT2259" s="573"/>
      <c r="AU2259" s="394"/>
      <c r="AV2259" s="394"/>
      <c r="AW2259" s="394"/>
      <c r="AX2259" s="394"/>
      <c r="AY2259" s="394"/>
      <c r="AZ2259" s="394"/>
      <c r="BA2259" s="394"/>
      <c r="BB2259" s="394"/>
      <c r="BC2259" s="394"/>
      <c r="BD2259" s="381"/>
      <c r="BE2259" s="408"/>
      <c r="BF2259" s="385"/>
      <c r="BG2259" s="475"/>
      <c r="BH2259" s="395"/>
      <c r="BI2259" s="395" t="e">
        <f t="shared" si="1040"/>
        <v>#DIV/0!</v>
      </c>
    </row>
    <row r="2260" spans="1:61" s="358" customFormat="1" ht="19.2" x14ac:dyDescent="0.3">
      <c r="A2260" s="359" t="s">
        <v>1899</v>
      </c>
      <c r="B2260" s="572" t="s">
        <v>3969</v>
      </c>
      <c r="C2260" s="546" t="s">
        <v>3078</v>
      </c>
      <c r="D2260" s="360">
        <v>0.4</v>
      </c>
      <c r="E2260" s="393"/>
      <c r="F2260" s="523"/>
      <c r="G2260" s="393"/>
      <c r="H2260" s="573"/>
      <c r="I2260" s="394"/>
      <c r="J2260" s="394"/>
      <c r="K2260" s="394"/>
      <c r="L2260" s="394"/>
      <c r="M2260" s="394"/>
      <c r="N2260" s="394"/>
      <c r="O2260" s="394"/>
      <c r="P2260" s="394"/>
      <c r="Q2260" s="394"/>
      <c r="R2260" s="381"/>
      <c r="S2260" s="408"/>
      <c r="T2260" s="385"/>
      <c r="U2260" s="475"/>
      <c r="V2260" s="395"/>
      <c r="W2260" s="395"/>
      <c r="X2260" s="393"/>
      <c r="Y2260" s="523">
        <v>1</v>
      </c>
      <c r="Z2260" s="497"/>
      <c r="AA2260" s="573">
        <v>15.13111</v>
      </c>
      <c r="AB2260" s="394">
        <v>13.21683</v>
      </c>
      <c r="AC2260" s="394">
        <v>12.28293</v>
      </c>
      <c r="AD2260" s="394"/>
      <c r="AE2260" s="394"/>
      <c r="AF2260" s="394">
        <v>0</v>
      </c>
      <c r="AG2260" s="394">
        <v>0</v>
      </c>
      <c r="AH2260" s="394">
        <v>0.44627</v>
      </c>
      <c r="AI2260" s="394">
        <v>12.28293</v>
      </c>
      <c r="AJ2260" s="394"/>
      <c r="AK2260" s="381" t="s">
        <v>167</v>
      </c>
      <c r="AL2260" s="408" t="s">
        <v>175</v>
      </c>
      <c r="AM2260" s="385"/>
      <c r="AN2260" s="475">
        <v>1047</v>
      </c>
      <c r="AO2260" s="395"/>
      <c r="AP2260" s="395">
        <f t="shared" si="1041"/>
        <v>15.13111</v>
      </c>
      <c r="AQ2260" s="393"/>
      <c r="AR2260" s="523"/>
      <c r="AS2260" s="497"/>
      <c r="AT2260" s="573"/>
      <c r="AU2260" s="394"/>
      <c r="AV2260" s="394"/>
      <c r="AW2260" s="394"/>
      <c r="AX2260" s="394"/>
      <c r="AY2260" s="394"/>
      <c r="AZ2260" s="394"/>
      <c r="BA2260" s="394"/>
      <c r="BB2260" s="394"/>
      <c r="BC2260" s="394"/>
      <c r="BD2260" s="381"/>
      <c r="BE2260" s="408"/>
      <c r="BF2260" s="385"/>
      <c r="BG2260" s="475"/>
      <c r="BH2260" s="395"/>
      <c r="BI2260" s="395" t="e">
        <f t="shared" si="1040"/>
        <v>#DIV/0!</v>
      </c>
    </row>
    <row r="2261" spans="1:61" s="358" customFormat="1" ht="19.2" x14ac:dyDescent="0.3">
      <c r="A2261" s="359" t="s">
        <v>1900</v>
      </c>
      <c r="B2261" s="572" t="s">
        <v>3970</v>
      </c>
      <c r="C2261" s="546" t="s">
        <v>3079</v>
      </c>
      <c r="D2261" s="360">
        <v>0.4</v>
      </c>
      <c r="E2261" s="393"/>
      <c r="F2261" s="523"/>
      <c r="G2261" s="393"/>
      <c r="H2261" s="573"/>
      <c r="I2261" s="394"/>
      <c r="J2261" s="394"/>
      <c r="K2261" s="394"/>
      <c r="L2261" s="394"/>
      <c r="M2261" s="394"/>
      <c r="N2261" s="394"/>
      <c r="O2261" s="394"/>
      <c r="P2261" s="394"/>
      <c r="Q2261" s="394"/>
      <c r="R2261" s="381"/>
      <c r="S2261" s="408"/>
      <c r="T2261" s="385"/>
      <c r="U2261" s="475"/>
      <c r="V2261" s="395"/>
      <c r="W2261" s="395"/>
      <c r="X2261" s="393"/>
      <c r="Y2261" s="523">
        <v>1</v>
      </c>
      <c r="Z2261" s="497"/>
      <c r="AA2261" s="573">
        <v>15.11842</v>
      </c>
      <c r="AB2261" s="394">
        <v>13.204140000000001</v>
      </c>
      <c r="AC2261" s="394">
        <v>12.270239999999999</v>
      </c>
      <c r="AD2261" s="394"/>
      <c r="AE2261" s="394"/>
      <c r="AF2261" s="394">
        <v>0</v>
      </c>
      <c r="AG2261" s="394">
        <v>0</v>
      </c>
      <c r="AH2261" s="394">
        <v>0.44627</v>
      </c>
      <c r="AI2261" s="394">
        <v>12.270239999999999</v>
      </c>
      <c r="AJ2261" s="394"/>
      <c r="AK2261" s="381" t="s">
        <v>167</v>
      </c>
      <c r="AL2261" s="408" t="s">
        <v>175</v>
      </c>
      <c r="AM2261" s="385"/>
      <c r="AN2261" s="475">
        <v>1048</v>
      </c>
      <c r="AO2261" s="395"/>
      <c r="AP2261" s="395">
        <f t="shared" si="1041"/>
        <v>15.11842</v>
      </c>
      <c r="AQ2261" s="393"/>
      <c r="AR2261" s="523"/>
      <c r="AS2261" s="497"/>
      <c r="AT2261" s="573"/>
      <c r="AU2261" s="394"/>
      <c r="AV2261" s="394"/>
      <c r="AW2261" s="394"/>
      <c r="AX2261" s="394"/>
      <c r="AY2261" s="394"/>
      <c r="AZ2261" s="394"/>
      <c r="BA2261" s="394"/>
      <c r="BB2261" s="394"/>
      <c r="BC2261" s="394"/>
      <c r="BD2261" s="381"/>
      <c r="BE2261" s="408"/>
      <c r="BF2261" s="385"/>
      <c r="BG2261" s="475"/>
      <c r="BH2261" s="395"/>
      <c r="BI2261" s="395" t="e">
        <f t="shared" si="1040"/>
        <v>#DIV/0!</v>
      </c>
    </row>
    <row r="2262" spans="1:61" s="358" customFormat="1" ht="19.2" x14ac:dyDescent="0.3">
      <c r="A2262" s="359" t="s">
        <v>1901</v>
      </c>
      <c r="B2262" s="572" t="s">
        <v>3971</v>
      </c>
      <c r="C2262" s="546" t="s">
        <v>3080</v>
      </c>
      <c r="D2262" s="360">
        <v>0.4</v>
      </c>
      <c r="E2262" s="393"/>
      <c r="F2262" s="523"/>
      <c r="G2262" s="393"/>
      <c r="H2262" s="573"/>
      <c r="I2262" s="394"/>
      <c r="J2262" s="394"/>
      <c r="K2262" s="394"/>
      <c r="L2262" s="394"/>
      <c r="M2262" s="394"/>
      <c r="N2262" s="394"/>
      <c r="O2262" s="394"/>
      <c r="P2262" s="394"/>
      <c r="Q2262" s="394"/>
      <c r="R2262" s="381"/>
      <c r="S2262" s="408"/>
      <c r="T2262" s="385"/>
      <c r="U2262" s="475"/>
      <c r="V2262" s="395"/>
      <c r="W2262" s="395"/>
      <c r="X2262" s="393"/>
      <c r="Y2262" s="523">
        <v>1</v>
      </c>
      <c r="Z2262" s="497"/>
      <c r="AA2262" s="573">
        <v>16.254200000000001</v>
      </c>
      <c r="AB2262" s="394">
        <v>13.79369</v>
      </c>
      <c r="AC2262" s="394">
        <v>12.28288</v>
      </c>
      <c r="AD2262" s="394"/>
      <c r="AE2262" s="394"/>
      <c r="AF2262" s="394">
        <v>0</v>
      </c>
      <c r="AG2262" s="394">
        <v>0</v>
      </c>
      <c r="AH2262" s="394">
        <v>0.57360999999999995</v>
      </c>
      <c r="AI2262" s="394">
        <v>12.28288</v>
      </c>
      <c r="AJ2262" s="394"/>
      <c r="AK2262" s="381" t="s">
        <v>167</v>
      </c>
      <c r="AL2262" s="408" t="s">
        <v>175</v>
      </c>
      <c r="AM2262" s="385"/>
      <c r="AN2262" s="475">
        <v>1049</v>
      </c>
      <c r="AO2262" s="395"/>
      <c r="AP2262" s="395">
        <f t="shared" si="1041"/>
        <v>16.254200000000001</v>
      </c>
      <c r="AQ2262" s="393"/>
      <c r="AR2262" s="523"/>
      <c r="AS2262" s="497"/>
      <c r="AT2262" s="573"/>
      <c r="AU2262" s="394"/>
      <c r="AV2262" s="394"/>
      <c r="AW2262" s="394"/>
      <c r="AX2262" s="394"/>
      <c r="AY2262" s="394"/>
      <c r="AZ2262" s="394"/>
      <c r="BA2262" s="394"/>
      <c r="BB2262" s="394"/>
      <c r="BC2262" s="394"/>
      <c r="BD2262" s="381"/>
      <c r="BE2262" s="408"/>
      <c r="BF2262" s="385"/>
      <c r="BG2262" s="475"/>
      <c r="BH2262" s="395"/>
      <c r="BI2262" s="395" t="e">
        <f t="shared" si="1040"/>
        <v>#DIV/0!</v>
      </c>
    </row>
    <row r="2263" spans="1:61" s="358" customFormat="1" ht="19.2" x14ac:dyDescent="0.3">
      <c r="A2263" s="359" t="s">
        <v>1902</v>
      </c>
      <c r="B2263" s="572" t="s">
        <v>3972</v>
      </c>
      <c r="C2263" s="546" t="s">
        <v>3081</v>
      </c>
      <c r="D2263" s="360">
        <v>0.4</v>
      </c>
      <c r="E2263" s="393"/>
      <c r="F2263" s="523"/>
      <c r="G2263" s="393"/>
      <c r="H2263" s="573"/>
      <c r="I2263" s="394"/>
      <c r="J2263" s="394"/>
      <c r="K2263" s="394"/>
      <c r="L2263" s="394"/>
      <c r="M2263" s="394"/>
      <c r="N2263" s="394"/>
      <c r="O2263" s="394"/>
      <c r="P2263" s="394"/>
      <c r="Q2263" s="394"/>
      <c r="R2263" s="381"/>
      <c r="S2263" s="408"/>
      <c r="T2263" s="385"/>
      <c r="U2263" s="475"/>
      <c r="V2263" s="395"/>
      <c r="W2263" s="395"/>
      <c r="X2263" s="393"/>
      <c r="Y2263" s="523">
        <v>1</v>
      </c>
      <c r="Z2263" s="497"/>
      <c r="AA2263" s="573">
        <v>9.9031599999999997</v>
      </c>
      <c r="AB2263" s="394">
        <v>9.0368999999999993</v>
      </c>
      <c r="AC2263" s="394">
        <v>9.0325699999999998</v>
      </c>
      <c r="AD2263" s="394"/>
      <c r="AE2263" s="394"/>
      <c r="AF2263" s="394">
        <v>0</v>
      </c>
      <c r="AG2263" s="394">
        <v>0</v>
      </c>
      <c r="AH2263" s="394">
        <v>0.20194999999999999</v>
      </c>
      <c r="AI2263" s="394">
        <v>9.0325699999999998</v>
      </c>
      <c r="AJ2263" s="394"/>
      <c r="AK2263" s="381" t="s">
        <v>167</v>
      </c>
      <c r="AL2263" s="408" t="s">
        <v>175</v>
      </c>
      <c r="AM2263" s="385"/>
      <c r="AN2263" s="475">
        <v>1050</v>
      </c>
      <c r="AO2263" s="395"/>
      <c r="AP2263" s="395">
        <f t="shared" si="1041"/>
        <v>9.9031599999999997</v>
      </c>
      <c r="AQ2263" s="393"/>
      <c r="AR2263" s="523"/>
      <c r="AS2263" s="497"/>
      <c r="AT2263" s="573"/>
      <c r="AU2263" s="394"/>
      <c r="AV2263" s="394"/>
      <c r="AW2263" s="394"/>
      <c r="AX2263" s="394"/>
      <c r="AY2263" s="394"/>
      <c r="AZ2263" s="394"/>
      <c r="BA2263" s="394"/>
      <c r="BB2263" s="394"/>
      <c r="BC2263" s="394"/>
      <c r="BD2263" s="381"/>
      <c r="BE2263" s="408"/>
      <c r="BF2263" s="385"/>
      <c r="BG2263" s="475"/>
      <c r="BH2263" s="395"/>
      <c r="BI2263" s="395" t="e">
        <f t="shared" ref="BI2263:BI2326" si="1042">AT2263/AR2263</f>
        <v>#DIV/0!</v>
      </c>
    </row>
    <row r="2264" spans="1:61" s="358" customFormat="1" ht="19.2" x14ac:dyDescent="0.3">
      <c r="A2264" s="359" t="s">
        <v>1903</v>
      </c>
      <c r="B2264" s="572" t="s">
        <v>3973</v>
      </c>
      <c r="C2264" s="546" t="s">
        <v>3082</v>
      </c>
      <c r="D2264" s="360">
        <v>0.4</v>
      </c>
      <c r="E2264" s="393"/>
      <c r="F2264" s="523"/>
      <c r="G2264" s="393"/>
      <c r="H2264" s="573"/>
      <c r="I2264" s="394"/>
      <c r="J2264" s="394"/>
      <c r="K2264" s="394"/>
      <c r="L2264" s="394"/>
      <c r="M2264" s="394"/>
      <c r="N2264" s="394"/>
      <c r="O2264" s="394"/>
      <c r="P2264" s="394"/>
      <c r="Q2264" s="394"/>
      <c r="R2264" s="381"/>
      <c r="S2264" s="408"/>
      <c r="T2264" s="385"/>
      <c r="U2264" s="475"/>
      <c r="V2264" s="395"/>
      <c r="W2264" s="395"/>
      <c r="X2264" s="393"/>
      <c r="Y2264" s="523">
        <v>1</v>
      </c>
      <c r="Z2264" s="497"/>
      <c r="AA2264" s="573">
        <v>15.1311</v>
      </c>
      <c r="AB2264" s="394">
        <v>13.21682</v>
      </c>
      <c r="AC2264" s="394">
        <v>12.28293</v>
      </c>
      <c r="AD2264" s="394"/>
      <c r="AE2264" s="394"/>
      <c r="AF2264" s="394">
        <v>0</v>
      </c>
      <c r="AG2264" s="394">
        <v>0</v>
      </c>
      <c r="AH2264" s="394">
        <v>0.44627</v>
      </c>
      <c r="AI2264" s="394">
        <v>12.28293</v>
      </c>
      <c r="AJ2264" s="394"/>
      <c r="AK2264" s="381" t="s">
        <v>167</v>
      </c>
      <c r="AL2264" s="408" t="s">
        <v>175</v>
      </c>
      <c r="AM2264" s="385"/>
      <c r="AN2264" s="475">
        <v>1051</v>
      </c>
      <c r="AO2264" s="395"/>
      <c r="AP2264" s="395">
        <f t="shared" si="1041"/>
        <v>15.1311</v>
      </c>
      <c r="AQ2264" s="393"/>
      <c r="AR2264" s="523"/>
      <c r="AS2264" s="497"/>
      <c r="AT2264" s="573"/>
      <c r="AU2264" s="394"/>
      <c r="AV2264" s="394"/>
      <c r="AW2264" s="394"/>
      <c r="AX2264" s="394"/>
      <c r="AY2264" s="394"/>
      <c r="AZ2264" s="394"/>
      <c r="BA2264" s="394"/>
      <c r="BB2264" s="394"/>
      <c r="BC2264" s="394"/>
      <c r="BD2264" s="381"/>
      <c r="BE2264" s="408"/>
      <c r="BF2264" s="385"/>
      <c r="BG2264" s="475"/>
      <c r="BH2264" s="395"/>
      <c r="BI2264" s="395" t="e">
        <f t="shared" si="1042"/>
        <v>#DIV/0!</v>
      </c>
    </row>
    <row r="2265" spans="1:61" s="358" customFormat="1" ht="19.2" x14ac:dyDescent="0.3">
      <c r="A2265" s="359" t="s">
        <v>1904</v>
      </c>
      <c r="B2265" s="572" t="s">
        <v>3974</v>
      </c>
      <c r="C2265" s="546" t="s">
        <v>3083</v>
      </c>
      <c r="D2265" s="360">
        <v>0.4</v>
      </c>
      <c r="E2265" s="393"/>
      <c r="F2265" s="523"/>
      <c r="G2265" s="393"/>
      <c r="H2265" s="573"/>
      <c r="I2265" s="394"/>
      <c r="J2265" s="394"/>
      <c r="K2265" s="394"/>
      <c r="L2265" s="394"/>
      <c r="M2265" s="394"/>
      <c r="N2265" s="394"/>
      <c r="O2265" s="394"/>
      <c r="P2265" s="394"/>
      <c r="Q2265" s="394"/>
      <c r="R2265" s="381"/>
      <c r="S2265" s="408"/>
      <c r="T2265" s="385"/>
      <c r="U2265" s="475"/>
      <c r="V2265" s="395"/>
      <c r="W2265" s="395"/>
      <c r="X2265" s="393"/>
      <c r="Y2265" s="523">
        <v>1</v>
      </c>
      <c r="Z2265" s="497"/>
      <c r="AA2265" s="573">
        <v>15.13111</v>
      </c>
      <c r="AB2265" s="394">
        <v>13.21683</v>
      </c>
      <c r="AC2265" s="394">
        <v>12.28293</v>
      </c>
      <c r="AD2265" s="394"/>
      <c r="AE2265" s="394"/>
      <c r="AF2265" s="394">
        <v>0</v>
      </c>
      <c r="AG2265" s="394">
        <v>0</v>
      </c>
      <c r="AH2265" s="394">
        <v>0.44627</v>
      </c>
      <c r="AI2265" s="394">
        <v>12.28293</v>
      </c>
      <c r="AJ2265" s="394"/>
      <c r="AK2265" s="381" t="s">
        <v>167</v>
      </c>
      <c r="AL2265" s="408" t="s">
        <v>175</v>
      </c>
      <c r="AM2265" s="385"/>
      <c r="AN2265" s="475">
        <v>1052</v>
      </c>
      <c r="AO2265" s="395"/>
      <c r="AP2265" s="395">
        <f t="shared" si="1041"/>
        <v>15.13111</v>
      </c>
      <c r="AQ2265" s="393"/>
      <c r="AR2265" s="523"/>
      <c r="AS2265" s="497"/>
      <c r="AT2265" s="573"/>
      <c r="AU2265" s="394"/>
      <c r="AV2265" s="394"/>
      <c r="AW2265" s="394"/>
      <c r="AX2265" s="394"/>
      <c r="AY2265" s="394"/>
      <c r="AZ2265" s="394"/>
      <c r="BA2265" s="394"/>
      <c r="BB2265" s="394"/>
      <c r="BC2265" s="394"/>
      <c r="BD2265" s="381"/>
      <c r="BE2265" s="408"/>
      <c r="BF2265" s="385"/>
      <c r="BG2265" s="475"/>
      <c r="BH2265" s="395"/>
      <c r="BI2265" s="395" t="e">
        <f t="shared" si="1042"/>
        <v>#DIV/0!</v>
      </c>
    </row>
    <row r="2266" spans="1:61" s="358" customFormat="1" ht="19.2" x14ac:dyDescent="0.3">
      <c r="A2266" s="359" t="s">
        <v>1905</v>
      </c>
      <c r="B2266" s="572" t="s">
        <v>2361</v>
      </c>
      <c r="C2266" s="546" t="s">
        <v>2360</v>
      </c>
      <c r="D2266" s="360">
        <v>0.4</v>
      </c>
      <c r="E2266" s="393"/>
      <c r="F2266" s="523"/>
      <c r="G2266" s="393"/>
      <c r="H2266" s="573"/>
      <c r="I2266" s="394"/>
      <c r="J2266" s="394"/>
      <c r="K2266" s="394"/>
      <c r="L2266" s="394"/>
      <c r="M2266" s="394"/>
      <c r="N2266" s="394"/>
      <c r="O2266" s="394"/>
      <c r="P2266" s="394"/>
      <c r="Q2266" s="394"/>
      <c r="R2266" s="381"/>
      <c r="S2266" s="408"/>
      <c r="T2266" s="385"/>
      <c r="U2266" s="475"/>
      <c r="V2266" s="395"/>
      <c r="W2266" s="395"/>
      <c r="X2266" s="393"/>
      <c r="Y2266" s="523">
        <v>1</v>
      </c>
      <c r="Z2266" s="497"/>
      <c r="AA2266" s="573">
        <v>9.9031599999999997</v>
      </c>
      <c r="AB2266" s="394">
        <v>9.0368999999999993</v>
      </c>
      <c r="AC2266" s="394">
        <v>9.0325699999999998</v>
      </c>
      <c r="AD2266" s="394"/>
      <c r="AE2266" s="394"/>
      <c r="AF2266" s="394">
        <v>0</v>
      </c>
      <c r="AG2266" s="394">
        <v>0</v>
      </c>
      <c r="AH2266" s="394">
        <v>0.20194999999999999</v>
      </c>
      <c r="AI2266" s="394">
        <v>9.0325699999999998</v>
      </c>
      <c r="AJ2266" s="394"/>
      <c r="AK2266" s="381" t="s">
        <v>167</v>
      </c>
      <c r="AL2266" s="408" t="s">
        <v>175</v>
      </c>
      <c r="AM2266" s="385"/>
      <c r="AN2266" s="475">
        <v>1053</v>
      </c>
      <c r="AO2266" s="395"/>
      <c r="AP2266" s="395">
        <f t="shared" si="1041"/>
        <v>9.9031599999999997</v>
      </c>
      <c r="AQ2266" s="393"/>
      <c r="AR2266" s="523"/>
      <c r="AS2266" s="497"/>
      <c r="AT2266" s="573"/>
      <c r="AU2266" s="394"/>
      <c r="AV2266" s="394"/>
      <c r="AW2266" s="394"/>
      <c r="AX2266" s="394"/>
      <c r="AY2266" s="394"/>
      <c r="AZ2266" s="394"/>
      <c r="BA2266" s="394"/>
      <c r="BB2266" s="394"/>
      <c r="BC2266" s="394"/>
      <c r="BD2266" s="381"/>
      <c r="BE2266" s="408"/>
      <c r="BF2266" s="385"/>
      <c r="BG2266" s="475"/>
      <c r="BH2266" s="395"/>
      <c r="BI2266" s="395" t="e">
        <f t="shared" si="1042"/>
        <v>#DIV/0!</v>
      </c>
    </row>
    <row r="2267" spans="1:61" s="358" customFormat="1" ht="19.2" x14ac:dyDescent="0.3">
      <c r="A2267" s="359" t="s">
        <v>1922</v>
      </c>
      <c r="B2267" s="572" t="s">
        <v>3975</v>
      </c>
      <c r="C2267" s="546" t="s">
        <v>3084</v>
      </c>
      <c r="D2267" s="360">
        <v>0.4</v>
      </c>
      <c r="E2267" s="393"/>
      <c r="F2267" s="523"/>
      <c r="G2267" s="393"/>
      <c r="H2267" s="573"/>
      <c r="I2267" s="394"/>
      <c r="J2267" s="394"/>
      <c r="K2267" s="394"/>
      <c r="L2267" s="394"/>
      <c r="M2267" s="394"/>
      <c r="N2267" s="394"/>
      <c r="O2267" s="394"/>
      <c r="P2267" s="394"/>
      <c r="Q2267" s="394"/>
      <c r="R2267" s="381"/>
      <c r="S2267" s="408"/>
      <c r="T2267" s="385"/>
      <c r="U2267" s="475"/>
      <c r="V2267" s="395"/>
      <c r="W2267" s="395"/>
      <c r="X2267" s="393"/>
      <c r="Y2267" s="523">
        <v>1</v>
      </c>
      <c r="Z2267" s="497"/>
      <c r="AA2267" s="573">
        <v>16.254200000000001</v>
      </c>
      <c r="AB2267" s="394">
        <v>13.79369</v>
      </c>
      <c r="AC2267" s="394">
        <v>12.28288</v>
      </c>
      <c r="AD2267" s="394"/>
      <c r="AE2267" s="394"/>
      <c r="AF2267" s="394">
        <v>0</v>
      </c>
      <c r="AG2267" s="394">
        <v>0</v>
      </c>
      <c r="AH2267" s="394">
        <v>0.57360999999999995</v>
      </c>
      <c r="AI2267" s="394">
        <v>12.28288</v>
      </c>
      <c r="AJ2267" s="394"/>
      <c r="AK2267" s="381" t="s">
        <v>167</v>
      </c>
      <c r="AL2267" s="408" t="s">
        <v>175</v>
      </c>
      <c r="AM2267" s="385"/>
      <c r="AN2267" s="475">
        <v>1054</v>
      </c>
      <c r="AO2267" s="395"/>
      <c r="AP2267" s="395">
        <f t="shared" si="1041"/>
        <v>16.254200000000001</v>
      </c>
      <c r="AQ2267" s="393"/>
      <c r="AR2267" s="523"/>
      <c r="AS2267" s="497"/>
      <c r="AT2267" s="573"/>
      <c r="AU2267" s="394"/>
      <c r="AV2267" s="394"/>
      <c r="AW2267" s="394"/>
      <c r="AX2267" s="394"/>
      <c r="AY2267" s="394"/>
      <c r="AZ2267" s="394"/>
      <c r="BA2267" s="394"/>
      <c r="BB2267" s="394"/>
      <c r="BC2267" s="394"/>
      <c r="BD2267" s="381"/>
      <c r="BE2267" s="408"/>
      <c r="BF2267" s="385"/>
      <c r="BG2267" s="475"/>
      <c r="BH2267" s="395"/>
      <c r="BI2267" s="395" t="e">
        <f t="shared" si="1042"/>
        <v>#DIV/0!</v>
      </c>
    </row>
    <row r="2268" spans="1:61" s="358" customFormat="1" ht="19.2" x14ac:dyDescent="0.3">
      <c r="A2268" s="359" t="s">
        <v>1907</v>
      </c>
      <c r="B2268" s="572" t="s">
        <v>2294</v>
      </c>
      <c r="C2268" s="546" t="s">
        <v>2293</v>
      </c>
      <c r="D2268" s="360">
        <v>0.4</v>
      </c>
      <c r="E2268" s="393"/>
      <c r="F2268" s="523"/>
      <c r="G2268" s="393"/>
      <c r="H2268" s="573"/>
      <c r="I2268" s="394"/>
      <c r="J2268" s="394"/>
      <c r="K2268" s="394"/>
      <c r="L2268" s="394"/>
      <c r="M2268" s="394"/>
      <c r="N2268" s="394"/>
      <c r="O2268" s="394"/>
      <c r="P2268" s="394"/>
      <c r="Q2268" s="394"/>
      <c r="R2268" s="381"/>
      <c r="S2268" s="408"/>
      <c r="T2268" s="385"/>
      <c r="U2268" s="475"/>
      <c r="V2268" s="395"/>
      <c r="W2268" s="395"/>
      <c r="X2268" s="393"/>
      <c r="Y2268" s="523">
        <v>1</v>
      </c>
      <c r="Z2268" s="497"/>
      <c r="AA2268" s="573">
        <v>15.38007</v>
      </c>
      <c r="AB2268" s="394">
        <v>13.198169999999999</v>
      </c>
      <c r="AC2268" s="394">
        <v>12.2994</v>
      </c>
      <c r="AD2268" s="394"/>
      <c r="AE2268" s="394"/>
      <c r="AF2268" s="394">
        <v>0</v>
      </c>
      <c r="AG2268" s="394">
        <v>0</v>
      </c>
      <c r="AH2268" s="394">
        <v>0.50866</v>
      </c>
      <c r="AI2268" s="394">
        <v>12.2994</v>
      </c>
      <c r="AJ2268" s="394"/>
      <c r="AK2268" s="381" t="s">
        <v>167</v>
      </c>
      <c r="AL2268" s="408" t="s">
        <v>175</v>
      </c>
      <c r="AM2268" s="385"/>
      <c r="AN2268" s="475">
        <v>1055</v>
      </c>
      <c r="AO2268" s="395"/>
      <c r="AP2268" s="395">
        <f t="shared" si="1041"/>
        <v>15.38007</v>
      </c>
      <c r="AQ2268" s="393"/>
      <c r="AR2268" s="523"/>
      <c r="AS2268" s="497"/>
      <c r="AT2268" s="573"/>
      <c r="AU2268" s="394"/>
      <c r="AV2268" s="394"/>
      <c r="AW2268" s="394"/>
      <c r="AX2268" s="394"/>
      <c r="AY2268" s="394"/>
      <c r="AZ2268" s="394"/>
      <c r="BA2268" s="394"/>
      <c r="BB2268" s="394"/>
      <c r="BC2268" s="394"/>
      <c r="BD2268" s="381"/>
      <c r="BE2268" s="408"/>
      <c r="BF2268" s="385"/>
      <c r="BG2268" s="475"/>
      <c r="BH2268" s="395"/>
      <c r="BI2268" s="395" t="e">
        <f t="shared" si="1042"/>
        <v>#DIV/0!</v>
      </c>
    </row>
    <row r="2269" spans="1:61" s="358" customFormat="1" ht="19.2" x14ac:dyDescent="0.3">
      <c r="A2269" s="359" t="s">
        <v>1908</v>
      </c>
      <c r="B2269" s="572" t="s">
        <v>3976</v>
      </c>
      <c r="C2269" s="546" t="s">
        <v>3086</v>
      </c>
      <c r="D2269" s="360">
        <v>0.4</v>
      </c>
      <c r="E2269" s="393"/>
      <c r="F2269" s="523"/>
      <c r="G2269" s="393"/>
      <c r="H2269" s="573"/>
      <c r="I2269" s="394"/>
      <c r="J2269" s="394"/>
      <c r="K2269" s="394"/>
      <c r="L2269" s="394"/>
      <c r="M2269" s="394"/>
      <c r="N2269" s="394"/>
      <c r="O2269" s="394"/>
      <c r="P2269" s="394"/>
      <c r="Q2269" s="394"/>
      <c r="R2269" s="381"/>
      <c r="S2269" s="408"/>
      <c r="T2269" s="385"/>
      <c r="U2269" s="475"/>
      <c r="V2269" s="395"/>
      <c r="W2269" s="395"/>
      <c r="X2269" s="393"/>
      <c r="Y2269" s="523">
        <v>1</v>
      </c>
      <c r="Z2269" s="497"/>
      <c r="AA2269" s="573">
        <v>15.38007</v>
      </c>
      <c r="AB2269" s="394">
        <v>13.198169999999999</v>
      </c>
      <c r="AC2269" s="394">
        <v>12.2994</v>
      </c>
      <c r="AD2269" s="394"/>
      <c r="AE2269" s="394"/>
      <c r="AF2269" s="394">
        <v>0</v>
      </c>
      <c r="AG2269" s="394">
        <v>0</v>
      </c>
      <c r="AH2269" s="394">
        <v>0.50866</v>
      </c>
      <c r="AI2269" s="394">
        <v>12.2994</v>
      </c>
      <c r="AJ2269" s="394"/>
      <c r="AK2269" s="381" t="s">
        <v>167</v>
      </c>
      <c r="AL2269" s="408" t="s">
        <v>175</v>
      </c>
      <c r="AM2269" s="385"/>
      <c r="AN2269" s="475">
        <v>1056</v>
      </c>
      <c r="AO2269" s="395"/>
      <c r="AP2269" s="395">
        <f t="shared" si="1041"/>
        <v>15.38007</v>
      </c>
      <c r="AQ2269" s="393"/>
      <c r="AR2269" s="523"/>
      <c r="AS2269" s="497"/>
      <c r="AT2269" s="573"/>
      <c r="AU2269" s="394"/>
      <c r="AV2269" s="394"/>
      <c r="AW2269" s="394"/>
      <c r="AX2269" s="394"/>
      <c r="AY2269" s="394"/>
      <c r="AZ2269" s="394"/>
      <c r="BA2269" s="394"/>
      <c r="BB2269" s="394"/>
      <c r="BC2269" s="394"/>
      <c r="BD2269" s="381"/>
      <c r="BE2269" s="408"/>
      <c r="BF2269" s="385"/>
      <c r="BG2269" s="475"/>
      <c r="BH2269" s="395"/>
      <c r="BI2269" s="395" t="e">
        <f t="shared" si="1042"/>
        <v>#DIV/0!</v>
      </c>
    </row>
    <row r="2270" spans="1:61" s="358" customFormat="1" ht="19.2" x14ac:dyDescent="0.3">
      <c r="A2270" s="359" t="s">
        <v>1909</v>
      </c>
      <c r="B2270" s="572" t="s">
        <v>3977</v>
      </c>
      <c r="C2270" s="546" t="s">
        <v>3087</v>
      </c>
      <c r="D2270" s="360">
        <v>0.4</v>
      </c>
      <c r="E2270" s="393"/>
      <c r="F2270" s="523"/>
      <c r="G2270" s="393"/>
      <c r="H2270" s="573"/>
      <c r="I2270" s="394"/>
      <c r="J2270" s="394"/>
      <c r="K2270" s="394"/>
      <c r="L2270" s="394"/>
      <c r="M2270" s="394"/>
      <c r="N2270" s="394"/>
      <c r="O2270" s="394"/>
      <c r="P2270" s="394"/>
      <c r="Q2270" s="394"/>
      <c r="R2270" s="381"/>
      <c r="S2270" s="408"/>
      <c r="T2270" s="385"/>
      <c r="U2270" s="475"/>
      <c r="V2270" s="395"/>
      <c r="W2270" s="395"/>
      <c r="X2270" s="393"/>
      <c r="Y2270" s="523">
        <v>1</v>
      </c>
      <c r="Z2270" s="497"/>
      <c r="AA2270" s="573">
        <v>15.38007</v>
      </c>
      <c r="AB2270" s="394">
        <v>13.198169999999999</v>
      </c>
      <c r="AC2270" s="394">
        <v>12.2994</v>
      </c>
      <c r="AD2270" s="394"/>
      <c r="AE2270" s="394"/>
      <c r="AF2270" s="394">
        <v>0</v>
      </c>
      <c r="AG2270" s="394">
        <v>0</v>
      </c>
      <c r="AH2270" s="394">
        <v>0.50866</v>
      </c>
      <c r="AI2270" s="394">
        <v>12.2994</v>
      </c>
      <c r="AJ2270" s="394"/>
      <c r="AK2270" s="381" t="s">
        <v>167</v>
      </c>
      <c r="AL2270" s="408" t="s">
        <v>175</v>
      </c>
      <c r="AM2270" s="385"/>
      <c r="AN2270" s="475">
        <v>1057</v>
      </c>
      <c r="AO2270" s="395"/>
      <c r="AP2270" s="395">
        <f t="shared" si="1041"/>
        <v>15.38007</v>
      </c>
      <c r="AQ2270" s="393"/>
      <c r="AR2270" s="523"/>
      <c r="AS2270" s="497"/>
      <c r="AT2270" s="573"/>
      <c r="AU2270" s="394"/>
      <c r="AV2270" s="394"/>
      <c r="AW2270" s="394"/>
      <c r="AX2270" s="394"/>
      <c r="AY2270" s="394"/>
      <c r="AZ2270" s="394"/>
      <c r="BA2270" s="394"/>
      <c r="BB2270" s="394"/>
      <c r="BC2270" s="394"/>
      <c r="BD2270" s="381"/>
      <c r="BE2270" s="408"/>
      <c r="BF2270" s="385"/>
      <c r="BG2270" s="475"/>
      <c r="BH2270" s="395"/>
      <c r="BI2270" s="395" t="e">
        <f t="shared" si="1042"/>
        <v>#DIV/0!</v>
      </c>
    </row>
    <row r="2271" spans="1:61" s="358" customFormat="1" ht="19.2" x14ac:dyDescent="0.3">
      <c r="A2271" s="359" t="s">
        <v>1926</v>
      </c>
      <c r="B2271" s="572" t="s">
        <v>2290</v>
      </c>
      <c r="C2271" s="546" t="s">
        <v>2289</v>
      </c>
      <c r="D2271" s="360">
        <v>0.4</v>
      </c>
      <c r="E2271" s="393"/>
      <c r="F2271" s="523"/>
      <c r="G2271" s="393"/>
      <c r="H2271" s="573"/>
      <c r="I2271" s="394"/>
      <c r="J2271" s="394"/>
      <c r="K2271" s="394"/>
      <c r="L2271" s="394"/>
      <c r="M2271" s="394"/>
      <c r="N2271" s="394"/>
      <c r="O2271" s="394"/>
      <c r="P2271" s="394"/>
      <c r="Q2271" s="394"/>
      <c r="R2271" s="381"/>
      <c r="S2271" s="408"/>
      <c r="T2271" s="385"/>
      <c r="U2271" s="475"/>
      <c r="V2271" s="395"/>
      <c r="W2271" s="395"/>
      <c r="X2271" s="393"/>
      <c r="Y2271" s="523">
        <v>1</v>
      </c>
      <c r="Z2271" s="497"/>
      <c r="AA2271" s="573">
        <v>15.38007</v>
      </c>
      <c r="AB2271" s="394">
        <v>13.198169999999999</v>
      </c>
      <c r="AC2271" s="394">
        <v>12.2994</v>
      </c>
      <c r="AD2271" s="394"/>
      <c r="AE2271" s="394"/>
      <c r="AF2271" s="394">
        <v>0</v>
      </c>
      <c r="AG2271" s="394">
        <v>0</v>
      </c>
      <c r="AH2271" s="394">
        <v>0.50866</v>
      </c>
      <c r="AI2271" s="394">
        <v>12.2994</v>
      </c>
      <c r="AJ2271" s="394"/>
      <c r="AK2271" s="381" t="s">
        <v>167</v>
      </c>
      <c r="AL2271" s="408" t="s">
        <v>175</v>
      </c>
      <c r="AM2271" s="385"/>
      <c r="AN2271" s="475">
        <v>1058</v>
      </c>
      <c r="AO2271" s="395"/>
      <c r="AP2271" s="395">
        <f t="shared" si="1041"/>
        <v>15.38007</v>
      </c>
      <c r="AQ2271" s="393"/>
      <c r="AR2271" s="523"/>
      <c r="AS2271" s="497"/>
      <c r="AT2271" s="573"/>
      <c r="AU2271" s="394"/>
      <c r="AV2271" s="394"/>
      <c r="AW2271" s="394"/>
      <c r="AX2271" s="394"/>
      <c r="AY2271" s="394"/>
      <c r="AZ2271" s="394"/>
      <c r="BA2271" s="394"/>
      <c r="BB2271" s="394"/>
      <c r="BC2271" s="394"/>
      <c r="BD2271" s="381"/>
      <c r="BE2271" s="408"/>
      <c r="BF2271" s="385"/>
      <c r="BG2271" s="475"/>
      <c r="BH2271" s="395"/>
      <c r="BI2271" s="395" t="e">
        <f t="shared" si="1042"/>
        <v>#DIV/0!</v>
      </c>
    </row>
    <row r="2272" spans="1:61" s="358" customFormat="1" ht="19.2" x14ac:dyDescent="0.3">
      <c r="A2272" s="359" t="s">
        <v>1911</v>
      </c>
      <c r="B2272" s="572" t="s">
        <v>3978</v>
      </c>
      <c r="C2272" s="546" t="s">
        <v>3088</v>
      </c>
      <c r="D2272" s="360">
        <v>0.4</v>
      </c>
      <c r="E2272" s="393"/>
      <c r="F2272" s="523"/>
      <c r="G2272" s="393"/>
      <c r="H2272" s="573"/>
      <c r="I2272" s="394"/>
      <c r="J2272" s="394"/>
      <c r="K2272" s="394"/>
      <c r="L2272" s="394"/>
      <c r="M2272" s="394"/>
      <c r="N2272" s="394"/>
      <c r="O2272" s="394"/>
      <c r="P2272" s="394"/>
      <c r="Q2272" s="394"/>
      <c r="R2272" s="381"/>
      <c r="S2272" s="408"/>
      <c r="T2272" s="385"/>
      <c r="U2272" s="475"/>
      <c r="V2272" s="395"/>
      <c r="W2272" s="395"/>
      <c r="X2272" s="393"/>
      <c r="Y2272" s="523">
        <v>1</v>
      </c>
      <c r="Z2272" s="497"/>
      <c r="AA2272" s="573">
        <v>15.38007</v>
      </c>
      <c r="AB2272" s="394">
        <v>13.198169999999999</v>
      </c>
      <c r="AC2272" s="394">
        <v>12.2994</v>
      </c>
      <c r="AD2272" s="394"/>
      <c r="AE2272" s="394"/>
      <c r="AF2272" s="394">
        <v>0</v>
      </c>
      <c r="AG2272" s="394">
        <v>0</v>
      </c>
      <c r="AH2272" s="394">
        <v>0.50866</v>
      </c>
      <c r="AI2272" s="394">
        <v>12.2994</v>
      </c>
      <c r="AJ2272" s="394"/>
      <c r="AK2272" s="381" t="s">
        <v>167</v>
      </c>
      <c r="AL2272" s="408" t="s">
        <v>175</v>
      </c>
      <c r="AM2272" s="385"/>
      <c r="AN2272" s="475">
        <v>1059</v>
      </c>
      <c r="AO2272" s="395"/>
      <c r="AP2272" s="395">
        <f t="shared" si="1041"/>
        <v>15.38007</v>
      </c>
      <c r="AQ2272" s="393"/>
      <c r="AR2272" s="523"/>
      <c r="AS2272" s="497"/>
      <c r="AT2272" s="573"/>
      <c r="AU2272" s="394"/>
      <c r="AV2272" s="394"/>
      <c r="AW2272" s="394"/>
      <c r="AX2272" s="394"/>
      <c r="AY2272" s="394"/>
      <c r="AZ2272" s="394"/>
      <c r="BA2272" s="394"/>
      <c r="BB2272" s="394"/>
      <c r="BC2272" s="394"/>
      <c r="BD2272" s="381"/>
      <c r="BE2272" s="408"/>
      <c r="BF2272" s="385"/>
      <c r="BG2272" s="475"/>
      <c r="BH2272" s="395"/>
      <c r="BI2272" s="395" t="e">
        <f t="shared" si="1042"/>
        <v>#DIV/0!</v>
      </c>
    </row>
    <row r="2273" spans="1:61" s="358" customFormat="1" ht="19.2" x14ac:dyDescent="0.3">
      <c r="A2273" s="359" t="s">
        <v>1912</v>
      </c>
      <c r="B2273" s="572" t="s">
        <v>2614</v>
      </c>
      <c r="C2273" s="546" t="s">
        <v>2613</v>
      </c>
      <c r="D2273" s="360">
        <v>0.4</v>
      </c>
      <c r="E2273" s="393"/>
      <c r="F2273" s="523"/>
      <c r="G2273" s="393"/>
      <c r="H2273" s="573"/>
      <c r="I2273" s="394"/>
      <c r="J2273" s="394"/>
      <c r="K2273" s="394"/>
      <c r="L2273" s="394"/>
      <c r="M2273" s="394"/>
      <c r="N2273" s="394"/>
      <c r="O2273" s="394"/>
      <c r="P2273" s="394"/>
      <c r="Q2273" s="394"/>
      <c r="R2273" s="381"/>
      <c r="S2273" s="408"/>
      <c r="T2273" s="385"/>
      <c r="U2273" s="475"/>
      <c r="V2273" s="395"/>
      <c r="W2273" s="395"/>
      <c r="X2273" s="393"/>
      <c r="Y2273" s="523">
        <v>1</v>
      </c>
      <c r="Z2273" s="497"/>
      <c r="AA2273" s="573">
        <v>15.38007</v>
      </c>
      <c r="AB2273" s="394">
        <v>13.198169999999999</v>
      </c>
      <c r="AC2273" s="394">
        <v>12.2994</v>
      </c>
      <c r="AD2273" s="394"/>
      <c r="AE2273" s="394"/>
      <c r="AF2273" s="394">
        <v>0</v>
      </c>
      <c r="AG2273" s="394">
        <v>0</v>
      </c>
      <c r="AH2273" s="394">
        <v>0.50866</v>
      </c>
      <c r="AI2273" s="394">
        <v>12.2994</v>
      </c>
      <c r="AJ2273" s="394"/>
      <c r="AK2273" s="381" t="s">
        <v>167</v>
      </c>
      <c r="AL2273" s="408" t="s">
        <v>175</v>
      </c>
      <c r="AM2273" s="385"/>
      <c r="AN2273" s="475">
        <v>1060</v>
      </c>
      <c r="AO2273" s="395"/>
      <c r="AP2273" s="395">
        <f t="shared" si="1041"/>
        <v>15.38007</v>
      </c>
      <c r="AQ2273" s="393"/>
      <c r="AR2273" s="523"/>
      <c r="AS2273" s="497"/>
      <c r="AT2273" s="573"/>
      <c r="AU2273" s="394"/>
      <c r="AV2273" s="394"/>
      <c r="AW2273" s="394"/>
      <c r="AX2273" s="394"/>
      <c r="AY2273" s="394"/>
      <c r="AZ2273" s="394"/>
      <c r="BA2273" s="394"/>
      <c r="BB2273" s="394"/>
      <c r="BC2273" s="394"/>
      <c r="BD2273" s="381"/>
      <c r="BE2273" s="408"/>
      <c r="BF2273" s="385"/>
      <c r="BG2273" s="475"/>
      <c r="BH2273" s="395"/>
      <c r="BI2273" s="395" t="e">
        <f t="shared" si="1042"/>
        <v>#DIV/0!</v>
      </c>
    </row>
    <row r="2274" spans="1:61" s="358" customFormat="1" ht="19.2" x14ac:dyDescent="0.3">
      <c r="A2274" s="359" t="s">
        <v>1897</v>
      </c>
      <c r="B2274" s="572" t="s">
        <v>2333</v>
      </c>
      <c r="C2274" s="546" t="s">
        <v>3089</v>
      </c>
      <c r="D2274" s="360">
        <v>0.4</v>
      </c>
      <c r="E2274" s="393"/>
      <c r="F2274" s="523"/>
      <c r="G2274" s="393"/>
      <c r="H2274" s="573"/>
      <c r="I2274" s="394"/>
      <c r="J2274" s="394"/>
      <c r="K2274" s="394"/>
      <c r="L2274" s="394"/>
      <c r="M2274" s="394"/>
      <c r="N2274" s="394"/>
      <c r="O2274" s="394"/>
      <c r="P2274" s="394"/>
      <c r="Q2274" s="394"/>
      <c r="R2274" s="381"/>
      <c r="S2274" s="408"/>
      <c r="T2274" s="385"/>
      <c r="U2274" s="475"/>
      <c r="V2274" s="395"/>
      <c r="W2274" s="395"/>
      <c r="X2274" s="393"/>
      <c r="Y2274" s="523">
        <v>1</v>
      </c>
      <c r="Z2274" s="497"/>
      <c r="AA2274" s="573">
        <v>15.38007</v>
      </c>
      <c r="AB2274" s="394">
        <v>13.198169999999999</v>
      </c>
      <c r="AC2274" s="394">
        <v>12.2994</v>
      </c>
      <c r="AD2274" s="394"/>
      <c r="AE2274" s="394"/>
      <c r="AF2274" s="394">
        <v>0</v>
      </c>
      <c r="AG2274" s="394">
        <v>0</v>
      </c>
      <c r="AH2274" s="394">
        <v>0.50866</v>
      </c>
      <c r="AI2274" s="394">
        <v>12.2994</v>
      </c>
      <c r="AJ2274" s="394"/>
      <c r="AK2274" s="381" t="s">
        <v>167</v>
      </c>
      <c r="AL2274" s="408" t="s">
        <v>175</v>
      </c>
      <c r="AM2274" s="385"/>
      <c r="AN2274" s="475">
        <v>1061</v>
      </c>
      <c r="AO2274" s="395"/>
      <c r="AP2274" s="395">
        <f t="shared" si="1041"/>
        <v>15.38007</v>
      </c>
      <c r="AQ2274" s="393"/>
      <c r="AR2274" s="523"/>
      <c r="AS2274" s="497"/>
      <c r="AT2274" s="573"/>
      <c r="AU2274" s="394"/>
      <c r="AV2274" s="394"/>
      <c r="AW2274" s="394"/>
      <c r="AX2274" s="394"/>
      <c r="AY2274" s="394"/>
      <c r="AZ2274" s="394"/>
      <c r="BA2274" s="394"/>
      <c r="BB2274" s="394"/>
      <c r="BC2274" s="394"/>
      <c r="BD2274" s="381"/>
      <c r="BE2274" s="408"/>
      <c r="BF2274" s="385"/>
      <c r="BG2274" s="475"/>
      <c r="BH2274" s="395"/>
      <c r="BI2274" s="395" t="e">
        <f t="shared" si="1042"/>
        <v>#DIV/0!</v>
      </c>
    </row>
    <row r="2275" spans="1:61" s="358" customFormat="1" ht="19.2" x14ac:dyDescent="0.3">
      <c r="A2275" s="359" t="s">
        <v>1914</v>
      </c>
      <c r="B2275" s="572" t="s">
        <v>3979</v>
      </c>
      <c r="C2275" s="546" t="s">
        <v>3090</v>
      </c>
      <c r="D2275" s="360">
        <v>0.4</v>
      </c>
      <c r="E2275" s="393"/>
      <c r="F2275" s="523"/>
      <c r="G2275" s="393"/>
      <c r="H2275" s="573"/>
      <c r="I2275" s="394"/>
      <c r="J2275" s="394"/>
      <c r="K2275" s="394"/>
      <c r="L2275" s="394"/>
      <c r="M2275" s="394"/>
      <c r="N2275" s="394"/>
      <c r="O2275" s="394"/>
      <c r="P2275" s="394"/>
      <c r="Q2275" s="394"/>
      <c r="R2275" s="381"/>
      <c r="S2275" s="408"/>
      <c r="T2275" s="385"/>
      <c r="U2275" s="475"/>
      <c r="V2275" s="395"/>
      <c r="W2275" s="395"/>
      <c r="X2275" s="393"/>
      <c r="Y2275" s="523">
        <v>1</v>
      </c>
      <c r="Z2275" s="497"/>
      <c r="AA2275" s="573">
        <v>15.38007</v>
      </c>
      <c r="AB2275" s="394">
        <v>13.198169999999999</v>
      </c>
      <c r="AC2275" s="394">
        <v>12.2994</v>
      </c>
      <c r="AD2275" s="394"/>
      <c r="AE2275" s="394"/>
      <c r="AF2275" s="394">
        <v>0</v>
      </c>
      <c r="AG2275" s="394">
        <v>0</v>
      </c>
      <c r="AH2275" s="394">
        <v>0.50866</v>
      </c>
      <c r="AI2275" s="394">
        <v>12.2994</v>
      </c>
      <c r="AJ2275" s="394"/>
      <c r="AK2275" s="381" t="s">
        <v>167</v>
      </c>
      <c r="AL2275" s="408" t="s">
        <v>175</v>
      </c>
      <c r="AM2275" s="385"/>
      <c r="AN2275" s="475">
        <v>1062</v>
      </c>
      <c r="AO2275" s="395"/>
      <c r="AP2275" s="395">
        <f t="shared" si="1041"/>
        <v>15.38007</v>
      </c>
      <c r="AQ2275" s="393"/>
      <c r="AR2275" s="523"/>
      <c r="AS2275" s="497"/>
      <c r="AT2275" s="573"/>
      <c r="AU2275" s="394"/>
      <c r="AV2275" s="394"/>
      <c r="AW2275" s="394"/>
      <c r="AX2275" s="394"/>
      <c r="AY2275" s="394"/>
      <c r="AZ2275" s="394"/>
      <c r="BA2275" s="394"/>
      <c r="BB2275" s="394"/>
      <c r="BC2275" s="394"/>
      <c r="BD2275" s="381"/>
      <c r="BE2275" s="408"/>
      <c r="BF2275" s="385"/>
      <c r="BG2275" s="475"/>
      <c r="BH2275" s="395"/>
      <c r="BI2275" s="395" t="e">
        <f t="shared" si="1042"/>
        <v>#DIV/0!</v>
      </c>
    </row>
    <row r="2276" spans="1:61" s="358" customFormat="1" ht="19.2" x14ac:dyDescent="0.3">
      <c r="A2276" s="359" t="s">
        <v>1915</v>
      </c>
      <c r="B2276" s="572" t="s">
        <v>3980</v>
      </c>
      <c r="C2276" s="546" t="s">
        <v>3091</v>
      </c>
      <c r="D2276" s="360">
        <v>0.4</v>
      </c>
      <c r="E2276" s="393"/>
      <c r="F2276" s="523"/>
      <c r="G2276" s="393"/>
      <c r="H2276" s="573"/>
      <c r="I2276" s="394"/>
      <c r="J2276" s="394"/>
      <c r="K2276" s="394"/>
      <c r="L2276" s="394"/>
      <c r="M2276" s="394"/>
      <c r="N2276" s="394"/>
      <c r="O2276" s="394"/>
      <c r="P2276" s="394"/>
      <c r="Q2276" s="394"/>
      <c r="R2276" s="381"/>
      <c r="S2276" s="408"/>
      <c r="T2276" s="385"/>
      <c r="U2276" s="475"/>
      <c r="V2276" s="395"/>
      <c r="W2276" s="395"/>
      <c r="X2276" s="393"/>
      <c r="Y2276" s="523">
        <v>1</v>
      </c>
      <c r="Z2276" s="497"/>
      <c r="AA2276" s="573">
        <v>15.38007</v>
      </c>
      <c r="AB2276" s="394">
        <v>13.198169999999999</v>
      </c>
      <c r="AC2276" s="394">
        <v>12.2994</v>
      </c>
      <c r="AD2276" s="394"/>
      <c r="AE2276" s="394"/>
      <c r="AF2276" s="394">
        <v>0</v>
      </c>
      <c r="AG2276" s="394">
        <v>0</v>
      </c>
      <c r="AH2276" s="394">
        <v>0.50866</v>
      </c>
      <c r="AI2276" s="394">
        <v>12.2994</v>
      </c>
      <c r="AJ2276" s="394"/>
      <c r="AK2276" s="381" t="s">
        <v>167</v>
      </c>
      <c r="AL2276" s="408" t="s">
        <v>175</v>
      </c>
      <c r="AM2276" s="385"/>
      <c r="AN2276" s="475">
        <v>1063</v>
      </c>
      <c r="AO2276" s="395"/>
      <c r="AP2276" s="395">
        <f t="shared" si="1041"/>
        <v>15.38007</v>
      </c>
      <c r="AQ2276" s="393"/>
      <c r="AR2276" s="523"/>
      <c r="AS2276" s="497"/>
      <c r="AT2276" s="573"/>
      <c r="AU2276" s="394"/>
      <c r="AV2276" s="394"/>
      <c r="AW2276" s="394"/>
      <c r="AX2276" s="394"/>
      <c r="AY2276" s="394"/>
      <c r="AZ2276" s="394"/>
      <c r="BA2276" s="394"/>
      <c r="BB2276" s="394"/>
      <c r="BC2276" s="394"/>
      <c r="BD2276" s="381"/>
      <c r="BE2276" s="408"/>
      <c r="BF2276" s="385"/>
      <c r="BG2276" s="475"/>
      <c r="BH2276" s="395"/>
      <c r="BI2276" s="395" t="e">
        <f t="shared" si="1042"/>
        <v>#DIV/0!</v>
      </c>
    </row>
    <row r="2277" spans="1:61" s="358" customFormat="1" ht="19.2" x14ac:dyDescent="0.3">
      <c r="A2277" s="359" t="s">
        <v>1916</v>
      </c>
      <c r="B2277" s="572" t="s">
        <v>3981</v>
      </c>
      <c r="C2277" s="546" t="s">
        <v>3092</v>
      </c>
      <c r="D2277" s="360">
        <v>0.4</v>
      </c>
      <c r="E2277" s="393"/>
      <c r="F2277" s="523"/>
      <c r="G2277" s="393"/>
      <c r="H2277" s="573"/>
      <c r="I2277" s="394"/>
      <c r="J2277" s="394"/>
      <c r="K2277" s="394"/>
      <c r="L2277" s="394"/>
      <c r="M2277" s="394"/>
      <c r="N2277" s="394"/>
      <c r="O2277" s="394"/>
      <c r="P2277" s="394"/>
      <c r="Q2277" s="394"/>
      <c r="R2277" s="381"/>
      <c r="S2277" s="408"/>
      <c r="T2277" s="385"/>
      <c r="U2277" s="475"/>
      <c r="V2277" s="395"/>
      <c r="W2277" s="395"/>
      <c r="X2277" s="393"/>
      <c r="Y2277" s="523">
        <v>1</v>
      </c>
      <c r="Z2277" s="497"/>
      <c r="AA2277" s="573">
        <v>15.38008</v>
      </c>
      <c r="AB2277" s="394">
        <v>13.198180000000001</v>
      </c>
      <c r="AC2277" s="394">
        <v>12.2994</v>
      </c>
      <c r="AD2277" s="394"/>
      <c r="AE2277" s="394"/>
      <c r="AF2277" s="394">
        <v>0</v>
      </c>
      <c r="AG2277" s="394">
        <v>0</v>
      </c>
      <c r="AH2277" s="394">
        <v>0.50866</v>
      </c>
      <c r="AI2277" s="394">
        <v>12.2994</v>
      </c>
      <c r="AJ2277" s="394"/>
      <c r="AK2277" s="381" t="s">
        <v>167</v>
      </c>
      <c r="AL2277" s="408" t="s">
        <v>175</v>
      </c>
      <c r="AM2277" s="385"/>
      <c r="AN2277" s="475">
        <v>1064</v>
      </c>
      <c r="AO2277" s="395"/>
      <c r="AP2277" s="395">
        <f t="shared" si="1041"/>
        <v>15.38008</v>
      </c>
      <c r="AQ2277" s="393"/>
      <c r="AR2277" s="523"/>
      <c r="AS2277" s="497"/>
      <c r="AT2277" s="573"/>
      <c r="AU2277" s="394"/>
      <c r="AV2277" s="394"/>
      <c r="AW2277" s="394"/>
      <c r="AX2277" s="394"/>
      <c r="AY2277" s="394"/>
      <c r="AZ2277" s="394"/>
      <c r="BA2277" s="394"/>
      <c r="BB2277" s="394"/>
      <c r="BC2277" s="394"/>
      <c r="BD2277" s="381"/>
      <c r="BE2277" s="408"/>
      <c r="BF2277" s="385"/>
      <c r="BG2277" s="475"/>
      <c r="BH2277" s="395"/>
      <c r="BI2277" s="395" t="e">
        <f t="shared" si="1042"/>
        <v>#DIV/0!</v>
      </c>
    </row>
    <row r="2278" spans="1:61" s="358" customFormat="1" ht="19.2" x14ac:dyDescent="0.3">
      <c r="A2278" s="359" t="s">
        <v>1917</v>
      </c>
      <c r="B2278" s="572" t="s">
        <v>3982</v>
      </c>
      <c r="C2278" s="546" t="s">
        <v>3093</v>
      </c>
      <c r="D2278" s="360">
        <v>0.4</v>
      </c>
      <c r="E2278" s="393"/>
      <c r="F2278" s="523"/>
      <c r="G2278" s="393"/>
      <c r="H2278" s="573"/>
      <c r="I2278" s="394"/>
      <c r="J2278" s="394"/>
      <c r="K2278" s="394"/>
      <c r="L2278" s="394"/>
      <c r="M2278" s="394"/>
      <c r="N2278" s="394"/>
      <c r="O2278" s="394"/>
      <c r="P2278" s="394"/>
      <c r="Q2278" s="394"/>
      <c r="R2278" s="381"/>
      <c r="S2278" s="408"/>
      <c r="T2278" s="385"/>
      <c r="U2278" s="475"/>
      <c r="V2278" s="395"/>
      <c r="W2278" s="395"/>
      <c r="X2278" s="393"/>
      <c r="Y2278" s="523">
        <v>1</v>
      </c>
      <c r="Z2278" s="497"/>
      <c r="AA2278" s="573">
        <v>15.38007</v>
      </c>
      <c r="AB2278" s="394">
        <v>13.198169999999999</v>
      </c>
      <c r="AC2278" s="394">
        <v>12.2994</v>
      </c>
      <c r="AD2278" s="394"/>
      <c r="AE2278" s="394"/>
      <c r="AF2278" s="394">
        <v>0</v>
      </c>
      <c r="AG2278" s="394">
        <v>0</v>
      </c>
      <c r="AH2278" s="394">
        <v>0.50866</v>
      </c>
      <c r="AI2278" s="394">
        <v>12.2994</v>
      </c>
      <c r="AJ2278" s="394"/>
      <c r="AK2278" s="381" t="s">
        <v>167</v>
      </c>
      <c r="AL2278" s="408" t="s">
        <v>175</v>
      </c>
      <c r="AM2278" s="385"/>
      <c r="AN2278" s="475">
        <v>1065</v>
      </c>
      <c r="AO2278" s="395"/>
      <c r="AP2278" s="395">
        <f t="shared" si="1041"/>
        <v>15.38007</v>
      </c>
      <c r="AQ2278" s="393"/>
      <c r="AR2278" s="523"/>
      <c r="AS2278" s="497"/>
      <c r="AT2278" s="573"/>
      <c r="AU2278" s="394"/>
      <c r="AV2278" s="394"/>
      <c r="AW2278" s="394"/>
      <c r="AX2278" s="394"/>
      <c r="AY2278" s="394"/>
      <c r="AZ2278" s="394"/>
      <c r="BA2278" s="394"/>
      <c r="BB2278" s="394"/>
      <c r="BC2278" s="394"/>
      <c r="BD2278" s="381"/>
      <c r="BE2278" s="408"/>
      <c r="BF2278" s="385"/>
      <c r="BG2278" s="475"/>
      <c r="BH2278" s="395"/>
      <c r="BI2278" s="395" t="e">
        <f t="shared" si="1042"/>
        <v>#DIV/0!</v>
      </c>
    </row>
    <row r="2279" spans="1:61" s="358" customFormat="1" ht="19.2" x14ac:dyDescent="0.3">
      <c r="A2279" s="359" t="s">
        <v>1918</v>
      </c>
      <c r="B2279" s="572" t="s">
        <v>3983</v>
      </c>
      <c r="C2279" s="546" t="s">
        <v>3094</v>
      </c>
      <c r="D2279" s="360">
        <v>0.4</v>
      </c>
      <c r="E2279" s="393"/>
      <c r="F2279" s="523"/>
      <c r="G2279" s="393"/>
      <c r="H2279" s="573"/>
      <c r="I2279" s="394"/>
      <c r="J2279" s="394"/>
      <c r="K2279" s="394"/>
      <c r="L2279" s="394"/>
      <c r="M2279" s="394"/>
      <c r="N2279" s="394"/>
      <c r="O2279" s="394"/>
      <c r="P2279" s="394"/>
      <c r="Q2279" s="394"/>
      <c r="R2279" s="381"/>
      <c r="S2279" s="408"/>
      <c r="T2279" s="385"/>
      <c r="U2279" s="475"/>
      <c r="V2279" s="395"/>
      <c r="W2279" s="395"/>
      <c r="X2279" s="393"/>
      <c r="Y2279" s="523">
        <v>1</v>
      </c>
      <c r="Z2279" s="497"/>
      <c r="AA2279" s="573">
        <v>15.38007</v>
      </c>
      <c r="AB2279" s="394">
        <v>13.198169999999999</v>
      </c>
      <c r="AC2279" s="394">
        <v>12.2994</v>
      </c>
      <c r="AD2279" s="394"/>
      <c r="AE2279" s="394"/>
      <c r="AF2279" s="394">
        <v>0</v>
      </c>
      <c r="AG2279" s="394">
        <v>0</v>
      </c>
      <c r="AH2279" s="394">
        <v>0.50866</v>
      </c>
      <c r="AI2279" s="394">
        <v>12.2994</v>
      </c>
      <c r="AJ2279" s="394"/>
      <c r="AK2279" s="381" t="s">
        <v>167</v>
      </c>
      <c r="AL2279" s="408" t="s">
        <v>175</v>
      </c>
      <c r="AM2279" s="385"/>
      <c r="AN2279" s="475">
        <v>1066</v>
      </c>
      <c r="AO2279" s="395"/>
      <c r="AP2279" s="395">
        <f t="shared" si="1041"/>
        <v>15.38007</v>
      </c>
      <c r="AQ2279" s="393"/>
      <c r="AR2279" s="523"/>
      <c r="AS2279" s="497"/>
      <c r="AT2279" s="573"/>
      <c r="AU2279" s="394"/>
      <c r="AV2279" s="394"/>
      <c r="AW2279" s="394"/>
      <c r="AX2279" s="394"/>
      <c r="AY2279" s="394"/>
      <c r="AZ2279" s="394"/>
      <c r="BA2279" s="394"/>
      <c r="BB2279" s="394"/>
      <c r="BC2279" s="394"/>
      <c r="BD2279" s="381"/>
      <c r="BE2279" s="408"/>
      <c r="BF2279" s="385"/>
      <c r="BG2279" s="475"/>
      <c r="BH2279" s="395"/>
      <c r="BI2279" s="395" t="e">
        <f t="shared" si="1042"/>
        <v>#DIV/0!</v>
      </c>
    </row>
    <row r="2280" spans="1:61" s="358" customFormat="1" ht="19.2" x14ac:dyDescent="0.3">
      <c r="A2280" s="359" t="s">
        <v>1919</v>
      </c>
      <c r="B2280" s="572" t="s">
        <v>1636</v>
      </c>
      <c r="C2280" s="546" t="s">
        <v>3095</v>
      </c>
      <c r="D2280" s="360">
        <v>0.4</v>
      </c>
      <c r="E2280" s="393"/>
      <c r="F2280" s="523"/>
      <c r="G2280" s="393"/>
      <c r="H2280" s="573"/>
      <c r="I2280" s="394"/>
      <c r="J2280" s="394"/>
      <c r="K2280" s="394"/>
      <c r="L2280" s="394"/>
      <c r="M2280" s="394"/>
      <c r="N2280" s="394"/>
      <c r="O2280" s="394"/>
      <c r="P2280" s="394"/>
      <c r="Q2280" s="394"/>
      <c r="R2280" s="381"/>
      <c r="S2280" s="408"/>
      <c r="T2280" s="385"/>
      <c r="U2280" s="475"/>
      <c r="V2280" s="395"/>
      <c r="W2280" s="395"/>
      <c r="X2280" s="393"/>
      <c r="Y2280" s="523">
        <v>1</v>
      </c>
      <c r="Z2280" s="497"/>
      <c r="AA2280" s="573">
        <v>15.38007</v>
      </c>
      <c r="AB2280" s="394">
        <v>13.198169999999999</v>
      </c>
      <c r="AC2280" s="394">
        <v>12.2994</v>
      </c>
      <c r="AD2280" s="394"/>
      <c r="AE2280" s="394"/>
      <c r="AF2280" s="394">
        <v>0</v>
      </c>
      <c r="AG2280" s="394">
        <v>0</v>
      </c>
      <c r="AH2280" s="394">
        <v>0.50866</v>
      </c>
      <c r="AI2280" s="394">
        <v>12.2994</v>
      </c>
      <c r="AJ2280" s="394"/>
      <c r="AK2280" s="381" t="s">
        <v>167</v>
      </c>
      <c r="AL2280" s="408" t="s">
        <v>175</v>
      </c>
      <c r="AM2280" s="385"/>
      <c r="AN2280" s="475">
        <v>1067</v>
      </c>
      <c r="AO2280" s="395"/>
      <c r="AP2280" s="395">
        <f t="shared" si="1041"/>
        <v>15.38007</v>
      </c>
      <c r="AQ2280" s="393"/>
      <c r="AR2280" s="523"/>
      <c r="AS2280" s="497"/>
      <c r="AT2280" s="573"/>
      <c r="AU2280" s="394"/>
      <c r="AV2280" s="394"/>
      <c r="AW2280" s="394"/>
      <c r="AX2280" s="394"/>
      <c r="AY2280" s="394"/>
      <c r="AZ2280" s="394"/>
      <c r="BA2280" s="394"/>
      <c r="BB2280" s="394"/>
      <c r="BC2280" s="394"/>
      <c r="BD2280" s="381"/>
      <c r="BE2280" s="408"/>
      <c r="BF2280" s="385"/>
      <c r="BG2280" s="475"/>
      <c r="BH2280" s="395"/>
      <c r="BI2280" s="395" t="e">
        <f t="shared" si="1042"/>
        <v>#DIV/0!</v>
      </c>
    </row>
    <row r="2281" spans="1:61" s="358" customFormat="1" ht="19.2" x14ac:dyDescent="0.3">
      <c r="A2281" s="359" t="s">
        <v>1920</v>
      </c>
      <c r="B2281" s="572" t="s">
        <v>1616</v>
      </c>
      <c r="C2281" s="546" t="s">
        <v>3096</v>
      </c>
      <c r="D2281" s="360">
        <v>0.4</v>
      </c>
      <c r="E2281" s="393"/>
      <c r="F2281" s="523"/>
      <c r="G2281" s="393"/>
      <c r="H2281" s="573"/>
      <c r="I2281" s="394"/>
      <c r="J2281" s="394"/>
      <c r="K2281" s="394"/>
      <c r="L2281" s="394"/>
      <c r="M2281" s="394"/>
      <c r="N2281" s="394"/>
      <c r="O2281" s="394"/>
      <c r="P2281" s="394"/>
      <c r="Q2281" s="394"/>
      <c r="R2281" s="381"/>
      <c r="S2281" s="408"/>
      <c r="T2281" s="385"/>
      <c r="U2281" s="475"/>
      <c r="V2281" s="395"/>
      <c r="W2281" s="395"/>
      <c r="X2281" s="393"/>
      <c r="Y2281" s="523">
        <v>1</v>
      </c>
      <c r="Z2281" s="497"/>
      <c r="AA2281" s="573">
        <v>15.38007</v>
      </c>
      <c r="AB2281" s="394">
        <v>13.198169999999999</v>
      </c>
      <c r="AC2281" s="394">
        <v>12.2994</v>
      </c>
      <c r="AD2281" s="394"/>
      <c r="AE2281" s="394"/>
      <c r="AF2281" s="394">
        <v>0</v>
      </c>
      <c r="AG2281" s="394">
        <v>0</v>
      </c>
      <c r="AH2281" s="394">
        <v>0.50866</v>
      </c>
      <c r="AI2281" s="394">
        <v>12.2994</v>
      </c>
      <c r="AJ2281" s="394"/>
      <c r="AK2281" s="381" t="s">
        <v>167</v>
      </c>
      <c r="AL2281" s="408" t="s">
        <v>175</v>
      </c>
      <c r="AM2281" s="385"/>
      <c r="AN2281" s="475">
        <v>1068</v>
      </c>
      <c r="AO2281" s="395"/>
      <c r="AP2281" s="395">
        <f t="shared" si="1041"/>
        <v>15.38007</v>
      </c>
      <c r="AQ2281" s="393"/>
      <c r="AR2281" s="523"/>
      <c r="AS2281" s="497"/>
      <c r="AT2281" s="573"/>
      <c r="AU2281" s="394"/>
      <c r="AV2281" s="394"/>
      <c r="AW2281" s="394"/>
      <c r="AX2281" s="394"/>
      <c r="AY2281" s="394"/>
      <c r="AZ2281" s="394"/>
      <c r="BA2281" s="394"/>
      <c r="BB2281" s="394"/>
      <c r="BC2281" s="394"/>
      <c r="BD2281" s="381"/>
      <c r="BE2281" s="408"/>
      <c r="BF2281" s="385"/>
      <c r="BG2281" s="475"/>
      <c r="BH2281" s="395"/>
      <c r="BI2281" s="395" t="e">
        <f t="shared" si="1042"/>
        <v>#DIV/0!</v>
      </c>
    </row>
    <row r="2282" spans="1:61" s="358" customFormat="1" ht="19.2" x14ac:dyDescent="0.3">
      <c r="A2282" s="359" t="s">
        <v>1921</v>
      </c>
      <c r="B2282" s="572" t="s">
        <v>3984</v>
      </c>
      <c r="C2282" s="546" t="s">
        <v>3097</v>
      </c>
      <c r="D2282" s="360">
        <v>0.4</v>
      </c>
      <c r="E2282" s="393"/>
      <c r="F2282" s="523"/>
      <c r="G2282" s="393"/>
      <c r="H2282" s="573"/>
      <c r="I2282" s="394"/>
      <c r="J2282" s="394"/>
      <c r="K2282" s="394"/>
      <c r="L2282" s="394"/>
      <c r="M2282" s="394"/>
      <c r="N2282" s="394"/>
      <c r="O2282" s="394"/>
      <c r="P2282" s="394"/>
      <c r="Q2282" s="394"/>
      <c r="R2282" s="381"/>
      <c r="S2282" s="408"/>
      <c r="T2282" s="385"/>
      <c r="U2282" s="475"/>
      <c r="V2282" s="395"/>
      <c r="W2282" s="395"/>
      <c r="X2282" s="393"/>
      <c r="Y2282" s="523">
        <v>1</v>
      </c>
      <c r="Z2282" s="497"/>
      <c r="AA2282" s="573">
        <v>10.489470000000001</v>
      </c>
      <c r="AB2282" s="394">
        <v>9.5021100000000001</v>
      </c>
      <c r="AC2282" s="394">
        <v>9.0376300000000001</v>
      </c>
      <c r="AD2282" s="394"/>
      <c r="AE2282" s="394"/>
      <c r="AF2282" s="394">
        <v>0</v>
      </c>
      <c r="AG2282" s="394">
        <v>0</v>
      </c>
      <c r="AH2282" s="394">
        <v>0.23018</v>
      </c>
      <c r="AI2282" s="394">
        <v>9.0376300000000001</v>
      </c>
      <c r="AJ2282" s="394"/>
      <c r="AK2282" s="381" t="s">
        <v>167</v>
      </c>
      <c r="AL2282" s="408" t="s">
        <v>175</v>
      </c>
      <c r="AM2282" s="385"/>
      <c r="AN2282" s="475">
        <v>1069</v>
      </c>
      <c r="AO2282" s="395"/>
      <c r="AP2282" s="395">
        <f t="shared" si="1041"/>
        <v>10.489470000000001</v>
      </c>
      <c r="AQ2282" s="393"/>
      <c r="AR2282" s="523"/>
      <c r="AS2282" s="497"/>
      <c r="AT2282" s="573"/>
      <c r="AU2282" s="394"/>
      <c r="AV2282" s="394"/>
      <c r="AW2282" s="394"/>
      <c r="AX2282" s="394"/>
      <c r="AY2282" s="394"/>
      <c r="AZ2282" s="394"/>
      <c r="BA2282" s="394"/>
      <c r="BB2282" s="394"/>
      <c r="BC2282" s="394"/>
      <c r="BD2282" s="381"/>
      <c r="BE2282" s="408"/>
      <c r="BF2282" s="385"/>
      <c r="BG2282" s="475"/>
      <c r="BH2282" s="395"/>
      <c r="BI2282" s="395" t="e">
        <f t="shared" si="1042"/>
        <v>#DIV/0!</v>
      </c>
    </row>
    <row r="2283" spans="1:61" s="358" customFormat="1" ht="19.2" x14ac:dyDescent="0.3">
      <c r="A2283" s="359" t="s">
        <v>1938</v>
      </c>
      <c r="B2283" s="572" t="s">
        <v>1736</v>
      </c>
      <c r="C2283" s="546" t="s">
        <v>3098</v>
      </c>
      <c r="D2283" s="360">
        <v>0.4</v>
      </c>
      <c r="E2283" s="393"/>
      <c r="F2283" s="523"/>
      <c r="G2283" s="393"/>
      <c r="H2283" s="573"/>
      <c r="I2283" s="394"/>
      <c r="J2283" s="394"/>
      <c r="K2283" s="394"/>
      <c r="L2283" s="394"/>
      <c r="M2283" s="394"/>
      <c r="N2283" s="394"/>
      <c r="O2283" s="394"/>
      <c r="P2283" s="394"/>
      <c r="Q2283" s="394"/>
      <c r="R2283" s="381"/>
      <c r="S2283" s="408"/>
      <c r="T2283" s="385"/>
      <c r="U2283" s="475"/>
      <c r="V2283" s="395"/>
      <c r="W2283" s="395"/>
      <c r="X2283" s="393"/>
      <c r="Y2283" s="523">
        <v>1</v>
      </c>
      <c r="Z2283" s="497"/>
      <c r="AA2283" s="573">
        <v>15.38007</v>
      </c>
      <c r="AB2283" s="394">
        <v>13.198169999999999</v>
      </c>
      <c r="AC2283" s="394">
        <v>12.2994</v>
      </c>
      <c r="AD2283" s="394"/>
      <c r="AE2283" s="394"/>
      <c r="AF2283" s="394">
        <v>0</v>
      </c>
      <c r="AG2283" s="394">
        <v>0</v>
      </c>
      <c r="AH2283" s="394">
        <v>0.50866</v>
      </c>
      <c r="AI2283" s="394">
        <v>12.2994</v>
      </c>
      <c r="AJ2283" s="394"/>
      <c r="AK2283" s="381" t="s">
        <v>167</v>
      </c>
      <c r="AL2283" s="408" t="s">
        <v>175</v>
      </c>
      <c r="AM2283" s="385"/>
      <c r="AN2283" s="475">
        <v>1070</v>
      </c>
      <c r="AO2283" s="395"/>
      <c r="AP2283" s="395">
        <f t="shared" si="1041"/>
        <v>15.38007</v>
      </c>
      <c r="AQ2283" s="393"/>
      <c r="AR2283" s="523"/>
      <c r="AS2283" s="497"/>
      <c r="AT2283" s="573"/>
      <c r="AU2283" s="394"/>
      <c r="AV2283" s="394"/>
      <c r="AW2283" s="394"/>
      <c r="AX2283" s="394"/>
      <c r="AY2283" s="394"/>
      <c r="AZ2283" s="394"/>
      <c r="BA2283" s="394"/>
      <c r="BB2283" s="394"/>
      <c r="BC2283" s="394"/>
      <c r="BD2283" s="381"/>
      <c r="BE2283" s="408"/>
      <c r="BF2283" s="385"/>
      <c r="BG2283" s="475"/>
      <c r="BH2283" s="395"/>
      <c r="BI2283" s="395" t="e">
        <f t="shared" si="1042"/>
        <v>#DIV/0!</v>
      </c>
    </row>
    <row r="2284" spans="1:61" s="358" customFormat="1" ht="19.2" x14ac:dyDescent="0.3">
      <c r="A2284" s="359" t="s">
        <v>1923</v>
      </c>
      <c r="B2284" s="572" t="s">
        <v>3985</v>
      </c>
      <c r="C2284" s="546" t="s">
        <v>3099</v>
      </c>
      <c r="D2284" s="360">
        <v>0.4</v>
      </c>
      <c r="E2284" s="393"/>
      <c r="F2284" s="523"/>
      <c r="G2284" s="393"/>
      <c r="H2284" s="573"/>
      <c r="I2284" s="394"/>
      <c r="J2284" s="394"/>
      <c r="K2284" s="394"/>
      <c r="L2284" s="394"/>
      <c r="M2284" s="394"/>
      <c r="N2284" s="394"/>
      <c r="O2284" s="394"/>
      <c r="P2284" s="394"/>
      <c r="Q2284" s="394"/>
      <c r="R2284" s="381"/>
      <c r="S2284" s="408"/>
      <c r="T2284" s="385"/>
      <c r="U2284" s="475"/>
      <c r="V2284" s="395"/>
      <c r="W2284" s="395"/>
      <c r="X2284" s="393"/>
      <c r="Y2284" s="523">
        <v>1</v>
      </c>
      <c r="Z2284" s="497"/>
      <c r="AA2284" s="573">
        <v>15.38007</v>
      </c>
      <c r="AB2284" s="394">
        <v>13.198169999999999</v>
      </c>
      <c r="AC2284" s="394">
        <v>12.2994</v>
      </c>
      <c r="AD2284" s="394"/>
      <c r="AE2284" s="394"/>
      <c r="AF2284" s="394">
        <v>0</v>
      </c>
      <c r="AG2284" s="394">
        <v>0</v>
      </c>
      <c r="AH2284" s="394">
        <v>0.50866</v>
      </c>
      <c r="AI2284" s="394">
        <v>12.2994</v>
      </c>
      <c r="AJ2284" s="394"/>
      <c r="AK2284" s="381" t="s">
        <v>167</v>
      </c>
      <c r="AL2284" s="408" t="s">
        <v>175</v>
      </c>
      <c r="AM2284" s="385"/>
      <c r="AN2284" s="475">
        <v>1071</v>
      </c>
      <c r="AO2284" s="395"/>
      <c r="AP2284" s="395">
        <f t="shared" si="1041"/>
        <v>15.38007</v>
      </c>
      <c r="AQ2284" s="393"/>
      <c r="AR2284" s="523"/>
      <c r="AS2284" s="497"/>
      <c r="AT2284" s="573"/>
      <c r="AU2284" s="394"/>
      <c r="AV2284" s="394"/>
      <c r="AW2284" s="394"/>
      <c r="AX2284" s="394"/>
      <c r="AY2284" s="394"/>
      <c r="AZ2284" s="394"/>
      <c r="BA2284" s="394"/>
      <c r="BB2284" s="394"/>
      <c r="BC2284" s="394"/>
      <c r="BD2284" s="381"/>
      <c r="BE2284" s="408"/>
      <c r="BF2284" s="385"/>
      <c r="BG2284" s="475"/>
      <c r="BH2284" s="395"/>
      <c r="BI2284" s="395" t="e">
        <f t="shared" si="1042"/>
        <v>#DIV/0!</v>
      </c>
    </row>
    <row r="2285" spans="1:61" s="358" customFormat="1" ht="19.2" x14ac:dyDescent="0.3">
      <c r="A2285" s="359" t="s">
        <v>1924</v>
      </c>
      <c r="B2285" s="572" t="s">
        <v>3986</v>
      </c>
      <c r="C2285" s="546" t="s">
        <v>3100</v>
      </c>
      <c r="D2285" s="360">
        <v>0.4</v>
      </c>
      <c r="E2285" s="393"/>
      <c r="F2285" s="523"/>
      <c r="G2285" s="393"/>
      <c r="H2285" s="573"/>
      <c r="I2285" s="394"/>
      <c r="J2285" s="394"/>
      <c r="K2285" s="394"/>
      <c r="L2285" s="394"/>
      <c r="M2285" s="394"/>
      <c r="N2285" s="394"/>
      <c r="O2285" s="394"/>
      <c r="P2285" s="394"/>
      <c r="Q2285" s="394"/>
      <c r="R2285" s="381"/>
      <c r="S2285" s="408"/>
      <c r="T2285" s="385"/>
      <c r="U2285" s="475"/>
      <c r="V2285" s="395"/>
      <c r="W2285" s="395"/>
      <c r="X2285" s="393"/>
      <c r="Y2285" s="523">
        <v>1</v>
      </c>
      <c r="Z2285" s="497"/>
      <c r="AA2285" s="573">
        <v>15.38007</v>
      </c>
      <c r="AB2285" s="394">
        <v>13.198169999999999</v>
      </c>
      <c r="AC2285" s="394">
        <v>12.2994</v>
      </c>
      <c r="AD2285" s="394"/>
      <c r="AE2285" s="394"/>
      <c r="AF2285" s="394">
        <v>0</v>
      </c>
      <c r="AG2285" s="394">
        <v>0</v>
      </c>
      <c r="AH2285" s="394">
        <v>0.50866</v>
      </c>
      <c r="AI2285" s="394">
        <v>12.2994</v>
      </c>
      <c r="AJ2285" s="394"/>
      <c r="AK2285" s="381" t="s">
        <v>167</v>
      </c>
      <c r="AL2285" s="408" t="s">
        <v>175</v>
      </c>
      <c r="AM2285" s="385"/>
      <c r="AN2285" s="475">
        <v>1072</v>
      </c>
      <c r="AO2285" s="395"/>
      <c r="AP2285" s="395">
        <f t="shared" si="1041"/>
        <v>15.38007</v>
      </c>
      <c r="AQ2285" s="393"/>
      <c r="AR2285" s="523"/>
      <c r="AS2285" s="497"/>
      <c r="AT2285" s="573"/>
      <c r="AU2285" s="394"/>
      <c r="AV2285" s="394"/>
      <c r="AW2285" s="394"/>
      <c r="AX2285" s="394"/>
      <c r="AY2285" s="394"/>
      <c r="AZ2285" s="394"/>
      <c r="BA2285" s="394"/>
      <c r="BB2285" s="394"/>
      <c r="BC2285" s="394"/>
      <c r="BD2285" s="381"/>
      <c r="BE2285" s="408"/>
      <c r="BF2285" s="385"/>
      <c r="BG2285" s="475"/>
      <c r="BH2285" s="395"/>
      <c r="BI2285" s="395" t="e">
        <f t="shared" si="1042"/>
        <v>#DIV/0!</v>
      </c>
    </row>
    <row r="2286" spans="1:61" s="358" customFormat="1" ht="19.2" x14ac:dyDescent="0.3">
      <c r="A2286" s="359" t="s">
        <v>1925</v>
      </c>
      <c r="B2286" s="572" t="s">
        <v>3987</v>
      </c>
      <c r="C2286" s="546" t="s">
        <v>3101</v>
      </c>
      <c r="D2286" s="360">
        <v>0.4</v>
      </c>
      <c r="E2286" s="393"/>
      <c r="F2286" s="523"/>
      <c r="G2286" s="393"/>
      <c r="H2286" s="573"/>
      <c r="I2286" s="394"/>
      <c r="J2286" s="394"/>
      <c r="K2286" s="394"/>
      <c r="L2286" s="394"/>
      <c r="M2286" s="394"/>
      <c r="N2286" s="394"/>
      <c r="O2286" s="394"/>
      <c r="P2286" s="394"/>
      <c r="Q2286" s="394"/>
      <c r="R2286" s="381"/>
      <c r="S2286" s="408"/>
      <c r="T2286" s="385"/>
      <c r="U2286" s="475"/>
      <c r="V2286" s="395"/>
      <c r="W2286" s="395"/>
      <c r="X2286" s="393"/>
      <c r="Y2286" s="523">
        <v>1</v>
      </c>
      <c r="Z2286" s="497"/>
      <c r="AA2286" s="573">
        <v>15.38008</v>
      </c>
      <c r="AB2286" s="394">
        <v>13.198180000000001</v>
      </c>
      <c r="AC2286" s="394">
        <v>12.2994</v>
      </c>
      <c r="AD2286" s="394"/>
      <c r="AE2286" s="394"/>
      <c r="AF2286" s="394">
        <v>0</v>
      </c>
      <c r="AG2286" s="394">
        <v>0</v>
      </c>
      <c r="AH2286" s="394">
        <v>0.50866</v>
      </c>
      <c r="AI2286" s="394">
        <v>12.2994</v>
      </c>
      <c r="AJ2286" s="394"/>
      <c r="AK2286" s="381" t="s">
        <v>167</v>
      </c>
      <c r="AL2286" s="408" t="s">
        <v>175</v>
      </c>
      <c r="AM2286" s="385"/>
      <c r="AN2286" s="475">
        <v>1073</v>
      </c>
      <c r="AO2286" s="395"/>
      <c r="AP2286" s="395">
        <f t="shared" si="1041"/>
        <v>15.38008</v>
      </c>
      <c r="AQ2286" s="393"/>
      <c r="AR2286" s="523"/>
      <c r="AS2286" s="497"/>
      <c r="AT2286" s="573"/>
      <c r="AU2286" s="394"/>
      <c r="AV2286" s="394"/>
      <c r="AW2286" s="394"/>
      <c r="AX2286" s="394"/>
      <c r="AY2286" s="394"/>
      <c r="AZ2286" s="394"/>
      <c r="BA2286" s="394"/>
      <c r="BB2286" s="394"/>
      <c r="BC2286" s="394"/>
      <c r="BD2286" s="381"/>
      <c r="BE2286" s="408"/>
      <c r="BF2286" s="385"/>
      <c r="BG2286" s="475"/>
      <c r="BH2286" s="395"/>
      <c r="BI2286" s="395" t="e">
        <f t="shared" si="1042"/>
        <v>#DIV/0!</v>
      </c>
    </row>
    <row r="2287" spans="1:61" s="358" customFormat="1" ht="19.2" x14ac:dyDescent="0.3">
      <c r="A2287" s="359" t="s">
        <v>1942</v>
      </c>
      <c r="B2287" s="572" t="s">
        <v>3988</v>
      </c>
      <c r="C2287" s="546" t="s">
        <v>3102</v>
      </c>
      <c r="D2287" s="360">
        <v>0.4</v>
      </c>
      <c r="E2287" s="393"/>
      <c r="F2287" s="523"/>
      <c r="G2287" s="393"/>
      <c r="H2287" s="573"/>
      <c r="I2287" s="394"/>
      <c r="J2287" s="394"/>
      <c r="K2287" s="394"/>
      <c r="L2287" s="394"/>
      <c r="M2287" s="394"/>
      <c r="N2287" s="394"/>
      <c r="O2287" s="394"/>
      <c r="P2287" s="394"/>
      <c r="Q2287" s="394"/>
      <c r="R2287" s="381"/>
      <c r="S2287" s="408"/>
      <c r="T2287" s="385"/>
      <c r="U2287" s="475"/>
      <c r="V2287" s="395"/>
      <c r="W2287" s="395"/>
      <c r="X2287" s="393"/>
      <c r="Y2287" s="523">
        <v>1</v>
      </c>
      <c r="Z2287" s="497"/>
      <c r="AA2287" s="573">
        <v>15.38007</v>
      </c>
      <c r="AB2287" s="394">
        <v>13.198169999999999</v>
      </c>
      <c r="AC2287" s="394">
        <v>12.2994</v>
      </c>
      <c r="AD2287" s="394"/>
      <c r="AE2287" s="394"/>
      <c r="AF2287" s="394">
        <v>0</v>
      </c>
      <c r="AG2287" s="394">
        <v>0</v>
      </c>
      <c r="AH2287" s="394">
        <v>0.50866</v>
      </c>
      <c r="AI2287" s="394">
        <v>12.2994</v>
      </c>
      <c r="AJ2287" s="394"/>
      <c r="AK2287" s="381" t="s">
        <v>167</v>
      </c>
      <c r="AL2287" s="408" t="s">
        <v>175</v>
      </c>
      <c r="AM2287" s="385"/>
      <c r="AN2287" s="475">
        <v>1074</v>
      </c>
      <c r="AO2287" s="395"/>
      <c r="AP2287" s="395">
        <f t="shared" si="1041"/>
        <v>15.38007</v>
      </c>
      <c r="AQ2287" s="393"/>
      <c r="AR2287" s="523"/>
      <c r="AS2287" s="497"/>
      <c r="AT2287" s="573"/>
      <c r="AU2287" s="394"/>
      <c r="AV2287" s="394"/>
      <c r="AW2287" s="394"/>
      <c r="AX2287" s="394"/>
      <c r="AY2287" s="394"/>
      <c r="AZ2287" s="394"/>
      <c r="BA2287" s="394"/>
      <c r="BB2287" s="394"/>
      <c r="BC2287" s="394"/>
      <c r="BD2287" s="381"/>
      <c r="BE2287" s="408"/>
      <c r="BF2287" s="385"/>
      <c r="BG2287" s="475"/>
      <c r="BH2287" s="395"/>
      <c r="BI2287" s="395" t="e">
        <f t="shared" si="1042"/>
        <v>#DIV/0!</v>
      </c>
    </row>
    <row r="2288" spans="1:61" s="358" customFormat="1" ht="19.2" x14ac:dyDescent="0.3">
      <c r="A2288" s="359" t="s">
        <v>1927</v>
      </c>
      <c r="B2288" s="572" t="s">
        <v>3989</v>
      </c>
      <c r="C2288" s="546" t="s">
        <v>3103</v>
      </c>
      <c r="D2288" s="360">
        <v>0.4</v>
      </c>
      <c r="E2288" s="393"/>
      <c r="F2288" s="523"/>
      <c r="G2288" s="393"/>
      <c r="H2288" s="573"/>
      <c r="I2288" s="394"/>
      <c r="J2288" s="394"/>
      <c r="K2288" s="394"/>
      <c r="L2288" s="394"/>
      <c r="M2288" s="394"/>
      <c r="N2288" s="394"/>
      <c r="O2288" s="394"/>
      <c r="P2288" s="394"/>
      <c r="Q2288" s="394"/>
      <c r="R2288" s="381"/>
      <c r="S2288" s="408"/>
      <c r="T2288" s="385"/>
      <c r="U2288" s="475"/>
      <c r="V2288" s="395"/>
      <c r="W2288" s="395"/>
      <c r="X2288" s="393"/>
      <c r="Y2288" s="523">
        <v>1</v>
      </c>
      <c r="Z2288" s="497"/>
      <c r="AA2288" s="573">
        <v>15.38007</v>
      </c>
      <c r="AB2288" s="394">
        <v>13.198169999999999</v>
      </c>
      <c r="AC2288" s="394">
        <v>12.2994</v>
      </c>
      <c r="AD2288" s="394"/>
      <c r="AE2288" s="394"/>
      <c r="AF2288" s="394">
        <v>0</v>
      </c>
      <c r="AG2288" s="394">
        <v>0</v>
      </c>
      <c r="AH2288" s="394">
        <v>0.50866</v>
      </c>
      <c r="AI2288" s="394">
        <v>12.2994</v>
      </c>
      <c r="AJ2288" s="394"/>
      <c r="AK2288" s="381" t="s">
        <v>167</v>
      </c>
      <c r="AL2288" s="408" t="s">
        <v>175</v>
      </c>
      <c r="AM2288" s="385"/>
      <c r="AN2288" s="475">
        <v>1075</v>
      </c>
      <c r="AO2288" s="395"/>
      <c r="AP2288" s="395">
        <f t="shared" si="1041"/>
        <v>15.38007</v>
      </c>
      <c r="AQ2288" s="393"/>
      <c r="AR2288" s="523"/>
      <c r="AS2288" s="497"/>
      <c r="AT2288" s="573"/>
      <c r="AU2288" s="394"/>
      <c r="AV2288" s="394"/>
      <c r="AW2288" s="394"/>
      <c r="AX2288" s="394"/>
      <c r="AY2288" s="394"/>
      <c r="AZ2288" s="394"/>
      <c r="BA2288" s="394"/>
      <c r="BB2288" s="394"/>
      <c r="BC2288" s="394"/>
      <c r="BD2288" s="381"/>
      <c r="BE2288" s="408"/>
      <c r="BF2288" s="385"/>
      <c r="BG2288" s="475"/>
      <c r="BH2288" s="395"/>
      <c r="BI2288" s="395" t="e">
        <f t="shared" si="1042"/>
        <v>#DIV/0!</v>
      </c>
    </row>
    <row r="2289" spans="1:61" s="358" customFormat="1" ht="19.2" x14ac:dyDescent="0.3">
      <c r="A2289" s="359" t="s">
        <v>1928</v>
      </c>
      <c r="B2289" s="572" t="s">
        <v>3990</v>
      </c>
      <c r="C2289" s="546" t="s">
        <v>3104</v>
      </c>
      <c r="D2289" s="360">
        <v>0.4</v>
      </c>
      <c r="E2289" s="393"/>
      <c r="F2289" s="523"/>
      <c r="G2289" s="393"/>
      <c r="H2289" s="573"/>
      <c r="I2289" s="394"/>
      <c r="J2289" s="394"/>
      <c r="K2289" s="394"/>
      <c r="L2289" s="394"/>
      <c r="M2289" s="394"/>
      <c r="N2289" s="394"/>
      <c r="O2289" s="394"/>
      <c r="P2289" s="394"/>
      <c r="Q2289" s="394"/>
      <c r="R2289" s="381"/>
      <c r="S2289" s="408"/>
      <c r="T2289" s="385"/>
      <c r="U2289" s="475"/>
      <c r="V2289" s="395"/>
      <c r="W2289" s="395"/>
      <c r="X2289" s="393"/>
      <c r="Y2289" s="523">
        <v>1</v>
      </c>
      <c r="Z2289" s="497"/>
      <c r="AA2289" s="573">
        <v>15.38008</v>
      </c>
      <c r="AB2289" s="394">
        <v>13.198180000000001</v>
      </c>
      <c r="AC2289" s="394">
        <v>12.2994</v>
      </c>
      <c r="AD2289" s="394"/>
      <c r="AE2289" s="394"/>
      <c r="AF2289" s="394">
        <v>0</v>
      </c>
      <c r="AG2289" s="394">
        <v>0</v>
      </c>
      <c r="AH2289" s="394">
        <v>0.50866</v>
      </c>
      <c r="AI2289" s="394">
        <v>12.2994</v>
      </c>
      <c r="AJ2289" s="394"/>
      <c r="AK2289" s="381" t="s">
        <v>167</v>
      </c>
      <c r="AL2289" s="408" t="s">
        <v>175</v>
      </c>
      <c r="AM2289" s="385"/>
      <c r="AN2289" s="475">
        <v>1076</v>
      </c>
      <c r="AO2289" s="395"/>
      <c r="AP2289" s="395">
        <f t="shared" si="1041"/>
        <v>15.38008</v>
      </c>
      <c r="AQ2289" s="393"/>
      <c r="AR2289" s="523"/>
      <c r="AS2289" s="497"/>
      <c r="AT2289" s="573"/>
      <c r="AU2289" s="394"/>
      <c r="AV2289" s="394"/>
      <c r="AW2289" s="394"/>
      <c r="AX2289" s="394"/>
      <c r="AY2289" s="394"/>
      <c r="AZ2289" s="394"/>
      <c r="BA2289" s="394"/>
      <c r="BB2289" s="394"/>
      <c r="BC2289" s="394"/>
      <c r="BD2289" s="381"/>
      <c r="BE2289" s="408"/>
      <c r="BF2289" s="385"/>
      <c r="BG2289" s="475"/>
      <c r="BH2289" s="395"/>
      <c r="BI2289" s="395" t="e">
        <f t="shared" si="1042"/>
        <v>#DIV/0!</v>
      </c>
    </row>
    <row r="2290" spans="1:61" s="358" customFormat="1" ht="19.2" x14ac:dyDescent="0.3">
      <c r="A2290" s="359" t="s">
        <v>1913</v>
      </c>
      <c r="B2290" s="572" t="s">
        <v>1673</v>
      </c>
      <c r="C2290" s="546" t="s">
        <v>3105</v>
      </c>
      <c r="D2290" s="360">
        <v>0.4</v>
      </c>
      <c r="E2290" s="393"/>
      <c r="F2290" s="523"/>
      <c r="G2290" s="393"/>
      <c r="H2290" s="573"/>
      <c r="I2290" s="394"/>
      <c r="J2290" s="394"/>
      <c r="K2290" s="394"/>
      <c r="L2290" s="394"/>
      <c r="M2290" s="394"/>
      <c r="N2290" s="394"/>
      <c r="O2290" s="394"/>
      <c r="P2290" s="394"/>
      <c r="Q2290" s="394"/>
      <c r="R2290" s="381"/>
      <c r="S2290" s="408"/>
      <c r="T2290" s="385"/>
      <c r="U2290" s="475"/>
      <c r="V2290" s="395"/>
      <c r="W2290" s="395"/>
      <c r="X2290" s="393"/>
      <c r="Y2290" s="523">
        <v>1</v>
      </c>
      <c r="Z2290" s="497"/>
      <c r="AA2290" s="573">
        <v>15.38007</v>
      </c>
      <c r="AB2290" s="394">
        <v>13.198169999999999</v>
      </c>
      <c r="AC2290" s="394">
        <v>12.2994</v>
      </c>
      <c r="AD2290" s="394"/>
      <c r="AE2290" s="394"/>
      <c r="AF2290" s="394">
        <v>0</v>
      </c>
      <c r="AG2290" s="394">
        <v>0</v>
      </c>
      <c r="AH2290" s="394">
        <v>0.50866</v>
      </c>
      <c r="AI2290" s="394">
        <v>12.2994</v>
      </c>
      <c r="AJ2290" s="394"/>
      <c r="AK2290" s="381" t="s">
        <v>167</v>
      </c>
      <c r="AL2290" s="408" t="s">
        <v>175</v>
      </c>
      <c r="AM2290" s="385"/>
      <c r="AN2290" s="475">
        <v>1077</v>
      </c>
      <c r="AO2290" s="395"/>
      <c r="AP2290" s="395">
        <f t="shared" si="1041"/>
        <v>15.38007</v>
      </c>
      <c r="AQ2290" s="393"/>
      <c r="AR2290" s="523"/>
      <c r="AS2290" s="497"/>
      <c r="AT2290" s="573"/>
      <c r="AU2290" s="394"/>
      <c r="AV2290" s="394"/>
      <c r="AW2290" s="394"/>
      <c r="AX2290" s="394"/>
      <c r="AY2290" s="394"/>
      <c r="AZ2290" s="394"/>
      <c r="BA2290" s="394"/>
      <c r="BB2290" s="394"/>
      <c r="BC2290" s="394"/>
      <c r="BD2290" s="381"/>
      <c r="BE2290" s="408"/>
      <c r="BF2290" s="385"/>
      <c r="BG2290" s="475"/>
      <c r="BH2290" s="395"/>
      <c r="BI2290" s="395" t="e">
        <f t="shared" si="1042"/>
        <v>#DIV/0!</v>
      </c>
    </row>
    <row r="2291" spans="1:61" s="358" customFormat="1" ht="19.2" x14ac:dyDescent="0.3">
      <c r="A2291" s="359" t="s">
        <v>1930</v>
      </c>
      <c r="B2291" s="572" t="s">
        <v>2310</v>
      </c>
      <c r="C2291" s="546" t="s">
        <v>2309</v>
      </c>
      <c r="D2291" s="360">
        <v>0.4</v>
      </c>
      <c r="E2291" s="393"/>
      <c r="F2291" s="523"/>
      <c r="G2291" s="393"/>
      <c r="H2291" s="573"/>
      <c r="I2291" s="394"/>
      <c r="J2291" s="394"/>
      <c r="K2291" s="394"/>
      <c r="L2291" s="394"/>
      <c r="M2291" s="394"/>
      <c r="N2291" s="394"/>
      <c r="O2291" s="394"/>
      <c r="P2291" s="394"/>
      <c r="Q2291" s="394"/>
      <c r="R2291" s="381"/>
      <c r="S2291" s="408"/>
      <c r="T2291" s="385"/>
      <c r="U2291" s="475"/>
      <c r="V2291" s="395"/>
      <c r="W2291" s="395"/>
      <c r="X2291" s="393"/>
      <c r="Y2291" s="523">
        <v>1</v>
      </c>
      <c r="Z2291" s="497"/>
      <c r="AA2291" s="573">
        <v>15.38008</v>
      </c>
      <c r="AB2291" s="394">
        <v>13.198180000000001</v>
      </c>
      <c r="AC2291" s="394">
        <v>12.2994</v>
      </c>
      <c r="AD2291" s="394"/>
      <c r="AE2291" s="394"/>
      <c r="AF2291" s="394">
        <v>0</v>
      </c>
      <c r="AG2291" s="394">
        <v>0</v>
      </c>
      <c r="AH2291" s="394">
        <v>0.50866</v>
      </c>
      <c r="AI2291" s="394">
        <v>12.2994</v>
      </c>
      <c r="AJ2291" s="394"/>
      <c r="AK2291" s="381" t="s">
        <v>167</v>
      </c>
      <c r="AL2291" s="408" t="s">
        <v>175</v>
      </c>
      <c r="AM2291" s="385"/>
      <c r="AN2291" s="475">
        <v>1078</v>
      </c>
      <c r="AO2291" s="395"/>
      <c r="AP2291" s="395">
        <f t="shared" si="1041"/>
        <v>15.38008</v>
      </c>
      <c r="AQ2291" s="393"/>
      <c r="AR2291" s="523"/>
      <c r="AS2291" s="497"/>
      <c r="AT2291" s="573"/>
      <c r="AU2291" s="394"/>
      <c r="AV2291" s="394"/>
      <c r="AW2291" s="394"/>
      <c r="AX2291" s="394"/>
      <c r="AY2291" s="394"/>
      <c r="AZ2291" s="394"/>
      <c r="BA2291" s="394"/>
      <c r="BB2291" s="394"/>
      <c r="BC2291" s="394"/>
      <c r="BD2291" s="381"/>
      <c r="BE2291" s="408"/>
      <c r="BF2291" s="385"/>
      <c r="BG2291" s="475"/>
      <c r="BH2291" s="395"/>
      <c r="BI2291" s="395" t="e">
        <f t="shared" si="1042"/>
        <v>#DIV/0!</v>
      </c>
    </row>
    <row r="2292" spans="1:61" s="358" customFormat="1" ht="19.2" x14ac:dyDescent="0.3">
      <c r="A2292" s="359" t="s">
        <v>1931</v>
      </c>
      <c r="B2292" s="572" t="s">
        <v>3991</v>
      </c>
      <c r="C2292" s="546" t="s">
        <v>3106</v>
      </c>
      <c r="D2292" s="360">
        <v>0.4</v>
      </c>
      <c r="E2292" s="393"/>
      <c r="F2292" s="523"/>
      <c r="G2292" s="393"/>
      <c r="H2292" s="573"/>
      <c r="I2292" s="394"/>
      <c r="J2292" s="394"/>
      <c r="K2292" s="394"/>
      <c r="L2292" s="394"/>
      <c r="M2292" s="394"/>
      <c r="N2292" s="394"/>
      <c r="O2292" s="394"/>
      <c r="P2292" s="394"/>
      <c r="Q2292" s="394"/>
      <c r="R2292" s="381"/>
      <c r="S2292" s="408"/>
      <c r="T2292" s="385"/>
      <c r="U2292" s="475"/>
      <c r="V2292" s="395"/>
      <c r="W2292" s="395"/>
      <c r="X2292" s="393"/>
      <c r="Y2292" s="523">
        <v>1</v>
      </c>
      <c r="Z2292" s="497"/>
      <c r="AA2292" s="573">
        <v>10.48948</v>
      </c>
      <c r="AB2292" s="394">
        <v>9.5021199999999997</v>
      </c>
      <c r="AC2292" s="394">
        <v>9.0376300000000001</v>
      </c>
      <c r="AD2292" s="394"/>
      <c r="AE2292" s="394"/>
      <c r="AF2292" s="394">
        <v>0</v>
      </c>
      <c r="AG2292" s="394">
        <v>0</v>
      </c>
      <c r="AH2292" s="394">
        <v>0.23018</v>
      </c>
      <c r="AI2292" s="394">
        <v>9.0376300000000001</v>
      </c>
      <c r="AJ2292" s="394"/>
      <c r="AK2292" s="381" t="s">
        <v>167</v>
      </c>
      <c r="AL2292" s="408" t="s">
        <v>175</v>
      </c>
      <c r="AM2292" s="385"/>
      <c r="AN2292" s="475">
        <v>1079</v>
      </c>
      <c r="AO2292" s="395"/>
      <c r="AP2292" s="395">
        <f t="shared" si="1041"/>
        <v>10.48948</v>
      </c>
      <c r="AQ2292" s="393"/>
      <c r="AR2292" s="523"/>
      <c r="AS2292" s="497"/>
      <c r="AT2292" s="573"/>
      <c r="AU2292" s="394"/>
      <c r="AV2292" s="394"/>
      <c r="AW2292" s="394"/>
      <c r="AX2292" s="394"/>
      <c r="AY2292" s="394"/>
      <c r="AZ2292" s="394"/>
      <c r="BA2292" s="394"/>
      <c r="BB2292" s="394"/>
      <c r="BC2292" s="394"/>
      <c r="BD2292" s="381"/>
      <c r="BE2292" s="408"/>
      <c r="BF2292" s="385"/>
      <c r="BG2292" s="475"/>
      <c r="BH2292" s="395"/>
      <c r="BI2292" s="395" t="e">
        <f t="shared" si="1042"/>
        <v>#DIV/0!</v>
      </c>
    </row>
    <row r="2293" spans="1:61" s="358" customFormat="1" ht="19.2" x14ac:dyDescent="0.3">
      <c r="A2293" s="359" t="s">
        <v>1932</v>
      </c>
      <c r="B2293" s="572" t="s">
        <v>2292</v>
      </c>
      <c r="C2293" s="546" t="s">
        <v>2291</v>
      </c>
      <c r="D2293" s="360">
        <v>0.4</v>
      </c>
      <c r="E2293" s="393"/>
      <c r="F2293" s="523"/>
      <c r="G2293" s="393"/>
      <c r="H2293" s="573"/>
      <c r="I2293" s="394"/>
      <c r="J2293" s="394"/>
      <c r="K2293" s="394"/>
      <c r="L2293" s="394"/>
      <c r="M2293" s="394"/>
      <c r="N2293" s="394"/>
      <c r="O2293" s="394"/>
      <c r="P2293" s="394"/>
      <c r="Q2293" s="394"/>
      <c r="R2293" s="381"/>
      <c r="S2293" s="408"/>
      <c r="T2293" s="385"/>
      <c r="U2293" s="475"/>
      <c r="V2293" s="395"/>
      <c r="W2293" s="395"/>
      <c r="X2293" s="393"/>
      <c r="Y2293" s="523">
        <v>1</v>
      </c>
      <c r="Z2293" s="497"/>
      <c r="AA2293" s="573">
        <v>15.38007</v>
      </c>
      <c r="AB2293" s="394">
        <v>13.198169999999999</v>
      </c>
      <c r="AC2293" s="394">
        <v>12.2994</v>
      </c>
      <c r="AD2293" s="394"/>
      <c r="AE2293" s="394"/>
      <c r="AF2293" s="394">
        <v>0</v>
      </c>
      <c r="AG2293" s="394">
        <v>0</v>
      </c>
      <c r="AH2293" s="394">
        <v>0.50866</v>
      </c>
      <c r="AI2293" s="394">
        <v>12.2994</v>
      </c>
      <c r="AJ2293" s="394"/>
      <c r="AK2293" s="381" t="s">
        <v>167</v>
      </c>
      <c r="AL2293" s="408" t="s">
        <v>175</v>
      </c>
      <c r="AM2293" s="385"/>
      <c r="AN2293" s="475">
        <v>1080</v>
      </c>
      <c r="AO2293" s="395"/>
      <c r="AP2293" s="395">
        <f t="shared" si="1041"/>
        <v>15.38007</v>
      </c>
      <c r="AQ2293" s="393"/>
      <c r="AR2293" s="523"/>
      <c r="AS2293" s="497"/>
      <c r="AT2293" s="573"/>
      <c r="AU2293" s="394"/>
      <c r="AV2293" s="394"/>
      <c r="AW2293" s="394"/>
      <c r="AX2293" s="394"/>
      <c r="AY2293" s="394"/>
      <c r="AZ2293" s="394"/>
      <c r="BA2293" s="394"/>
      <c r="BB2293" s="394"/>
      <c r="BC2293" s="394"/>
      <c r="BD2293" s="381"/>
      <c r="BE2293" s="408"/>
      <c r="BF2293" s="385"/>
      <c r="BG2293" s="475"/>
      <c r="BH2293" s="395"/>
      <c r="BI2293" s="395" t="e">
        <f t="shared" si="1042"/>
        <v>#DIV/0!</v>
      </c>
    </row>
    <row r="2294" spans="1:61" s="358" customFormat="1" ht="19.2" x14ac:dyDescent="0.3">
      <c r="A2294" s="359" t="s">
        <v>1933</v>
      </c>
      <c r="B2294" s="572" t="s">
        <v>2400</v>
      </c>
      <c r="C2294" s="546" t="s">
        <v>2399</v>
      </c>
      <c r="D2294" s="360">
        <v>0.4</v>
      </c>
      <c r="E2294" s="393"/>
      <c r="F2294" s="523"/>
      <c r="G2294" s="393"/>
      <c r="H2294" s="573"/>
      <c r="I2294" s="394"/>
      <c r="J2294" s="394"/>
      <c r="K2294" s="394"/>
      <c r="L2294" s="394"/>
      <c r="M2294" s="394"/>
      <c r="N2294" s="394"/>
      <c r="O2294" s="394"/>
      <c r="P2294" s="394"/>
      <c r="Q2294" s="394"/>
      <c r="R2294" s="381"/>
      <c r="S2294" s="408"/>
      <c r="T2294" s="385"/>
      <c r="U2294" s="475"/>
      <c r="V2294" s="395"/>
      <c r="W2294" s="395"/>
      <c r="X2294" s="393"/>
      <c r="Y2294" s="523">
        <v>1</v>
      </c>
      <c r="Z2294" s="497"/>
      <c r="AA2294" s="573">
        <v>15.38007</v>
      </c>
      <c r="AB2294" s="394">
        <v>13.198169999999999</v>
      </c>
      <c r="AC2294" s="394">
        <v>12.2994</v>
      </c>
      <c r="AD2294" s="394"/>
      <c r="AE2294" s="394"/>
      <c r="AF2294" s="394">
        <v>0</v>
      </c>
      <c r="AG2294" s="394">
        <v>0</v>
      </c>
      <c r="AH2294" s="394">
        <v>0.50866</v>
      </c>
      <c r="AI2294" s="394">
        <v>12.2994</v>
      </c>
      <c r="AJ2294" s="394"/>
      <c r="AK2294" s="381" t="s">
        <v>167</v>
      </c>
      <c r="AL2294" s="408" t="s">
        <v>175</v>
      </c>
      <c r="AM2294" s="385"/>
      <c r="AN2294" s="475">
        <v>1081</v>
      </c>
      <c r="AO2294" s="395"/>
      <c r="AP2294" s="395">
        <f t="shared" si="1041"/>
        <v>15.38007</v>
      </c>
      <c r="AQ2294" s="393"/>
      <c r="AR2294" s="523"/>
      <c r="AS2294" s="497"/>
      <c r="AT2294" s="573"/>
      <c r="AU2294" s="394"/>
      <c r="AV2294" s="394"/>
      <c r="AW2294" s="394"/>
      <c r="AX2294" s="394"/>
      <c r="AY2294" s="394"/>
      <c r="AZ2294" s="394"/>
      <c r="BA2294" s="394"/>
      <c r="BB2294" s="394"/>
      <c r="BC2294" s="394"/>
      <c r="BD2294" s="381"/>
      <c r="BE2294" s="408"/>
      <c r="BF2294" s="385"/>
      <c r="BG2294" s="475"/>
      <c r="BH2294" s="395"/>
      <c r="BI2294" s="395" t="e">
        <f t="shared" si="1042"/>
        <v>#DIV/0!</v>
      </c>
    </row>
    <row r="2295" spans="1:61" s="358" customFormat="1" ht="19.2" x14ac:dyDescent="0.3">
      <c r="A2295" s="359" t="s">
        <v>1934</v>
      </c>
      <c r="B2295" s="572" t="s">
        <v>2304</v>
      </c>
      <c r="C2295" s="546" t="s">
        <v>2422</v>
      </c>
      <c r="D2295" s="360">
        <v>0.4</v>
      </c>
      <c r="E2295" s="393"/>
      <c r="F2295" s="523"/>
      <c r="G2295" s="393"/>
      <c r="H2295" s="573"/>
      <c r="I2295" s="394"/>
      <c r="J2295" s="394"/>
      <c r="K2295" s="394"/>
      <c r="L2295" s="394"/>
      <c r="M2295" s="394"/>
      <c r="N2295" s="394"/>
      <c r="O2295" s="394"/>
      <c r="P2295" s="394"/>
      <c r="Q2295" s="394"/>
      <c r="R2295" s="381"/>
      <c r="S2295" s="408"/>
      <c r="T2295" s="385"/>
      <c r="U2295" s="475"/>
      <c r="V2295" s="395"/>
      <c r="W2295" s="395"/>
      <c r="X2295" s="393"/>
      <c r="Y2295" s="523">
        <v>1</v>
      </c>
      <c r="Z2295" s="497"/>
      <c r="AA2295" s="573">
        <v>15.38007</v>
      </c>
      <c r="AB2295" s="394">
        <v>13.198169999999999</v>
      </c>
      <c r="AC2295" s="394">
        <v>12.2994</v>
      </c>
      <c r="AD2295" s="394"/>
      <c r="AE2295" s="394"/>
      <c r="AF2295" s="394">
        <v>0</v>
      </c>
      <c r="AG2295" s="394">
        <v>0</v>
      </c>
      <c r="AH2295" s="394">
        <v>0.50866</v>
      </c>
      <c r="AI2295" s="394">
        <v>12.2994</v>
      </c>
      <c r="AJ2295" s="394"/>
      <c r="AK2295" s="381" t="s">
        <v>167</v>
      </c>
      <c r="AL2295" s="408" t="s">
        <v>175</v>
      </c>
      <c r="AM2295" s="385"/>
      <c r="AN2295" s="475">
        <v>1082</v>
      </c>
      <c r="AO2295" s="395"/>
      <c r="AP2295" s="395">
        <f t="shared" si="1041"/>
        <v>15.38007</v>
      </c>
      <c r="AQ2295" s="393"/>
      <c r="AR2295" s="523"/>
      <c r="AS2295" s="497"/>
      <c r="AT2295" s="573"/>
      <c r="AU2295" s="394"/>
      <c r="AV2295" s="394"/>
      <c r="AW2295" s="394"/>
      <c r="AX2295" s="394"/>
      <c r="AY2295" s="394"/>
      <c r="AZ2295" s="394"/>
      <c r="BA2295" s="394"/>
      <c r="BB2295" s="394"/>
      <c r="BC2295" s="394"/>
      <c r="BD2295" s="381"/>
      <c r="BE2295" s="408"/>
      <c r="BF2295" s="385"/>
      <c r="BG2295" s="475"/>
      <c r="BH2295" s="395"/>
      <c r="BI2295" s="395" t="e">
        <f t="shared" si="1042"/>
        <v>#DIV/0!</v>
      </c>
    </row>
    <row r="2296" spans="1:61" s="358" customFormat="1" ht="19.2" x14ac:dyDescent="0.3">
      <c r="A2296" s="359" t="s">
        <v>1935</v>
      </c>
      <c r="B2296" s="572" t="s">
        <v>3992</v>
      </c>
      <c r="C2296" s="546" t="s">
        <v>3107</v>
      </c>
      <c r="D2296" s="360">
        <v>0.4</v>
      </c>
      <c r="E2296" s="393"/>
      <c r="F2296" s="523"/>
      <c r="G2296" s="393"/>
      <c r="H2296" s="573"/>
      <c r="I2296" s="394"/>
      <c r="J2296" s="394"/>
      <c r="K2296" s="394"/>
      <c r="L2296" s="394"/>
      <c r="M2296" s="394"/>
      <c r="N2296" s="394"/>
      <c r="O2296" s="394"/>
      <c r="P2296" s="394"/>
      <c r="Q2296" s="394"/>
      <c r="R2296" s="381"/>
      <c r="S2296" s="408"/>
      <c r="T2296" s="385"/>
      <c r="U2296" s="475"/>
      <c r="V2296" s="395"/>
      <c r="W2296" s="395"/>
      <c r="X2296" s="393"/>
      <c r="Y2296" s="523">
        <v>1</v>
      </c>
      <c r="Z2296" s="497"/>
      <c r="AA2296" s="573">
        <v>15.38007</v>
      </c>
      <c r="AB2296" s="394">
        <v>13.198169999999999</v>
      </c>
      <c r="AC2296" s="394">
        <v>12.2994</v>
      </c>
      <c r="AD2296" s="394"/>
      <c r="AE2296" s="394"/>
      <c r="AF2296" s="394">
        <v>0</v>
      </c>
      <c r="AG2296" s="394">
        <v>0</v>
      </c>
      <c r="AH2296" s="394">
        <v>0.50866</v>
      </c>
      <c r="AI2296" s="394">
        <v>12.2994</v>
      </c>
      <c r="AJ2296" s="394"/>
      <c r="AK2296" s="381" t="s">
        <v>167</v>
      </c>
      <c r="AL2296" s="408" t="s">
        <v>175</v>
      </c>
      <c r="AM2296" s="385"/>
      <c r="AN2296" s="475">
        <v>1083</v>
      </c>
      <c r="AO2296" s="395"/>
      <c r="AP2296" s="395">
        <f t="shared" si="1041"/>
        <v>15.38007</v>
      </c>
      <c r="AQ2296" s="393"/>
      <c r="AR2296" s="523"/>
      <c r="AS2296" s="497"/>
      <c r="AT2296" s="573"/>
      <c r="AU2296" s="394"/>
      <c r="AV2296" s="394"/>
      <c r="AW2296" s="394"/>
      <c r="AX2296" s="394"/>
      <c r="AY2296" s="394"/>
      <c r="AZ2296" s="394"/>
      <c r="BA2296" s="394"/>
      <c r="BB2296" s="394"/>
      <c r="BC2296" s="394"/>
      <c r="BD2296" s="381"/>
      <c r="BE2296" s="408"/>
      <c r="BF2296" s="385"/>
      <c r="BG2296" s="475"/>
      <c r="BH2296" s="395"/>
      <c r="BI2296" s="395" t="e">
        <f t="shared" si="1042"/>
        <v>#DIV/0!</v>
      </c>
    </row>
    <row r="2297" spans="1:61" s="358" customFormat="1" ht="19.2" x14ac:dyDescent="0.3">
      <c r="A2297" s="359" t="s">
        <v>1936</v>
      </c>
      <c r="B2297" s="572" t="s">
        <v>2521</v>
      </c>
      <c r="C2297" s="546" t="s">
        <v>2520</v>
      </c>
      <c r="D2297" s="360">
        <v>0.4</v>
      </c>
      <c r="E2297" s="393"/>
      <c r="F2297" s="523"/>
      <c r="G2297" s="393"/>
      <c r="H2297" s="573"/>
      <c r="I2297" s="394"/>
      <c r="J2297" s="394"/>
      <c r="K2297" s="394"/>
      <c r="L2297" s="394"/>
      <c r="M2297" s="394"/>
      <c r="N2297" s="394"/>
      <c r="O2297" s="394"/>
      <c r="P2297" s="394"/>
      <c r="Q2297" s="394"/>
      <c r="R2297" s="381"/>
      <c r="S2297" s="408"/>
      <c r="T2297" s="385"/>
      <c r="U2297" s="475"/>
      <c r="V2297" s="395"/>
      <c r="W2297" s="395"/>
      <c r="X2297" s="393"/>
      <c r="Y2297" s="523">
        <v>1</v>
      </c>
      <c r="Z2297" s="497"/>
      <c r="AA2297" s="573">
        <v>15.38007</v>
      </c>
      <c r="AB2297" s="394">
        <v>13.198169999999999</v>
      </c>
      <c r="AC2297" s="394">
        <v>12.2994</v>
      </c>
      <c r="AD2297" s="394"/>
      <c r="AE2297" s="394"/>
      <c r="AF2297" s="394">
        <v>0</v>
      </c>
      <c r="AG2297" s="394">
        <v>0</v>
      </c>
      <c r="AH2297" s="394">
        <v>0.50866</v>
      </c>
      <c r="AI2297" s="394">
        <v>12.2994</v>
      </c>
      <c r="AJ2297" s="394"/>
      <c r="AK2297" s="381" t="s">
        <v>167</v>
      </c>
      <c r="AL2297" s="408" t="s">
        <v>175</v>
      </c>
      <c r="AM2297" s="385"/>
      <c r="AN2297" s="475">
        <v>1084</v>
      </c>
      <c r="AO2297" s="395"/>
      <c r="AP2297" s="395">
        <f t="shared" si="1041"/>
        <v>15.38007</v>
      </c>
      <c r="AQ2297" s="393"/>
      <c r="AR2297" s="523"/>
      <c r="AS2297" s="497"/>
      <c r="AT2297" s="573"/>
      <c r="AU2297" s="394"/>
      <c r="AV2297" s="394"/>
      <c r="AW2297" s="394"/>
      <c r="AX2297" s="394"/>
      <c r="AY2297" s="394"/>
      <c r="AZ2297" s="394"/>
      <c r="BA2297" s="394"/>
      <c r="BB2297" s="394"/>
      <c r="BC2297" s="394"/>
      <c r="BD2297" s="381"/>
      <c r="BE2297" s="408"/>
      <c r="BF2297" s="385"/>
      <c r="BG2297" s="475"/>
      <c r="BH2297" s="395"/>
      <c r="BI2297" s="395" t="e">
        <f t="shared" si="1042"/>
        <v>#DIV/0!</v>
      </c>
    </row>
    <row r="2298" spans="1:61" s="358" customFormat="1" ht="19.2" x14ac:dyDescent="0.3">
      <c r="A2298" s="359" t="s">
        <v>1937</v>
      </c>
      <c r="B2298" s="572" t="s">
        <v>3993</v>
      </c>
      <c r="C2298" s="546" t="s">
        <v>3108</v>
      </c>
      <c r="D2298" s="360">
        <v>0.4</v>
      </c>
      <c r="E2298" s="393"/>
      <c r="F2298" s="523"/>
      <c r="G2298" s="393"/>
      <c r="H2298" s="573"/>
      <c r="I2298" s="394"/>
      <c r="J2298" s="394"/>
      <c r="K2298" s="394"/>
      <c r="L2298" s="394"/>
      <c r="M2298" s="394"/>
      <c r="N2298" s="394"/>
      <c r="O2298" s="394"/>
      <c r="P2298" s="394"/>
      <c r="Q2298" s="394"/>
      <c r="R2298" s="381"/>
      <c r="S2298" s="408"/>
      <c r="T2298" s="385"/>
      <c r="U2298" s="475"/>
      <c r="V2298" s="395"/>
      <c r="W2298" s="395"/>
      <c r="X2298" s="393"/>
      <c r="Y2298" s="523">
        <v>1</v>
      </c>
      <c r="Z2298" s="497"/>
      <c r="AA2298" s="573">
        <v>15.38008</v>
      </c>
      <c r="AB2298" s="394">
        <v>13.198180000000001</v>
      </c>
      <c r="AC2298" s="394">
        <v>12.2994</v>
      </c>
      <c r="AD2298" s="394"/>
      <c r="AE2298" s="394"/>
      <c r="AF2298" s="394">
        <v>0</v>
      </c>
      <c r="AG2298" s="394">
        <v>0</v>
      </c>
      <c r="AH2298" s="394">
        <v>0.50866</v>
      </c>
      <c r="AI2298" s="394">
        <v>12.2994</v>
      </c>
      <c r="AJ2298" s="394"/>
      <c r="AK2298" s="381" t="s">
        <v>167</v>
      </c>
      <c r="AL2298" s="408" t="s">
        <v>175</v>
      </c>
      <c r="AM2298" s="385"/>
      <c r="AN2298" s="475">
        <v>1085</v>
      </c>
      <c r="AO2298" s="395"/>
      <c r="AP2298" s="395">
        <f t="shared" si="1041"/>
        <v>15.38008</v>
      </c>
      <c r="AQ2298" s="393"/>
      <c r="AR2298" s="523"/>
      <c r="AS2298" s="497"/>
      <c r="AT2298" s="573"/>
      <c r="AU2298" s="394"/>
      <c r="AV2298" s="394"/>
      <c r="AW2298" s="394"/>
      <c r="AX2298" s="394"/>
      <c r="AY2298" s="394"/>
      <c r="AZ2298" s="394"/>
      <c r="BA2298" s="394"/>
      <c r="BB2298" s="394"/>
      <c r="BC2298" s="394"/>
      <c r="BD2298" s="381"/>
      <c r="BE2298" s="408"/>
      <c r="BF2298" s="385"/>
      <c r="BG2298" s="475"/>
      <c r="BH2298" s="395"/>
      <c r="BI2298" s="395" t="e">
        <f t="shared" si="1042"/>
        <v>#DIV/0!</v>
      </c>
    </row>
    <row r="2299" spans="1:61" s="358" customFormat="1" ht="19.2" x14ac:dyDescent="0.3">
      <c r="A2299" s="359" t="s">
        <v>1956</v>
      </c>
      <c r="B2299" s="572" t="s">
        <v>3994</v>
      </c>
      <c r="C2299" s="546" t="s">
        <v>3109</v>
      </c>
      <c r="D2299" s="360">
        <v>0.4</v>
      </c>
      <c r="E2299" s="393"/>
      <c r="F2299" s="523"/>
      <c r="G2299" s="393"/>
      <c r="H2299" s="573"/>
      <c r="I2299" s="394"/>
      <c r="J2299" s="394"/>
      <c r="K2299" s="394"/>
      <c r="L2299" s="394"/>
      <c r="M2299" s="394"/>
      <c r="N2299" s="394"/>
      <c r="O2299" s="394"/>
      <c r="P2299" s="394"/>
      <c r="Q2299" s="394"/>
      <c r="R2299" s="381"/>
      <c r="S2299" s="408"/>
      <c r="T2299" s="385"/>
      <c r="U2299" s="475"/>
      <c r="V2299" s="395"/>
      <c r="W2299" s="395"/>
      <c r="X2299" s="393"/>
      <c r="Y2299" s="523">
        <v>1</v>
      </c>
      <c r="Z2299" s="497"/>
      <c r="AA2299" s="573">
        <v>15.38007</v>
      </c>
      <c r="AB2299" s="394">
        <v>13.198169999999999</v>
      </c>
      <c r="AC2299" s="394">
        <v>12.2994</v>
      </c>
      <c r="AD2299" s="394"/>
      <c r="AE2299" s="394"/>
      <c r="AF2299" s="394">
        <v>0</v>
      </c>
      <c r="AG2299" s="394">
        <v>0</v>
      </c>
      <c r="AH2299" s="394">
        <v>0.50866</v>
      </c>
      <c r="AI2299" s="394">
        <v>12.2994</v>
      </c>
      <c r="AJ2299" s="394"/>
      <c r="AK2299" s="381" t="s">
        <v>167</v>
      </c>
      <c r="AL2299" s="408" t="s">
        <v>175</v>
      </c>
      <c r="AM2299" s="385"/>
      <c r="AN2299" s="475">
        <v>1086</v>
      </c>
      <c r="AO2299" s="395"/>
      <c r="AP2299" s="395">
        <f t="shared" si="1041"/>
        <v>15.38007</v>
      </c>
      <c r="AQ2299" s="393"/>
      <c r="AR2299" s="523"/>
      <c r="AS2299" s="497"/>
      <c r="AT2299" s="573"/>
      <c r="AU2299" s="394"/>
      <c r="AV2299" s="394"/>
      <c r="AW2299" s="394"/>
      <c r="AX2299" s="394"/>
      <c r="AY2299" s="394"/>
      <c r="AZ2299" s="394"/>
      <c r="BA2299" s="394"/>
      <c r="BB2299" s="394"/>
      <c r="BC2299" s="394"/>
      <c r="BD2299" s="381"/>
      <c r="BE2299" s="408"/>
      <c r="BF2299" s="385"/>
      <c r="BG2299" s="475"/>
      <c r="BH2299" s="395"/>
      <c r="BI2299" s="395" t="e">
        <f t="shared" si="1042"/>
        <v>#DIV/0!</v>
      </c>
    </row>
    <row r="2300" spans="1:61" s="358" customFormat="1" ht="19.2" x14ac:dyDescent="0.3">
      <c r="A2300" s="359" t="s">
        <v>1939</v>
      </c>
      <c r="B2300" s="572" t="s">
        <v>3995</v>
      </c>
      <c r="C2300" s="546" t="s">
        <v>3110</v>
      </c>
      <c r="D2300" s="360">
        <v>0.4</v>
      </c>
      <c r="E2300" s="393"/>
      <c r="F2300" s="523"/>
      <c r="G2300" s="393"/>
      <c r="H2300" s="573"/>
      <c r="I2300" s="394"/>
      <c r="J2300" s="394"/>
      <c r="K2300" s="394"/>
      <c r="L2300" s="394"/>
      <c r="M2300" s="394"/>
      <c r="N2300" s="394"/>
      <c r="O2300" s="394"/>
      <c r="P2300" s="394"/>
      <c r="Q2300" s="394"/>
      <c r="R2300" s="381"/>
      <c r="S2300" s="408"/>
      <c r="T2300" s="385"/>
      <c r="U2300" s="475"/>
      <c r="V2300" s="395"/>
      <c r="W2300" s="395"/>
      <c r="X2300" s="393"/>
      <c r="Y2300" s="523">
        <v>1</v>
      </c>
      <c r="Z2300" s="497"/>
      <c r="AA2300" s="573">
        <v>15.38007</v>
      </c>
      <c r="AB2300" s="394">
        <v>13.198169999999999</v>
      </c>
      <c r="AC2300" s="394">
        <v>12.2994</v>
      </c>
      <c r="AD2300" s="394"/>
      <c r="AE2300" s="394"/>
      <c r="AF2300" s="394">
        <v>0</v>
      </c>
      <c r="AG2300" s="394">
        <v>0</v>
      </c>
      <c r="AH2300" s="394">
        <v>0.50866</v>
      </c>
      <c r="AI2300" s="394">
        <v>12.2994</v>
      </c>
      <c r="AJ2300" s="394"/>
      <c r="AK2300" s="381" t="s">
        <v>167</v>
      </c>
      <c r="AL2300" s="408" t="s">
        <v>175</v>
      </c>
      <c r="AM2300" s="385"/>
      <c r="AN2300" s="475">
        <v>1087</v>
      </c>
      <c r="AO2300" s="395"/>
      <c r="AP2300" s="395">
        <f t="shared" si="1041"/>
        <v>15.38007</v>
      </c>
      <c r="AQ2300" s="393"/>
      <c r="AR2300" s="523"/>
      <c r="AS2300" s="497"/>
      <c r="AT2300" s="573"/>
      <c r="AU2300" s="394"/>
      <c r="AV2300" s="394"/>
      <c r="AW2300" s="394"/>
      <c r="AX2300" s="394"/>
      <c r="AY2300" s="394"/>
      <c r="AZ2300" s="394"/>
      <c r="BA2300" s="394"/>
      <c r="BB2300" s="394"/>
      <c r="BC2300" s="394"/>
      <c r="BD2300" s="381"/>
      <c r="BE2300" s="408"/>
      <c r="BF2300" s="385"/>
      <c r="BG2300" s="475"/>
      <c r="BH2300" s="395"/>
      <c r="BI2300" s="395" t="e">
        <f t="shared" si="1042"/>
        <v>#DIV/0!</v>
      </c>
    </row>
    <row r="2301" spans="1:61" s="358" customFormat="1" ht="19.2" x14ac:dyDescent="0.3">
      <c r="A2301" s="359" t="s">
        <v>1940</v>
      </c>
      <c r="B2301" s="572" t="s">
        <v>3996</v>
      </c>
      <c r="C2301" s="546" t="s">
        <v>3111</v>
      </c>
      <c r="D2301" s="360">
        <v>0.4</v>
      </c>
      <c r="E2301" s="393"/>
      <c r="F2301" s="523"/>
      <c r="G2301" s="393"/>
      <c r="H2301" s="573"/>
      <c r="I2301" s="394"/>
      <c r="J2301" s="394"/>
      <c r="K2301" s="394"/>
      <c r="L2301" s="394"/>
      <c r="M2301" s="394"/>
      <c r="N2301" s="394"/>
      <c r="O2301" s="394"/>
      <c r="P2301" s="394"/>
      <c r="Q2301" s="394"/>
      <c r="R2301" s="381"/>
      <c r="S2301" s="408"/>
      <c r="T2301" s="385"/>
      <c r="U2301" s="475"/>
      <c r="V2301" s="395"/>
      <c r="W2301" s="395"/>
      <c r="X2301" s="393"/>
      <c r="Y2301" s="523">
        <v>1</v>
      </c>
      <c r="Z2301" s="497"/>
      <c r="AA2301" s="573">
        <v>15.38007</v>
      </c>
      <c r="AB2301" s="394">
        <v>13.198169999999999</v>
      </c>
      <c r="AC2301" s="394">
        <v>12.2994</v>
      </c>
      <c r="AD2301" s="394"/>
      <c r="AE2301" s="394"/>
      <c r="AF2301" s="394">
        <v>0</v>
      </c>
      <c r="AG2301" s="394">
        <v>0</v>
      </c>
      <c r="AH2301" s="394">
        <v>0.50866</v>
      </c>
      <c r="AI2301" s="394">
        <v>12.2994</v>
      </c>
      <c r="AJ2301" s="394"/>
      <c r="AK2301" s="381" t="s">
        <v>167</v>
      </c>
      <c r="AL2301" s="408" t="s">
        <v>175</v>
      </c>
      <c r="AM2301" s="385"/>
      <c r="AN2301" s="475">
        <v>1088</v>
      </c>
      <c r="AO2301" s="395"/>
      <c r="AP2301" s="395">
        <f t="shared" si="1041"/>
        <v>15.38007</v>
      </c>
      <c r="AQ2301" s="393"/>
      <c r="AR2301" s="523"/>
      <c r="AS2301" s="497"/>
      <c r="AT2301" s="573"/>
      <c r="AU2301" s="394"/>
      <c r="AV2301" s="394"/>
      <c r="AW2301" s="394"/>
      <c r="AX2301" s="394"/>
      <c r="AY2301" s="394"/>
      <c r="AZ2301" s="394"/>
      <c r="BA2301" s="394"/>
      <c r="BB2301" s="394"/>
      <c r="BC2301" s="394"/>
      <c r="BD2301" s="381"/>
      <c r="BE2301" s="408"/>
      <c r="BF2301" s="385"/>
      <c r="BG2301" s="475"/>
      <c r="BH2301" s="395"/>
      <c r="BI2301" s="395" t="e">
        <f t="shared" si="1042"/>
        <v>#DIV/0!</v>
      </c>
    </row>
    <row r="2302" spans="1:61" s="358" customFormat="1" ht="19.2" x14ac:dyDescent="0.3">
      <c r="A2302" s="359" t="s">
        <v>1941</v>
      </c>
      <c r="B2302" s="572" t="s">
        <v>3997</v>
      </c>
      <c r="C2302" s="546" t="s">
        <v>3112</v>
      </c>
      <c r="D2302" s="360">
        <v>0.4</v>
      </c>
      <c r="E2302" s="393"/>
      <c r="F2302" s="523"/>
      <c r="G2302" s="393"/>
      <c r="H2302" s="573"/>
      <c r="I2302" s="394"/>
      <c r="J2302" s="394"/>
      <c r="K2302" s="394"/>
      <c r="L2302" s="394"/>
      <c r="M2302" s="394"/>
      <c r="N2302" s="394"/>
      <c r="O2302" s="394"/>
      <c r="P2302" s="394"/>
      <c r="Q2302" s="394"/>
      <c r="R2302" s="381"/>
      <c r="S2302" s="408"/>
      <c r="T2302" s="385"/>
      <c r="U2302" s="475"/>
      <c r="V2302" s="395"/>
      <c r="W2302" s="395"/>
      <c r="X2302" s="393"/>
      <c r="Y2302" s="523">
        <v>1</v>
      </c>
      <c r="Z2302" s="497"/>
      <c r="AA2302" s="573">
        <v>15.38007</v>
      </c>
      <c r="AB2302" s="394">
        <v>13.198169999999999</v>
      </c>
      <c r="AC2302" s="394">
        <v>12.2994</v>
      </c>
      <c r="AD2302" s="394"/>
      <c r="AE2302" s="394"/>
      <c r="AF2302" s="394">
        <v>0</v>
      </c>
      <c r="AG2302" s="394">
        <v>0</v>
      </c>
      <c r="AH2302" s="394">
        <v>0.50866</v>
      </c>
      <c r="AI2302" s="394">
        <v>12.2994</v>
      </c>
      <c r="AJ2302" s="394"/>
      <c r="AK2302" s="381" t="s">
        <v>167</v>
      </c>
      <c r="AL2302" s="408" t="s">
        <v>175</v>
      </c>
      <c r="AM2302" s="385"/>
      <c r="AN2302" s="475">
        <v>1089</v>
      </c>
      <c r="AO2302" s="395"/>
      <c r="AP2302" s="395">
        <f t="shared" si="1041"/>
        <v>15.38007</v>
      </c>
      <c r="AQ2302" s="393"/>
      <c r="AR2302" s="523"/>
      <c r="AS2302" s="497"/>
      <c r="AT2302" s="573"/>
      <c r="AU2302" s="394"/>
      <c r="AV2302" s="394"/>
      <c r="AW2302" s="394"/>
      <c r="AX2302" s="394"/>
      <c r="AY2302" s="394"/>
      <c r="AZ2302" s="394"/>
      <c r="BA2302" s="394"/>
      <c r="BB2302" s="394"/>
      <c r="BC2302" s="394"/>
      <c r="BD2302" s="381"/>
      <c r="BE2302" s="408"/>
      <c r="BF2302" s="385"/>
      <c r="BG2302" s="475"/>
      <c r="BH2302" s="395"/>
      <c r="BI2302" s="395" t="e">
        <f t="shared" si="1042"/>
        <v>#DIV/0!</v>
      </c>
    </row>
    <row r="2303" spans="1:61" s="358" customFormat="1" ht="19.2" x14ac:dyDescent="0.3">
      <c r="A2303" s="359" t="s">
        <v>1960</v>
      </c>
      <c r="B2303" s="572" t="s">
        <v>3998</v>
      </c>
      <c r="C2303" s="546" t="s">
        <v>3113</v>
      </c>
      <c r="D2303" s="360">
        <v>0.4</v>
      </c>
      <c r="E2303" s="393"/>
      <c r="F2303" s="523"/>
      <c r="G2303" s="393"/>
      <c r="H2303" s="573"/>
      <c r="I2303" s="394"/>
      <c r="J2303" s="394"/>
      <c r="K2303" s="394"/>
      <c r="L2303" s="394"/>
      <c r="M2303" s="394"/>
      <c r="N2303" s="394"/>
      <c r="O2303" s="394"/>
      <c r="P2303" s="394"/>
      <c r="Q2303" s="394"/>
      <c r="R2303" s="381"/>
      <c r="S2303" s="408"/>
      <c r="T2303" s="385"/>
      <c r="U2303" s="475"/>
      <c r="V2303" s="395"/>
      <c r="W2303" s="395"/>
      <c r="X2303" s="393"/>
      <c r="Y2303" s="523">
        <v>1</v>
      </c>
      <c r="Z2303" s="497"/>
      <c r="AA2303" s="573">
        <v>15.38007</v>
      </c>
      <c r="AB2303" s="394">
        <v>13.198169999999999</v>
      </c>
      <c r="AC2303" s="394">
        <v>12.2994</v>
      </c>
      <c r="AD2303" s="394"/>
      <c r="AE2303" s="394"/>
      <c r="AF2303" s="394">
        <v>0</v>
      </c>
      <c r="AG2303" s="394">
        <v>0</v>
      </c>
      <c r="AH2303" s="394">
        <v>0.50866</v>
      </c>
      <c r="AI2303" s="394">
        <v>12.2994</v>
      </c>
      <c r="AJ2303" s="394"/>
      <c r="AK2303" s="381" t="s">
        <v>167</v>
      </c>
      <c r="AL2303" s="408" t="s">
        <v>175</v>
      </c>
      <c r="AM2303" s="385"/>
      <c r="AN2303" s="475">
        <v>1090</v>
      </c>
      <c r="AO2303" s="395"/>
      <c r="AP2303" s="395">
        <f t="shared" si="1041"/>
        <v>15.38007</v>
      </c>
      <c r="AQ2303" s="393"/>
      <c r="AR2303" s="523"/>
      <c r="AS2303" s="497"/>
      <c r="AT2303" s="573"/>
      <c r="AU2303" s="394"/>
      <c r="AV2303" s="394"/>
      <c r="AW2303" s="394"/>
      <c r="AX2303" s="394"/>
      <c r="AY2303" s="394"/>
      <c r="AZ2303" s="394"/>
      <c r="BA2303" s="394"/>
      <c r="BB2303" s="394"/>
      <c r="BC2303" s="394"/>
      <c r="BD2303" s="381"/>
      <c r="BE2303" s="408"/>
      <c r="BF2303" s="385"/>
      <c r="BG2303" s="475"/>
      <c r="BH2303" s="395"/>
      <c r="BI2303" s="395" t="e">
        <f t="shared" si="1042"/>
        <v>#DIV/0!</v>
      </c>
    </row>
    <row r="2304" spans="1:61" s="358" customFormat="1" ht="19.2" x14ac:dyDescent="0.3">
      <c r="A2304" s="359" t="s">
        <v>1943</v>
      </c>
      <c r="B2304" s="572" t="s">
        <v>3999</v>
      </c>
      <c r="C2304" s="546" t="s">
        <v>3114</v>
      </c>
      <c r="D2304" s="360">
        <v>0.4</v>
      </c>
      <c r="E2304" s="393"/>
      <c r="F2304" s="523"/>
      <c r="G2304" s="393"/>
      <c r="H2304" s="573"/>
      <c r="I2304" s="394"/>
      <c r="J2304" s="394"/>
      <c r="K2304" s="394"/>
      <c r="L2304" s="394"/>
      <c r="M2304" s="394"/>
      <c r="N2304" s="394"/>
      <c r="O2304" s="394"/>
      <c r="P2304" s="394"/>
      <c r="Q2304" s="394"/>
      <c r="R2304" s="381"/>
      <c r="S2304" s="408"/>
      <c r="T2304" s="385"/>
      <c r="U2304" s="475"/>
      <c r="V2304" s="395"/>
      <c r="W2304" s="395"/>
      <c r="X2304" s="393"/>
      <c r="Y2304" s="523">
        <v>1</v>
      </c>
      <c r="Z2304" s="497"/>
      <c r="AA2304" s="573">
        <v>15.38007</v>
      </c>
      <c r="AB2304" s="394">
        <v>13.198169999999999</v>
      </c>
      <c r="AC2304" s="394">
        <v>12.2994</v>
      </c>
      <c r="AD2304" s="394"/>
      <c r="AE2304" s="394"/>
      <c r="AF2304" s="394">
        <v>0</v>
      </c>
      <c r="AG2304" s="394">
        <v>0</v>
      </c>
      <c r="AH2304" s="394">
        <v>0.50866</v>
      </c>
      <c r="AI2304" s="394">
        <v>12.2994</v>
      </c>
      <c r="AJ2304" s="394"/>
      <c r="AK2304" s="381" t="s">
        <v>167</v>
      </c>
      <c r="AL2304" s="408" t="s">
        <v>175</v>
      </c>
      <c r="AM2304" s="385"/>
      <c r="AN2304" s="475">
        <v>1091</v>
      </c>
      <c r="AO2304" s="395"/>
      <c r="AP2304" s="395">
        <f t="shared" si="1041"/>
        <v>15.38007</v>
      </c>
      <c r="AQ2304" s="393"/>
      <c r="AR2304" s="523"/>
      <c r="AS2304" s="497"/>
      <c r="AT2304" s="573"/>
      <c r="AU2304" s="394"/>
      <c r="AV2304" s="394"/>
      <c r="AW2304" s="394"/>
      <c r="AX2304" s="394"/>
      <c r="AY2304" s="394"/>
      <c r="AZ2304" s="394"/>
      <c r="BA2304" s="394"/>
      <c r="BB2304" s="394"/>
      <c r="BC2304" s="394"/>
      <c r="BD2304" s="381"/>
      <c r="BE2304" s="408"/>
      <c r="BF2304" s="385"/>
      <c r="BG2304" s="475"/>
      <c r="BH2304" s="395"/>
      <c r="BI2304" s="395" t="e">
        <f t="shared" si="1042"/>
        <v>#DIV/0!</v>
      </c>
    </row>
    <row r="2305" spans="1:61" s="358" customFormat="1" ht="19.2" x14ac:dyDescent="0.3">
      <c r="A2305" s="359" t="s">
        <v>1944</v>
      </c>
      <c r="B2305" s="572" t="s">
        <v>4000</v>
      </c>
      <c r="C2305" s="546" t="s">
        <v>3115</v>
      </c>
      <c r="D2305" s="360">
        <v>0.4</v>
      </c>
      <c r="E2305" s="393"/>
      <c r="F2305" s="523"/>
      <c r="G2305" s="393"/>
      <c r="H2305" s="573"/>
      <c r="I2305" s="394"/>
      <c r="J2305" s="394"/>
      <c r="K2305" s="394"/>
      <c r="L2305" s="394"/>
      <c r="M2305" s="394"/>
      <c r="N2305" s="394"/>
      <c r="O2305" s="394"/>
      <c r="P2305" s="394"/>
      <c r="Q2305" s="394"/>
      <c r="R2305" s="381"/>
      <c r="S2305" s="408"/>
      <c r="T2305" s="385"/>
      <c r="U2305" s="475"/>
      <c r="V2305" s="395"/>
      <c r="W2305" s="395"/>
      <c r="X2305" s="393"/>
      <c r="Y2305" s="523">
        <v>1</v>
      </c>
      <c r="Z2305" s="497"/>
      <c r="AA2305" s="573">
        <v>10.489470000000001</v>
      </c>
      <c r="AB2305" s="394">
        <v>9.5021100000000001</v>
      </c>
      <c r="AC2305" s="394">
        <v>9.0376300000000001</v>
      </c>
      <c r="AD2305" s="394"/>
      <c r="AE2305" s="394"/>
      <c r="AF2305" s="394">
        <v>0</v>
      </c>
      <c r="AG2305" s="394">
        <v>0</v>
      </c>
      <c r="AH2305" s="394">
        <v>0.23018</v>
      </c>
      <c r="AI2305" s="394">
        <v>9.0376300000000001</v>
      </c>
      <c r="AJ2305" s="394"/>
      <c r="AK2305" s="381" t="s">
        <v>167</v>
      </c>
      <c r="AL2305" s="408" t="s">
        <v>175</v>
      </c>
      <c r="AM2305" s="385"/>
      <c r="AN2305" s="475">
        <v>1092</v>
      </c>
      <c r="AO2305" s="395"/>
      <c r="AP2305" s="395">
        <f t="shared" si="1041"/>
        <v>10.489470000000001</v>
      </c>
      <c r="AQ2305" s="393"/>
      <c r="AR2305" s="523"/>
      <c r="AS2305" s="497"/>
      <c r="AT2305" s="573"/>
      <c r="AU2305" s="394"/>
      <c r="AV2305" s="394"/>
      <c r="AW2305" s="394"/>
      <c r="AX2305" s="394"/>
      <c r="AY2305" s="394"/>
      <c r="AZ2305" s="394"/>
      <c r="BA2305" s="394"/>
      <c r="BB2305" s="394"/>
      <c r="BC2305" s="394"/>
      <c r="BD2305" s="381"/>
      <c r="BE2305" s="408"/>
      <c r="BF2305" s="385"/>
      <c r="BG2305" s="475"/>
      <c r="BH2305" s="395"/>
      <c r="BI2305" s="395" t="e">
        <f t="shared" si="1042"/>
        <v>#DIV/0!</v>
      </c>
    </row>
    <row r="2306" spans="1:61" s="358" customFormat="1" ht="19.2" x14ac:dyDescent="0.3">
      <c r="A2306" s="359" t="s">
        <v>1929</v>
      </c>
      <c r="B2306" s="572" t="s">
        <v>4001</v>
      </c>
      <c r="C2306" s="546" t="s">
        <v>3116</v>
      </c>
      <c r="D2306" s="360">
        <v>0.4</v>
      </c>
      <c r="E2306" s="393"/>
      <c r="F2306" s="523"/>
      <c r="G2306" s="393"/>
      <c r="H2306" s="573"/>
      <c r="I2306" s="394"/>
      <c r="J2306" s="394"/>
      <c r="K2306" s="394"/>
      <c r="L2306" s="394"/>
      <c r="M2306" s="394"/>
      <c r="N2306" s="394"/>
      <c r="O2306" s="394"/>
      <c r="P2306" s="394"/>
      <c r="Q2306" s="394"/>
      <c r="R2306" s="381"/>
      <c r="S2306" s="408"/>
      <c r="T2306" s="385"/>
      <c r="U2306" s="475"/>
      <c r="V2306" s="395"/>
      <c r="W2306" s="395"/>
      <c r="X2306" s="393"/>
      <c r="Y2306" s="523">
        <v>1</v>
      </c>
      <c r="Z2306" s="497"/>
      <c r="AA2306" s="573">
        <v>15.38007</v>
      </c>
      <c r="AB2306" s="394">
        <v>13.198169999999999</v>
      </c>
      <c r="AC2306" s="394">
        <v>12.2994</v>
      </c>
      <c r="AD2306" s="394"/>
      <c r="AE2306" s="394"/>
      <c r="AF2306" s="394">
        <v>0</v>
      </c>
      <c r="AG2306" s="394">
        <v>0</v>
      </c>
      <c r="AH2306" s="394">
        <v>0.50866</v>
      </c>
      <c r="AI2306" s="394">
        <v>12.2994</v>
      </c>
      <c r="AJ2306" s="394"/>
      <c r="AK2306" s="381" t="s">
        <v>167</v>
      </c>
      <c r="AL2306" s="408" t="s">
        <v>175</v>
      </c>
      <c r="AM2306" s="385"/>
      <c r="AN2306" s="475">
        <v>1093</v>
      </c>
      <c r="AO2306" s="395"/>
      <c r="AP2306" s="395">
        <f t="shared" si="1041"/>
        <v>15.38007</v>
      </c>
      <c r="AQ2306" s="393"/>
      <c r="AR2306" s="523"/>
      <c r="AS2306" s="497"/>
      <c r="AT2306" s="573"/>
      <c r="AU2306" s="394"/>
      <c r="AV2306" s="394"/>
      <c r="AW2306" s="394"/>
      <c r="AX2306" s="394"/>
      <c r="AY2306" s="394"/>
      <c r="AZ2306" s="394"/>
      <c r="BA2306" s="394"/>
      <c r="BB2306" s="394"/>
      <c r="BC2306" s="394"/>
      <c r="BD2306" s="381"/>
      <c r="BE2306" s="408"/>
      <c r="BF2306" s="385"/>
      <c r="BG2306" s="475"/>
      <c r="BH2306" s="395"/>
      <c r="BI2306" s="395" t="e">
        <f t="shared" si="1042"/>
        <v>#DIV/0!</v>
      </c>
    </row>
    <row r="2307" spans="1:61" s="358" customFormat="1" ht="19.2" x14ac:dyDescent="0.3">
      <c r="A2307" s="359" t="s">
        <v>1946</v>
      </c>
      <c r="B2307" s="572" t="s">
        <v>4002</v>
      </c>
      <c r="C2307" s="546" t="s">
        <v>3117</v>
      </c>
      <c r="D2307" s="360">
        <v>0.4</v>
      </c>
      <c r="E2307" s="393"/>
      <c r="F2307" s="523"/>
      <c r="G2307" s="393"/>
      <c r="H2307" s="573"/>
      <c r="I2307" s="394"/>
      <c r="J2307" s="394"/>
      <c r="K2307" s="394"/>
      <c r="L2307" s="394"/>
      <c r="M2307" s="394"/>
      <c r="N2307" s="394"/>
      <c r="O2307" s="394"/>
      <c r="P2307" s="394"/>
      <c r="Q2307" s="394"/>
      <c r="R2307" s="381"/>
      <c r="S2307" s="408"/>
      <c r="T2307" s="385"/>
      <c r="U2307" s="475"/>
      <c r="V2307" s="395"/>
      <c r="W2307" s="395"/>
      <c r="X2307" s="393"/>
      <c r="Y2307" s="523">
        <v>1</v>
      </c>
      <c r="Z2307" s="497"/>
      <c r="AA2307" s="573">
        <v>15.38007</v>
      </c>
      <c r="AB2307" s="394">
        <v>13.198169999999999</v>
      </c>
      <c r="AC2307" s="394">
        <v>12.2994</v>
      </c>
      <c r="AD2307" s="394"/>
      <c r="AE2307" s="394"/>
      <c r="AF2307" s="394">
        <v>0</v>
      </c>
      <c r="AG2307" s="394">
        <v>0</v>
      </c>
      <c r="AH2307" s="394">
        <v>0.50866</v>
      </c>
      <c r="AI2307" s="394">
        <v>12.2994</v>
      </c>
      <c r="AJ2307" s="394"/>
      <c r="AK2307" s="381" t="s">
        <v>167</v>
      </c>
      <c r="AL2307" s="408" t="s">
        <v>175</v>
      </c>
      <c r="AM2307" s="385"/>
      <c r="AN2307" s="475">
        <v>1094</v>
      </c>
      <c r="AO2307" s="395"/>
      <c r="AP2307" s="395">
        <f t="shared" si="1041"/>
        <v>15.38007</v>
      </c>
      <c r="AQ2307" s="393"/>
      <c r="AR2307" s="523"/>
      <c r="AS2307" s="497"/>
      <c r="AT2307" s="573"/>
      <c r="AU2307" s="394"/>
      <c r="AV2307" s="394"/>
      <c r="AW2307" s="394"/>
      <c r="AX2307" s="394"/>
      <c r="AY2307" s="394"/>
      <c r="AZ2307" s="394"/>
      <c r="BA2307" s="394"/>
      <c r="BB2307" s="394"/>
      <c r="BC2307" s="394"/>
      <c r="BD2307" s="381"/>
      <c r="BE2307" s="408"/>
      <c r="BF2307" s="385"/>
      <c r="BG2307" s="475"/>
      <c r="BH2307" s="395"/>
      <c r="BI2307" s="395" t="e">
        <f t="shared" si="1042"/>
        <v>#DIV/0!</v>
      </c>
    </row>
    <row r="2308" spans="1:61" s="358" customFormat="1" ht="19.2" x14ac:dyDescent="0.3">
      <c r="A2308" s="359" t="s">
        <v>1947</v>
      </c>
      <c r="B2308" s="572" t="s">
        <v>4003</v>
      </c>
      <c r="C2308" s="546" t="s">
        <v>3118</v>
      </c>
      <c r="D2308" s="360">
        <v>0.4</v>
      </c>
      <c r="E2308" s="393"/>
      <c r="F2308" s="523"/>
      <c r="G2308" s="393"/>
      <c r="H2308" s="573"/>
      <c r="I2308" s="394"/>
      <c r="J2308" s="394"/>
      <c r="K2308" s="394"/>
      <c r="L2308" s="394"/>
      <c r="M2308" s="394"/>
      <c r="N2308" s="394"/>
      <c r="O2308" s="394"/>
      <c r="P2308" s="394"/>
      <c r="Q2308" s="394"/>
      <c r="R2308" s="381"/>
      <c r="S2308" s="408"/>
      <c r="T2308" s="385"/>
      <c r="U2308" s="475"/>
      <c r="V2308" s="395"/>
      <c r="W2308" s="395"/>
      <c r="X2308" s="393"/>
      <c r="Y2308" s="523">
        <v>1</v>
      </c>
      <c r="Z2308" s="497"/>
      <c r="AA2308" s="573">
        <v>15.38008</v>
      </c>
      <c r="AB2308" s="394">
        <v>13.198180000000001</v>
      </c>
      <c r="AC2308" s="394">
        <v>12.2994</v>
      </c>
      <c r="AD2308" s="394"/>
      <c r="AE2308" s="394"/>
      <c r="AF2308" s="394">
        <v>0</v>
      </c>
      <c r="AG2308" s="394">
        <v>0</v>
      </c>
      <c r="AH2308" s="394">
        <v>0.50866</v>
      </c>
      <c r="AI2308" s="394">
        <v>12.2994</v>
      </c>
      <c r="AJ2308" s="394"/>
      <c r="AK2308" s="381" t="s">
        <v>167</v>
      </c>
      <c r="AL2308" s="408" t="s">
        <v>175</v>
      </c>
      <c r="AM2308" s="385"/>
      <c r="AN2308" s="475">
        <v>1095</v>
      </c>
      <c r="AO2308" s="395"/>
      <c r="AP2308" s="395">
        <f t="shared" ref="AP2308:AP2371" si="1043">AA2308/Y2308</f>
        <v>15.38008</v>
      </c>
      <c r="AQ2308" s="393"/>
      <c r="AR2308" s="523"/>
      <c r="AS2308" s="497"/>
      <c r="AT2308" s="573"/>
      <c r="AU2308" s="394"/>
      <c r="AV2308" s="394"/>
      <c r="AW2308" s="394"/>
      <c r="AX2308" s="394"/>
      <c r="AY2308" s="394"/>
      <c r="AZ2308" s="394"/>
      <c r="BA2308" s="394"/>
      <c r="BB2308" s="394"/>
      <c r="BC2308" s="394"/>
      <c r="BD2308" s="381"/>
      <c r="BE2308" s="408"/>
      <c r="BF2308" s="385"/>
      <c r="BG2308" s="475"/>
      <c r="BH2308" s="395"/>
      <c r="BI2308" s="395" t="e">
        <f t="shared" si="1042"/>
        <v>#DIV/0!</v>
      </c>
    </row>
    <row r="2309" spans="1:61" s="358" customFormat="1" ht="19.2" x14ac:dyDescent="0.3">
      <c r="A2309" s="359" t="s">
        <v>1948</v>
      </c>
      <c r="B2309" s="572" t="s">
        <v>4004</v>
      </c>
      <c r="C2309" s="546" t="s">
        <v>3119</v>
      </c>
      <c r="D2309" s="360">
        <v>0.4</v>
      </c>
      <c r="E2309" s="393"/>
      <c r="F2309" s="523"/>
      <c r="G2309" s="393"/>
      <c r="H2309" s="573"/>
      <c r="I2309" s="394"/>
      <c r="J2309" s="394"/>
      <c r="K2309" s="394"/>
      <c r="L2309" s="394"/>
      <c r="M2309" s="394"/>
      <c r="N2309" s="394"/>
      <c r="O2309" s="394"/>
      <c r="P2309" s="394"/>
      <c r="Q2309" s="394"/>
      <c r="R2309" s="381"/>
      <c r="S2309" s="408"/>
      <c r="T2309" s="385"/>
      <c r="U2309" s="475"/>
      <c r="V2309" s="395"/>
      <c r="W2309" s="395"/>
      <c r="X2309" s="393"/>
      <c r="Y2309" s="523">
        <v>1</v>
      </c>
      <c r="Z2309" s="497"/>
      <c r="AA2309" s="573">
        <v>15.38007</v>
      </c>
      <c r="AB2309" s="394">
        <v>13.198169999999999</v>
      </c>
      <c r="AC2309" s="394">
        <v>12.2994</v>
      </c>
      <c r="AD2309" s="394"/>
      <c r="AE2309" s="394"/>
      <c r="AF2309" s="394">
        <v>0</v>
      </c>
      <c r="AG2309" s="394">
        <v>0</v>
      </c>
      <c r="AH2309" s="394">
        <v>0.50866</v>
      </c>
      <c r="AI2309" s="394">
        <v>12.2994</v>
      </c>
      <c r="AJ2309" s="394"/>
      <c r="AK2309" s="381" t="s">
        <v>167</v>
      </c>
      <c r="AL2309" s="408" t="s">
        <v>175</v>
      </c>
      <c r="AM2309" s="385"/>
      <c r="AN2309" s="475">
        <v>1096</v>
      </c>
      <c r="AO2309" s="395"/>
      <c r="AP2309" s="395">
        <f t="shared" si="1043"/>
        <v>15.38007</v>
      </c>
      <c r="AQ2309" s="393"/>
      <c r="AR2309" s="523"/>
      <c r="AS2309" s="497"/>
      <c r="AT2309" s="573"/>
      <c r="AU2309" s="394"/>
      <c r="AV2309" s="394"/>
      <c r="AW2309" s="394"/>
      <c r="AX2309" s="394"/>
      <c r="AY2309" s="394"/>
      <c r="AZ2309" s="394"/>
      <c r="BA2309" s="394"/>
      <c r="BB2309" s="394"/>
      <c r="BC2309" s="394"/>
      <c r="BD2309" s="381"/>
      <c r="BE2309" s="408"/>
      <c r="BF2309" s="385"/>
      <c r="BG2309" s="475"/>
      <c r="BH2309" s="395"/>
      <c r="BI2309" s="395" t="e">
        <f t="shared" si="1042"/>
        <v>#DIV/0!</v>
      </c>
    </row>
    <row r="2310" spans="1:61" s="358" customFormat="1" ht="19.2" x14ac:dyDescent="0.3">
      <c r="A2310" s="359" t="s">
        <v>1949</v>
      </c>
      <c r="B2310" s="572" t="s">
        <v>4005</v>
      </c>
      <c r="C2310" s="546" t="s">
        <v>3120</v>
      </c>
      <c r="D2310" s="360">
        <v>0.4</v>
      </c>
      <c r="E2310" s="393"/>
      <c r="F2310" s="523"/>
      <c r="G2310" s="393"/>
      <c r="H2310" s="573"/>
      <c r="I2310" s="394"/>
      <c r="J2310" s="394"/>
      <c r="K2310" s="394"/>
      <c r="L2310" s="394"/>
      <c r="M2310" s="394"/>
      <c r="N2310" s="394"/>
      <c r="O2310" s="394"/>
      <c r="P2310" s="394"/>
      <c r="Q2310" s="394"/>
      <c r="R2310" s="381"/>
      <c r="S2310" s="408"/>
      <c r="T2310" s="385"/>
      <c r="U2310" s="475"/>
      <c r="V2310" s="395"/>
      <c r="W2310" s="395"/>
      <c r="X2310" s="393"/>
      <c r="Y2310" s="523">
        <v>1</v>
      </c>
      <c r="Z2310" s="497"/>
      <c r="AA2310" s="573">
        <v>15.38007</v>
      </c>
      <c r="AB2310" s="394">
        <v>13.198169999999999</v>
      </c>
      <c r="AC2310" s="394">
        <v>12.2994</v>
      </c>
      <c r="AD2310" s="394"/>
      <c r="AE2310" s="394"/>
      <c r="AF2310" s="394">
        <v>0</v>
      </c>
      <c r="AG2310" s="394">
        <v>0</v>
      </c>
      <c r="AH2310" s="394">
        <v>0.50866</v>
      </c>
      <c r="AI2310" s="394">
        <v>12.2994</v>
      </c>
      <c r="AJ2310" s="394"/>
      <c r="AK2310" s="381" t="s">
        <v>167</v>
      </c>
      <c r="AL2310" s="408" t="s">
        <v>175</v>
      </c>
      <c r="AM2310" s="385"/>
      <c r="AN2310" s="475">
        <v>1097</v>
      </c>
      <c r="AO2310" s="395"/>
      <c r="AP2310" s="395">
        <f t="shared" si="1043"/>
        <v>15.38007</v>
      </c>
      <c r="AQ2310" s="393"/>
      <c r="AR2310" s="523"/>
      <c r="AS2310" s="497"/>
      <c r="AT2310" s="573"/>
      <c r="AU2310" s="394"/>
      <c r="AV2310" s="394"/>
      <c r="AW2310" s="394"/>
      <c r="AX2310" s="394"/>
      <c r="AY2310" s="394"/>
      <c r="AZ2310" s="394"/>
      <c r="BA2310" s="394"/>
      <c r="BB2310" s="394"/>
      <c r="BC2310" s="394"/>
      <c r="BD2310" s="381"/>
      <c r="BE2310" s="408"/>
      <c r="BF2310" s="385"/>
      <c r="BG2310" s="475"/>
      <c r="BH2310" s="395"/>
      <c r="BI2310" s="395" t="e">
        <f t="shared" si="1042"/>
        <v>#DIV/0!</v>
      </c>
    </row>
    <row r="2311" spans="1:61" s="358" customFormat="1" ht="19.2" x14ac:dyDescent="0.3">
      <c r="A2311" s="359" t="s">
        <v>1950</v>
      </c>
      <c r="B2311" s="572" t="s">
        <v>4006</v>
      </c>
      <c r="C2311" s="546" t="s">
        <v>3121</v>
      </c>
      <c r="D2311" s="360">
        <v>0.4</v>
      </c>
      <c r="E2311" s="393"/>
      <c r="F2311" s="523"/>
      <c r="G2311" s="393"/>
      <c r="H2311" s="573"/>
      <c r="I2311" s="394"/>
      <c r="J2311" s="394"/>
      <c r="K2311" s="394"/>
      <c r="L2311" s="394"/>
      <c r="M2311" s="394"/>
      <c r="N2311" s="394"/>
      <c r="O2311" s="394"/>
      <c r="P2311" s="394"/>
      <c r="Q2311" s="394"/>
      <c r="R2311" s="381"/>
      <c r="S2311" s="408"/>
      <c r="T2311" s="385"/>
      <c r="U2311" s="475"/>
      <c r="V2311" s="395"/>
      <c r="W2311" s="395"/>
      <c r="X2311" s="393"/>
      <c r="Y2311" s="523">
        <v>1</v>
      </c>
      <c r="Z2311" s="497"/>
      <c r="AA2311" s="573">
        <v>15.38008</v>
      </c>
      <c r="AB2311" s="394">
        <v>13.198180000000001</v>
      </c>
      <c r="AC2311" s="394">
        <v>12.2994</v>
      </c>
      <c r="AD2311" s="394"/>
      <c r="AE2311" s="394"/>
      <c r="AF2311" s="394">
        <v>0</v>
      </c>
      <c r="AG2311" s="394">
        <v>0</v>
      </c>
      <c r="AH2311" s="394">
        <v>0.50866</v>
      </c>
      <c r="AI2311" s="394">
        <v>12.2994</v>
      </c>
      <c r="AJ2311" s="394"/>
      <c r="AK2311" s="381" t="s">
        <v>167</v>
      </c>
      <c r="AL2311" s="408" t="s">
        <v>175</v>
      </c>
      <c r="AM2311" s="385"/>
      <c r="AN2311" s="475">
        <v>1098</v>
      </c>
      <c r="AO2311" s="395"/>
      <c r="AP2311" s="395">
        <f t="shared" si="1043"/>
        <v>15.38008</v>
      </c>
      <c r="AQ2311" s="393"/>
      <c r="AR2311" s="523"/>
      <c r="AS2311" s="497"/>
      <c r="AT2311" s="573"/>
      <c r="AU2311" s="394"/>
      <c r="AV2311" s="394"/>
      <c r="AW2311" s="394"/>
      <c r="AX2311" s="394"/>
      <c r="AY2311" s="394"/>
      <c r="AZ2311" s="394"/>
      <c r="BA2311" s="394"/>
      <c r="BB2311" s="394"/>
      <c r="BC2311" s="394"/>
      <c r="BD2311" s="381"/>
      <c r="BE2311" s="408"/>
      <c r="BF2311" s="385"/>
      <c r="BG2311" s="475"/>
      <c r="BH2311" s="395"/>
      <c r="BI2311" s="395" t="e">
        <f t="shared" si="1042"/>
        <v>#DIV/0!</v>
      </c>
    </row>
    <row r="2312" spans="1:61" s="358" customFormat="1" ht="19.2" x14ac:dyDescent="0.3">
      <c r="A2312" s="359" t="s">
        <v>1953</v>
      </c>
      <c r="B2312" s="572" t="s">
        <v>4007</v>
      </c>
      <c r="C2312" s="546" t="s">
        <v>3122</v>
      </c>
      <c r="D2312" s="360">
        <v>0.4</v>
      </c>
      <c r="E2312" s="393"/>
      <c r="F2312" s="523"/>
      <c r="G2312" s="393"/>
      <c r="H2312" s="573"/>
      <c r="I2312" s="394"/>
      <c r="J2312" s="394"/>
      <c r="K2312" s="394"/>
      <c r="L2312" s="394"/>
      <c r="M2312" s="394"/>
      <c r="N2312" s="394"/>
      <c r="O2312" s="394"/>
      <c r="P2312" s="394"/>
      <c r="Q2312" s="394"/>
      <c r="R2312" s="381"/>
      <c r="S2312" s="408"/>
      <c r="T2312" s="385"/>
      <c r="U2312" s="475"/>
      <c r="V2312" s="395"/>
      <c r="W2312" s="395"/>
      <c r="X2312" s="393"/>
      <c r="Y2312" s="523">
        <v>1</v>
      </c>
      <c r="Z2312" s="497"/>
      <c r="AA2312" s="573">
        <v>15.38007</v>
      </c>
      <c r="AB2312" s="394">
        <v>13.198169999999999</v>
      </c>
      <c r="AC2312" s="394">
        <v>12.2994</v>
      </c>
      <c r="AD2312" s="394"/>
      <c r="AE2312" s="394"/>
      <c r="AF2312" s="394">
        <v>0</v>
      </c>
      <c r="AG2312" s="394">
        <v>0</v>
      </c>
      <c r="AH2312" s="394">
        <v>0.50866</v>
      </c>
      <c r="AI2312" s="394">
        <v>12.2994</v>
      </c>
      <c r="AJ2312" s="394"/>
      <c r="AK2312" s="381" t="s">
        <v>167</v>
      </c>
      <c r="AL2312" s="408" t="s">
        <v>175</v>
      </c>
      <c r="AM2312" s="385"/>
      <c r="AN2312" s="475">
        <v>1099</v>
      </c>
      <c r="AO2312" s="395"/>
      <c r="AP2312" s="395">
        <f t="shared" si="1043"/>
        <v>15.38007</v>
      </c>
      <c r="AQ2312" s="393"/>
      <c r="AR2312" s="523"/>
      <c r="AS2312" s="497"/>
      <c r="AT2312" s="573"/>
      <c r="AU2312" s="394"/>
      <c r="AV2312" s="394"/>
      <c r="AW2312" s="394"/>
      <c r="AX2312" s="394"/>
      <c r="AY2312" s="394"/>
      <c r="AZ2312" s="394"/>
      <c r="BA2312" s="394"/>
      <c r="BB2312" s="394"/>
      <c r="BC2312" s="394"/>
      <c r="BD2312" s="381"/>
      <c r="BE2312" s="408"/>
      <c r="BF2312" s="385"/>
      <c r="BG2312" s="475"/>
      <c r="BH2312" s="395"/>
      <c r="BI2312" s="395" t="e">
        <f t="shared" si="1042"/>
        <v>#DIV/0!</v>
      </c>
    </row>
    <row r="2313" spans="1:61" s="358" customFormat="1" ht="19.2" x14ac:dyDescent="0.3">
      <c r="A2313" s="359" t="s">
        <v>1954</v>
      </c>
      <c r="B2313" s="572" t="s">
        <v>4008</v>
      </c>
      <c r="C2313" s="546" t="s">
        <v>3123</v>
      </c>
      <c r="D2313" s="360">
        <v>0.4</v>
      </c>
      <c r="E2313" s="393"/>
      <c r="F2313" s="523"/>
      <c r="G2313" s="393"/>
      <c r="H2313" s="573"/>
      <c r="I2313" s="394"/>
      <c r="J2313" s="394"/>
      <c r="K2313" s="394"/>
      <c r="L2313" s="394"/>
      <c r="M2313" s="394"/>
      <c r="N2313" s="394"/>
      <c r="O2313" s="394"/>
      <c r="P2313" s="394"/>
      <c r="Q2313" s="394"/>
      <c r="R2313" s="381"/>
      <c r="S2313" s="408"/>
      <c r="T2313" s="385"/>
      <c r="U2313" s="475"/>
      <c r="V2313" s="395"/>
      <c r="W2313" s="395"/>
      <c r="X2313" s="393"/>
      <c r="Y2313" s="523">
        <v>1</v>
      </c>
      <c r="Z2313" s="497"/>
      <c r="AA2313" s="573">
        <v>15.38007</v>
      </c>
      <c r="AB2313" s="394">
        <v>13.198169999999999</v>
      </c>
      <c r="AC2313" s="394">
        <v>12.2994</v>
      </c>
      <c r="AD2313" s="394"/>
      <c r="AE2313" s="394"/>
      <c r="AF2313" s="394">
        <v>0</v>
      </c>
      <c r="AG2313" s="394">
        <v>0</v>
      </c>
      <c r="AH2313" s="394">
        <v>0.50866</v>
      </c>
      <c r="AI2313" s="394">
        <v>12.2994</v>
      </c>
      <c r="AJ2313" s="394"/>
      <c r="AK2313" s="381" t="s">
        <v>167</v>
      </c>
      <c r="AL2313" s="408" t="s">
        <v>175</v>
      </c>
      <c r="AM2313" s="385"/>
      <c r="AN2313" s="475">
        <v>1100</v>
      </c>
      <c r="AO2313" s="395"/>
      <c r="AP2313" s="395">
        <f t="shared" si="1043"/>
        <v>15.38007</v>
      </c>
      <c r="AQ2313" s="393"/>
      <c r="AR2313" s="523"/>
      <c r="AS2313" s="497"/>
      <c r="AT2313" s="573"/>
      <c r="AU2313" s="394"/>
      <c r="AV2313" s="394"/>
      <c r="AW2313" s="394"/>
      <c r="AX2313" s="394"/>
      <c r="AY2313" s="394"/>
      <c r="AZ2313" s="394"/>
      <c r="BA2313" s="394"/>
      <c r="BB2313" s="394"/>
      <c r="BC2313" s="394"/>
      <c r="BD2313" s="381"/>
      <c r="BE2313" s="408"/>
      <c r="BF2313" s="385"/>
      <c r="BG2313" s="475"/>
      <c r="BH2313" s="395"/>
      <c r="BI2313" s="395" t="e">
        <f t="shared" si="1042"/>
        <v>#DIV/0!</v>
      </c>
    </row>
    <row r="2314" spans="1:61" s="358" customFormat="1" ht="19.2" x14ac:dyDescent="0.3">
      <c r="A2314" s="359" t="s">
        <v>1955</v>
      </c>
      <c r="B2314" s="572" t="s">
        <v>4009</v>
      </c>
      <c r="C2314" s="546" t="s">
        <v>3124</v>
      </c>
      <c r="D2314" s="360">
        <v>0.4</v>
      </c>
      <c r="E2314" s="393"/>
      <c r="F2314" s="523"/>
      <c r="G2314" s="393"/>
      <c r="H2314" s="573"/>
      <c r="I2314" s="394"/>
      <c r="J2314" s="394"/>
      <c r="K2314" s="394"/>
      <c r="L2314" s="394"/>
      <c r="M2314" s="394"/>
      <c r="N2314" s="394"/>
      <c r="O2314" s="394"/>
      <c r="P2314" s="394"/>
      <c r="Q2314" s="394"/>
      <c r="R2314" s="381"/>
      <c r="S2314" s="408"/>
      <c r="T2314" s="385"/>
      <c r="U2314" s="475"/>
      <c r="V2314" s="395"/>
      <c r="W2314" s="395"/>
      <c r="X2314" s="393"/>
      <c r="Y2314" s="523">
        <v>1</v>
      </c>
      <c r="Z2314" s="497"/>
      <c r="AA2314" s="573">
        <v>15.38007</v>
      </c>
      <c r="AB2314" s="394">
        <v>13.198169999999999</v>
      </c>
      <c r="AC2314" s="394">
        <v>12.2994</v>
      </c>
      <c r="AD2314" s="394"/>
      <c r="AE2314" s="394"/>
      <c r="AF2314" s="394">
        <v>0</v>
      </c>
      <c r="AG2314" s="394">
        <v>0</v>
      </c>
      <c r="AH2314" s="394">
        <v>0.50866</v>
      </c>
      <c r="AI2314" s="394">
        <v>12.2994</v>
      </c>
      <c r="AJ2314" s="394"/>
      <c r="AK2314" s="381" t="s">
        <v>167</v>
      </c>
      <c r="AL2314" s="408" t="s">
        <v>175</v>
      </c>
      <c r="AM2314" s="385"/>
      <c r="AN2314" s="475">
        <v>1101</v>
      </c>
      <c r="AO2314" s="395"/>
      <c r="AP2314" s="395">
        <f t="shared" si="1043"/>
        <v>15.38007</v>
      </c>
      <c r="AQ2314" s="393"/>
      <c r="AR2314" s="523"/>
      <c r="AS2314" s="497"/>
      <c r="AT2314" s="573"/>
      <c r="AU2314" s="394"/>
      <c r="AV2314" s="394"/>
      <c r="AW2314" s="394"/>
      <c r="AX2314" s="394"/>
      <c r="AY2314" s="394"/>
      <c r="AZ2314" s="394"/>
      <c r="BA2314" s="394"/>
      <c r="BB2314" s="394"/>
      <c r="BC2314" s="394"/>
      <c r="BD2314" s="381"/>
      <c r="BE2314" s="408"/>
      <c r="BF2314" s="385"/>
      <c r="BG2314" s="475"/>
      <c r="BH2314" s="395"/>
      <c r="BI2314" s="395" t="e">
        <f t="shared" si="1042"/>
        <v>#DIV/0!</v>
      </c>
    </row>
    <row r="2315" spans="1:61" s="358" customFormat="1" ht="19.2" x14ac:dyDescent="0.3">
      <c r="A2315" s="359" t="s">
        <v>1972</v>
      </c>
      <c r="B2315" s="572" t="s">
        <v>4010</v>
      </c>
      <c r="C2315" s="546" t="s">
        <v>3125</v>
      </c>
      <c r="D2315" s="360">
        <v>0.4</v>
      </c>
      <c r="E2315" s="393"/>
      <c r="F2315" s="523"/>
      <c r="G2315" s="393"/>
      <c r="H2315" s="573"/>
      <c r="I2315" s="394"/>
      <c r="J2315" s="394"/>
      <c r="K2315" s="394"/>
      <c r="L2315" s="394"/>
      <c r="M2315" s="394"/>
      <c r="N2315" s="394"/>
      <c r="O2315" s="394"/>
      <c r="P2315" s="394"/>
      <c r="Q2315" s="394"/>
      <c r="R2315" s="381"/>
      <c r="S2315" s="408"/>
      <c r="T2315" s="385"/>
      <c r="U2315" s="475"/>
      <c r="V2315" s="395"/>
      <c r="W2315" s="395"/>
      <c r="X2315" s="393"/>
      <c r="Y2315" s="523">
        <v>1</v>
      </c>
      <c r="Z2315" s="497"/>
      <c r="AA2315" s="573">
        <v>15.38007</v>
      </c>
      <c r="AB2315" s="394">
        <v>13.198169999999999</v>
      </c>
      <c r="AC2315" s="394">
        <v>12.2994</v>
      </c>
      <c r="AD2315" s="394"/>
      <c r="AE2315" s="394"/>
      <c r="AF2315" s="394">
        <v>0</v>
      </c>
      <c r="AG2315" s="394">
        <v>0</v>
      </c>
      <c r="AH2315" s="394">
        <v>0.50866</v>
      </c>
      <c r="AI2315" s="394">
        <v>12.2994</v>
      </c>
      <c r="AJ2315" s="394"/>
      <c r="AK2315" s="381" t="s">
        <v>167</v>
      </c>
      <c r="AL2315" s="408" t="s">
        <v>175</v>
      </c>
      <c r="AM2315" s="385"/>
      <c r="AN2315" s="475">
        <v>1102</v>
      </c>
      <c r="AO2315" s="395"/>
      <c r="AP2315" s="395">
        <f t="shared" si="1043"/>
        <v>15.38007</v>
      </c>
      <c r="AQ2315" s="393"/>
      <c r="AR2315" s="523"/>
      <c r="AS2315" s="497"/>
      <c r="AT2315" s="573"/>
      <c r="AU2315" s="394"/>
      <c r="AV2315" s="394"/>
      <c r="AW2315" s="394"/>
      <c r="AX2315" s="394"/>
      <c r="AY2315" s="394"/>
      <c r="AZ2315" s="394"/>
      <c r="BA2315" s="394"/>
      <c r="BB2315" s="394"/>
      <c r="BC2315" s="394"/>
      <c r="BD2315" s="381"/>
      <c r="BE2315" s="408"/>
      <c r="BF2315" s="385"/>
      <c r="BG2315" s="475"/>
      <c r="BH2315" s="395"/>
      <c r="BI2315" s="395" t="e">
        <f t="shared" si="1042"/>
        <v>#DIV/0!</v>
      </c>
    </row>
    <row r="2316" spans="1:61" s="358" customFormat="1" ht="19.2" x14ac:dyDescent="0.3">
      <c r="A2316" s="359" t="s">
        <v>1957</v>
      </c>
      <c r="B2316" s="572" t="s">
        <v>4011</v>
      </c>
      <c r="C2316" s="546" t="s">
        <v>3126</v>
      </c>
      <c r="D2316" s="360">
        <v>0.4</v>
      </c>
      <c r="E2316" s="393"/>
      <c r="F2316" s="523"/>
      <c r="G2316" s="393"/>
      <c r="H2316" s="573"/>
      <c r="I2316" s="394"/>
      <c r="J2316" s="394"/>
      <c r="K2316" s="394"/>
      <c r="L2316" s="394"/>
      <c r="M2316" s="394"/>
      <c r="N2316" s="394"/>
      <c r="O2316" s="394"/>
      <c r="P2316" s="394"/>
      <c r="Q2316" s="394"/>
      <c r="R2316" s="381"/>
      <c r="S2316" s="408"/>
      <c r="T2316" s="385"/>
      <c r="U2316" s="475"/>
      <c r="V2316" s="395"/>
      <c r="W2316" s="395"/>
      <c r="X2316" s="393"/>
      <c r="Y2316" s="523">
        <v>1</v>
      </c>
      <c r="Z2316" s="497"/>
      <c r="AA2316" s="573">
        <v>15.38007</v>
      </c>
      <c r="AB2316" s="394">
        <v>13.198169999999999</v>
      </c>
      <c r="AC2316" s="394">
        <v>12.2994</v>
      </c>
      <c r="AD2316" s="394"/>
      <c r="AE2316" s="394"/>
      <c r="AF2316" s="394">
        <v>0</v>
      </c>
      <c r="AG2316" s="394">
        <v>0</v>
      </c>
      <c r="AH2316" s="394">
        <v>0.50866</v>
      </c>
      <c r="AI2316" s="394">
        <v>12.2994</v>
      </c>
      <c r="AJ2316" s="394"/>
      <c r="AK2316" s="381" t="s">
        <v>167</v>
      </c>
      <c r="AL2316" s="408" t="s">
        <v>175</v>
      </c>
      <c r="AM2316" s="385"/>
      <c r="AN2316" s="475">
        <v>1103</v>
      </c>
      <c r="AO2316" s="395"/>
      <c r="AP2316" s="395">
        <f t="shared" si="1043"/>
        <v>15.38007</v>
      </c>
      <c r="AQ2316" s="393"/>
      <c r="AR2316" s="523"/>
      <c r="AS2316" s="497"/>
      <c r="AT2316" s="573"/>
      <c r="AU2316" s="394"/>
      <c r="AV2316" s="394"/>
      <c r="AW2316" s="394"/>
      <c r="AX2316" s="394"/>
      <c r="AY2316" s="394"/>
      <c r="AZ2316" s="394"/>
      <c r="BA2316" s="394"/>
      <c r="BB2316" s="394"/>
      <c r="BC2316" s="394"/>
      <c r="BD2316" s="381"/>
      <c r="BE2316" s="408"/>
      <c r="BF2316" s="385"/>
      <c r="BG2316" s="475"/>
      <c r="BH2316" s="395"/>
      <c r="BI2316" s="395" t="e">
        <f t="shared" si="1042"/>
        <v>#DIV/0!</v>
      </c>
    </row>
    <row r="2317" spans="1:61" s="358" customFormat="1" ht="19.2" x14ac:dyDescent="0.3">
      <c r="A2317" s="359" t="s">
        <v>1958</v>
      </c>
      <c r="B2317" s="572" t="s">
        <v>4012</v>
      </c>
      <c r="C2317" s="546" t="s">
        <v>3127</v>
      </c>
      <c r="D2317" s="360">
        <v>0.4</v>
      </c>
      <c r="E2317" s="393"/>
      <c r="F2317" s="523"/>
      <c r="G2317" s="393"/>
      <c r="H2317" s="573"/>
      <c r="I2317" s="394"/>
      <c r="J2317" s="394"/>
      <c r="K2317" s="394"/>
      <c r="L2317" s="394"/>
      <c r="M2317" s="394"/>
      <c r="N2317" s="394"/>
      <c r="O2317" s="394"/>
      <c r="P2317" s="394"/>
      <c r="Q2317" s="394"/>
      <c r="R2317" s="381"/>
      <c r="S2317" s="408"/>
      <c r="T2317" s="385"/>
      <c r="U2317" s="475"/>
      <c r="V2317" s="395"/>
      <c r="W2317" s="395"/>
      <c r="X2317" s="393"/>
      <c r="Y2317" s="523">
        <v>1</v>
      </c>
      <c r="Z2317" s="497"/>
      <c r="AA2317" s="573">
        <v>15.38007</v>
      </c>
      <c r="AB2317" s="394">
        <v>13.198169999999999</v>
      </c>
      <c r="AC2317" s="394">
        <v>12.2994</v>
      </c>
      <c r="AD2317" s="394"/>
      <c r="AE2317" s="394"/>
      <c r="AF2317" s="394">
        <v>0</v>
      </c>
      <c r="AG2317" s="394">
        <v>0</v>
      </c>
      <c r="AH2317" s="394">
        <v>0.50866</v>
      </c>
      <c r="AI2317" s="394">
        <v>12.2994</v>
      </c>
      <c r="AJ2317" s="394"/>
      <c r="AK2317" s="381" t="s">
        <v>167</v>
      </c>
      <c r="AL2317" s="408" t="s">
        <v>175</v>
      </c>
      <c r="AM2317" s="385"/>
      <c r="AN2317" s="475">
        <v>1104</v>
      </c>
      <c r="AO2317" s="395"/>
      <c r="AP2317" s="395">
        <f t="shared" si="1043"/>
        <v>15.38007</v>
      </c>
      <c r="AQ2317" s="393"/>
      <c r="AR2317" s="523"/>
      <c r="AS2317" s="497"/>
      <c r="AT2317" s="573"/>
      <c r="AU2317" s="394"/>
      <c r="AV2317" s="394"/>
      <c r="AW2317" s="394"/>
      <c r="AX2317" s="394"/>
      <c r="AY2317" s="394"/>
      <c r="AZ2317" s="394"/>
      <c r="BA2317" s="394"/>
      <c r="BB2317" s="394"/>
      <c r="BC2317" s="394"/>
      <c r="BD2317" s="381"/>
      <c r="BE2317" s="408"/>
      <c r="BF2317" s="385"/>
      <c r="BG2317" s="475"/>
      <c r="BH2317" s="395"/>
      <c r="BI2317" s="395" t="e">
        <f t="shared" si="1042"/>
        <v>#DIV/0!</v>
      </c>
    </row>
    <row r="2318" spans="1:61" s="358" customFormat="1" ht="19.2" x14ac:dyDescent="0.3">
      <c r="A2318" s="359" t="s">
        <v>1959</v>
      </c>
      <c r="B2318" s="572" t="s">
        <v>4013</v>
      </c>
      <c r="C2318" s="546" t="s">
        <v>3128</v>
      </c>
      <c r="D2318" s="360">
        <v>0.4</v>
      </c>
      <c r="E2318" s="393"/>
      <c r="F2318" s="523"/>
      <c r="G2318" s="393"/>
      <c r="H2318" s="573"/>
      <c r="I2318" s="394"/>
      <c r="J2318" s="394"/>
      <c r="K2318" s="394"/>
      <c r="L2318" s="394"/>
      <c r="M2318" s="394"/>
      <c r="N2318" s="394"/>
      <c r="O2318" s="394"/>
      <c r="P2318" s="394"/>
      <c r="Q2318" s="394"/>
      <c r="R2318" s="381"/>
      <c r="S2318" s="408"/>
      <c r="T2318" s="385"/>
      <c r="U2318" s="475"/>
      <c r="V2318" s="395"/>
      <c r="W2318" s="395"/>
      <c r="X2318" s="393"/>
      <c r="Y2318" s="523">
        <v>1</v>
      </c>
      <c r="Z2318" s="497"/>
      <c r="AA2318" s="573">
        <v>15.38007</v>
      </c>
      <c r="AB2318" s="394">
        <v>13.198169999999999</v>
      </c>
      <c r="AC2318" s="394">
        <v>12.2994</v>
      </c>
      <c r="AD2318" s="394"/>
      <c r="AE2318" s="394"/>
      <c r="AF2318" s="394">
        <v>0</v>
      </c>
      <c r="AG2318" s="394">
        <v>0</v>
      </c>
      <c r="AH2318" s="394">
        <v>0.50866</v>
      </c>
      <c r="AI2318" s="394">
        <v>12.2994</v>
      </c>
      <c r="AJ2318" s="394"/>
      <c r="AK2318" s="381" t="s">
        <v>167</v>
      </c>
      <c r="AL2318" s="408" t="s">
        <v>175</v>
      </c>
      <c r="AM2318" s="385"/>
      <c r="AN2318" s="475">
        <v>1105</v>
      </c>
      <c r="AO2318" s="395"/>
      <c r="AP2318" s="395">
        <f t="shared" si="1043"/>
        <v>15.38007</v>
      </c>
      <c r="AQ2318" s="393"/>
      <c r="AR2318" s="523"/>
      <c r="AS2318" s="497"/>
      <c r="AT2318" s="573"/>
      <c r="AU2318" s="394"/>
      <c r="AV2318" s="394"/>
      <c r="AW2318" s="394"/>
      <c r="AX2318" s="394"/>
      <c r="AY2318" s="394"/>
      <c r="AZ2318" s="394"/>
      <c r="BA2318" s="394"/>
      <c r="BB2318" s="394"/>
      <c r="BC2318" s="394"/>
      <c r="BD2318" s="381"/>
      <c r="BE2318" s="408"/>
      <c r="BF2318" s="385"/>
      <c r="BG2318" s="475"/>
      <c r="BH2318" s="395"/>
      <c r="BI2318" s="395" t="e">
        <f t="shared" si="1042"/>
        <v>#DIV/0!</v>
      </c>
    </row>
    <row r="2319" spans="1:61" s="358" customFormat="1" ht="19.2" x14ac:dyDescent="0.3">
      <c r="A2319" s="359" t="s">
        <v>1976</v>
      </c>
      <c r="B2319" s="572" t="s">
        <v>4014</v>
      </c>
      <c r="C2319" s="546" t="s">
        <v>3129</v>
      </c>
      <c r="D2319" s="360">
        <v>0.4</v>
      </c>
      <c r="E2319" s="393"/>
      <c r="F2319" s="523"/>
      <c r="G2319" s="393"/>
      <c r="H2319" s="573"/>
      <c r="I2319" s="394"/>
      <c r="J2319" s="394"/>
      <c r="K2319" s="394"/>
      <c r="L2319" s="394"/>
      <c r="M2319" s="394"/>
      <c r="N2319" s="394"/>
      <c r="O2319" s="394"/>
      <c r="P2319" s="394"/>
      <c r="Q2319" s="394"/>
      <c r="R2319" s="381"/>
      <c r="S2319" s="408"/>
      <c r="T2319" s="385"/>
      <c r="U2319" s="475"/>
      <c r="V2319" s="395"/>
      <c r="W2319" s="395"/>
      <c r="X2319" s="393"/>
      <c r="Y2319" s="523">
        <v>1</v>
      </c>
      <c r="Z2319" s="497"/>
      <c r="AA2319" s="573">
        <v>16.46191</v>
      </c>
      <c r="AB2319" s="394">
        <v>14.280010000000001</v>
      </c>
      <c r="AC2319" s="394">
        <v>13.32917</v>
      </c>
      <c r="AD2319" s="394"/>
      <c r="AE2319" s="394"/>
      <c r="AF2319" s="394">
        <v>0</v>
      </c>
      <c r="AG2319" s="394">
        <v>0</v>
      </c>
      <c r="AH2319" s="394">
        <v>0.50866</v>
      </c>
      <c r="AI2319" s="394">
        <v>13.32917</v>
      </c>
      <c r="AJ2319" s="394"/>
      <c r="AK2319" s="381" t="s">
        <v>167</v>
      </c>
      <c r="AL2319" s="408" t="s">
        <v>175</v>
      </c>
      <c r="AM2319" s="385"/>
      <c r="AN2319" s="475">
        <v>1106</v>
      </c>
      <c r="AO2319" s="395"/>
      <c r="AP2319" s="395">
        <f t="shared" si="1043"/>
        <v>16.46191</v>
      </c>
      <c r="AQ2319" s="393"/>
      <c r="AR2319" s="523"/>
      <c r="AS2319" s="497"/>
      <c r="AT2319" s="573"/>
      <c r="AU2319" s="394"/>
      <c r="AV2319" s="394"/>
      <c r="AW2319" s="394"/>
      <c r="AX2319" s="394"/>
      <c r="AY2319" s="394"/>
      <c r="AZ2319" s="394"/>
      <c r="BA2319" s="394"/>
      <c r="BB2319" s="394"/>
      <c r="BC2319" s="394"/>
      <c r="BD2319" s="381"/>
      <c r="BE2319" s="408"/>
      <c r="BF2319" s="385"/>
      <c r="BG2319" s="475"/>
      <c r="BH2319" s="395"/>
      <c r="BI2319" s="395" t="e">
        <f t="shared" si="1042"/>
        <v>#DIV/0!</v>
      </c>
    </row>
    <row r="2320" spans="1:61" s="358" customFormat="1" ht="19.2" x14ac:dyDescent="0.3">
      <c r="A2320" s="359" t="s">
        <v>1961</v>
      </c>
      <c r="B2320" s="572" t="s">
        <v>315</v>
      </c>
      <c r="C2320" s="546" t="s">
        <v>2381</v>
      </c>
      <c r="D2320" s="360">
        <v>0.4</v>
      </c>
      <c r="E2320" s="393"/>
      <c r="F2320" s="523"/>
      <c r="G2320" s="393"/>
      <c r="H2320" s="573"/>
      <c r="I2320" s="394"/>
      <c r="J2320" s="394"/>
      <c r="K2320" s="394"/>
      <c r="L2320" s="394"/>
      <c r="M2320" s="394"/>
      <c r="N2320" s="394"/>
      <c r="O2320" s="394"/>
      <c r="P2320" s="394"/>
      <c r="Q2320" s="394"/>
      <c r="R2320" s="381"/>
      <c r="S2320" s="408"/>
      <c r="T2320" s="385"/>
      <c r="U2320" s="475"/>
      <c r="V2320" s="395"/>
      <c r="W2320" s="395"/>
      <c r="X2320" s="393"/>
      <c r="Y2320" s="523">
        <v>1</v>
      </c>
      <c r="Z2320" s="497"/>
      <c r="AA2320" s="573">
        <v>16.46189</v>
      </c>
      <c r="AB2320" s="394">
        <v>14.27999</v>
      </c>
      <c r="AC2320" s="394">
        <v>13.32917</v>
      </c>
      <c r="AD2320" s="394"/>
      <c r="AE2320" s="394"/>
      <c r="AF2320" s="394">
        <v>0</v>
      </c>
      <c r="AG2320" s="394">
        <v>0</v>
      </c>
      <c r="AH2320" s="394">
        <v>0.50866</v>
      </c>
      <c r="AI2320" s="394">
        <v>13.32917</v>
      </c>
      <c r="AJ2320" s="394"/>
      <c r="AK2320" s="381" t="s">
        <v>167</v>
      </c>
      <c r="AL2320" s="408" t="s">
        <v>175</v>
      </c>
      <c r="AM2320" s="385"/>
      <c r="AN2320" s="475">
        <v>1107</v>
      </c>
      <c r="AO2320" s="395"/>
      <c r="AP2320" s="395">
        <f t="shared" si="1043"/>
        <v>16.46189</v>
      </c>
      <c r="AQ2320" s="393"/>
      <c r="AR2320" s="523"/>
      <c r="AS2320" s="497"/>
      <c r="AT2320" s="573"/>
      <c r="AU2320" s="394"/>
      <c r="AV2320" s="394"/>
      <c r="AW2320" s="394"/>
      <c r="AX2320" s="394"/>
      <c r="AY2320" s="394"/>
      <c r="AZ2320" s="394"/>
      <c r="BA2320" s="394"/>
      <c r="BB2320" s="394"/>
      <c r="BC2320" s="394"/>
      <c r="BD2320" s="381"/>
      <c r="BE2320" s="408"/>
      <c r="BF2320" s="385"/>
      <c r="BG2320" s="475"/>
      <c r="BH2320" s="395"/>
      <c r="BI2320" s="395" t="e">
        <f t="shared" si="1042"/>
        <v>#DIV/0!</v>
      </c>
    </row>
    <row r="2321" spans="1:61" s="358" customFormat="1" ht="19.2" x14ac:dyDescent="0.3">
      <c r="A2321" s="359" t="s">
        <v>1962</v>
      </c>
      <c r="B2321" s="572" t="s">
        <v>4015</v>
      </c>
      <c r="C2321" s="546" t="s">
        <v>3130</v>
      </c>
      <c r="D2321" s="360">
        <v>0.4</v>
      </c>
      <c r="E2321" s="393"/>
      <c r="F2321" s="523"/>
      <c r="G2321" s="393"/>
      <c r="H2321" s="573"/>
      <c r="I2321" s="394"/>
      <c r="J2321" s="394"/>
      <c r="K2321" s="394"/>
      <c r="L2321" s="394"/>
      <c r="M2321" s="394"/>
      <c r="N2321" s="394"/>
      <c r="O2321" s="394"/>
      <c r="P2321" s="394"/>
      <c r="Q2321" s="394"/>
      <c r="R2321" s="381"/>
      <c r="S2321" s="408"/>
      <c r="T2321" s="385"/>
      <c r="U2321" s="475"/>
      <c r="V2321" s="395"/>
      <c r="W2321" s="395"/>
      <c r="X2321" s="393"/>
      <c r="Y2321" s="523">
        <v>1</v>
      </c>
      <c r="Z2321" s="497"/>
      <c r="AA2321" s="573">
        <v>17.747599999999998</v>
      </c>
      <c r="AB2321" s="394">
        <v>14.94309</v>
      </c>
      <c r="AC2321" s="394">
        <v>13.33868</v>
      </c>
      <c r="AD2321" s="394"/>
      <c r="AE2321" s="394"/>
      <c r="AF2321" s="394">
        <v>0</v>
      </c>
      <c r="AG2321" s="394">
        <v>0</v>
      </c>
      <c r="AH2321" s="394">
        <v>0.65381</v>
      </c>
      <c r="AI2321" s="394">
        <v>13.33868</v>
      </c>
      <c r="AJ2321" s="394"/>
      <c r="AK2321" s="381" t="s">
        <v>167</v>
      </c>
      <c r="AL2321" s="408" t="s">
        <v>175</v>
      </c>
      <c r="AM2321" s="385"/>
      <c r="AN2321" s="475">
        <v>1108</v>
      </c>
      <c r="AO2321" s="395"/>
      <c r="AP2321" s="395">
        <f t="shared" si="1043"/>
        <v>17.747599999999998</v>
      </c>
      <c r="AQ2321" s="393"/>
      <c r="AR2321" s="523"/>
      <c r="AS2321" s="497"/>
      <c r="AT2321" s="573"/>
      <c r="AU2321" s="394"/>
      <c r="AV2321" s="394"/>
      <c r="AW2321" s="394"/>
      <c r="AX2321" s="394"/>
      <c r="AY2321" s="394"/>
      <c r="AZ2321" s="394"/>
      <c r="BA2321" s="394"/>
      <c r="BB2321" s="394"/>
      <c r="BC2321" s="394"/>
      <c r="BD2321" s="381"/>
      <c r="BE2321" s="408"/>
      <c r="BF2321" s="385"/>
      <c r="BG2321" s="475"/>
      <c r="BH2321" s="395"/>
      <c r="BI2321" s="395" t="e">
        <f t="shared" si="1042"/>
        <v>#DIV/0!</v>
      </c>
    </row>
    <row r="2322" spans="1:61" s="358" customFormat="1" ht="19.2" x14ac:dyDescent="0.3">
      <c r="A2322" s="359" t="s">
        <v>1945</v>
      </c>
      <c r="B2322" s="572" t="s">
        <v>1680</v>
      </c>
      <c r="C2322" s="546" t="s">
        <v>3131</v>
      </c>
      <c r="D2322" s="360">
        <v>0.4</v>
      </c>
      <c r="E2322" s="393"/>
      <c r="F2322" s="523"/>
      <c r="G2322" s="393"/>
      <c r="H2322" s="573"/>
      <c r="I2322" s="394"/>
      <c r="J2322" s="394"/>
      <c r="K2322" s="394"/>
      <c r="L2322" s="394"/>
      <c r="M2322" s="394"/>
      <c r="N2322" s="394"/>
      <c r="O2322" s="394"/>
      <c r="P2322" s="394"/>
      <c r="Q2322" s="394"/>
      <c r="R2322" s="381"/>
      <c r="S2322" s="408"/>
      <c r="T2322" s="385"/>
      <c r="U2322" s="475"/>
      <c r="V2322" s="395"/>
      <c r="W2322" s="395"/>
      <c r="X2322" s="393"/>
      <c r="Y2322" s="523">
        <v>1</v>
      </c>
      <c r="Z2322" s="497"/>
      <c r="AA2322" s="573">
        <v>16.461880000000001</v>
      </c>
      <c r="AB2322" s="394">
        <v>14.27998</v>
      </c>
      <c r="AC2322" s="394">
        <v>13.32917</v>
      </c>
      <c r="AD2322" s="394"/>
      <c r="AE2322" s="394"/>
      <c r="AF2322" s="394">
        <v>0</v>
      </c>
      <c r="AG2322" s="394">
        <v>0</v>
      </c>
      <c r="AH2322" s="394">
        <v>0.50866</v>
      </c>
      <c r="AI2322" s="394">
        <v>13.32917</v>
      </c>
      <c r="AJ2322" s="394"/>
      <c r="AK2322" s="381" t="s">
        <v>167</v>
      </c>
      <c r="AL2322" s="408" t="s">
        <v>175</v>
      </c>
      <c r="AM2322" s="385"/>
      <c r="AN2322" s="475">
        <v>1109</v>
      </c>
      <c r="AO2322" s="395"/>
      <c r="AP2322" s="395">
        <f t="shared" si="1043"/>
        <v>16.461880000000001</v>
      </c>
      <c r="AQ2322" s="393"/>
      <c r="AR2322" s="523"/>
      <c r="AS2322" s="497"/>
      <c r="AT2322" s="573"/>
      <c r="AU2322" s="394"/>
      <c r="AV2322" s="394"/>
      <c r="AW2322" s="394"/>
      <c r="AX2322" s="394"/>
      <c r="AY2322" s="394"/>
      <c r="AZ2322" s="394"/>
      <c r="BA2322" s="394"/>
      <c r="BB2322" s="394"/>
      <c r="BC2322" s="394"/>
      <c r="BD2322" s="381"/>
      <c r="BE2322" s="408"/>
      <c r="BF2322" s="385"/>
      <c r="BG2322" s="475"/>
      <c r="BH2322" s="395"/>
      <c r="BI2322" s="395" t="e">
        <f t="shared" si="1042"/>
        <v>#DIV/0!</v>
      </c>
    </row>
    <row r="2323" spans="1:61" s="358" customFormat="1" ht="19.2" x14ac:dyDescent="0.3">
      <c r="A2323" s="359" t="s">
        <v>1964</v>
      </c>
      <c r="B2323" s="572" t="s">
        <v>4016</v>
      </c>
      <c r="C2323" s="546" t="s">
        <v>3132</v>
      </c>
      <c r="D2323" s="360">
        <v>0.4</v>
      </c>
      <c r="E2323" s="393"/>
      <c r="F2323" s="523"/>
      <c r="G2323" s="393"/>
      <c r="H2323" s="573"/>
      <c r="I2323" s="394"/>
      <c r="J2323" s="394"/>
      <c r="K2323" s="394"/>
      <c r="L2323" s="394"/>
      <c r="M2323" s="394"/>
      <c r="N2323" s="394"/>
      <c r="O2323" s="394"/>
      <c r="P2323" s="394"/>
      <c r="Q2323" s="394"/>
      <c r="R2323" s="381"/>
      <c r="S2323" s="408"/>
      <c r="T2323" s="385"/>
      <c r="U2323" s="475"/>
      <c r="V2323" s="395"/>
      <c r="W2323" s="395"/>
      <c r="X2323" s="393"/>
      <c r="Y2323" s="523">
        <v>1</v>
      </c>
      <c r="Z2323" s="497"/>
      <c r="AA2323" s="573">
        <v>16.46191</v>
      </c>
      <c r="AB2323" s="394">
        <v>14.280010000000001</v>
      </c>
      <c r="AC2323" s="394">
        <v>13.32917</v>
      </c>
      <c r="AD2323" s="394"/>
      <c r="AE2323" s="394"/>
      <c r="AF2323" s="394">
        <v>0</v>
      </c>
      <c r="AG2323" s="394">
        <v>0</v>
      </c>
      <c r="AH2323" s="394">
        <v>0.50866</v>
      </c>
      <c r="AI2323" s="394">
        <v>13.32917</v>
      </c>
      <c r="AJ2323" s="394"/>
      <c r="AK2323" s="381" t="s">
        <v>167</v>
      </c>
      <c r="AL2323" s="408" t="s">
        <v>175</v>
      </c>
      <c r="AM2323" s="385"/>
      <c r="AN2323" s="475">
        <v>1110</v>
      </c>
      <c r="AO2323" s="395"/>
      <c r="AP2323" s="395">
        <f t="shared" si="1043"/>
        <v>16.46191</v>
      </c>
      <c r="AQ2323" s="393"/>
      <c r="AR2323" s="523"/>
      <c r="AS2323" s="497"/>
      <c r="AT2323" s="573"/>
      <c r="AU2323" s="394"/>
      <c r="AV2323" s="394"/>
      <c r="AW2323" s="394"/>
      <c r="AX2323" s="394"/>
      <c r="AY2323" s="394"/>
      <c r="AZ2323" s="394"/>
      <c r="BA2323" s="394"/>
      <c r="BB2323" s="394"/>
      <c r="BC2323" s="394"/>
      <c r="BD2323" s="381"/>
      <c r="BE2323" s="408"/>
      <c r="BF2323" s="385"/>
      <c r="BG2323" s="475"/>
      <c r="BH2323" s="395"/>
      <c r="BI2323" s="395" t="e">
        <f t="shared" si="1042"/>
        <v>#DIV/0!</v>
      </c>
    </row>
    <row r="2324" spans="1:61" s="358" customFormat="1" ht="19.2" x14ac:dyDescent="0.3">
      <c r="A2324" s="359" t="s">
        <v>1965</v>
      </c>
      <c r="B2324" s="572" t="s">
        <v>4017</v>
      </c>
      <c r="C2324" s="546" t="s">
        <v>3133</v>
      </c>
      <c r="D2324" s="360">
        <v>0.4</v>
      </c>
      <c r="E2324" s="393"/>
      <c r="F2324" s="523"/>
      <c r="G2324" s="393"/>
      <c r="H2324" s="573"/>
      <c r="I2324" s="394"/>
      <c r="J2324" s="394"/>
      <c r="K2324" s="394"/>
      <c r="L2324" s="394"/>
      <c r="M2324" s="394"/>
      <c r="N2324" s="394"/>
      <c r="O2324" s="394"/>
      <c r="P2324" s="394"/>
      <c r="Q2324" s="394"/>
      <c r="R2324" s="381"/>
      <c r="S2324" s="408"/>
      <c r="T2324" s="385"/>
      <c r="U2324" s="475"/>
      <c r="V2324" s="395"/>
      <c r="W2324" s="395"/>
      <c r="X2324" s="393"/>
      <c r="Y2324" s="523">
        <v>1</v>
      </c>
      <c r="Z2324" s="497"/>
      <c r="AA2324" s="573">
        <v>17.747620000000001</v>
      </c>
      <c r="AB2324" s="394">
        <v>14.943110000000001</v>
      </c>
      <c r="AC2324" s="394">
        <v>13.33868</v>
      </c>
      <c r="AD2324" s="394"/>
      <c r="AE2324" s="394"/>
      <c r="AF2324" s="394">
        <v>0</v>
      </c>
      <c r="AG2324" s="394">
        <v>0</v>
      </c>
      <c r="AH2324" s="394">
        <v>0.65381</v>
      </c>
      <c r="AI2324" s="394">
        <v>13.33868</v>
      </c>
      <c r="AJ2324" s="394"/>
      <c r="AK2324" s="381" t="s">
        <v>167</v>
      </c>
      <c r="AL2324" s="408" t="s">
        <v>175</v>
      </c>
      <c r="AM2324" s="385"/>
      <c r="AN2324" s="475">
        <v>1111</v>
      </c>
      <c r="AO2324" s="395"/>
      <c r="AP2324" s="395">
        <f t="shared" si="1043"/>
        <v>17.747620000000001</v>
      </c>
      <c r="AQ2324" s="393"/>
      <c r="AR2324" s="523"/>
      <c r="AS2324" s="497"/>
      <c r="AT2324" s="573"/>
      <c r="AU2324" s="394"/>
      <c r="AV2324" s="394"/>
      <c r="AW2324" s="394"/>
      <c r="AX2324" s="394"/>
      <c r="AY2324" s="394"/>
      <c r="AZ2324" s="394"/>
      <c r="BA2324" s="394"/>
      <c r="BB2324" s="394"/>
      <c r="BC2324" s="394"/>
      <c r="BD2324" s="381"/>
      <c r="BE2324" s="408"/>
      <c r="BF2324" s="385"/>
      <c r="BG2324" s="475"/>
      <c r="BH2324" s="395"/>
      <c r="BI2324" s="395" t="e">
        <f t="shared" si="1042"/>
        <v>#DIV/0!</v>
      </c>
    </row>
    <row r="2325" spans="1:61" s="358" customFormat="1" ht="19.2" x14ac:dyDescent="0.3">
      <c r="A2325" s="359" t="s">
        <v>1966</v>
      </c>
      <c r="B2325" s="572" t="s">
        <v>4018</v>
      </c>
      <c r="C2325" s="546" t="s">
        <v>3134</v>
      </c>
      <c r="D2325" s="360">
        <v>0.4</v>
      </c>
      <c r="E2325" s="393"/>
      <c r="F2325" s="523"/>
      <c r="G2325" s="393"/>
      <c r="H2325" s="573"/>
      <c r="I2325" s="394"/>
      <c r="J2325" s="394"/>
      <c r="K2325" s="394"/>
      <c r="L2325" s="394"/>
      <c r="M2325" s="394"/>
      <c r="N2325" s="394"/>
      <c r="O2325" s="394"/>
      <c r="P2325" s="394"/>
      <c r="Q2325" s="394"/>
      <c r="R2325" s="381"/>
      <c r="S2325" s="408"/>
      <c r="T2325" s="385"/>
      <c r="U2325" s="475"/>
      <c r="V2325" s="395"/>
      <c r="W2325" s="395"/>
      <c r="X2325" s="393"/>
      <c r="Y2325" s="523">
        <v>1</v>
      </c>
      <c r="Z2325" s="497"/>
      <c r="AA2325" s="573">
        <v>16.46189</v>
      </c>
      <c r="AB2325" s="394">
        <v>14.27999</v>
      </c>
      <c r="AC2325" s="394">
        <v>13.32917</v>
      </c>
      <c r="AD2325" s="394"/>
      <c r="AE2325" s="394"/>
      <c r="AF2325" s="394">
        <v>0</v>
      </c>
      <c r="AG2325" s="394">
        <v>0</v>
      </c>
      <c r="AH2325" s="394">
        <v>0.50866</v>
      </c>
      <c r="AI2325" s="394">
        <v>13.32917</v>
      </c>
      <c r="AJ2325" s="394"/>
      <c r="AK2325" s="381" t="s">
        <v>167</v>
      </c>
      <c r="AL2325" s="408" t="s">
        <v>175</v>
      </c>
      <c r="AM2325" s="385"/>
      <c r="AN2325" s="475">
        <v>1112</v>
      </c>
      <c r="AO2325" s="395"/>
      <c r="AP2325" s="395">
        <f t="shared" si="1043"/>
        <v>16.46189</v>
      </c>
      <c r="AQ2325" s="393"/>
      <c r="AR2325" s="523"/>
      <c r="AS2325" s="497"/>
      <c r="AT2325" s="573"/>
      <c r="AU2325" s="394"/>
      <c r="AV2325" s="394"/>
      <c r="AW2325" s="394"/>
      <c r="AX2325" s="394"/>
      <c r="AY2325" s="394"/>
      <c r="AZ2325" s="394"/>
      <c r="BA2325" s="394"/>
      <c r="BB2325" s="394"/>
      <c r="BC2325" s="394"/>
      <c r="BD2325" s="381"/>
      <c r="BE2325" s="408"/>
      <c r="BF2325" s="385"/>
      <c r="BG2325" s="475"/>
      <c r="BH2325" s="395"/>
      <c r="BI2325" s="395" t="e">
        <f t="shared" si="1042"/>
        <v>#DIV/0!</v>
      </c>
    </row>
    <row r="2326" spans="1:61" s="358" customFormat="1" ht="19.2" x14ac:dyDescent="0.3">
      <c r="A2326" s="359" t="s">
        <v>1967</v>
      </c>
      <c r="B2326" s="572" t="s">
        <v>4019</v>
      </c>
      <c r="C2326" s="546" t="s">
        <v>3135</v>
      </c>
      <c r="D2326" s="360">
        <v>0.4</v>
      </c>
      <c r="E2326" s="393"/>
      <c r="F2326" s="523"/>
      <c r="G2326" s="393"/>
      <c r="H2326" s="573"/>
      <c r="I2326" s="394"/>
      <c r="J2326" s="394"/>
      <c r="K2326" s="394"/>
      <c r="L2326" s="394"/>
      <c r="M2326" s="394"/>
      <c r="N2326" s="394"/>
      <c r="O2326" s="394"/>
      <c r="P2326" s="394"/>
      <c r="Q2326" s="394"/>
      <c r="R2326" s="381"/>
      <c r="S2326" s="408"/>
      <c r="T2326" s="385"/>
      <c r="U2326" s="475"/>
      <c r="V2326" s="395"/>
      <c r="W2326" s="395"/>
      <c r="X2326" s="393"/>
      <c r="Y2326" s="523">
        <v>1</v>
      </c>
      <c r="Z2326" s="497"/>
      <c r="AA2326" s="573">
        <v>17.747589999999999</v>
      </c>
      <c r="AB2326" s="394">
        <v>14.94309</v>
      </c>
      <c r="AC2326" s="394">
        <v>13.33868</v>
      </c>
      <c r="AD2326" s="394"/>
      <c r="AE2326" s="394"/>
      <c r="AF2326" s="394">
        <v>0</v>
      </c>
      <c r="AG2326" s="394">
        <v>0</v>
      </c>
      <c r="AH2326" s="394">
        <v>0.65381</v>
      </c>
      <c r="AI2326" s="394">
        <v>13.33868</v>
      </c>
      <c r="AJ2326" s="394"/>
      <c r="AK2326" s="381" t="s">
        <v>167</v>
      </c>
      <c r="AL2326" s="408" t="s">
        <v>175</v>
      </c>
      <c r="AM2326" s="385"/>
      <c r="AN2326" s="475">
        <v>1113</v>
      </c>
      <c r="AO2326" s="395"/>
      <c r="AP2326" s="395">
        <f t="shared" si="1043"/>
        <v>17.747589999999999</v>
      </c>
      <c r="AQ2326" s="393"/>
      <c r="AR2326" s="523"/>
      <c r="AS2326" s="497"/>
      <c r="AT2326" s="573"/>
      <c r="AU2326" s="394"/>
      <c r="AV2326" s="394"/>
      <c r="AW2326" s="394"/>
      <c r="AX2326" s="394"/>
      <c r="AY2326" s="394"/>
      <c r="AZ2326" s="394"/>
      <c r="BA2326" s="394"/>
      <c r="BB2326" s="394"/>
      <c r="BC2326" s="394"/>
      <c r="BD2326" s="381"/>
      <c r="BE2326" s="408"/>
      <c r="BF2326" s="385"/>
      <c r="BG2326" s="475"/>
      <c r="BH2326" s="395"/>
      <c r="BI2326" s="395" t="e">
        <f t="shared" si="1042"/>
        <v>#DIV/0!</v>
      </c>
    </row>
    <row r="2327" spans="1:61" s="358" customFormat="1" ht="19.2" x14ac:dyDescent="0.3">
      <c r="A2327" s="359" t="s">
        <v>1968</v>
      </c>
      <c r="B2327" s="572" t="s">
        <v>4020</v>
      </c>
      <c r="C2327" s="546" t="s">
        <v>3136</v>
      </c>
      <c r="D2327" s="360">
        <v>0.4</v>
      </c>
      <c r="E2327" s="393"/>
      <c r="F2327" s="523"/>
      <c r="G2327" s="393"/>
      <c r="H2327" s="573"/>
      <c r="I2327" s="394"/>
      <c r="J2327" s="394"/>
      <c r="K2327" s="394"/>
      <c r="L2327" s="394"/>
      <c r="M2327" s="394"/>
      <c r="N2327" s="394"/>
      <c r="O2327" s="394"/>
      <c r="P2327" s="394"/>
      <c r="Q2327" s="394"/>
      <c r="R2327" s="381"/>
      <c r="S2327" s="408"/>
      <c r="T2327" s="385"/>
      <c r="U2327" s="475"/>
      <c r="V2327" s="395"/>
      <c r="W2327" s="395"/>
      <c r="X2327" s="393"/>
      <c r="Y2327" s="523">
        <v>1</v>
      </c>
      <c r="Z2327" s="497"/>
      <c r="AA2327" s="573">
        <v>17.747599999999998</v>
      </c>
      <c r="AB2327" s="394">
        <v>14.943099999999999</v>
      </c>
      <c r="AC2327" s="394">
        <v>13.33868</v>
      </c>
      <c r="AD2327" s="394"/>
      <c r="AE2327" s="394"/>
      <c r="AF2327" s="394">
        <v>0</v>
      </c>
      <c r="AG2327" s="394">
        <v>0</v>
      </c>
      <c r="AH2327" s="394">
        <v>0.65381</v>
      </c>
      <c r="AI2327" s="394">
        <v>13.33868</v>
      </c>
      <c r="AJ2327" s="394"/>
      <c r="AK2327" s="381" t="s">
        <v>167</v>
      </c>
      <c r="AL2327" s="408" t="s">
        <v>175</v>
      </c>
      <c r="AM2327" s="385"/>
      <c r="AN2327" s="475">
        <v>1114</v>
      </c>
      <c r="AO2327" s="395"/>
      <c r="AP2327" s="395">
        <f t="shared" si="1043"/>
        <v>17.747599999999998</v>
      </c>
      <c r="AQ2327" s="393"/>
      <c r="AR2327" s="523"/>
      <c r="AS2327" s="497"/>
      <c r="AT2327" s="573"/>
      <c r="AU2327" s="394"/>
      <c r="AV2327" s="394"/>
      <c r="AW2327" s="394"/>
      <c r="AX2327" s="394"/>
      <c r="AY2327" s="394"/>
      <c r="AZ2327" s="394"/>
      <c r="BA2327" s="394"/>
      <c r="BB2327" s="394"/>
      <c r="BC2327" s="394"/>
      <c r="BD2327" s="381"/>
      <c r="BE2327" s="408"/>
      <c r="BF2327" s="385"/>
      <c r="BG2327" s="475"/>
      <c r="BH2327" s="395"/>
      <c r="BI2327" s="395" t="e">
        <f t="shared" ref="BI2327:BI2390" si="1044">AT2327/AR2327</f>
        <v>#DIV/0!</v>
      </c>
    </row>
    <row r="2328" spans="1:61" s="358" customFormat="1" ht="19.2" x14ac:dyDescent="0.3">
      <c r="A2328" s="359" t="s">
        <v>1969</v>
      </c>
      <c r="B2328" s="572" t="s">
        <v>3594</v>
      </c>
      <c r="C2328" s="546" t="s">
        <v>2316</v>
      </c>
      <c r="D2328" s="360">
        <v>0.4</v>
      </c>
      <c r="E2328" s="393"/>
      <c r="F2328" s="523"/>
      <c r="G2328" s="393"/>
      <c r="H2328" s="573"/>
      <c r="I2328" s="394"/>
      <c r="J2328" s="394"/>
      <c r="K2328" s="394"/>
      <c r="L2328" s="394"/>
      <c r="M2328" s="394"/>
      <c r="N2328" s="394"/>
      <c r="O2328" s="394"/>
      <c r="P2328" s="394"/>
      <c r="Q2328" s="394"/>
      <c r="R2328" s="381"/>
      <c r="S2328" s="408"/>
      <c r="T2328" s="385"/>
      <c r="U2328" s="475"/>
      <c r="V2328" s="395"/>
      <c r="W2328" s="395"/>
      <c r="X2328" s="393"/>
      <c r="Y2328" s="523">
        <v>1</v>
      </c>
      <c r="Z2328" s="497"/>
      <c r="AA2328" s="573">
        <v>17.747620000000001</v>
      </c>
      <c r="AB2328" s="394">
        <v>14.943110000000001</v>
      </c>
      <c r="AC2328" s="394">
        <v>13.33868</v>
      </c>
      <c r="AD2328" s="394"/>
      <c r="AE2328" s="394"/>
      <c r="AF2328" s="394">
        <v>0</v>
      </c>
      <c r="AG2328" s="394">
        <v>0</v>
      </c>
      <c r="AH2328" s="394">
        <v>0.65381</v>
      </c>
      <c r="AI2328" s="394">
        <v>13.33868</v>
      </c>
      <c r="AJ2328" s="394"/>
      <c r="AK2328" s="381" t="s">
        <v>167</v>
      </c>
      <c r="AL2328" s="408" t="s">
        <v>175</v>
      </c>
      <c r="AM2328" s="385"/>
      <c r="AN2328" s="475">
        <v>1115</v>
      </c>
      <c r="AO2328" s="395"/>
      <c r="AP2328" s="395">
        <f t="shared" si="1043"/>
        <v>17.747620000000001</v>
      </c>
      <c r="AQ2328" s="393"/>
      <c r="AR2328" s="523"/>
      <c r="AS2328" s="497"/>
      <c r="AT2328" s="573"/>
      <c r="AU2328" s="394"/>
      <c r="AV2328" s="394"/>
      <c r="AW2328" s="394"/>
      <c r="AX2328" s="394"/>
      <c r="AY2328" s="394"/>
      <c r="AZ2328" s="394"/>
      <c r="BA2328" s="394"/>
      <c r="BB2328" s="394"/>
      <c r="BC2328" s="394"/>
      <c r="BD2328" s="381"/>
      <c r="BE2328" s="408"/>
      <c r="BF2328" s="385"/>
      <c r="BG2328" s="475"/>
      <c r="BH2328" s="395"/>
      <c r="BI2328" s="395" t="e">
        <f t="shared" si="1044"/>
        <v>#DIV/0!</v>
      </c>
    </row>
    <row r="2329" spans="1:61" s="358" customFormat="1" ht="19.2" x14ac:dyDescent="0.3">
      <c r="A2329" s="359" t="s">
        <v>1970</v>
      </c>
      <c r="B2329" s="572" t="s">
        <v>4021</v>
      </c>
      <c r="C2329" s="546" t="s">
        <v>3137</v>
      </c>
      <c r="D2329" s="360">
        <v>0.4</v>
      </c>
      <c r="E2329" s="393"/>
      <c r="F2329" s="523"/>
      <c r="G2329" s="393"/>
      <c r="H2329" s="573"/>
      <c r="I2329" s="394"/>
      <c r="J2329" s="394"/>
      <c r="K2329" s="394"/>
      <c r="L2329" s="394"/>
      <c r="M2329" s="394"/>
      <c r="N2329" s="394"/>
      <c r="O2329" s="394"/>
      <c r="P2329" s="394"/>
      <c r="Q2329" s="394"/>
      <c r="R2329" s="381"/>
      <c r="S2329" s="408"/>
      <c r="T2329" s="385"/>
      <c r="U2329" s="475"/>
      <c r="V2329" s="395"/>
      <c r="W2329" s="395"/>
      <c r="X2329" s="393"/>
      <c r="Y2329" s="523">
        <v>1</v>
      </c>
      <c r="Z2329" s="497"/>
      <c r="AA2329" s="573">
        <v>16.46189</v>
      </c>
      <c r="AB2329" s="394">
        <v>14.27999</v>
      </c>
      <c r="AC2329" s="394">
        <v>13.32917</v>
      </c>
      <c r="AD2329" s="394"/>
      <c r="AE2329" s="394"/>
      <c r="AF2329" s="394">
        <v>0</v>
      </c>
      <c r="AG2329" s="394">
        <v>0</v>
      </c>
      <c r="AH2329" s="394">
        <v>0.50866</v>
      </c>
      <c r="AI2329" s="394">
        <v>13.32917</v>
      </c>
      <c r="AJ2329" s="394"/>
      <c r="AK2329" s="381" t="s">
        <v>167</v>
      </c>
      <c r="AL2329" s="408" t="s">
        <v>175</v>
      </c>
      <c r="AM2329" s="385"/>
      <c r="AN2329" s="475">
        <v>1116</v>
      </c>
      <c r="AO2329" s="395"/>
      <c r="AP2329" s="395">
        <f t="shared" si="1043"/>
        <v>16.46189</v>
      </c>
      <c r="AQ2329" s="393"/>
      <c r="AR2329" s="523"/>
      <c r="AS2329" s="497"/>
      <c r="AT2329" s="573"/>
      <c r="AU2329" s="394"/>
      <c r="AV2329" s="394"/>
      <c r="AW2329" s="394"/>
      <c r="AX2329" s="394"/>
      <c r="AY2329" s="394"/>
      <c r="AZ2329" s="394"/>
      <c r="BA2329" s="394"/>
      <c r="BB2329" s="394"/>
      <c r="BC2329" s="394"/>
      <c r="BD2329" s="381"/>
      <c r="BE2329" s="408"/>
      <c r="BF2329" s="385"/>
      <c r="BG2329" s="475"/>
      <c r="BH2329" s="395"/>
      <c r="BI2329" s="395" t="e">
        <f t="shared" si="1044"/>
        <v>#DIV/0!</v>
      </c>
    </row>
    <row r="2330" spans="1:61" s="358" customFormat="1" ht="19.2" x14ac:dyDescent="0.3">
      <c r="A2330" s="359" t="s">
        <v>1971</v>
      </c>
      <c r="B2330" s="572" t="s">
        <v>4022</v>
      </c>
      <c r="C2330" s="546" t="s">
        <v>3138</v>
      </c>
      <c r="D2330" s="360">
        <v>0.4</v>
      </c>
      <c r="E2330" s="393"/>
      <c r="F2330" s="523"/>
      <c r="G2330" s="393"/>
      <c r="H2330" s="573"/>
      <c r="I2330" s="394"/>
      <c r="J2330" s="394"/>
      <c r="K2330" s="394"/>
      <c r="L2330" s="394"/>
      <c r="M2330" s="394"/>
      <c r="N2330" s="394"/>
      <c r="O2330" s="394"/>
      <c r="P2330" s="394"/>
      <c r="Q2330" s="394"/>
      <c r="R2330" s="381"/>
      <c r="S2330" s="408"/>
      <c r="T2330" s="385"/>
      <c r="U2330" s="475"/>
      <c r="V2330" s="395"/>
      <c r="W2330" s="395"/>
      <c r="X2330" s="393"/>
      <c r="Y2330" s="523">
        <v>1</v>
      </c>
      <c r="Z2330" s="497"/>
      <c r="AA2330" s="573">
        <v>17.747620000000001</v>
      </c>
      <c r="AB2330" s="394">
        <v>14.943110000000001</v>
      </c>
      <c r="AC2330" s="394">
        <v>13.33868</v>
      </c>
      <c r="AD2330" s="394"/>
      <c r="AE2330" s="394"/>
      <c r="AF2330" s="394">
        <v>0</v>
      </c>
      <c r="AG2330" s="394">
        <v>0</v>
      </c>
      <c r="AH2330" s="394">
        <v>0.65381</v>
      </c>
      <c r="AI2330" s="394">
        <v>13.33868</v>
      </c>
      <c r="AJ2330" s="394"/>
      <c r="AK2330" s="381" t="s">
        <v>167</v>
      </c>
      <c r="AL2330" s="408" t="s">
        <v>175</v>
      </c>
      <c r="AM2330" s="385"/>
      <c r="AN2330" s="475">
        <v>1117</v>
      </c>
      <c r="AO2330" s="395"/>
      <c r="AP2330" s="395">
        <f t="shared" si="1043"/>
        <v>17.747620000000001</v>
      </c>
      <c r="AQ2330" s="393"/>
      <c r="AR2330" s="523"/>
      <c r="AS2330" s="497"/>
      <c r="AT2330" s="573"/>
      <c r="AU2330" s="394"/>
      <c r="AV2330" s="394"/>
      <c r="AW2330" s="394"/>
      <c r="AX2330" s="394"/>
      <c r="AY2330" s="394"/>
      <c r="AZ2330" s="394"/>
      <c r="BA2330" s="394"/>
      <c r="BB2330" s="394"/>
      <c r="BC2330" s="394"/>
      <c r="BD2330" s="381"/>
      <c r="BE2330" s="408"/>
      <c r="BF2330" s="385"/>
      <c r="BG2330" s="475"/>
      <c r="BH2330" s="395"/>
      <c r="BI2330" s="395" t="e">
        <f t="shared" si="1044"/>
        <v>#DIV/0!</v>
      </c>
    </row>
    <row r="2331" spans="1:61" s="358" customFormat="1" ht="19.2" x14ac:dyDescent="0.3">
      <c r="A2331" s="359" t="s">
        <v>1988</v>
      </c>
      <c r="B2331" s="572" t="s">
        <v>2321</v>
      </c>
      <c r="C2331" s="546" t="s">
        <v>2320</v>
      </c>
      <c r="D2331" s="360">
        <v>0.4</v>
      </c>
      <c r="E2331" s="393"/>
      <c r="F2331" s="523"/>
      <c r="G2331" s="393"/>
      <c r="H2331" s="573"/>
      <c r="I2331" s="394"/>
      <c r="J2331" s="394"/>
      <c r="K2331" s="394"/>
      <c r="L2331" s="394"/>
      <c r="M2331" s="394"/>
      <c r="N2331" s="394"/>
      <c r="O2331" s="394"/>
      <c r="P2331" s="394"/>
      <c r="Q2331" s="394"/>
      <c r="R2331" s="381"/>
      <c r="S2331" s="408"/>
      <c r="T2331" s="385"/>
      <c r="U2331" s="475"/>
      <c r="V2331" s="395"/>
      <c r="W2331" s="395"/>
      <c r="X2331" s="393"/>
      <c r="Y2331" s="523">
        <v>1</v>
      </c>
      <c r="Z2331" s="497"/>
      <c r="AA2331" s="573">
        <v>17.747610000000002</v>
      </c>
      <c r="AB2331" s="394">
        <v>14.943099999999999</v>
      </c>
      <c r="AC2331" s="394">
        <v>13.33868</v>
      </c>
      <c r="AD2331" s="394"/>
      <c r="AE2331" s="394"/>
      <c r="AF2331" s="394">
        <v>0</v>
      </c>
      <c r="AG2331" s="394">
        <v>0</v>
      </c>
      <c r="AH2331" s="394">
        <v>0.65381</v>
      </c>
      <c r="AI2331" s="394">
        <v>13.33868</v>
      </c>
      <c r="AJ2331" s="394"/>
      <c r="AK2331" s="381" t="s">
        <v>167</v>
      </c>
      <c r="AL2331" s="408" t="s">
        <v>175</v>
      </c>
      <c r="AM2331" s="385"/>
      <c r="AN2331" s="475">
        <v>1118</v>
      </c>
      <c r="AO2331" s="395"/>
      <c r="AP2331" s="395">
        <f t="shared" si="1043"/>
        <v>17.747610000000002</v>
      </c>
      <c r="AQ2331" s="393"/>
      <c r="AR2331" s="523"/>
      <c r="AS2331" s="497"/>
      <c r="AT2331" s="573"/>
      <c r="AU2331" s="394"/>
      <c r="AV2331" s="394"/>
      <c r="AW2331" s="394"/>
      <c r="AX2331" s="394"/>
      <c r="AY2331" s="394"/>
      <c r="AZ2331" s="394"/>
      <c r="BA2331" s="394"/>
      <c r="BB2331" s="394"/>
      <c r="BC2331" s="394"/>
      <c r="BD2331" s="381"/>
      <c r="BE2331" s="408"/>
      <c r="BF2331" s="385"/>
      <c r="BG2331" s="475"/>
      <c r="BH2331" s="395"/>
      <c r="BI2331" s="395" t="e">
        <f t="shared" si="1044"/>
        <v>#DIV/0!</v>
      </c>
    </row>
    <row r="2332" spans="1:61" s="358" customFormat="1" ht="19.2" x14ac:dyDescent="0.3">
      <c r="A2332" s="359" t="s">
        <v>1973</v>
      </c>
      <c r="B2332" s="572" t="s">
        <v>4023</v>
      </c>
      <c r="C2332" s="546" t="s">
        <v>3139</v>
      </c>
      <c r="D2332" s="360">
        <v>0.4</v>
      </c>
      <c r="E2332" s="393"/>
      <c r="F2332" s="523"/>
      <c r="G2332" s="393"/>
      <c r="H2332" s="573"/>
      <c r="I2332" s="394"/>
      <c r="J2332" s="394"/>
      <c r="K2332" s="394"/>
      <c r="L2332" s="394"/>
      <c r="M2332" s="394"/>
      <c r="N2332" s="394"/>
      <c r="O2332" s="394"/>
      <c r="P2332" s="394"/>
      <c r="Q2332" s="394"/>
      <c r="R2332" s="381"/>
      <c r="S2332" s="408"/>
      <c r="T2332" s="385"/>
      <c r="U2332" s="475"/>
      <c r="V2332" s="395"/>
      <c r="W2332" s="395"/>
      <c r="X2332" s="393"/>
      <c r="Y2332" s="523">
        <v>1</v>
      </c>
      <c r="Z2332" s="497"/>
      <c r="AA2332" s="573">
        <v>17.747599999999998</v>
      </c>
      <c r="AB2332" s="394">
        <v>14.943</v>
      </c>
      <c r="AC2332" s="394">
        <v>13.33868</v>
      </c>
      <c r="AD2332" s="394"/>
      <c r="AE2332" s="394"/>
      <c r="AF2332" s="394">
        <v>0</v>
      </c>
      <c r="AG2332" s="394">
        <v>0</v>
      </c>
      <c r="AH2332" s="394">
        <v>0.65381</v>
      </c>
      <c r="AI2332" s="394">
        <v>13.33868</v>
      </c>
      <c r="AJ2332" s="394"/>
      <c r="AK2332" s="381" t="s">
        <v>167</v>
      </c>
      <c r="AL2332" s="408" t="s">
        <v>175</v>
      </c>
      <c r="AM2332" s="385"/>
      <c r="AN2332" s="475">
        <v>1119</v>
      </c>
      <c r="AO2332" s="395"/>
      <c r="AP2332" s="395">
        <f t="shared" si="1043"/>
        <v>17.747599999999998</v>
      </c>
      <c r="AQ2332" s="393"/>
      <c r="AR2332" s="523"/>
      <c r="AS2332" s="497"/>
      <c r="AT2332" s="573"/>
      <c r="AU2332" s="394"/>
      <c r="AV2332" s="394"/>
      <c r="AW2332" s="394"/>
      <c r="AX2332" s="394"/>
      <c r="AY2332" s="394"/>
      <c r="AZ2332" s="394"/>
      <c r="BA2332" s="394"/>
      <c r="BB2332" s="394"/>
      <c r="BC2332" s="394"/>
      <c r="BD2332" s="381"/>
      <c r="BE2332" s="408"/>
      <c r="BF2332" s="385"/>
      <c r="BG2332" s="475"/>
      <c r="BH2332" s="395"/>
      <c r="BI2332" s="395" t="e">
        <f t="shared" si="1044"/>
        <v>#DIV/0!</v>
      </c>
    </row>
    <row r="2333" spans="1:61" s="358" customFormat="1" ht="19.2" x14ac:dyDescent="0.3">
      <c r="A2333" s="359" t="s">
        <v>1974</v>
      </c>
      <c r="B2333" s="572" t="s">
        <v>2279</v>
      </c>
      <c r="C2333" s="546" t="s">
        <v>3140</v>
      </c>
      <c r="D2333" s="360">
        <v>0.4</v>
      </c>
      <c r="E2333" s="393"/>
      <c r="F2333" s="523"/>
      <c r="G2333" s="393"/>
      <c r="H2333" s="573"/>
      <c r="I2333" s="394"/>
      <c r="J2333" s="394"/>
      <c r="K2333" s="394"/>
      <c r="L2333" s="394"/>
      <c r="M2333" s="394"/>
      <c r="N2333" s="394"/>
      <c r="O2333" s="394"/>
      <c r="P2333" s="394"/>
      <c r="Q2333" s="394"/>
      <c r="R2333" s="381"/>
      <c r="S2333" s="408"/>
      <c r="T2333" s="385"/>
      <c r="U2333" s="475"/>
      <c r="V2333" s="395"/>
      <c r="W2333" s="395"/>
      <c r="X2333" s="393"/>
      <c r="Y2333" s="523">
        <v>1</v>
      </c>
      <c r="Z2333" s="497"/>
      <c r="AA2333" s="573">
        <v>16.46189</v>
      </c>
      <c r="AB2333" s="394">
        <v>14.27999</v>
      </c>
      <c r="AC2333" s="394">
        <v>13.32917</v>
      </c>
      <c r="AD2333" s="394"/>
      <c r="AE2333" s="394"/>
      <c r="AF2333" s="394">
        <v>0</v>
      </c>
      <c r="AG2333" s="394">
        <v>0</v>
      </c>
      <c r="AH2333" s="394">
        <v>0.50866</v>
      </c>
      <c r="AI2333" s="394">
        <v>13.32917</v>
      </c>
      <c r="AJ2333" s="394"/>
      <c r="AK2333" s="381" t="s">
        <v>167</v>
      </c>
      <c r="AL2333" s="408" t="s">
        <v>175</v>
      </c>
      <c r="AM2333" s="385"/>
      <c r="AN2333" s="475">
        <v>1120</v>
      </c>
      <c r="AO2333" s="395"/>
      <c r="AP2333" s="395">
        <f t="shared" si="1043"/>
        <v>16.46189</v>
      </c>
      <c r="AQ2333" s="393"/>
      <c r="AR2333" s="523"/>
      <c r="AS2333" s="497"/>
      <c r="AT2333" s="573"/>
      <c r="AU2333" s="394"/>
      <c r="AV2333" s="394"/>
      <c r="AW2333" s="394"/>
      <c r="AX2333" s="394"/>
      <c r="AY2333" s="394"/>
      <c r="AZ2333" s="394"/>
      <c r="BA2333" s="394"/>
      <c r="BB2333" s="394"/>
      <c r="BC2333" s="394"/>
      <c r="BD2333" s="381"/>
      <c r="BE2333" s="408"/>
      <c r="BF2333" s="385"/>
      <c r="BG2333" s="475"/>
      <c r="BH2333" s="395"/>
      <c r="BI2333" s="395" t="e">
        <f t="shared" si="1044"/>
        <v>#DIV/0!</v>
      </c>
    </row>
    <row r="2334" spans="1:61" s="358" customFormat="1" ht="19.2" x14ac:dyDescent="0.3">
      <c r="A2334" s="359" t="s">
        <v>1975</v>
      </c>
      <c r="B2334" s="572" t="s">
        <v>2279</v>
      </c>
      <c r="C2334" s="546" t="s">
        <v>2278</v>
      </c>
      <c r="D2334" s="360">
        <v>0.4</v>
      </c>
      <c r="E2334" s="393"/>
      <c r="F2334" s="523"/>
      <c r="G2334" s="393"/>
      <c r="H2334" s="573"/>
      <c r="I2334" s="394"/>
      <c r="J2334" s="394"/>
      <c r="K2334" s="394"/>
      <c r="L2334" s="394"/>
      <c r="M2334" s="394"/>
      <c r="N2334" s="394"/>
      <c r="O2334" s="394"/>
      <c r="P2334" s="394"/>
      <c r="Q2334" s="394"/>
      <c r="R2334" s="381"/>
      <c r="S2334" s="408"/>
      <c r="T2334" s="385"/>
      <c r="U2334" s="475"/>
      <c r="V2334" s="395"/>
      <c r="W2334" s="395"/>
      <c r="X2334" s="393"/>
      <c r="Y2334" s="523">
        <v>1</v>
      </c>
      <c r="Z2334" s="497"/>
      <c r="AA2334" s="573">
        <v>16.46191</v>
      </c>
      <c r="AB2334" s="394">
        <v>14.280010000000001</v>
      </c>
      <c r="AC2334" s="394">
        <v>13.32917</v>
      </c>
      <c r="AD2334" s="394"/>
      <c r="AE2334" s="394"/>
      <c r="AF2334" s="394">
        <v>0</v>
      </c>
      <c r="AG2334" s="394">
        <v>0</v>
      </c>
      <c r="AH2334" s="394">
        <v>0.50866</v>
      </c>
      <c r="AI2334" s="394">
        <v>13.32917</v>
      </c>
      <c r="AJ2334" s="394"/>
      <c r="AK2334" s="381" t="s">
        <v>167</v>
      </c>
      <c r="AL2334" s="408" t="s">
        <v>175</v>
      </c>
      <c r="AM2334" s="385"/>
      <c r="AN2334" s="475">
        <v>1121</v>
      </c>
      <c r="AO2334" s="395"/>
      <c r="AP2334" s="395">
        <f t="shared" si="1043"/>
        <v>16.46191</v>
      </c>
      <c r="AQ2334" s="393"/>
      <c r="AR2334" s="523"/>
      <c r="AS2334" s="497"/>
      <c r="AT2334" s="573"/>
      <c r="AU2334" s="394"/>
      <c r="AV2334" s="394"/>
      <c r="AW2334" s="394"/>
      <c r="AX2334" s="394"/>
      <c r="AY2334" s="394"/>
      <c r="AZ2334" s="394"/>
      <c r="BA2334" s="394"/>
      <c r="BB2334" s="394"/>
      <c r="BC2334" s="394"/>
      <c r="BD2334" s="381"/>
      <c r="BE2334" s="408"/>
      <c r="BF2334" s="385"/>
      <c r="BG2334" s="475"/>
      <c r="BH2334" s="395"/>
      <c r="BI2334" s="395" t="e">
        <f t="shared" si="1044"/>
        <v>#DIV/0!</v>
      </c>
    </row>
    <row r="2335" spans="1:61" s="358" customFormat="1" ht="19.2" x14ac:dyDescent="0.3">
      <c r="A2335" s="359" t="s">
        <v>1992</v>
      </c>
      <c r="B2335" s="572" t="s">
        <v>2368</v>
      </c>
      <c r="C2335" s="546" t="s">
        <v>2367</v>
      </c>
      <c r="D2335" s="360">
        <v>0.4</v>
      </c>
      <c r="E2335" s="393"/>
      <c r="F2335" s="523"/>
      <c r="G2335" s="393"/>
      <c r="H2335" s="573"/>
      <c r="I2335" s="394"/>
      <c r="J2335" s="394"/>
      <c r="K2335" s="394"/>
      <c r="L2335" s="394"/>
      <c r="M2335" s="394"/>
      <c r="N2335" s="394"/>
      <c r="O2335" s="394"/>
      <c r="P2335" s="394"/>
      <c r="Q2335" s="394"/>
      <c r="R2335" s="381"/>
      <c r="S2335" s="408"/>
      <c r="T2335" s="385"/>
      <c r="U2335" s="475"/>
      <c r="V2335" s="395"/>
      <c r="W2335" s="395"/>
      <c r="X2335" s="393"/>
      <c r="Y2335" s="523">
        <v>1</v>
      </c>
      <c r="Z2335" s="497"/>
      <c r="AA2335" s="573">
        <v>16.46189</v>
      </c>
      <c r="AB2335" s="394">
        <v>14.27999</v>
      </c>
      <c r="AC2335" s="394">
        <v>13.32917</v>
      </c>
      <c r="AD2335" s="394"/>
      <c r="AE2335" s="394"/>
      <c r="AF2335" s="394">
        <v>0</v>
      </c>
      <c r="AG2335" s="394">
        <v>0</v>
      </c>
      <c r="AH2335" s="394">
        <v>0.50866</v>
      </c>
      <c r="AI2335" s="394">
        <v>13.32917</v>
      </c>
      <c r="AJ2335" s="394"/>
      <c r="AK2335" s="381" t="s">
        <v>167</v>
      </c>
      <c r="AL2335" s="408" t="s">
        <v>175</v>
      </c>
      <c r="AM2335" s="385"/>
      <c r="AN2335" s="475">
        <v>1122</v>
      </c>
      <c r="AO2335" s="395"/>
      <c r="AP2335" s="395">
        <f t="shared" si="1043"/>
        <v>16.46189</v>
      </c>
      <c r="AQ2335" s="393"/>
      <c r="AR2335" s="523"/>
      <c r="AS2335" s="497"/>
      <c r="AT2335" s="573"/>
      <c r="AU2335" s="394"/>
      <c r="AV2335" s="394"/>
      <c r="AW2335" s="394"/>
      <c r="AX2335" s="394"/>
      <c r="AY2335" s="394"/>
      <c r="AZ2335" s="394"/>
      <c r="BA2335" s="394"/>
      <c r="BB2335" s="394"/>
      <c r="BC2335" s="394"/>
      <c r="BD2335" s="381"/>
      <c r="BE2335" s="408"/>
      <c r="BF2335" s="385"/>
      <c r="BG2335" s="475"/>
      <c r="BH2335" s="395"/>
      <c r="BI2335" s="395" t="e">
        <f t="shared" si="1044"/>
        <v>#DIV/0!</v>
      </c>
    </row>
    <row r="2336" spans="1:61" s="358" customFormat="1" ht="19.2" x14ac:dyDescent="0.3">
      <c r="A2336" s="359" t="s">
        <v>1977</v>
      </c>
      <c r="B2336" s="572" t="s">
        <v>4024</v>
      </c>
      <c r="C2336" s="546" t="s">
        <v>3141</v>
      </c>
      <c r="D2336" s="360">
        <v>0.4</v>
      </c>
      <c r="E2336" s="393"/>
      <c r="F2336" s="523"/>
      <c r="G2336" s="393"/>
      <c r="H2336" s="573"/>
      <c r="I2336" s="394"/>
      <c r="J2336" s="394"/>
      <c r="K2336" s="394"/>
      <c r="L2336" s="394"/>
      <c r="M2336" s="394"/>
      <c r="N2336" s="394"/>
      <c r="O2336" s="394"/>
      <c r="P2336" s="394"/>
      <c r="Q2336" s="394"/>
      <c r="R2336" s="381"/>
      <c r="S2336" s="408"/>
      <c r="T2336" s="385"/>
      <c r="U2336" s="475"/>
      <c r="V2336" s="395"/>
      <c r="W2336" s="395"/>
      <c r="X2336" s="393"/>
      <c r="Y2336" s="523">
        <v>1</v>
      </c>
      <c r="Z2336" s="497"/>
      <c r="AA2336" s="573">
        <v>16.46191</v>
      </c>
      <c r="AB2336" s="394">
        <v>14.280010000000001</v>
      </c>
      <c r="AC2336" s="394">
        <v>13.32917</v>
      </c>
      <c r="AD2336" s="394"/>
      <c r="AE2336" s="394"/>
      <c r="AF2336" s="394">
        <v>0</v>
      </c>
      <c r="AG2336" s="394">
        <v>0</v>
      </c>
      <c r="AH2336" s="394">
        <v>0.50866</v>
      </c>
      <c r="AI2336" s="394">
        <v>13.32917</v>
      </c>
      <c r="AJ2336" s="394"/>
      <c r="AK2336" s="381" t="s">
        <v>167</v>
      </c>
      <c r="AL2336" s="408" t="s">
        <v>175</v>
      </c>
      <c r="AM2336" s="385"/>
      <c r="AN2336" s="475">
        <v>1123</v>
      </c>
      <c r="AO2336" s="395"/>
      <c r="AP2336" s="395">
        <f t="shared" si="1043"/>
        <v>16.46191</v>
      </c>
      <c r="AQ2336" s="393"/>
      <c r="AR2336" s="523"/>
      <c r="AS2336" s="497"/>
      <c r="AT2336" s="573"/>
      <c r="AU2336" s="394"/>
      <c r="AV2336" s="394"/>
      <c r="AW2336" s="394"/>
      <c r="AX2336" s="394"/>
      <c r="AY2336" s="394"/>
      <c r="AZ2336" s="394"/>
      <c r="BA2336" s="394"/>
      <c r="BB2336" s="394"/>
      <c r="BC2336" s="394"/>
      <c r="BD2336" s="381"/>
      <c r="BE2336" s="408"/>
      <c r="BF2336" s="385"/>
      <c r="BG2336" s="475"/>
      <c r="BH2336" s="395"/>
      <c r="BI2336" s="395" t="e">
        <f t="shared" si="1044"/>
        <v>#DIV/0!</v>
      </c>
    </row>
    <row r="2337" spans="1:61" s="358" customFormat="1" ht="19.2" x14ac:dyDescent="0.3">
      <c r="A2337" s="359" t="s">
        <v>1978</v>
      </c>
      <c r="B2337" s="572" t="s">
        <v>4025</v>
      </c>
      <c r="C2337" s="546" t="s">
        <v>3142</v>
      </c>
      <c r="D2337" s="360">
        <v>0.4</v>
      </c>
      <c r="E2337" s="393"/>
      <c r="F2337" s="523"/>
      <c r="G2337" s="393"/>
      <c r="H2337" s="573"/>
      <c r="I2337" s="394"/>
      <c r="J2337" s="394"/>
      <c r="K2337" s="394"/>
      <c r="L2337" s="394"/>
      <c r="M2337" s="394"/>
      <c r="N2337" s="394"/>
      <c r="O2337" s="394"/>
      <c r="P2337" s="394"/>
      <c r="Q2337" s="394"/>
      <c r="R2337" s="381"/>
      <c r="S2337" s="408"/>
      <c r="T2337" s="385"/>
      <c r="U2337" s="475"/>
      <c r="V2337" s="395"/>
      <c r="W2337" s="395"/>
      <c r="X2337" s="393"/>
      <c r="Y2337" s="523">
        <v>1</v>
      </c>
      <c r="Z2337" s="497"/>
      <c r="AA2337" s="573">
        <v>16.46189</v>
      </c>
      <c r="AB2337" s="394">
        <v>14.27999</v>
      </c>
      <c r="AC2337" s="394">
        <v>13.32917</v>
      </c>
      <c r="AD2337" s="394"/>
      <c r="AE2337" s="394"/>
      <c r="AF2337" s="394">
        <v>0</v>
      </c>
      <c r="AG2337" s="394">
        <v>0</v>
      </c>
      <c r="AH2337" s="394">
        <v>0.50866</v>
      </c>
      <c r="AI2337" s="394">
        <v>13.32917</v>
      </c>
      <c r="AJ2337" s="394"/>
      <c r="AK2337" s="381" t="s">
        <v>167</v>
      </c>
      <c r="AL2337" s="408" t="s">
        <v>175</v>
      </c>
      <c r="AM2337" s="385"/>
      <c r="AN2337" s="475">
        <v>1124</v>
      </c>
      <c r="AO2337" s="395"/>
      <c r="AP2337" s="395">
        <f t="shared" si="1043"/>
        <v>16.46189</v>
      </c>
      <c r="AQ2337" s="393"/>
      <c r="AR2337" s="523"/>
      <c r="AS2337" s="497"/>
      <c r="AT2337" s="573"/>
      <c r="AU2337" s="394"/>
      <c r="AV2337" s="394"/>
      <c r="AW2337" s="394"/>
      <c r="AX2337" s="394"/>
      <c r="AY2337" s="394"/>
      <c r="AZ2337" s="394"/>
      <c r="BA2337" s="394"/>
      <c r="BB2337" s="394"/>
      <c r="BC2337" s="394"/>
      <c r="BD2337" s="381"/>
      <c r="BE2337" s="408"/>
      <c r="BF2337" s="385"/>
      <c r="BG2337" s="475"/>
      <c r="BH2337" s="395"/>
      <c r="BI2337" s="395" t="e">
        <f t="shared" si="1044"/>
        <v>#DIV/0!</v>
      </c>
    </row>
    <row r="2338" spans="1:61" s="358" customFormat="1" ht="19.2" x14ac:dyDescent="0.3">
      <c r="A2338" s="359" t="s">
        <v>1963</v>
      </c>
      <c r="B2338" s="572" t="s">
        <v>4026</v>
      </c>
      <c r="C2338" s="546" t="s">
        <v>3143</v>
      </c>
      <c r="D2338" s="360">
        <v>0.4</v>
      </c>
      <c r="E2338" s="393"/>
      <c r="F2338" s="523"/>
      <c r="G2338" s="393"/>
      <c r="H2338" s="573"/>
      <c r="I2338" s="394"/>
      <c r="J2338" s="394"/>
      <c r="K2338" s="394"/>
      <c r="L2338" s="394"/>
      <c r="M2338" s="394"/>
      <c r="N2338" s="394"/>
      <c r="O2338" s="394"/>
      <c r="P2338" s="394"/>
      <c r="Q2338" s="394"/>
      <c r="R2338" s="381"/>
      <c r="S2338" s="408"/>
      <c r="T2338" s="385"/>
      <c r="U2338" s="475"/>
      <c r="V2338" s="395"/>
      <c r="W2338" s="395"/>
      <c r="X2338" s="393"/>
      <c r="Y2338" s="523">
        <v>1</v>
      </c>
      <c r="Z2338" s="497"/>
      <c r="AA2338" s="573">
        <v>17.747620000000001</v>
      </c>
      <c r="AB2338" s="394">
        <v>14.943110000000001</v>
      </c>
      <c r="AC2338" s="394">
        <v>13.33868</v>
      </c>
      <c r="AD2338" s="394"/>
      <c r="AE2338" s="394"/>
      <c r="AF2338" s="394">
        <v>0</v>
      </c>
      <c r="AG2338" s="394">
        <v>0</v>
      </c>
      <c r="AH2338" s="394">
        <v>0.65381</v>
      </c>
      <c r="AI2338" s="394">
        <v>13.33868</v>
      </c>
      <c r="AJ2338" s="394"/>
      <c r="AK2338" s="381" t="s">
        <v>167</v>
      </c>
      <c r="AL2338" s="408" t="s">
        <v>175</v>
      </c>
      <c r="AM2338" s="385"/>
      <c r="AN2338" s="475">
        <v>1125</v>
      </c>
      <c r="AO2338" s="395"/>
      <c r="AP2338" s="395">
        <f t="shared" si="1043"/>
        <v>17.747620000000001</v>
      </c>
      <c r="AQ2338" s="393"/>
      <c r="AR2338" s="523"/>
      <c r="AS2338" s="497"/>
      <c r="AT2338" s="573"/>
      <c r="AU2338" s="394"/>
      <c r="AV2338" s="394"/>
      <c r="AW2338" s="394"/>
      <c r="AX2338" s="394"/>
      <c r="AY2338" s="394"/>
      <c r="AZ2338" s="394"/>
      <c r="BA2338" s="394"/>
      <c r="BB2338" s="394"/>
      <c r="BC2338" s="394"/>
      <c r="BD2338" s="381"/>
      <c r="BE2338" s="408"/>
      <c r="BF2338" s="385"/>
      <c r="BG2338" s="475"/>
      <c r="BH2338" s="395"/>
      <c r="BI2338" s="395" t="e">
        <f t="shared" si="1044"/>
        <v>#DIV/0!</v>
      </c>
    </row>
    <row r="2339" spans="1:61" s="358" customFormat="1" ht="19.2" x14ac:dyDescent="0.3">
      <c r="A2339" s="359" t="s">
        <v>1980</v>
      </c>
      <c r="B2339" s="572" t="s">
        <v>4027</v>
      </c>
      <c r="C2339" s="546" t="s">
        <v>3144</v>
      </c>
      <c r="D2339" s="360">
        <v>0.4</v>
      </c>
      <c r="E2339" s="393"/>
      <c r="F2339" s="523"/>
      <c r="G2339" s="393"/>
      <c r="H2339" s="573"/>
      <c r="I2339" s="394"/>
      <c r="J2339" s="394"/>
      <c r="K2339" s="394"/>
      <c r="L2339" s="394"/>
      <c r="M2339" s="394"/>
      <c r="N2339" s="394"/>
      <c r="O2339" s="394"/>
      <c r="P2339" s="394"/>
      <c r="Q2339" s="394"/>
      <c r="R2339" s="381"/>
      <c r="S2339" s="408"/>
      <c r="T2339" s="385"/>
      <c r="U2339" s="475"/>
      <c r="V2339" s="395"/>
      <c r="W2339" s="395"/>
      <c r="X2339" s="393"/>
      <c r="Y2339" s="523">
        <v>1</v>
      </c>
      <c r="Z2339" s="497"/>
      <c r="AA2339" s="573">
        <v>10.09647</v>
      </c>
      <c r="AB2339" s="394">
        <v>9.2647499999999994</v>
      </c>
      <c r="AC2339" s="394">
        <v>8.7745499999999996</v>
      </c>
      <c r="AD2339" s="394"/>
      <c r="AE2339" s="394"/>
      <c r="AF2339" s="394">
        <v>0</v>
      </c>
      <c r="AG2339" s="394">
        <v>0</v>
      </c>
      <c r="AH2339" s="394">
        <v>0.19389999999999999</v>
      </c>
      <c r="AI2339" s="394">
        <v>8.7745499999999996</v>
      </c>
      <c r="AJ2339" s="394"/>
      <c r="AK2339" s="381" t="s">
        <v>167</v>
      </c>
      <c r="AL2339" s="408" t="s">
        <v>175</v>
      </c>
      <c r="AM2339" s="385"/>
      <c r="AN2339" s="475">
        <v>1126</v>
      </c>
      <c r="AO2339" s="395"/>
      <c r="AP2339" s="395">
        <f t="shared" si="1043"/>
        <v>10.09647</v>
      </c>
      <c r="AQ2339" s="393"/>
      <c r="AR2339" s="523"/>
      <c r="AS2339" s="497"/>
      <c r="AT2339" s="573"/>
      <c r="AU2339" s="394"/>
      <c r="AV2339" s="394"/>
      <c r="AW2339" s="394"/>
      <c r="AX2339" s="394"/>
      <c r="AY2339" s="394"/>
      <c r="AZ2339" s="394"/>
      <c r="BA2339" s="394"/>
      <c r="BB2339" s="394"/>
      <c r="BC2339" s="394"/>
      <c r="BD2339" s="381"/>
      <c r="BE2339" s="408"/>
      <c r="BF2339" s="385"/>
      <c r="BG2339" s="475"/>
      <c r="BH2339" s="395"/>
      <c r="BI2339" s="395" t="e">
        <f t="shared" si="1044"/>
        <v>#DIV/0!</v>
      </c>
    </row>
    <row r="2340" spans="1:61" s="358" customFormat="1" ht="19.2" x14ac:dyDescent="0.3">
      <c r="A2340" s="359" t="s">
        <v>1981</v>
      </c>
      <c r="B2340" s="572" t="s">
        <v>4028</v>
      </c>
      <c r="C2340" s="546" t="s">
        <v>3145</v>
      </c>
      <c r="D2340" s="360">
        <v>0.4</v>
      </c>
      <c r="E2340" s="393"/>
      <c r="F2340" s="523"/>
      <c r="G2340" s="393"/>
      <c r="H2340" s="573"/>
      <c r="I2340" s="394"/>
      <c r="J2340" s="394"/>
      <c r="K2340" s="394"/>
      <c r="L2340" s="394"/>
      <c r="M2340" s="394"/>
      <c r="N2340" s="394"/>
      <c r="O2340" s="394"/>
      <c r="P2340" s="394"/>
      <c r="Q2340" s="394"/>
      <c r="R2340" s="381"/>
      <c r="S2340" s="408"/>
      <c r="T2340" s="385"/>
      <c r="U2340" s="475"/>
      <c r="V2340" s="395"/>
      <c r="W2340" s="395"/>
      <c r="X2340" s="393"/>
      <c r="Y2340" s="523">
        <v>1</v>
      </c>
      <c r="Z2340" s="497"/>
      <c r="AA2340" s="573">
        <v>17.747620000000001</v>
      </c>
      <c r="AB2340" s="394">
        <v>14.943110000000001</v>
      </c>
      <c r="AC2340" s="394">
        <v>13.33868</v>
      </c>
      <c r="AD2340" s="394"/>
      <c r="AE2340" s="394"/>
      <c r="AF2340" s="394">
        <v>0</v>
      </c>
      <c r="AG2340" s="394">
        <v>0</v>
      </c>
      <c r="AH2340" s="394">
        <v>0.65381</v>
      </c>
      <c r="AI2340" s="394">
        <v>13.33868</v>
      </c>
      <c r="AJ2340" s="394"/>
      <c r="AK2340" s="381" t="s">
        <v>167</v>
      </c>
      <c r="AL2340" s="408" t="s">
        <v>175</v>
      </c>
      <c r="AM2340" s="385"/>
      <c r="AN2340" s="475">
        <v>1127</v>
      </c>
      <c r="AO2340" s="395"/>
      <c r="AP2340" s="395">
        <f t="shared" si="1043"/>
        <v>17.747620000000001</v>
      </c>
      <c r="AQ2340" s="393"/>
      <c r="AR2340" s="523"/>
      <c r="AS2340" s="497"/>
      <c r="AT2340" s="573"/>
      <c r="AU2340" s="394"/>
      <c r="AV2340" s="394"/>
      <c r="AW2340" s="394"/>
      <c r="AX2340" s="394"/>
      <c r="AY2340" s="394"/>
      <c r="AZ2340" s="394"/>
      <c r="BA2340" s="394"/>
      <c r="BB2340" s="394"/>
      <c r="BC2340" s="394"/>
      <c r="BD2340" s="381"/>
      <c r="BE2340" s="408"/>
      <c r="BF2340" s="385"/>
      <c r="BG2340" s="475"/>
      <c r="BH2340" s="395"/>
      <c r="BI2340" s="395" t="e">
        <f t="shared" si="1044"/>
        <v>#DIV/0!</v>
      </c>
    </row>
    <row r="2341" spans="1:61" s="358" customFormat="1" ht="19.2" x14ac:dyDescent="0.3">
      <c r="A2341" s="359" t="s">
        <v>1982</v>
      </c>
      <c r="B2341" s="572" t="s">
        <v>4029</v>
      </c>
      <c r="C2341" s="546" t="s">
        <v>3146</v>
      </c>
      <c r="D2341" s="360">
        <v>0.4</v>
      </c>
      <c r="E2341" s="393"/>
      <c r="F2341" s="523"/>
      <c r="G2341" s="393"/>
      <c r="H2341" s="573"/>
      <c r="I2341" s="394"/>
      <c r="J2341" s="394"/>
      <c r="K2341" s="394"/>
      <c r="L2341" s="394"/>
      <c r="M2341" s="394"/>
      <c r="N2341" s="394"/>
      <c r="O2341" s="394"/>
      <c r="P2341" s="394"/>
      <c r="Q2341" s="394"/>
      <c r="R2341" s="381"/>
      <c r="S2341" s="408"/>
      <c r="T2341" s="385"/>
      <c r="U2341" s="475"/>
      <c r="V2341" s="395"/>
      <c r="W2341" s="395"/>
      <c r="X2341" s="393"/>
      <c r="Y2341" s="523">
        <v>1</v>
      </c>
      <c r="Z2341" s="497"/>
      <c r="AA2341" s="573">
        <v>11.34666</v>
      </c>
      <c r="AB2341" s="394">
        <v>9.7995300000000007</v>
      </c>
      <c r="AC2341" s="394">
        <v>9.0379100000000001</v>
      </c>
      <c r="AD2341" s="394"/>
      <c r="AE2341" s="394"/>
      <c r="AF2341" s="394">
        <v>0</v>
      </c>
      <c r="AG2341" s="394">
        <v>0</v>
      </c>
      <c r="AH2341" s="394">
        <v>0.36068</v>
      </c>
      <c r="AI2341" s="394">
        <v>9.0379100000000001</v>
      </c>
      <c r="AJ2341" s="394"/>
      <c r="AK2341" s="381" t="s">
        <v>167</v>
      </c>
      <c r="AL2341" s="408" t="s">
        <v>175</v>
      </c>
      <c r="AM2341" s="385"/>
      <c r="AN2341" s="475">
        <v>1128</v>
      </c>
      <c r="AO2341" s="395"/>
      <c r="AP2341" s="395">
        <f t="shared" si="1043"/>
        <v>11.34666</v>
      </c>
      <c r="AQ2341" s="393"/>
      <c r="AR2341" s="523"/>
      <c r="AS2341" s="497"/>
      <c r="AT2341" s="573"/>
      <c r="AU2341" s="394"/>
      <c r="AV2341" s="394"/>
      <c r="AW2341" s="394"/>
      <c r="AX2341" s="394"/>
      <c r="AY2341" s="394"/>
      <c r="AZ2341" s="394"/>
      <c r="BA2341" s="394"/>
      <c r="BB2341" s="394"/>
      <c r="BC2341" s="394"/>
      <c r="BD2341" s="381"/>
      <c r="BE2341" s="408"/>
      <c r="BF2341" s="385"/>
      <c r="BG2341" s="475"/>
      <c r="BH2341" s="395"/>
      <c r="BI2341" s="395" t="e">
        <f t="shared" si="1044"/>
        <v>#DIV/0!</v>
      </c>
    </row>
    <row r="2342" spans="1:61" s="358" customFormat="1" ht="19.2" x14ac:dyDescent="0.3">
      <c r="A2342" s="359" t="s">
        <v>1983</v>
      </c>
      <c r="B2342" s="572" t="s">
        <v>4030</v>
      </c>
      <c r="C2342" s="546" t="s">
        <v>3147</v>
      </c>
      <c r="D2342" s="360">
        <v>0.4</v>
      </c>
      <c r="E2342" s="393"/>
      <c r="F2342" s="523"/>
      <c r="G2342" s="393"/>
      <c r="H2342" s="573"/>
      <c r="I2342" s="394"/>
      <c r="J2342" s="394"/>
      <c r="K2342" s="394"/>
      <c r="L2342" s="394"/>
      <c r="M2342" s="394"/>
      <c r="N2342" s="394"/>
      <c r="O2342" s="394"/>
      <c r="P2342" s="394"/>
      <c r="Q2342" s="394"/>
      <c r="R2342" s="381"/>
      <c r="S2342" s="408"/>
      <c r="T2342" s="385"/>
      <c r="U2342" s="475"/>
      <c r="V2342" s="395"/>
      <c r="W2342" s="395"/>
      <c r="X2342" s="393"/>
      <c r="Y2342" s="523">
        <v>1</v>
      </c>
      <c r="Z2342" s="497"/>
      <c r="AA2342" s="573">
        <v>16.4619</v>
      </c>
      <c r="AB2342" s="394">
        <v>14.27998</v>
      </c>
      <c r="AC2342" s="394">
        <v>13.32917</v>
      </c>
      <c r="AD2342" s="394"/>
      <c r="AE2342" s="394"/>
      <c r="AF2342" s="394">
        <v>0</v>
      </c>
      <c r="AG2342" s="394">
        <v>0</v>
      </c>
      <c r="AH2342" s="394">
        <v>0.50866</v>
      </c>
      <c r="AI2342" s="394">
        <v>13.32917</v>
      </c>
      <c r="AJ2342" s="394"/>
      <c r="AK2342" s="381" t="s">
        <v>167</v>
      </c>
      <c r="AL2342" s="408" t="s">
        <v>175</v>
      </c>
      <c r="AM2342" s="385"/>
      <c r="AN2342" s="475">
        <v>1129</v>
      </c>
      <c r="AO2342" s="395"/>
      <c r="AP2342" s="395">
        <f t="shared" si="1043"/>
        <v>16.4619</v>
      </c>
      <c r="AQ2342" s="393"/>
      <c r="AR2342" s="523"/>
      <c r="AS2342" s="497"/>
      <c r="AT2342" s="573"/>
      <c r="AU2342" s="394"/>
      <c r="AV2342" s="394"/>
      <c r="AW2342" s="394"/>
      <c r="AX2342" s="394"/>
      <c r="AY2342" s="394"/>
      <c r="AZ2342" s="394"/>
      <c r="BA2342" s="394"/>
      <c r="BB2342" s="394"/>
      <c r="BC2342" s="394"/>
      <c r="BD2342" s="381"/>
      <c r="BE2342" s="408"/>
      <c r="BF2342" s="385"/>
      <c r="BG2342" s="475"/>
      <c r="BH2342" s="395"/>
      <c r="BI2342" s="395" t="e">
        <f t="shared" si="1044"/>
        <v>#DIV/0!</v>
      </c>
    </row>
    <row r="2343" spans="1:61" s="358" customFormat="1" ht="19.2" x14ac:dyDescent="0.3">
      <c r="A2343" s="359" t="s">
        <v>1984</v>
      </c>
      <c r="B2343" s="572" t="s">
        <v>1636</v>
      </c>
      <c r="C2343" s="546" t="s">
        <v>2314</v>
      </c>
      <c r="D2343" s="360">
        <v>0.4</v>
      </c>
      <c r="E2343" s="393"/>
      <c r="F2343" s="523"/>
      <c r="G2343" s="393"/>
      <c r="H2343" s="573"/>
      <c r="I2343" s="394"/>
      <c r="J2343" s="394"/>
      <c r="K2343" s="394"/>
      <c r="L2343" s="394"/>
      <c r="M2343" s="394"/>
      <c r="N2343" s="394"/>
      <c r="O2343" s="394"/>
      <c r="P2343" s="394"/>
      <c r="Q2343" s="394"/>
      <c r="R2343" s="381"/>
      <c r="S2343" s="408"/>
      <c r="T2343" s="385"/>
      <c r="U2343" s="475"/>
      <c r="V2343" s="395"/>
      <c r="W2343" s="395"/>
      <c r="X2343" s="393"/>
      <c r="Y2343" s="523">
        <v>1</v>
      </c>
      <c r="Z2343" s="497"/>
      <c r="AA2343" s="573">
        <v>31.43693</v>
      </c>
      <c r="AB2343" s="394">
        <v>29.255030000000001</v>
      </c>
      <c r="AC2343" s="394">
        <v>13.32917</v>
      </c>
      <c r="AD2343" s="394"/>
      <c r="AE2343" s="394"/>
      <c r="AF2343" s="394">
        <v>0</v>
      </c>
      <c r="AG2343" s="394">
        <v>0</v>
      </c>
      <c r="AH2343" s="394">
        <v>0.50866</v>
      </c>
      <c r="AI2343" s="394">
        <v>13.32917</v>
      </c>
      <c r="AJ2343" s="394"/>
      <c r="AK2343" s="381" t="s">
        <v>167</v>
      </c>
      <c r="AL2343" s="408" t="s">
        <v>175</v>
      </c>
      <c r="AM2343" s="385"/>
      <c r="AN2343" s="475">
        <v>1130</v>
      </c>
      <c r="AO2343" s="395"/>
      <c r="AP2343" s="395">
        <f t="shared" si="1043"/>
        <v>31.43693</v>
      </c>
      <c r="AQ2343" s="393"/>
      <c r="AR2343" s="523"/>
      <c r="AS2343" s="497"/>
      <c r="AT2343" s="573"/>
      <c r="AU2343" s="394"/>
      <c r="AV2343" s="394"/>
      <c r="AW2343" s="394"/>
      <c r="AX2343" s="394"/>
      <c r="AY2343" s="394"/>
      <c r="AZ2343" s="394"/>
      <c r="BA2343" s="394"/>
      <c r="BB2343" s="394"/>
      <c r="BC2343" s="394"/>
      <c r="BD2343" s="381"/>
      <c r="BE2343" s="408"/>
      <c r="BF2343" s="385"/>
      <c r="BG2343" s="475"/>
      <c r="BH2343" s="395"/>
      <c r="BI2343" s="395" t="e">
        <f t="shared" si="1044"/>
        <v>#DIV/0!</v>
      </c>
    </row>
    <row r="2344" spans="1:61" s="358" customFormat="1" ht="19.2" x14ac:dyDescent="0.3">
      <c r="A2344" s="359" t="s">
        <v>1985</v>
      </c>
      <c r="B2344" s="572" t="s">
        <v>1636</v>
      </c>
      <c r="C2344" s="546" t="s">
        <v>2315</v>
      </c>
      <c r="D2344" s="360">
        <v>0.4</v>
      </c>
      <c r="E2344" s="393"/>
      <c r="F2344" s="523"/>
      <c r="G2344" s="393"/>
      <c r="H2344" s="573"/>
      <c r="I2344" s="394"/>
      <c r="J2344" s="394"/>
      <c r="K2344" s="394"/>
      <c r="L2344" s="394"/>
      <c r="M2344" s="394"/>
      <c r="N2344" s="394"/>
      <c r="O2344" s="394"/>
      <c r="P2344" s="394"/>
      <c r="Q2344" s="394"/>
      <c r="R2344" s="381"/>
      <c r="S2344" s="408"/>
      <c r="T2344" s="385"/>
      <c r="U2344" s="475"/>
      <c r="V2344" s="395"/>
      <c r="W2344" s="395"/>
      <c r="X2344" s="393"/>
      <c r="Y2344" s="523">
        <v>1</v>
      </c>
      <c r="Z2344" s="497"/>
      <c r="AA2344" s="573">
        <v>16.461880000000001</v>
      </c>
      <c r="AB2344" s="394">
        <v>14.279960000000001</v>
      </c>
      <c r="AC2344" s="394">
        <v>13.32917</v>
      </c>
      <c r="AD2344" s="394"/>
      <c r="AE2344" s="394"/>
      <c r="AF2344" s="394">
        <v>0</v>
      </c>
      <c r="AG2344" s="394">
        <v>0</v>
      </c>
      <c r="AH2344" s="394">
        <v>0.50866</v>
      </c>
      <c r="AI2344" s="394">
        <v>13.32917</v>
      </c>
      <c r="AJ2344" s="394"/>
      <c r="AK2344" s="381" t="s">
        <v>167</v>
      </c>
      <c r="AL2344" s="408" t="s">
        <v>175</v>
      </c>
      <c r="AM2344" s="385"/>
      <c r="AN2344" s="475">
        <v>1131</v>
      </c>
      <c r="AO2344" s="395"/>
      <c r="AP2344" s="395">
        <f t="shared" si="1043"/>
        <v>16.461880000000001</v>
      </c>
      <c r="AQ2344" s="393"/>
      <c r="AR2344" s="523"/>
      <c r="AS2344" s="497"/>
      <c r="AT2344" s="573"/>
      <c r="AU2344" s="394"/>
      <c r="AV2344" s="394"/>
      <c r="AW2344" s="394"/>
      <c r="AX2344" s="394"/>
      <c r="AY2344" s="394"/>
      <c r="AZ2344" s="394"/>
      <c r="BA2344" s="394"/>
      <c r="BB2344" s="394"/>
      <c r="BC2344" s="394"/>
      <c r="BD2344" s="381"/>
      <c r="BE2344" s="408"/>
      <c r="BF2344" s="385"/>
      <c r="BG2344" s="475"/>
      <c r="BH2344" s="395"/>
      <c r="BI2344" s="395" t="e">
        <f t="shared" si="1044"/>
        <v>#DIV/0!</v>
      </c>
    </row>
    <row r="2345" spans="1:61" s="358" customFormat="1" ht="19.2" x14ac:dyDescent="0.3">
      <c r="A2345" s="359" t="s">
        <v>1986</v>
      </c>
      <c r="B2345" s="572" t="s">
        <v>1636</v>
      </c>
      <c r="C2345" s="546" t="s">
        <v>3148</v>
      </c>
      <c r="D2345" s="360">
        <v>0.4</v>
      </c>
      <c r="E2345" s="393"/>
      <c r="F2345" s="523"/>
      <c r="G2345" s="393"/>
      <c r="H2345" s="573"/>
      <c r="I2345" s="394"/>
      <c r="J2345" s="394"/>
      <c r="K2345" s="394"/>
      <c r="L2345" s="394"/>
      <c r="M2345" s="394"/>
      <c r="N2345" s="394"/>
      <c r="O2345" s="394"/>
      <c r="P2345" s="394"/>
      <c r="Q2345" s="394"/>
      <c r="R2345" s="381"/>
      <c r="S2345" s="408"/>
      <c r="T2345" s="385"/>
      <c r="U2345" s="475"/>
      <c r="V2345" s="395"/>
      <c r="W2345" s="395"/>
      <c r="X2345" s="393"/>
      <c r="Y2345" s="523">
        <v>1</v>
      </c>
      <c r="Z2345" s="497"/>
      <c r="AA2345" s="573">
        <v>16.46189</v>
      </c>
      <c r="AB2345" s="394">
        <v>14.27997</v>
      </c>
      <c r="AC2345" s="394">
        <v>13.32917</v>
      </c>
      <c r="AD2345" s="394"/>
      <c r="AE2345" s="394"/>
      <c r="AF2345" s="394">
        <v>0</v>
      </c>
      <c r="AG2345" s="394">
        <v>0</v>
      </c>
      <c r="AH2345" s="394">
        <v>0.50866</v>
      </c>
      <c r="AI2345" s="394">
        <v>13.32917</v>
      </c>
      <c r="AJ2345" s="394"/>
      <c r="AK2345" s="381" t="s">
        <v>167</v>
      </c>
      <c r="AL2345" s="408" t="s">
        <v>175</v>
      </c>
      <c r="AM2345" s="385"/>
      <c r="AN2345" s="475">
        <v>1132</v>
      </c>
      <c r="AO2345" s="395"/>
      <c r="AP2345" s="395">
        <f t="shared" si="1043"/>
        <v>16.46189</v>
      </c>
      <c r="AQ2345" s="393"/>
      <c r="AR2345" s="523"/>
      <c r="AS2345" s="497"/>
      <c r="AT2345" s="573"/>
      <c r="AU2345" s="394"/>
      <c r="AV2345" s="394"/>
      <c r="AW2345" s="394"/>
      <c r="AX2345" s="394"/>
      <c r="AY2345" s="394"/>
      <c r="AZ2345" s="394"/>
      <c r="BA2345" s="394"/>
      <c r="BB2345" s="394"/>
      <c r="BC2345" s="394"/>
      <c r="BD2345" s="381"/>
      <c r="BE2345" s="408"/>
      <c r="BF2345" s="385"/>
      <c r="BG2345" s="475"/>
      <c r="BH2345" s="395"/>
      <c r="BI2345" s="395" t="e">
        <f t="shared" si="1044"/>
        <v>#DIV/0!</v>
      </c>
    </row>
    <row r="2346" spans="1:61" s="358" customFormat="1" ht="19.2" x14ac:dyDescent="0.3">
      <c r="A2346" s="359" t="s">
        <v>1987</v>
      </c>
      <c r="B2346" s="572" t="s">
        <v>1636</v>
      </c>
      <c r="C2346" s="546" t="s">
        <v>3149</v>
      </c>
      <c r="D2346" s="360">
        <v>0.4</v>
      </c>
      <c r="E2346" s="393"/>
      <c r="F2346" s="523"/>
      <c r="G2346" s="393"/>
      <c r="H2346" s="573"/>
      <c r="I2346" s="394"/>
      <c r="J2346" s="394"/>
      <c r="K2346" s="394"/>
      <c r="L2346" s="394"/>
      <c r="M2346" s="394"/>
      <c r="N2346" s="394"/>
      <c r="O2346" s="394"/>
      <c r="P2346" s="394"/>
      <c r="Q2346" s="394"/>
      <c r="R2346" s="381"/>
      <c r="S2346" s="408"/>
      <c r="T2346" s="385"/>
      <c r="U2346" s="475"/>
      <c r="V2346" s="395"/>
      <c r="W2346" s="395"/>
      <c r="X2346" s="393"/>
      <c r="Y2346" s="523">
        <v>1</v>
      </c>
      <c r="Z2346" s="497"/>
      <c r="AA2346" s="573">
        <v>16.4619</v>
      </c>
      <c r="AB2346" s="394">
        <v>14.27998</v>
      </c>
      <c r="AC2346" s="394">
        <v>13.32917</v>
      </c>
      <c r="AD2346" s="394"/>
      <c r="AE2346" s="394"/>
      <c r="AF2346" s="394">
        <v>0</v>
      </c>
      <c r="AG2346" s="394">
        <v>0</v>
      </c>
      <c r="AH2346" s="394">
        <v>0.50866</v>
      </c>
      <c r="AI2346" s="394">
        <v>13.32917</v>
      </c>
      <c r="AJ2346" s="394"/>
      <c r="AK2346" s="381" t="s">
        <v>167</v>
      </c>
      <c r="AL2346" s="408" t="s">
        <v>175</v>
      </c>
      <c r="AM2346" s="385"/>
      <c r="AN2346" s="475">
        <v>1133</v>
      </c>
      <c r="AO2346" s="395"/>
      <c r="AP2346" s="395">
        <f t="shared" si="1043"/>
        <v>16.4619</v>
      </c>
      <c r="AQ2346" s="393"/>
      <c r="AR2346" s="523"/>
      <c r="AS2346" s="497"/>
      <c r="AT2346" s="573"/>
      <c r="AU2346" s="394"/>
      <c r="AV2346" s="394"/>
      <c r="AW2346" s="394"/>
      <c r="AX2346" s="394"/>
      <c r="AY2346" s="394"/>
      <c r="AZ2346" s="394"/>
      <c r="BA2346" s="394"/>
      <c r="BB2346" s="394"/>
      <c r="BC2346" s="394"/>
      <c r="BD2346" s="381"/>
      <c r="BE2346" s="408"/>
      <c r="BF2346" s="385"/>
      <c r="BG2346" s="475"/>
      <c r="BH2346" s="395"/>
      <c r="BI2346" s="395" t="e">
        <f t="shared" si="1044"/>
        <v>#DIV/0!</v>
      </c>
    </row>
    <row r="2347" spans="1:61" s="358" customFormat="1" ht="19.2" x14ac:dyDescent="0.3">
      <c r="A2347" s="359" t="s">
        <v>2004</v>
      </c>
      <c r="B2347" s="572" t="s">
        <v>1698</v>
      </c>
      <c r="C2347" s="546" t="s">
        <v>3150</v>
      </c>
      <c r="D2347" s="360">
        <v>0.4</v>
      </c>
      <c r="E2347" s="393"/>
      <c r="F2347" s="523"/>
      <c r="G2347" s="393"/>
      <c r="H2347" s="573"/>
      <c r="I2347" s="394"/>
      <c r="J2347" s="394"/>
      <c r="K2347" s="394"/>
      <c r="L2347" s="394"/>
      <c r="M2347" s="394"/>
      <c r="N2347" s="394"/>
      <c r="O2347" s="394"/>
      <c r="P2347" s="394"/>
      <c r="Q2347" s="394"/>
      <c r="R2347" s="381"/>
      <c r="S2347" s="408"/>
      <c r="T2347" s="385"/>
      <c r="U2347" s="475"/>
      <c r="V2347" s="395"/>
      <c r="W2347" s="395"/>
      <c r="X2347" s="393"/>
      <c r="Y2347" s="523">
        <v>1</v>
      </c>
      <c r="Z2347" s="497"/>
      <c r="AA2347" s="573">
        <v>16.46189</v>
      </c>
      <c r="AB2347" s="394">
        <v>14.27997</v>
      </c>
      <c r="AC2347" s="394">
        <v>13.32917</v>
      </c>
      <c r="AD2347" s="394"/>
      <c r="AE2347" s="394"/>
      <c r="AF2347" s="394">
        <v>0</v>
      </c>
      <c r="AG2347" s="394">
        <v>0</v>
      </c>
      <c r="AH2347" s="394">
        <v>0.50866</v>
      </c>
      <c r="AI2347" s="394">
        <v>13.32917</v>
      </c>
      <c r="AJ2347" s="394"/>
      <c r="AK2347" s="381" t="s">
        <v>167</v>
      </c>
      <c r="AL2347" s="408" t="s">
        <v>175</v>
      </c>
      <c r="AM2347" s="385"/>
      <c r="AN2347" s="475">
        <v>1134</v>
      </c>
      <c r="AO2347" s="395"/>
      <c r="AP2347" s="395">
        <f t="shared" si="1043"/>
        <v>16.46189</v>
      </c>
      <c r="AQ2347" s="393"/>
      <c r="AR2347" s="523"/>
      <c r="AS2347" s="497"/>
      <c r="AT2347" s="573"/>
      <c r="AU2347" s="394"/>
      <c r="AV2347" s="394"/>
      <c r="AW2347" s="394"/>
      <c r="AX2347" s="394"/>
      <c r="AY2347" s="394"/>
      <c r="AZ2347" s="394"/>
      <c r="BA2347" s="394"/>
      <c r="BB2347" s="394"/>
      <c r="BC2347" s="394"/>
      <c r="BD2347" s="381"/>
      <c r="BE2347" s="408"/>
      <c r="BF2347" s="385"/>
      <c r="BG2347" s="475"/>
      <c r="BH2347" s="395"/>
      <c r="BI2347" s="395" t="e">
        <f t="shared" si="1044"/>
        <v>#DIV/0!</v>
      </c>
    </row>
    <row r="2348" spans="1:61" s="358" customFormat="1" ht="19.2" x14ac:dyDescent="0.3">
      <c r="A2348" s="359" t="s">
        <v>1989</v>
      </c>
      <c r="B2348" s="572" t="s">
        <v>4031</v>
      </c>
      <c r="C2348" s="546" t="s">
        <v>3151</v>
      </c>
      <c r="D2348" s="360">
        <v>0.4</v>
      </c>
      <c r="E2348" s="393"/>
      <c r="F2348" s="523"/>
      <c r="G2348" s="393"/>
      <c r="H2348" s="573"/>
      <c r="I2348" s="394"/>
      <c r="J2348" s="394"/>
      <c r="K2348" s="394"/>
      <c r="L2348" s="394"/>
      <c r="M2348" s="394"/>
      <c r="N2348" s="394"/>
      <c r="O2348" s="394"/>
      <c r="P2348" s="394"/>
      <c r="Q2348" s="394"/>
      <c r="R2348" s="381"/>
      <c r="S2348" s="408"/>
      <c r="T2348" s="385"/>
      <c r="U2348" s="475"/>
      <c r="V2348" s="395"/>
      <c r="W2348" s="395"/>
      <c r="X2348" s="393"/>
      <c r="Y2348" s="523">
        <v>1</v>
      </c>
      <c r="Z2348" s="497"/>
      <c r="AA2348" s="573">
        <v>17.747599999999998</v>
      </c>
      <c r="AB2348" s="394">
        <v>14.94309</v>
      </c>
      <c r="AC2348" s="394">
        <v>13.33868</v>
      </c>
      <c r="AD2348" s="394"/>
      <c r="AE2348" s="394"/>
      <c r="AF2348" s="394">
        <v>0</v>
      </c>
      <c r="AG2348" s="394">
        <v>0</v>
      </c>
      <c r="AH2348" s="394">
        <v>0.65381</v>
      </c>
      <c r="AI2348" s="394">
        <v>13.33868</v>
      </c>
      <c r="AJ2348" s="394"/>
      <c r="AK2348" s="381" t="s">
        <v>167</v>
      </c>
      <c r="AL2348" s="408" t="s">
        <v>175</v>
      </c>
      <c r="AM2348" s="385"/>
      <c r="AN2348" s="475">
        <v>1135</v>
      </c>
      <c r="AO2348" s="395"/>
      <c r="AP2348" s="395">
        <f t="shared" si="1043"/>
        <v>17.747599999999998</v>
      </c>
      <c r="AQ2348" s="393"/>
      <c r="AR2348" s="523"/>
      <c r="AS2348" s="497"/>
      <c r="AT2348" s="573"/>
      <c r="AU2348" s="394"/>
      <c r="AV2348" s="394"/>
      <c r="AW2348" s="394"/>
      <c r="AX2348" s="394"/>
      <c r="AY2348" s="394"/>
      <c r="AZ2348" s="394"/>
      <c r="BA2348" s="394"/>
      <c r="BB2348" s="394"/>
      <c r="BC2348" s="394"/>
      <c r="BD2348" s="381"/>
      <c r="BE2348" s="408"/>
      <c r="BF2348" s="385"/>
      <c r="BG2348" s="475"/>
      <c r="BH2348" s="395"/>
      <c r="BI2348" s="395" t="e">
        <f t="shared" si="1044"/>
        <v>#DIV/0!</v>
      </c>
    </row>
    <row r="2349" spans="1:61" s="358" customFormat="1" ht="19.2" x14ac:dyDescent="0.3">
      <c r="A2349" s="359" t="s">
        <v>1990</v>
      </c>
      <c r="B2349" s="572" t="s">
        <v>4032</v>
      </c>
      <c r="C2349" s="546" t="s">
        <v>3152</v>
      </c>
      <c r="D2349" s="360">
        <v>0.4</v>
      </c>
      <c r="E2349" s="393"/>
      <c r="F2349" s="523"/>
      <c r="G2349" s="393"/>
      <c r="H2349" s="573"/>
      <c r="I2349" s="394"/>
      <c r="J2349" s="394"/>
      <c r="K2349" s="394"/>
      <c r="L2349" s="394"/>
      <c r="M2349" s="394"/>
      <c r="N2349" s="394"/>
      <c r="O2349" s="394"/>
      <c r="P2349" s="394"/>
      <c r="Q2349" s="394"/>
      <c r="R2349" s="381"/>
      <c r="S2349" s="408"/>
      <c r="T2349" s="385"/>
      <c r="U2349" s="475"/>
      <c r="V2349" s="395"/>
      <c r="W2349" s="395"/>
      <c r="X2349" s="393"/>
      <c r="Y2349" s="523">
        <v>1</v>
      </c>
      <c r="Z2349" s="497"/>
      <c r="AA2349" s="573">
        <v>16.4619</v>
      </c>
      <c r="AB2349" s="394">
        <v>14.27998</v>
      </c>
      <c r="AC2349" s="394">
        <v>13.32917</v>
      </c>
      <c r="AD2349" s="394"/>
      <c r="AE2349" s="394"/>
      <c r="AF2349" s="394">
        <v>0</v>
      </c>
      <c r="AG2349" s="394">
        <v>0</v>
      </c>
      <c r="AH2349" s="394">
        <v>0.50866</v>
      </c>
      <c r="AI2349" s="394">
        <v>13.32917</v>
      </c>
      <c r="AJ2349" s="394"/>
      <c r="AK2349" s="381" t="s">
        <v>167</v>
      </c>
      <c r="AL2349" s="408" t="s">
        <v>175</v>
      </c>
      <c r="AM2349" s="385"/>
      <c r="AN2349" s="475">
        <v>1136</v>
      </c>
      <c r="AO2349" s="395"/>
      <c r="AP2349" s="395">
        <f t="shared" si="1043"/>
        <v>16.4619</v>
      </c>
      <c r="AQ2349" s="393"/>
      <c r="AR2349" s="523"/>
      <c r="AS2349" s="497"/>
      <c r="AT2349" s="573"/>
      <c r="AU2349" s="394"/>
      <c r="AV2349" s="394"/>
      <c r="AW2349" s="394"/>
      <c r="AX2349" s="394"/>
      <c r="AY2349" s="394"/>
      <c r="AZ2349" s="394"/>
      <c r="BA2349" s="394"/>
      <c r="BB2349" s="394"/>
      <c r="BC2349" s="394"/>
      <c r="BD2349" s="381"/>
      <c r="BE2349" s="408"/>
      <c r="BF2349" s="385"/>
      <c r="BG2349" s="475"/>
      <c r="BH2349" s="395"/>
      <c r="BI2349" s="395" t="e">
        <f t="shared" si="1044"/>
        <v>#DIV/0!</v>
      </c>
    </row>
    <row r="2350" spans="1:61" s="358" customFormat="1" ht="19.2" x14ac:dyDescent="0.3">
      <c r="A2350" s="359" t="s">
        <v>1991</v>
      </c>
      <c r="B2350" s="572" t="s">
        <v>4033</v>
      </c>
      <c r="C2350" s="546" t="s">
        <v>3153</v>
      </c>
      <c r="D2350" s="360">
        <v>0.4</v>
      </c>
      <c r="E2350" s="393"/>
      <c r="F2350" s="523"/>
      <c r="G2350" s="393"/>
      <c r="H2350" s="573"/>
      <c r="I2350" s="394"/>
      <c r="J2350" s="394"/>
      <c r="K2350" s="394"/>
      <c r="L2350" s="394"/>
      <c r="M2350" s="394"/>
      <c r="N2350" s="394"/>
      <c r="O2350" s="394"/>
      <c r="P2350" s="394"/>
      <c r="Q2350" s="394"/>
      <c r="R2350" s="381"/>
      <c r="S2350" s="408"/>
      <c r="T2350" s="385"/>
      <c r="U2350" s="475"/>
      <c r="V2350" s="395"/>
      <c r="W2350" s="395"/>
      <c r="X2350" s="393"/>
      <c r="Y2350" s="523">
        <v>1</v>
      </c>
      <c r="Z2350" s="497"/>
      <c r="AA2350" s="573">
        <v>16.46189</v>
      </c>
      <c r="AB2350" s="394">
        <v>14.27997</v>
      </c>
      <c r="AC2350" s="394">
        <v>13.32917</v>
      </c>
      <c r="AD2350" s="394"/>
      <c r="AE2350" s="394"/>
      <c r="AF2350" s="394">
        <v>0</v>
      </c>
      <c r="AG2350" s="394">
        <v>0</v>
      </c>
      <c r="AH2350" s="394">
        <v>0.50866</v>
      </c>
      <c r="AI2350" s="394">
        <v>13.32917</v>
      </c>
      <c r="AJ2350" s="394"/>
      <c r="AK2350" s="381" t="s">
        <v>167</v>
      </c>
      <c r="AL2350" s="408" t="s">
        <v>175</v>
      </c>
      <c r="AM2350" s="385"/>
      <c r="AN2350" s="475">
        <v>1137</v>
      </c>
      <c r="AO2350" s="395"/>
      <c r="AP2350" s="395">
        <f t="shared" si="1043"/>
        <v>16.46189</v>
      </c>
      <c r="AQ2350" s="393"/>
      <c r="AR2350" s="523"/>
      <c r="AS2350" s="497"/>
      <c r="AT2350" s="573"/>
      <c r="AU2350" s="394"/>
      <c r="AV2350" s="394"/>
      <c r="AW2350" s="394"/>
      <c r="AX2350" s="394"/>
      <c r="AY2350" s="394"/>
      <c r="AZ2350" s="394"/>
      <c r="BA2350" s="394"/>
      <c r="BB2350" s="394"/>
      <c r="BC2350" s="394"/>
      <c r="BD2350" s="381"/>
      <c r="BE2350" s="408"/>
      <c r="BF2350" s="385"/>
      <c r="BG2350" s="475"/>
      <c r="BH2350" s="395"/>
      <c r="BI2350" s="395" t="e">
        <f t="shared" si="1044"/>
        <v>#DIV/0!</v>
      </c>
    </row>
    <row r="2351" spans="1:61" s="358" customFormat="1" ht="19.2" x14ac:dyDescent="0.3">
      <c r="A2351" s="359" t="s">
        <v>2008</v>
      </c>
      <c r="B2351" s="572" t="s">
        <v>4034</v>
      </c>
      <c r="C2351" s="546" t="s">
        <v>3154</v>
      </c>
      <c r="D2351" s="360">
        <v>0.4</v>
      </c>
      <c r="E2351" s="393"/>
      <c r="F2351" s="523"/>
      <c r="G2351" s="393"/>
      <c r="H2351" s="573"/>
      <c r="I2351" s="394"/>
      <c r="J2351" s="394"/>
      <c r="K2351" s="394"/>
      <c r="L2351" s="394"/>
      <c r="M2351" s="394"/>
      <c r="N2351" s="394"/>
      <c r="O2351" s="394"/>
      <c r="P2351" s="394"/>
      <c r="Q2351" s="394"/>
      <c r="R2351" s="381"/>
      <c r="S2351" s="408"/>
      <c r="T2351" s="385"/>
      <c r="U2351" s="475"/>
      <c r="V2351" s="395"/>
      <c r="W2351" s="395"/>
      <c r="X2351" s="393"/>
      <c r="Y2351" s="523">
        <v>1</v>
      </c>
      <c r="Z2351" s="497"/>
      <c r="AA2351" s="573">
        <v>17.747599999999998</v>
      </c>
      <c r="AB2351" s="394">
        <v>14.94309</v>
      </c>
      <c r="AC2351" s="394">
        <v>13.33868</v>
      </c>
      <c r="AD2351" s="394"/>
      <c r="AE2351" s="394"/>
      <c r="AF2351" s="394">
        <v>0</v>
      </c>
      <c r="AG2351" s="394">
        <v>0</v>
      </c>
      <c r="AH2351" s="394">
        <v>0.65381</v>
      </c>
      <c r="AI2351" s="394">
        <v>13.33868</v>
      </c>
      <c r="AJ2351" s="394"/>
      <c r="AK2351" s="381" t="s">
        <v>167</v>
      </c>
      <c r="AL2351" s="408" t="s">
        <v>175</v>
      </c>
      <c r="AM2351" s="385"/>
      <c r="AN2351" s="475">
        <v>1138</v>
      </c>
      <c r="AO2351" s="395"/>
      <c r="AP2351" s="395">
        <f t="shared" si="1043"/>
        <v>17.747599999999998</v>
      </c>
      <c r="AQ2351" s="393"/>
      <c r="AR2351" s="523"/>
      <c r="AS2351" s="497"/>
      <c r="AT2351" s="573"/>
      <c r="AU2351" s="394"/>
      <c r="AV2351" s="394"/>
      <c r="AW2351" s="394"/>
      <c r="AX2351" s="394"/>
      <c r="AY2351" s="394"/>
      <c r="AZ2351" s="394"/>
      <c r="BA2351" s="394"/>
      <c r="BB2351" s="394"/>
      <c r="BC2351" s="394"/>
      <c r="BD2351" s="381"/>
      <c r="BE2351" s="408"/>
      <c r="BF2351" s="385"/>
      <c r="BG2351" s="475"/>
      <c r="BH2351" s="395"/>
      <c r="BI2351" s="395" t="e">
        <f t="shared" si="1044"/>
        <v>#DIV/0!</v>
      </c>
    </row>
    <row r="2352" spans="1:61" s="358" customFormat="1" ht="19.2" x14ac:dyDescent="0.3">
      <c r="A2352" s="359" t="s">
        <v>1993</v>
      </c>
      <c r="B2352" s="572" t="s">
        <v>4035</v>
      </c>
      <c r="C2352" s="546" t="s">
        <v>3155</v>
      </c>
      <c r="D2352" s="360">
        <v>0.4</v>
      </c>
      <c r="E2352" s="393"/>
      <c r="F2352" s="523"/>
      <c r="G2352" s="393"/>
      <c r="H2352" s="573"/>
      <c r="I2352" s="394"/>
      <c r="J2352" s="394"/>
      <c r="K2352" s="394"/>
      <c r="L2352" s="394"/>
      <c r="M2352" s="394"/>
      <c r="N2352" s="394"/>
      <c r="O2352" s="394"/>
      <c r="P2352" s="394"/>
      <c r="Q2352" s="394"/>
      <c r="R2352" s="381"/>
      <c r="S2352" s="408"/>
      <c r="T2352" s="385"/>
      <c r="U2352" s="475"/>
      <c r="V2352" s="395"/>
      <c r="W2352" s="395"/>
      <c r="X2352" s="393"/>
      <c r="Y2352" s="523">
        <v>1</v>
      </c>
      <c r="Z2352" s="497"/>
      <c r="AA2352" s="573">
        <v>16.4619</v>
      </c>
      <c r="AB2352" s="394">
        <v>14.27998</v>
      </c>
      <c r="AC2352" s="394">
        <v>13.32917</v>
      </c>
      <c r="AD2352" s="394"/>
      <c r="AE2352" s="394"/>
      <c r="AF2352" s="394">
        <v>0</v>
      </c>
      <c r="AG2352" s="394">
        <v>0</v>
      </c>
      <c r="AH2352" s="394">
        <v>0.50866</v>
      </c>
      <c r="AI2352" s="394">
        <v>13.32917</v>
      </c>
      <c r="AJ2352" s="394"/>
      <c r="AK2352" s="381" t="s">
        <v>167</v>
      </c>
      <c r="AL2352" s="408" t="s">
        <v>175</v>
      </c>
      <c r="AM2352" s="385"/>
      <c r="AN2352" s="475">
        <v>1139</v>
      </c>
      <c r="AO2352" s="395"/>
      <c r="AP2352" s="395">
        <f t="shared" si="1043"/>
        <v>16.4619</v>
      </c>
      <c r="AQ2352" s="393"/>
      <c r="AR2352" s="523"/>
      <c r="AS2352" s="497"/>
      <c r="AT2352" s="573"/>
      <c r="AU2352" s="394"/>
      <c r="AV2352" s="394"/>
      <c r="AW2352" s="394"/>
      <c r="AX2352" s="394"/>
      <c r="AY2352" s="394"/>
      <c r="AZ2352" s="394"/>
      <c r="BA2352" s="394"/>
      <c r="BB2352" s="394"/>
      <c r="BC2352" s="394"/>
      <c r="BD2352" s="381"/>
      <c r="BE2352" s="408"/>
      <c r="BF2352" s="385"/>
      <c r="BG2352" s="475"/>
      <c r="BH2352" s="395"/>
      <c r="BI2352" s="395" t="e">
        <f t="shared" si="1044"/>
        <v>#DIV/0!</v>
      </c>
    </row>
    <row r="2353" spans="1:61" s="358" customFormat="1" ht="19.2" x14ac:dyDescent="0.3">
      <c r="A2353" s="359" t="s">
        <v>1994</v>
      </c>
      <c r="B2353" s="572" t="s">
        <v>4036</v>
      </c>
      <c r="C2353" s="546" t="s">
        <v>3156</v>
      </c>
      <c r="D2353" s="360">
        <v>0.4</v>
      </c>
      <c r="E2353" s="393"/>
      <c r="F2353" s="523"/>
      <c r="G2353" s="393"/>
      <c r="H2353" s="573"/>
      <c r="I2353" s="394"/>
      <c r="J2353" s="394"/>
      <c r="K2353" s="394"/>
      <c r="L2353" s="394"/>
      <c r="M2353" s="394"/>
      <c r="N2353" s="394"/>
      <c r="O2353" s="394"/>
      <c r="P2353" s="394"/>
      <c r="Q2353" s="394"/>
      <c r="R2353" s="381"/>
      <c r="S2353" s="408"/>
      <c r="T2353" s="385"/>
      <c r="U2353" s="475"/>
      <c r="V2353" s="395"/>
      <c r="W2353" s="395"/>
      <c r="X2353" s="393"/>
      <c r="Y2353" s="523">
        <v>1</v>
      </c>
      <c r="Z2353" s="497"/>
      <c r="AA2353" s="573">
        <v>17.747589999999999</v>
      </c>
      <c r="AB2353" s="394">
        <v>14.94308</v>
      </c>
      <c r="AC2353" s="394">
        <v>13.33868</v>
      </c>
      <c r="AD2353" s="394"/>
      <c r="AE2353" s="394"/>
      <c r="AF2353" s="394">
        <v>0</v>
      </c>
      <c r="AG2353" s="394">
        <v>0</v>
      </c>
      <c r="AH2353" s="394">
        <v>0.65381</v>
      </c>
      <c r="AI2353" s="394">
        <v>13.33868</v>
      </c>
      <c r="AJ2353" s="394"/>
      <c r="AK2353" s="381" t="s">
        <v>167</v>
      </c>
      <c r="AL2353" s="408" t="s">
        <v>175</v>
      </c>
      <c r="AM2353" s="385"/>
      <c r="AN2353" s="475">
        <v>1140</v>
      </c>
      <c r="AO2353" s="395"/>
      <c r="AP2353" s="395">
        <f t="shared" si="1043"/>
        <v>17.747589999999999</v>
      </c>
      <c r="AQ2353" s="393"/>
      <c r="AR2353" s="523"/>
      <c r="AS2353" s="497"/>
      <c r="AT2353" s="573"/>
      <c r="AU2353" s="394"/>
      <c r="AV2353" s="394"/>
      <c r="AW2353" s="394"/>
      <c r="AX2353" s="394"/>
      <c r="AY2353" s="394"/>
      <c r="AZ2353" s="394"/>
      <c r="BA2353" s="394"/>
      <c r="BB2353" s="394"/>
      <c r="BC2353" s="394"/>
      <c r="BD2353" s="381"/>
      <c r="BE2353" s="408"/>
      <c r="BF2353" s="385"/>
      <c r="BG2353" s="475"/>
      <c r="BH2353" s="395"/>
      <c r="BI2353" s="395" t="e">
        <f t="shared" si="1044"/>
        <v>#DIV/0!</v>
      </c>
    </row>
    <row r="2354" spans="1:61" s="358" customFormat="1" ht="19.2" x14ac:dyDescent="0.3">
      <c r="A2354" s="359" t="s">
        <v>1979</v>
      </c>
      <c r="B2354" s="572" t="s">
        <v>2306</v>
      </c>
      <c r="C2354" s="546" t="s">
        <v>2305</v>
      </c>
      <c r="D2354" s="360">
        <v>0.4</v>
      </c>
      <c r="E2354" s="393"/>
      <c r="F2354" s="523"/>
      <c r="G2354" s="393"/>
      <c r="H2354" s="573"/>
      <c r="I2354" s="394"/>
      <c r="J2354" s="394"/>
      <c r="K2354" s="394"/>
      <c r="L2354" s="394"/>
      <c r="M2354" s="394"/>
      <c r="N2354" s="394"/>
      <c r="O2354" s="394"/>
      <c r="P2354" s="394"/>
      <c r="Q2354" s="394"/>
      <c r="R2354" s="381"/>
      <c r="S2354" s="408"/>
      <c r="T2354" s="385"/>
      <c r="U2354" s="475"/>
      <c r="V2354" s="395"/>
      <c r="W2354" s="395"/>
      <c r="X2354" s="393"/>
      <c r="Y2354" s="523">
        <v>1</v>
      </c>
      <c r="Z2354" s="497"/>
      <c r="AA2354" s="573">
        <v>16.46189</v>
      </c>
      <c r="AB2354" s="394">
        <v>14.27997</v>
      </c>
      <c r="AC2354" s="394">
        <v>13.32917</v>
      </c>
      <c r="AD2354" s="394"/>
      <c r="AE2354" s="394"/>
      <c r="AF2354" s="394">
        <v>0</v>
      </c>
      <c r="AG2354" s="394">
        <v>0</v>
      </c>
      <c r="AH2354" s="394">
        <v>0.50866</v>
      </c>
      <c r="AI2354" s="394">
        <v>13.32917</v>
      </c>
      <c r="AJ2354" s="394"/>
      <c r="AK2354" s="381" t="s">
        <v>167</v>
      </c>
      <c r="AL2354" s="408" t="s">
        <v>175</v>
      </c>
      <c r="AM2354" s="385"/>
      <c r="AN2354" s="475">
        <v>1141</v>
      </c>
      <c r="AO2354" s="395"/>
      <c r="AP2354" s="395">
        <f t="shared" si="1043"/>
        <v>16.46189</v>
      </c>
      <c r="AQ2354" s="393"/>
      <c r="AR2354" s="523"/>
      <c r="AS2354" s="497"/>
      <c r="AT2354" s="573"/>
      <c r="AU2354" s="394"/>
      <c r="AV2354" s="394"/>
      <c r="AW2354" s="394"/>
      <c r="AX2354" s="394"/>
      <c r="AY2354" s="394"/>
      <c r="AZ2354" s="394"/>
      <c r="BA2354" s="394"/>
      <c r="BB2354" s="394"/>
      <c r="BC2354" s="394"/>
      <c r="BD2354" s="381"/>
      <c r="BE2354" s="408"/>
      <c r="BF2354" s="385"/>
      <c r="BG2354" s="475"/>
      <c r="BH2354" s="395"/>
      <c r="BI2354" s="395" t="e">
        <f t="shared" si="1044"/>
        <v>#DIV/0!</v>
      </c>
    </row>
    <row r="2355" spans="1:61" s="358" customFormat="1" ht="19.2" x14ac:dyDescent="0.3">
      <c r="A2355" s="359" t="s">
        <v>1996</v>
      </c>
      <c r="B2355" s="572" t="s">
        <v>2323</v>
      </c>
      <c r="C2355" s="546" t="s">
        <v>2322</v>
      </c>
      <c r="D2355" s="360">
        <v>0.4</v>
      </c>
      <c r="E2355" s="393"/>
      <c r="F2355" s="523"/>
      <c r="G2355" s="393"/>
      <c r="H2355" s="573"/>
      <c r="I2355" s="394"/>
      <c r="J2355" s="394"/>
      <c r="K2355" s="394"/>
      <c r="L2355" s="394"/>
      <c r="M2355" s="394"/>
      <c r="N2355" s="394"/>
      <c r="O2355" s="394"/>
      <c r="P2355" s="394"/>
      <c r="Q2355" s="394"/>
      <c r="R2355" s="381"/>
      <c r="S2355" s="408"/>
      <c r="T2355" s="385"/>
      <c r="U2355" s="475"/>
      <c r="V2355" s="395"/>
      <c r="W2355" s="395"/>
      <c r="X2355" s="393"/>
      <c r="Y2355" s="523">
        <v>1</v>
      </c>
      <c r="Z2355" s="497"/>
      <c r="AA2355" s="573">
        <v>16.46189</v>
      </c>
      <c r="AB2355" s="394">
        <v>14.27997</v>
      </c>
      <c r="AC2355" s="394">
        <v>13.32917</v>
      </c>
      <c r="AD2355" s="394"/>
      <c r="AE2355" s="394"/>
      <c r="AF2355" s="394">
        <v>0</v>
      </c>
      <c r="AG2355" s="394">
        <v>0</v>
      </c>
      <c r="AH2355" s="394">
        <v>0.50866</v>
      </c>
      <c r="AI2355" s="394">
        <v>13.32917</v>
      </c>
      <c r="AJ2355" s="394"/>
      <c r="AK2355" s="381" t="s">
        <v>167</v>
      </c>
      <c r="AL2355" s="408" t="s">
        <v>175</v>
      </c>
      <c r="AM2355" s="385"/>
      <c r="AN2355" s="475">
        <v>1142</v>
      </c>
      <c r="AO2355" s="395"/>
      <c r="AP2355" s="395">
        <f t="shared" si="1043"/>
        <v>16.46189</v>
      </c>
      <c r="AQ2355" s="393"/>
      <c r="AR2355" s="523"/>
      <c r="AS2355" s="497"/>
      <c r="AT2355" s="573"/>
      <c r="AU2355" s="394"/>
      <c r="AV2355" s="394"/>
      <c r="AW2355" s="394"/>
      <c r="AX2355" s="394"/>
      <c r="AY2355" s="394"/>
      <c r="AZ2355" s="394"/>
      <c r="BA2355" s="394"/>
      <c r="BB2355" s="394"/>
      <c r="BC2355" s="394"/>
      <c r="BD2355" s="381"/>
      <c r="BE2355" s="408"/>
      <c r="BF2355" s="385"/>
      <c r="BG2355" s="475"/>
      <c r="BH2355" s="395"/>
      <c r="BI2355" s="395" t="e">
        <f t="shared" si="1044"/>
        <v>#DIV/0!</v>
      </c>
    </row>
    <row r="2356" spans="1:61" s="358" customFormat="1" ht="19.2" x14ac:dyDescent="0.3">
      <c r="A2356" s="359" t="s">
        <v>1997</v>
      </c>
      <c r="B2356" s="572" t="s">
        <v>2366</v>
      </c>
      <c r="C2356" s="546" t="s">
        <v>2365</v>
      </c>
      <c r="D2356" s="360">
        <v>0.4</v>
      </c>
      <c r="E2356" s="393"/>
      <c r="F2356" s="523"/>
      <c r="G2356" s="393"/>
      <c r="H2356" s="573"/>
      <c r="I2356" s="394"/>
      <c r="J2356" s="394"/>
      <c r="K2356" s="394"/>
      <c r="L2356" s="394"/>
      <c r="M2356" s="394"/>
      <c r="N2356" s="394"/>
      <c r="O2356" s="394"/>
      <c r="P2356" s="394"/>
      <c r="Q2356" s="394"/>
      <c r="R2356" s="381"/>
      <c r="S2356" s="408"/>
      <c r="T2356" s="385"/>
      <c r="U2356" s="475"/>
      <c r="V2356" s="395"/>
      <c r="W2356" s="395"/>
      <c r="X2356" s="393"/>
      <c r="Y2356" s="523">
        <v>1</v>
      </c>
      <c r="Z2356" s="497"/>
      <c r="AA2356" s="573">
        <v>16.461919999999999</v>
      </c>
      <c r="AB2356" s="394">
        <v>14.28002</v>
      </c>
      <c r="AC2356" s="394">
        <v>13.32917</v>
      </c>
      <c r="AD2356" s="394"/>
      <c r="AE2356" s="394"/>
      <c r="AF2356" s="394">
        <v>0</v>
      </c>
      <c r="AG2356" s="394">
        <v>0</v>
      </c>
      <c r="AH2356" s="394">
        <v>0.50866</v>
      </c>
      <c r="AI2356" s="394">
        <v>13.32917</v>
      </c>
      <c r="AJ2356" s="394"/>
      <c r="AK2356" s="381" t="s">
        <v>167</v>
      </c>
      <c r="AL2356" s="408" t="s">
        <v>175</v>
      </c>
      <c r="AM2356" s="385"/>
      <c r="AN2356" s="475">
        <v>1143</v>
      </c>
      <c r="AO2356" s="395"/>
      <c r="AP2356" s="395">
        <f t="shared" si="1043"/>
        <v>16.461919999999999</v>
      </c>
      <c r="AQ2356" s="393"/>
      <c r="AR2356" s="523"/>
      <c r="AS2356" s="497"/>
      <c r="AT2356" s="573"/>
      <c r="AU2356" s="394"/>
      <c r="AV2356" s="394"/>
      <c r="AW2356" s="394"/>
      <c r="AX2356" s="394"/>
      <c r="AY2356" s="394"/>
      <c r="AZ2356" s="394"/>
      <c r="BA2356" s="394"/>
      <c r="BB2356" s="394"/>
      <c r="BC2356" s="394"/>
      <c r="BD2356" s="381"/>
      <c r="BE2356" s="408"/>
      <c r="BF2356" s="385"/>
      <c r="BG2356" s="475"/>
      <c r="BH2356" s="395"/>
      <c r="BI2356" s="395" t="e">
        <f t="shared" si="1044"/>
        <v>#DIV/0!</v>
      </c>
    </row>
    <row r="2357" spans="1:61" s="358" customFormat="1" ht="19.2" x14ac:dyDescent="0.3">
      <c r="A2357" s="359" t="s">
        <v>1998</v>
      </c>
      <c r="B2357" s="572" t="s">
        <v>2380</v>
      </c>
      <c r="C2357" s="546" t="s">
        <v>3157</v>
      </c>
      <c r="D2357" s="360">
        <v>0.4</v>
      </c>
      <c r="E2357" s="393"/>
      <c r="F2357" s="523"/>
      <c r="G2357" s="393"/>
      <c r="H2357" s="573"/>
      <c r="I2357" s="394"/>
      <c r="J2357" s="394"/>
      <c r="K2357" s="394"/>
      <c r="L2357" s="394"/>
      <c r="M2357" s="394"/>
      <c r="N2357" s="394"/>
      <c r="O2357" s="394"/>
      <c r="P2357" s="394"/>
      <c r="Q2357" s="394"/>
      <c r="R2357" s="381"/>
      <c r="S2357" s="408"/>
      <c r="T2357" s="385"/>
      <c r="U2357" s="475"/>
      <c r="V2357" s="395"/>
      <c r="W2357" s="395"/>
      <c r="X2357" s="393"/>
      <c r="Y2357" s="523">
        <v>1</v>
      </c>
      <c r="Z2357" s="497"/>
      <c r="AA2357" s="573">
        <v>16.4619</v>
      </c>
      <c r="AB2357" s="394">
        <v>14.27998</v>
      </c>
      <c r="AC2357" s="394">
        <v>13.32917</v>
      </c>
      <c r="AD2357" s="394"/>
      <c r="AE2357" s="394"/>
      <c r="AF2357" s="394">
        <v>0</v>
      </c>
      <c r="AG2357" s="394">
        <v>0</v>
      </c>
      <c r="AH2357" s="394">
        <v>0.50866</v>
      </c>
      <c r="AI2357" s="394">
        <v>13.32917</v>
      </c>
      <c r="AJ2357" s="394"/>
      <c r="AK2357" s="381" t="s">
        <v>167</v>
      </c>
      <c r="AL2357" s="408" t="s">
        <v>175</v>
      </c>
      <c r="AM2357" s="385"/>
      <c r="AN2357" s="475">
        <v>1144</v>
      </c>
      <c r="AO2357" s="395"/>
      <c r="AP2357" s="395">
        <f t="shared" si="1043"/>
        <v>16.4619</v>
      </c>
      <c r="AQ2357" s="393"/>
      <c r="AR2357" s="523"/>
      <c r="AS2357" s="497"/>
      <c r="AT2357" s="573"/>
      <c r="AU2357" s="394"/>
      <c r="AV2357" s="394"/>
      <c r="AW2357" s="394"/>
      <c r="AX2357" s="394"/>
      <c r="AY2357" s="394"/>
      <c r="AZ2357" s="394"/>
      <c r="BA2357" s="394"/>
      <c r="BB2357" s="394"/>
      <c r="BC2357" s="394"/>
      <c r="BD2357" s="381"/>
      <c r="BE2357" s="408"/>
      <c r="BF2357" s="385"/>
      <c r="BG2357" s="475"/>
      <c r="BH2357" s="395"/>
      <c r="BI2357" s="395" t="e">
        <f t="shared" si="1044"/>
        <v>#DIV/0!</v>
      </c>
    </row>
    <row r="2358" spans="1:61" s="358" customFormat="1" ht="19.2" x14ac:dyDescent="0.3">
      <c r="A2358" s="359" t="s">
        <v>1999</v>
      </c>
      <c r="B2358" s="572" t="s">
        <v>2380</v>
      </c>
      <c r="C2358" s="546" t="s">
        <v>2379</v>
      </c>
      <c r="D2358" s="360">
        <v>0.4</v>
      </c>
      <c r="E2358" s="393"/>
      <c r="F2358" s="523"/>
      <c r="G2358" s="393"/>
      <c r="H2358" s="573"/>
      <c r="I2358" s="394"/>
      <c r="J2358" s="394"/>
      <c r="K2358" s="394"/>
      <c r="L2358" s="394"/>
      <c r="M2358" s="394"/>
      <c r="N2358" s="394"/>
      <c r="O2358" s="394"/>
      <c r="P2358" s="394"/>
      <c r="Q2358" s="394"/>
      <c r="R2358" s="381"/>
      <c r="S2358" s="408"/>
      <c r="T2358" s="385"/>
      <c r="U2358" s="475"/>
      <c r="V2358" s="395"/>
      <c r="W2358" s="395"/>
      <c r="X2358" s="393"/>
      <c r="Y2358" s="523">
        <v>1</v>
      </c>
      <c r="Z2358" s="497"/>
      <c r="AA2358" s="573">
        <v>16.46191</v>
      </c>
      <c r="AB2358" s="394">
        <v>14.27999</v>
      </c>
      <c r="AC2358" s="394">
        <v>13.32917</v>
      </c>
      <c r="AD2358" s="394"/>
      <c r="AE2358" s="394"/>
      <c r="AF2358" s="394">
        <v>0</v>
      </c>
      <c r="AG2358" s="394">
        <v>0</v>
      </c>
      <c r="AH2358" s="394">
        <v>0.50866</v>
      </c>
      <c r="AI2358" s="394">
        <v>13.32917</v>
      </c>
      <c r="AJ2358" s="394"/>
      <c r="AK2358" s="381" t="s">
        <v>167</v>
      </c>
      <c r="AL2358" s="408" t="s">
        <v>175</v>
      </c>
      <c r="AM2358" s="385"/>
      <c r="AN2358" s="475">
        <v>1145</v>
      </c>
      <c r="AO2358" s="395"/>
      <c r="AP2358" s="395">
        <f t="shared" si="1043"/>
        <v>16.46191</v>
      </c>
      <c r="AQ2358" s="393"/>
      <c r="AR2358" s="523"/>
      <c r="AS2358" s="497"/>
      <c r="AT2358" s="573"/>
      <c r="AU2358" s="394"/>
      <c r="AV2358" s="394"/>
      <c r="AW2358" s="394"/>
      <c r="AX2358" s="394"/>
      <c r="AY2358" s="394"/>
      <c r="AZ2358" s="394"/>
      <c r="BA2358" s="394"/>
      <c r="BB2358" s="394"/>
      <c r="BC2358" s="394"/>
      <c r="BD2358" s="381"/>
      <c r="BE2358" s="408"/>
      <c r="BF2358" s="385"/>
      <c r="BG2358" s="475"/>
      <c r="BH2358" s="395"/>
      <c r="BI2358" s="395" t="e">
        <f t="shared" si="1044"/>
        <v>#DIV/0!</v>
      </c>
    </row>
    <row r="2359" spans="1:61" s="358" customFormat="1" ht="19.2" x14ac:dyDescent="0.3">
      <c r="A2359" s="359" t="s">
        <v>2000</v>
      </c>
      <c r="B2359" s="572" t="s">
        <v>4037</v>
      </c>
      <c r="C2359" s="546" t="s">
        <v>3159</v>
      </c>
      <c r="D2359" s="360">
        <v>0.4</v>
      </c>
      <c r="E2359" s="393"/>
      <c r="F2359" s="523"/>
      <c r="G2359" s="393"/>
      <c r="H2359" s="573"/>
      <c r="I2359" s="394"/>
      <c r="J2359" s="394"/>
      <c r="K2359" s="394"/>
      <c r="L2359" s="394"/>
      <c r="M2359" s="394"/>
      <c r="N2359" s="394"/>
      <c r="O2359" s="394"/>
      <c r="P2359" s="394"/>
      <c r="Q2359" s="394"/>
      <c r="R2359" s="381"/>
      <c r="S2359" s="408"/>
      <c r="T2359" s="385"/>
      <c r="U2359" s="475"/>
      <c r="V2359" s="395"/>
      <c r="W2359" s="395"/>
      <c r="X2359" s="393"/>
      <c r="Y2359" s="523">
        <v>1</v>
      </c>
      <c r="Z2359" s="497"/>
      <c r="AA2359" s="573">
        <v>17.747599999999998</v>
      </c>
      <c r="AB2359" s="394">
        <v>14.94309</v>
      </c>
      <c r="AC2359" s="394">
        <v>13.33868</v>
      </c>
      <c r="AD2359" s="394"/>
      <c r="AE2359" s="394"/>
      <c r="AF2359" s="394">
        <v>0</v>
      </c>
      <c r="AG2359" s="394">
        <v>0</v>
      </c>
      <c r="AH2359" s="394">
        <v>0.65381</v>
      </c>
      <c r="AI2359" s="394">
        <v>13.33868</v>
      </c>
      <c r="AJ2359" s="394"/>
      <c r="AK2359" s="381" t="s">
        <v>167</v>
      </c>
      <c r="AL2359" s="408" t="s">
        <v>175</v>
      </c>
      <c r="AM2359" s="385"/>
      <c r="AN2359" s="475">
        <v>1146</v>
      </c>
      <c r="AO2359" s="395"/>
      <c r="AP2359" s="395">
        <f t="shared" si="1043"/>
        <v>17.747599999999998</v>
      </c>
      <c r="AQ2359" s="393"/>
      <c r="AR2359" s="523"/>
      <c r="AS2359" s="497"/>
      <c r="AT2359" s="573"/>
      <c r="AU2359" s="394"/>
      <c r="AV2359" s="394"/>
      <c r="AW2359" s="394"/>
      <c r="AX2359" s="394"/>
      <c r="AY2359" s="394"/>
      <c r="AZ2359" s="394"/>
      <c r="BA2359" s="394"/>
      <c r="BB2359" s="394"/>
      <c r="BC2359" s="394"/>
      <c r="BD2359" s="381"/>
      <c r="BE2359" s="408"/>
      <c r="BF2359" s="385"/>
      <c r="BG2359" s="475"/>
      <c r="BH2359" s="395"/>
      <c r="BI2359" s="395" t="e">
        <f t="shared" si="1044"/>
        <v>#DIV/0!</v>
      </c>
    </row>
    <row r="2360" spans="1:61" s="358" customFormat="1" ht="19.2" x14ac:dyDescent="0.3">
      <c r="A2360" s="359" t="s">
        <v>2001</v>
      </c>
      <c r="B2360" s="572" t="s">
        <v>2327</v>
      </c>
      <c r="C2360" s="550" t="s">
        <v>2326</v>
      </c>
      <c r="D2360" s="360">
        <v>0.4</v>
      </c>
      <c r="E2360" s="393"/>
      <c r="F2360" s="523"/>
      <c r="G2360" s="393"/>
      <c r="H2360" s="573"/>
      <c r="I2360" s="394"/>
      <c r="J2360" s="394"/>
      <c r="K2360" s="394"/>
      <c r="L2360" s="394"/>
      <c r="M2360" s="394"/>
      <c r="N2360" s="394"/>
      <c r="O2360" s="394"/>
      <c r="P2360" s="394"/>
      <c r="Q2360" s="394"/>
      <c r="R2360" s="381"/>
      <c r="S2360" s="408"/>
      <c r="T2360" s="385"/>
      <c r="U2360" s="475"/>
      <c r="V2360" s="395"/>
      <c r="W2360" s="395"/>
      <c r="X2360" s="393"/>
      <c r="Y2360" s="523">
        <v>1</v>
      </c>
      <c r="Z2360" s="497"/>
      <c r="AA2360" s="573">
        <v>17.862089999999998</v>
      </c>
      <c r="AB2360" s="394">
        <v>15.368880000000001</v>
      </c>
      <c r="AC2360" s="394">
        <v>14.364610000000001</v>
      </c>
      <c r="AD2360" s="394"/>
      <c r="AE2360" s="394"/>
      <c r="AF2360" s="394">
        <v>0</v>
      </c>
      <c r="AG2360" s="394">
        <v>0</v>
      </c>
      <c r="AH2360" s="394">
        <v>0.58123999999999998</v>
      </c>
      <c r="AI2360" s="394">
        <v>14.364610000000001</v>
      </c>
      <c r="AJ2360" s="394"/>
      <c r="AK2360" s="381" t="s">
        <v>167</v>
      </c>
      <c r="AL2360" s="408" t="s">
        <v>175</v>
      </c>
      <c r="AM2360" s="385"/>
      <c r="AN2360" s="475">
        <v>1147</v>
      </c>
      <c r="AO2360" s="395"/>
      <c r="AP2360" s="395">
        <f t="shared" si="1043"/>
        <v>17.862089999999998</v>
      </c>
      <c r="AQ2360" s="393"/>
      <c r="AR2360" s="523"/>
      <c r="AS2360" s="497"/>
      <c r="AT2360" s="573"/>
      <c r="AU2360" s="394"/>
      <c r="AV2360" s="394"/>
      <c r="AW2360" s="394"/>
      <c r="AX2360" s="394"/>
      <c r="AY2360" s="394"/>
      <c r="AZ2360" s="394"/>
      <c r="BA2360" s="394"/>
      <c r="BB2360" s="394"/>
      <c r="BC2360" s="394"/>
      <c r="BD2360" s="381"/>
      <c r="BE2360" s="408"/>
      <c r="BF2360" s="385"/>
      <c r="BG2360" s="475"/>
      <c r="BH2360" s="395"/>
      <c r="BI2360" s="395" t="e">
        <f t="shared" si="1044"/>
        <v>#DIV/0!</v>
      </c>
    </row>
    <row r="2361" spans="1:61" s="358" customFormat="1" ht="19.2" x14ac:dyDescent="0.3">
      <c r="A2361" s="359" t="s">
        <v>2002</v>
      </c>
      <c r="B2361" s="572" t="s">
        <v>2329</v>
      </c>
      <c r="C2361" s="546" t="s">
        <v>2328</v>
      </c>
      <c r="D2361" s="360">
        <v>0.4</v>
      </c>
      <c r="E2361" s="393"/>
      <c r="F2361" s="523"/>
      <c r="G2361" s="393"/>
      <c r="H2361" s="573"/>
      <c r="I2361" s="394"/>
      <c r="J2361" s="394"/>
      <c r="K2361" s="394"/>
      <c r="L2361" s="394"/>
      <c r="M2361" s="394"/>
      <c r="N2361" s="394"/>
      <c r="O2361" s="394"/>
      <c r="P2361" s="394"/>
      <c r="Q2361" s="394"/>
      <c r="R2361" s="381"/>
      <c r="S2361" s="408"/>
      <c r="T2361" s="385"/>
      <c r="U2361" s="475"/>
      <c r="V2361" s="395"/>
      <c r="W2361" s="395"/>
      <c r="X2361" s="393"/>
      <c r="Y2361" s="523">
        <v>1</v>
      </c>
      <c r="Z2361" s="497"/>
      <c r="AA2361" s="573">
        <v>17.862089999999998</v>
      </c>
      <c r="AB2361" s="394">
        <v>15.368880000000001</v>
      </c>
      <c r="AC2361" s="394">
        <v>14.364610000000001</v>
      </c>
      <c r="AD2361" s="394"/>
      <c r="AE2361" s="394"/>
      <c r="AF2361" s="394">
        <v>0</v>
      </c>
      <c r="AG2361" s="394">
        <v>0</v>
      </c>
      <c r="AH2361" s="394">
        <v>0.58123999999999998</v>
      </c>
      <c r="AI2361" s="394">
        <v>14.364610000000001</v>
      </c>
      <c r="AJ2361" s="394"/>
      <c r="AK2361" s="381" t="s">
        <v>167</v>
      </c>
      <c r="AL2361" s="408" t="s">
        <v>175</v>
      </c>
      <c r="AM2361" s="385"/>
      <c r="AN2361" s="475">
        <v>1148</v>
      </c>
      <c r="AO2361" s="395"/>
      <c r="AP2361" s="395">
        <f t="shared" si="1043"/>
        <v>17.862089999999998</v>
      </c>
      <c r="AQ2361" s="393"/>
      <c r="AR2361" s="523"/>
      <c r="AS2361" s="497"/>
      <c r="AT2361" s="573"/>
      <c r="AU2361" s="394"/>
      <c r="AV2361" s="394"/>
      <c r="AW2361" s="394"/>
      <c r="AX2361" s="394"/>
      <c r="AY2361" s="394"/>
      <c r="AZ2361" s="394"/>
      <c r="BA2361" s="394"/>
      <c r="BB2361" s="394"/>
      <c r="BC2361" s="394"/>
      <c r="BD2361" s="381"/>
      <c r="BE2361" s="408"/>
      <c r="BF2361" s="385"/>
      <c r="BG2361" s="475"/>
      <c r="BH2361" s="395"/>
      <c r="BI2361" s="395" t="e">
        <f t="shared" si="1044"/>
        <v>#DIV/0!</v>
      </c>
    </row>
    <row r="2362" spans="1:61" s="358" customFormat="1" ht="19.2" x14ac:dyDescent="0.3">
      <c r="A2362" s="359" t="s">
        <v>2003</v>
      </c>
      <c r="B2362" s="572" t="s">
        <v>4038</v>
      </c>
      <c r="C2362" s="546" t="s">
        <v>3161</v>
      </c>
      <c r="D2362" s="360">
        <v>0.4</v>
      </c>
      <c r="E2362" s="393"/>
      <c r="F2362" s="523"/>
      <c r="G2362" s="393"/>
      <c r="H2362" s="573"/>
      <c r="I2362" s="394"/>
      <c r="J2362" s="394"/>
      <c r="K2362" s="394"/>
      <c r="L2362" s="394"/>
      <c r="M2362" s="394"/>
      <c r="N2362" s="394"/>
      <c r="O2362" s="394"/>
      <c r="P2362" s="394"/>
      <c r="Q2362" s="394"/>
      <c r="R2362" s="381"/>
      <c r="S2362" s="408"/>
      <c r="T2362" s="385"/>
      <c r="U2362" s="475"/>
      <c r="V2362" s="395"/>
      <c r="W2362" s="395"/>
      <c r="X2362" s="393"/>
      <c r="Y2362" s="523">
        <v>1</v>
      </c>
      <c r="Z2362" s="497"/>
      <c r="AA2362" s="573">
        <v>17.86204</v>
      </c>
      <c r="AB2362" s="394">
        <v>15.368830000000001</v>
      </c>
      <c r="AC2362" s="394">
        <v>14.364560000000001</v>
      </c>
      <c r="AD2362" s="394"/>
      <c r="AE2362" s="394"/>
      <c r="AF2362" s="394">
        <v>0</v>
      </c>
      <c r="AG2362" s="394">
        <v>0</v>
      </c>
      <c r="AH2362" s="394">
        <v>0.58123999999999998</v>
      </c>
      <c r="AI2362" s="394">
        <v>14.364560000000001</v>
      </c>
      <c r="AJ2362" s="394"/>
      <c r="AK2362" s="381" t="s">
        <v>167</v>
      </c>
      <c r="AL2362" s="408" t="s">
        <v>175</v>
      </c>
      <c r="AM2362" s="385"/>
      <c r="AN2362" s="475">
        <v>1149</v>
      </c>
      <c r="AO2362" s="395"/>
      <c r="AP2362" s="395">
        <f t="shared" si="1043"/>
        <v>17.86204</v>
      </c>
      <c r="AQ2362" s="393"/>
      <c r="AR2362" s="523"/>
      <c r="AS2362" s="497"/>
      <c r="AT2362" s="573"/>
      <c r="AU2362" s="394"/>
      <c r="AV2362" s="394"/>
      <c r="AW2362" s="394"/>
      <c r="AX2362" s="394"/>
      <c r="AY2362" s="394"/>
      <c r="AZ2362" s="394"/>
      <c r="BA2362" s="394"/>
      <c r="BB2362" s="394"/>
      <c r="BC2362" s="394"/>
      <c r="BD2362" s="381"/>
      <c r="BE2362" s="408"/>
      <c r="BF2362" s="385"/>
      <c r="BG2362" s="475"/>
      <c r="BH2362" s="395"/>
      <c r="BI2362" s="395" t="e">
        <f t="shared" si="1044"/>
        <v>#DIV/0!</v>
      </c>
    </row>
    <row r="2363" spans="1:61" s="358" customFormat="1" ht="19.2" x14ac:dyDescent="0.3">
      <c r="A2363" s="359" t="s">
        <v>2020</v>
      </c>
      <c r="B2363" s="572" t="s">
        <v>4039</v>
      </c>
      <c r="C2363" s="546" t="s">
        <v>3162</v>
      </c>
      <c r="D2363" s="360">
        <v>0.4</v>
      </c>
      <c r="E2363" s="393"/>
      <c r="F2363" s="523"/>
      <c r="G2363" s="393"/>
      <c r="H2363" s="573"/>
      <c r="I2363" s="394"/>
      <c r="J2363" s="394"/>
      <c r="K2363" s="394"/>
      <c r="L2363" s="394"/>
      <c r="M2363" s="394"/>
      <c r="N2363" s="394"/>
      <c r="O2363" s="394"/>
      <c r="P2363" s="394"/>
      <c r="Q2363" s="394"/>
      <c r="R2363" s="381"/>
      <c r="S2363" s="408"/>
      <c r="T2363" s="385"/>
      <c r="U2363" s="475"/>
      <c r="V2363" s="395"/>
      <c r="W2363" s="395"/>
      <c r="X2363" s="393"/>
      <c r="Y2363" s="523">
        <v>1</v>
      </c>
      <c r="Z2363" s="497"/>
      <c r="AA2363" s="573">
        <v>28.17465</v>
      </c>
      <c r="AB2363" s="394">
        <v>25.681439999999998</v>
      </c>
      <c r="AC2363" s="394">
        <v>14.364610000000001</v>
      </c>
      <c r="AD2363" s="394">
        <v>5.6013200000000003</v>
      </c>
      <c r="AE2363" s="394"/>
      <c r="AF2363" s="394">
        <v>0</v>
      </c>
      <c r="AG2363" s="394">
        <v>0</v>
      </c>
      <c r="AH2363" s="394">
        <v>0.58123999999999998</v>
      </c>
      <c r="AI2363" s="394">
        <v>14.364610000000001</v>
      </c>
      <c r="AJ2363" s="394">
        <v>5.6013200000000003</v>
      </c>
      <c r="AK2363" s="381" t="s">
        <v>167</v>
      </c>
      <c r="AL2363" s="408" t="s">
        <v>175</v>
      </c>
      <c r="AM2363" s="385"/>
      <c r="AN2363" s="475">
        <v>1150</v>
      </c>
      <c r="AO2363" s="395"/>
      <c r="AP2363" s="395">
        <f t="shared" si="1043"/>
        <v>28.17465</v>
      </c>
      <c r="AQ2363" s="393"/>
      <c r="AR2363" s="523"/>
      <c r="AS2363" s="497"/>
      <c r="AT2363" s="573"/>
      <c r="AU2363" s="394"/>
      <c r="AV2363" s="394"/>
      <c r="AW2363" s="394"/>
      <c r="AX2363" s="394"/>
      <c r="AY2363" s="394"/>
      <c r="AZ2363" s="394"/>
      <c r="BA2363" s="394"/>
      <c r="BB2363" s="394"/>
      <c r="BC2363" s="394"/>
      <c r="BD2363" s="381"/>
      <c r="BE2363" s="408"/>
      <c r="BF2363" s="385"/>
      <c r="BG2363" s="475"/>
      <c r="BH2363" s="395"/>
      <c r="BI2363" s="395" t="e">
        <f t="shared" si="1044"/>
        <v>#DIV/0!</v>
      </c>
    </row>
    <row r="2364" spans="1:61" s="358" customFormat="1" ht="19.2" x14ac:dyDescent="0.3">
      <c r="A2364" s="359" t="s">
        <v>2005</v>
      </c>
      <c r="B2364" s="572" t="s">
        <v>4021</v>
      </c>
      <c r="C2364" s="546" t="s">
        <v>2602</v>
      </c>
      <c r="D2364" s="360">
        <v>0.4</v>
      </c>
      <c r="E2364" s="393"/>
      <c r="F2364" s="523"/>
      <c r="G2364" s="393"/>
      <c r="H2364" s="573"/>
      <c r="I2364" s="394"/>
      <c r="J2364" s="394"/>
      <c r="K2364" s="394"/>
      <c r="L2364" s="394"/>
      <c r="M2364" s="394"/>
      <c r="N2364" s="394"/>
      <c r="O2364" s="394"/>
      <c r="P2364" s="394"/>
      <c r="Q2364" s="394"/>
      <c r="R2364" s="381"/>
      <c r="S2364" s="408"/>
      <c r="T2364" s="385"/>
      <c r="U2364" s="475"/>
      <c r="V2364" s="395"/>
      <c r="W2364" s="395"/>
      <c r="X2364" s="393"/>
      <c r="Y2364" s="523">
        <v>1</v>
      </c>
      <c r="Z2364" s="497"/>
      <c r="AA2364" s="573">
        <v>44.454369999999997</v>
      </c>
      <c r="AB2364" s="394">
        <v>38.321179999999998</v>
      </c>
      <c r="AC2364" s="394">
        <f>18.07686+20.17068</f>
        <v>38.247540000000001</v>
      </c>
      <c r="AD2364" s="394"/>
      <c r="AE2364" s="394"/>
      <c r="AF2364" s="394">
        <v>0</v>
      </c>
      <c r="AG2364" s="394">
        <v>0</v>
      </c>
      <c r="AH2364" s="394">
        <v>1.4298200000000001</v>
      </c>
      <c r="AI2364" s="394">
        <v>10.08534</v>
      </c>
      <c r="AJ2364" s="394"/>
      <c r="AK2364" s="381" t="s">
        <v>167</v>
      </c>
      <c r="AL2364" s="408" t="s">
        <v>175</v>
      </c>
      <c r="AM2364" s="385"/>
      <c r="AN2364" s="475">
        <v>1151</v>
      </c>
      <c r="AO2364" s="395"/>
      <c r="AP2364" s="395">
        <f t="shared" si="1043"/>
        <v>44.454369999999997</v>
      </c>
      <c r="AQ2364" s="393"/>
      <c r="AR2364" s="523"/>
      <c r="AS2364" s="497"/>
      <c r="AT2364" s="573"/>
      <c r="AU2364" s="394"/>
      <c r="AV2364" s="394"/>
      <c r="AW2364" s="394"/>
      <c r="AX2364" s="394"/>
      <c r="AY2364" s="394"/>
      <c r="AZ2364" s="394"/>
      <c r="BA2364" s="394"/>
      <c r="BB2364" s="394"/>
      <c r="BC2364" s="394"/>
      <c r="BD2364" s="381"/>
      <c r="BE2364" s="408"/>
      <c r="BF2364" s="385"/>
      <c r="BG2364" s="475"/>
      <c r="BH2364" s="395"/>
      <c r="BI2364" s="395" t="e">
        <f t="shared" si="1044"/>
        <v>#DIV/0!</v>
      </c>
    </row>
    <row r="2365" spans="1:61" s="358" customFormat="1" ht="19.2" x14ac:dyDescent="0.3">
      <c r="A2365" s="359" t="s">
        <v>2006</v>
      </c>
      <c r="B2365" s="572" t="s">
        <v>4040</v>
      </c>
      <c r="C2365" s="546" t="s">
        <v>3163</v>
      </c>
      <c r="D2365" s="360">
        <v>0.4</v>
      </c>
      <c r="E2365" s="393"/>
      <c r="F2365" s="523"/>
      <c r="G2365" s="393"/>
      <c r="H2365" s="573"/>
      <c r="I2365" s="394"/>
      <c r="J2365" s="394"/>
      <c r="K2365" s="394"/>
      <c r="L2365" s="394"/>
      <c r="M2365" s="394"/>
      <c r="N2365" s="394"/>
      <c r="O2365" s="394"/>
      <c r="P2365" s="394"/>
      <c r="Q2365" s="394"/>
      <c r="R2365" s="381"/>
      <c r="S2365" s="408"/>
      <c r="T2365" s="385"/>
      <c r="U2365" s="475"/>
      <c r="V2365" s="395"/>
      <c r="W2365" s="395"/>
      <c r="X2365" s="393"/>
      <c r="Y2365" s="523">
        <v>1</v>
      </c>
      <c r="Z2365" s="497"/>
      <c r="AA2365" s="573">
        <v>17.86204</v>
      </c>
      <c r="AB2365" s="394">
        <v>15.368830000000001</v>
      </c>
      <c r="AC2365" s="394">
        <v>14.364560000000001</v>
      </c>
      <c r="AD2365" s="394"/>
      <c r="AE2365" s="394"/>
      <c r="AF2365" s="394">
        <v>0</v>
      </c>
      <c r="AG2365" s="394">
        <v>0</v>
      </c>
      <c r="AH2365" s="394">
        <v>0.58123999999999998</v>
      </c>
      <c r="AI2365" s="394">
        <v>14.364560000000001</v>
      </c>
      <c r="AJ2365" s="394"/>
      <c r="AK2365" s="381" t="s">
        <v>167</v>
      </c>
      <c r="AL2365" s="408" t="s">
        <v>175</v>
      </c>
      <c r="AM2365" s="385"/>
      <c r="AN2365" s="475">
        <v>1152</v>
      </c>
      <c r="AO2365" s="395"/>
      <c r="AP2365" s="395">
        <f t="shared" si="1043"/>
        <v>17.86204</v>
      </c>
      <c r="AQ2365" s="393"/>
      <c r="AR2365" s="523"/>
      <c r="AS2365" s="497"/>
      <c r="AT2365" s="573"/>
      <c r="AU2365" s="394"/>
      <c r="AV2365" s="394"/>
      <c r="AW2365" s="394"/>
      <c r="AX2365" s="394"/>
      <c r="AY2365" s="394"/>
      <c r="AZ2365" s="394"/>
      <c r="BA2365" s="394"/>
      <c r="BB2365" s="394"/>
      <c r="BC2365" s="394"/>
      <c r="BD2365" s="381"/>
      <c r="BE2365" s="408"/>
      <c r="BF2365" s="385"/>
      <c r="BG2365" s="475"/>
      <c r="BH2365" s="395"/>
      <c r="BI2365" s="395" t="e">
        <f t="shared" si="1044"/>
        <v>#DIV/0!</v>
      </c>
    </row>
    <row r="2366" spans="1:61" s="358" customFormat="1" ht="19.2" x14ac:dyDescent="0.3">
      <c r="A2366" s="359" t="s">
        <v>2007</v>
      </c>
      <c r="B2366" s="572" t="s">
        <v>4041</v>
      </c>
      <c r="C2366" s="546" t="s">
        <v>3164</v>
      </c>
      <c r="D2366" s="360">
        <v>0.4</v>
      </c>
      <c r="E2366" s="393"/>
      <c r="F2366" s="523"/>
      <c r="G2366" s="393"/>
      <c r="H2366" s="573"/>
      <c r="I2366" s="394"/>
      <c r="J2366" s="394"/>
      <c r="K2366" s="394"/>
      <c r="L2366" s="394"/>
      <c r="M2366" s="394"/>
      <c r="N2366" s="394"/>
      <c r="O2366" s="394"/>
      <c r="P2366" s="394"/>
      <c r="Q2366" s="394"/>
      <c r="R2366" s="381"/>
      <c r="S2366" s="408"/>
      <c r="T2366" s="385"/>
      <c r="U2366" s="475"/>
      <c r="V2366" s="395"/>
      <c r="W2366" s="395"/>
      <c r="X2366" s="393"/>
      <c r="Y2366" s="523">
        <v>1</v>
      </c>
      <c r="Z2366" s="497"/>
      <c r="AA2366" s="573">
        <v>17.86204</v>
      </c>
      <c r="AB2366" s="394">
        <v>15.368830000000001</v>
      </c>
      <c r="AC2366" s="394">
        <v>14.364560000000001</v>
      </c>
      <c r="AD2366" s="394"/>
      <c r="AE2366" s="394"/>
      <c r="AF2366" s="394">
        <v>0</v>
      </c>
      <c r="AG2366" s="394">
        <v>0</v>
      </c>
      <c r="AH2366" s="394">
        <v>0.58123999999999998</v>
      </c>
      <c r="AI2366" s="394">
        <v>14.364560000000001</v>
      </c>
      <c r="AJ2366" s="394"/>
      <c r="AK2366" s="381" t="s">
        <v>167</v>
      </c>
      <c r="AL2366" s="408" t="s">
        <v>175</v>
      </c>
      <c r="AM2366" s="385"/>
      <c r="AN2366" s="475">
        <v>1153</v>
      </c>
      <c r="AO2366" s="395"/>
      <c r="AP2366" s="395">
        <f t="shared" si="1043"/>
        <v>17.86204</v>
      </c>
      <c r="AQ2366" s="393"/>
      <c r="AR2366" s="523"/>
      <c r="AS2366" s="497"/>
      <c r="AT2366" s="573"/>
      <c r="AU2366" s="394"/>
      <c r="AV2366" s="394"/>
      <c r="AW2366" s="394"/>
      <c r="AX2366" s="394"/>
      <c r="AY2366" s="394"/>
      <c r="AZ2366" s="394"/>
      <c r="BA2366" s="394"/>
      <c r="BB2366" s="394"/>
      <c r="BC2366" s="394"/>
      <c r="BD2366" s="381"/>
      <c r="BE2366" s="408"/>
      <c r="BF2366" s="385"/>
      <c r="BG2366" s="475"/>
      <c r="BH2366" s="395"/>
      <c r="BI2366" s="395" t="e">
        <f t="shared" si="1044"/>
        <v>#DIV/0!</v>
      </c>
    </row>
    <row r="2367" spans="1:61" s="358" customFormat="1" ht="19.2" x14ac:dyDescent="0.3">
      <c r="A2367" s="359" t="s">
        <v>2024</v>
      </c>
      <c r="B2367" s="572" t="s">
        <v>4042</v>
      </c>
      <c r="C2367" s="546" t="s">
        <v>3165</v>
      </c>
      <c r="D2367" s="360">
        <v>0.4</v>
      </c>
      <c r="E2367" s="393"/>
      <c r="F2367" s="523"/>
      <c r="G2367" s="393"/>
      <c r="H2367" s="573"/>
      <c r="I2367" s="394"/>
      <c r="J2367" s="394"/>
      <c r="K2367" s="394"/>
      <c r="L2367" s="394"/>
      <c r="M2367" s="394"/>
      <c r="N2367" s="394"/>
      <c r="O2367" s="394"/>
      <c r="P2367" s="394"/>
      <c r="Q2367" s="394"/>
      <c r="R2367" s="381"/>
      <c r="S2367" s="408"/>
      <c r="T2367" s="385"/>
      <c r="U2367" s="475"/>
      <c r="V2367" s="395"/>
      <c r="W2367" s="395"/>
      <c r="X2367" s="393"/>
      <c r="Y2367" s="523">
        <v>1</v>
      </c>
      <c r="Z2367" s="497"/>
      <c r="AA2367" s="573">
        <v>17.862079999999999</v>
      </c>
      <c r="AB2367" s="394">
        <v>15.368869999999999</v>
      </c>
      <c r="AC2367" s="394">
        <v>14.364599999999999</v>
      </c>
      <c r="AD2367" s="394"/>
      <c r="AE2367" s="394"/>
      <c r="AF2367" s="394">
        <v>0</v>
      </c>
      <c r="AG2367" s="394">
        <v>0</v>
      </c>
      <c r="AH2367" s="394">
        <v>0.58123999999999998</v>
      </c>
      <c r="AI2367" s="394">
        <v>14.364599999999999</v>
      </c>
      <c r="AJ2367" s="394"/>
      <c r="AK2367" s="381" t="s">
        <v>167</v>
      </c>
      <c r="AL2367" s="408" t="s">
        <v>175</v>
      </c>
      <c r="AM2367" s="385"/>
      <c r="AN2367" s="475">
        <v>1154</v>
      </c>
      <c r="AO2367" s="395"/>
      <c r="AP2367" s="395">
        <f t="shared" si="1043"/>
        <v>17.862079999999999</v>
      </c>
      <c r="AQ2367" s="393"/>
      <c r="AR2367" s="523"/>
      <c r="AS2367" s="497"/>
      <c r="AT2367" s="573"/>
      <c r="AU2367" s="394"/>
      <c r="AV2367" s="394"/>
      <c r="AW2367" s="394"/>
      <c r="AX2367" s="394"/>
      <c r="AY2367" s="394"/>
      <c r="AZ2367" s="394"/>
      <c r="BA2367" s="394"/>
      <c r="BB2367" s="394"/>
      <c r="BC2367" s="394"/>
      <c r="BD2367" s="381"/>
      <c r="BE2367" s="408"/>
      <c r="BF2367" s="385"/>
      <c r="BG2367" s="475"/>
      <c r="BH2367" s="395"/>
      <c r="BI2367" s="395" t="e">
        <f t="shared" si="1044"/>
        <v>#DIV/0!</v>
      </c>
    </row>
    <row r="2368" spans="1:61" s="358" customFormat="1" ht="19.2" x14ac:dyDescent="0.3">
      <c r="A2368" s="359" t="s">
        <v>2009</v>
      </c>
      <c r="B2368" s="572" t="s">
        <v>4043</v>
      </c>
      <c r="C2368" s="546" t="s">
        <v>3166</v>
      </c>
      <c r="D2368" s="360">
        <v>0.4</v>
      </c>
      <c r="E2368" s="393"/>
      <c r="F2368" s="523"/>
      <c r="G2368" s="393"/>
      <c r="H2368" s="573"/>
      <c r="I2368" s="394"/>
      <c r="J2368" s="394"/>
      <c r="K2368" s="394"/>
      <c r="L2368" s="394"/>
      <c r="M2368" s="394"/>
      <c r="N2368" s="394"/>
      <c r="O2368" s="394"/>
      <c r="P2368" s="394"/>
      <c r="Q2368" s="394"/>
      <c r="R2368" s="381"/>
      <c r="S2368" s="408"/>
      <c r="T2368" s="385"/>
      <c r="U2368" s="475"/>
      <c r="V2368" s="395"/>
      <c r="W2368" s="395"/>
      <c r="X2368" s="393"/>
      <c r="Y2368" s="523">
        <v>1</v>
      </c>
      <c r="Z2368" s="497"/>
      <c r="AA2368" s="573">
        <v>17.86204</v>
      </c>
      <c r="AB2368" s="394">
        <v>15.368830000000001</v>
      </c>
      <c r="AC2368" s="394">
        <v>14.364560000000001</v>
      </c>
      <c r="AD2368" s="394"/>
      <c r="AE2368" s="394"/>
      <c r="AF2368" s="394">
        <v>0</v>
      </c>
      <c r="AG2368" s="394">
        <v>0</v>
      </c>
      <c r="AH2368" s="394">
        <v>0.58123999999999998</v>
      </c>
      <c r="AI2368" s="394">
        <v>14.364560000000001</v>
      </c>
      <c r="AJ2368" s="394"/>
      <c r="AK2368" s="381" t="s">
        <v>167</v>
      </c>
      <c r="AL2368" s="408" t="s">
        <v>175</v>
      </c>
      <c r="AM2368" s="385"/>
      <c r="AN2368" s="475">
        <v>1155</v>
      </c>
      <c r="AO2368" s="395"/>
      <c r="AP2368" s="395">
        <f t="shared" si="1043"/>
        <v>17.86204</v>
      </c>
      <c r="AQ2368" s="393"/>
      <c r="AR2368" s="523"/>
      <c r="AS2368" s="497"/>
      <c r="AT2368" s="573"/>
      <c r="AU2368" s="394"/>
      <c r="AV2368" s="394"/>
      <c r="AW2368" s="394"/>
      <c r="AX2368" s="394"/>
      <c r="AY2368" s="394"/>
      <c r="AZ2368" s="394"/>
      <c r="BA2368" s="394"/>
      <c r="BB2368" s="394"/>
      <c r="BC2368" s="394"/>
      <c r="BD2368" s="381"/>
      <c r="BE2368" s="408"/>
      <c r="BF2368" s="385"/>
      <c r="BG2368" s="475"/>
      <c r="BH2368" s="395"/>
      <c r="BI2368" s="395" t="e">
        <f t="shared" si="1044"/>
        <v>#DIV/0!</v>
      </c>
    </row>
    <row r="2369" spans="1:61" s="358" customFormat="1" ht="19.2" x14ac:dyDescent="0.3">
      <c r="A2369" s="359" t="s">
        <v>2010</v>
      </c>
      <c r="B2369" s="572" t="s">
        <v>4044</v>
      </c>
      <c r="C2369" s="546" t="s">
        <v>3167</v>
      </c>
      <c r="D2369" s="360">
        <v>0.4</v>
      </c>
      <c r="E2369" s="393"/>
      <c r="F2369" s="523"/>
      <c r="G2369" s="393"/>
      <c r="H2369" s="573"/>
      <c r="I2369" s="394"/>
      <c r="J2369" s="394"/>
      <c r="K2369" s="394"/>
      <c r="L2369" s="394"/>
      <c r="M2369" s="394"/>
      <c r="N2369" s="394"/>
      <c r="O2369" s="394"/>
      <c r="P2369" s="394"/>
      <c r="Q2369" s="394"/>
      <c r="R2369" s="381"/>
      <c r="S2369" s="408"/>
      <c r="T2369" s="385"/>
      <c r="U2369" s="475"/>
      <c r="V2369" s="395"/>
      <c r="W2369" s="395"/>
      <c r="X2369" s="393"/>
      <c r="Y2369" s="523">
        <v>1</v>
      </c>
      <c r="Z2369" s="497"/>
      <c r="AA2369" s="573">
        <v>17.86204</v>
      </c>
      <c r="AB2369" s="394">
        <v>15.368830000000001</v>
      </c>
      <c r="AC2369" s="394">
        <v>14.364560000000001</v>
      </c>
      <c r="AD2369" s="394"/>
      <c r="AE2369" s="394"/>
      <c r="AF2369" s="394">
        <v>0</v>
      </c>
      <c r="AG2369" s="394">
        <v>0</v>
      </c>
      <c r="AH2369" s="394">
        <v>0.58123999999999998</v>
      </c>
      <c r="AI2369" s="394">
        <v>14.364560000000001</v>
      </c>
      <c r="AJ2369" s="394"/>
      <c r="AK2369" s="381" t="s">
        <v>167</v>
      </c>
      <c r="AL2369" s="408" t="s">
        <v>175</v>
      </c>
      <c r="AM2369" s="385"/>
      <c r="AN2369" s="475">
        <v>1156</v>
      </c>
      <c r="AO2369" s="395"/>
      <c r="AP2369" s="395">
        <f t="shared" si="1043"/>
        <v>17.86204</v>
      </c>
      <c r="AQ2369" s="393"/>
      <c r="AR2369" s="523"/>
      <c r="AS2369" s="497"/>
      <c r="AT2369" s="573"/>
      <c r="AU2369" s="394"/>
      <c r="AV2369" s="394"/>
      <c r="AW2369" s="394"/>
      <c r="AX2369" s="394"/>
      <c r="AY2369" s="394"/>
      <c r="AZ2369" s="394"/>
      <c r="BA2369" s="394"/>
      <c r="BB2369" s="394"/>
      <c r="BC2369" s="394"/>
      <c r="BD2369" s="381"/>
      <c r="BE2369" s="408"/>
      <c r="BF2369" s="385"/>
      <c r="BG2369" s="475"/>
      <c r="BH2369" s="395"/>
      <c r="BI2369" s="395" t="e">
        <f t="shared" si="1044"/>
        <v>#DIV/0!</v>
      </c>
    </row>
    <row r="2370" spans="1:61" s="358" customFormat="1" ht="19.2" x14ac:dyDescent="0.3">
      <c r="A2370" s="359" t="s">
        <v>1995</v>
      </c>
      <c r="B2370" s="572" t="s">
        <v>4045</v>
      </c>
      <c r="C2370" s="546" t="s">
        <v>3168</v>
      </c>
      <c r="D2370" s="360">
        <v>0.4</v>
      </c>
      <c r="E2370" s="393"/>
      <c r="F2370" s="523"/>
      <c r="G2370" s="393"/>
      <c r="H2370" s="573"/>
      <c r="I2370" s="394"/>
      <c r="J2370" s="394"/>
      <c r="K2370" s="394"/>
      <c r="L2370" s="394"/>
      <c r="M2370" s="394"/>
      <c r="N2370" s="394"/>
      <c r="O2370" s="394"/>
      <c r="P2370" s="394"/>
      <c r="Q2370" s="394"/>
      <c r="R2370" s="381"/>
      <c r="S2370" s="408"/>
      <c r="T2370" s="385"/>
      <c r="U2370" s="475"/>
      <c r="V2370" s="395"/>
      <c r="W2370" s="395"/>
      <c r="X2370" s="393"/>
      <c r="Y2370" s="523">
        <v>1</v>
      </c>
      <c r="Z2370" s="497"/>
      <c r="AA2370" s="573">
        <v>17.862069999999999</v>
      </c>
      <c r="AB2370" s="394">
        <v>15.36886</v>
      </c>
      <c r="AC2370" s="394">
        <v>14.36459</v>
      </c>
      <c r="AD2370" s="394"/>
      <c r="AE2370" s="394"/>
      <c r="AF2370" s="394">
        <v>0</v>
      </c>
      <c r="AG2370" s="394">
        <v>0</v>
      </c>
      <c r="AH2370" s="394">
        <v>0.58123999999999998</v>
      </c>
      <c r="AI2370" s="394">
        <v>14.36459</v>
      </c>
      <c r="AJ2370" s="394"/>
      <c r="AK2370" s="381" t="s">
        <v>167</v>
      </c>
      <c r="AL2370" s="408" t="s">
        <v>175</v>
      </c>
      <c r="AM2370" s="385"/>
      <c r="AN2370" s="475">
        <v>1157</v>
      </c>
      <c r="AO2370" s="395"/>
      <c r="AP2370" s="395">
        <f t="shared" si="1043"/>
        <v>17.862069999999999</v>
      </c>
      <c r="AQ2370" s="393"/>
      <c r="AR2370" s="523"/>
      <c r="AS2370" s="497"/>
      <c r="AT2370" s="573"/>
      <c r="AU2370" s="394"/>
      <c r="AV2370" s="394"/>
      <c r="AW2370" s="394"/>
      <c r="AX2370" s="394"/>
      <c r="AY2370" s="394"/>
      <c r="AZ2370" s="394"/>
      <c r="BA2370" s="394"/>
      <c r="BB2370" s="394"/>
      <c r="BC2370" s="394"/>
      <c r="BD2370" s="381"/>
      <c r="BE2370" s="408"/>
      <c r="BF2370" s="385"/>
      <c r="BG2370" s="475"/>
      <c r="BH2370" s="395"/>
      <c r="BI2370" s="395" t="e">
        <f t="shared" si="1044"/>
        <v>#DIV/0!</v>
      </c>
    </row>
    <row r="2371" spans="1:61" s="358" customFormat="1" ht="19.2" x14ac:dyDescent="0.3">
      <c r="A2371" s="359" t="s">
        <v>2012</v>
      </c>
      <c r="B2371" s="572" t="s">
        <v>4046</v>
      </c>
      <c r="C2371" s="546" t="s">
        <v>3170</v>
      </c>
      <c r="D2371" s="360">
        <v>0.4</v>
      </c>
      <c r="E2371" s="393"/>
      <c r="F2371" s="523"/>
      <c r="G2371" s="393"/>
      <c r="H2371" s="573"/>
      <c r="I2371" s="394"/>
      <c r="J2371" s="394"/>
      <c r="K2371" s="394"/>
      <c r="L2371" s="394"/>
      <c r="M2371" s="394"/>
      <c r="N2371" s="394"/>
      <c r="O2371" s="394"/>
      <c r="P2371" s="394"/>
      <c r="Q2371" s="394"/>
      <c r="R2371" s="381"/>
      <c r="S2371" s="408"/>
      <c r="T2371" s="385"/>
      <c r="U2371" s="475"/>
      <c r="V2371" s="395"/>
      <c r="W2371" s="395"/>
      <c r="X2371" s="393"/>
      <c r="Y2371" s="523">
        <v>1</v>
      </c>
      <c r="Z2371" s="497"/>
      <c r="AA2371" s="573">
        <v>10.03444</v>
      </c>
      <c r="AB2371" s="394">
        <v>9.0470799999999993</v>
      </c>
      <c r="AC2371" s="394">
        <v>9.0427499999999998</v>
      </c>
      <c r="AD2371" s="394"/>
      <c r="AE2371" s="394"/>
      <c r="AF2371" s="394">
        <v>0</v>
      </c>
      <c r="AG2371" s="394">
        <v>0</v>
      </c>
      <c r="AH2371" s="394">
        <v>0.23018</v>
      </c>
      <c r="AI2371" s="394">
        <v>9.0427499999999998</v>
      </c>
      <c r="AJ2371" s="394"/>
      <c r="AK2371" s="381" t="s">
        <v>167</v>
      </c>
      <c r="AL2371" s="408" t="s">
        <v>175</v>
      </c>
      <c r="AM2371" s="385"/>
      <c r="AN2371" s="475">
        <v>1158</v>
      </c>
      <c r="AO2371" s="395"/>
      <c r="AP2371" s="395">
        <f t="shared" si="1043"/>
        <v>10.03444</v>
      </c>
      <c r="AQ2371" s="393"/>
      <c r="AR2371" s="523"/>
      <c r="AS2371" s="497"/>
      <c r="AT2371" s="573"/>
      <c r="AU2371" s="394"/>
      <c r="AV2371" s="394"/>
      <c r="AW2371" s="394"/>
      <c r="AX2371" s="394"/>
      <c r="AY2371" s="394"/>
      <c r="AZ2371" s="394"/>
      <c r="BA2371" s="394"/>
      <c r="BB2371" s="394"/>
      <c r="BC2371" s="394"/>
      <c r="BD2371" s="381"/>
      <c r="BE2371" s="408"/>
      <c r="BF2371" s="385"/>
      <c r="BG2371" s="475"/>
      <c r="BH2371" s="395"/>
      <c r="BI2371" s="395" t="e">
        <f t="shared" si="1044"/>
        <v>#DIV/0!</v>
      </c>
    </row>
    <row r="2372" spans="1:61" s="358" customFormat="1" ht="19.2" x14ac:dyDescent="0.3">
      <c r="A2372" s="359" t="s">
        <v>2013</v>
      </c>
      <c r="B2372" s="572" t="s">
        <v>4047</v>
      </c>
      <c r="C2372" s="546" t="s">
        <v>3171</v>
      </c>
      <c r="D2372" s="360">
        <v>0.4</v>
      </c>
      <c r="E2372" s="393"/>
      <c r="F2372" s="523"/>
      <c r="G2372" s="393"/>
      <c r="H2372" s="573"/>
      <c r="I2372" s="394"/>
      <c r="J2372" s="394"/>
      <c r="K2372" s="394"/>
      <c r="L2372" s="394"/>
      <c r="M2372" s="394"/>
      <c r="N2372" s="394"/>
      <c r="O2372" s="394"/>
      <c r="P2372" s="394"/>
      <c r="Q2372" s="394"/>
      <c r="R2372" s="381"/>
      <c r="S2372" s="408"/>
      <c r="T2372" s="385"/>
      <c r="U2372" s="475"/>
      <c r="V2372" s="395"/>
      <c r="W2372" s="395"/>
      <c r="X2372" s="393"/>
      <c r="Y2372" s="523">
        <v>1</v>
      </c>
      <c r="Z2372" s="497"/>
      <c r="AA2372" s="573">
        <v>17.862079999999999</v>
      </c>
      <c r="AB2372" s="394">
        <v>15.368869999999999</v>
      </c>
      <c r="AC2372" s="394">
        <v>14.364599999999999</v>
      </c>
      <c r="AD2372" s="394"/>
      <c r="AE2372" s="394"/>
      <c r="AF2372" s="394">
        <v>0</v>
      </c>
      <c r="AG2372" s="394">
        <v>0</v>
      </c>
      <c r="AH2372" s="394">
        <v>0.58123999999999998</v>
      </c>
      <c r="AI2372" s="394">
        <v>14.364599999999999</v>
      </c>
      <c r="AJ2372" s="394"/>
      <c r="AK2372" s="381" t="s">
        <v>167</v>
      </c>
      <c r="AL2372" s="408" t="s">
        <v>175</v>
      </c>
      <c r="AM2372" s="385"/>
      <c r="AN2372" s="475">
        <v>1159</v>
      </c>
      <c r="AO2372" s="395"/>
      <c r="AP2372" s="395">
        <f t="shared" ref="AP2372:AP2435" si="1045">AA2372/Y2372</f>
        <v>17.862079999999999</v>
      </c>
      <c r="AQ2372" s="393"/>
      <c r="AR2372" s="523"/>
      <c r="AS2372" s="497"/>
      <c r="AT2372" s="573"/>
      <c r="AU2372" s="394"/>
      <c r="AV2372" s="394"/>
      <c r="AW2372" s="394"/>
      <c r="AX2372" s="394"/>
      <c r="AY2372" s="394"/>
      <c r="AZ2372" s="394"/>
      <c r="BA2372" s="394"/>
      <c r="BB2372" s="394"/>
      <c r="BC2372" s="394"/>
      <c r="BD2372" s="381"/>
      <c r="BE2372" s="408"/>
      <c r="BF2372" s="385"/>
      <c r="BG2372" s="475"/>
      <c r="BH2372" s="395"/>
      <c r="BI2372" s="395" t="e">
        <f t="shared" si="1044"/>
        <v>#DIV/0!</v>
      </c>
    </row>
    <row r="2373" spans="1:61" s="358" customFormat="1" ht="19.2" x14ac:dyDescent="0.3">
      <c r="A2373" s="359" t="s">
        <v>2014</v>
      </c>
      <c r="B2373" s="572" t="s">
        <v>4048</v>
      </c>
      <c r="C2373" s="546" t="s">
        <v>3172</v>
      </c>
      <c r="D2373" s="360">
        <v>0.4</v>
      </c>
      <c r="E2373" s="393"/>
      <c r="F2373" s="523"/>
      <c r="G2373" s="393"/>
      <c r="H2373" s="573"/>
      <c r="I2373" s="394"/>
      <c r="J2373" s="394"/>
      <c r="K2373" s="394"/>
      <c r="L2373" s="394"/>
      <c r="M2373" s="394"/>
      <c r="N2373" s="394"/>
      <c r="O2373" s="394"/>
      <c r="P2373" s="394"/>
      <c r="Q2373" s="394"/>
      <c r="R2373" s="381"/>
      <c r="S2373" s="408"/>
      <c r="T2373" s="385"/>
      <c r="U2373" s="475"/>
      <c r="V2373" s="395"/>
      <c r="W2373" s="395"/>
      <c r="X2373" s="393"/>
      <c r="Y2373" s="523">
        <v>1</v>
      </c>
      <c r="Z2373" s="497"/>
      <c r="AA2373" s="573">
        <v>17.86205</v>
      </c>
      <c r="AB2373" s="394">
        <v>15.368840000000001</v>
      </c>
      <c r="AC2373" s="394">
        <v>14.364560000000001</v>
      </c>
      <c r="AD2373" s="394"/>
      <c r="AE2373" s="394"/>
      <c r="AF2373" s="394">
        <v>0</v>
      </c>
      <c r="AG2373" s="394">
        <v>0</v>
      </c>
      <c r="AH2373" s="394">
        <v>0.58123999999999998</v>
      </c>
      <c r="AI2373" s="394">
        <v>14.364560000000001</v>
      </c>
      <c r="AJ2373" s="394"/>
      <c r="AK2373" s="381" t="s">
        <v>167</v>
      </c>
      <c r="AL2373" s="408" t="s">
        <v>175</v>
      </c>
      <c r="AM2373" s="385"/>
      <c r="AN2373" s="475">
        <v>1160</v>
      </c>
      <c r="AO2373" s="395"/>
      <c r="AP2373" s="395">
        <f t="shared" si="1045"/>
        <v>17.86205</v>
      </c>
      <c r="AQ2373" s="393"/>
      <c r="AR2373" s="523"/>
      <c r="AS2373" s="497"/>
      <c r="AT2373" s="573"/>
      <c r="AU2373" s="394"/>
      <c r="AV2373" s="394"/>
      <c r="AW2373" s="394"/>
      <c r="AX2373" s="394"/>
      <c r="AY2373" s="394"/>
      <c r="AZ2373" s="394"/>
      <c r="BA2373" s="394"/>
      <c r="BB2373" s="394"/>
      <c r="BC2373" s="394"/>
      <c r="BD2373" s="381"/>
      <c r="BE2373" s="408"/>
      <c r="BF2373" s="385"/>
      <c r="BG2373" s="475"/>
      <c r="BH2373" s="395"/>
      <c r="BI2373" s="395" t="e">
        <f t="shared" si="1044"/>
        <v>#DIV/0!</v>
      </c>
    </row>
    <row r="2374" spans="1:61" s="358" customFormat="1" ht="19.2" x14ac:dyDescent="0.3">
      <c r="A2374" s="359" t="s">
        <v>2015</v>
      </c>
      <c r="B2374" s="572" t="s">
        <v>4049</v>
      </c>
      <c r="C2374" s="546" t="s">
        <v>3173</v>
      </c>
      <c r="D2374" s="360">
        <v>0.4</v>
      </c>
      <c r="E2374" s="393"/>
      <c r="F2374" s="523"/>
      <c r="G2374" s="393"/>
      <c r="H2374" s="573"/>
      <c r="I2374" s="394"/>
      <c r="J2374" s="394"/>
      <c r="K2374" s="394"/>
      <c r="L2374" s="394"/>
      <c r="M2374" s="394"/>
      <c r="N2374" s="394"/>
      <c r="O2374" s="394"/>
      <c r="P2374" s="394"/>
      <c r="Q2374" s="394"/>
      <c r="R2374" s="381"/>
      <c r="S2374" s="408"/>
      <c r="T2374" s="385"/>
      <c r="U2374" s="475"/>
      <c r="V2374" s="395"/>
      <c r="W2374" s="395"/>
      <c r="X2374" s="393"/>
      <c r="Y2374" s="523">
        <v>1</v>
      </c>
      <c r="Z2374" s="497"/>
      <c r="AA2374" s="573">
        <v>17.86204</v>
      </c>
      <c r="AB2374" s="394">
        <v>15.368830000000001</v>
      </c>
      <c r="AC2374" s="394">
        <v>14.364560000000001</v>
      </c>
      <c r="AD2374" s="394"/>
      <c r="AE2374" s="394"/>
      <c r="AF2374" s="394">
        <v>0</v>
      </c>
      <c r="AG2374" s="394">
        <v>0</v>
      </c>
      <c r="AH2374" s="394">
        <v>0.58123999999999998</v>
      </c>
      <c r="AI2374" s="394">
        <v>14.364560000000001</v>
      </c>
      <c r="AJ2374" s="394"/>
      <c r="AK2374" s="381" t="s">
        <v>167</v>
      </c>
      <c r="AL2374" s="408" t="s">
        <v>175</v>
      </c>
      <c r="AM2374" s="385"/>
      <c r="AN2374" s="475">
        <v>1161</v>
      </c>
      <c r="AO2374" s="395"/>
      <c r="AP2374" s="395">
        <f t="shared" si="1045"/>
        <v>17.86204</v>
      </c>
      <c r="AQ2374" s="393"/>
      <c r="AR2374" s="523"/>
      <c r="AS2374" s="497"/>
      <c r="AT2374" s="573"/>
      <c r="AU2374" s="394"/>
      <c r="AV2374" s="394"/>
      <c r="AW2374" s="394"/>
      <c r="AX2374" s="394"/>
      <c r="AY2374" s="394"/>
      <c r="AZ2374" s="394"/>
      <c r="BA2374" s="394"/>
      <c r="BB2374" s="394"/>
      <c r="BC2374" s="394"/>
      <c r="BD2374" s="381"/>
      <c r="BE2374" s="408"/>
      <c r="BF2374" s="385"/>
      <c r="BG2374" s="475"/>
      <c r="BH2374" s="395"/>
      <c r="BI2374" s="395" t="e">
        <f t="shared" si="1044"/>
        <v>#DIV/0!</v>
      </c>
    </row>
    <row r="2375" spans="1:61" s="358" customFormat="1" ht="19.2" x14ac:dyDescent="0.3">
      <c r="A2375" s="359" t="s">
        <v>2016</v>
      </c>
      <c r="B2375" s="572" t="s">
        <v>4050</v>
      </c>
      <c r="C2375" s="546" t="s">
        <v>3174</v>
      </c>
      <c r="D2375" s="360">
        <v>0.4</v>
      </c>
      <c r="E2375" s="393"/>
      <c r="F2375" s="523"/>
      <c r="G2375" s="393"/>
      <c r="H2375" s="573"/>
      <c r="I2375" s="394"/>
      <c r="J2375" s="394"/>
      <c r="K2375" s="394"/>
      <c r="L2375" s="394"/>
      <c r="M2375" s="394"/>
      <c r="N2375" s="394"/>
      <c r="O2375" s="394"/>
      <c r="P2375" s="394"/>
      <c r="Q2375" s="394"/>
      <c r="R2375" s="381"/>
      <c r="S2375" s="408"/>
      <c r="T2375" s="385"/>
      <c r="U2375" s="475"/>
      <c r="V2375" s="395"/>
      <c r="W2375" s="395"/>
      <c r="X2375" s="393"/>
      <c r="Y2375" s="523">
        <v>1</v>
      </c>
      <c r="Z2375" s="497"/>
      <c r="AA2375" s="573">
        <v>17.862079999999999</v>
      </c>
      <c r="AB2375" s="394">
        <v>15.368869999999999</v>
      </c>
      <c r="AC2375" s="394">
        <v>14.364599999999999</v>
      </c>
      <c r="AD2375" s="394"/>
      <c r="AE2375" s="394"/>
      <c r="AF2375" s="394">
        <v>0</v>
      </c>
      <c r="AG2375" s="394">
        <v>0</v>
      </c>
      <c r="AH2375" s="394">
        <v>0.58123999999999998</v>
      </c>
      <c r="AI2375" s="394">
        <v>14.364599999999999</v>
      </c>
      <c r="AJ2375" s="394"/>
      <c r="AK2375" s="381" t="s">
        <v>167</v>
      </c>
      <c r="AL2375" s="408" t="s">
        <v>175</v>
      </c>
      <c r="AM2375" s="385"/>
      <c r="AN2375" s="475">
        <v>1162</v>
      </c>
      <c r="AO2375" s="395"/>
      <c r="AP2375" s="395">
        <f t="shared" si="1045"/>
        <v>17.862079999999999</v>
      </c>
      <c r="AQ2375" s="393"/>
      <c r="AR2375" s="523"/>
      <c r="AS2375" s="497"/>
      <c r="AT2375" s="573"/>
      <c r="AU2375" s="394"/>
      <c r="AV2375" s="394"/>
      <c r="AW2375" s="394"/>
      <c r="AX2375" s="394"/>
      <c r="AY2375" s="394"/>
      <c r="AZ2375" s="394"/>
      <c r="BA2375" s="394"/>
      <c r="BB2375" s="394"/>
      <c r="BC2375" s="394"/>
      <c r="BD2375" s="381"/>
      <c r="BE2375" s="408"/>
      <c r="BF2375" s="385"/>
      <c r="BG2375" s="475"/>
      <c r="BH2375" s="395"/>
      <c r="BI2375" s="395" t="e">
        <f t="shared" si="1044"/>
        <v>#DIV/0!</v>
      </c>
    </row>
    <row r="2376" spans="1:61" s="358" customFormat="1" ht="19.2" x14ac:dyDescent="0.3">
      <c r="A2376" s="359" t="s">
        <v>2017</v>
      </c>
      <c r="B2376" s="572" t="s">
        <v>4051</v>
      </c>
      <c r="C2376" s="546" t="s">
        <v>3175</v>
      </c>
      <c r="D2376" s="360">
        <v>0.4</v>
      </c>
      <c r="E2376" s="393"/>
      <c r="F2376" s="523"/>
      <c r="G2376" s="393"/>
      <c r="H2376" s="573"/>
      <c r="I2376" s="394"/>
      <c r="J2376" s="394"/>
      <c r="K2376" s="394"/>
      <c r="L2376" s="394"/>
      <c r="M2376" s="394"/>
      <c r="N2376" s="394"/>
      <c r="O2376" s="394"/>
      <c r="P2376" s="394"/>
      <c r="Q2376" s="394"/>
      <c r="R2376" s="381"/>
      <c r="S2376" s="408"/>
      <c r="T2376" s="385"/>
      <c r="U2376" s="475"/>
      <c r="V2376" s="395"/>
      <c r="W2376" s="395"/>
      <c r="X2376" s="393"/>
      <c r="Y2376" s="523">
        <v>1</v>
      </c>
      <c r="Z2376" s="497"/>
      <c r="AA2376" s="573">
        <v>17.86204</v>
      </c>
      <c r="AB2376" s="394">
        <v>15.368830000000001</v>
      </c>
      <c r="AC2376" s="394">
        <v>14.364560000000001</v>
      </c>
      <c r="AD2376" s="394"/>
      <c r="AE2376" s="394"/>
      <c r="AF2376" s="394">
        <v>0</v>
      </c>
      <c r="AG2376" s="394">
        <v>0</v>
      </c>
      <c r="AH2376" s="394">
        <v>0.58123999999999998</v>
      </c>
      <c r="AI2376" s="394">
        <v>14.364560000000001</v>
      </c>
      <c r="AJ2376" s="394"/>
      <c r="AK2376" s="381" t="s">
        <v>167</v>
      </c>
      <c r="AL2376" s="408" t="s">
        <v>175</v>
      </c>
      <c r="AM2376" s="385"/>
      <c r="AN2376" s="475">
        <v>1163</v>
      </c>
      <c r="AO2376" s="395"/>
      <c r="AP2376" s="395">
        <f t="shared" si="1045"/>
        <v>17.86204</v>
      </c>
      <c r="AQ2376" s="393"/>
      <c r="AR2376" s="523"/>
      <c r="AS2376" s="497"/>
      <c r="AT2376" s="573"/>
      <c r="AU2376" s="394"/>
      <c r="AV2376" s="394"/>
      <c r="AW2376" s="394"/>
      <c r="AX2376" s="394"/>
      <c r="AY2376" s="394"/>
      <c r="AZ2376" s="394"/>
      <c r="BA2376" s="394"/>
      <c r="BB2376" s="394"/>
      <c r="BC2376" s="394"/>
      <c r="BD2376" s="381"/>
      <c r="BE2376" s="408"/>
      <c r="BF2376" s="385"/>
      <c r="BG2376" s="475"/>
      <c r="BH2376" s="395"/>
      <c r="BI2376" s="395" t="e">
        <f t="shared" si="1044"/>
        <v>#DIV/0!</v>
      </c>
    </row>
    <row r="2377" spans="1:61" s="358" customFormat="1" ht="19.2" x14ac:dyDescent="0.3">
      <c r="A2377" s="359" t="s">
        <v>2018</v>
      </c>
      <c r="B2377" s="572" t="s">
        <v>3937</v>
      </c>
      <c r="C2377" s="546" t="s">
        <v>3176</v>
      </c>
      <c r="D2377" s="360">
        <v>0.4</v>
      </c>
      <c r="E2377" s="393"/>
      <c r="F2377" s="523"/>
      <c r="G2377" s="393"/>
      <c r="H2377" s="573"/>
      <c r="I2377" s="394"/>
      <c r="J2377" s="394"/>
      <c r="K2377" s="394"/>
      <c r="L2377" s="394"/>
      <c r="M2377" s="394"/>
      <c r="N2377" s="394"/>
      <c r="O2377" s="394"/>
      <c r="P2377" s="394"/>
      <c r="Q2377" s="394"/>
      <c r="R2377" s="381"/>
      <c r="S2377" s="408"/>
      <c r="T2377" s="385"/>
      <c r="U2377" s="475"/>
      <c r="V2377" s="395"/>
      <c r="W2377" s="395"/>
      <c r="X2377" s="393"/>
      <c r="Y2377" s="523">
        <v>1</v>
      </c>
      <c r="Z2377" s="497"/>
      <c r="AA2377" s="573">
        <v>17.862079999999999</v>
      </c>
      <c r="AB2377" s="394">
        <v>15.368869999999999</v>
      </c>
      <c r="AC2377" s="394">
        <v>14.364599999999999</v>
      </c>
      <c r="AD2377" s="394"/>
      <c r="AE2377" s="394"/>
      <c r="AF2377" s="394">
        <v>0</v>
      </c>
      <c r="AG2377" s="394">
        <v>0</v>
      </c>
      <c r="AH2377" s="394">
        <v>0.58123999999999998</v>
      </c>
      <c r="AI2377" s="394">
        <v>14.364599999999999</v>
      </c>
      <c r="AJ2377" s="394"/>
      <c r="AK2377" s="381" t="s">
        <v>167</v>
      </c>
      <c r="AL2377" s="408" t="s">
        <v>175</v>
      </c>
      <c r="AM2377" s="385"/>
      <c r="AN2377" s="475">
        <v>1164</v>
      </c>
      <c r="AO2377" s="395"/>
      <c r="AP2377" s="395">
        <f t="shared" si="1045"/>
        <v>17.862079999999999</v>
      </c>
      <c r="AQ2377" s="393"/>
      <c r="AR2377" s="523"/>
      <c r="AS2377" s="497"/>
      <c r="AT2377" s="573"/>
      <c r="AU2377" s="394"/>
      <c r="AV2377" s="394"/>
      <c r="AW2377" s="394"/>
      <c r="AX2377" s="394"/>
      <c r="AY2377" s="394"/>
      <c r="AZ2377" s="394"/>
      <c r="BA2377" s="394"/>
      <c r="BB2377" s="394"/>
      <c r="BC2377" s="394"/>
      <c r="BD2377" s="381"/>
      <c r="BE2377" s="408"/>
      <c r="BF2377" s="385"/>
      <c r="BG2377" s="475"/>
      <c r="BH2377" s="395"/>
      <c r="BI2377" s="395" t="e">
        <f t="shared" si="1044"/>
        <v>#DIV/0!</v>
      </c>
    </row>
    <row r="2378" spans="1:61" s="358" customFormat="1" ht="19.2" x14ac:dyDescent="0.3">
      <c r="A2378" s="359" t="s">
        <v>2019</v>
      </c>
      <c r="B2378" s="572" t="s">
        <v>4052</v>
      </c>
      <c r="C2378" s="546" t="s">
        <v>3177</v>
      </c>
      <c r="D2378" s="360">
        <v>0.4</v>
      </c>
      <c r="E2378" s="393"/>
      <c r="F2378" s="523"/>
      <c r="G2378" s="393"/>
      <c r="H2378" s="573"/>
      <c r="I2378" s="394"/>
      <c r="J2378" s="394"/>
      <c r="K2378" s="394"/>
      <c r="L2378" s="394"/>
      <c r="M2378" s="394"/>
      <c r="N2378" s="394"/>
      <c r="O2378" s="394"/>
      <c r="P2378" s="394"/>
      <c r="Q2378" s="394"/>
      <c r="R2378" s="381"/>
      <c r="S2378" s="408"/>
      <c r="T2378" s="385"/>
      <c r="U2378" s="475"/>
      <c r="V2378" s="395"/>
      <c r="W2378" s="395"/>
      <c r="X2378" s="393"/>
      <c r="Y2378" s="523">
        <v>1</v>
      </c>
      <c r="Z2378" s="497"/>
      <c r="AA2378" s="573">
        <v>10.4011</v>
      </c>
      <c r="AB2378" s="394">
        <v>9.4607500000000009</v>
      </c>
      <c r="AC2378" s="394">
        <v>9.0384200000000003</v>
      </c>
      <c r="AD2378" s="394"/>
      <c r="AE2378" s="394"/>
      <c r="AF2378" s="394">
        <v>0</v>
      </c>
      <c r="AG2378" s="394">
        <v>0</v>
      </c>
      <c r="AH2378" s="394">
        <v>0.21922</v>
      </c>
      <c r="AI2378" s="394">
        <v>9.0384200000000003</v>
      </c>
      <c r="AJ2378" s="394"/>
      <c r="AK2378" s="381" t="s">
        <v>167</v>
      </c>
      <c r="AL2378" s="408" t="s">
        <v>175</v>
      </c>
      <c r="AM2378" s="385"/>
      <c r="AN2378" s="475">
        <v>1165</v>
      </c>
      <c r="AO2378" s="395"/>
      <c r="AP2378" s="395">
        <f t="shared" si="1045"/>
        <v>10.4011</v>
      </c>
      <c r="AQ2378" s="393"/>
      <c r="AR2378" s="523"/>
      <c r="AS2378" s="497"/>
      <c r="AT2378" s="573"/>
      <c r="AU2378" s="394"/>
      <c r="AV2378" s="394"/>
      <c r="AW2378" s="394"/>
      <c r="AX2378" s="394"/>
      <c r="AY2378" s="394"/>
      <c r="AZ2378" s="394"/>
      <c r="BA2378" s="394"/>
      <c r="BB2378" s="394"/>
      <c r="BC2378" s="394"/>
      <c r="BD2378" s="381"/>
      <c r="BE2378" s="408"/>
      <c r="BF2378" s="385"/>
      <c r="BG2378" s="475"/>
      <c r="BH2378" s="395"/>
      <c r="BI2378" s="395" t="e">
        <f t="shared" si="1044"/>
        <v>#DIV/0!</v>
      </c>
    </row>
    <row r="2379" spans="1:61" s="358" customFormat="1" ht="19.2" x14ac:dyDescent="0.3">
      <c r="A2379" s="359" t="s">
        <v>2036</v>
      </c>
      <c r="B2379" s="572" t="s">
        <v>4054</v>
      </c>
      <c r="C2379" s="546" t="s">
        <v>3178</v>
      </c>
      <c r="D2379" s="360">
        <v>0.4</v>
      </c>
      <c r="E2379" s="393"/>
      <c r="F2379" s="523"/>
      <c r="G2379" s="393"/>
      <c r="H2379" s="573"/>
      <c r="I2379" s="394"/>
      <c r="J2379" s="394"/>
      <c r="K2379" s="394"/>
      <c r="L2379" s="394"/>
      <c r="M2379" s="394"/>
      <c r="N2379" s="394"/>
      <c r="O2379" s="394"/>
      <c r="P2379" s="394"/>
      <c r="Q2379" s="394"/>
      <c r="R2379" s="381"/>
      <c r="S2379" s="408"/>
      <c r="T2379" s="385"/>
      <c r="U2379" s="475"/>
      <c r="V2379" s="395"/>
      <c r="W2379" s="395"/>
      <c r="X2379" s="393"/>
      <c r="Y2379" s="523">
        <v>1</v>
      </c>
      <c r="Z2379" s="497"/>
      <c r="AA2379" s="573">
        <v>12.87504</v>
      </c>
      <c r="AB2379" s="394">
        <v>11.88768</v>
      </c>
      <c r="AC2379" s="394">
        <v>11.88334</v>
      </c>
      <c r="AD2379" s="394"/>
      <c r="AE2379" s="394"/>
      <c r="AF2379" s="394">
        <v>0</v>
      </c>
      <c r="AG2379" s="394">
        <v>0</v>
      </c>
      <c r="AH2379" s="394">
        <v>0.23018</v>
      </c>
      <c r="AI2379" s="394">
        <v>11.88334</v>
      </c>
      <c r="AJ2379" s="394"/>
      <c r="AK2379" s="381" t="s">
        <v>167</v>
      </c>
      <c r="AL2379" s="408" t="s">
        <v>175</v>
      </c>
      <c r="AM2379" s="385"/>
      <c r="AN2379" s="475">
        <v>1166</v>
      </c>
      <c r="AO2379" s="395"/>
      <c r="AP2379" s="395">
        <f t="shared" si="1045"/>
        <v>12.87504</v>
      </c>
      <c r="AQ2379" s="393"/>
      <c r="AR2379" s="523"/>
      <c r="AS2379" s="497"/>
      <c r="AT2379" s="573"/>
      <c r="AU2379" s="394"/>
      <c r="AV2379" s="394"/>
      <c r="AW2379" s="394"/>
      <c r="AX2379" s="394"/>
      <c r="AY2379" s="394"/>
      <c r="AZ2379" s="394"/>
      <c r="BA2379" s="394"/>
      <c r="BB2379" s="394"/>
      <c r="BC2379" s="394"/>
      <c r="BD2379" s="381"/>
      <c r="BE2379" s="408"/>
      <c r="BF2379" s="385"/>
      <c r="BG2379" s="475"/>
      <c r="BH2379" s="395"/>
      <c r="BI2379" s="395" t="e">
        <f t="shared" si="1044"/>
        <v>#DIV/0!</v>
      </c>
    </row>
    <row r="2380" spans="1:61" s="358" customFormat="1" ht="19.2" x14ac:dyDescent="0.3">
      <c r="A2380" s="359" t="s">
        <v>2021</v>
      </c>
      <c r="B2380" s="572" t="s">
        <v>4055</v>
      </c>
      <c r="C2380" s="546" t="s">
        <v>3180</v>
      </c>
      <c r="D2380" s="360">
        <v>0.4</v>
      </c>
      <c r="E2380" s="393"/>
      <c r="F2380" s="523"/>
      <c r="G2380" s="393"/>
      <c r="H2380" s="573"/>
      <c r="I2380" s="394"/>
      <c r="J2380" s="394"/>
      <c r="K2380" s="394"/>
      <c r="L2380" s="394"/>
      <c r="M2380" s="394"/>
      <c r="N2380" s="394"/>
      <c r="O2380" s="394"/>
      <c r="P2380" s="394"/>
      <c r="Q2380" s="394"/>
      <c r="R2380" s="381"/>
      <c r="S2380" s="408"/>
      <c r="T2380" s="385"/>
      <c r="U2380" s="475"/>
      <c r="V2380" s="395"/>
      <c r="W2380" s="395"/>
      <c r="X2380" s="393"/>
      <c r="Y2380" s="523">
        <v>1</v>
      </c>
      <c r="Z2380" s="497"/>
      <c r="AA2380" s="573">
        <v>17.86204</v>
      </c>
      <c r="AB2380" s="394">
        <v>15.368830000000001</v>
      </c>
      <c r="AC2380" s="394">
        <v>14.364560000000001</v>
      </c>
      <c r="AD2380" s="394"/>
      <c r="AE2380" s="394"/>
      <c r="AF2380" s="394">
        <v>0</v>
      </c>
      <c r="AG2380" s="394">
        <v>0</v>
      </c>
      <c r="AH2380" s="394">
        <v>0.58123999999999998</v>
      </c>
      <c r="AI2380" s="394">
        <v>14.364560000000001</v>
      </c>
      <c r="AJ2380" s="394"/>
      <c r="AK2380" s="381" t="s">
        <v>167</v>
      </c>
      <c r="AL2380" s="408" t="s">
        <v>175</v>
      </c>
      <c r="AM2380" s="385"/>
      <c r="AN2380" s="475">
        <v>1167</v>
      </c>
      <c r="AO2380" s="395"/>
      <c r="AP2380" s="395">
        <f t="shared" si="1045"/>
        <v>17.86204</v>
      </c>
      <c r="AQ2380" s="393"/>
      <c r="AR2380" s="523"/>
      <c r="AS2380" s="497"/>
      <c r="AT2380" s="573"/>
      <c r="AU2380" s="394"/>
      <c r="AV2380" s="394"/>
      <c r="AW2380" s="394"/>
      <c r="AX2380" s="394"/>
      <c r="AY2380" s="394"/>
      <c r="AZ2380" s="394"/>
      <c r="BA2380" s="394"/>
      <c r="BB2380" s="394"/>
      <c r="BC2380" s="394"/>
      <c r="BD2380" s="381"/>
      <c r="BE2380" s="408"/>
      <c r="BF2380" s="385"/>
      <c r="BG2380" s="475"/>
      <c r="BH2380" s="395"/>
      <c r="BI2380" s="395" t="e">
        <f t="shared" si="1044"/>
        <v>#DIV/0!</v>
      </c>
    </row>
    <row r="2381" spans="1:61" s="358" customFormat="1" ht="19.2" x14ac:dyDescent="0.3">
      <c r="A2381" s="359" t="s">
        <v>2022</v>
      </c>
      <c r="B2381" s="572" t="s">
        <v>4056</v>
      </c>
      <c r="C2381" s="546" t="s">
        <v>3181</v>
      </c>
      <c r="D2381" s="360">
        <v>0.4</v>
      </c>
      <c r="E2381" s="393"/>
      <c r="F2381" s="523"/>
      <c r="G2381" s="393"/>
      <c r="H2381" s="573"/>
      <c r="I2381" s="394"/>
      <c r="J2381" s="394"/>
      <c r="K2381" s="394"/>
      <c r="L2381" s="394"/>
      <c r="M2381" s="394"/>
      <c r="N2381" s="394"/>
      <c r="O2381" s="394"/>
      <c r="P2381" s="394"/>
      <c r="Q2381" s="394"/>
      <c r="R2381" s="381"/>
      <c r="S2381" s="408"/>
      <c r="T2381" s="385"/>
      <c r="U2381" s="475"/>
      <c r="V2381" s="395"/>
      <c r="W2381" s="395"/>
      <c r="X2381" s="393"/>
      <c r="Y2381" s="523">
        <v>1</v>
      </c>
      <c r="Z2381" s="497"/>
      <c r="AA2381" s="573">
        <v>17.86204</v>
      </c>
      <c r="AB2381" s="394">
        <v>15.368830000000001</v>
      </c>
      <c r="AC2381" s="394">
        <v>14.364560000000001</v>
      </c>
      <c r="AD2381" s="394"/>
      <c r="AE2381" s="394"/>
      <c r="AF2381" s="394">
        <v>0</v>
      </c>
      <c r="AG2381" s="394">
        <v>0</v>
      </c>
      <c r="AH2381" s="394">
        <v>0.58123999999999998</v>
      </c>
      <c r="AI2381" s="394">
        <v>14.364560000000001</v>
      </c>
      <c r="AJ2381" s="394"/>
      <c r="AK2381" s="381" t="s">
        <v>167</v>
      </c>
      <c r="AL2381" s="408" t="s">
        <v>175</v>
      </c>
      <c r="AM2381" s="385"/>
      <c r="AN2381" s="475">
        <v>1168</v>
      </c>
      <c r="AO2381" s="395"/>
      <c r="AP2381" s="395">
        <f t="shared" si="1045"/>
        <v>17.86204</v>
      </c>
      <c r="AQ2381" s="393"/>
      <c r="AR2381" s="523"/>
      <c r="AS2381" s="497"/>
      <c r="AT2381" s="573"/>
      <c r="AU2381" s="394"/>
      <c r="AV2381" s="394"/>
      <c r="AW2381" s="394"/>
      <c r="AX2381" s="394"/>
      <c r="AY2381" s="394"/>
      <c r="AZ2381" s="394"/>
      <c r="BA2381" s="394"/>
      <c r="BB2381" s="394"/>
      <c r="BC2381" s="394"/>
      <c r="BD2381" s="381"/>
      <c r="BE2381" s="408"/>
      <c r="BF2381" s="385"/>
      <c r="BG2381" s="475"/>
      <c r="BH2381" s="395"/>
      <c r="BI2381" s="395" t="e">
        <f t="shared" si="1044"/>
        <v>#DIV/0!</v>
      </c>
    </row>
    <row r="2382" spans="1:61" s="358" customFormat="1" ht="19.2" x14ac:dyDescent="0.3">
      <c r="A2382" s="359" t="s">
        <v>2023</v>
      </c>
      <c r="B2382" s="572" t="s">
        <v>2343</v>
      </c>
      <c r="C2382" s="546" t="s">
        <v>2342</v>
      </c>
      <c r="D2382" s="360">
        <v>0.4</v>
      </c>
      <c r="E2382" s="393"/>
      <c r="F2382" s="523"/>
      <c r="G2382" s="393"/>
      <c r="H2382" s="573"/>
      <c r="I2382" s="394"/>
      <c r="J2382" s="394"/>
      <c r="K2382" s="394"/>
      <c r="L2382" s="394"/>
      <c r="M2382" s="394"/>
      <c r="N2382" s="394"/>
      <c r="O2382" s="394"/>
      <c r="P2382" s="394"/>
      <c r="Q2382" s="394"/>
      <c r="R2382" s="381"/>
      <c r="S2382" s="408"/>
      <c r="T2382" s="385"/>
      <c r="U2382" s="475"/>
      <c r="V2382" s="395"/>
      <c r="W2382" s="395"/>
      <c r="X2382" s="393"/>
      <c r="Y2382" s="523">
        <v>1</v>
      </c>
      <c r="Z2382" s="497"/>
      <c r="AA2382" s="573">
        <v>17.862079999999999</v>
      </c>
      <c r="AB2382" s="394">
        <v>15.368869999999999</v>
      </c>
      <c r="AC2382" s="394">
        <v>14.364599999999999</v>
      </c>
      <c r="AD2382" s="394"/>
      <c r="AE2382" s="394"/>
      <c r="AF2382" s="394">
        <v>0</v>
      </c>
      <c r="AG2382" s="394">
        <v>0</v>
      </c>
      <c r="AH2382" s="394">
        <v>0.58123999999999998</v>
      </c>
      <c r="AI2382" s="394">
        <v>14.364599999999999</v>
      </c>
      <c r="AJ2382" s="394"/>
      <c r="AK2382" s="381" t="s">
        <v>167</v>
      </c>
      <c r="AL2382" s="408" t="s">
        <v>175</v>
      </c>
      <c r="AM2382" s="385"/>
      <c r="AN2382" s="475">
        <v>1169</v>
      </c>
      <c r="AO2382" s="395"/>
      <c r="AP2382" s="395">
        <f t="shared" si="1045"/>
        <v>17.862079999999999</v>
      </c>
      <c r="AQ2382" s="393"/>
      <c r="AR2382" s="523"/>
      <c r="AS2382" s="497"/>
      <c r="AT2382" s="573"/>
      <c r="AU2382" s="394"/>
      <c r="AV2382" s="394"/>
      <c r="AW2382" s="394"/>
      <c r="AX2382" s="394"/>
      <c r="AY2382" s="394"/>
      <c r="AZ2382" s="394"/>
      <c r="BA2382" s="394"/>
      <c r="BB2382" s="394"/>
      <c r="BC2382" s="394"/>
      <c r="BD2382" s="381"/>
      <c r="BE2382" s="408"/>
      <c r="BF2382" s="385"/>
      <c r="BG2382" s="475"/>
      <c r="BH2382" s="395"/>
      <c r="BI2382" s="395" t="e">
        <f t="shared" si="1044"/>
        <v>#DIV/0!</v>
      </c>
    </row>
    <row r="2383" spans="1:61" s="358" customFormat="1" ht="19.2" x14ac:dyDescent="0.3">
      <c r="A2383" s="359" t="s">
        <v>2040</v>
      </c>
      <c r="B2383" s="572" t="s">
        <v>4057</v>
      </c>
      <c r="C2383" s="546" t="s">
        <v>3182</v>
      </c>
      <c r="D2383" s="360">
        <v>0.4</v>
      </c>
      <c r="E2383" s="393"/>
      <c r="F2383" s="523"/>
      <c r="G2383" s="393"/>
      <c r="H2383" s="573"/>
      <c r="I2383" s="394"/>
      <c r="J2383" s="394"/>
      <c r="K2383" s="394"/>
      <c r="L2383" s="394"/>
      <c r="M2383" s="394"/>
      <c r="N2383" s="394"/>
      <c r="O2383" s="394"/>
      <c r="P2383" s="394"/>
      <c r="Q2383" s="394"/>
      <c r="R2383" s="381"/>
      <c r="S2383" s="408"/>
      <c r="T2383" s="385"/>
      <c r="U2383" s="475"/>
      <c r="V2383" s="395"/>
      <c r="W2383" s="395"/>
      <c r="X2383" s="393"/>
      <c r="Y2383" s="523">
        <v>1</v>
      </c>
      <c r="Z2383" s="497"/>
      <c r="AA2383" s="573">
        <v>17.86206</v>
      </c>
      <c r="AB2383" s="394">
        <v>15.36885</v>
      </c>
      <c r="AC2383" s="394">
        <v>14.364599999999999</v>
      </c>
      <c r="AD2383" s="394"/>
      <c r="AE2383" s="394"/>
      <c r="AF2383" s="394">
        <v>0</v>
      </c>
      <c r="AG2383" s="394">
        <v>0</v>
      </c>
      <c r="AH2383" s="394">
        <v>0.58123999999999998</v>
      </c>
      <c r="AI2383" s="394">
        <v>14.364599999999999</v>
      </c>
      <c r="AJ2383" s="394"/>
      <c r="AK2383" s="381" t="s">
        <v>167</v>
      </c>
      <c r="AL2383" s="408" t="s">
        <v>175</v>
      </c>
      <c r="AM2383" s="385"/>
      <c r="AN2383" s="475">
        <v>1170</v>
      </c>
      <c r="AO2383" s="395"/>
      <c r="AP2383" s="395">
        <f t="shared" si="1045"/>
        <v>17.86206</v>
      </c>
      <c r="AQ2383" s="393"/>
      <c r="AR2383" s="523"/>
      <c r="AS2383" s="497"/>
      <c r="AT2383" s="573"/>
      <c r="AU2383" s="394"/>
      <c r="AV2383" s="394"/>
      <c r="AW2383" s="394"/>
      <c r="AX2383" s="394"/>
      <c r="AY2383" s="394"/>
      <c r="AZ2383" s="394"/>
      <c r="BA2383" s="394"/>
      <c r="BB2383" s="394"/>
      <c r="BC2383" s="394"/>
      <c r="BD2383" s="381"/>
      <c r="BE2383" s="408"/>
      <c r="BF2383" s="385"/>
      <c r="BG2383" s="475"/>
      <c r="BH2383" s="395"/>
      <c r="BI2383" s="395" t="e">
        <f t="shared" si="1044"/>
        <v>#DIV/0!</v>
      </c>
    </row>
    <row r="2384" spans="1:61" s="358" customFormat="1" ht="19.2" x14ac:dyDescent="0.3">
      <c r="A2384" s="359" t="s">
        <v>2025</v>
      </c>
      <c r="B2384" s="572" t="s">
        <v>4058</v>
      </c>
      <c r="C2384" s="546" t="s">
        <v>3183</v>
      </c>
      <c r="D2384" s="360">
        <v>0.4</v>
      </c>
      <c r="E2384" s="393"/>
      <c r="F2384" s="523"/>
      <c r="G2384" s="393"/>
      <c r="H2384" s="573"/>
      <c r="I2384" s="394"/>
      <c r="J2384" s="394"/>
      <c r="K2384" s="394"/>
      <c r="L2384" s="394"/>
      <c r="M2384" s="394"/>
      <c r="N2384" s="394"/>
      <c r="O2384" s="394"/>
      <c r="P2384" s="394"/>
      <c r="Q2384" s="394"/>
      <c r="R2384" s="381"/>
      <c r="S2384" s="408"/>
      <c r="T2384" s="385"/>
      <c r="U2384" s="475"/>
      <c r="V2384" s="395"/>
      <c r="W2384" s="395"/>
      <c r="X2384" s="393"/>
      <c r="Y2384" s="523">
        <v>1</v>
      </c>
      <c r="Z2384" s="497"/>
      <c r="AA2384" s="573">
        <v>17.86205</v>
      </c>
      <c r="AB2384" s="394">
        <v>15.368840000000001</v>
      </c>
      <c r="AC2384" s="394">
        <v>14.364560000000001</v>
      </c>
      <c r="AD2384" s="394"/>
      <c r="AE2384" s="394"/>
      <c r="AF2384" s="394">
        <v>0</v>
      </c>
      <c r="AG2384" s="394">
        <v>0</v>
      </c>
      <c r="AH2384" s="394">
        <v>0.58123999999999998</v>
      </c>
      <c r="AI2384" s="394">
        <v>14.364560000000001</v>
      </c>
      <c r="AJ2384" s="394"/>
      <c r="AK2384" s="381" t="s">
        <v>167</v>
      </c>
      <c r="AL2384" s="408" t="s">
        <v>175</v>
      </c>
      <c r="AM2384" s="385"/>
      <c r="AN2384" s="475">
        <v>1171</v>
      </c>
      <c r="AO2384" s="395"/>
      <c r="AP2384" s="395">
        <f t="shared" si="1045"/>
        <v>17.86205</v>
      </c>
      <c r="AQ2384" s="393"/>
      <c r="AR2384" s="523"/>
      <c r="AS2384" s="497"/>
      <c r="AT2384" s="573"/>
      <c r="AU2384" s="394"/>
      <c r="AV2384" s="394"/>
      <c r="AW2384" s="394"/>
      <c r="AX2384" s="394"/>
      <c r="AY2384" s="394"/>
      <c r="AZ2384" s="394"/>
      <c r="BA2384" s="394"/>
      <c r="BB2384" s="394"/>
      <c r="BC2384" s="394"/>
      <c r="BD2384" s="381"/>
      <c r="BE2384" s="408"/>
      <c r="BF2384" s="385"/>
      <c r="BG2384" s="475"/>
      <c r="BH2384" s="395"/>
      <c r="BI2384" s="395" t="e">
        <f t="shared" si="1044"/>
        <v>#DIV/0!</v>
      </c>
    </row>
    <row r="2385" spans="1:61" s="358" customFormat="1" ht="19.2" x14ac:dyDescent="0.3">
      <c r="A2385" s="359" t="s">
        <v>2026</v>
      </c>
      <c r="B2385" s="572" t="s">
        <v>1636</v>
      </c>
      <c r="C2385" s="546" t="s">
        <v>2313</v>
      </c>
      <c r="D2385" s="360">
        <v>0.4</v>
      </c>
      <c r="E2385" s="393"/>
      <c r="F2385" s="523"/>
      <c r="G2385" s="393"/>
      <c r="H2385" s="573"/>
      <c r="I2385" s="394"/>
      <c r="J2385" s="394"/>
      <c r="K2385" s="394"/>
      <c r="L2385" s="394"/>
      <c r="M2385" s="394"/>
      <c r="N2385" s="394"/>
      <c r="O2385" s="394"/>
      <c r="P2385" s="394"/>
      <c r="Q2385" s="394"/>
      <c r="R2385" s="381"/>
      <c r="S2385" s="408"/>
      <c r="T2385" s="385"/>
      <c r="U2385" s="475"/>
      <c r="V2385" s="395"/>
      <c r="W2385" s="395"/>
      <c r="X2385" s="393"/>
      <c r="Y2385" s="523">
        <v>1</v>
      </c>
      <c r="Z2385" s="497"/>
      <c r="AA2385" s="573">
        <v>29.035039999999999</v>
      </c>
      <c r="AB2385" s="394">
        <v>26.541830000000001</v>
      </c>
      <c r="AC2385" s="394">
        <v>14.364560000000001</v>
      </c>
      <c r="AD2385" s="394"/>
      <c r="AE2385" s="394"/>
      <c r="AF2385" s="394">
        <v>0</v>
      </c>
      <c r="AG2385" s="394">
        <v>0</v>
      </c>
      <c r="AH2385" s="394">
        <v>0.58123999999999998</v>
      </c>
      <c r="AI2385" s="394">
        <v>14.364560000000001</v>
      </c>
      <c r="AJ2385" s="394"/>
      <c r="AK2385" s="381" t="s">
        <v>167</v>
      </c>
      <c r="AL2385" s="408" t="s">
        <v>175</v>
      </c>
      <c r="AM2385" s="385"/>
      <c r="AN2385" s="475">
        <v>1172</v>
      </c>
      <c r="AO2385" s="395"/>
      <c r="AP2385" s="395">
        <f t="shared" si="1045"/>
        <v>29.035039999999999</v>
      </c>
      <c r="AQ2385" s="393"/>
      <c r="AR2385" s="523"/>
      <c r="AS2385" s="497"/>
      <c r="AT2385" s="573"/>
      <c r="AU2385" s="394"/>
      <c r="AV2385" s="394"/>
      <c r="AW2385" s="394"/>
      <c r="AX2385" s="394"/>
      <c r="AY2385" s="394"/>
      <c r="AZ2385" s="394"/>
      <c r="BA2385" s="394"/>
      <c r="BB2385" s="394"/>
      <c r="BC2385" s="394"/>
      <c r="BD2385" s="381"/>
      <c r="BE2385" s="408"/>
      <c r="BF2385" s="385"/>
      <c r="BG2385" s="475"/>
      <c r="BH2385" s="395"/>
      <c r="BI2385" s="395" t="e">
        <f t="shared" si="1044"/>
        <v>#DIV/0!</v>
      </c>
    </row>
    <row r="2386" spans="1:61" s="358" customFormat="1" ht="19.2" x14ac:dyDescent="0.3">
      <c r="A2386" s="359" t="s">
        <v>2011</v>
      </c>
      <c r="B2386" s="572" t="s">
        <v>2341</v>
      </c>
      <c r="C2386" s="546" t="s">
        <v>2340</v>
      </c>
      <c r="D2386" s="360">
        <v>0.4</v>
      </c>
      <c r="E2386" s="393"/>
      <c r="F2386" s="523"/>
      <c r="G2386" s="393"/>
      <c r="H2386" s="573"/>
      <c r="I2386" s="394"/>
      <c r="J2386" s="394"/>
      <c r="K2386" s="394"/>
      <c r="L2386" s="394"/>
      <c r="M2386" s="394"/>
      <c r="N2386" s="394"/>
      <c r="O2386" s="394"/>
      <c r="P2386" s="394"/>
      <c r="Q2386" s="394"/>
      <c r="R2386" s="381"/>
      <c r="S2386" s="408"/>
      <c r="T2386" s="385"/>
      <c r="U2386" s="475"/>
      <c r="V2386" s="395"/>
      <c r="W2386" s="395"/>
      <c r="X2386" s="393"/>
      <c r="Y2386" s="523">
        <v>1</v>
      </c>
      <c r="Z2386" s="497"/>
      <c r="AA2386" s="573">
        <v>17.862069999999999</v>
      </c>
      <c r="AB2386" s="394">
        <v>15.36886</v>
      </c>
      <c r="AC2386" s="394">
        <v>14.364599999999999</v>
      </c>
      <c r="AD2386" s="394"/>
      <c r="AE2386" s="394"/>
      <c r="AF2386" s="394">
        <v>0</v>
      </c>
      <c r="AG2386" s="394">
        <v>0</v>
      </c>
      <c r="AH2386" s="394">
        <v>0.58123999999999998</v>
      </c>
      <c r="AI2386" s="394">
        <v>14.364599999999999</v>
      </c>
      <c r="AJ2386" s="394"/>
      <c r="AK2386" s="381" t="s">
        <v>167</v>
      </c>
      <c r="AL2386" s="408" t="s">
        <v>175</v>
      </c>
      <c r="AM2386" s="385"/>
      <c r="AN2386" s="475">
        <v>1173</v>
      </c>
      <c r="AO2386" s="395"/>
      <c r="AP2386" s="395">
        <f t="shared" si="1045"/>
        <v>17.862069999999999</v>
      </c>
      <c r="AQ2386" s="393"/>
      <c r="AR2386" s="523"/>
      <c r="AS2386" s="497"/>
      <c r="AT2386" s="573"/>
      <c r="AU2386" s="394"/>
      <c r="AV2386" s="394"/>
      <c r="AW2386" s="394"/>
      <c r="AX2386" s="394"/>
      <c r="AY2386" s="394"/>
      <c r="AZ2386" s="394"/>
      <c r="BA2386" s="394"/>
      <c r="BB2386" s="394"/>
      <c r="BC2386" s="394"/>
      <c r="BD2386" s="381"/>
      <c r="BE2386" s="408"/>
      <c r="BF2386" s="385"/>
      <c r="BG2386" s="475"/>
      <c r="BH2386" s="395"/>
      <c r="BI2386" s="395" t="e">
        <f t="shared" si="1044"/>
        <v>#DIV/0!</v>
      </c>
    </row>
    <row r="2387" spans="1:61" s="358" customFormat="1" ht="19.2" x14ac:dyDescent="0.3">
      <c r="A2387" s="359" t="s">
        <v>2028</v>
      </c>
      <c r="B2387" s="572" t="s">
        <v>2319</v>
      </c>
      <c r="C2387" s="546" t="s">
        <v>2318</v>
      </c>
      <c r="D2387" s="360">
        <v>0.4</v>
      </c>
      <c r="E2387" s="393"/>
      <c r="F2387" s="523"/>
      <c r="G2387" s="393"/>
      <c r="H2387" s="573"/>
      <c r="I2387" s="394"/>
      <c r="J2387" s="394"/>
      <c r="K2387" s="394"/>
      <c r="L2387" s="394"/>
      <c r="M2387" s="394"/>
      <c r="N2387" s="394"/>
      <c r="O2387" s="394"/>
      <c r="P2387" s="394"/>
      <c r="Q2387" s="394"/>
      <c r="R2387" s="381"/>
      <c r="S2387" s="408"/>
      <c r="T2387" s="385"/>
      <c r="U2387" s="475"/>
      <c r="V2387" s="395"/>
      <c r="W2387" s="395"/>
      <c r="X2387" s="393"/>
      <c r="Y2387" s="523">
        <v>1</v>
      </c>
      <c r="Z2387" s="497"/>
      <c r="AA2387" s="573">
        <v>17.86204</v>
      </c>
      <c r="AB2387" s="394">
        <v>15.368830000000001</v>
      </c>
      <c r="AC2387" s="394">
        <v>14.364560000000001</v>
      </c>
      <c r="AD2387" s="394"/>
      <c r="AE2387" s="394"/>
      <c r="AF2387" s="394">
        <v>0</v>
      </c>
      <c r="AG2387" s="394">
        <v>0</v>
      </c>
      <c r="AH2387" s="394">
        <v>0.58123999999999998</v>
      </c>
      <c r="AI2387" s="394">
        <v>14.364560000000001</v>
      </c>
      <c r="AJ2387" s="394"/>
      <c r="AK2387" s="381" t="s">
        <v>167</v>
      </c>
      <c r="AL2387" s="408" t="s">
        <v>175</v>
      </c>
      <c r="AM2387" s="385"/>
      <c r="AN2387" s="475">
        <v>1174</v>
      </c>
      <c r="AO2387" s="395"/>
      <c r="AP2387" s="395">
        <f t="shared" si="1045"/>
        <v>17.86204</v>
      </c>
      <c r="AQ2387" s="393"/>
      <c r="AR2387" s="523"/>
      <c r="AS2387" s="497"/>
      <c r="AT2387" s="573"/>
      <c r="AU2387" s="394"/>
      <c r="AV2387" s="394"/>
      <c r="AW2387" s="394"/>
      <c r="AX2387" s="394"/>
      <c r="AY2387" s="394"/>
      <c r="AZ2387" s="394"/>
      <c r="BA2387" s="394"/>
      <c r="BB2387" s="394"/>
      <c r="BC2387" s="394"/>
      <c r="BD2387" s="381"/>
      <c r="BE2387" s="408"/>
      <c r="BF2387" s="385"/>
      <c r="BG2387" s="475"/>
      <c r="BH2387" s="395"/>
      <c r="BI2387" s="395" t="e">
        <f t="shared" si="1044"/>
        <v>#DIV/0!</v>
      </c>
    </row>
    <row r="2388" spans="1:61" s="358" customFormat="1" ht="19.2" x14ac:dyDescent="0.3">
      <c r="A2388" s="359" t="s">
        <v>2029</v>
      </c>
      <c r="B2388" s="572" t="s">
        <v>4059</v>
      </c>
      <c r="C2388" s="546" t="s">
        <v>3184</v>
      </c>
      <c r="D2388" s="360">
        <v>0.4</v>
      </c>
      <c r="E2388" s="393"/>
      <c r="F2388" s="523"/>
      <c r="G2388" s="393"/>
      <c r="H2388" s="573"/>
      <c r="I2388" s="394"/>
      <c r="J2388" s="394"/>
      <c r="K2388" s="394"/>
      <c r="L2388" s="394"/>
      <c r="M2388" s="394"/>
      <c r="N2388" s="394"/>
      <c r="O2388" s="394"/>
      <c r="P2388" s="394"/>
      <c r="Q2388" s="394"/>
      <c r="R2388" s="381"/>
      <c r="S2388" s="408"/>
      <c r="T2388" s="385"/>
      <c r="U2388" s="475"/>
      <c r="V2388" s="395"/>
      <c r="W2388" s="395"/>
      <c r="X2388" s="393"/>
      <c r="Y2388" s="523">
        <v>1</v>
      </c>
      <c r="Z2388" s="497"/>
      <c r="AA2388" s="573">
        <v>17.86204</v>
      </c>
      <c r="AB2388" s="394">
        <v>15.368830000000001</v>
      </c>
      <c r="AC2388" s="394">
        <v>14.364560000000001</v>
      </c>
      <c r="AD2388" s="394"/>
      <c r="AE2388" s="394"/>
      <c r="AF2388" s="394">
        <v>0</v>
      </c>
      <c r="AG2388" s="394">
        <v>0</v>
      </c>
      <c r="AH2388" s="394">
        <v>0.58123999999999998</v>
      </c>
      <c r="AI2388" s="394">
        <v>14.364560000000001</v>
      </c>
      <c r="AJ2388" s="394"/>
      <c r="AK2388" s="381" t="s">
        <v>167</v>
      </c>
      <c r="AL2388" s="408" t="s">
        <v>175</v>
      </c>
      <c r="AM2388" s="385"/>
      <c r="AN2388" s="475">
        <v>1175</v>
      </c>
      <c r="AO2388" s="395"/>
      <c r="AP2388" s="395">
        <f t="shared" si="1045"/>
        <v>17.86204</v>
      </c>
      <c r="AQ2388" s="393"/>
      <c r="AR2388" s="523"/>
      <c r="AS2388" s="497"/>
      <c r="AT2388" s="573"/>
      <c r="AU2388" s="394"/>
      <c r="AV2388" s="394"/>
      <c r="AW2388" s="394"/>
      <c r="AX2388" s="394"/>
      <c r="AY2388" s="394"/>
      <c r="AZ2388" s="394"/>
      <c r="BA2388" s="394"/>
      <c r="BB2388" s="394"/>
      <c r="BC2388" s="394"/>
      <c r="BD2388" s="381"/>
      <c r="BE2388" s="408"/>
      <c r="BF2388" s="385"/>
      <c r="BG2388" s="475"/>
      <c r="BH2388" s="395"/>
      <c r="BI2388" s="395" t="e">
        <f t="shared" si="1044"/>
        <v>#DIV/0!</v>
      </c>
    </row>
    <row r="2389" spans="1:61" s="358" customFormat="1" ht="19.2" x14ac:dyDescent="0.3">
      <c r="A2389" s="359" t="s">
        <v>2030</v>
      </c>
      <c r="B2389" s="572" t="s">
        <v>4060</v>
      </c>
      <c r="C2389" s="546" t="s">
        <v>3185</v>
      </c>
      <c r="D2389" s="360">
        <v>0.4</v>
      </c>
      <c r="E2389" s="393"/>
      <c r="F2389" s="523"/>
      <c r="G2389" s="393"/>
      <c r="H2389" s="573"/>
      <c r="I2389" s="394"/>
      <c r="J2389" s="394"/>
      <c r="K2389" s="394"/>
      <c r="L2389" s="394"/>
      <c r="M2389" s="394"/>
      <c r="N2389" s="394"/>
      <c r="O2389" s="394"/>
      <c r="P2389" s="394"/>
      <c r="Q2389" s="394"/>
      <c r="R2389" s="381"/>
      <c r="S2389" s="408"/>
      <c r="T2389" s="385"/>
      <c r="U2389" s="475"/>
      <c r="V2389" s="395"/>
      <c r="W2389" s="395"/>
      <c r="X2389" s="393"/>
      <c r="Y2389" s="523">
        <v>1</v>
      </c>
      <c r="Z2389" s="497"/>
      <c r="AA2389" s="573">
        <v>17.86204</v>
      </c>
      <c r="AB2389" s="394">
        <v>15.368830000000001</v>
      </c>
      <c r="AC2389" s="394">
        <v>14.364560000000001</v>
      </c>
      <c r="AD2389" s="394"/>
      <c r="AE2389" s="394"/>
      <c r="AF2389" s="394">
        <v>0</v>
      </c>
      <c r="AG2389" s="394">
        <v>0</v>
      </c>
      <c r="AH2389" s="394">
        <v>0.58123999999999998</v>
      </c>
      <c r="AI2389" s="394">
        <v>14.364560000000001</v>
      </c>
      <c r="AJ2389" s="394"/>
      <c r="AK2389" s="381" t="s">
        <v>167</v>
      </c>
      <c r="AL2389" s="408" t="s">
        <v>175</v>
      </c>
      <c r="AM2389" s="385"/>
      <c r="AN2389" s="475">
        <v>1176</v>
      </c>
      <c r="AO2389" s="395"/>
      <c r="AP2389" s="395">
        <f t="shared" si="1045"/>
        <v>17.86204</v>
      </c>
      <c r="AQ2389" s="393"/>
      <c r="AR2389" s="523"/>
      <c r="AS2389" s="497"/>
      <c r="AT2389" s="573"/>
      <c r="AU2389" s="394"/>
      <c r="AV2389" s="394"/>
      <c r="AW2389" s="394"/>
      <c r="AX2389" s="394"/>
      <c r="AY2389" s="394"/>
      <c r="AZ2389" s="394"/>
      <c r="BA2389" s="394"/>
      <c r="BB2389" s="394"/>
      <c r="BC2389" s="394"/>
      <c r="BD2389" s="381"/>
      <c r="BE2389" s="408"/>
      <c r="BF2389" s="385"/>
      <c r="BG2389" s="475"/>
      <c r="BH2389" s="395"/>
      <c r="BI2389" s="395" t="e">
        <f t="shared" si="1044"/>
        <v>#DIV/0!</v>
      </c>
    </row>
    <row r="2390" spans="1:61" s="358" customFormat="1" ht="19.2" x14ac:dyDescent="0.3">
      <c r="A2390" s="359" t="s">
        <v>2031</v>
      </c>
      <c r="B2390" s="572" t="s">
        <v>2417</v>
      </c>
      <c r="C2390" s="546" t="s">
        <v>2416</v>
      </c>
      <c r="D2390" s="360">
        <v>0.4</v>
      </c>
      <c r="E2390" s="393"/>
      <c r="F2390" s="523"/>
      <c r="G2390" s="393"/>
      <c r="H2390" s="573"/>
      <c r="I2390" s="394"/>
      <c r="J2390" s="394"/>
      <c r="K2390" s="394"/>
      <c r="L2390" s="394"/>
      <c r="M2390" s="394"/>
      <c r="N2390" s="394"/>
      <c r="O2390" s="394"/>
      <c r="P2390" s="394"/>
      <c r="Q2390" s="394"/>
      <c r="R2390" s="381"/>
      <c r="S2390" s="408"/>
      <c r="T2390" s="385"/>
      <c r="U2390" s="475"/>
      <c r="V2390" s="395"/>
      <c r="W2390" s="395"/>
      <c r="X2390" s="393"/>
      <c r="Y2390" s="523">
        <v>1</v>
      </c>
      <c r="Z2390" s="497"/>
      <c r="AA2390" s="573">
        <v>17.86205</v>
      </c>
      <c r="AB2390" s="394">
        <v>15.368840000000001</v>
      </c>
      <c r="AC2390" s="394">
        <v>14.364560000000001</v>
      </c>
      <c r="AD2390" s="394"/>
      <c r="AE2390" s="394"/>
      <c r="AF2390" s="394">
        <v>0</v>
      </c>
      <c r="AG2390" s="394">
        <v>0</v>
      </c>
      <c r="AH2390" s="394">
        <v>0.58123999999999998</v>
      </c>
      <c r="AI2390" s="394">
        <v>14.364560000000001</v>
      </c>
      <c r="AJ2390" s="394"/>
      <c r="AK2390" s="381" t="s">
        <v>167</v>
      </c>
      <c r="AL2390" s="408" t="s">
        <v>175</v>
      </c>
      <c r="AM2390" s="385"/>
      <c r="AN2390" s="475">
        <v>1177</v>
      </c>
      <c r="AO2390" s="395"/>
      <c r="AP2390" s="395">
        <f t="shared" si="1045"/>
        <v>17.86205</v>
      </c>
      <c r="AQ2390" s="393"/>
      <c r="AR2390" s="523"/>
      <c r="AS2390" s="497"/>
      <c r="AT2390" s="573"/>
      <c r="AU2390" s="394"/>
      <c r="AV2390" s="394"/>
      <c r="AW2390" s="394"/>
      <c r="AX2390" s="394"/>
      <c r="AY2390" s="394"/>
      <c r="AZ2390" s="394"/>
      <c r="BA2390" s="394"/>
      <c r="BB2390" s="394"/>
      <c r="BC2390" s="394"/>
      <c r="BD2390" s="381"/>
      <c r="BE2390" s="408"/>
      <c r="BF2390" s="385"/>
      <c r="BG2390" s="475"/>
      <c r="BH2390" s="395"/>
      <c r="BI2390" s="395" t="e">
        <f t="shared" si="1044"/>
        <v>#DIV/0!</v>
      </c>
    </row>
    <row r="2391" spans="1:61" s="358" customFormat="1" ht="19.2" x14ac:dyDescent="0.3">
      <c r="A2391" s="359" t="s">
        <v>2032</v>
      </c>
      <c r="B2391" s="572" t="s">
        <v>4061</v>
      </c>
      <c r="C2391" s="546" t="s">
        <v>3186</v>
      </c>
      <c r="D2391" s="360">
        <v>0.4</v>
      </c>
      <c r="E2391" s="393"/>
      <c r="F2391" s="523"/>
      <c r="G2391" s="393"/>
      <c r="H2391" s="573"/>
      <c r="I2391" s="394"/>
      <c r="J2391" s="394"/>
      <c r="K2391" s="394"/>
      <c r="L2391" s="394"/>
      <c r="M2391" s="394"/>
      <c r="N2391" s="394"/>
      <c r="O2391" s="394"/>
      <c r="P2391" s="394"/>
      <c r="Q2391" s="394"/>
      <c r="R2391" s="381"/>
      <c r="S2391" s="408"/>
      <c r="T2391" s="385"/>
      <c r="U2391" s="475"/>
      <c r="V2391" s="395"/>
      <c r="W2391" s="395"/>
      <c r="X2391" s="393"/>
      <c r="Y2391" s="523">
        <v>1</v>
      </c>
      <c r="Z2391" s="497"/>
      <c r="AA2391" s="573">
        <v>17.862089999999998</v>
      </c>
      <c r="AB2391" s="394">
        <v>15.368880000000001</v>
      </c>
      <c r="AC2391" s="394">
        <v>14.364599999999999</v>
      </c>
      <c r="AD2391" s="394"/>
      <c r="AE2391" s="394"/>
      <c r="AF2391" s="394">
        <v>0</v>
      </c>
      <c r="AG2391" s="394">
        <v>0</v>
      </c>
      <c r="AH2391" s="394">
        <v>0.58123999999999998</v>
      </c>
      <c r="AI2391" s="394">
        <v>14.364599999999999</v>
      </c>
      <c r="AJ2391" s="394"/>
      <c r="AK2391" s="381" t="s">
        <v>167</v>
      </c>
      <c r="AL2391" s="408" t="s">
        <v>175</v>
      </c>
      <c r="AM2391" s="385"/>
      <c r="AN2391" s="475">
        <v>1178</v>
      </c>
      <c r="AO2391" s="395"/>
      <c r="AP2391" s="395">
        <f t="shared" si="1045"/>
        <v>17.862089999999998</v>
      </c>
      <c r="AQ2391" s="393"/>
      <c r="AR2391" s="523"/>
      <c r="AS2391" s="497"/>
      <c r="AT2391" s="573"/>
      <c r="AU2391" s="394"/>
      <c r="AV2391" s="394"/>
      <c r="AW2391" s="394"/>
      <c r="AX2391" s="394"/>
      <c r="AY2391" s="394"/>
      <c r="AZ2391" s="394"/>
      <c r="BA2391" s="394"/>
      <c r="BB2391" s="394"/>
      <c r="BC2391" s="394"/>
      <c r="BD2391" s="381"/>
      <c r="BE2391" s="408"/>
      <c r="BF2391" s="385"/>
      <c r="BG2391" s="475"/>
      <c r="BH2391" s="395"/>
      <c r="BI2391" s="395" t="e">
        <f t="shared" ref="BI2391:BI2454" si="1046">AT2391/AR2391</f>
        <v>#DIV/0!</v>
      </c>
    </row>
    <row r="2392" spans="1:61" s="358" customFormat="1" ht="19.2" x14ac:dyDescent="0.3">
      <c r="A2392" s="359" t="s">
        <v>2033</v>
      </c>
      <c r="B2392" s="572" t="s">
        <v>4062</v>
      </c>
      <c r="C2392" s="546" t="s">
        <v>3187</v>
      </c>
      <c r="D2392" s="360">
        <v>0.4</v>
      </c>
      <c r="E2392" s="393"/>
      <c r="F2392" s="523"/>
      <c r="G2392" s="393"/>
      <c r="H2392" s="573"/>
      <c r="I2392" s="394"/>
      <c r="J2392" s="394"/>
      <c r="K2392" s="394"/>
      <c r="L2392" s="394"/>
      <c r="M2392" s="394"/>
      <c r="N2392" s="394"/>
      <c r="O2392" s="394"/>
      <c r="P2392" s="394"/>
      <c r="Q2392" s="394"/>
      <c r="R2392" s="381"/>
      <c r="S2392" s="408"/>
      <c r="T2392" s="385"/>
      <c r="U2392" s="475"/>
      <c r="V2392" s="395"/>
      <c r="W2392" s="395"/>
      <c r="X2392" s="393"/>
      <c r="Y2392" s="523">
        <v>1</v>
      </c>
      <c r="Z2392" s="497"/>
      <c r="AA2392" s="573">
        <v>17.86204</v>
      </c>
      <c r="AB2392" s="394">
        <v>15.368830000000001</v>
      </c>
      <c r="AC2392" s="394">
        <v>14.364560000000001</v>
      </c>
      <c r="AD2392" s="394"/>
      <c r="AE2392" s="394"/>
      <c r="AF2392" s="394">
        <v>0</v>
      </c>
      <c r="AG2392" s="394">
        <v>0</v>
      </c>
      <c r="AH2392" s="394">
        <v>0.58123999999999998</v>
      </c>
      <c r="AI2392" s="394">
        <v>14.364560000000001</v>
      </c>
      <c r="AJ2392" s="394"/>
      <c r="AK2392" s="381" t="s">
        <v>167</v>
      </c>
      <c r="AL2392" s="408" t="s">
        <v>175</v>
      </c>
      <c r="AM2392" s="385"/>
      <c r="AN2392" s="475">
        <v>1179</v>
      </c>
      <c r="AO2392" s="395"/>
      <c r="AP2392" s="395">
        <f t="shared" si="1045"/>
        <v>17.86204</v>
      </c>
      <c r="AQ2392" s="393"/>
      <c r="AR2392" s="523"/>
      <c r="AS2392" s="497"/>
      <c r="AT2392" s="573"/>
      <c r="AU2392" s="394"/>
      <c r="AV2392" s="394"/>
      <c r="AW2392" s="394"/>
      <c r="AX2392" s="394"/>
      <c r="AY2392" s="394"/>
      <c r="AZ2392" s="394"/>
      <c r="BA2392" s="394"/>
      <c r="BB2392" s="394"/>
      <c r="BC2392" s="394"/>
      <c r="BD2392" s="381"/>
      <c r="BE2392" s="408"/>
      <c r="BF2392" s="385"/>
      <c r="BG2392" s="475"/>
      <c r="BH2392" s="395"/>
      <c r="BI2392" s="395" t="e">
        <f t="shared" si="1046"/>
        <v>#DIV/0!</v>
      </c>
    </row>
    <row r="2393" spans="1:61" s="358" customFormat="1" ht="19.2" x14ac:dyDescent="0.3">
      <c r="A2393" s="359" t="s">
        <v>2034</v>
      </c>
      <c r="B2393" s="572" t="s">
        <v>4063</v>
      </c>
      <c r="C2393" s="546" t="s">
        <v>3188</v>
      </c>
      <c r="D2393" s="360">
        <v>0.4</v>
      </c>
      <c r="E2393" s="393"/>
      <c r="F2393" s="523"/>
      <c r="G2393" s="393"/>
      <c r="H2393" s="573"/>
      <c r="I2393" s="394"/>
      <c r="J2393" s="394"/>
      <c r="K2393" s="394"/>
      <c r="L2393" s="394"/>
      <c r="M2393" s="394"/>
      <c r="N2393" s="394"/>
      <c r="O2393" s="394"/>
      <c r="P2393" s="394"/>
      <c r="Q2393" s="394"/>
      <c r="R2393" s="381"/>
      <c r="S2393" s="408"/>
      <c r="T2393" s="385"/>
      <c r="U2393" s="475"/>
      <c r="V2393" s="395"/>
      <c r="W2393" s="395"/>
      <c r="X2393" s="393"/>
      <c r="Y2393" s="523">
        <v>1</v>
      </c>
      <c r="Z2393" s="497"/>
      <c r="AA2393" s="573">
        <v>17.862089999999998</v>
      </c>
      <c r="AB2393" s="394">
        <v>15.368880000000001</v>
      </c>
      <c r="AC2393" s="394">
        <v>14.364599999999999</v>
      </c>
      <c r="AD2393" s="394"/>
      <c r="AE2393" s="394"/>
      <c r="AF2393" s="394">
        <v>0</v>
      </c>
      <c r="AG2393" s="394">
        <v>0</v>
      </c>
      <c r="AH2393" s="394">
        <v>0.58123999999999998</v>
      </c>
      <c r="AI2393" s="394">
        <v>14.364599999999999</v>
      </c>
      <c r="AJ2393" s="394"/>
      <c r="AK2393" s="381" t="s">
        <v>167</v>
      </c>
      <c r="AL2393" s="408" t="s">
        <v>175</v>
      </c>
      <c r="AM2393" s="385"/>
      <c r="AN2393" s="475">
        <v>1180</v>
      </c>
      <c r="AO2393" s="395"/>
      <c r="AP2393" s="395">
        <f t="shared" si="1045"/>
        <v>17.862089999999998</v>
      </c>
      <c r="AQ2393" s="393"/>
      <c r="AR2393" s="523"/>
      <c r="AS2393" s="497"/>
      <c r="AT2393" s="573"/>
      <c r="AU2393" s="394"/>
      <c r="AV2393" s="394"/>
      <c r="AW2393" s="394"/>
      <c r="AX2393" s="394"/>
      <c r="AY2393" s="394"/>
      <c r="AZ2393" s="394"/>
      <c r="BA2393" s="394"/>
      <c r="BB2393" s="394"/>
      <c r="BC2393" s="394"/>
      <c r="BD2393" s="381"/>
      <c r="BE2393" s="408"/>
      <c r="BF2393" s="385"/>
      <c r="BG2393" s="475"/>
      <c r="BH2393" s="395"/>
      <c r="BI2393" s="395" t="e">
        <f t="shared" si="1046"/>
        <v>#DIV/0!</v>
      </c>
    </row>
    <row r="2394" spans="1:61" s="358" customFormat="1" ht="19.2" x14ac:dyDescent="0.3">
      <c r="A2394" s="359" t="s">
        <v>2035</v>
      </c>
      <c r="B2394" s="572" t="s">
        <v>4064</v>
      </c>
      <c r="C2394" s="546" t="s">
        <v>3189</v>
      </c>
      <c r="D2394" s="360">
        <v>0.4</v>
      </c>
      <c r="E2394" s="393"/>
      <c r="F2394" s="523"/>
      <c r="G2394" s="393"/>
      <c r="H2394" s="573"/>
      <c r="I2394" s="394"/>
      <c r="J2394" s="394"/>
      <c r="K2394" s="394"/>
      <c r="L2394" s="394"/>
      <c r="M2394" s="394"/>
      <c r="N2394" s="394"/>
      <c r="O2394" s="394"/>
      <c r="P2394" s="394"/>
      <c r="Q2394" s="394"/>
      <c r="R2394" s="381"/>
      <c r="S2394" s="408"/>
      <c r="T2394" s="385"/>
      <c r="U2394" s="475"/>
      <c r="V2394" s="395"/>
      <c r="W2394" s="395"/>
      <c r="X2394" s="393"/>
      <c r="Y2394" s="523">
        <v>1</v>
      </c>
      <c r="Z2394" s="497"/>
      <c r="AA2394" s="573">
        <v>17.862079999999999</v>
      </c>
      <c r="AB2394" s="394">
        <v>15.368869999999999</v>
      </c>
      <c r="AC2394" s="394">
        <v>14.364599999999999</v>
      </c>
      <c r="AD2394" s="394"/>
      <c r="AE2394" s="394"/>
      <c r="AF2394" s="394">
        <v>0</v>
      </c>
      <c r="AG2394" s="394">
        <v>0</v>
      </c>
      <c r="AH2394" s="394">
        <v>0.58123999999999998</v>
      </c>
      <c r="AI2394" s="394">
        <v>14.364599999999999</v>
      </c>
      <c r="AJ2394" s="394"/>
      <c r="AK2394" s="381" t="s">
        <v>167</v>
      </c>
      <c r="AL2394" s="408" t="s">
        <v>175</v>
      </c>
      <c r="AM2394" s="385"/>
      <c r="AN2394" s="475">
        <v>1181</v>
      </c>
      <c r="AO2394" s="395"/>
      <c r="AP2394" s="395">
        <f t="shared" si="1045"/>
        <v>17.862079999999999</v>
      </c>
      <c r="AQ2394" s="393"/>
      <c r="AR2394" s="523"/>
      <c r="AS2394" s="497"/>
      <c r="AT2394" s="573"/>
      <c r="AU2394" s="394"/>
      <c r="AV2394" s="394"/>
      <c r="AW2394" s="394"/>
      <c r="AX2394" s="394"/>
      <c r="AY2394" s="394"/>
      <c r="AZ2394" s="394"/>
      <c r="BA2394" s="394"/>
      <c r="BB2394" s="394"/>
      <c r="BC2394" s="394"/>
      <c r="BD2394" s="381"/>
      <c r="BE2394" s="408"/>
      <c r="BF2394" s="385"/>
      <c r="BG2394" s="475"/>
      <c r="BH2394" s="395"/>
      <c r="BI2394" s="395" t="e">
        <f t="shared" si="1046"/>
        <v>#DIV/0!</v>
      </c>
    </row>
    <row r="2395" spans="1:61" s="358" customFormat="1" ht="19.2" x14ac:dyDescent="0.3">
      <c r="A2395" s="359" t="s">
        <v>2052</v>
      </c>
      <c r="B2395" s="572" t="s">
        <v>3641</v>
      </c>
      <c r="C2395" s="546" t="s">
        <v>3190</v>
      </c>
      <c r="D2395" s="360">
        <v>0.4</v>
      </c>
      <c r="E2395" s="393"/>
      <c r="F2395" s="523"/>
      <c r="G2395" s="393"/>
      <c r="H2395" s="573"/>
      <c r="I2395" s="394"/>
      <c r="J2395" s="394"/>
      <c r="K2395" s="394"/>
      <c r="L2395" s="394"/>
      <c r="M2395" s="394"/>
      <c r="N2395" s="394"/>
      <c r="O2395" s="394"/>
      <c r="P2395" s="394"/>
      <c r="Q2395" s="394"/>
      <c r="R2395" s="381"/>
      <c r="S2395" s="408"/>
      <c r="T2395" s="385"/>
      <c r="U2395" s="475"/>
      <c r="V2395" s="395"/>
      <c r="W2395" s="395"/>
      <c r="X2395" s="393"/>
      <c r="Y2395" s="523">
        <v>1</v>
      </c>
      <c r="Z2395" s="497"/>
      <c r="AA2395" s="573">
        <v>17.86204</v>
      </c>
      <c r="AB2395" s="394">
        <v>15.368830000000001</v>
      </c>
      <c r="AC2395" s="394">
        <v>14.364560000000001</v>
      </c>
      <c r="AD2395" s="394"/>
      <c r="AE2395" s="394"/>
      <c r="AF2395" s="394">
        <v>0</v>
      </c>
      <c r="AG2395" s="394">
        <v>0</v>
      </c>
      <c r="AH2395" s="394">
        <v>0.58123999999999998</v>
      </c>
      <c r="AI2395" s="394">
        <v>14.364560000000001</v>
      </c>
      <c r="AJ2395" s="394"/>
      <c r="AK2395" s="381" t="s">
        <v>167</v>
      </c>
      <c r="AL2395" s="408" t="s">
        <v>175</v>
      </c>
      <c r="AM2395" s="385"/>
      <c r="AN2395" s="475">
        <v>1182</v>
      </c>
      <c r="AO2395" s="395"/>
      <c r="AP2395" s="395">
        <f t="shared" si="1045"/>
        <v>17.86204</v>
      </c>
      <c r="AQ2395" s="393"/>
      <c r="AR2395" s="523"/>
      <c r="AS2395" s="497"/>
      <c r="AT2395" s="573"/>
      <c r="AU2395" s="394"/>
      <c r="AV2395" s="394"/>
      <c r="AW2395" s="394"/>
      <c r="AX2395" s="394"/>
      <c r="AY2395" s="394"/>
      <c r="AZ2395" s="394"/>
      <c r="BA2395" s="394"/>
      <c r="BB2395" s="394"/>
      <c r="BC2395" s="394"/>
      <c r="BD2395" s="381"/>
      <c r="BE2395" s="408"/>
      <c r="BF2395" s="385"/>
      <c r="BG2395" s="475"/>
      <c r="BH2395" s="395"/>
      <c r="BI2395" s="395" t="e">
        <f t="shared" si="1046"/>
        <v>#DIV/0!</v>
      </c>
    </row>
    <row r="2396" spans="1:61" s="358" customFormat="1" ht="19.2" x14ac:dyDescent="0.3">
      <c r="A2396" s="359" t="s">
        <v>2037</v>
      </c>
      <c r="B2396" s="572" t="s">
        <v>4065</v>
      </c>
      <c r="C2396" s="546" t="s">
        <v>3191</v>
      </c>
      <c r="D2396" s="360">
        <v>0.4</v>
      </c>
      <c r="E2396" s="393"/>
      <c r="F2396" s="523"/>
      <c r="G2396" s="393"/>
      <c r="H2396" s="573"/>
      <c r="I2396" s="394"/>
      <c r="J2396" s="394"/>
      <c r="K2396" s="394"/>
      <c r="L2396" s="394"/>
      <c r="M2396" s="394"/>
      <c r="N2396" s="394"/>
      <c r="O2396" s="394"/>
      <c r="P2396" s="394"/>
      <c r="Q2396" s="394"/>
      <c r="R2396" s="381"/>
      <c r="S2396" s="408"/>
      <c r="T2396" s="385"/>
      <c r="U2396" s="475"/>
      <c r="V2396" s="395"/>
      <c r="W2396" s="395"/>
      <c r="X2396" s="393"/>
      <c r="Y2396" s="523">
        <v>1</v>
      </c>
      <c r="Z2396" s="497"/>
      <c r="AA2396" s="573">
        <v>17.862079999999999</v>
      </c>
      <c r="AB2396" s="394">
        <v>15.368869999999999</v>
      </c>
      <c r="AC2396" s="394">
        <v>14.364599999999999</v>
      </c>
      <c r="AD2396" s="394"/>
      <c r="AE2396" s="394"/>
      <c r="AF2396" s="394">
        <v>0</v>
      </c>
      <c r="AG2396" s="394">
        <v>0</v>
      </c>
      <c r="AH2396" s="394">
        <v>0.58123999999999998</v>
      </c>
      <c r="AI2396" s="394">
        <v>14.364599999999999</v>
      </c>
      <c r="AJ2396" s="394"/>
      <c r="AK2396" s="381" t="s">
        <v>167</v>
      </c>
      <c r="AL2396" s="408" t="s">
        <v>175</v>
      </c>
      <c r="AM2396" s="385"/>
      <c r="AN2396" s="475">
        <v>1183</v>
      </c>
      <c r="AO2396" s="395"/>
      <c r="AP2396" s="395">
        <f t="shared" si="1045"/>
        <v>17.862079999999999</v>
      </c>
      <c r="AQ2396" s="393"/>
      <c r="AR2396" s="523"/>
      <c r="AS2396" s="497"/>
      <c r="AT2396" s="573"/>
      <c r="AU2396" s="394"/>
      <c r="AV2396" s="394"/>
      <c r="AW2396" s="394"/>
      <c r="AX2396" s="394"/>
      <c r="AY2396" s="394"/>
      <c r="AZ2396" s="394"/>
      <c r="BA2396" s="394"/>
      <c r="BB2396" s="394"/>
      <c r="BC2396" s="394"/>
      <c r="BD2396" s="381"/>
      <c r="BE2396" s="408"/>
      <c r="BF2396" s="385"/>
      <c r="BG2396" s="475"/>
      <c r="BH2396" s="395"/>
      <c r="BI2396" s="395" t="e">
        <f t="shared" si="1046"/>
        <v>#DIV/0!</v>
      </c>
    </row>
    <row r="2397" spans="1:61" s="358" customFormat="1" ht="19.2" x14ac:dyDescent="0.3">
      <c r="A2397" s="359" t="s">
        <v>2038</v>
      </c>
      <c r="B2397" s="572" t="s">
        <v>4066</v>
      </c>
      <c r="C2397" s="546" t="s">
        <v>3192</v>
      </c>
      <c r="D2397" s="360">
        <v>0.4</v>
      </c>
      <c r="E2397" s="393"/>
      <c r="F2397" s="523"/>
      <c r="G2397" s="393"/>
      <c r="H2397" s="573"/>
      <c r="I2397" s="394"/>
      <c r="J2397" s="394"/>
      <c r="K2397" s="394"/>
      <c r="L2397" s="394"/>
      <c r="M2397" s="394"/>
      <c r="N2397" s="394"/>
      <c r="O2397" s="394"/>
      <c r="P2397" s="394"/>
      <c r="Q2397" s="394"/>
      <c r="R2397" s="381"/>
      <c r="S2397" s="408"/>
      <c r="T2397" s="385"/>
      <c r="U2397" s="475"/>
      <c r="V2397" s="395"/>
      <c r="W2397" s="395"/>
      <c r="X2397" s="393"/>
      <c r="Y2397" s="523">
        <v>1</v>
      </c>
      <c r="Z2397" s="497"/>
      <c r="AA2397" s="573">
        <v>17.862079999999999</v>
      </c>
      <c r="AB2397" s="394">
        <v>15.368869999999999</v>
      </c>
      <c r="AC2397" s="394">
        <v>14.364599999999999</v>
      </c>
      <c r="AD2397" s="394"/>
      <c r="AE2397" s="394"/>
      <c r="AF2397" s="394">
        <v>0</v>
      </c>
      <c r="AG2397" s="394">
        <v>0</v>
      </c>
      <c r="AH2397" s="394">
        <v>0.58123999999999998</v>
      </c>
      <c r="AI2397" s="394">
        <v>14.364599999999999</v>
      </c>
      <c r="AJ2397" s="394"/>
      <c r="AK2397" s="381" t="s">
        <v>167</v>
      </c>
      <c r="AL2397" s="408" t="s">
        <v>175</v>
      </c>
      <c r="AM2397" s="385"/>
      <c r="AN2397" s="475">
        <v>1184</v>
      </c>
      <c r="AO2397" s="395"/>
      <c r="AP2397" s="395">
        <f t="shared" si="1045"/>
        <v>17.862079999999999</v>
      </c>
      <c r="AQ2397" s="393"/>
      <c r="AR2397" s="523"/>
      <c r="AS2397" s="497"/>
      <c r="AT2397" s="573"/>
      <c r="AU2397" s="394"/>
      <c r="AV2397" s="394"/>
      <c r="AW2397" s="394"/>
      <c r="AX2397" s="394"/>
      <c r="AY2397" s="394"/>
      <c r="AZ2397" s="394"/>
      <c r="BA2397" s="394"/>
      <c r="BB2397" s="394"/>
      <c r="BC2397" s="394"/>
      <c r="BD2397" s="381"/>
      <c r="BE2397" s="408"/>
      <c r="BF2397" s="385"/>
      <c r="BG2397" s="475"/>
      <c r="BH2397" s="395"/>
      <c r="BI2397" s="395" t="e">
        <f t="shared" si="1046"/>
        <v>#DIV/0!</v>
      </c>
    </row>
    <row r="2398" spans="1:61" s="358" customFormat="1" ht="19.2" x14ac:dyDescent="0.3">
      <c r="A2398" s="359" t="s">
        <v>2039</v>
      </c>
      <c r="B2398" s="572" t="s">
        <v>4067</v>
      </c>
      <c r="C2398" s="546" t="s">
        <v>3193</v>
      </c>
      <c r="D2398" s="360">
        <v>0.4</v>
      </c>
      <c r="E2398" s="393"/>
      <c r="F2398" s="523"/>
      <c r="G2398" s="393"/>
      <c r="H2398" s="573"/>
      <c r="I2398" s="394"/>
      <c r="J2398" s="394"/>
      <c r="K2398" s="394"/>
      <c r="L2398" s="394"/>
      <c r="M2398" s="394"/>
      <c r="N2398" s="394"/>
      <c r="O2398" s="394"/>
      <c r="P2398" s="394"/>
      <c r="Q2398" s="394"/>
      <c r="R2398" s="381"/>
      <c r="S2398" s="408"/>
      <c r="T2398" s="385"/>
      <c r="U2398" s="475"/>
      <c r="V2398" s="395"/>
      <c r="W2398" s="395"/>
      <c r="X2398" s="393"/>
      <c r="Y2398" s="523">
        <v>1</v>
      </c>
      <c r="Z2398" s="497"/>
      <c r="AA2398" s="573">
        <v>17.86204</v>
      </c>
      <c r="AB2398" s="394">
        <v>15.368830000000001</v>
      </c>
      <c r="AC2398" s="394">
        <v>14.364560000000001</v>
      </c>
      <c r="AD2398" s="394"/>
      <c r="AE2398" s="394"/>
      <c r="AF2398" s="394">
        <v>0</v>
      </c>
      <c r="AG2398" s="394">
        <v>0</v>
      </c>
      <c r="AH2398" s="394">
        <v>0.58123999999999998</v>
      </c>
      <c r="AI2398" s="394">
        <v>14.364560000000001</v>
      </c>
      <c r="AJ2398" s="394"/>
      <c r="AK2398" s="381" t="s">
        <v>167</v>
      </c>
      <c r="AL2398" s="408" t="s">
        <v>175</v>
      </c>
      <c r="AM2398" s="385"/>
      <c r="AN2398" s="475">
        <v>1185</v>
      </c>
      <c r="AO2398" s="395"/>
      <c r="AP2398" s="395">
        <f t="shared" si="1045"/>
        <v>17.86204</v>
      </c>
      <c r="AQ2398" s="393"/>
      <c r="AR2398" s="523"/>
      <c r="AS2398" s="497"/>
      <c r="AT2398" s="573"/>
      <c r="AU2398" s="394"/>
      <c r="AV2398" s="394"/>
      <c r="AW2398" s="394"/>
      <c r="AX2398" s="394"/>
      <c r="AY2398" s="394"/>
      <c r="AZ2398" s="394"/>
      <c r="BA2398" s="394"/>
      <c r="BB2398" s="394"/>
      <c r="BC2398" s="394"/>
      <c r="BD2398" s="381"/>
      <c r="BE2398" s="408"/>
      <c r="BF2398" s="385"/>
      <c r="BG2398" s="475"/>
      <c r="BH2398" s="395"/>
      <c r="BI2398" s="395" t="e">
        <f t="shared" si="1046"/>
        <v>#DIV/0!</v>
      </c>
    </row>
    <row r="2399" spans="1:61" s="358" customFormat="1" ht="19.2" x14ac:dyDescent="0.3">
      <c r="A2399" s="359" t="s">
        <v>2056</v>
      </c>
      <c r="B2399" s="572" t="s">
        <v>4068</v>
      </c>
      <c r="C2399" s="546" t="s">
        <v>3194</v>
      </c>
      <c r="D2399" s="360">
        <v>0.4</v>
      </c>
      <c r="E2399" s="393"/>
      <c r="F2399" s="523"/>
      <c r="G2399" s="393"/>
      <c r="H2399" s="573"/>
      <c r="I2399" s="394"/>
      <c r="J2399" s="394"/>
      <c r="K2399" s="394"/>
      <c r="L2399" s="394"/>
      <c r="M2399" s="394"/>
      <c r="N2399" s="394"/>
      <c r="O2399" s="394"/>
      <c r="P2399" s="394"/>
      <c r="Q2399" s="394"/>
      <c r="R2399" s="381"/>
      <c r="S2399" s="408"/>
      <c r="T2399" s="385"/>
      <c r="U2399" s="475"/>
      <c r="V2399" s="395"/>
      <c r="W2399" s="395"/>
      <c r="X2399" s="393"/>
      <c r="Y2399" s="523">
        <v>1</v>
      </c>
      <c r="Z2399" s="497"/>
      <c r="AA2399" s="573">
        <v>17.86204</v>
      </c>
      <c r="AB2399" s="394">
        <v>15.368830000000001</v>
      </c>
      <c r="AC2399" s="394">
        <v>14.364560000000001</v>
      </c>
      <c r="AD2399" s="394"/>
      <c r="AE2399" s="394"/>
      <c r="AF2399" s="394">
        <v>0</v>
      </c>
      <c r="AG2399" s="394">
        <v>0</v>
      </c>
      <c r="AH2399" s="394">
        <v>0.58123999999999998</v>
      </c>
      <c r="AI2399" s="394">
        <v>14.364560000000001</v>
      </c>
      <c r="AJ2399" s="394"/>
      <c r="AK2399" s="381" t="s">
        <v>167</v>
      </c>
      <c r="AL2399" s="408" t="s">
        <v>175</v>
      </c>
      <c r="AM2399" s="385"/>
      <c r="AN2399" s="475">
        <v>1186</v>
      </c>
      <c r="AO2399" s="395"/>
      <c r="AP2399" s="395">
        <f t="shared" si="1045"/>
        <v>17.86204</v>
      </c>
      <c r="AQ2399" s="393"/>
      <c r="AR2399" s="523"/>
      <c r="AS2399" s="497"/>
      <c r="AT2399" s="573"/>
      <c r="AU2399" s="394"/>
      <c r="AV2399" s="394"/>
      <c r="AW2399" s="394"/>
      <c r="AX2399" s="394"/>
      <c r="AY2399" s="394"/>
      <c r="AZ2399" s="394"/>
      <c r="BA2399" s="394"/>
      <c r="BB2399" s="394"/>
      <c r="BC2399" s="394"/>
      <c r="BD2399" s="381"/>
      <c r="BE2399" s="408"/>
      <c r="BF2399" s="385"/>
      <c r="BG2399" s="475"/>
      <c r="BH2399" s="395"/>
      <c r="BI2399" s="395" t="e">
        <f t="shared" si="1046"/>
        <v>#DIV/0!</v>
      </c>
    </row>
    <row r="2400" spans="1:61" s="358" customFormat="1" ht="19.2" x14ac:dyDescent="0.3">
      <c r="A2400" s="359" t="s">
        <v>2041</v>
      </c>
      <c r="B2400" s="572" t="s">
        <v>2406</v>
      </c>
      <c r="C2400" s="546" t="s">
        <v>2405</v>
      </c>
      <c r="D2400" s="360">
        <v>0.4</v>
      </c>
      <c r="E2400" s="393"/>
      <c r="F2400" s="523"/>
      <c r="G2400" s="393"/>
      <c r="H2400" s="573"/>
      <c r="I2400" s="394"/>
      <c r="J2400" s="394"/>
      <c r="K2400" s="394"/>
      <c r="L2400" s="394"/>
      <c r="M2400" s="394"/>
      <c r="N2400" s="394"/>
      <c r="O2400" s="394"/>
      <c r="P2400" s="394"/>
      <c r="Q2400" s="394"/>
      <c r="R2400" s="381"/>
      <c r="S2400" s="408"/>
      <c r="T2400" s="385"/>
      <c r="U2400" s="475"/>
      <c r="V2400" s="395"/>
      <c r="W2400" s="395"/>
      <c r="X2400" s="393"/>
      <c r="Y2400" s="523">
        <v>1</v>
      </c>
      <c r="Z2400" s="497"/>
      <c r="AA2400" s="573">
        <v>17.862079999999999</v>
      </c>
      <c r="AB2400" s="394">
        <v>15.368869999999999</v>
      </c>
      <c r="AC2400" s="394">
        <v>14.364599999999999</v>
      </c>
      <c r="AD2400" s="394"/>
      <c r="AE2400" s="394"/>
      <c r="AF2400" s="394">
        <v>0</v>
      </c>
      <c r="AG2400" s="394">
        <v>0</v>
      </c>
      <c r="AH2400" s="394">
        <v>0.58123999999999998</v>
      </c>
      <c r="AI2400" s="394">
        <v>14.364599999999999</v>
      </c>
      <c r="AJ2400" s="394"/>
      <c r="AK2400" s="381" t="s">
        <v>167</v>
      </c>
      <c r="AL2400" s="408" t="s">
        <v>175</v>
      </c>
      <c r="AM2400" s="385"/>
      <c r="AN2400" s="475">
        <v>1187</v>
      </c>
      <c r="AO2400" s="395"/>
      <c r="AP2400" s="395">
        <f t="shared" si="1045"/>
        <v>17.862079999999999</v>
      </c>
      <c r="AQ2400" s="393"/>
      <c r="AR2400" s="523"/>
      <c r="AS2400" s="497"/>
      <c r="AT2400" s="573"/>
      <c r="AU2400" s="394"/>
      <c r="AV2400" s="394"/>
      <c r="AW2400" s="394"/>
      <c r="AX2400" s="394"/>
      <c r="AY2400" s="394"/>
      <c r="AZ2400" s="394"/>
      <c r="BA2400" s="394"/>
      <c r="BB2400" s="394"/>
      <c r="BC2400" s="394"/>
      <c r="BD2400" s="381"/>
      <c r="BE2400" s="408"/>
      <c r="BF2400" s="385"/>
      <c r="BG2400" s="475"/>
      <c r="BH2400" s="395"/>
      <c r="BI2400" s="395" t="e">
        <f t="shared" si="1046"/>
        <v>#DIV/0!</v>
      </c>
    </row>
    <row r="2401" spans="1:61" s="358" customFormat="1" ht="19.2" x14ac:dyDescent="0.3">
      <c r="A2401" s="359" t="s">
        <v>2042</v>
      </c>
      <c r="B2401" s="572" t="s">
        <v>2412</v>
      </c>
      <c r="C2401" s="546" t="s">
        <v>2411</v>
      </c>
      <c r="D2401" s="360">
        <v>0.4</v>
      </c>
      <c r="E2401" s="393"/>
      <c r="F2401" s="523"/>
      <c r="G2401" s="393"/>
      <c r="H2401" s="573"/>
      <c r="I2401" s="394"/>
      <c r="J2401" s="394"/>
      <c r="K2401" s="394"/>
      <c r="L2401" s="394"/>
      <c r="M2401" s="394"/>
      <c r="N2401" s="394"/>
      <c r="O2401" s="394"/>
      <c r="P2401" s="394"/>
      <c r="Q2401" s="394"/>
      <c r="R2401" s="381"/>
      <c r="S2401" s="408"/>
      <c r="T2401" s="385"/>
      <c r="U2401" s="475"/>
      <c r="V2401" s="395"/>
      <c r="W2401" s="395"/>
      <c r="X2401" s="393"/>
      <c r="Y2401" s="523">
        <v>1</v>
      </c>
      <c r="Z2401" s="497"/>
      <c r="AA2401" s="573">
        <v>17.86204</v>
      </c>
      <c r="AB2401" s="394">
        <v>15.368830000000001</v>
      </c>
      <c r="AC2401" s="394">
        <v>14.364560000000001</v>
      </c>
      <c r="AD2401" s="394"/>
      <c r="AE2401" s="394"/>
      <c r="AF2401" s="394">
        <v>0</v>
      </c>
      <c r="AG2401" s="394">
        <v>0</v>
      </c>
      <c r="AH2401" s="394">
        <v>0.58123999999999998</v>
      </c>
      <c r="AI2401" s="394">
        <v>14.364560000000001</v>
      </c>
      <c r="AJ2401" s="394"/>
      <c r="AK2401" s="381" t="s">
        <v>167</v>
      </c>
      <c r="AL2401" s="408" t="s">
        <v>175</v>
      </c>
      <c r="AM2401" s="385"/>
      <c r="AN2401" s="475">
        <v>1188</v>
      </c>
      <c r="AO2401" s="395"/>
      <c r="AP2401" s="395">
        <f t="shared" si="1045"/>
        <v>17.86204</v>
      </c>
      <c r="AQ2401" s="393"/>
      <c r="AR2401" s="523"/>
      <c r="AS2401" s="497"/>
      <c r="AT2401" s="573"/>
      <c r="AU2401" s="394"/>
      <c r="AV2401" s="394"/>
      <c r="AW2401" s="394"/>
      <c r="AX2401" s="394"/>
      <c r="AY2401" s="394"/>
      <c r="AZ2401" s="394"/>
      <c r="BA2401" s="394"/>
      <c r="BB2401" s="394"/>
      <c r="BC2401" s="394"/>
      <c r="BD2401" s="381"/>
      <c r="BE2401" s="408"/>
      <c r="BF2401" s="385"/>
      <c r="BG2401" s="475"/>
      <c r="BH2401" s="395"/>
      <c r="BI2401" s="395" t="e">
        <f t="shared" si="1046"/>
        <v>#DIV/0!</v>
      </c>
    </row>
    <row r="2402" spans="1:61" s="358" customFormat="1" ht="19.2" x14ac:dyDescent="0.3">
      <c r="A2402" s="359" t="s">
        <v>2027</v>
      </c>
      <c r="B2402" s="572" t="s">
        <v>4069</v>
      </c>
      <c r="C2402" s="546" t="s">
        <v>3195</v>
      </c>
      <c r="D2402" s="360">
        <v>0.4</v>
      </c>
      <c r="E2402" s="393"/>
      <c r="F2402" s="523"/>
      <c r="G2402" s="393"/>
      <c r="H2402" s="573"/>
      <c r="I2402" s="394"/>
      <c r="J2402" s="394"/>
      <c r="K2402" s="394"/>
      <c r="L2402" s="394"/>
      <c r="M2402" s="394"/>
      <c r="N2402" s="394"/>
      <c r="O2402" s="394"/>
      <c r="P2402" s="394"/>
      <c r="Q2402" s="394"/>
      <c r="R2402" s="381"/>
      <c r="S2402" s="408"/>
      <c r="T2402" s="385"/>
      <c r="U2402" s="475"/>
      <c r="V2402" s="395"/>
      <c r="W2402" s="395"/>
      <c r="X2402" s="393"/>
      <c r="Y2402" s="523">
        <v>1</v>
      </c>
      <c r="Z2402" s="497"/>
      <c r="AA2402" s="573">
        <v>17.86204</v>
      </c>
      <c r="AB2402" s="394">
        <v>15.368830000000001</v>
      </c>
      <c r="AC2402" s="394">
        <v>14.364560000000001</v>
      </c>
      <c r="AD2402" s="394"/>
      <c r="AE2402" s="394"/>
      <c r="AF2402" s="394">
        <v>0</v>
      </c>
      <c r="AG2402" s="394">
        <v>0</v>
      </c>
      <c r="AH2402" s="394">
        <v>0.58123999999999998</v>
      </c>
      <c r="AI2402" s="394">
        <v>14.364560000000001</v>
      </c>
      <c r="AJ2402" s="394"/>
      <c r="AK2402" s="381" t="s">
        <v>167</v>
      </c>
      <c r="AL2402" s="408" t="s">
        <v>175</v>
      </c>
      <c r="AM2402" s="385"/>
      <c r="AN2402" s="475">
        <v>1189</v>
      </c>
      <c r="AO2402" s="395"/>
      <c r="AP2402" s="395">
        <f t="shared" si="1045"/>
        <v>17.86204</v>
      </c>
      <c r="AQ2402" s="393"/>
      <c r="AR2402" s="523"/>
      <c r="AS2402" s="497"/>
      <c r="AT2402" s="573"/>
      <c r="AU2402" s="394"/>
      <c r="AV2402" s="394"/>
      <c r="AW2402" s="394"/>
      <c r="AX2402" s="394"/>
      <c r="AY2402" s="394"/>
      <c r="AZ2402" s="394"/>
      <c r="BA2402" s="394"/>
      <c r="BB2402" s="394"/>
      <c r="BC2402" s="394"/>
      <c r="BD2402" s="381"/>
      <c r="BE2402" s="408"/>
      <c r="BF2402" s="385"/>
      <c r="BG2402" s="475"/>
      <c r="BH2402" s="395"/>
      <c r="BI2402" s="395" t="e">
        <f t="shared" si="1046"/>
        <v>#DIV/0!</v>
      </c>
    </row>
    <row r="2403" spans="1:61" s="358" customFormat="1" ht="19.2" x14ac:dyDescent="0.3">
      <c r="A2403" s="359" t="s">
        <v>2044</v>
      </c>
      <c r="B2403" s="572" t="s">
        <v>2410</v>
      </c>
      <c r="C2403" s="546" t="s">
        <v>2409</v>
      </c>
      <c r="D2403" s="360">
        <v>0.4</v>
      </c>
      <c r="E2403" s="393"/>
      <c r="F2403" s="523"/>
      <c r="G2403" s="393"/>
      <c r="H2403" s="573"/>
      <c r="I2403" s="394"/>
      <c r="J2403" s="394"/>
      <c r="K2403" s="394"/>
      <c r="L2403" s="394"/>
      <c r="M2403" s="394"/>
      <c r="N2403" s="394"/>
      <c r="O2403" s="394"/>
      <c r="P2403" s="394"/>
      <c r="Q2403" s="394"/>
      <c r="R2403" s="381"/>
      <c r="S2403" s="408"/>
      <c r="T2403" s="385"/>
      <c r="U2403" s="475"/>
      <c r="V2403" s="395"/>
      <c r="W2403" s="395"/>
      <c r="X2403" s="393"/>
      <c r="Y2403" s="523">
        <v>1</v>
      </c>
      <c r="Z2403" s="497"/>
      <c r="AA2403" s="573">
        <v>17.86205</v>
      </c>
      <c r="AB2403" s="394">
        <v>15.368840000000001</v>
      </c>
      <c r="AC2403" s="394">
        <v>14.364560000000001</v>
      </c>
      <c r="AD2403" s="394"/>
      <c r="AE2403" s="394"/>
      <c r="AF2403" s="394">
        <v>0</v>
      </c>
      <c r="AG2403" s="394">
        <v>0</v>
      </c>
      <c r="AH2403" s="394">
        <v>0.58123999999999998</v>
      </c>
      <c r="AI2403" s="394">
        <v>14.364560000000001</v>
      </c>
      <c r="AJ2403" s="394"/>
      <c r="AK2403" s="381" t="s">
        <v>167</v>
      </c>
      <c r="AL2403" s="408" t="s">
        <v>175</v>
      </c>
      <c r="AM2403" s="385"/>
      <c r="AN2403" s="475">
        <v>1190</v>
      </c>
      <c r="AO2403" s="395"/>
      <c r="AP2403" s="395">
        <f t="shared" si="1045"/>
        <v>17.86205</v>
      </c>
      <c r="AQ2403" s="393"/>
      <c r="AR2403" s="523"/>
      <c r="AS2403" s="497"/>
      <c r="AT2403" s="573"/>
      <c r="AU2403" s="394"/>
      <c r="AV2403" s="394"/>
      <c r="AW2403" s="394"/>
      <c r="AX2403" s="394"/>
      <c r="AY2403" s="394"/>
      <c r="AZ2403" s="394"/>
      <c r="BA2403" s="394"/>
      <c r="BB2403" s="394"/>
      <c r="BC2403" s="394"/>
      <c r="BD2403" s="381"/>
      <c r="BE2403" s="408"/>
      <c r="BF2403" s="385"/>
      <c r="BG2403" s="475"/>
      <c r="BH2403" s="395"/>
      <c r="BI2403" s="395" t="e">
        <f t="shared" si="1046"/>
        <v>#DIV/0!</v>
      </c>
    </row>
    <row r="2404" spans="1:61" s="358" customFormat="1" ht="19.2" x14ac:dyDescent="0.3">
      <c r="A2404" s="359" t="s">
        <v>2045</v>
      </c>
      <c r="B2404" s="572" t="s">
        <v>314</v>
      </c>
      <c r="C2404" s="546" t="s">
        <v>2616</v>
      </c>
      <c r="D2404" s="360">
        <v>0.4</v>
      </c>
      <c r="E2404" s="393"/>
      <c r="F2404" s="523"/>
      <c r="G2404" s="393"/>
      <c r="H2404" s="573"/>
      <c r="I2404" s="394"/>
      <c r="J2404" s="394"/>
      <c r="K2404" s="394"/>
      <c r="L2404" s="394"/>
      <c r="M2404" s="394"/>
      <c r="N2404" s="394"/>
      <c r="O2404" s="394"/>
      <c r="P2404" s="394"/>
      <c r="Q2404" s="394"/>
      <c r="R2404" s="381"/>
      <c r="S2404" s="408"/>
      <c r="T2404" s="385"/>
      <c r="U2404" s="475"/>
      <c r="V2404" s="395"/>
      <c r="W2404" s="395"/>
      <c r="X2404" s="393"/>
      <c r="Y2404" s="523">
        <v>1</v>
      </c>
      <c r="Z2404" s="497"/>
      <c r="AA2404" s="573">
        <v>11.58296</v>
      </c>
      <c r="AB2404" s="394">
        <v>10.595599999999999</v>
      </c>
      <c r="AC2404" s="394">
        <v>10.08966</v>
      </c>
      <c r="AD2404" s="394"/>
      <c r="AE2404" s="394"/>
      <c r="AF2404" s="394">
        <v>0</v>
      </c>
      <c r="AG2404" s="394">
        <v>0</v>
      </c>
      <c r="AH2404" s="394">
        <v>0.23018</v>
      </c>
      <c r="AI2404" s="394">
        <v>10.08966</v>
      </c>
      <c r="AJ2404" s="394"/>
      <c r="AK2404" s="381" t="s">
        <v>167</v>
      </c>
      <c r="AL2404" s="408" t="s">
        <v>175</v>
      </c>
      <c r="AM2404" s="385"/>
      <c r="AN2404" s="475">
        <v>1191</v>
      </c>
      <c r="AO2404" s="395"/>
      <c r="AP2404" s="395">
        <f t="shared" si="1045"/>
        <v>11.58296</v>
      </c>
      <c r="AQ2404" s="393"/>
      <c r="AR2404" s="523"/>
      <c r="AS2404" s="497"/>
      <c r="AT2404" s="573"/>
      <c r="AU2404" s="394"/>
      <c r="AV2404" s="394"/>
      <c r="AW2404" s="394"/>
      <c r="AX2404" s="394"/>
      <c r="AY2404" s="394"/>
      <c r="AZ2404" s="394"/>
      <c r="BA2404" s="394"/>
      <c r="BB2404" s="394"/>
      <c r="BC2404" s="394"/>
      <c r="BD2404" s="381"/>
      <c r="BE2404" s="408"/>
      <c r="BF2404" s="385"/>
      <c r="BG2404" s="475"/>
      <c r="BH2404" s="395"/>
      <c r="BI2404" s="395" t="e">
        <f t="shared" si="1046"/>
        <v>#DIV/0!</v>
      </c>
    </row>
    <row r="2405" spans="1:61" s="358" customFormat="1" ht="19.2" x14ac:dyDescent="0.3">
      <c r="A2405" s="359" t="s">
        <v>2046</v>
      </c>
      <c r="B2405" s="572" t="s">
        <v>4070</v>
      </c>
      <c r="C2405" s="546" t="s">
        <v>3196</v>
      </c>
      <c r="D2405" s="360">
        <v>0.4</v>
      </c>
      <c r="E2405" s="393"/>
      <c r="F2405" s="523"/>
      <c r="G2405" s="393"/>
      <c r="H2405" s="573"/>
      <c r="I2405" s="394"/>
      <c r="J2405" s="394"/>
      <c r="K2405" s="394"/>
      <c r="L2405" s="394"/>
      <c r="M2405" s="394"/>
      <c r="N2405" s="394"/>
      <c r="O2405" s="394"/>
      <c r="P2405" s="394"/>
      <c r="Q2405" s="394"/>
      <c r="R2405" s="381"/>
      <c r="S2405" s="408"/>
      <c r="T2405" s="385"/>
      <c r="U2405" s="475"/>
      <c r="V2405" s="395"/>
      <c r="W2405" s="395"/>
      <c r="X2405" s="393"/>
      <c r="Y2405" s="523">
        <v>1</v>
      </c>
      <c r="Z2405" s="497"/>
      <c r="AA2405" s="573">
        <v>17.86204</v>
      </c>
      <c r="AB2405" s="394">
        <v>15.368830000000001</v>
      </c>
      <c r="AC2405" s="394">
        <v>14.364560000000001</v>
      </c>
      <c r="AD2405" s="394"/>
      <c r="AE2405" s="394"/>
      <c r="AF2405" s="394">
        <v>0</v>
      </c>
      <c r="AG2405" s="394">
        <v>0</v>
      </c>
      <c r="AH2405" s="394">
        <v>0.58123999999999998</v>
      </c>
      <c r="AI2405" s="394">
        <v>14.364560000000001</v>
      </c>
      <c r="AJ2405" s="394"/>
      <c r="AK2405" s="381" t="s">
        <v>167</v>
      </c>
      <c r="AL2405" s="408" t="s">
        <v>175</v>
      </c>
      <c r="AM2405" s="385"/>
      <c r="AN2405" s="475">
        <v>1192</v>
      </c>
      <c r="AO2405" s="395"/>
      <c r="AP2405" s="395">
        <f t="shared" si="1045"/>
        <v>17.86204</v>
      </c>
      <c r="AQ2405" s="393"/>
      <c r="AR2405" s="523"/>
      <c r="AS2405" s="497"/>
      <c r="AT2405" s="573"/>
      <c r="AU2405" s="394"/>
      <c r="AV2405" s="394"/>
      <c r="AW2405" s="394"/>
      <c r="AX2405" s="394"/>
      <c r="AY2405" s="394"/>
      <c r="AZ2405" s="394"/>
      <c r="BA2405" s="394"/>
      <c r="BB2405" s="394"/>
      <c r="BC2405" s="394"/>
      <c r="BD2405" s="381"/>
      <c r="BE2405" s="408"/>
      <c r="BF2405" s="385"/>
      <c r="BG2405" s="475"/>
      <c r="BH2405" s="395"/>
      <c r="BI2405" s="395" t="e">
        <f t="shared" si="1046"/>
        <v>#DIV/0!</v>
      </c>
    </row>
    <row r="2406" spans="1:61" s="358" customFormat="1" ht="19.2" x14ac:dyDescent="0.3">
      <c r="A2406" s="359" t="s">
        <v>2047</v>
      </c>
      <c r="B2406" s="572" t="s">
        <v>2372</v>
      </c>
      <c r="C2406" s="546" t="s">
        <v>2371</v>
      </c>
      <c r="D2406" s="360">
        <v>0.4</v>
      </c>
      <c r="E2406" s="393"/>
      <c r="F2406" s="523"/>
      <c r="G2406" s="393"/>
      <c r="H2406" s="573"/>
      <c r="I2406" s="394"/>
      <c r="J2406" s="394"/>
      <c r="K2406" s="394"/>
      <c r="L2406" s="394"/>
      <c r="M2406" s="394"/>
      <c r="N2406" s="394"/>
      <c r="O2406" s="394"/>
      <c r="P2406" s="394"/>
      <c r="Q2406" s="394"/>
      <c r="R2406" s="381"/>
      <c r="S2406" s="408"/>
      <c r="T2406" s="385"/>
      <c r="U2406" s="475"/>
      <c r="V2406" s="395"/>
      <c r="W2406" s="395"/>
      <c r="X2406" s="393"/>
      <c r="Y2406" s="523">
        <v>1</v>
      </c>
      <c r="Z2406" s="497"/>
      <c r="AA2406" s="573">
        <v>17.86204</v>
      </c>
      <c r="AB2406" s="394">
        <v>15.368830000000001</v>
      </c>
      <c r="AC2406" s="394">
        <v>14.364560000000001</v>
      </c>
      <c r="AD2406" s="394"/>
      <c r="AE2406" s="394"/>
      <c r="AF2406" s="394">
        <v>0</v>
      </c>
      <c r="AG2406" s="394">
        <v>0</v>
      </c>
      <c r="AH2406" s="394">
        <v>0.58123999999999998</v>
      </c>
      <c r="AI2406" s="394">
        <v>14.364560000000001</v>
      </c>
      <c r="AJ2406" s="394"/>
      <c r="AK2406" s="381" t="s">
        <v>167</v>
      </c>
      <c r="AL2406" s="408" t="s">
        <v>175</v>
      </c>
      <c r="AM2406" s="385"/>
      <c r="AN2406" s="475">
        <v>1193</v>
      </c>
      <c r="AO2406" s="395"/>
      <c r="AP2406" s="395">
        <f t="shared" si="1045"/>
        <v>17.86204</v>
      </c>
      <c r="AQ2406" s="393"/>
      <c r="AR2406" s="523"/>
      <c r="AS2406" s="497"/>
      <c r="AT2406" s="573"/>
      <c r="AU2406" s="394"/>
      <c r="AV2406" s="394"/>
      <c r="AW2406" s="394"/>
      <c r="AX2406" s="394"/>
      <c r="AY2406" s="394"/>
      <c r="AZ2406" s="394"/>
      <c r="BA2406" s="394"/>
      <c r="BB2406" s="394"/>
      <c r="BC2406" s="394"/>
      <c r="BD2406" s="381"/>
      <c r="BE2406" s="408"/>
      <c r="BF2406" s="385"/>
      <c r="BG2406" s="475"/>
      <c r="BH2406" s="395"/>
      <c r="BI2406" s="395" t="e">
        <f t="shared" si="1046"/>
        <v>#DIV/0!</v>
      </c>
    </row>
    <row r="2407" spans="1:61" s="358" customFormat="1" ht="19.2" x14ac:dyDescent="0.3">
      <c r="A2407" s="359" t="s">
        <v>2048</v>
      </c>
      <c r="B2407" s="572" t="s">
        <v>4071</v>
      </c>
      <c r="C2407" s="546" t="s">
        <v>3197</v>
      </c>
      <c r="D2407" s="360">
        <v>0.4</v>
      </c>
      <c r="E2407" s="393"/>
      <c r="F2407" s="523"/>
      <c r="G2407" s="393"/>
      <c r="H2407" s="573"/>
      <c r="I2407" s="394"/>
      <c r="J2407" s="394"/>
      <c r="K2407" s="394"/>
      <c r="L2407" s="394"/>
      <c r="M2407" s="394"/>
      <c r="N2407" s="394"/>
      <c r="O2407" s="394"/>
      <c r="P2407" s="394"/>
      <c r="Q2407" s="394"/>
      <c r="R2407" s="381"/>
      <c r="S2407" s="408"/>
      <c r="T2407" s="385"/>
      <c r="U2407" s="475"/>
      <c r="V2407" s="395"/>
      <c r="W2407" s="395"/>
      <c r="X2407" s="393"/>
      <c r="Y2407" s="523">
        <v>1</v>
      </c>
      <c r="Z2407" s="497"/>
      <c r="AA2407" s="573">
        <v>17.86205</v>
      </c>
      <c r="AB2407" s="394">
        <v>15.368840000000001</v>
      </c>
      <c r="AC2407" s="394">
        <v>14.364560000000001</v>
      </c>
      <c r="AD2407" s="394"/>
      <c r="AE2407" s="394"/>
      <c r="AF2407" s="394">
        <v>0</v>
      </c>
      <c r="AG2407" s="394">
        <v>0</v>
      </c>
      <c r="AH2407" s="394">
        <v>0.58123999999999998</v>
      </c>
      <c r="AI2407" s="394">
        <v>14.364560000000001</v>
      </c>
      <c r="AJ2407" s="394"/>
      <c r="AK2407" s="381" t="s">
        <v>167</v>
      </c>
      <c r="AL2407" s="408" t="s">
        <v>175</v>
      </c>
      <c r="AM2407" s="385"/>
      <c r="AN2407" s="475">
        <v>1194</v>
      </c>
      <c r="AO2407" s="395"/>
      <c r="AP2407" s="395">
        <f t="shared" si="1045"/>
        <v>17.86205</v>
      </c>
      <c r="AQ2407" s="393"/>
      <c r="AR2407" s="523"/>
      <c r="AS2407" s="497"/>
      <c r="AT2407" s="573"/>
      <c r="AU2407" s="394"/>
      <c r="AV2407" s="394"/>
      <c r="AW2407" s="394"/>
      <c r="AX2407" s="394"/>
      <c r="AY2407" s="394"/>
      <c r="AZ2407" s="394"/>
      <c r="BA2407" s="394"/>
      <c r="BB2407" s="394"/>
      <c r="BC2407" s="394"/>
      <c r="BD2407" s="381"/>
      <c r="BE2407" s="408"/>
      <c r="BF2407" s="385"/>
      <c r="BG2407" s="475"/>
      <c r="BH2407" s="395"/>
      <c r="BI2407" s="395" t="e">
        <f t="shared" si="1046"/>
        <v>#DIV/0!</v>
      </c>
    </row>
    <row r="2408" spans="1:61" s="358" customFormat="1" ht="19.2" x14ac:dyDescent="0.3">
      <c r="A2408" s="359" t="s">
        <v>2049</v>
      </c>
      <c r="B2408" s="572" t="s">
        <v>4072</v>
      </c>
      <c r="C2408" s="546" t="s">
        <v>3198</v>
      </c>
      <c r="D2408" s="360">
        <v>0.4</v>
      </c>
      <c r="E2408" s="393"/>
      <c r="F2408" s="523"/>
      <c r="G2408" s="393"/>
      <c r="H2408" s="573"/>
      <c r="I2408" s="394"/>
      <c r="J2408" s="394"/>
      <c r="K2408" s="394"/>
      <c r="L2408" s="394"/>
      <c r="M2408" s="394"/>
      <c r="N2408" s="394"/>
      <c r="O2408" s="394"/>
      <c r="P2408" s="394"/>
      <c r="Q2408" s="394"/>
      <c r="R2408" s="381"/>
      <c r="S2408" s="408"/>
      <c r="T2408" s="385"/>
      <c r="U2408" s="475"/>
      <c r="V2408" s="395"/>
      <c r="W2408" s="395"/>
      <c r="X2408" s="393"/>
      <c r="Y2408" s="523">
        <v>1</v>
      </c>
      <c r="Z2408" s="497"/>
      <c r="AA2408" s="573">
        <v>17.86204</v>
      </c>
      <c r="AB2408" s="394">
        <v>15.368830000000001</v>
      </c>
      <c r="AC2408" s="394">
        <v>14.364560000000001</v>
      </c>
      <c r="AD2408" s="394"/>
      <c r="AE2408" s="394"/>
      <c r="AF2408" s="394">
        <v>0</v>
      </c>
      <c r="AG2408" s="394">
        <v>0</v>
      </c>
      <c r="AH2408" s="394">
        <v>0.58123999999999998</v>
      </c>
      <c r="AI2408" s="394">
        <v>14.364560000000001</v>
      </c>
      <c r="AJ2408" s="394"/>
      <c r="AK2408" s="381" t="s">
        <v>167</v>
      </c>
      <c r="AL2408" s="408" t="s">
        <v>175</v>
      </c>
      <c r="AM2408" s="385"/>
      <c r="AN2408" s="475">
        <v>1195</v>
      </c>
      <c r="AO2408" s="395"/>
      <c r="AP2408" s="395">
        <f t="shared" si="1045"/>
        <v>17.86204</v>
      </c>
      <c r="AQ2408" s="393"/>
      <c r="AR2408" s="523"/>
      <c r="AS2408" s="497"/>
      <c r="AT2408" s="573"/>
      <c r="AU2408" s="394"/>
      <c r="AV2408" s="394"/>
      <c r="AW2408" s="394"/>
      <c r="AX2408" s="394"/>
      <c r="AY2408" s="394"/>
      <c r="AZ2408" s="394"/>
      <c r="BA2408" s="394"/>
      <c r="BB2408" s="394"/>
      <c r="BC2408" s="394"/>
      <c r="BD2408" s="381"/>
      <c r="BE2408" s="408"/>
      <c r="BF2408" s="385"/>
      <c r="BG2408" s="475"/>
      <c r="BH2408" s="395"/>
      <c r="BI2408" s="395" t="e">
        <f t="shared" si="1046"/>
        <v>#DIV/0!</v>
      </c>
    </row>
    <row r="2409" spans="1:61" s="358" customFormat="1" ht="19.2" x14ac:dyDescent="0.3">
      <c r="A2409" s="359" t="s">
        <v>2050</v>
      </c>
      <c r="B2409" s="572" t="s">
        <v>4073</v>
      </c>
      <c r="C2409" s="546" t="s">
        <v>3199</v>
      </c>
      <c r="D2409" s="360">
        <v>0.4</v>
      </c>
      <c r="E2409" s="393"/>
      <c r="F2409" s="523"/>
      <c r="G2409" s="393"/>
      <c r="H2409" s="573"/>
      <c r="I2409" s="394"/>
      <c r="J2409" s="394"/>
      <c r="K2409" s="394"/>
      <c r="L2409" s="394"/>
      <c r="M2409" s="394"/>
      <c r="N2409" s="394"/>
      <c r="O2409" s="394"/>
      <c r="P2409" s="394"/>
      <c r="Q2409" s="394"/>
      <c r="R2409" s="381"/>
      <c r="S2409" s="408"/>
      <c r="T2409" s="385"/>
      <c r="U2409" s="475"/>
      <c r="V2409" s="395"/>
      <c r="W2409" s="395"/>
      <c r="X2409" s="393"/>
      <c r="Y2409" s="523">
        <v>1</v>
      </c>
      <c r="Z2409" s="497"/>
      <c r="AA2409" s="573">
        <v>17.86204</v>
      </c>
      <c r="AB2409" s="394">
        <v>15.368830000000001</v>
      </c>
      <c r="AC2409" s="394">
        <v>14.364560000000001</v>
      </c>
      <c r="AD2409" s="394"/>
      <c r="AE2409" s="394"/>
      <c r="AF2409" s="394">
        <v>0</v>
      </c>
      <c r="AG2409" s="394">
        <v>0</v>
      </c>
      <c r="AH2409" s="394">
        <v>0.58123999999999998</v>
      </c>
      <c r="AI2409" s="394">
        <v>14.364560000000001</v>
      </c>
      <c r="AJ2409" s="394"/>
      <c r="AK2409" s="381" t="s">
        <v>167</v>
      </c>
      <c r="AL2409" s="408" t="s">
        <v>175</v>
      </c>
      <c r="AM2409" s="385"/>
      <c r="AN2409" s="475">
        <v>1196</v>
      </c>
      <c r="AO2409" s="395"/>
      <c r="AP2409" s="395">
        <f t="shared" si="1045"/>
        <v>17.86204</v>
      </c>
      <c r="AQ2409" s="393"/>
      <c r="AR2409" s="523"/>
      <c r="AS2409" s="497"/>
      <c r="AT2409" s="573"/>
      <c r="AU2409" s="394"/>
      <c r="AV2409" s="394"/>
      <c r="AW2409" s="394"/>
      <c r="AX2409" s="394"/>
      <c r="AY2409" s="394"/>
      <c r="AZ2409" s="394"/>
      <c r="BA2409" s="394"/>
      <c r="BB2409" s="394"/>
      <c r="BC2409" s="394"/>
      <c r="BD2409" s="381"/>
      <c r="BE2409" s="408"/>
      <c r="BF2409" s="385"/>
      <c r="BG2409" s="475"/>
      <c r="BH2409" s="395"/>
      <c r="BI2409" s="395" t="e">
        <f t="shared" si="1046"/>
        <v>#DIV/0!</v>
      </c>
    </row>
    <row r="2410" spans="1:61" s="358" customFormat="1" ht="19.2" x14ac:dyDescent="0.3">
      <c r="A2410" s="359" t="s">
        <v>2051</v>
      </c>
      <c r="B2410" s="572" t="s">
        <v>4074</v>
      </c>
      <c r="C2410" s="546" t="s">
        <v>3200</v>
      </c>
      <c r="D2410" s="360">
        <v>0.4</v>
      </c>
      <c r="E2410" s="393"/>
      <c r="F2410" s="523"/>
      <c r="G2410" s="393"/>
      <c r="H2410" s="573"/>
      <c r="I2410" s="394"/>
      <c r="J2410" s="394"/>
      <c r="K2410" s="394"/>
      <c r="L2410" s="394"/>
      <c r="M2410" s="394"/>
      <c r="N2410" s="394"/>
      <c r="O2410" s="394"/>
      <c r="P2410" s="394"/>
      <c r="Q2410" s="394"/>
      <c r="R2410" s="381"/>
      <c r="S2410" s="408"/>
      <c r="T2410" s="385"/>
      <c r="U2410" s="475"/>
      <c r="V2410" s="395"/>
      <c r="W2410" s="395"/>
      <c r="X2410" s="393"/>
      <c r="Y2410" s="523">
        <v>1</v>
      </c>
      <c r="Z2410" s="497"/>
      <c r="AA2410" s="573">
        <v>17.862079999999999</v>
      </c>
      <c r="AB2410" s="394">
        <v>15.368869999999999</v>
      </c>
      <c r="AC2410" s="394">
        <v>14.364599999999999</v>
      </c>
      <c r="AD2410" s="394"/>
      <c r="AE2410" s="394"/>
      <c r="AF2410" s="394">
        <v>0</v>
      </c>
      <c r="AG2410" s="394">
        <v>0</v>
      </c>
      <c r="AH2410" s="394">
        <v>0.58123999999999998</v>
      </c>
      <c r="AI2410" s="394">
        <v>14.364599999999999</v>
      </c>
      <c r="AJ2410" s="394"/>
      <c r="AK2410" s="381" t="s">
        <v>167</v>
      </c>
      <c r="AL2410" s="408" t="s">
        <v>175</v>
      </c>
      <c r="AM2410" s="385"/>
      <c r="AN2410" s="475">
        <v>1197</v>
      </c>
      <c r="AO2410" s="395"/>
      <c r="AP2410" s="395">
        <f t="shared" si="1045"/>
        <v>17.862079999999999</v>
      </c>
      <c r="AQ2410" s="393"/>
      <c r="AR2410" s="523"/>
      <c r="AS2410" s="497"/>
      <c r="AT2410" s="573"/>
      <c r="AU2410" s="394"/>
      <c r="AV2410" s="394"/>
      <c r="AW2410" s="394"/>
      <c r="AX2410" s="394"/>
      <c r="AY2410" s="394"/>
      <c r="AZ2410" s="394"/>
      <c r="BA2410" s="394"/>
      <c r="BB2410" s="394"/>
      <c r="BC2410" s="394"/>
      <c r="BD2410" s="381"/>
      <c r="BE2410" s="408"/>
      <c r="BF2410" s="385"/>
      <c r="BG2410" s="475"/>
      <c r="BH2410" s="395"/>
      <c r="BI2410" s="395" t="e">
        <f t="shared" si="1046"/>
        <v>#DIV/0!</v>
      </c>
    </row>
    <row r="2411" spans="1:61" s="358" customFormat="1" ht="19.2" x14ac:dyDescent="0.3">
      <c r="A2411" s="359" t="s">
        <v>2068</v>
      </c>
      <c r="B2411" s="572" t="s">
        <v>2335</v>
      </c>
      <c r="C2411" s="546" t="s">
        <v>2334</v>
      </c>
      <c r="D2411" s="360">
        <v>0.4</v>
      </c>
      <c r="E2411" s="393"/>
      <c r="F2411" s="523"/>
      <c r="G2411" s="393"/>
      <c r="H2411" s="573"/>
      <c r="I2411" s="394"/>
      <c r="J2411" s="394"/>
      <c r="K2411" s="394"/>
      <c r="L2411" s="394"/>
      <c r="M2411" s="394"/>
      <c r="N2411" s="394"/>
      <c r="O2411" s="394"/>
      <c r="P2411" s="394"/>
      <c r="Q2411" s="394"/>
      <c r="R2411" s="381"/>
      <c r="S2411" s="408"/>
      <c r="T2411" s="385"/>
      <c r="U2411" s="475"/>
      <c r="V2411" s="395"/>
      <c r="W2411" s="395"/>
      <c r="X2411" s="393"/>
      <c r="Y2411" s="523">
        <v>1</v>
      </c>
      <c r="Z2411" s="497"/>
      <c r="AA2411" s="573">
        <v>40.197960000000002</v>
      </c>
      <c r="AB2411" s="394">
        <v>37.704749999999997</v>
      </c>
      <c r="AC2411" s="394">
        <v>14.364560000000001</v>
      </c>
      <c r="AD2411" s="394"/>
      <c r="AE2411" s="394"/>
      <c r="AF2411" s="394">
        <v>0</v>
      </c>
      <c r="AG2411" s="394">
        <v>0</v>
      </c>
      <c r="AH2411" s="394">
        <v>0.58123999999999998</v>
      </c>
      <c r="AI2411" s="394">
        <v>14.364560000000001</v>
      </c>
      <c r="AJ2411" s="394"/>
      <c r="AK2411" s="381" t="s">
        <v>167</v>
      </c>
      <c r="AL2411" s="408" t="s">
        <v>175</v>
      </c>
      <c r="AM2411" s="385"/>
      <c r="AN2411" s="475">
        <v>1198</v>
      </c>
      <c r="AO2411" s="395"/>
      <c r="AP2411" s="395">
        <f t="shared" si="1045"/>
        <v>40.197960000000002</v>
      </c>
      <c r="AQ2411" s="393"/>
      <c r="AR2411" s="523"/>
      <c r="AS2411" s="497"/>
      <c r="AT2411" s="573"/>
      <c r="AU2411" s="394"/>
      <c r="AV2411" s="394"/>
      <c r="AW2411" s="394"/>
      <c r="AX2411" s="394"/>
      <c r="AY2411" s="394"/>
      <c r="AZ2411" s="394"/>
      <c r="BA2411" s="394"/>
      <c r="BB2411" s="394"/>
      <c r="BC2411" s="394"/>
      <c r="BD2411" s="381"/>
      <c r="BE2411" s="408"/>
      <c r="BF2411" s="385"/>
      <c r="BG2411" s="475"/>
      <c r="BH2411" s="395"/>
      <c r="BI2411" s="395" t="e">
        <f t="shared" si="1046"/>
        <v>#DIV/0!</v>
      </c>
    </row>
    <row r="2412" spans="1:61" s="358" customFormat="1" ht="19.2" x14ac:dyDescent="0.3">
      <c r="A2412" s="359" t="s">
        <v>2053</v>
      </c>
      <c r="B2412" s="572" t="s">
        <v>4075</v>
      </c>
      <c r="C2412" s="546" t="s">
        <v>3201</v>
      </c>
      <c r="D2412" s="360">
        <v>0.4</v>
      </c>
      <c r="E2412" s="393"/>
      <c r="F2412" s="523"/>
      <c r="G2412" s="393"/>
      <c r="H2412" s="573"/>
      <c r="I2412" s="394"/>
      <c r="J2412" s="394"/>
      <c r="K2412" s="394"/>
      <c r="L2412" s="394"/>
      <c r="M2412" s="394"/>
      <c r="N2412" s="394"/>
      <c r="O2412" s="394"/>
      <c r="P2412" s="394"/>
      <c r="Q2412" s="394"/>
      <c r="R2412" s="381"/>
      <c r="S2412" s="408"/>
      <c r="T2412" s="385"/>
      <c r="U2412" s="475"/>
      <c r="V2412" s="395"/>
      <c r="W2412" s="395"/>
      <c r="X2412" s="393"/>
      <c r="Y2412" s="523">
        <v>1</v>
      </c>
      <c r="Z2412" s="497"/>
      <c r="AA2412" s="573">
        <v>17.862079999999999</v>
      </c>
      <c r="AB2412" s="394">
        <v>15.368869999999999</v>
      </c>
      <c r="AC2412" s="394">
        <v>14.364599999999999</v>
      </c>
      <c r="AD2412" s="394"/>
      <c r="AE2412" s="394"/>
      <c r="AF2412" s="394">
        <v>0</v>
      </c>
      <c r="AG2412" s="394">
        <v>0</v>
      </c>
      <c r="AH2412" s="394">
        <v>0.58123999999999998</v>
      </c>
      <c r="AI2412" s="394">
        <v>14.364599999999999</v>
      </c>
      <c r="AJ2412" s="394"/>
      <c r="AK2412" s="381" t="s">
        <v>167</v>
      </c>
      <c r="AL2412" s="408" t="s">
        <v>175</v>
      </c>
      <c r="AM2412" s="385"/>
      <c r="AN2412" s="475">
        <v>1199</v>
      </c>
      <c r="AO2412" s="395"/>
      <c r="AP2412" s="395">
        <f t="shared" si="1045"/>
        <v>17.862079999999999</v>
      </c>
      <c r="AQ2412" s="393"/>
      <c r="AR2412" s="523"/>
      <c r="AS2412" s="497"/>
      <c r="AT2412" s="573"/>
      <c r="AU2412" s="394"/>
      <c r="AV2412" s="394"/>
      <c r="AW2412" s="394"/>
      <c r="AX2412" s="394"/>
      <c r="AY2412" s="394"/>
      <c r="AZ2412" s="394"/>
      <c r="BA2412" s="394"/>
      <c r="BB2412" s="394"/>
      <c r="BC2412" s="394"/>
      <c r="BD2412" s="381"/>
      <c r="BE2412" s="408"/>
      <c r="BF2412" s="385"/>
      <c r="BG2412" s="475"/>
      <c r="BH2412" s="395"/>
      <c r="BI2412" s="395" t="e">
        <f t="shared" si="1046"/>
        <v>#DIV/0!</v>
      </c>
    </row>
    <row r="2413" spans="1:61" s="358" customFormat="1" ht="19.2" x14ac:dyDescent="0.3">
      <c r="A2413" s="359" t="s">
        <v>2054</v>
      </c>
      <c r="B2413" s="572" t="s">
        <v>2347</v>
      </c>
      <c r="C2413" s="546" t="s">
        <v>2346</v>
      </c>
      <c r="D2413" s="360">
        <v>0.4</v>
      </c>
      <c r="E2413" s="393"/>
      <c r="F2413" s="523"/>
      <c r="G2413" s="393"/>
      <c r="H2413" s="573"/>
      <c r="I2413" s="394"/>
      <c r="J2413" s="394"/>
      <c r="K2413" s="394"/>
      <c r="L2413" s="394"/>
      <c r="M2413" s="394"/>
      <c r="N2413" s="394"/>
      <c r="O2413" s="394"/>
      <c r="P2413" s="394"/>
      <c r="Q2413" s="394"/>
      <c r="R2413" s="381"/>
      <c r="S2413" s="408"/>
      <c r="T2413" s="385"/>
      <c r="U2413" s="475"/>
      <c r="V2413" s="395"/>
      <c r="W2413" s="395"/>
      <c r="X2413" s="393"/>
      <c r="Y2413" s="523">
        <v>1</v>
      </c>
      <c r="Z2413" s="497"/>
      <c r="AA2413" s="573">
        <v>36.506500000000003</v>
      </c>
      <c r="AB2413" s="394">
        <v>32.399279999999997</v>
      </c>
      <c r="AC2413" s="394">
        <v>14.415889999999999</v>
      </c>
      <c r="AD2413" s="394"/>
      <c r="AE2413" s="394"/>
      <c r="AF2413" s="394">
        <v>0</v>
      </c>
      <c r="AG2413" s="394">
        <v>0</v>
      </c>
      <c r="AH2413" s="394">
        <v>0.95750999999999997</v>
      </c>
      <c r="AI2413" s="394">
        <v>14.415889999999999</v>
      </c>
      <c r="AJ2413" s="394"/>
      <c r="AK2413" s="381" t="s">
        <v>167</v>
      </c>
      <c r="AL2413" s="408" t="s">
        <v>175</v>
      </c>
      <c r="AM2413" s="385"/>
      <c r="AN2413" s="475">
        <v>1200</v>
      </c>
      <c r="AO2413" s="395"/>
      <c r="AP2413" s="395">
        <f t="shared" si="1045"/>
        <v>36.506500000000003</v>
      </c>
      <c r="AQ2413" s="393"/>
      <c r="AR2413" s="523"/>
      <c r="AS2413" s="497"/>
      <c r="AT2413" s="573"/>
      <c r="AU2413" s="394"/>
      <c r="AV2413" s="394"/>
      <c r="AW2413" s="394"/>
      <c r="AX2413" s="394"/>
      <c r="AY2413" s="394"/>
      <c r="AZ2413" s="394"/>
      <c r="BA2413" s="394"/>
      <c r="BB2413" s="394"/>
      <c r="BC2413" s="394"/>
      <c r="BD2413" s="381"/>
      <c r="BE2413" s="408"/>
      <c r="BF2413" s="385"/>
      <c r="BG2413" s="475"/>
      <c r="BH2413" s="395"/>
      <c r="BI2413" s="395" t="e">
        <f t="shared" si="1046"/>
        <v>#DIV/0!</v>
      </c>
    </row>
    <row r="2414" spans="1:61" s="358" customFormat="1" ht="19.2" x14ac:dyDescent="0.3">
      <c r="A2414" s="359" t="s">
        <v>2055</v>
      </c>
      <c r="B2414" s="572" t="s">
        <v>4076</v>
      </c>
      <c r="C2414" s="546" t="s">
        <v>3202</v>
      </c>
      <c r="D2414" s="360">
        <v>0.4</v>
      </c>
      <c r="E2414" s="393"/>
      <c r="F2414" s="523"/>
      <c r="G2414" s="393"/>
      <c r="H2414" s="573"/>
      <c r="I2414" s="394"/>
      <c r="J2414" s="394"/>
      <c r="K2414" s="394"/>
      <c r="L2414" s="394"/>
      <c r="M2414" s="394"/>
      <c r="N2414" s="394"/>
      <c r="O2414" s="394"/>
      <c r="P2414" s="394"/>
      <c r="Q2414" s="394"/>
      <c r="R2414" s="381"/>
      <c r="S2414" s="408"/>
      <c r="T2414" s="385"/>
      <c r="U2414" s="475"/>
      <c r="V2414" s="395"/>
      <c r="W2414" s="395"/>
      <c r="X2414" s="393"/>
      <c r="Y2414" s="523">
        <v>1</v>
      </c>
      <c r="Z2414" s="497"/>
      <c r="AA2414" s="573">
        <v>18.00525</v>
      </c>
      <c r="AB2414" s="394">
        <v>15.512040000000001</v>
      </c>
      <c r="AC2414" s="394">
        <v>14.415889999999999</v>
      </c>
      <c r="AD2414" s="394"/>
      <c r="AE2414" s="394"/>
      <c r="AF2414" s="394">
        <v>0</v>
      </c>
      <c r="AG2414" s="394">
        <v>0</v>
      </c>
      <c r="AH2414" s="394">
        <v>0.58123999999999998</v>
      </c>
      <c r="AI2414" s="394">
        <v>14.415889999999999</v>
      </c>
      <c r="AJ2414" s="394"/>
      <c r="AK2414" s="381" t="s">
        <v>167</v>
      </c>
      <c r="AL2414" s="408" t="s">
        <v>175</v>
      </c>
      <c r="AM2414" s="385"/>
      <c r="AN2414" s="475">
        <v>1202</v>
      </c>
      <c r="AO2414" s="395"/>
      <c r="AP2414" s="395">
        <f t="shared" si="1045"/>
        <v>18.00525</v>
      </c>
      <c r="AQ2414" s="393"/>
      <c r="AR2414" s="523"/>
      <c r="AS2414" s="497"/>
      <c r="AT2414" s="573"/>
      <c r="AU2414" s="394"/>
      <c r="AV2414" s="394"/>
      <c r="AW2414" s="394"/>
      <c r="AX2414" s="394"/>
      <c r="AY2414" s="394"/>
      <c r="AZ2414" s="394"/>
      <c r="BA2414" s="394"/>
      <c r="BB2414" s="394"/>
      <c r="BC2414" s="394"/>
      <c r="BD2414" s="381"/>
      <c r="BE2414" s="408"/>
      <c r="BF2414" s="385"/>
      <c r="BG2414" s="475"/>
      <c r="BH2414" s="395"/>
      <c r="BI2414" s="395" t="e">
        <f t="shared" si="1046"/>
        <v>#DIV/0!</v>
      </c>
    </row>
    <row r="2415" spans="1:61" s="358" customFormat="1" ht="19.2" x14ac:dyDescent="0.3">
      <c r="A2415" s="359" t="s">
        <v>2072</v>
      </c>
      <c r="B2415" s="572" t="s">
        <v>2349</v>
      </c>
      <c r="C2415" s="546" t="s">
        <v>2348</v>
      </c>
      <c r="D2415" s="360">
        <v>0.4</v>
      </c>
      <c r="E2415" s="393"/>
      <c r="F2415" s="523"/>
      <c r="G2415" s="393"/>
      <c r="H2415" s="573"/>
      <c r="I2415" s="394"/>
      <c r="J2415" s="394"/>
      <c r="K2415" s="394"/>
      <c r="L2415" s="394"/>
      <c r="M2415" s="394"/>
      <c r="N2415" s="394"/>
      <c r="O2415" s="394"/>
      <c r="P2415" s="394"/>
      <c r="Q2415" s="394"/>
      <c r="R2415" s="381"/>
      <c r="S2415" s="408"/>
      <c r="T2415" s="385"/>
      <c r="U2415" s="475"/>
      <c r="V2415" s="395"/>
      <c r="W2415" s="395"/>
      <c r="X2415" s="393"/>
      <c r="Y2415" s="523">
        <v>1</v>
      </c>
      <c r="Z2415" s="497"/>
      <c r="AA2415" s="573">
        <v>18.005240000000001</v>
      </c>
      <c r="AB2415" s="394">
        <v>15.512029999999999</v>
      </c>
      <c r="AC2415" s="394">
        <v>14.415889999999999</v>
      </c>
      <c r="AD2415" s="394"/>
      <c r="AE2415" s="394"/>
      <c r="AF2415" s="394">
        <v>0</v>
      </c>
      <c r="AG2415" s="394">
        <v>0</v>
      </c>
      <c r="AH2415" s="394">
        <v>0.58123999999999998</v>
      </c>
      <c r="AI2415" s="394">
        <v>14.415889999999999</v>
      </c>
      <c r="AJ2415" s="394"/>
      <c r="AK2415" s="381" t="s">
        <v>167</v>
      </c>
      <c r="AL2415" s="408" t="s">
        <v>175</v>
      </c>
      <c r="AM2415" s="385"/>
      <c r="AN2415" s="475">
        <v>1203</v>
      </c>
      <c r="AO2415" s="395"/>
      <c r="AP2415" s="395">
        <f t="shared" si="1045"/>
        <v>18.005240000000001</v>
      </c>
      <c r="AQ2415" s="393"/>
      <c r="AR2415" s="523"/>
      <c r="AS2415" s="497"/>
      <c r="AT2415" s="573"/>
      <c r="AU2415" s="394"/>
      <c r="AV2415" s="394"/>
      <c r="AW2415" s="394"/>
      <c r="AX2415" s="394"/>
      <c r="AY2415" s="394"/>
      <c r="AZ2415" s="394"/>
      <c r="BA2415" s="394"/>
      <c r="BB2415" s="394"/>
      <c r="BC2415" s="394"/>
      <c r="BD2415" s="381"/>
      <c r="BE2415" s="408"/>
      <c r="BF2415" s="385"/>
      <c r="BG2415" s="475"/>
      <c r="BH2415" s="395"/>
      <c r="BI2415" s="395" t="e">
        <f t="shared" si="1046"/>
        <v>#DIV/0!</v>
      </c>
    </row>
    <row r="2416" spans="1:61" s="358" customFormat="1" ht="19.2" x14ac:dyDescent="0.3">
      <c r="A2416" s="359" t="s">
        <v>2057</v>
      </c>
      <c r="B2416" s="572" t="s">
        <v>4077</v>
      </c>
      <c r="C2416" s="546" t="s">
        <v>3203</v>
      </c>
      <c r="D2416" s="360">
        <v>0.4</v>
      </c>
      <c r="E2416" s="393"/>
      <c r="F2416" s="523"/>
      <c r="G2416" s="393"/>
      <c r="H2416" s="573"/>
      <c r="I2416" s="394"/>
      <c r="J2416" s="394"/>
      <c r="K2416" s="394"/>
      <c r="L2416" s="394"/>
      <c r="M2416" s="394"/>
      <c r="N2416" s="394"/>
      <c r="O2416" s="394"/>
      <c r="P2416" s="394"/>
      <c r="Q2416" s="394"/>
      <c r="R2416" s="381"/>
      <c r="S2416" s="408"/>
      <c r="T2416" s="385"/>
      <c r="U2416" s="475"/>
      <c r="V2416" s="395"/>
      <c r="W2416" s="395"/>
      <c r="X2416" s="393"/>
      <c r="Y2416" s="523">
        <v>1</v>
      </c>
      <c r="Z2416" s="497"/>
      <c r="AA2416" s="573">
        <v>18.005240000000001</v>
      </c>
      <c r="AB2416" s="394">
        <v>15.512029999999999</v>
      </c>
      <c r="AC2416" s="394">
        <v>14.415889999999999</v>
      </c>
      <c r="AD2416" s="394"/>
      <c r="AE2416" s="394"/>
      <c r="AF2416" s="394">
        <v>0</v>
      </c>
      <c r="AG2416" s="394">
        <v>0</v>
      </c>
      <c r="AH2416" s="394">
        <v>0.58123999999999998</v>
      </c>
      <c r="AI2416" s="394">
        <v>14.415889999999999</v>
      </c>
      <c r="AJ2416" s="394"/>
      <c r="AK2416" s="381" t="s">
        <v>167</v>
      </c>
      <c r="AL2416" s="408" t="s">
        <v>175</v>
      </c>
      <c r="AM2416" s="385"/>
      <c r="AN2416" s="475">
        <v>1204</v>
      </c>
      <c r="AO2416" s="395"/>
      <c r="AP2416" s="395">
        <f t="shared" si="1045"/>
        <v>18.005240000000001</v>
      </c>
      <c r="AQ2416" s="393"/>
      <c r="AR2416" s="523"/>
      <c r="AS2416" s="497"/>
      <c r="AT2416" s="573"/>
      <c r="AU2416" s="394"/>
      <c r="AV2416" s="394"/>
      <c r="AW2416" s="394"/>
      <c r="AX2416" s="394"/>
      <c r="AY2416" s="394"/>
      <c r="AZ2416" s="394"/>
      <c r="BA2416" s="394"/>
      <c r="BB2416" s="394"/>
      <c r="BC2416" s="394"/>
      <c r="BD2416" s="381"/>
      <c r="BE2416" s="408"/>
      <c r="BF2416" s="385"/>
      <c r="BG2416" s="475"/>
      <c r="BH2416" s="395"/>
      <c r="BI2416" s="395" t="e">
        <f t="shared" si="1046"/>
        <v>#DIV/0!</v>
      </c>
    </row>
    <row r="2417" spans="1:61" s="358" customFormat="1" ht="19.2" x14ac:dyDescent="0.3">
      <c r="A2417" s="359" t="s">
        <v>2058</v>
      </c>
      <c r="B2417" s="572" t="s">
        <v>1727</v>
      </c>
      <c r="C2417" s="546" t="s">
        <v>3204</v>
      </c>
      <c r="D2417" s="360">
        <v>0.4</v>
      </c>
      <c r="E2417" s="393"/>
      <c r="F2417" s="523"/>
      <c r="G2417" s="393"/>
      <c r="H2417" s="573"/>
      <c r="I2417" s="394"/>
      <c r="J2417" s="394"/>
      <c r="K2417" s="394"/>
      <c r="L2417" s="394"/>
      <c r="M2417" s="394"/>
      <c r="N2417" s="394"/>
      <c r="O2417" s="394"/>
      <c r="P2417" s="394"/>
      <c r="Q2417" s="394"/>
      <c r="R2417" s="381"/>
      <c r="S2417" s="408"/>
      <c r="T2417" s="385"/>
      <c r="U2417" s="475"/>
      <c r="V2417" s="395"/>
      <c r="W2417" s="395"/>
      <c r="X2417" s="393"/>
      <c r="Y2417" s="523">
        <v>1</v>
      </c>
      <c r="Z2417" s="497"/>
      <c r="AA2417" s="573">
        <v>18.005199999999999</v>
      </c>
      <c r="AB2417" s="394">
        <v>15.511990000000001</v>
      </c>
      <c r="AC2417" s="394">
        <v>14.415889999999999</v>
      </c>
      <c r="AD2417" s="394"/>
      <c r="AE2417" s="394"/>
      <c r="AF2417" s="394">
        <v>0</v>
      </c>
      <c r="AG2417" s="394">
        <v>0</v>
      </c>
      <c r="AH2417" s="394">
        <v>0.58123999999999998</v>
      </c>
      <c r="AI2417" s="394">
        <v>14.415889999999999</v>
      </c>
      <c r="AJ2417" s="394"/>
      <c r="AK2417" s="381" t="s">
        <v>167</v>
      </c>
      <c r="AL2417" s="408" t="s">
        <v>175</v>
      </c>
      <c r="AM2417" s="385"/>
      <c r="AN2417" s="475">
        <v>1205</v>
      </c>
      <c r="AO2417" s="395"/>
      <c r="AP2417" s="395">
        <f t="shared" si="1045"/>
        <v>18.005199999999999</v>
      </c>
      <c r="AQ2417" s="393"/>
      <c r="AR2417" s="523"/>
      <c r="AS2417" s="497"/>
      <c r="AT2417" s="573"/>
      <c r="AU2417" s="394"/>
      <c r="AV2417" s="394"/>
      <c r="AW2417" s="394"/>
      <c r="AX2417" s="394"/>
      <c r="AY2417" s="394"/>
      <c r="AZ2417" s="394"/>
      <c r="BA2417" s="394"/>
      <c r="BB2417" s="394"/>
      <c r="BC2417" s="394"/>
      <c r="BD2417" s="381"/>
      <c r="BE2417" s="408"/>
      <c r="BF2417" s="385"/>
      <c r="BG2417" s="475"/>
      <c r="BH2417" s="395"/>
      <c r="BI2417" s="395" t="e">
        <f t="shared" si="1046"/>
        <v>#DIV/0!</v>
      </c>
    </row>
    <row r="2418" spans="1:61" s="358" customFormat="1" ht="19.2" x14ac:dyDescent="0.3">
      <c r="A2418" s="359" t="s">
        <v>2043</v>
      </c>
      <c r="B2418" s="572" t="s">
        <v>4078</v>
      </c>
      <c r="C2418" s="546" t="s">
        <v>3205</v>
      </c>
      <c r="D2418" s="360">
        <v>0.4</v>
      </c>
      <c r="E2418" s="393"/>
      <c r="F2418" s="523"/>
      <c r="G2418" s="393"/>
      <c r="H2418" s="573"/>
      <c r="I2418" s="394"/>
      <c r="J2418" s="394"/>
      <c r="K2418" s="394"/>
      <c r="L2418" s="394"/>
      <c r="M2418" s="394"/>
      <c r="N2418" s="394"/>
      <c r="O2418" s="394"/>
      <c r="P2418" s="394"/>
      <c r="Q2418" s="394"/>
      <c r="R2418" s="381"/>
      <c r="S2418" s="408"/>
      <c r="T2418" s="385"/>
      <c r="U2418" s="475"/>
      <c r="V2418" s="395"/>
      <c r="W2418" s="395"/>
      <c r="X2418" s="393"/>
      <c r="Y2418" s="523">
        <v>1</v>
      </c>
      <c r="Z2418" s="497"/>
      <c r="AA2418" s="573">
        <v>18.005230000000001</v>
      </c>
      <c r="AB2418" s="394">
        <v>15.51202</v>
      </c>
      <c r="AC2418" s="394">
        <v>14.415889999999999</v>
      </c>
      <c r="AD2418" s="394"/>
      <c r="AE2418" s="394"/>
      <c r="AF2418" s="394">
        <v>0</v>
      </c>
      <c r="AG2418" s="394">
        <v>0</v>
      </c>
      <c r="AH2418" s="394">
        <v>0.58123999999999998</v>
      </c>
      <c r="AI2418" s="394">
        <v>14.415889999999999</v>
      </c>
      <c r="AJ2418" s="394"/>
      <c r="AK2418" s="381" t="s">
        <v>167</v>
      </c>
      <c r="AL2418" s="408" t="s">
        <v>175</v>
      </c>
      <c r="AM2418" s="385"/>
      <c r="AN2418" s="475">
        <v>1206</v>
      </c>
      <c r="AO2418" s="395"/>
      <c r="AP2418" s="395">
        <f t="shared" si="1045"/>
        <v>18.005230000000001</v>
      </c>
      <c r="AQ2418" s="393"/>
      <c r="AR2418" s="523"/>
      <c r="AS2418" s="497"/>
      <c r="AT2418" s="573"/>
      <c r="AU2418" s="394"/>
      <c r="AV2418" s="394"/>
      <c r="AW2418" s="394"/>
      <c r="AX2418" s="394"/>
      <c r="AY2418" s="394"/>
      <c r="AZ2418" s="394"/>
      <c r="BA2418" s="394"/>
      <c r="BB2418" s="394"/>
      <c r="BC2418" s="394"/>
      <c r="BD2418" s="381"/>
      <c r="BE2418" s="408"/>
      <c r="BF2418" s="385"/>
      <c r="BG2418" s="475"/>
      <c r="BH2418" s="395"/>
      <c r="BI2418" s="395" t="e">
        <f t="shared" si="1046"/>
        <v>#DIV/0!</v>
      </c>
    </row>
    <row r="2419" spans="1:61" s="358" customFormat="1" ht="19.2" x14ac:dyDescent="0.3">
      <c r="A2419" s="359" t="s">
        <v>2060</v>
      </c>
      <c r="B2419" s="572" t="s">
        <v>4079</v>
      </c>
      <c r="C2419" s="546" t="s">
        <v>3206</v>
      </c>
      <c r="D2419" s="360">
        <v>0.4</v>
      </c>
      <c r="E2419" s="393"/>
      <c r="F2419" s="523"/>
      <c r="G2419" s="393"/>
      <c r="H2419" s="573"/>
      <c r="I2419" s="394"/>
      <c r="J2419" s="394"/>
      <c r="K2419" s="394"/>
      <c r="L2419" s="394"/>
      <c r="M2419" s="394"/>
      <c r="N2419" s="394"/>
      <c r="O2419" s="394"/>
      <c r="P2419" s="394"/>
      <c r="Q2419" s="394"/>
      <c r="R2419" s="381"/>
      <c r="S2419" s="408"/>
      <c r="T2419" s="385"/>
      <c r="U2419" s="475"/>
      <c r="V2419" s="395"/>
      <c r="W2419" s="395"/>
      <c r="X2419" s="393"/>
      <c r="Y2419" s="523">
        <v>1</v>
      </c>
      <c r="Z2419" s="497"/>
      <c r="AA2419" s="573">
        <v>18.005220000000001</v>
      </c>
      <c r="AB2419" s="394">
        <v>15.51201</v>
      </c>
      <c r="AC2419" s="394">
        <v>14.415889999999999</v>
      </c>
      <c r="AD2419" s="394"/>
      <c r="AE2419" s="394"/>
      <c r="AF2419" s="394">
        <v>0</v>
      </c>
      <c r="AG2419" s="394">
        <v>0</v>
      </c>
      <c r="AH2419" s="394">
        <v>0.58123999999999998</v>
      </c>
      <c r="AI2419" s="394">
        <v>14.415889999999999</v>
      </c>
      <c r="AJ2419" s="394"/>
      <c r="AK2419" s="381" t="s">
        <v>167</v>
      </c>
      <c r="AL2419" s="408" t="s">
        <v>175</v>
      </c>
      <c r="AM2419" s="385"/>
      <c r="AN2419" s="475">
        <v>1207</v>
      </c>
      <c r="AO2419" s="395"/>
      <c r="AP2419" s="395">
        <f t="shared" si="1045"/>
        <v>18.005220000000001</v>
      </c>
      <c r="AQ2419" s="393"/>
      <c r="AR2419" s="523"/>
      <c r="AS2419" s="497"/>
      <c r="AT2419" s="573"/>
      <c r="AU2419" s="394"/>
      <c r="AV2419" s="394"/>
      <c r="AW2419" s="394"/>
      <c r="AX2419" s="394"/>
      <c r="AY2419" s="394"/>
      <c r="AZ2419" s="394"/>
      <c r="BA2419" s="394"/>
      <c r="BB2419" s="394"/>
      <c r="BC2419" s="394"/>
      <c r="BD2419" s="381"/>
      <c r="BE2419" s="408"/>
      <c r="BF2419" s="385"/>
      <c r="BG2419" s="475"/>
      <c r="BH2419" s="395"/>
      <c r="BI2419" s="395" t="e">
        <f t="shared" si="1046"/>
        <v>#DIV/0!</v>
      </c>
    </row>
    <row r="2420" spans="1:61" s="358" customFormat="1" ht="19.2" x14ac:dyDescent="0.3">
      <c r="A2420" s="359" t="s">
        <v>2061</v>
      </c>
      <c r="B2420" s="572" t="s">
        <v>4080</v>
      </c>
      <c r="C2420" s="546" t="s">
        <v>3207</v>
      </c>
      <c r="D2420" s="360">
        <v>0.4</v>
      </c>
      <c r="E2420" s="393"/>
      <c r="F2420" s="523"/>
      <c r="G2420" s="393"/>
      <c r="H2420" s="573"/>
      <c r="I2420" s="394"/>
      <c r="J2420" s="394"/>
      <c r="K2420" s="394"/>
      <c r="L2420" s="394"/>
      <c r="M2420" s="394"/>
      <c r="N2420" s="394"/>
      <c r="O2420" s="394"/>
      <c r="P2420" s="394"/>
      <c r="Q2420" s="394"/>
      <c r="R2420" s="381"/>
      <c r="S2420" s="408"/>
      <c r="T2420" s="385"/>
      <c r="U2420" s="475"/>
      <c r="V2420" s="395"/>
      <c r="W2420" s="395"/>
      <c r="X2420" s="393"/>
      <c r="Y2420" s="523">
        <v>1</v>
      </c>
      <c r="Z2420" s="497"/>
      <c r="AA2420" s="573">
        <v>18.005220000000001</v>
      </c>
      <c r="AB2420" s="394">
        <v>15.51201</v>
      </c>
      <c r="AC2420" s="394">
        <v>14.415889999999999</v>
      </c>
      <c r="AD2420" s="394"/>
      <c r="AE2420" s="394"/>
      <c r="AF2420" s="394">
        <v>0</v>
      </c>
      <c r="AG2420" s="394">
        <v>0</v>
      </c>
      <c r="AH2420" s="394">
        <v>0.58123999999999998</v>
      </c>
      <c r="AI2420" s="394">
        <v>14.415889999999999</v>
      </c>
      <c r="AJ2420" s="394"/>
      <c r="AK2420" s="381" t="s">
        <v>167</v>
      </c>
      <c r="AL2420" s="408" t="s">
        <v>175</v>
      </c>
      <c r="AM2420" s="385"/>
      <c r="AN2420" s="475">
        <v>1208</v>
      </c>
      <c r="AO2420" s="395"/>
      <c r="AP2420" s="395">
        <f t="shared" si="1045"/>
        <v>18.005220000000001</v>
      </c>
      <c r="AQ2420" s="393"/>
      <c r="AR2420" s="523"/>
      <c r="AS2420" s="497"/>
      <c r="AT2420" s="573"/>
      <c r="AU2420" s="394"/>
      <c r="AV2420" s="394"/>
      <c r="AW2420" s="394"/>
      <c r="AX2420" s="394"/>
      <c r="AY2420" s="394"/>
      <c r="AZ2420" s="394"/>
      <c r="BA2420" s="394"/>
      <c r="BB2420" s="394"/>
      <c r="BC2420" s="394"/>
      <c r="BD2420" s="381"/>
      <c r="BE2420" s="408"/>
      <c r="BF2420" s="385"/>
      <c r="BG2420" s="475"/>
      <c r="BH2420" s="395"/>
      <c r="BI2420" s="395" t="e">
        <f t="shared" si="1046"/>
        <v>#DIV/0!</v>
      </c>
    </row>
    <row r="2421" spans="1:61" s="358" customFormat="1" ht="19.2" x14ac:dyDescent="0.3">
      <c r="A2421" s="359" t="s">
        <v>2062</v>
      </c>
      <c r="B2421" s="572" t="s">
        <v>4081</v>
      </c>
      <c r="C2421" s="546" t="s">
        <v>3208</v>
      </c>
      <c r="D2421" s="360">
        <v>0.4</v>
      </c>
      <c r="E2421" s="393"/>
      <c r="F2421" s="523"/>
      <c r="G2421" s="393"/>
      <c r="H2421" s="573"/>
      <c r="I2421" s="394"/>
      <c r="J2421" s="394"/>
      <c r="K2421" s="394"/>
      <c r="L2421" s="394"/>
      <c r="M2421" s="394"/>
      <c r="N2421" s="394"/>
      <c r="O2421" s="394"/>
      <c r="P2421" s="394"/>
      <c r="Q2421" s="394"/>
      <c r="R2421" s="381"/>
      <c r="S2421" s="408"/>
      <c r="T2421" s="385"/>
      <c r="U2421" s="475"/>
      <c r="V2421" s="395"/>
      <c r="W2421" s="395"/>
      <c r="X2421" s="393"/>
      <c r="Y2421" s="523">
        <v>1</v>
      </c>
      <c r="Z2421" s="497"/>
      <c r="AA2421" s="573">
        <v>18.005230000000001</v>
      </c>
      <c r="AB2421" s="394">
        <v>15.51202</v>
      </c>
      <c r="AC2421" s="394">
        <v>14.415889999999999</v>
      </c>
      <c r="AD2421" s="394"/>
      <c r="AE2421" s="394"/>
      <c r="AF2421" s="394">
        <v>0</v>
      </c>
      <c r="AG2421" s="394">
        <v>0</v>
      </c>
      <c r="AH2421" s="394">
        <v>0.58123999999999998</v>
      </c>
      <c r="AI2421" s="394">
        <v>14.415889999999999</v>
      </c>
      <c r="AJ2421" s="394"/>
      <c r="AK2421" s="381" t="s">
        <v>167</v>
      </c>
      <c r="AL2421" s="408" t="s">
        <v>175</v>
      </c>
      <c r="AM2421" s="385"/>
      <c r="AN2421" s="475">
        <v>1209</v>
      </c>
      <c r="AO2421" s="395"/>
      <c r="AP2421" s="395">
        <f t="shared" si="1045"/>
        <v>18.005230000000001</v>
      </c>
      <c r="AQ2421" s="393"/>
      <c r="AR2421" s="523"/>
      <c r="AS2421" s="497"/>
      <c r="AT2421" s="573"/>
      <c r="AU2421" s="394"/>
      <c r="AV2421" s="394"/>
      <c r="AW2421" s="394"/>
      <c r="AX2421" s="394"/>
      <c r="AY2421" s="394"/>
      <c r="AZ2421" s="394"/>
      <c r="BA2421" s="394"/>
      <c r="BB2421" s="394"/>
      <c r="BC2421" s="394"/>
      <c r="BD2421" s="381"/>
      <c r="BE2421" s="408"/>
      <c r="BF2421" s="385"/>
      <c r="BG2421" s="475"/>
      <c r="BH2421" s="395"/>
      <c r="BI2421" s="395" t="e">
        <f t="shared" si="1046"/>
        <v>#DIV/0!</v>
      </c>
    </row>
    <row r="2422" spans="1:61" s="358" customFormat="1" ht="19.2" x14ac:dyDescent="0.3">
      <c r="A2422" s="359" t="s">
        <v>2063</v>
      </c>
      <c r="B2422" s="572" t="s">
        <v>4082</v>
      </c>
      <c r="C2422" s="546" t="s">
        <v>3209</v>
      </c>
      <c r="D2422" s="360">
        <v>0.4</v>
      </c>
      <c r="E2422" s="393"/>
      <c r="F2422" s="523"/>
      <c r="G2422" s="393"/>
      <c r="H2422" s="573"/>
      <c r="I2422" s="394"/>
      <c r="J2422" s="394"/>
      <c r="K2422" s="394"/>
      <c r="L2422" s="394"/>
      <c r="M2422" s="394"/>
      <c r="N2422" s="394"/>
      <c r="O2422" s="394"/>
      <c r="P2422" s="394"/>
      <c r="Q2422" s="394"/>
      <c r="R2422" s="381"/>
      <c r="S2422" s="408"/>
      <c r="T2422" s="385"/>
      <c r="U2422" s="475"/>
      <c r="V2422" s="395"/>
      <c r="W2422" s="395"/>
      <c r="X2422" s="393"/>
      <c r="Y2422" s="523">
        <v>1</v>
      </c>
      <c r="Z2422" s="497"/>
      <c r="AA2422" s="573">
        <v>18.005220000000001</v>
      </c>
      <c r="AB2422" s="394">
        <v>15.51201</v>
      </c>
      <c r="AC2422" s="394">
        <v>14.415889999999999</v>
      </c>
      <c r="AD2422" s="394"/>
      <c r="AE2422" s="394"/>
      <c r="AF2422" s="394">
        <v>0</v>
      </c>
      <c r="AG2422" s="394">
        <v>0</v>
      </c>
      <c r="AH2422" s="394">
        <v>0.58123999999999998</v>
      </c>
      <c r="AI2422" s="394">
        <v>14.415889999999999</v>
      </c>
      <c r="AJ2422" s="394"/>
      <c r="AK2422" s="381" t="s">
        <v>167</v>
      </c>
      <c r="AL2422" s="408" t="s">
        <v>175</v>
      </c>
      <c r="AM2422" s="385"/>
      <c r="AN2422" s="475">
        <v>1210</v>
      </c>
      <c r="AO2422" s="395"/>
      <c r="AP2422" s="395">
        <f t="shared" si="1045"/>
        <v>18.005220000000001</v>
      </c>
      <c r="AQ2422" s="393"/>
      <c r="AR2422" s="523"/>
      <c r="AS2422" s="497"/>
      <c r="AT2422" s="573"/>
      <c r="AU2422" s="394"/>
      <c r="AV2422" s="394"/>
      <c r="AW2422" s="394"/>
      <c r="AX2422" s="394"/>
      <c r="AY2422" s="394"/>
      <c r="AZ2422" s="394"/>
      <c r="BA2422" s="394"/>
      <c r="BB2422" s="394"/>
      <c r="BC2422" s="394"/>
      <c r="BD2422" s="381"/>
      <c r="BE2422" s="408"/>
      <c r="BF2422" s="385"/>
      <c r="BG2422" s="475"/>
      <c r="BH2422" s="395"/>
      <c r="BI2422" s="395" t="e">
        <f t="shared" si="1046"/>
        <v>#DIV/0!</v>
      </c>
    </row>
    <row r="2423" spans="1:61" s="358" customFormat="1" ht="19.2" x14ac:dyDescent="0.3">
      <c r="A2423" s="359" t="s">
        <v>2064</v>
      </c>
      <c r="B2423" s="572" t="s">
        <v>4083</v>
      </c>
      <c r="C2423" s="546" t="s">
        <v>3210</v>
      </c>
      <c r="D2423" s="360">
        <v>0.4</v>
      </c>
      <c r="E2423" s="393"/>
      <c r="F2423" s="523"/>
      <c r="G2423" s="393"/>
      <c r="H2423" s="573"/>
      <c r="I2423" s="394"/>
      <c r="J2423" s="394"/>
      <c r="K2423" s="394"/>
      <c r="L2423" s="394"/>
      <c r="M2423" s="394"/>
      <c r="N2423" s="394"/>
      <c r="O2423" s="394"/>
      <c r="P2423" s="394"/>
      <c r="Q2423" s="394"/>
      <c r="R2423" s="381"/>
      <c r="S2423" s="408"/>
      <c r="T2423" s="385"/>
      <c r="U2423" s="475"/>
      <c r="V2423" s="395"/>
      <c r="W2423" s="395"/>
      <c r="X2423" s="393"/>
      <c r="Y2423" s="523">
        <v>1</v>
      </c>
      <c r="Z2423" s="497"/>
      <c r="AA2423" s="573">
        <v>18.005199999999999</v>
      </c>
      <c r="AB2423" s="394">
        <v>15.511990000000001</v>
      </c>
      <c r="AC2423" s="394">
        <v>14.415889999999999</v>
      </c>
      <c r="AD2423" s="394"/>
      <c r="AE2423" s="394"/>
      <c r="AF2423" s="394">
        <v>0</v>
      </c>
      <c r="AG2423" s="394">
        <v>0</v>
      </c>
      <c r="AH2423" s="394">
        <v>0.58123999999999998</v>
      </c>
      <c r="AI2423" s="394">
        <v>14.415889999999999</v>
      </c>
      <c r="AJ2423" s="394"/>
      <c r="AK2423" s="381" t="s">
        <v>167</v>
      </c>
      <c r="AL2423" s="408" t="s">
        <v>175</v>
      </c>
      <c r="AM2423" s="385"/>
      <c r="AN2423" s="475">
        <v>1211</v>
      </c>
      <c r="AO2423" s="395"/>
      <c r="AP2423" s="395">
        <f t="shared" si="1045"/>
        <v>18.005199999999999</v>
      </c>
      <c r="AQ2423" s="393"/>
      <c r="AR2423" s="523"/>
      <c r="AS2423" s="497"/>
      <c r="AT2423" s="573"/>
      <c r="AU2423" s="394"/>
      <c r="AV2423" s="394"/>
      <c r="AW2423" s="394"/>
      <c r="AX2423" s="394"/>
      <c r="AY2423" s="394"/>
      <c r="AZ2423" s="394"/>
      <c r="BA2423" s="394"/>
      <c r="BB2423" s="394"/>
      <c r="BC2423" s="394"/>
      <c r="BD2423" s="381"/>
      <c r="BE2423" s="408"/>
      <c r="BF2423" s="385"/>
      <c r="BG2423" s="475"/>
      <c r="BH2423" s="395"/>
      <c r="BI2423" s="395" t="e">
        <f t="shared" si="1046"/>
        <v>#DIV/0!</v>
      </c>
    </row>
    <row r="2424" spans="1:61" s="358" customFormat="1" ht="19.2" x14ac:dyDescent="0.3">
      <c r="A2424" s="359" t="s">
        <v>2065</v>
      </c>
      <c r="B2424" s="572" t="s">
        <v>4084</v>
      </c>
      <c r="C2424" s="546" t="s">
        <v>3211</v>
      </c>
      <c r="D2424" s="360">
        <v>0.4</v>
      </c>
      <c r="E2424" s="393"/>
      <c r="F2424" s="523"/>
      <c r="G2424" s="393"/>
      <c r="H2424" s="573"/>
      <c r="I2424" s="394"/>
      <c r="J2424" s="394"/>
      <c r="K2424" s="394"/>
      <c r="L2424" s="394"/>
      <c r="M2424" s="394"/>
      <c r="N2424" s="394"/>
      <c r="O2424" s="394"/>
      <c r="P2424" s="394"/>
      <c r="Q2424" s="394"/>
      <c r="R2424" s="381"/>
      <c r="S2424" s="408"/>
      <c r="T2424" s="385"/>
      <c r="U2424" s="475"/>
      <c r="V2424" s="395"/>
      <c r="W2424" s="395"/>
      <c r="X2424" s="393"/>
      <c r="Y2424" s="523">
        <v>1</v>
      </c>
      <c r="Z2424" s="497"/>
      <c r="AA2424" s="573">
        <v>36.878709999999998</v>
      </c>
      <c r="AB2424" s="394">
        <v>28.993179999999999</v>
      </c>
      <c r="AC2424" s="394">
        <v>12.85937</v>
      </c>
      <c r="AD2424" s="394">
        <v>1.73349</v>
      </c>
      <c r="AE2424" s="394"/>
      <c r="AF2424" s="394">
        <v>0</v>
      </c>
      <c r="AG2424" s="394">
        <v>0</v>
      </c>
      <c r="AH2424" s="394">
        <v>1.8383400000000001</v>
      </c>
      <c r="AI2424" s="394">
        <v>12.85937</v>
      </c>
      <c r="AJ2424" s="394">
        <v>1.73349</v>
      </c>
      <c r="AK2424" s="381" t="s">
        <v>167</v>
      </c>
      <c r="AL2424" s="408" t="s">
        <v>175</v>
      </c>
      <c r="AM2424" s="385"/>
      <c r="AN2424" s="475">
        <v>1212</v>
      </c>
      <c r="AO2424" s="395"/>
      <c r="AP2424" s="395">
        <f t="shared" si="1045"/>
        <v>36.878709999999998</v>
      </c>
      <c r="AQ2424" s="393"/>
      <c r="AR2424" s="523"/>
      <c r="AS2424" s="497"/>
      <c r="AT2424" s="573"/>
      <c r="AU2424" s="394"/>
      <c r="AV2424" s="394"/>
      <c r="AW2424" s="394"/>
      <c r="AX2424" s="394"/>
      <c r="AY2424" s="394"/>
      <c r="AZ2424" s="394"/>
      <c r="BA2424" s="394"/>
      <c r="BB2424" s="394"/>
      <c r="BC2424" s="394"/>
      <c r="BD2424" s="381"/>
      <c r="BE2424" s="408"/>
      <c r="BF2424" s="385"/>
      <c r="BG2424" s="475"/>
      <c r="BH2424" s="395"/>
      <c r="BI2424" s="395" t="e">
        <f t="shared" si="1046"/>
        <v>#DIV/0!</v>
      </c>
    </row>
    <row r="2425" spans="1:61" s="358" customFormat="1" ht="19.2" x14ac:dyDescent="0.3">
      <c r="A2425" s="359" t="s">
        <v>2066</v>
      </c>
      <c r="B2425" s="572" t="s">
        <v>4085</v>
      </c>
      <c r="C2425" s="546" t="s">
        <v>3212</v>
      </c>
      <c r="D2425" s="360">
        <v>0.4</v>
      </c>
      <c r="E2425" s="393"/>
      <c r="F2425" s="523"/>
      <c r="G2425" s="393"/>
      <c r="H2425" s="573"/>
      <c r="I2425" s="394"/>
      <c r="J2425" s="394"/>
      <c r="K2425" s="394"/>
      <c r="L2425" s="394"/>
      <c r="M2425" s="394"/>
      <c r="N2425" s="394"/>
      <c r="O2425" s="394"/>
      <c r="P2425" s="394"/>
      <c r="Q2425" s="394"/>
      <c r="R2425" s="381"/>
      <c r="S2425" s="408"/>
      <c r="T2425" s="385"/>
      <c r="U2425" s="475"/>
      <c r="V2425" s="395"/>
      <c r="W2425" s="395"/>
      <c r="X2425" s="393"/>
      <c r="Y2425" s="523">
        <v>1</v>
      </c>
      <c r="Z2425" s="497"/>
      <c r="AA2425" s="573">
        <v>18.005240000000001</v>
      </c>
      <c r="AB2425" s="394">
        <v>15.512029999999999</v>
      </c>
      <c r="AC2425" s="394">
        <v>14.415889999999999</v>
      </c>
      <c r="AD2425" s="394"/>
      <c r="AE2425" s="394"/>
      <c r="AF2425" s="394">
        <v>0</v>
      </c>
      <c r="AG2425" s="394">
        <v>0</v>
      </c>
      <c r="AH2425" s="394">
        <v>0.58123999999999998</v>
      </c>
      <c r="AI2425" s="394">
        <v>14.415889999999999</v>
      </c>
      <c r="AJ2425" s="394"/>
      <c r="AK2425" s="381" t="s">
        <v>167</v>
      </c>
      <c r="AL2425" s="408" t="s">
        <v>175</v>
      </c>
      <c r="AM2425" s="385"/>
      <c r="AN2425" s="475">
        <v>1214</v>
      </c>
      <c r="AO2425" s="395"/>
      <c r="AP2425" s="395">
        <f t="shared" si="1045"/>
        <v>18.005240000000001</v>
      </c>
      <c r="AQ2425" s="393"/>
      <c r="AR2425" s="523"/>
      <c r="AS2425" s="497"/>
      <c r="AT2425" s="573"/>
      <c r="AU2425" s="394"/>
      <c r="AV2425" s="394"/>
      <c r="AW2425" s="394"/>
      <c r="AX2425" s="394"/>
      <c r="AY2425" s="394"/>
      <c r="AZ2425" s="394"/>
      <c r="BA2425" s="394"/>
      <c r="BB2425" s="394"/>
      <c r="BC2425" s="394"/>
      <c r="BD2425" s="381"/>
      <c r="BE2425" s="408"/>
      <c r="BF2425" s="385"/>
      <c r="BG2425" s="475"/>
      <c r="BH2425" s="395"/>
      <c r="BI2425" s="395" t="e">
        <f t="shared" si="1046"/>
        <v>#DIV/0!</v>
      </c>
    </row>
    <row r="2426" spans="1:61" s="358" customFormat="1" ht="19.2" x14ac:dyDescent="0.3">
      <c r="A2426" s="359" t="s">
        <v>2067</v>
      </c>
      <c r="B2426" s="572" t="s">
        <v>4086</v>
      </c>
      <c r="C2426" s="546" t="s">
        <v>3213</v>
      </c>
      <c r="D2426" s="360">
        <v>0.4</v>
      </c>
      <c r="E2426" s="393"/>
      <c r="F2426" s="523"/>
      <c r="G2426" s="393"/>
      <c r="H2426" s="573"/>
      <c r="I2426" s="394"/>
      <c r="J2426" s="394"/>
      <c r="K2426" s="394"/>
      <c r="L2426" s="394"/>
      <c r="M2426" s="394"/>
      <c r="N2426" s="394"/>
      <c r="O2426" s="394"/>
      <c r="P2426" s="394"/>
      <c r="Q2426" s="394"/>
      <c r="R2426" s="381"/>
      <c r="S2426" s="408"/>
      <c r="T2426" s="385"/>
      <c r="U2426" s="475"/>
      <c r="V2426" s="395"/>
      <c r="W2426" s="395"/>
      <c r="X2426" s="393"/>
      <c r="Y2426" s="523">
        <v>1</v>
      </c>
      <c r="Z2426" s="497"/>
      <c r="AA2426" s="573">
        <v>18.005230000000001</v>
      </c>
      <c r="AB2426" s="394">
        <v>15.51202</v>
      </c>
      <c r="AC2426" s="394">
        <v>14.415889999999999</v>
      </c>
      <c r="AD2426" s="394"/>
      <c r="AE2426" s="394"/>
      <c r="AF2426" s="394">
        <v>0</v>
      </c>
      <c r="AG2426" s="394">
        <v>0</v>
      </c>
      <c r="AH2426" s="394">
        <v>0.58123999999999998</v>
      </c>
      <c r="AI2426" s="394">
        <v>14.415889999999999</v>
      </c>
      <c r="AJ2426" s="394"/>
      <c r="AK2426" s="381" t="s">
        <v>167</v>
      </c>
      <c r="AL2426" s="408" t="s">
        <v>175</v>
      </c>
      <c r="AM2426" s="385"/>
      <c r="AN2426" s="475">
        <v>1215</v>
      </c>
      <c r="AO2426" s="395"/>
      <c r="AP2426" s="395">
        <f t="shared" si="1045"/>
        <v>18.005230000000001</v>
      </c>
      <c r="AQ2426" s="393"/>
      <c r="AR2426" s="523"/>
      <c r="AS2426" s="497"/>
      <c r="AT2426" s="573"/>
      <c r="AU2426" s="394"/>
      <c r="AV2426" s="394"/>
      <c r="AW2426" s="394"/>
      <c r="AX2426" s="394"/>
      <c r="AY2426" s="394"/>
      <c r="AZ2426" s="394"/>
      <c r="BA2426" s="394"/>
      <c r="BB2426" s="394"/>
      <c r="BC2426" s="394"/>
      <c r="BD2426" s="381"/>
      <c r="BE2426" s="408"/>
      <c r="BF2426" s="385"/>
      <c r="BG2426" s="475"/>
      <c r="BH2426" s="395"/>
      <c r="BI2426" s="395" t="e">
        <f t="shared" si="1046"/>
        <v>#DIV/0!</v>
      </c>
    </row>
    <row r="2427" spans="1:61" s="358" customFormat="1" ht="19.2" x14ac:dyDescent="0.3">
      <c r="A2427" s="359" t="s">
        <v>2084</v>
      </c>
      <c r="B2427" s="572" t="s">
        <v>4087</v>
      </c>
      <c r="C2427" s="546" t="s">
        <v>3214</v>
      </c>
      <c r="D2427" s="360">
        <v>0.4</v>
      </c>
      <c r="E2427" s="393"/>
      <c r="F2427" s="523"/>
      <c r="G2427" s="393"/>
      <c r="H2427" s="573"/>
      <c r="I2427" s="394"/>
      <c r="J2427" s="394"/>
      <c r="K2427" s="394"/>
      <c r="L2427" s="394"/>
      <c r="M2427" s="394"/>
      <c r="N2427" s="394"/>
      <c r="O2427" s="394"/>
      <c r="P2427" s="394"/>
      <c r="Q2427" s="394"/>
      <c r="R2427" s="381"/>
      <c r="S2427" s="408"/>
      <c r="T2427" s="385"/>
      <c r="U2427" s="475"/>
      <c r="V2427" s="395"/>
      <c r="W2427" s="395"/>
      <c r="X2427" s="393"/>
      <c r="Y2427" s="523">
        <v>1</v>
      </c>
      <c r="Z2427" s="497"/>
      <c r="AA2427" s="573">
        <v>18.00525</v>
      </c>
      <c r="AB2427" s="394">
        <v>15.512029999999999</v>
      </c>
      <c r="AC2427" s="394">
        <v>14.415889999999999</v>
      </c>
      <c r="AD2427" s="394"/>
      <c r="AE2427" s="394"/>
      <c r="AF2427" s="394">
        <v>0</v>
      </c>
      <c r="AG2427" s="394">
        <v>0</v>
      </c>
      <c r="AH2427" s="394">
        <v>0.58123999999999998</v>
      </c>
      <c r="AI2427" s="394">
        <v>14.415889999999999</v>
      </c>
      <c r="AJ2427" s="394"/>
      <c r="AK2427" s="381" t="s">
        <v>167</v>
      </c>
      <c r="AL2427" s="408" t="s">
        <v>175</v>
      </c>
      <c r="AM2427" s="385"/>
      <c r="AN2427" s="475">
        <v>1216</v>
      </c>
      <c r="AO2427" s="395"/>
      <c r="AP2427" s="395">
        <f t="shared" si="1045"/>
        <v>18.00525</v>
      </c>
      <c r="AQ2427" s="393"/>
      <c r="AR2427" s="523"/>
      <c r="AS2427" s="497"/>
      <c r="AT2427" s="573"/>
      <c r="AU2427" s="394"/>
      <c r="AV2427" s="394"/>
      <c r="AW2427" s="394"/>
      <c r="AX2427" s="394"/>
      <c r="AY2427" s="394"/>
      <c r="AZ2427" s="394"/>
      <c r="BA2427" s="394"/>
      <c r="BB2427" s="394"/>
      <c r="BC2427" s="394"/>
      <c r="BD2427" s="381"/>
      <c r="BE2427" s="408"/>
      <c r="BF2427" s="385"/>
      <c r="BG2427" s="475"/>
      <c r="BH2427" s="395"/>
      <c r="BI2427" s="395" t="e">
        <f t="shared" si="1046"/>
        <v>#DIV/0!</v>
      </c>
    </row>
    <row r="2428" spans="1:61" s="358" customFormat="1" ht="19.2" x14ac:dyDescent="0.3">
      <c r="A2428" s="359" t="s">
        <v>2069</v>
      </c>
      <c r="B2428" s="572" t="s">
        <v>4088</v>
      </c>
      <c r="C2428" s="546" t="s">
        <v>3215</v>
      </c>
      <c r="D2428" s="360">
        <v>0.4</v>
      </c>
      <c r="E2428" s="393"/>
      <c r="F2428" s="523"/>
      <c r="G2428" s="393"/>
      <c r="H2428" s="573"/>
      <c r="I2428" s="394"/>
      <c r="J2428" s="394"/>
      <c r="K2428" s="394"/>
      <c r="L2428" s="394"/>
      <c r="M2428" s="394"/>
      <c r="N2428" s="394"/>
      <c r="O2428" s="394"/>
      <c r="P2428" s="394"/>
      <c r="Q2428" s="394"/>
      <c r="R2428" s="381"/>
      <c r="S2428" s="408"/>
      <c r="T2428" s="385"/>
      <c r="U2428" s="475"/>
      <c r="V2428" s="395"/>
      <c r="W2428" s="395"/>
      <c r="X2428" s="393"/>
      <c r="Y2428" s="523">
        <v>1</v>
      </c>
      <c r="Z2428" s="497"/>
      <c r="AA2428" s="573">
        <v>18.00525</v>
      </c>
      <c r="AB2428" s="394">
        <v>15.512029999999999</v>
      </c>
      <c r="AC2428" s="394">
        <v>14.415889999999999</v>
      </c>
      <c r="AD2428" s="394"/>
      <c r="AE2428" s="394"/>
      <c r="AF2428" s="394">
        <v>0</v>
      </c>
      <c r="AG2428" s="394">
        <v>0</v>
      </c>
      <c r="AH2428" s="394">
        <v>0.58123999999999998</v>
      </c>
      <c r="AI2428" s="394">
        <v>14.415889999999999</v>
      </c>
      <c r="AJ2428" s="394"/>
      <c r="AK2428" s="381" t="s">
        <v>167</v>
      </c>
      <c r="AL2428" s="408" t="s">
        <v>175</v>
      </c>
      <c r="AM2428" s="385"/>
      <c r="AN2428" s="475">
        <v>1217</v>
      </c>
      <c r="AO2428" s="395"/>
      <c r="AP2428" s="395">
        <f t="shared" si="1045"/>
        <v>18.00525</v>
      </c>
      <c r="AQ2428" s="393"/>
      <c r="AR2428" s="523"/>
      <c r="AS2428" s="497"/>
      <c r="AT2428" s="573"/>
      <c r="AU2428" s="394"/>
      <c r="AV2428" s="394"/>
      <c r="AW2428" s="394"/>
      <c r="AX2428" s="394"/>
      <c r="AY2428" s="394"/>
      <c r="AZ2428" s="394"/>
      <c r="BA2428" s="394"/>
      <c r="BB2428" s="394"/>
      <c r="BC2428" s="394"/>
      <c r="BD2428" s="381"/>
      <c r="BE2428" s="408"/>
      <c r="BF2428" s="385"/>
      <c r="BG2428" s="475"/>
      <c r="BH2428" s="395"/>
      <c r="BI2428" s="395" t="e">
        <f t="shared" si="1046"/>
        <v>#DIV/0!</v>
      </c>
    </row>
    <row r="2429" spans="1:61" s="358" customFormat="1" ht="19.2" x14ac:dyDescent="0.3">
      <c r="A2429" s="359" t="s">
        <v>2070</v>
      </c>
      <c r="B2429" s="572" t="s">
        <v>4089</v>
      </c>
      <c r="C2429" s="546" t="s">
        <v>3216</v>
      </c>
      <c r="D2429" s="360">
        <v>0.4</v>
      </c>
      <c r="E2429" s="393"/>
      <c r="F2429" s="523"/>
      <c r="G2429" s="393"/>
      <c r="H2429" s="573"/>
      <c r="I2429" s="394"/>
      <c r="J2429" s="394"/>
      <c r="K2429" s="394"/>
      <c r="L2429" s="394"/>
      <c r="M2429" s="394"/>
      <c r="N2429" s="394"/>
      <c r="O2429" s="394"/>
      <c r="P2429" s="394"/>
      <c r="Q2429" s="394"/>
      <c r="R2429" s="381"/>
      <c r="S2429" s="408"/>
      <c r="T2429" s="385"/>
      <c r="U2429" s="475"/>
      <c r="V2429" s="395"/>
      <c r="W2429" s="395"/>
      <c r="X2429" s="393"/>
      <c r="Y2429" s="523">
        <v>1</v>
      </c>
      <c r="Z2429" s="497"/>
      <c r="AA2429" s="573">
        <v>18.005199999999999</v>
      </c>
      <c r="AB2429" s="394">
        <v>15.511990000000001</v>
      </c>
      <c r="AC2429" s="394">
        <v>14.415889999999999</v>
      </c>
      <c r="AD2429" s="394"/>
      <c r="AE2429" s="394"/>
      <c r="AF2429" s="394">
        <v>0</v>
      </c>
      <c r="AG2429" s="394">
        <v>0</v>
      </c>
      <c r="AH2429" s="394">
        <v>0.58123999999999998</v>
      </c>
      <c r="AI2429" s="394">
        <v>14.415889999999999</v>
      </c>
      <c r="AJ2429" s="394"/>
      <c r="AK2429" s="381" t="s">
        <v>167</v>
      </c>
      <c r="AL2429" s="408" t="s">
        <v>175</v>
      </c>
      <c r="AM2429" s="385"/>
      <c r="AN2429" s="475">
        <v>1218</v>
      </c>
      <c r="AO2429" s="395"/>
      <c r="AP2429" s="395">
        <f t="shared" si="1045"/>
        <v>18.005199999999999</v>
      </c>
      <c r="AQ2429" s="393"/>
      <c r="AR2429" s="523"/>
      <c r="AS2429" s="497"/>
      <c r="AT2429" s="573"/>
      <c r="AU2429" s="394"/>
      <c r="AV2429" s="394"/>
      <c r="AW2429" s="394"/>
      <c r="AX2429" s="394"/>
      <c r="AY2429" s="394"/>
      <c r="AZ2429" s="394"/>
      <c r="BA2429" s="394"/>
      <c r="BB2429" s="394"/>
      <c r="BC2429" s="394"/>
      <c r="BD2429" s="381"/>
      <c r="BE2429" s="408"/>
      <c r="BF2429" s="385"/>
      <c r="BG2429" s="475"/>
      <c r="BH2429" s="395"/>
      <c r="BI2429" s="395" t="e">
        <f t="shared" si="1046"/>
        <v>#DIV/0!</v>
      </c>
    </row>
    <row r="2430" spans="1:61" s="358" customFormat="1" ht="19.2" x14ac:dyDescent="0.3">
      <c r="A2430" s="359" t="s">
        <v>2071</v>
      </c>
      <c r="B2430" s="572" t="s">
        <v>4090</v>
      </c>
      <c r="C2430" s="546" t="s">
        <v>3217</v>
      </c>
      <c r="D2430" s="360">
        <v>0.4</v>
      </c>
      <c r="E2430" s="393"/>
      <c r="F2430" s="523"/>
      <c r="G2430" s="393"/>
      <c r="H2430" s="573"/>
      <c r="I2430" s="394"/>
      <c r="J2430" s="394"/>
      <c r="K2430" s="394"/>
      <c r="L2430" s="394"/>
      <c r="M2430" s="394"/>
      <c r="N2430" s="394"/>
      <c r="O2430" s="394"/>
      <c r="P2430" s="394"/>
      <c r="Q2430" s="394"/>
      <c r="R2430" s="381"/>
      <c r="S2430" s="408"/>
      <c r="T2430" s="385"/>
      <c r="U2430" s="475"/>
      <c r="V2430" s="395"/>
      <c r="W2430" s="395"/>
      <c r="X2430" s="393"/>
      <c r="Y2430" s="523">
        <v>1</v>
      </c>
      <c r="Z2430" s="497"/>
      <c r="AA2430" s="573">
        <v>18.005199999999999</v>
      </c>
      <c r="AB2430" s="394">
        <v>15.511990000000001</v>
      </c>
      <c r="AC2430" s="394">
        <v>14.415889999999999</v>
      </c>
      <c r="AD2430" s="394"/>
      <c r="AE2430" s="394"/>
      <c r="AF2430" s="394">
        <v>0</v>
      </c>
      <c r="AG2430" s="394">
        <v>0</v>
      </c>
      <c r="AH2430" s="394">
        <v>0.58123999999999998</v>
      </c>
      <c r="AI2430" s="394">
        <v>14.415889999999999</v>
      </c>
      <c r="AJ2430" s="394"/>
      <c r="AK2430" s="381" t="s">
        <v>167</v>
      </c>
      <c r="AL2430" s="408" t="s">
        <v>175</v>
      </c>
      <c r="AM2430" s="385"/>
      <c r="AN2430" s="475">
        <v>1219</v>
      </c>
      <c r="AO2430" s="395"/>
      <c r="AP2430" s="395">
        <f t="shared" si="1045"/>
        <v>18.005199999999999</v>
      </c>
      <c r="AQ2430" s="393"/>
      <c r="AR2430" s="523"/>
      <c r="AS2430" s="497"/>
      <c r="AT2430" s="573"/>
      <c r="AU2430" s="394"/>
      <c r="AV2430" s="394"/>
      <c r="AW2430" s="394"/>
      <c r="AX2430" s="394"/>
      <c r="AY2430" s="394"/>
      <c r="AZ2430" s="394"/>
      <c r="BA2430" s="394"/>
      <c r="BB2430" s="394"/>
      <c r="BC2430" s="394"/>
      <c r="BD2430" s="381"/>
      <c r="BE2430" s="408"/>
      <c r="BF2430" s="385"/>
      <c r="BG2430" s="475"/>
      <c r="BH2430" s="395"/>
      <c r="BI2430" s="395" t="e">
        <f t="shared" si="1046"/>
        <v>#DIV/0!</v>
      </c>
    </row>
    <row r="2431" spans="1:61" s="358" customFormat="1" ht="19.2" x14ac:dyDescent="0.3">
      <c r="A2431" s="359" t="s">
        <v>2088</v>
      </c>
      <c r="B2431" s="572" t="s">
        <v>4091</v>
      </c>
      <c r="C2431" s="546" t="s">
        <v>3218</v>
      </c>
      <c r="D2431" s="360">
        <v>0.4</v>
      </c>
      <c r="E2431" s="393"/>
      <c r="F2431" s="523"/>
      <c r="G2431" s="393"/>
      <c r="H2431" s="573"/>
      <c r="I2431" s="394"/>
      <c r="J2431" s="394"/>
      <c r="K2431" s="394"/>
      <c r="L2431" s="394"/>
      <c r="M2431" s="394"/>
      <c r="N2431" s="394"/>
      <c r="O2431" s="394"/>
      <c r="P2431" s="394"/>
      <c r="Q2431" s="394"/>
      <c r="R2431" s="381"/>
      <c r="S2431" s="408"/>
      <c r="T2431" s="385"/>
      <c r="U2431" s="475"/>
      <c r="V2431" s="395"/>
      <c r="W2431" s="395"/>
      <c r="X2431" s="393"/>
      <c r="Y2431" s="523">
        <v>1</v>
      </c>
      <c r="Z2431" s="497"/>
      <c r="AA2431" s="573">
        <v>18.005220000000001</v>
      </c>
      <c r="AB2431" s="394">
        <v>15.51201</v>
      </c>
      <c r="AC2431" s="394">
        <v>14.415889999999999</v>
      </c>
      <c r="AD2431" s="394"/>
      <c r="AE2431" s="394"/>
      <c r="AF2431" s="394">
        <v>0</v>
      </c>
      <c r="AG2431" s="394">
        <v>0</v>
      </c>
      <c r="AH2431" s="394">
        <v>0.58123999999999998</v>
      </c>
      <c r="AI2431" s="394">
        <v>14.415889999999999</v>
      </c>
      <c r="AJ2431" s="394"/>
      <c r="AK2431" s="381" t="s">
        <v>167</v>
      </c>
      <c r="AL2431" s="408" t="s">
        <v>175</v>
      </c>
      <c r="AM2431" s="385"/>
      <c r="AN2431" s="475">
        <v>1220</v>
      </c>
      <c r="AO2431" s="395"/>
      <c r="AP2431" s="395">
        <f t="shared" si="1045"/>
        <v>18.005220000000001</v>
      </c>
      <c r="AQ2431" s="393"/>
      <c r="AR2431" s="523"/>
      <c r="AS2431" s="497"/>
      <c r="AT2431" s="573"/>
      <c r="AU2431" s="394"/>
      <c r="AV2431" s="394"/>
      <c r="AW2431" s="394"/>
      <c r="AX2431" s="394"/>
      <c r="AY2431" s="394"/>
      <c r="AZ2431" s="394"/>
      <c r="BA2431" s="394"/>
      <c r="BB2431" s="394"/>
      <c r="BC2431" s="394"/>
      <c r="BD2431" s="381"/>
      <c r="BE2431" s="408"/>
      <c r="BF2431" s="385"/>
      <c r="BG2431" s="475"/>
      <c r="BH2431" s="395"/>
      <c r="BI2431" s="395" t="e">
        <f t="shared" si="1046"/>
        <v>#DIV/0!</v>
      </c>
    </row>
    <row r="2432" spans="1:61" s="358" customFormat="1" ht="19.2" x14ac:dyDescent="0.3">
      <c r="A2432" s="359" t="s">
        <v>2073</v>
      </c>
      <c r="B2432" s="572" t="s">
        <v>4092</v>
      </c>
      <c r="C2432" s="546" t="s">
        <v>3219</v>
      </c>
      <c r="D2432" s="360">
        <v>0.4</v>
      </c>
      <c r="E2432" s="393"/>
      <c r="F2432" s="523"/>
      <c r="G2432" s="393"/>
      <c r="H2432" s="573"/>
      <c r="I2432" s="394"/>
      <c r="J2432" s="394"/>
      <c r="K2432" s="394"/>
      <c r="L2432" s="394"/>
      <c r="M2432" s="394"/>
      <c r="N2432" s="394"/>
      <c r="O2432" s="394"/>
      <c r="P2432" s="394"/>
      <c r="Q2432" s="394"/>
      <c r="R2432" s="381"/>
      <c r="S2432" s="408"/>
      <c r="T2432" s="385"/>
      <c r="U2432" s="475"/>
      <c r="V2432" s="395"/>
      <c r="W2432" s="395"/>
      <c r="X2432" s="393"/>
      <c r="Y2432" s="523">
        <v>1</v>
      </c>
      <c r="Z2432" s="497"/>
      <c r="AA2432" s="573">
        <v>18.005199999999999</v>
      </c>
      <c r="AB2432" s="394">
        <v>15.511990000000001</v>
      </c>
      <c r="AC2432" s="394">
        <v>14.415889999999999</v>
      </c>
      <c r="AD2432" s="394"/>
      <c r="AE2432" s="394"/>
      <c r="AF2432" s="394">
        <v>0</v>
      </c>
      <c r="AG2432" s="394">
        <v>0</v>
      </c>
      <c r="AH2432" s="394">
        <v>0.58123999999999998</v>
      </c>
      <c r="AI2432" s="394">
        <v>14.415889999999999</v>
      </c>
      <c r="AJ2432" s="394"/>
      <c r="AK2432" s="381" t="s">
        <v>167</v>
      </c>
      <c r="AL2432" s="408" t="s">
        <v>175</v>
      </c>
      <c r="AM2432" s="385"/>
      <c r="AN2432" s="475">
        <v>1221</v>
      </c>
      <c r="AO2432" s="395"/>
      <c r="AP2432" s="395">
        <f t="shared" si="1045"/>
        <v>18.005199999999999</v>
      </c>
      <c r="AQ2432" s="393"/>
      <c r="AR2432" s="523"/>
      <c r="AS2432" s="497"/>
      <c r="AT2432" s="573"/>
      <c r="AU2432" s="394"/>
      <c r="AV2432" s="394"/>
      <c r="AW2432" s="394"/>
      <c r="AX2432" s="394"/>
      <c r="AY2432" s="394"/>
      <c r="AZ2432" s="394"/>
      <c r="BA2432" s="394"/>
      <c r="BB2432" s="394"/>
      <c r="BC2432" s="394"/>
      <c r="BD2432" s="381"/>
      <c r="BE2432" s="408"/>
      <c r="BF2432" s="385"/>
      <c r="BG2432" s="475"/>
      <c r="BH2432" s="395"/>
      <c r="BI2432" s="395" t="e">
        <f t="shared" si="1046"/>
        <v>#DIV/0!</v>
      </c>
    </row>
    <row r="2433" spans="1:61" s="358" customFormat="1" ht="19.2" x14ac:dyDescent="0.3">
      <c r="A2433" s="359" t="s">
        <v>2074</v>
      </c>
      <c r="B2433" s="572" t="s">
        <v>4093</v>
      </c>
      <c r="C2433" s="546" t="s">
        <v>3220</v>
      </c>
      <c r="D2433" s="360">
        <v>0.4</v>
      </c>
      <c r="E2433" s="393"/>
      <c r="F2433" s="523"/>
      <c r="G2433" s="393"/>
      <c r="H2433" s="573"/>
      <c r="I2433" s="394"/>
      <c r="J2433" s="394"/>
      <c r="K2433" s="394"/>
      <c r="L2433" s="394"/>
      <c r="M2433" s="394"/>
      <c r="N2433" s="394"/>
      <c r="O2433" s="394"/>
      <c r="P2433" s="394"/>
      <c r="Q2433" s="394"/>
      <c r="R2433" s="381"/>
      <c r="S2433" s="408"/>
      <c r="T2433" s="385"/>
      <c r="U2433" s="475"/>
      <c r="V2433" s="395"/>
      <c r="W2433" s="395"/>
      <c r="X2433" s="393"/>
      <c r="Y2433" s="523">
        <v>1</v>
      </c>
      <c r="Z2433" s="497"/>
      <c r="AA2433" s="573">
        <v>18.005240000000001</v>
      </c>
      <c r="AB2433" s="394">
        <v>15.512029999999999</v>
      </c>
      <c r="AC2433" s="394">
        <v>14.415889999999999</v>
      </c>
      <c r="AD2433" s="394"/>
      <c r="AE2433" s="394"/>
      <c r="AF2433" s="394">
        <v>0</v>
      </c>
      <c r="AG2433" s="394">
        <v>0</v>
      </c>
      <c r="AH2433" s="394">
        <v>0.58123999999999998</v>
      </c>
      <c r="AI2433" s="394">
        <v>14.415889999999999</v>
      </c>
      <c r="AJ2433" s="394"/>
      <c r="AK2433" s="381" t="s">
        <v>167</v>
      </c>
      <c r="AL2433" s="408" t="s">
        <v>175</v>
      </c>
      <c r="AM2433" s="385"/>
      <c r="AN2433" s="475">
        <v>1222</v>
      </c>
      <c r="AO2433" s="395"/>
      <c r="AP2433" s="395">
        <f t="shared" si="1045"/>
        <v>18.005240000000001</v>
      </c>
      <c r="AQ2433" s="393"/>
      <c r="AR2433" s="523"/>
      <c r="AS2433" s="497"/>
      <c r="AT2433" s="573"/>
      <c r="AU2433" s="394"/>
      <c r="AV2433" s="394"/>
      <c r="AW2433" s="394"/>
      <c r="AX2433" s="394"/>
      <c r="AY2433" s="394"/>
      <c r="AZ2433" s="394"/>
      <c r="BA2433" s="394"/>
      <c r="BB2433" s="394"/>
      <c r="BC2433" s="394"/>
      <c r="BD2433" s="381"/>
      <c r="BE2433" s="408"/>
      <c r="BF2433" s="385"/>
      <c r="BG2433" s="475"/>
      <c r="BH2433" s="395"/>
      <c r="BI2433" s="395" t="e">
        <f t="shared" si="1046"/>
        <v>#DIV/0!</v>
      </c>
    </row>
    <row r="2434" spans="1:61" s="358" customFormat="1" ht="19.2" x14ac:dyDescent="0.3">
      <c r="A2434" s="359" t="s">
        <v>2059</v>
      </c>
      <c r="B2434" s="572" t="s">
        <v>2351</v>
      </c>
      <c r="C2434" s="546" t="s">
        <v>2350</v>
      </c>
      <c r="D2434" s="360">
        <v>0.4</v>
      </c>
      <c r="E2434" s="393"/>
      <c r="F2434" s="523"/>
      <c r="G2434" s="393"/>
      <c r="H2434" s="573"/>
      <c r="I2434" s="394"/>
      <c r="J2434" s="394"/>
      <c r="K2434" s="394"/>
      <c r="L2434" s="394"/>
      <c r="M2434" s="394"/>
      <c r="N2434" s="394"/>
      <c r="O2434" s="394"/>
      <c r="P2434" s="394"/>
      <c r="Q2434" s="394"/>
      <c r="R2434" s="381"/>
      <c r="S2434" s="408"/>
      <c r="T2434" s="385"/>
      <c r="U2434" s="475"/>
      <c r="V2434" s="395"/>
      <c r="W2434" s="395"/>
      <c r="X2434" s="393"/>
      <c r="Y2434" s="523">
        <v>1</v>
      </c>
      <c r="Z2434" s="497"/>
      <c r="AA2434" s="573">
        <v>10.709530000000001</v>
      </c>
      <c r="AB2434" s="394">
        <v>9.4108599999999996</v>
      </c>
      <c r="AC2434" s="394">
        <v>9.0384100000000007</v>
      </c>
      <c r="AD2434" s="394"/>
      <c r="AE2434" s="394"/>
      <c r="AF2434" s="394">
        <v>0</v>
      </c>
      <c r="AG2434" s="394">
        <v>0</v>
      </c>
      <c r="AH2434" s="394">
        <v>0.30275999999999997</v>
      </c>
      <c r="AI2434" s="394">
        <v>9.0384100000000007</v>
      </c>
      <c r="AJ2434" s="394"/>
      <c r="AK2434" s="381" t="s">
        <v>167</v>
      </c>
      <c r="AL2434" s="408" t="s">
        <v>175</v>
      </c>
      <c r="AM2434" s="385"/>
      <c r="AN2434" s="475">
        <v>1223</v>
      </c>
      <c r="AO2434" s="395"/>
      <c r="AP2434" s="395">
        <f t="shared" si="1045"/>
        <v>10.709530000000001</v>
      </c>
      <c r="AQ2434" s="393"/>
      <c r="AR2434" s="523"/>
      <c r="AS2434" s="497"/>
      <c r="AT2434" s="573"/>
      <c r="AU2434" s="394"/>
      <c r="AV2434" s="394"/>
      <c r="AW2434" s="394"/>
      <c r="AX2434" s="394"/>
      <c r="AY2434" s="394"/>
      <c r="AZ2434" s="394"/>
      <c r="BA2434" s="394"/>
      <c r="BB2434" s="394"/>
      <c r="BC2434" s="394"/>
      <c r="BD2434" s="381"/>
      <c r="BE2434" s="408"/>
      <c r="BF2434" s="385"/>
      <c r="BG2434" s="475"/>
      <c r="BH2434" s="395"/>
      <c r="BI2434" s="395" t="e">
        <f t="shared" si="1046"/>
        <v>#DIV/0!</v>
      </c>
    </row>
    <row r="2435" spans="1:61" s="358" customFormat="1" ht="19.2" x14ac:dyDescent="0.3">
      <c r="A2435" s="359" t="s">
        <v>2076</v>
      </c>
      <c r="B2435" s="572" t="s">
        <v>4094</v>
      </c>
      <c r="C2435" s="546" t="s">
        <v>3221</v>
      </c>
      <c r="D2435" s="360">
        <v>0.4</v>
      </c>
      <c r="E2435" s="393"/>
      <c r="F2435" s="523"/>
      <c r="G2435" s="393"/>
      <c r="H2435" s="573"/>
      <c r="I2435" s="394"/>
      <c r="J2435" s="394"/>
      <c r="K2435" s="394"/>
      <c r="L2435" s="394"/>
      <c r="M2435" s="394"/>
      <c r="N2435" s="394"/>
      <c r="O2435" s="394"/>
      <c r="P2435" s="394"/>
      <c r="Q2435" s="394"/>
      <c r="R2435" s="381"/>
      <c r="S2435" s="408"/>
      <c r="T2435" s="385"/>
      <c r="U2435" s="475"/>
      <c r="V2435" s="395"/>
      <c r="W2435" s="395"/>
      <c r="X2435" s="393"/>
      <c r="Y2435" s="523">
        <v>1</v>
      </c>
      <c r="Z2435" s="497"/>
      <c r="AA2435" s="573">
        <v>18.97964</v>
      </c>
      <c r="AB2435" s="394">
        <v>16.175129999999999</v>
      </c>
      <c r="AC2435" s="394">
        <v>14.415900000000001</v>
      </c>
      <c r="AD2435" s="394"/>
      <c r="AE2435" s="394"/>
      <c r="AF2435" s="394">
        <v>0</v>
      </c>
      <c r="AG2435" s="394">
        <v>0</v>
      </c>
      <c r="AH2435" s="394">
        <v>0.65381</v>
      </c>
      <c r="AI2435" s="394">
        <v>14.415900000000001</v>
      </c>
      <c r="AJ2435" s="394"/>
      <c r="AK2435" s="381" t="s">
        <v>167</v>
      </c>
      <c r="AL2435" s="408" t="s">
        <v>175</v>
      </c>
      <c r="AM2435" s="385"/>
      <c r="AN2435" s="475">
        <v>1224</v>
      </c>
      <c r="AO2435" s="395"/>
      <c r="AP2435" s="395">
        <f t="shared" si="1045"/>
        <v>18.97964</v>
      </c>
      <c r="AQ2435" s="393"/>
      <c r="AR2435" s="523"/>
      <c r="AS2435" s="497"/>
      <c r="AT2435" s="573"/>
      <c r="AU2435" s="394"/>
      <c r="AV2435" s="394"/>
      <c r="AW2435" s="394"/>
      <c r="AX2435" s="394"/>
      <c r="AY2435" s="394"/>
      <c r="AZ2435" s="394"/>
      <c r="BA2435" s="394"/>
      <c r="BB2435" s="394"/>
      <c r="BC2435" s="394"/>
      <c r="BD2435" s="381"/>
      <c r="BE2435" s="408"/>
      <c r="BF2435" s="385"/>
      <c r="BG2435" s="475"/>
      <c r="BH2435" s="395"/>
      <c r="BI2435" s="395" t="e">
        <f t="shared" si="1046"/>
        <v>#DIV/0!</v>
      </c>
    </row>
    <row r="2436" spans="1:61" s="358" customFormat="1" ht="19.2" x14ac:dyDescent="0.3">
      <c r="A2436" s="359" t="s">
        <v>2077</v>
      </c>
      <c r="B2436" s="572" t="s">
        <v>4095</v>
      </c>
      <c r="C2436" s="546" t="s">
        <v>3222</v>
      </c>
      <c r="D2436" s="360">
        <v>0.4</v>
      </c>
      <c r="E2436" s="393"/>
      <c r="F2436" s="523"/>
      <c r="G2436" s="393"/>
      <c r="H2436" s="573"/>
      <c r="I2436" s="394"/>
      <c r="J2436" s="394"/>
      <c r="K2436" s="394"/>
      <c r="L2436" s="394"/>
      <c r="M2436" s="394"/>
      <c r="N2436" s="394"/>
      <c r="O2436" s="394"/>
      <c r="P2436" s="394"/>
      <c r="Q2436" s="394"/>
      <c r="R2436" s="381"/>
      <c r="S2436" s="408"/>
      <c r="T2436" s="385"/>
      <c r="U2436" s="475"/>
      <c r="V2436" s="395"/>
      <c r="W2436" s="395"/>
      <c r="X2436" s="393"/>
      <c r="Y2436" s="523">
        <v>1</v>
      </c>
      <c r="Z2436" s="497"/>
      <c r="AA2436" s="573">
        <v>18.979610000000001</v>
      </c>
      <c r="AB2436" s="394">
        <v>16.1751</v>
      </c>
      <c r="AC2436" s="394">
        <v>14.415900000000001</v>
      </c>
      <c r="AD2436" s="394"/>
      <c r="AE2436" s="394"/>
      <c r="AF2436" s="394">
        <v>0</v>
      </c>
      <c r="AG2436" s="394">
        <v>0</v>
      </c>
      <c r="AH2436" s="394">
        <v>0.65381</v>
      </c>
      <c r="AI2436" s="394">
        <v>14.415900000000001</v>
      </c>
      <c r="AJ2436" s="394"/>
      <c r="AK2436" s="381" t="s">
        <v>167</v>
      </c>
      <c r="AL2436" s="408" t="s">
        <v>175</v>
      </c>
      <c r="AM2436" s="385"/>
      <c r="AN2436" s="475">
        <v>1225</v>
      </c>
      <c r="AO2436" s="395"/>
      <c r="AP2436" s="395">
        <f t="shared" ref="AP2436:AP2499" si="1047">AA2436/Y2436</f>
        <v>18.979610000000001</v>
      </c>
      <c r="AQ2436" s="393"/>
      <c r="AR2436" s="523"/>
      <c r="AS2436" s="497"/>
      <c r="AT2436" s="573"/>
      <c r="AU2436" s="394"/>
      <c r="AV2436" s="394"/>
      <c r="AW2436" s="394"/>
      <c r="AX2436" s="394"/>
      <c r="AY2436" s="394"/>
      <c r="AZ2436" s="394"/>
      <c r="BA2436" s="394"/>
      <c r="BB2436" s="394"/>
      <c r="BC2436" s="394"/>
      <c r="BD2436" s="381"/>
      <c r="BE2436" s="408"/>
      <c r="BF2436" s="385"/>
      <c r="BG2436" s="475"/>
      <c r="BH2436" s="395"/>
      <c r="BI2436" s="395" t="e">
        <f t="shared" si="1046"/>
        <v>#DIV/0!</v>
      </c>
    </row>
    <row r="2437" spans="1:61" s="358" customFormat="1" ht="19.2" x14ac:dyDescent="0.3">
      <c r="A2437" s="359" t="s">
        <v>2078</v>
      </c>
      <c r="B2437" s="572" t="s">
        <v>4096</v>
      </c>
      <c r="C2437" s="546" t="s">
        <v>3223</v>
      </c>
      <c r="D2437" s="360">
        <v>0.4</v>
      </c>
      <c r="E2437" s="393"/>
      <c r="F2437" s="523"/>
      <c r="G2437" s="393"/>
      <c r="H2437" s="573"/>
      <c r="I2437" s="394"/>
      <c r="J2437" s="394"/>
      <c r="K2437" s="394"/>
      <c r="L2437" s="394"/>
      <c r="M2437" s="394"/>
      <c r="N2437" s="394"/>
      <c r="O2437" s="394"/>
      <c r="P2437" s="394"/>
      <c r="Q2437" s="394"/>
      <c r="R2437" s="381"/>
      <c r="S2437" s="408"/>
      <c r="T2437" s="385"/>
      <c r="U2437" s="475"/>
      <c r="V2437" s="395"/>
      <c r="W2437" s="395"/>
      <c r="X2437" s="393"/>
      <c r="Y2437" s="523">
        <v>1</v>
      </c>
      <c r="Z2437" s="497"/>
      <c r="AA2437" s="573">
        <v>18.97964</v>
      </c>
      <c r="AB2437" s="394">
        <v>16.175129999999999</v>
      </c>
      <c r="AC2437" s="394">
        <v>14.415900000000001</v>
      </c>
      <c r="AD2437" s="394"/>
      <c r="AE2437" s="394"/>
      <c r="AF2437" s="394">
        <v>0</v>
      </c>
      <c r="AG2437" s="394">
        <v>0</v>
      </c>
      <c r="AH2437" s="394">
        <v>0.65381</v>
      </c>
      <c r="AI2437" s="394">
        <v>14.415900000000001</v>
      </c>
      <c r="AJ2437" s="394"/>
      <c r="AK2437" s="381" t="s">
        <v>167</v>
      </c>
      <c r="AL2437" s="408" t="s">
        <v>175</v>
      </c>
      <c r="AM2437" s="385"/>
      <c r="AN2437" s="475">
        <v>1226</v>
      </c>
      <c r="AO2437" s="395"/>
      <c r="AP2437" s="395">
        <f t="shared" si="1047"/>
        <v>18.97964</v>
      </c>
      <c r="AQ2437" s="393"/>
      <c r="AR2437" s="523"/>
      <c r="AS2437" s="497"/>
      <c r="AT2437" s="573"/>
      <c r="AU2437" s="394"/>
      <c r="AV2437" s="394"/>
      <c r="AW2437" s="394"/>
      <c r="AX2437" s="394"/>
      <c r="AY2437" s="394"/>
      <c r="AZ2437" s="394"/>
      <c r="BA2437" s="394"/>
      <c r="BB2437" s="394"/>
      <c r="BC2437" s="394"/>
      <c r="BD2437" s="381"/>
      <c r="BE2437" s="408"/>
      <c r="BF2437" s="385"/>
      <c r="BG2437" s="475"/>
      <c r="BH2437" s="395"/>
      <c r="BI2437" s="395" t="e">
        <f t="shared" si="1046"/>
        <v>#DIV/0!</v>
      </c>
    </row>
    <row r="2438" spans="1:61" s="358" customFormat="1" ht="19.2" x14ac:dyDescent="0.3">
      <c r="A2438" s="359" t="s">
        <v>2079</v>
      </c>
      <c r="B2438" s="572" t="s">
        <v>4097</v>
      </c>
      <c r="C2438" s="546" t="s">
        <v>3224</v>
      </c>
      <c r="D2438" s="360">
        <v>0.4</v>
      </c>
      <c r="E2438" s="393"/>
      <c r="F2438" s="523"/>
      <c r="G2438" s="393"/>
      <c r="H2438" s="573"/>
      <c r="I2438" s="394"/>
      <c r="J2438" s="394"/>
      <c r="K2438" s="394"/>
      <c r="L2438" s="394"/>
      <c r="M2438" s="394"/>
      <c r="N2438" s="394"/>
      <c r="O2438" s="394"/>
      <c r="P2438" s="394"/>
      <c r="Q2438" s="394"/>
      <c r="R2438" s="381"/>
      <c r="S2438" s="408"/>
      <c r="T2438" s="385"/>
      <c r="U2438" s="475"/>
      <c r="V2438" s="395"/>
      <c r="W2438" s="395"/>
      <c r="X2438" s="393"/>
      <c r="Y2438" s="523">
        <v>1</v>
      </c>
      <c r="Z2438" s="497"/>
      <c r="AA2438" s="573">
        <v>18.979610000000001</v>
      </c>
      <c r="AB2438" s="394">
        <v>16.1751</v>
      </c>
      <c r="AC2438" s="394">
        <v>14.415900000000001</v>
      </c>
      <c r="AD2438" s="394"/>
      <c r="AE2438" s="394"/>
      <c r="AF2438" s="394">
        <v>0</v>
      </c>
      <c r="AG2438" s="394">
        <v>0</v>
      </c>
      <c r="AH2438" s="394">
        <v>0.65381</v>
      </c>
      <c r="AI2438" s="394">
        <v>14.415900000000001</v>
      </c>
      <c r="AJ2438" s="394"/>
      <c r="AK2438" s="381" t="s">
        <v>167</v>
      </c>
      <c r="AL2438" s="408" t="s">
        <v>175</v>
      </c>
      <c r="AM2438" s="385"/>
      <c r="AN2438" s="475">
        <v>1227</v>
      </c>
      <c r="AO2438" s="395"/>
      <c r="AP2438" s="395">
        <f t="shared" si="1047"/>
        <v>18.979610000000001</v>
      </c>
      <c r="AQ2438" s="393"/>
      <c r="AR2438" s="523"/>
      <c r="AS2438" s="497"/>
      <c r="AT2438" s="573"/>
      <c r="AU2438" s="394"/>
      <c r="AV2438" s="394"/>
      <c r="AW2438" s="394"/>
      <c r="AX2438" s="394"/>
      <c r="AY2438" s="394"/>
      <c r="AZ2438" s="394"/>
      <c r="BA2438" s="394"/>
      <c r="BB2438" s="394"/>
      <c r="BC2438" s="394"/>
      <c r="BD2438" s="381"/>
      <c r="BE2438" s="408"/>
      <c r="BF2438" s="385"/>
      <c r="BG2438" s="475"/>
      <c r="BH2438" s="395"/>
      <c r="BI2438" s="395" t="e">
        <f t="shared" si="1046"/>
        <v>#DIV/0!</v>
      </c>
    </row>
    <row r="2439" spans="1:61" s="358" customFormat="1" ht="19.2" x14ac:dyDescent="0.3">
      <c r="A2439" s="359" t="s">
        <v>2080</v>
      </c>
      <c r="B2439" s="572" t="s">
        <v>4098</v>
      </c>
      <c r="C2439" s="546" t="s">
        <v>3225</v>
      </c>
      <c r="D2439" s="360">
        <v>0.4</v>
      </c>
      <c r="E2439" s="393"/>
      <c r="F2439" s="523"/>
      <c r="G2439" s="393"/>
      <c r="H2439" s="573"/>
      <c r="I2439" s="394"/>
      <c r="J2439" s="394"/>
      <c r="K2439" s="394"/>
      <c r="L2439" s="394"/>
      <c r="M2439" s="394"/>
      <c r="N2439" s="394"/>
      <c r="O2439" s="394"/>
      <c r="P2439" s="394"/>
      <c r="Q2439" s="394"/>
      <c r="R2439" s="381"/>
      <c r="S2439" s="408"/>
      <c r="T2439" s="385"/>
      <c r="U2439" s="475"/>
      <c r="V2439" s="395"/>
      <c r="W2439" s="395"/>
      <c r="X2439" s="393"/>
      <c r="Y2439" s="523">
        <v>1</v>
      </c>
      <c r="Z2439" s="497"/>
      <c r="AA2439" s="573">
        <v>18.97963</v>
      </c>
      <c r="AB2439" s="394">
        <v>16.17512</v>
      </c>
      <c r="AC2439" s="394">
        <v>14.415900000000001</v>
      </c>
      <c r="AD2439" s="394"/>
      <c r="AE2439" s="394"/>
      <c r="AF2439" s="394">
        <v>0</v>
      </c>
      <c r="AG2439" s="394">
        <v>0</v>
      </c>
      <c r="AH2439" s="394">
        <v>0.65381</v>
      </c>
      <c r="AI2439" s="394">
        <v>14.415900000000001</v>
      </c>
      <c r="AJ2439" s="394"/>
      <c r="AK2439" s="381" t="s">
        <v>167</v>
      </c>
      <c r="AL2439" s="408" t="s">
        <v>175</v>
      </c>
      <c r="AM2439" s="385"/>
      <c r="AN2439" s="475">
        <v>1228</v>
      </c>
      <c r="AO2439" s="395"/>
      <c r="AP2439" s="395">
        <f t="shared" si="1047"/>
        <v>18.97963</v>
      </c>
      <c r="AQ2439" s="393"/>
      <c r="AR2439" s="523"/>
      <c r="AS2439" s="497"/>
      <c r="AT2439" s="573"/>
      <c r="AU2439" s="394"/>
      <c r="AV2439" s="394"/>
      <c r="AW2439" s="394"/>
      <c r="AX2439" s="394"/>
      <c r="AY2439" s="394"/>
      <c r="AZ2439" s="394"/>
      <c r="BA2439" s="394"/>
      <c r="BB2439" s="394"/>
      <c r="BC2439" s="394"/>
      <c r="BD2439" s="381"/>
      <c r="BE2439" s="408"/>
      <c r="BF2439" s="385"/>
      <c r="BG2439" s="475"/>
      <c r="BH2439" s="395"/>
      <c r="BI2439" s="395" t="e">
        <f t="shared" si="1046"/>
        <v>#DIV/0!</v>
      </c>
    </row>
    <row r="2440" spans="1:61" s="358" customFormat="1" ht="19.2" x14ac:dyDescent="0.3">
      <c r="A2440" s="359" t="s">
        <v>2081</v>
      </c>
      <c r="B2440" s="572" t="s">
        <v>4099</v>
      </c>
      <c r="C2440" s="546" t="s">
        <v>3226</v>
      </c>
      <c r="D2440" s="360">
        <v>0.4</v>
      </c>
      <c r="E2440" s="393"/>
      <c r="F2440" s="523"/>
      <c r="G2440" s="393"/>
      <c r="H2440" s="573"/>
      <c r="I2440" s="394"/>
      <c r="J2440" s="394"/>
      <c r="K2440" s="394"/>
      <c r="L2440" s="394"/>
      <c r="M2440" s="394"/>
      <c r="N2440" s="394"/>
      <c r="O2440" s="394"/>
      <c r="P2440" s="394"/>
      <c r="Q2440" s="394"/>
      <c r="R2440" s="381"/>
      <c r="S2440" s="408"/>
      <c r="T2440" s="385"/>
      <c r="U2440" s="475"/>
      <c r="V2440" s="395"/>
      <c r="W2440" s="395"/>
      <c r="X2440" s="393"/>
      <c r="Y2440" s="523">
        <v>1</v>
      </c>
      <c r="Z2440" s="497"/>
      <c r="AA2440" s="573">
        <v>18.97964</v>
      </c>
      <c r="AB2440" s="394">
        <v>16.175129999999999</v>
      </c>
      <c r="AC2440" s="394">
        <v>14.415900000000001</v>
      </c>
      <c r="AD2440" s="394"/>
      <c r="AE2440" s="394"/>
      <c r="AF2440" s="394">
        <v>0</v>
      </c>
      <c r="AG2440" s="394">
        <v>0</v>
      </c>
      <c r="AH2440" s="394">
        <v>0.65381</v>
      </c>
      <c r="AI2440" s="394">
        <v>14.415900000000001</v>
      </c>
      <c r="AJ2440" s="394"/>
      <c r="AK2440" s="381" t="s">
        <v>167</v>
      </c>
      <c r="AL2440" s="408" t="s">
        <v>175</v>
      </c>
      <c r="AM2440" s="385"/>
      <c r="AN2440" s="475">
        <v>1229</v>
      </c>
      <c r="AO2440" s="395"/>
      <c r="AP2440" s="395">
        <f t="shared" si="1047"/>
        <v>18.97964</v>
      </c>
      <c r="AQ2440" s="393"/>
      <c r="AR2440" s="523"/>
      <c r="AS2440" s="497"/>
      <c r="AT2440" s="573"/>
      <c r="AU2440" s="394"/>
      <c r="AV2440" s="394"/>
      <c r="AW2440" s="394"/>
      <c r="AX2440" s="394"/>
      <c r="AY2440" s="394"/>
      <c r="AZ2440" s="394"/>
      <c r="BA2440" s="394"/>
      <c r="BB2440" s="394"/>
      <c r="BC2440" s="394"/>
      <c r="BD2440" s="381"/>
      <c r="BE2440" s="408"/>
      <c r="BF2440" s="385"/>
      <c r="BG2440" s="475"/>
      <c r="BH2440" s="395"/>
      <c r="BI2440" s="395" t="e">
        <f t="shared" si="1046"/>
        <v>#DIV/0!</v>
      </c>
    </row>
    <row r="2441" spans="1:61" s="358" customFormat="1" ht="19.2" x14ac:dyDescent="0.3">
      <c r="A2441" s="359" t="s">
        <v>2082</v>
      </c>
      <c r="B2441" s="572" t="s">
        <v>4100</v>
      </c>
      <c r="C2441" s="546" t="s">
        <v>3227</v>
      </c>
      <c r="D2441" s="360">
        <v>0.4</v>
      </c>
      <c r="E2441" s="393"/>
      <c r="F2441" s="523"/>
      <c r="G2441" s="393"/>
      <c r="H2441" s="573"/>
      <c r="I2441" s="394"/>
      <c r="J2441" s="394"/>
      <c r="K2441" s="394"/>
      <c r="L2441" s="394"/>
      <c r="M2441" s="394"/>
      <c r="N2441" s="394"/>
      <c r="O2441" s="394"/>
      <c r="P2441" s="394"/>
      <c r="Q2441" s="394"/>
      <c r="R2441" s="381"/>
      <c r="S2441" s="408"/>
      <c r="T2441" s="385"/>
      <c r="U2441" s="475"/>
      <c r="V2441" s="395"/>
      <c r="W2441" s="395"/>
      <c r="X2441" s="393"/>
      <c r="Y2441" s="523">
        <v>1</v>
      </c>
      <c r="Z2441" s="497"/>
      <c r="AA2441" s="573">
        <v>18.979600000000001</v>
      </c>
      <c r="AB2441" s="394">
        <v>16.175090000000001</v>
      </c>
      <c r="AC2441" s="394">
        <v>14.415900000000001</v>
      </c>
      <c r="AD2441" s="394"/>
      <c r="AE2441" s="394"/>
      <c r="AF2441" s="394">
        <v>0</v>
      </c>
      <c r="AG2441" s="394">
        <v>0</v>
      </c>
      <c r="AH2441" s="394">
        <v>0.65381</v>
      </c>
      <c r="AI2441" s="394">
        <v>14.415900000000001</v>
      </c>
      <c r="AJ2441" s="394"/>
      <c r="AK2441" s="381" t="s">
        <v>167</v>
      </c>
      <c r="AL2441" s="408" t="s">
        <v>175</v>
      </c>
      <c r="AM2441" s="385"/>
      <c r="AN2441" s="475">
        <v>1230</v>
      </c>
      <c r="AO2441" s="395"/>
      <c r="AP2441" s="395">
        <f t="shared" si="1047"/>
        <v>18.979600000000001</v>
      </c>
      <c r="AQ2441" s="393"/>
      <c r="AR2441" s="523"/>
      <c r="AS2441" s="497"/>
      <c r="AT2441" s="573"/>
      <c r="AU2441" s="394"/>
      <c r="AV2441" s="394"/>
      <c r="AW2441" s="394"/>
      <c r="AX2441" s="394"/>
      <c r="AY2441" s="394"/>
      <c r="AZ2441" s="394"/>
      <c r="BA2441" s="394"/>
      <c r="BB2441" s="394"/>
      <c r="BC2441" s="394"/>
      <c r="BD2441" s="381"/>
      <c r="BE2441" s="408"/>
      <c r="BF2441" s="385"/>
      <c r="BG2441" s="475"/>
      <c r="BH2441" s="395"/>
      <c r="BI2441" s="395" t="e">
        <f t="shared" si="1046"/>
        <v>#DIV/0!</v>
      </c>
    </row>
    <row r="2442" spans="1:61" s="358" customFormat="1" ht="19.2" x14ac:dyDescent="0.3">
      <c r="A2442" s="359" t="s">
        <v>2083</v>
      </c>
      <c r="B2442" s="572" t="s">
        <v>4101</v>
      </c>
      <c r="C2442" s="546" t="s">
        <v>2425</v>
      </c>
      <c r="D2442" s="360">
        <v>0.4</v>
      </c>
      <c r="E2442" s="393"/>
      <c r="F2442" s="523"/>
      <c r="G2442" s="393"/>
      <c r="H2442" s="573"/>
      <c r="I2442" s="394"/>
      <c r="J2442" s="394"/>
      <c r="K2442" s="394"/>
      <c r="L2442" s="394"/>
      <c r="M2442" s="394"/>
      <c r="N2442" s="394"/>
      <c r="O2442" s="394"/>
      <c r="P2442" s="394"/>
      <c r="Q2442" s="394"/>
      <c r="R2442" s="381"/>
      <c r="S2442" s="408"/>
      <c r="T2442" s="385"/>
      <c r="U2442" s="475"/>
      <c r="V2442" s="395"/>
      <c r="W2442" s="395"/>
      <c r="X2442" s="393"/>
      <c r="Y2442" s="523">
        <v>1</v>
      </c>
      <c r="Z2442" s="497"/>
      <c r="AA2442" s="573">
        <v>18.979610000000001</v>
      </c>
      <c r="AB2442" s="394">
        <v>16.1751</v>
      </c>
      <c r="AC2442" s="394">
        <v>14.415900000000001</v>
      </c>
      <c r="AD2442" s="394"/>
      <c r="AE2442" s="394"/>
      <c r="AF2442" s="394">
        <v>0</v>
      </c>
      <c r="AG2442" s="394">
        <v>0</v>
      </c>
      <c r="AH2442" s="394">
        <v>0.65381</v>
      </c>
      <c r="AI2442" s="394">
        <v>14.415900000000001</v>
      </c>
      <c r="AJ2442" s="394"/>
      <c r="AK2442" s="381" t="s">
        <v>167</v>
      </c>
      <c r="AL2442" s="408" t="s">
        <v>175</v>
      </c>
      <c r="AM2442" s="385"/>
      <c r="AN2442" s="475">
        <v>1231</v>
      </c>
      <c r="AO2442" s="395"/>
      <c r="AP2442" s="395">
        <f t="shared" si="1047"/>
        <v>18.979610000000001</v>
      </c>
      <c r="AQ2442" s="393"/>
      <c r="AR2442" s="523"/>
      <c r="AS2442" s="497"/>
      <c r="AT2442" s="573"/>
      <c r="AU2442" s="394"/>
      <c r="AV2442" s="394"/>
      <c r="AW2442" s="394"/>
      <c r="AX2442" s="394"/>
      <c r="AY2442" s="394"/>
      <c r="AZ2442" s="394"/>
      <c r="BA2442" s="394"/>
      <c r="BB2442" s="394"/>
      <c r="BC2442" s="394"/>
      <c r="BD2442" s="381"/>
      <c r="BE2442" s="408"/>
      <c r="BF2442" s="385"/>
      <c r="BG2442" s="475"/>
      <c r="BH2442" s="395"/>
      <c r="BI2442" s="395" t="e">
        <f t="shared" si="1046"/>
        <v>#DIV/0!</v>
      </c>
    </row>
    <row r="2443" spans="1:61" s="358" customFormat="1" ht="19.2" x14ac:dyDescent="0.3">
      <c r="A2443" s="359" t="s">
        <v>2100</v>
      </c>
      <c r="B2443" s="572" t="s">
        <v>4102</v>
      </c>
      <c r="C2443" s="546" t="s">
        <v>3228</v>
      </c>
      <c r="D2443" s="360">
        <v>0.4</v>
      </c>
      <c r="E2443" s="393"/>
      <c r="F2443" s="523"/>
      <c r="G2443" s="393"/>
      <c r="H2443" s="573"/>
      <c r="I2443" s="394"/>
      <c r="J2443" s="394"/>
      <c r="K2443" s="394"/>
      <c r="L2443" s="394"/>
      <c r="M2443" s="394"/>
      <c r="N2443" s="394"/>
      <c r="O2443" s="394"/>
      <c r="P2443" s="394"/>
      <c r="Q2443" s="394"/>
      <c r="R2443" s="381"/>
      <c r="S2443" s="408"/>
      <c r="T2443" s="385"/>
      <c r="U2443" s="475"/>
      <c r="V2443" s="395"/>
      <c r="W2443" s="395"/>
      <c r="X2443" s="393"/>
      <c r="Y2443" s="523">
        <v>1</v>
      </c>
      <c r="Z2443" s="497"/>
      <c r="AA2443" s="573">
        <v>18.979620000000001</v>
      </c>
      <c r="AB2443" s="394">
        <v>16.17511</v>
      </c>
      <c r="AC2443" s="394">
        <v>14.415900000000001</v>
      </c>
      <c r="AD2443" s="394"/>
      <c r="AE2443" s="394"/>
      <c r="AF2443" s="394">
        <v>0</v>
      </c>
      <c r="AG2443" s="394">
        <v>0</v>
      </c>
      <c r="AH2443" s="394">
        <v>0.65381</v>
      </c>
      <c r="AI2443" s="394">
        <v>14.415900000000001</v>
      </c>
      <c r="AJ2443" s="394"/>
      <c r="AK2443" s="381" t="s">
        <v>167</v>
      </c>
      <c r="AL2443" s="408" t="s">
        <v>175</v>
      </c>
      <c r="AM2443" s="385"/>
      <c r="AN2443" s="475">
        <v>1232</v>
      </c>
      <c r="AO2443" s="395"/>
      <c r="AP2443" s="395">
        <f t="shared" si="1047"/>
        <v>18.979620000000001</v>
      </c>
      <c r="AQ2443" s="393"/>
      <c r="AR2443" s="523"/>
      <c r="AS2443" s="497"/>
      <c r="AT2443" s="573"/>
      <c r="AU2443" s="394"/>
      <c r="AV2443" s="394"/>
      <c r="AW2443" s="394"/>
      <c r="AX2443" s="394"/>
      <c r="AY2443" s="394"/>
      <c r="AZ2443" s="394"/>
      <c r="BA2443" s="394"/>
      <c r="BB2443" s="394"/>
      <c r="BC2443" s="394"/>
      <c r="BD2443" s="381"/>
      <c r="BE2443" s="408"/>
      <c r="BF2443" s="385"/>
      <c r="BG2443" s="475"/>
      <c r="BH2443" s="395"/>
      <c r="BI2443" s="395" t="e">
        <f t="shared" si="1046"/>
        <v>#DIV/0!</v>
      </c>
    </row>
    <row r="2444" spans="1:61" s="358" customFormat="1" ht="19.2" x14ac:dyDescent="0.3">
      <c r="A2444" s="359" t="s">
        <v>2085</v>
      </c>
      <c r="B2444" s="572" t="s">
        <v>4103</v>
      </c>
      <c r="C2444" s="546" t="s">
        <v>3229</v>
      </c>
      <c r="D2444" s="360">
        <v>0.4</v>
      </c>
      <c r="E2444" s="393"/>
      <c r="F2444" s="523"/>
      <c r="G2444" s="393"/>
      <c r="H2444" s="573"/>
      <c r="I2444" s="394"/>
      <c r="J2444" s="394"/>
      <c r="K2444" s="394"/>
      <c r="L2444" s="394"/>
      <c r="M2444" s="394"/>
      <c r="N2444" s="394"/>
      <c r="O2444" s="394"/>
      <c r="P2444" s="394"/>
      <c r="Q2444" s="394"/>
      <c r="R2444" s="381"/>
      <c r="S2444" s="408"/>
      <c r="T2444" s="385"/>
      <c r="U2444" s="475"/>
      <c r="V2444" s="395"/>
      <c r="W2444" s="395"/>
      <c r="X2444" s="393"/>
      <c r="Y2444" s="523">
        <v>1</v>
      </c>
      <c r="Z2444" s="497"/>
      <c r="AA2444" s="573">
        <v>18.979610000000001</v>
      </c>
      <c r="AB2444" s="394">
        <v>16.1751</v>
      </c>
      <c r="AC2444" s="394">
        <v>14.415900000000001</v>
      </c>
      <c r="AD2444" s="394"/>
      <c r="AE2444" s="394"/>
      <c r="AF2444" s="394">
        <v>0</v>
      </c>
      <c r="AG2444" s="394">
        <v>0</v>
      </c>
      <c r="AH2444" s="394">
        <v>0.65381</v>
      </c>
      <c r="AI2444" s="394">
        <v>14.415900000000001</v>
      </c>
      <c r="AJ2444" s="394"/>
      <c r="AK2444" s="381" t="s">
        <v>167</v>
      </c>
      <c r="AL2444" s="408" t="s">
        <v>175</v>
      </c>
      <c r="AM2444" s="385"/>
      <c r="AN2444" s="475">
        <v>1233</v>
      </c>
      <c r="AO2444" s="395"/>
      <c r="AP2444" s="395">
        <f t="shared" si="1047"/>
        <v>18.979610000000001</v>
      </c>
      <c r="AQ2444" s="393"/>
      <c r="AR2444" s="523"/>
      <c r="AS2444" s="497"/>
      <c r="AT2444" s="573"/>
      <c r="AU2444" s="394"/>
      <c r="AV2444" s="394"/>
      <c r="AW2444" s="394"/>
      <c r="AX2444" s="394"/>
      <c r="AY2444" s="394"/>
      <c r="AZ2444" s="394"/>
      <c r="BA2444" s="394"/>
      <c r="BB2444" s="394"/>
      <c r="BC2444" s="394"/>
      <c r="BD2444" s="381"/>
      <c r="BE2444" s="408"/>
      <c r="BF2444" s="385"/>
      <c r="BG2444" s="475"/>
      <c r="BH2444" s="395"/>
      <c r="BI2444" s="395" t="e">
        <f t="shared" si="1046"/>
        <v>#DIV/0!</v>
      </c>
    </row>
    <row r="2445" spans="1:61" s="358" customFormat="1" ht="19.2" x14ac:dyDescent="0.3">
      <c r="A2445" s="359" t="s">
        <v>2086</v>
      </c>
      <c r="B2445" s="572" t="s">
        <v>4104</v>
      </c>
      <c r="C2445" s="546" t="s">
        <v>3230</v>
      </c>
      <c r="D2445" s="360">
        <v>0.4</v>
      </c>
      <c r="E2445" s="393"/>
      <c r="F2445" s="523"/>
      <c r="G2445" s="393"/>
      <c r="H2445" s="573"/>
      <c r="I2445" s="394"/>
      <c r="J2445" s="394"/>
      <c r="K2445" s="394"/>
      <c r="L2445" s="394"/>
      <c r="M2445" s="394"/>
      <c r="N2445" s="394"/>
      <c r="O2445" s="394"/>
      <c r="P2445" s="394"/>
      <c r="Q2445" s="394"/>
      <c r="R2445" s="381"/>
      <c r="S2445" s="408"/>
      <c r="T2445" s="385"/>
      <c r="U2445" s="475"/>
      <c r="V2445" s="395"/>
      <c r="W2445" s="395"/>
      <c r="X2445" s="393"/>
      <c r="Y2445" s="523">
        <v>1</v>
      </c>
      <c r="Z2445" s="497"/>
      <c r="AA2445" s="573">
        <v>18.97964</v>
      </c>
      <c r="AB2445" s="394">
        <v>16.175129999999999</v>
      </c>
      <c r="AC2445" s="394">
        <v>14.415900000000001</v>
      </c>
      <c r="AD2445" s="394"/>
      <c r="AE2445" s="394"/>
      <c r="AF2445" s="394">
        <v>0</v>
      </c>
      <c r="AG2445" s="394">
        <v>0</v>
      </c>
      <c r="AH2445" s="394">
        <v>0.65381</v>
      </c>
      <c r="AI2445" s="394">
        <v>14.415900000000001</v>
      </c>
      <c r="AJ2445" s="394"/>
      <c r="AK2445" s="381" t="s">
        <v>167</v>
      </c>
      <c r="AL2445" s="408" t="s">
        <v>175</v>
      </c>
      <c r="AM2445" s="385"/>
      <c r="AN2445" s="475">
        <v>1234</v>
      </c>
      <c r="AO2445" s="395"/>
      <c r="AP2445" s="395">
        <f t="shared" si="1047"/>
        <v>18.97964</v>
      </c>
      <c r="AQ2445" s="393"/>
      <c r="AR2445" s="523"/>
      <c r="AS2445" s="497"/>
      <c r="AT2445" s="573"/>
      <c r="AU2445" s="394"/>
      <c r="AV2445" s="394"/>
      <c r="AW2445" s="394"/>
      <c r="AX2445" s="394"/>
      <c r="AY2445" s="394"/>
      <c r="AZ2445" s="394"/>
      <c r="BA2445" s="394"/>
      <c r="BB2445" s="394"/>
      <c r="BC2445" s="394"/>
      <c r="BD2445" s="381"/>
      <c r="BE2445" s="408"/>
      <c r="BF2445" s="385"/>
      <c r="BG2445" s="475"/>
      <c r="BH2445" s="395"/>
      <c r="BI2445" s="395" t="e">
        <f t="shared" si="1046"/>
        <v>#DIV/0!</v>
      </c>
    </row>
    <row r="2446" spans="1:61" s="358" customFormat="1" ht="19.2" x14ac:dyDescent="0.3">
      <c r="A2446" s="359" t="s">
        <v>2087</v>
      </c>
      <c r="B2446" s="572" t="s">
        <v>4105</v>
      </c>
      <c r="C2446" s="546" t="s">
        <v>3231</v>
      </c>
      <c r="D2446" s="360">
        <v>0.4</v>
      </c>
      <c r="E2446" s="393"/>
      <c r="F2446" s="523"/>
      <c r="G2446" s="393"/>
      <c r="H2446" s="573"/>
      <c r="I2446" s="394"/>
      <c r="J2446" s="394"/>
      <c r="K2446" s="394"/>
      <c r="L2446" s="394"/>
      <c r="M2446" s="394"/>
      <c r="N2446" s="394"/>
      <c r="O2446" s="394"/>
      <c r="P2446" s="394"/>
      <c r="Q2446" s="394"/>
      <c r="R2446" s="381"/>
      <c r="S2446" s="408"/>
      <c r="T2446" s="385"/>
      <c r="U2446" s="475"/>
      <c r="V2446" s="395"/>
      <c r="W2446" s="395"/>
      <c r="X2446" s="393"/>
      <c r="Y2446" s="523">
        <v>1</v>
      </c>
      <c r="Z2446" s="497"/>
      <c r="AA2446" s="573">
        <v>18.97964</v>
      </c>
      <c r="AB2446" s="394">
        <v>16.175129999999999</v>
      </c>
      <c r="AC2446" s="394">
        <v>14.415900000000001</v>
      </c>
      <c r="AD2446" s="394"/>
      <c r="AE2446" s="394"/>
      <c r="AF2446" s="394">
        <v>0</v>
      </c>
      <c r="AG2446" s="394">
        <v>0</v>
      </c>
      <c r="AH2446" s="394">
        <v>0.65381</v>
      </c>
      <c r="AI2446" s="394">
        <v>14.415900000000001</v>
      </c>
      <c r="AJ2446" s="394"/>
      <c r="AK2446" s="381" t="s">
        <v>167</v>
      </c>
      <c r="AL2446" s="408" t="s">
        <v>175</v>
      </c>
      <c r="AM2446" s="385"/>
      <c r="AN2446" s="475">
        <v>1235</v>
      </c>
      <c r="AO2446" s="395"/>
      <c r="AP2446" s="395">
        <f t="shared" si="1047"/>
        <v>18.97964</v>
      </c>
      <c r="AQ2446" s="393"/>
      <c r="AR2446" s="523"/>
      <c r="AS2446" s="497"/>
      <c r="AT2446" s="573"/>
      <c r="AU2446" s="394"/>
      <c r="AV2446" s="394"/>
      <c r="AW2446" s="394"/>
      <c r="AX2446" s="394"/>
      <c r="AY2446" s="394"/>
      <c r="AZ2446" s="394"/>
      <c r="BA2446" s="394"/>
      <c r="BB2446" s="394"/>
      <c r="BC2446" s="394"/>
      <c r="BD2446" s="381"/>
      <c r="BE2446" s="408"/>
      <c r="BF2446" s="385"/>
      <c r="BG2446" s="475"/>
      <c r="BH2446" s="395"/>
      <c r="BI2446" s="395" t="e">
        <f t="shared" si="1046"/>
        <v>#DIV/0!</v>
      </c>
    </row>
    <row r="2447" spans="1:61" s="358" customFormat="1" ht="19.2" x14ac:dyDescent="0.3">
      <c r="A2447" s="359" t="s">
        <v>2104</v>
      </c>
      <c r="B2447" s="572" t="s">
        <v>4106</v>
      </c>
      <c r="C2447" s="546" t="s">
        <v>3232</v>
      </c>
      <c r="D2447" s="360">
        <v>0.4</v>
      </c>
      <c r="E2447" s="393"/>
      <c r="F2447" s="523"/>
      <c r="G2447" s="393"/>
      <c r="H2447" s="573"/>
      <c r="I2447" s="394"/>
      <c r="J2447" s="394"/>
      <c r="K2447" s="394"/>
      <c r="L2447" s="394"/>
      <c r="M2447" s="394"/>
      <c r="N2447" s="394"/>
      <c r="O2447" s="394"/>
      <c r="P2447" s="394"/>
      <c r="Q2447" s="394"/>
      <c r="R2447" s="381"/>
      <c r="S2447" s="408"/>
      <c r="T2447" s="385"/>
      <c r="U2447" s="475"/>
      <c r="V2447" s="395"/>
      <c r="W2447" s="395"/>
      <c r="X2447" s="393"/>
      <c r="Y2447" s="523">
        <v>1</v>
      </c>
      <c r="Z2447" s="497"/>
      <c r="AA2447" s="573">
        <v>18.979620000000001</v>
      </c>
      <c r="AB2447" s="394">
        <v>16.17511</v>
      </c>
      <c r="AC2447" s="394">
        <v>14.415900000000001</v>
      </c>
      <c r="AD2447" s="394"/>
      <c r="AE2447" s="394"/>
      <c r="AF2447" s="394">
        <v>0</v>
      </c>
      <c r="AG2447" s="394">
        <v>0</v>
      </c>
      <c r="AH2447" s="394">
        <v>0.65381</v>
      </c>
      <c r="AI2447" s="394">
        <v>14.415900000000001</v>
      </c>
      <c r="AJ2447" s="394"/>
      <c r="AK2447" s="381" t="s">
        <v>167</v>
      </c>
      <c r="AL2447" s="408" t="s">
        <v>175</v>
      </c>
      <c r="AM2447" s="385"/>
      <c r="AN2447" s="475">
        <v>1236</v>
      </c>
      <c r="AO2447" s="395"/>
      <c r="AP2447" s="395">
        <f t="shared" si="1047"/>
        <v>18.979620000000001</v>
      </c>
      <c r="AQ2447" s="393"/>
      <c r="AR2447" s="523"/>
      <c r="AS2447" s="497"/>
      <c r="AT2447" s="573"/>
      <c r="AU2447" s="394"/>
      <c r="AV2447" s="394"/>
      <c r="AW2447" s="394"/>
      <c r="AX2447" s="394"/>
      <c r="AY2447" s="394"/>
      <c r="AZ2447" s="394"/>
      <c r="BA2447" s="394"/>
      <c r="BB2447" s="394"/>
      <c r="BC2447" s="394"/>
      <c r="BD2447" s="381"/>
      <c r="BE2447" s="408"/>
      <c r="BF2447" s="385"/>
      <c r="BG2447" s="475"/>
      <c r="BH2447" s="395"/>
      <c r="BI2447" s="395" t="e">
        <f t="shared" si="1046"/>
        <v>#DIV/0!</v>
      </c>
    </row>
    <row r="2448" spans="1:61" s="358" customFormat="1" ht="19.2" x14ac:dyDescent="0.3">
      <c r="A2448" s="359" t="s">
        <v>2089</v>
      </c>
      <c r="B2448" s="572" t="s">
        <v>4107</v>
      </c>
      <c r="C2448" s="546" t="s">
        <v>3233</v>
      </c>
      <c r="D2448" s="360">
        <v>0.4</v>
      </c>
      <c r="E2448" s="393"/>
      <c r="F2448" s="523"/>
      <c r="G2448" s="393"/>
      <c r="H2448" s="573"/>
      <c r="I2448" s="394"/>
      <c r="J2448" s="394"/>
      <c r="K2448" s="394"/>
      <c r="L2448" s="394"/>
      <c r="M2448" s="394"/>
      <c r="N2448" s="394"/>
      <c r="O2448" s="394"/>
      <c r="P2448" s="394"/>
      <c r="Q2448" s="394"/>
      <c r="R2448" s="381"/>
      <c r="S2448" s="408"/>
      <c r="T2448" s="385"/>
      <c r="U2448" s="475"/>
      <c r="V2448" s="395"/>
      <c r="W2448" s="395"/>
      <c r="X2448" s="393"/>
      <c r="Y2448" s="523">
        <v>1</v>
      </c>
      <c r="Z2448" s="497"/>
      <c r="AA2448" s="573">
        <v>18.979620000000001</v>
      </c>
      <c r="AB2448" s="394">
        <v>16.17511</v>
      </c>
      <c r="AC2448" s="394">
        <v>14.415900000000001</v>
      </c>
      <c r="AD2448" s="394"/>
      <c r="AE2448" s="394"/>
      <c r="AF2448" s="394">
        <v>0</v>
      </c>
      <c r="AG2448" s="394">
        <v>0</v>
      </c>
      <c r="AH2448" s="394">
        <v>0.65381</v>
      </c>
      <c r="AI2448" s="394">
        <v>14.415900000000001</v>
      </c>
      <c r="AJ2448" s="394"/>
      <c r="AK2448" s="381" t="s">
        <v>167</v>
      </c>
      <c r="AL2448" s="408" t="s">
        <v>175</v>
      </c>
      <c r="AM2448" s="385"/>
      <c r="AN2448" s="475">
        <v>1237</v>
      </c>
      <c r="AO2448" s="395"/>
      <c r="AP2448" s="395">
        <f t="shared" si="1047"/>
        <v>18.979620000000001</v>
      </c>
      <c r="AQ2448" s="393"/>
      <c r="AR2448" s="523"/>
      <c r="AS2448" s="497"/>
      <c r="AT2448" s="573"/>
      <c r="AU2448" s="394"/>
      <c r="AV2448" s="394"/>
      <c r="AW2448" s="394"/>
      <c r="AX2448" s="394"/>
      <c r="AY2448" s="394"/>
      <c r="AZ2448" s="394"/>
      <c r="BA2448" s="394"/>
      <c r="BB2448" s="394"/>
      <c r="BC2448" s="394"/>
      <c r="BD2448" s="381"/>
      <c r="BE2448" s="408"/>
      <c r="BF2448" s="385"/>
      <c r="BG2448" s="475"/>
      <c r="BH2448" s="395"/>
      <c r="BI2448" s="395" t="e">
        <f t="shared" si="1046"/>
        <v>#DIV/0!</v>
      </c>
    </row>
    <row r="2449" spans="1:61" s="358" customFormat="1" ht="19.2" x14ac:dyDescent="0.3">
      <c r="A2449" s="359" t="s">
        <v>2090</v>
      </c>
      <c r="B2449" s="572" t="s">
        <v>4108</v>
      </c>
      <c r="C2449" s="546" t="s">
        <v>3234</v>
      </c>
      <c r="D2449" s="360">
        <v>0.4</v>
      </c>
      <c r="E2449" s="393"/>
      <c r="F2449" s="523"/>
      <c r="G2449" s="393"/>
      <c r="H2449" s="573"/>
      <c r="I2449" s="394"/>
      <c r="J2449" s="394"/>
      <c r="K2449" s="394"/>
      <c r="L2449" s="394"/>
      <c r="M2449" s="394"/>
      <c r="N2449" s="394"/>
      <c r="O2449" s="394"/>
      <c r="P2449" s="394"/>
      <c r="Q2449" s="394"/>
      <c r="R2449" s="381"/>
      <c r="S2449" s="408"/>
      <c r="T2449" s="385"/>
      <c r="U2449" s="475"/>
      <c r="V2449" s="395"/>
      <c r="W2449" s="395"/>
      <c r="X2449" s="393"/>
      <c r="Y2449" s="523">
        <v>1</v>
      </c>
      <c r="Z2449" s="497"/>
      <c r="AA2449" s="573">
        <v>18.979610000000001</v>
      </c>
      <c r="AB2449" s="394">
        <v>16.1751</v>
      </c>
      <c r="AC2449" s="394">
        <v>14.415900000000001</v>
      </c>
      <c r="AD2449" s="394"/>
      <c r="AE2449" s="394"/>
      <c r="AF2449" s="394">
        <v>0</v>
      </c>
      <c r="AG2449" s="394">
        <v>0</v>
      </c>
      <c r="AH2449" s="394">
        <v>0.65381</v>
      </c>
      <c r="AI2449" s="394">
        <v>14.415900000000001</v>
      </c>
      <c r="AJ2449" s="394"/>
      <c r="AK2449" s="381" t="s">
        <v>167</v>
      </c>
      <c r="AL2449" s="408" t="s">
        <v>175</v>
      </c>
      <c r="AM2449" s="385"/>
      <c r="AN2449" s="475">
        <v>1238</v>
      </c>
      <c r="AO2449" s="395"/>
      <c r="AP2449" s="395">
        <f t="shared" si="1047"/>
        <v>18.979610000000001</v>
      </c>
      <c r="AQ2449" s="393"/>
      <c r="AR2449" s="523"/>
      <c r="AS2449" s="497"/>
      <c r="AT2449" s="573"/>
      <c r="AU2449" s="394"/>
      <c r="AV2449" s="394"/>
      <c r="AW2449" s="394"/>
      <c r="AX2449" s="394"/>
      <c r="AY2449" s="394"/>
      <c r="AZ2449" s="394"/>
      <c r="BA2449" s="394"/>
      <c r="BB2449" s="394"/>
      <c r="BC2449" s="394"/>
      <c r="BD2449" s="381"/>
      <c r="BE2449" s="408"/>
      <c r="BF2449" s="385"/>
      <c r="BG2449" s="475"/>
      <c r="BH2449" s="395"/>
      <c r="BI2449" s="395" t="e">
        <f t="shared" si="1046"/>
        <v>#DIV/0!</v>
      </c>
    </row>
    <row r="2450" spans="1:61" s="358" customFormat="1" ht="19.2" x14ac:dyDescent="0.3">
      <c r="A2450" s="359" t="s">
        <v>2075</v>
      </c>
      <c r="B2450" s="572" t="s">
        <v>4109</v>
      </c>
      <c r="C2450" s="546" t="s">
        <v>3235</v>
      </c>
      <c r="D2450" s="360">
        <v>0.4</v>
      </c>
      <c r="E2450" s="393"/>
      <c r="F2450" s="523"/>
      <c r="G2450" s="393"/>
      <c r="H2450" s="573"/>
      <c r="I2450" s="394"/>
      <c r="J2450" s="394"/>
      <c r="K2450" s="394"/>
      <c r="L2450" s="394"/>
      <c r="M2450" s="394"/>
      <c r="N2450" s="394"/>
      <c r="O2450" s="394"/>
      <c r="P2450" s="394"/>
      <c r="Q2450" s="394"/>
      <c r="R2450" s="381"/>
      <c r="S2450" s="408"/>
      <c r="T2450" s="385"/>
      <c r="U2450" s="475"/>
      <c r="V2450" s="395"/>
      <c r="W2450" s="395"/>
      <c r="X2450" s="393"/>
      <c r="Y2450" s="523">
        <v>1</v>
      </c>
      <c r="Z2450" s="497"/>
      <c r="AA2450" s="573">
        <v>18.979600000000001</v>
      </c>
      <c r="AB2450" s="394">
        <v>16.175090000000001</v>
      </c>
      <c r="AC2450" s="394">
        <v>14.415900000000001</v>
      </c>
      <c r="AD2450" s="394"/>
      <c r="AE2450" s="394"/>
      <c r="AF2450" s="394">
        <v>0</v>
      </c>
      <c r="AG2450" s="394">
        <v>0</v>
      </c>
      <c r="AH2450" s="394">
        <v>0.65381</v>
      </c>
      <c r="AI2450" s="394">
        <v>14.415900000000001</v>
      </c>
      <c r="AJ2450" s="394"/>
      <c r="AK2450" s="381" t="s">
        <v>167</v>
      </c>
      <c r="AL2450" s="408" t="s">
        <v>175</v>
      </c>
      <c r="AM2450" s="385"/>
      <c r="AN2450" s="475">
        <v>1239</v>
      </c>
      <c r="AO2450" s="395"/>
      <c r="AP2450" s="395">
        <f t="shared" si="1047"/>
        <v>18.979600000000001</v>
      </c>
      <c r="AQ2450" s="393"/>
      <c r="AR2450" s="523"/>
      <c r="AS2450" s="497"/>
      <c r="AT2450" s="573"/>
      <c r="AU2450" s="394"/>
      <c r="AV2450" s="394"/>
      <c r="AW2450" s="394"/>
      <c r="AX2450" s="394"/>
      <c r="AY2450" s="394"/>
      <c r="AZ2450" s="394"/>
      <c r="BA2450" s="394"/>
      <c r="BB2450" s="394"/>
      <c r="BC2450" s="394"/>
      <c r="BD2450" s="381"/>
      <c r="BE2450" s="408"/>
      <c r="BF2450" s="385"/>
      <c r="BG2450" s="475"/>
      <c r="BH2450" s="395"/>
      <c r="BI2450" s="395" t="e">
        <f t="shared" si="1046"/>
        <v>#DIV/0!</v>
      </c>
    </row>
    <row r="2451" spans="1:61" s="358" customFormat="1" ht="19.2" x14ac:dyDescent="0.3">
      <c r="A2451" s="359" t="s">
        <v>2092</v>
      </c>
      <c r="B2451" s="572" t="s">
        <v>4110</v>
      </c>
      <c r="C2451" s="546" t="s">
        <v>3236</v>
      </c>
      <c r="D2451" s="360">
        <v>0.4</v>
      </c>
      <c r="E2451" s="393"/>
      <c r="F2451" s="523"/>
      <c r="G2451" s="393"/>
      <c r="H2451" s="573"/>
      <c r="I2451" s="394"/>
      <c r="J2451" s="394"/>
      <c r="K2451" s="394"/>
      <c r="L2451" s="394"/>
      <c r="M2451" s="394"/>
      <c r="N2451" s="394"/>
      <c r="O2451" s="394"/>
      <c r="P2451" s="394"/>
      <c r="Q2451" s="394"/>
      <c r="R2451" s="381"/>
      <c r="S2451" s="408"/>
      <c r="T2451" s="385"/>
      <c r="U2451" s="475"/>
      <c r="V2451" s="395"/>
      <c r="W2451" s="395"/>
      <c r="X2451" s="393"/>
      <c r="Y2451" s="523">
        <v>1</v>
      </c>
      <c r="Z2451" s="497"/>
      <c r="AA2451" s="573">
        <v>18.97964</v>
      </c>
      <c r="AB2451" s="394">
        <v>16.175129999999999</v>
      </c>
      <c r="AC2451" s="394">
        <v>14.415900000000001</v>
      </c>
      <c r="AD2451" s="394"/>
      <c r="AE2451" s="394"/>
      <c r="AF2451" s="394">
        <v>0</v>
      </c>
      <c r="AG2451" s="394">
        <v>0</v>
      </c>
      <c r="AH2451" s="394">
        <v>0.65381</v>
      </c>
      <c r="AI2451" s="394">
        <v>14.415900000000001</v>
      </c>
      <c r="AJ2451" s="394"/>
      <c r="AK2451" s="381" t="s">
        <v>167</v>
      </c>
      <c r="AL2451" s="408" t="s">
        <v>175</v>
      </c>
      <c r="AM2451" s="385"/>
      <c r="AN2451" s="475">
        <v>1240</v>
      </c>
      <c r="AO2451" s="395"/>
      <c r="AP2451" s="395">
        <f t="shared" si="1047"/>
        <v>18.97964</v>
      </c>
      <c r="AQ2451" s="393"/>
      <c r="AR2451" s="523"/>
      <c r="AS2451" s="497"/>
      <c r="AT2451" s="573"/>
      <c r="AU2451" s="394"/>
      <c r="AV2451" s="394"/>
      <c r="AW2451" s="394"/>
      <c r="AX2451" s="394"/>
      <c r="AY2451" s="394"/>
      <c r="AZ2451" s="394"/>
      <c r="BA2451" s="394"/>
      <c r="BB2451" s="394"/>
      <c r="BC2451" s="394"/>
      <c r="BD2451" s="381"/>
      <c r="BE2451" s="408"/>
      <c r="BF2451" s="385"/>
      <c r="BG2451" s="475"/>
      <c r="BH2451" s="395"/>
      <c r="BI2451" s="395" t="e">
        <f t="shared" si="1046"/>
        <v>#DIV/0!</v>
      </c>
    </row>
    <row r="2452" spans="1:61" s="358" customFormat="1" ht="19.2" x14ac:dyDescent="0.3">
      <c r="A2452" s="359" t="s">
        <v>2093</v>
      </c>
      <c r="B2452" s="572" t="s">
        <v>2408</v>
      </c>
      <c r="C2452" s="546" t="s">
        <v>2407</v>
      </c>
      <c r="D2452" s="360">
        <v>0.4</v>
      </c>
      <c r="E2452" s="393"/>
      <c r="F2452" s="523"/>
      <c r="G2452" s="393"/>
      <c r="H2452" s="573"/>
      <c r="I2452" s="394"/>
      <c r="J2452" s="394"/>
      <c r="K2452" s="394"/>
      <c r="L2452" s="394"/>
      <c r="M2452" s="394"/>
      <c r="N2452" s="394"/>
      <c r="O2452" s="394"/>
      <c r="P2452" s="394"/>
      <c r="Q2452" s="394"/>
      <c r="R2452" s="381"/>
      <c r="S2452" s="408"/>
      <c r="T2452" s="385"/>
      <c r="U2452" s="475"/>
      <c r="V2452" s="395"/>
      <c r="W2452" s="395"/>
      <c r="X2452" s="393"/>
      <c r="Y2452" s="523">
        <v>1</v>
      </c>
      <c r="Z2452" s="497"/>
      <c r="AA2452" s="573">
        <v>18.979610000000001</v>
      </c>
      <c r="AB2452" s="394">
        <v>16.1751</v>
      </c>
      <c r="AC2452" s="394">
        <v>14.415900000000001</v>
      </c>
      <c r="AD2452" s="394"/>
      <c r="AE2452" s="394"/>
      <c r="AF2452" s="394">
        <v>0</v>
      </c>
      <c r="AG2452" s="394">
        <v>0</v>
      </c>
      <c r="AH2452" s="394">
        <v>0.65381</v>
      </c>
      <c r="AI2452" s="394">
        <v>14.415900000000001</v>
      </c>
      <c r="AJ2452" s="394"/>
      <c r="AK2452" s="381" t="s">
        <v>167</v>
      </c>
      <c r="AL2452" s="408" t="s">
        <v>175</v>
      </c>
      <c r="AM2452" s="385"/>
      <c r="AN2452" s="475">
        <v>1241</v>
      </c>
      <c r="AO2452" s="395"/>
      <c r="AP2452" s="395">
        <f t="shared" si="1047"/>
        <v>18.979610000000001</v>
      </c>
      <c r="AQ2452" s="393"/>
      <c r="AR2452" s="523"/>
      <c r="AS2452" s="497"/>
      <c r="AT2452" s="573"/>
      <c r="AU2452" s="394"/>
      <c r="AV2452" s="394"/>
      <c r="AW2452" s="394"/>
      <c r="AX2452" s="394"/>
      <c r="AY2452" s="394"/>
      <c r="AZ2452" s="394"/>
      <c r="BA2452" s="394"/>
      <c r="BB2452" s="394"/>
      <c r="BC2452" s="394"/>
      <c r="BD2452" s="381"/>
      <c r="BE2452" s="408"/>
      <c r="BF2452" s="385"/>
      <c r="BG2452" s="475"/>
      <c r="BH2452" s="395"/>
      <c r="BI2452" s="395" t="e">
        <f t="shared" si="1046"/>
        <v>#DIV/0!</v>
      </c>
    </row>
    <row r="2453" spans="1:61" s="358" customFormat="1" ht="19.2" x14ac:dyDescent="0.3">
      <c r="A2453" s="359" t="s">
        <v>2094</v>
      </c>
      <c r="B2453" s="572" t="s">
        <v>4111</v>
      </c>
      <c r="C2453" s="546" t="s">
        <v>3237</v>
      </c>
      <c r="D2453" s="360">
        <v>0.4</v>
      </c>
      <c r="E2453" s="393"/>
      <c r="F2453" s="523"/>
      <c r="G2453" s="393"/>
      <c r="H2453" s="573"/>
      <c r="I2453" s="394"/>
      <c r="J2453" s="394"/>
      <c r="K2453" s="394"/>
      <c r="L2453" s="394"/>
      <c r="M2453" s="394"/>
      <c r="N2453" s="394"/>
      <c r="O2453" s="394"/>
      <c r="P2453" s="394"/>
      <c r="Q2453" s="394"/>
      <c r="R2453" s="381"/>
      <c r="S2453" s="408"/>
      <c r="T2453" s="385"/>
      <c r="U2453" s="475"/>
      <c r="V2453" s="395"/>
      <c r="W2453" s="395"/>
      <c r="X2453" s="393"/>
      <c r="Y2453" s="523">
        <v>1</v>
      </c>
      <c r="Z2453" s="497"/>
      <c r="AA2453" s="573">
        <v>18.97964</v>
      </c>
      <c r="AB2453" s="394">
        <v>16.175129999999999</v>
      </c>
      <c r="AC2453" s="394">
        <v>14.415900000000001</v>
      </c>
      <c r="AD2453" s="394"/>
      <c r="AE2453" s="394"/>
      <c r="AF2453" s="394">
        <v>0</v>
      </c>
      <c r="AG2453" s="394">
        <v>0</v>
      </c>
      <c r="AH2453" s="394">
        <v>0.65381</v>
      </c>
      <c r="AI2453" s="394">
        <v>14.415900000000001</v>
      </c>
      <c r="AJ2453" s="394"/>
      <c r="AK2453" s="381" t="s">
        <v>167</v>
      </c>
      <c r="AL2453" s="408" t="s">
        <v>175</v>
      </c>
      <c r="AM2453" s="385"/>
      <c r="AN2453" s="475">
        <v>1242</v>
      </c>
      <c r="AO2453" s="395"/>
      <c r="AP2453" s="395">
        <f t="shared" si="1047"/>
        <v>18.97964</v>
      </c>
      <c r="AQ2453" s="393"/>
      <c r="AR2453" s="523"/>
      <c r="AS2453" s="497"/>
      <c r="AT2453" s="573"/>
      <c r="AU2453" s="394"/>
      <c r="AV2453" s="394"/>
      <c r="AW2453" s="394"/>
      <c r="AX2453" s="394"/>
      <c r="AY2453" s="394"/>
      <c r="AZ2453" s="394"/>
      <c r="BA2453" s="394"/>
      <c r="BB2453" s="394"/>
      <c r="BC2453" s="394"/>
      <c r="BD2453" s="381"/>
      <c r="BE2453" s="408"/>
      <c r="BF2453" s="385"/>
      <c r="BG2453" s="475"/>
      <c r="BH2453" s="395"/>
      <c r="BI2453" s="395" t="e">
        <f t="shared" si="1046"/>
        <v>#DIV/0!</v>
      </c>
    </row>
    <row r="2454" spans="1:61" s="358" customFormat="1" ht="19.2" x14ac:dyDescent="0.3">
      <c r="A2454" s="359" t="s">
        <v>2095</v>
      </c>
      <c r="B2454" s="572" t="s">
        <v>2387</v>
      </c>
      <c r="C2454" s="546" t="s">
        <v>2386</v>
      </c>
      <c r="D2454" s="360">
        <v>0.4</v>
      </c>
      <c r="E2454" s="393"/>
      <c r="F2454" s="523"/>
      <c r="G2454" s="393"/>
      <c r="H2454" s="573"/>
      <c r="I2454" s="394"/>
      <c r="J2454" s="394"/>
      <c r="K2454" s="394"/>
      <c r="L2454" s="394"/>
      <c r="M2454" s="394"/>
      <c r="N2454" s="394"/>
      <c r="O2454" s="394"/>
      <c r="P2454" s="394"/>
      <c r="Q2454" s="394"/>
      <c r="R2454" s="381"/>
      <c r="S2454" s="408"/>
      <c r="T2454" s="385"/>
      <c r="U2454" s="475"/>
      <c r="V2454" s="395"/>
      <c r="W2454" s="395"/>
      <c r="X2454" s="393"/>
      <c r="Y2454" s="523">
        <v>1</v>
      </c>
      <c r="Z2454" s="497"/>
      <c r="AA2454" s="573">
        <v>17.857340000000001</v>
      </c>
      <c r="AB2454" s="394">
        <v>15.364129999999999</v>
      </c>
      <c r="AC2454" s="394">
        <v>14.417949999999999</v>
      </c>
      <c r="AD2454" s="394"/>
      <c r="AE2454" s="394"/>
      <c r="AF2454" s="394">
        <v>0</v>
      </c>
      <c r="AG2454" s="394">
        <v>0</v>
      </c>
      <c r="AH2454" s="394">
        <v>0.58123999999999998</v>
      </c>
      <c r="AI2454" s="394">
        <v>14.417949999999999</v>
      </c>
      <c r="AJ2454" s="394"/>
      <c r="AK2454" s="381" t="s">
        <v>167</v>
      </c>
      <c r="AL2454" s="408" t="s">
        <v>175</v>
      </c>
      <c r="AM2454" s="385"/>
      <c r="AN2454" s="475">
        <v>1243</v>
      </c>
      <c r="AO2454" s="395"/>
      <c r="AP2454" s="395">
        <f t="shared" si="1047"/>
        <v>17.857340000000001</v>
      </c>
      <c r="AQ2454" s="393"/>
      <c r="AR2454" s="523"/>
      <c r="AS2454" s="497"/>
      <c r="AT2454" s="573"/>
      <c r="AU2454" s="394"/>
      <c r="AV2454" s="394"/>
      <c r="AW2454" s="394"/>
      <c r="AX2454" s="394"/>
      <c r="AY2454" s="394"/>
      <c r="AZ2454" s="394"/>
      <c r="BA2454" s="394"/>
      <c r="BB2454" s="394"/>
      <c r="BC2454" s="394"/>
      <c r="BD2454" s="381"/>
      <c r="BE2454" s="408"/>
      <c r="BF2454" s="385"/>
      <c r="BG2454" s="475"/>
      <c r="BH2454" s="395"/>
      <c r="BI2454" s="395" t="e">
        <f t="shared" si="1046"/>
        <v>#DIV/0!</v>
      </c>
    </row>
    <row r="2455" spans="1:61" s="358" customFormat="1" ht="19.2" x14ac:dyDescent="0.3">
      <c r="A2455" s="359" t="s">
        <v>2096</v>
      </c>
      <c r="B2455" s="572" t="s">
        <v>4112</v>
      </c>
      <c r="C2455" s="546" t="s">
        <v>3238</v>
      </c>
      <c r="D2455" s="360">
        <v>0.4</v>
      </c>
      <c r="E2455" s="393"/>
      <c r="F2455" s="523"/>
      <c r="G2455" s="393"/>
      <c r="H2455" s="573"/>
      <c r="I2455" s="394"/>
      <c r="J2455" s="394"/>
      <c r="K2455" s="394"/>
      <c r="L2455" s="394"/>
      <c r="M2455" s="394"/>
      <c r="N2455" s="394"/>
      <c r="O2455" s="394"/>
      <c r="P2455" s="394"/>
      <c r="Q2455" s="394"/>
      <c r="R2455" s="381"/>
      <c r="S2455" s="408"/>
      <c r="T2455" s="385"/>
      <c r="U2455" s="475"/>
      <c r="V2455" s="395"/>
      <c r="W2455" s="395"/>
      <c r="X2455" s="393"/>
      <c r="Y2455" s="523">
        <v>1</v>
      </c>
      <c r="Z2455" s="497"/>
      <c r="AA2455" s="573">
        <v>17.85735</v>
      </c>
      <c r="AB2455" s="394">
        <v>15.364140000000001</v>
      </c>
      <c r="AC2455" s="394">
        <v>14.417949999999999</v>
      </c>
      <c r="AD2455" s="394"/>
      <c r="AE2455" s="394"/>
      <c r="AF2455" s="394">
        <v>0</v>
      </c>
      <c r="AG2455" s="394">
        <v>0</v>
      </c>
      <c r="AH2455" s="394">
        <v>0.58123999999999998</v>
      </c>
      <c r="AI2455" s="394">
        <v>14.417949999999999</v>
      </c>
      <c r="AJ2455" s="394"/>
      <c r="AK2455" s="381" t="s">
        <v>167</v>
      </c>
      <c r="AL2455" s="408" t="s">
        <v>175</v>
      </c>
      <c r="AM2455" s="385"/>
      <c r="AN2455" s="475">
        <v>1244</v>
      </c>
      <c r="AO2455" s="395"/>
      <c r="AP2455" s="395">
        <f t="shared" si="1047"/>
        <v>17.85735</v>
      </c>
      <c r="AQ2455" s="393"/>
      <c r="AR2455" s="523"/>
      <c r="AS2455" s="497"/>
      <c r="AT2455" s="573"/>
      <c r="AU2455" s="394"/>
      <c r="AV2455" s="394"/>
      <c r="AW2455" s="394"/>
      <c r="AX2455" s="394"/>
      <c r="AY2455" s="394"/>
      <c r="AZ2455" s="394"/>
      <c r="BA2455" s="394"/>
      <c r="BB2455" s="394"/>
      <c r="BC2455" s="394"/>
      <c r="BD2455" s="381"/>
      <c r="BE2455" s="408"/>
      <c r="BF2455" s="385"/>
      <c r="BG2455" s="475"/>
      <c r="BH2455" s="395"/>
      <c r="BI2455" s="395" t="e">
        <f t="shared" ref="BI2455:BI2518" si="1048">AT2455/AR2455</f>
        <v>#DIV/0!</v>
      </c>
    </row>
    <row r="2456" spans="1:61" s="358" customFormat="1" ht="19.2" x14ac:dyDescent="0.3">
      <c r="A2456" s="359" t="s">
        <v>2097</v>
      </c>
      <c r="B2456" s="572" t="s">
        <v>2419</v>
      </c>
      <c r="C2456" s="546" t="s">
        <v>2418</v>
      </c>
      <c r="D2456" s="360">
        <v>0.4</v>
      </c>
      <c r="E2456" s="393"/>
      <c r="F2456" s="523"/>
      <c r="G2456" s="393"/>
      <c r="H2456" s="573"/>
      <c r="I2456" s="394"/>
      <c r="J2456" s="394"/>
      <c r="K2456" s="394"/>
      <c r="L2456" s="394"/>
      <c r="M2456" s="394"/>
      <c r="N2456" s="394"/>
      <c r="O2456" s="394"/>
      <c r="P2456" s="394"/>
      <c r="Q2456" s="394"/>
      <c r="R2456" s="381"/>
      <c r="S2456" s="408"/>
      <c r="T2456" s="385"/>
      <c r="U2456" s="475"/>
      <c r="V2456" s="395"/>
      <c r="W2456" s="395"/>
      <c r="X2456" s="393"/>
      <c r="Y2456" s="523">
        <v>1</v>
      </c>
      <c r="Z2456" s="497"/>
      <c r="AA2456" s="573">
        <v>17.857330000000001</v>
      </c>
      <c r="AB2456" s="394">
        <v>15.36412</v>
      </c>
      <c r="AC2456" s="394">
        <v>14.417949999999999</v>
      </c>
      <c r="AD2456" s="394"/>
      <c r="AE2456" s="394"/>
      <c r="AF2456" s="394">
        <v>0</v>
      </c>
      <c r="AG2456" s="394">
        <v>0</v>
      </c>
      <c r="AH2456" s="394">
        <v>0.58123999999999998</v>
      </c>
      <c r="AI2456" s="394">
        <v>14.417949999999999</v>
      </c>
      <c r="AJ2456" s="394"/>
      <c r="AK2456" s="381" t="s">
        <v>167</v>
      </c>
      <c r="AL2456" s="408" t="s">
        <v>175</v>
      </c>
      <c r="AM2456" s="385"/>
      <c r="AN2456" s="475">
        <v>1245</v>
      </c>
      <c r="AO2456" s="395"/>
      <c r="AP2456" s="395">
        <f t="shared" si="1047"/>
        <v>17.857330000000001</v>
      </c>
      <c r="AQ2456" s="393"/>
      <c r="AR2456" s="523"/>
      <c r="AS2456" s="497"/>
      <c r="AT2456" s="573"/>
      <c r="AU2456" s="394"/>
      <c r="AV2456" s="394"/>
      <c r="AW2456" s="394"/>
      <c r="AX2456" s="394"/>
      <c r="AY2456" s="394"/>
      <c r="AZ2456" s="394"/>
      <c r="BA2456" s="394"/>
      <c r="BB2456" s="394"/>
      <c r="BC2456" s="394"/>
      <c r="BD2456" s="381"/>
      <c r="BE2456" s="408"/>
      <c r="BF2456" s="385"/>
      <c r="BG2456" s="475"/>
      <c r="BH2456" s="395"/>
      <c r="BI2456" s="395" t="e">
        <f t="shared" si="1048"/>
        <v>#DIV/0!</v>
      </c>
    </row>
    <row r="2457" spans="1:61" s="358" customFormat="1" ht="19.2" x14ac:dyDescent="0.3">
      <c r="A2457" s="359" t="s">
        <v>2098</v>
      </c>
      <c r="B2457" s="572" t="s">
        <v>4115</v>
      </c>
      <c r="C2457" s="546" t="s">
        <v>3239</v>
      </c>
      <c r="D2457" s="360">
        <v>0.4</v>
      </c>
      <c r="E2457" s="393"/>
      <c r="F2457" s="523"/>
      <c r="G2457" s="393"/>
      <c r="H2457" s="573"/>
      <c r="I2457" s="394"/>
      <c r="J2457" s="394"/>
      <c r="K2457" s="394"/>
      <c r="L2457" s="394"/>
      <c r="M2457" s="394"/>
      <c r="N2457" s="394"/>
      <c r="O2457" s="394"/>
      <c r="P2457" s="394"/>
      <c r="Q2457" s="394"/>
      <c r="R2457" s="381"/>
      <c r="S2457" s="408"/>
      <c r="T2457" s="385"/>
      <c r="U2457" s="475"/>
      <c r="V2457" s="395"/>
      <c r="W2457" s="395"/>
      <c r="X2457" s="393"/>
      <c r="Y2457" s="523">
        <v>1</v>
      </c>
      <c r="Z2457" s="497"/>
      <c r="AA2457" s="573">
        <v>17.85736</v>
      </c>
      <c r="AB2457" s="394">
        <v>15.36415</v>
      </c>
      <c r="AC2457" s="394">
        <v>14.417949999999999</v>
      </c>
      <c r="AD2457" s="394"/>
      <c r="AE2457" s="394"/>
      <c r="AF2457" s="394">
        <v>0</v>
      </c>
      <c r="AG2457" s="394">
        <v>0</v>
      </c>
      <c r="AH2457" s="394">
        <v>0.58123999999999998</v>
      </c>
      <c r="AI2457" s="394">
        <v>14.417949999999999</v>
      </c>
      <c r="AJ2457" s="394"/>
      <c r="AK2457" s="381" t="s">
        <v>167</v>
      </c>
      <c r="AL2457" s="408" t="s">
        <v>175</v>
      </c>
      <c r="AM2457" s="385"/>
      <c r="AN2457" s="475">
        <v>1246</v>
      </c>
      <c r="AO2457" s="395"/>
      <c r="AP2457" s="395">
        <f t="shared" si="1047"/>
        <v>17.85736</v>
      </c>
      <c r="AQ2457" s="393"/>
      <c r="AR2457" s="523"/>
      <c r="AS2457" s="497"/>
      <c r="AT2457" s="573"/>
      <c r="AU2457" s="394"/>
      <c r="AV2457" s="394"/>
      <c r="AW2457" s="394"/>
      <c r="AX2457" s="394"/>
      <c r="AY2457" s="394"/>
      <c r="AZ2457" s="394"/>
      <c r="BA2457" s="394"/>
      <c r="BB2457" s="394"/>
      <c r="BC2457" s="394"/>
      <c r="BD2457" s="381"/>
      <c r="BE2457" s="408"/>
      <c r="BF2457" s="385"/>
      <c r="BG2457" s="475"/>
      <c r="BH2457" s="395"/>
      <c r="BI2457" s="395" t="e">
        <f t="shared" si="1048"/>
        <v>#DIV/0!</v>
      </c>
    </row>
    <row r="2458" spans="1:61" s="358" customFormat="1" ht="19.2" x14ac:dyDescent="0.3">
      <c r="A2458" s="359" t="s">
        <v>2099</v>
      </c>
      <c r="B2458" s="572" t="s">
        <v>4116</v>
      </c>
      <c r="C2458" s="546" t="s">
        <v>3240</v>
      </c>
      <c r="D2458" s="360">
        <v>0.4</v>
      </c>
      <c r="E2458" s="393"/>
      <c r="F2458" s="523"/>
      <c r="G2458" s="393"/>
      <c r="H2458" s="573"/>
      <c r="I2458" s="394"/>
      <c r="J2458" s="394"/>
      <c r="K2458" s="394"/>
      <c r="L2458" s="394"/>
      <c r="M2458" s="394"/>
      <c r="N2458" s="394"/>
      <c r="O2458" s="394"/>
      <c r="P2458" s="394"/>
      <c r="Q2458" s="394"/>
      <c r="R2458" s="381"/>
      <c r="S2458" s="408"/>
      <c r="T2458" s="385"/>
      <c r="U2458" s="475"/>
      <c r="V2458" s="395"/>
      <c r="W2458" s="395"/>
      <c r="X2458" s="393"/>
      <c r="Y2458" s="523">
        <v>1</v>
      </c>
      <c r="Z2458" s="497"/>
      <c r="AA2458" s="573">
        <v>17.85736</v>
      </c>
      <c r="AB2458" s="394">
        <v>15.36415</v>
      </c>
      <c r="AC2458" s="394">
        <v>14.417949999999999</v>
      </c>
      <c r="AD2458" s="394"/>
      <c r="AE2458" s="394"/>
      <c r="AF2458" s="394">
        <v>0</v>
      </c>
      <c r="AG2458" s="394">
        <v>0</v>
      </c>
      <c r="AH2458" s="394">
        <v>0.58123999999999998</v>
      </c>
      <c r="AI2458" s="394">
        <v>14.417949999999999</v>
      </c>
      <c r="AJ2458" s="394"/>
      <c r="AK2458" s="381" t="s">
        <v>167</v>
      </c>
      <c r="AL2458" s="408" t="s">
        <v>175</v>
      </c>
      <c r="AM2458" s="385"/>
      <c r="AN2458" s="475">
        <v>1247</v>
      </c>
      <c r="AO2458" s="395"/>
      <c r="AP2458" s="395">
        <f t="shared" si="1047"/>
        <v>17.85736</v>
      </c>
      <c r="AQ2458" s="393"/>
      <c r="AR2458" s="523"/>
      <c r="AS2458" s="497"/>
      <c r="AT2458" s="573"/>
      <c r="AU2458" s="394"/>
      <c r="AV2458" s="394"/>
      <c r="AW2458" s="394"/>
      <c r="AX2458" s="394"/>
      <c r="AY2458" s="394"/>
      <c r="AZ2458" s="394"/>
      <c r="BA2458" s="394"/>
      <c r="BB2458" s="394"/>
      <c r="BC2458" s="394"/>
      <c r="BD2458" s="381"/>
      <c r="BE2458" s="408"/>
      <c r="BF2458" s="385"/>
      <c r="BG2458" s="475"/>
      <c r="BH2458" s="395"/>
      <c r="BI2458" s="395" t="e">
        <f t="shared" si="1048"/>
        <v>#DIV/0!</v>
      </c>
    </row>
    <row r="2459" spans="1:61" s="358" customFormat="1" ht="19.2" x14ac:dyDescent="0.3">
      <c r="A2459" s="359" t="s">
        <v>2116</v>
      </c>
      <c r="B2459" s="572" t="s">
        <v>4113</v>
      </c>
      <c r="C2459" s="546" t="s">
        <v>3241</v>
      </c>
      <c r="D2459" s="360">
        <v>0.4</v>
      </c>
      <c r="E2459" s="393"/>
      <c r="F2459" s="523"/>
      <c r="G2459" s="393"/>
      <c r="H2459" s="573"/>
      <c r="I2459" s="394"/>
      <c r="J2459" s="394"/>
      <c r="K2459" s="394"/>
      <c r="L2459" s="394"/>
      <c r="M2459" s="394"/>
      <c r="N2459" s="394"/>
      <c r="O2459" s="394"/>
      <c r="P2459" s="394"/>
      <c r="Q2459" s="394"/>
      <c r="R2459" s="381"/>
      <c r="S2459" s="408"/>
      <c r="T2459" s="385"/>
      <c r="U2459" s="475"/>
      <c r="V2459" s="395"/>
      <c r="W2459" s="395"/>
      <c r="X2459" s="393"/>
      <c r="Y2459" s="523">
        <v>1</v>
      </c>
      <c r="Z2459" s="497"/>
      <c r="AA2459" s="573">
        <v>18.026509999999998</v>
      </c>
      <c r="AB2459" s="394">
        <v>15.533300000000001</v>
      </c>
      <c r="AC2459" s="394">
        <v>14.417960000000001</v>
      </c>
      <c r="AD2459" s="394"/>
      <c r="AE2459" s="394"/>
      <c r="AF2459" s="394">
        <v>0</v>
      </c>
      <c r="AG2459" s="394">
        <v>0</v>
      </c>
      <c r="AH2459" s="394">
        <v>0.58123999999999998</v>
      </c>
      <c r="AI2459" s="394">
        <v>14.417960000000001</v>
      </c>
      <c r="AJ2459" s="394"/>
      <c r="AK2459" s="381" t="s">
        <v>167</v>
      </c>
      <c r="AL2459" s="408" t="s">
        <v>175</v>
      </c>
      <c r="AM2459" s="385"/>
      <c r="AN2459" s="475">
        <v>1248</v>
      </c>
      <c r="AO2459" s="395"/>
      <c r="AP2459" s="395">
        <f t="shared" si="1047"/>
        <v>18.026509999999998</v>
      </c>
      <c r="AQ2459" s="393"/>
      <c r="AR2459" s="523"/>
      <c r="AS2459" s="497"/>
      <c r="AT2459" s="573"/>
      <c r="AU2459" s="394"/>
      <c r="AV2459" s="394"/>
      <c r="AW2459" s="394"/>
      <c r="AX2459" s="394"/>
      <c r="AY2459" s="394"/>
      <c r="AZ2459" s="394"/>
      <c r="BA2459" s="394"/>
      <c r="BB2459" s="394"/>
      <c r="BC2459" s="394"/>
      <c r="BD2459" s="381"/>
      <c r="BE2459" s="408"/>
      <c r="BF2459" s="385"/>
      <c r="BG2459" s="475"/>
      <c r="BH2459" s="395"/>
      <c r="BI2459" s="395" t="e">
        <f t="shared" si="1048"/>
        <v>#DIV/0!</v>
      </c>
    </row>
    <row r="2460" spans="1:61" s="358" customFormat="1" ht="19.2" x14ac:dyDescent="0.3">
      <c r="A2460" s="359" t="s">
        <v>2101</v>
      </c>
      <c r="B2460" s="572" t="s">
        <v>1823</v>
      </c>
      <c r="C2460" s="546" t="s">
        <v>3242</v>
      </c>
      <c r="D2460" s="360">
        <v>0.4</v>
      </c>
      <c r="E2460" s="393"/>
      <c r="F2460" s="523"/>
      <c r="G2460" s="393"/>
      <c r="H2460" s="573"/>
      <c r="I2460" s="394"/>
      <c r="J2460" s="394"/>
      <c r="K2460" s="394"/>
      <c r="L2460" s="394"/>
      <c r="M2460" s="394"/>
      <c r="N2460" s="394"/>
      <c r="O2460" s="394"/>
      <c r="P2460" s="394"/>
      <c r="Q2460" s="394"/>
      <c r="R2460" s="381"/>
      <c r="S2460" s="408"/>
      <c r="T2460" s="385"/>
      <c r="U2460" s="475"/>
      <c r="V2460" s="395"/>
      <c r="W2460" s="395"/>
      <c r="X2460" s="393"/>
      <c r="Y2460" s="523">
        <v>1</v>
      </c>
      <c r="Z2460" s="497"/>
      <c r="AA2460" s="573">
        <v>17.857330000000001</v>
      </c>
      <c r="AB2460" s="394">
        <v>15.36412</v>
      </c>
      <c r="AC2460" s="394">
        <v>14.417949999999999</v>
      </c>
      <c r="AD2460" s="394"/>
      <c r="AE2460" s="394"/>
      <c r="AF2460" s="394">
        <v>0</v>
      </c>
      <c r="AG2460" s="394">
        <v>0</v>
      </c>
      <c r="AH2460" s="394">
        <v>0.58123999999999998</v>
      </c>
      <c r="AI2460" s="394">
        <v>14.417949999999999</v>
      </c>
      <c r="AJ2460" s="394"/>
      <c r="AK2460" s="381" t="s">
        <v>167</v>
      </c>
      <c r="AL2460" s="408" t="s">
        <v>175</v>
      </c>
      <c r="AM2460" s="385"/>
      <c r="AN2460" s="475">
        <v>1249</v>
      </c>
      <c r="AO2460" s="395"/>
      <c r="AP2460" s="395">
        <f t="shared" si="1047"/>
        <v>17.857330000000001</v>
      </c>
      <c r="AQ2460" s="393"/>
      <c r="AR2460" s="523"/>
      <c r="AS2460" s="497"/>
      <c r="AT2460" s="573"/>
      <c r="AU2460" s="394"/>
      <c r="AV2460" s="394"/>
      <c r="AW2460" s="394"/>
      <c r="AX2460" s="394"/>
      <c r="AY2460" s="394"/>
      <c r="AZ2460" s="394"/>
      <c r="BA2460" s="394"/>
      <c r="BB2460" s="394"/>
      <c r="BC2460" s="394"/>
      <c r="BD2460" s="381"/>
      <c r="BE2460" s="408"/>
      <c r="BF2460" s="385"/>
      <c r="BG2460" s="475"/>
      <c r="BH2460" s="395"/>
      <c r="BI2460" s="395" t="e">
        <f t="shared" si="1048"/>
        <v>#DIV/0!</v>
      </c>
    </row>
    <row r="2461" spans="1:61" s="358" customFormat="1" ht="19.2" x14ac:dyDescent="0.3">
      <c r="A2461" s="359" t="s">
        <v>2102</v>
      </c>
      <c r="B2461" s="572" t="s">
        <v>4117</v>
      </c>
      <c r="C2461" s="546" t="s">
        <v>3243</v>
      </c>
      <c r="D2461" s="360">
        <v>0.4</v>
      </c>
      <c r="E2461" s="393"/>
      <c r="F2461" s="523"/>
      <c r="G2461" s="393"/>
      <c r="H2461" s="573"/>
      <c r="I2461" s="394"/>
      <c r="J2461" s="394"/>
      <c r="K2461" s="394"/>
      <c r="L2461" s="394"/>
      <c r="M2461" s="394"/>
      <c r="N2461" s="394"/>
      <c r="O2461" s="394"/>
      <c r="P2461" s="394"/>
      <c r="Q2461" s="394"/>
      <c r="R2461" s="381"/>
      <c r="S2461" s="408"/>
      <c r="T2461" s="385"/>
      <c r="U2461" s="475"/>
      <c r="V2461" s="395"/>
      <c r="W2461" s="395"/>
      <c r="X2461" s="393"/>
      <c r="Y2461" s="523">
        <v>1</v>
      </c>
      <c r="Z2461" s="497"/>
      <c r="AA2461" s="573">
        <v>17.85735</v>
      </c>
      <c r="AB2461" s="394">
        <v>15.364140000000001</v>
      </c>
      <c r="AC2461" s="394">
        <v>14.417949999999999</v>
      </c>
      <c r="AD2461" s="394"/>
      <c r="AE2461" s="394"/>
      <c r="AF2461" s="394">
        <v>0</v>
      </c>
      <c r="AG2461" s="394">
        <v>0</v>
      </c>
      <c r="AH2461" s="394">
        <v>0.58123999999999998</v>
      </c>
      <c r="AI2461" s="394">
        <v>14.417949999999999</v>
      </c>
      <c r="AJ2461" s="394"/>
      <c r="AK2461" s="381" t="s">
        <v>167</v>
      </c>
      <c r="AL2461" s="408" t="s">
        <v>175</v>
      </c>
      <c r="AM2461" s="385"/>
      <c r="AN2461" s="475">
        <v>1250</v>
      </c>
      <c r="AO2461" s="395"/>
      <c r="AP2461" s="395">
        <f t="shared" si="1047"/>
        <v>17.85735</v>
      </c>
      <c r="AQ2461" s="393"/>
      <c r="AR2461" s="523"/>
      <c r="AS2461" s="497"/>
      <c r="AT2461" s="573"/>
      <c r="AU2461" s="394"/>
      <c r="AV2461" s="394"/>
      <c r="AW2461" s="394"/>
      <c r="AX2461" s="394"/>
      <c r="AY2461" s="394"/>
      <c r="AZ2461" s="394"/>
      <c r="BA2461" s="394"/>
      <c r="BB2461" s="394"/>
      <c r="BC2461" s="394"/>
      <c r="BD2461" s="381"/>
      <c r="BE2461" s="408"/>
      <c r="BF2461" s="385"/>
      <c r="BG2461" s="475"/>
      <c r="BH2461" s="395"/>
      <c r="BI2461" s="395" t="e">
        <f t="shared" si="1048"/>
        <v>#DIV/0!</v>
      </c>
    </row>
    <row r="2462" spans="1:61" s="358" customFormat="1" ht="19.2" x14ac:dyDescent="0.3">
      <c r="A2462" s="359" t="s">
        <v>2103</v>
      </c>
      <c r="B2462" s="572" t="s">
        <v>4118</v>
      </c>
      <c r="C2462" s="546" t="s">
        <v>3244</v>
      </c>
      <c r="D2462" s="360">
        <v>0.4</v>
      </c>
      <c r="E2462" s="393"/>
      <c r="F2462" s="523"/>
      <c r="G2462" s="393"/>
      <c r="H2462" s="573"/>
      <c r="I2462" s="394"/>
      <c r="J2462" s="394"/>
      <c r="K2462" s="394"/>
      <c r="L2462" s="394"/>
      <c r="M2462" s="394"/>
      <c r="N2462" s="394"/>
      <c r="O2462" s="394"/>
      <c r="P2462" s="394"/>
      <c r="Q2462" s="394"/>
      <c r="R2462" s="381"/>
      <c r="S2462" s="408"/>
      <c r="T2462" s="385"/>
      <c r="U2462" s="475"/>
      <c r="V2462" s="395"/>
      <c r="W2462" s="395"/>
      <c r="X2462" s="393"/>
      <c r="Y2462" s="523">
        <v>1</v>
      </c>
      <c r="Z2462" s="497"/>
      <c r="AA2462" s="573">
        <v>17.857340000000001</v>
      </c>
      <c r="AB2462" s="394">
        <v>15.364129999999999</v>
      </c>
      <c r="AC2462" s="394">
        <v>14.417949999999999</v>
      </c>
      <c r="AD2462" s="394"/>
      <c r="AE2462" s="394"/>
      <c r="AF2462" s="394">
        <v>0</v>
      </c>
      <c r="AG2462" s="394">
        <v>0</v>
      </c>
      <c r="AH2462" s="394">
        <v>0.58123999999999998</v>
      </c>
      <c r="AI2462" s="394">
        <v>14.417949999999999</v>
      </c>
      <c r="AJ2462" s="394"/>
      <c r="AK2462" s="381" t="s">
        <v>167</v>
      </c>
      <c r="AL2462" s="408" t="s">
        <v>175</v>
      </c>
      <c r="AM2462" s="385"/>
      <c r="AN2462" s="475">
        <v>1251</v>
      </c>
      <c r="AO2462" s="395"/>
      <c r="AP2462" s="395">
        <f t="shared" si="1047"/>
        <v>17.857340000000001</v>
      </c>
      <c r="AQ2462" s="393"/>
      <c r="AR2462" s="523"/>
      <c r="AS2462" s="497"/>
      <c r="AT2462" s="573"/>
      <c r="AU2462" s="394"/>
      <c r="AV2462" s="394"/>
      <c r="AW2462" s="394"/>
      <c r="AX2462" s="394"/>
      <c r="AY2462" s="394"/>
      <c r="AZ2462" s="394"/>
      <c r="BA2462" s="394"/>
      <c r="BB2462" s="394"/>
      <c r="BC2462" s="394"/>
      <c r="BD2462" s="381"/>
      <c r="BE2462" s="408"/>
      <c r="BF2462" s="385"/>
      <c r="BG2462" s="475"/>
      <c r="BH2462" s="395"/>
      <c r="BI2462" s="395" t="e">
        <f t="shared" si="1048"/>
        <v>#DIV/0!</v>
      </c>
    </row>
    <row r="2463" spans="1:61" s="358" customFormat="1" ht="19.2" x14ac:dyDescent="0.3">
      <c r="A2463" s="359" t="s">
        <v>2120</v>
      </c>
      <c r="B2463" s="572" t="s">
        <v>4119</v>
      </c>
      <c r="C2463" s="546" t="s">
        <v>3245</v>
      </c>
      <c r="D2463" s="360">
        <v>0.4</v>
      </c>
      <c r="E2463" s="393"/>
      <c r="F2463" s="523"/>
      <c r="G2463" s="393"/>
      <c r="H2463" s="573"/>
      <c r="I2463" s="394"/>
      <c r="J2463" s="394"/>
      <c r="K2463" s="394"/>
      <c r="L2463" s="394"/>
      <c r="M2463" s="394"/>
      <c r="N2463" s="394"/>
      <c r="O2463" s="394"/>
      <c r="P2463" s="394"/>
      <c r="Q2463" s="394"/>
      <c r="R2463" s="381"/>
      <c r="S2463" s="408"/>
      <c r="T2463" s="385"/>
      <c r="U2463" s="475"/>
      <c r="V2463" s="395"/>
      <c r="W2463" s="395"/>
      <c r="X2463" s="393"/>
      <c r="Y2463" s="523">
        <v>1</v>
      </c>
      <c r="Z2463" s="497"/>
      <c r="AA2463" s="573">
        <v>17.857340000000001</v>
      </c>
      <c r="AB2463" s="394">
        <v>15.364129999999999</v>
      </c>
      <c r="AC2463" s="394">
        <v>14.417949999999999</v>
      </c>
      <c r="AD2463" s="394"/>
      <c r="AE2463" s="394"/>
      <c r="AF2463" s="394">
        <v>0</v>
      </c>
      <c r="AG2463" s="394">
        <v>0</v>
      </c>
      <c r="AH2463" s="394">
        <v>0.58123999999999998</v>
      </c>
      <c r="AI2463" s="394">
        <v>14.417949999999999</v>
      </c>
      <c r="AJ2463" s="394"/>
      <c r="AK2463" s="381" t="s">
        <v>167</v>
      </c>
      <c r="AL2463" s="408" t="s">
        <v>175</v>
      </c>
      <c r="AM2463" s="385"/>
      <c r="AN2463" s="475">
        <v>1252</v>
      </c>
      <c r="AO2463" s="395"/>
      <c r="AP2463" s="395">
        <f t="shared" si="1047"/>
        <v>17.857340000000001</v>
      </c>
      <c r="AQ2463" s="393"/>
      <c r="AR2463" s="523"/>
      <c r="AS2463" s="497"/>
      <c r="AT2463" s="573"/>
      <c r="AU2463" s="394"/>
      <c r="AV2463" s="394"/>
      <c r="AW2463" s="394"/>
      <c r="AX2463" s="394"/>
      <c r="AY2463" s="394"/>
      <c r="AZ2463" s="394"/>
      <c r="BA2463" s="394"/>
      <c r="BB2463" s="394"/>
      <c r="BC2463" s="394"/>
      <c r="BD2463" s="381"/>
      <c r="BE2463" s="408"/>
      <c r="BF2463" s="385"/>
      <c r="BG2463" s="475"/>
      <c r="BH2463" s="395"/>
      <c r="BI2463" s="395" t="e">
        <f t="shared" si="1048"/>
        <v>#DIV/0!</v>
      </c>
    </row>
    <row r="2464" spans="1:61" s="358" customFormat="1" ht="19.2" x14ac:dyDescent="0.3">
      <c r="A2464" s="359" t="s">
        <v>2105</v>
      </c>
      <c r="B2464" s="572" t="s">
        <v>4120</v>
      </c>
      <c r="C2464" s="546" t="s">
        <v>3246</v>
      </c>
      <c r="D2464" s="360">
        <v>0.4</v>
      </c>
      <c r="E2464" s="393"/>
      <c r="F2464" s="523"/>
      <c r="G2464" s="393"/>
      <c r="H2464" s="573"/>
      <c r="I2464" s="394"/>
      <c r="J2464" s="394"/>
      <c r="K2464" s="394"/>
      <c r="L2464" s="394"/>
      <c r="M2464" s="394"/>
      <c r="N2464" s="394"/>
      <c r="O2464" s="394"/>
      <c r="P2464" s="394"/>
      <c r="Q2464" s="394"/>
      <c r="R2464" s="381"/>
      <c r="S2464" s="408"/>
      <c r="T2464" s="385"/>
      <c r="U2464" s="475"/>
      <c r="V2464" s="395"/>
      <c r="W2464" s="395"/>
      <c r="X2464" s="393"/>
      <c r="Y2464" s="523">
        <v>1</v>
      </c>
      <c r="Z2464" s="497"/>
      <c r="AA2464" s="573">
        <v>17.85736</v>
      </c>
      <c r="AB2464" s="394">
        <v>15.36415</v>
      </c>
      <c r="AC2464" s="394">
        <v>14.417949999999999</v>
      </c>
      <c r="AD2464" s="394"/>
      <c r="AE2464" s="394"/>
      <c r="AF2464" s="394">
        <v>0</v>
      </c>
      <c r="AG2464" s="394">
        <v>0</v>
      </c>
      <c r="AH2464" s="394">
        <v>0.58123999999999998</v>
      </c>
      <c r="AI2464" s="394">
        <v>14.417949999999999</v>
      </c>
      <c r="AJ2464" s="394"/>
      <c r="AK2464" s="381" t="s">
        <v>167</v>
      </c>
      <c r="AL2464" s="408" t="s">
        <v>175</v>
      </c>
      <c r="AM2464" s="385"/>
      <c r="AN2464" s="475">
        <v>1253</v>
      </c>
      <c r="AO2464" s="395"/>
      <c r="AP2464" s="395">
        <f t="shared" si="1047"/>
        <v>17.85736</v>
      </c>
      <c r="AQ2464" s="393"/>
      <c r="AR2464" s="523"/>
      <c r="AS2464" s="497"/>
      <c r="AT2464" s="573"/>
      <c r="AU2464" s="394"/>
      <c r="AV2464" s="394"/>
      <c r="AW2464" s="394"/>
      <c r="AX2464" s="394"/>
      <c r="AY2464" s="394"/>
      <c r="AZ2464" s="394"/>
      <c r="BA2464" s="394"/>
      <c r="BB2464" s="394"/>
      <c r="BC2464" s="394"/>
      <c r="BD2464" s="381"/>
      <c r="BE2464" s="408"/>
      <c r="BF2464" s="385"/>
      <c r="BG2464" s="475"/>
      <c r="BH2464" s="395"/>
      <c r="BI2464" s="395" t="e">
        <f t="shared" si="1048"/>
        <v>#DIV/0!</v>
      </c>
    </row>
    <row r="2465" spans="1:61" s="358" customFormat="1" ht="19.2" x14ac:dyDescent="0.3">
      <c r="A2465" s="359" t="s">
        <v>2106</v>
      </c>
      <c r="B2465" s="572" t="s">
        <v>4121</v>
      </c>
      <c r="C2465" s="546" t="s">
        <v>3247</v>
      </c>
      <c r="D2465" s="360">
        <v>0.4</v>
      </c>
      <c r="E2465" s="393"/>
      <c r="F2465" s="523"/>
      <c r="G2465" s="393"/>
      <c r="H2465" s="573"/>
      <c r="I2465" s="394"/>
      <c r="J2465" s="394"/>
      <c r="K2465" s="394"/>
      <c r="L2465" s="394"/>
      <c r="M2465" s="394"/>
      <c r="N2465" s="394"/>
      <c r="O2465" s="394"/>
      <c r="P2465" s="394"/>
      <c r="Q2465" s="394"/>
      <c r="R2465" s="381"/>
      <c r="S2465" s="408"/>
      <c r="T2465" s="385"/>
      <c r="U2465" s="475"/>
      <c r="V2465" s="395"/>
      <c r="W2465" s="395"/>
      <c r="X2465" s="393"/>
      <c r="Y2465" s="523">
        <v>1</v>
      </c>
      <c r="Z2465" s="497"/>
      <c r="AA2465" s="573">
        <v>17.857330000000001</v>
      </c>
      <c r="AB2465" s="394">
        <v>15.36412</v>
      </c>
      <c r="AC2465" s="394">
        <v>14.417949999999999</v>
      </c>
      <c r="AD2465" s="394"/>
      <c r="AE2465" s="394"/>
      <c r="AF2465" s="394">
        <v>0</v>
      </c>
      <c r="AG2465" s="394">
        <v>0</v>
      </c>
      <c r="AH2465" s="394">
        <v>0.58123999999999998</v>
      </c>
      <c r="AI2465" s="394">
        <v>14.417949999999999</v>
      </c>
      <c r="AJ2465" s="394"/>
      <c r="AK2465" s="381" t="s">
        <v>167</v>
      </c>
      <c r="AL2465" s="408" t="s">
        <v>175</v>
      </c>
      <c r="AM2465" s="385"/>
      <c r="AN2465" s="475">
        <v>1254</v>
      </c>
      <c r="AO2465" s="395"/>
      <c r="AP2465" s="395">
        <f t="shared" si="1047"/>
        <v>17.857330000000001</v>
      </c>
      <c r="AQ2465" s="393"/>
      <c r="AR2465" s="523"/>
      <c r="AS2465" s="497"/>
      <c r="AT2465" s="573"/>
      <c r="AU2465" s="394"/>
      <c r="AV2465" s="394"/>
      <c r="AW2465" s="394"/>
      <c r="AX2465" s="394"/>
      <c r="AY2465" s="394"/>
      <c r="AZ2465" s="394"/>
      <c r="BA2465" s="394"/>
      <c r="BB2465" s="394"/>
      <c r="BC2465" s="394"/>
      <c r="BD2465" s="381"/>
      <c r="BE2465" s="408"/>
      <c r="BF2465" s="385"/>
      <c r="BG2465" s="475"/>
      <c r="BH2465" s="395"/>
      <c r="BI2465" s="395" t="e">
        <f t="shared" si="1048"/>
        <v>#DIV/0!</v>
      </c>
    </row>
    <row r="2466" spans="1:61" s="358" customFormat="1" ht="19.2" x14ac:dyDescent="0.3">
      <c r="A2466" s="359" t="s">
        <v>2091</v>
      </c>
      <c r="B2466" s="572" t="s">
        <v>2389</v>
      </c>
      <c r="C2466" s="546" t="s">
        <v>2388</v>
      </c>
      <c r="D2466" s="360">
        <v>0.4</v>
      </c>
      <c r="E2466" s="393"/>
      <c r="F2466" s="523"/>
      <c r="G2466" s="393"/>
      <c r="H2466" s="573"/>
      <c r="I2466" s="394"/>
      <c r="J2466" s="394"/>
      <c r="K2466" s="394"/>
      <c r="L2466" s="394"/>
      <c r="M2466" s="394"/>
      <c r="N2466" s="394"/>
      <c r="O2466" s="394"/>
      <c r="P2466" s="394"/>
      <c r="Q2466" s="394"/>
      <c r="R2466" s="381"/>
      <c r="S2466" s="408"/>
      <c r="T2466" s="385"/>
      <c r="U2466" s="475"/>
      <c r="V2466" s="395"/>
      <c r="W2466" s="395"/>
      <c r="X2466" s="393"/>
      <c r="Y2466" s="523">
        <v>1</v>
      </c>
      <c r="Z2466" s="497"/>
      <c r="AA2466" s="573">
        <v>17.857330000000001</v>
      </c>
      <c r="AB2466" s="394">
        <v>15.36412</v>
      </c>
      <c r="AC2466" s="394">
        <v>14.417949999999999</v>
      </c>
      <c r="AD2466" s="394"/>
      <c r="AE2466" s="394"/>
      <c r="AF2466" s="394">
        <v>0</v>
      </c>
      <c r="AG2466" s="394">
        <v>0</v>
      </c>
      <c r="AH2466" s="394">
        <v>0.58123999999999998</v>
      </c>
      <c r="AI2466" s="394">
        <v>14.417949999999999</v>
      </c>
      <c r="AJ2466" s="394"/>
      <c r="AK2466" s="381" t="s">
        <v>167</v>
      </c>
      <c r="AL2466" s="408" t="s">
        <v>175</v>
      </c>
      <c r="AM2466" s="385"/>
      <c r="AN2466" s="475">
        <v>1255</v>
      </c>
      <c r="AO2466" s="395"/>
      <c r="AP2466" s="395">
        <f t="shared" si="1047"/>
        <v>17.857330000000001</v>
      </c>
      <c r="AQ2466" s="393"/>
      <c r="AR2466" s="523"/>
      <c r="AS2466" s="497"/>
      <c r="AT2466" s="573"/>
      <c r="AU2466" s="394"/>
      <c r="AV2466" s="394"/>
      <c r="AW2466" s="394"/>
      <c r="AX2466" s="394"/>
      <c r="AY2466" s="394"/>
      <c r="AZ2466" s="394"/>
      <c r="BA2466" s="394"/>
      <c r="BB2466" s="394"/>
      <c r="BC2466" s="394"/>
      <c r="BD2466" s="381"/>
      <c r="BE2466" s="408"/>
      <c r="BF2466" s="385"/>
      <c r="BG2466" s="475"/>
      <c r="BH2466" s="395"/>
      <c r="BI2466" s="395" t="e">
        <f t="shared" si="1048"/>
        <v>#DIV/0!</v>
      </c>
    </row>
    <row r="2467" spans="1:61" s="358" customFormat="1" ht="19.2" x14ac:dyDescent="0.3">
      <c r="A2467" s="359" t="s">
        <v>2108</v>
      </c>
      <c r="B2467" s="572" t="s">
        <v>4114</v>
      </c>
      <c r="C2467" s="546" t="s">
        <v>3248</v>
      </c>
      <c r="D2467" s="360">
        <v>0.4</v>
      </c>
      <c r="E2467" s="393"/>
      <c r="F2467" s="523"/>
      <c r="G2467" s="393"/>
      <c r="H2467" s="573"/>
      <c r="I2467" s="394"/>
      <c r="J2467" s="394"/>
      <c r="K2467" s="394"/>
      <c r="L2467" s="394"/>
      <c r="M2467" s="394"/>
      <c r="N2467" s="394"/>
      <c r="O2467" s="394"/>
      <c r="P2467" s="394"/>
      <c r="Q2467" s="394"/>
      <c r="R2467" s="381"/>
      <c r="S2467" s="408"/>
      <c r="T2467" s="385"/>
      <c r="U2467" s="475"/>
      <c r="V2467" s="395"/>
      <c r="W2467" s="395"/>
      <c r="X2467" s="393"/>
      <c r="Y2467" s="523">
        <v>1</v>
      </c>
      <c r="Z2467" s="497"/>
      <c r="AA2467" s="573">
        <v>17.85736</v>
      </c>
      <c r="AB2467" s="394">
        <v>15.36415</v>
      </c>
      <c r="AC2467" s="394">
        <v>14.417949999999999</v>
      </c>
      <c r="AD2467" s="394"/>
      <c r="AE2467" s="394"/>
      <c r="AF2467" s="394">
        <v>0</v>
      </c>
      <c r="AG2467" s="394">
        <v>0</v>
      </c>
      <c r="AH2467" s="394">
        <v>0.58123999999999998</v>
      </c>
      <c r="AI2467" s="394">
        <v>14.417949999999999</v>
      </c>
      <c r="AJ2467" s="394"/>
      <c r="AK2467" s="381" t="s">
        <v>167</v>
      </c>
      <c r="AL2467" s="408" t="s">
        <v>175</v>
      </c>
      <c r="AM2467" s="385"/>
      <c r="AN2467" s="475">
        <v>1256</v>
      </c>
      <c r="AO2467" s="395"/>
      <c r="AP2467" s="395">
        <f t="shared" si="1047"/>
        <v>17.85736</v>
      </c>
      <c r="AQ2467" s="393"/>
      <c r="AR2467" s="523"/>
      <c r="AS2467" s="497"/>
      <c r="AT2467" s="573"/>
      <c r="AU2467" s="394"/>
      <c r="AV2467" s="394"/>
      <c r="AW2467" s="394"/>
      <c r="AX2467" s="394"/>
      <c r="AY2467" s="394"/>
      <c r="AZ2467" s="394"/>
      <c r="BA2467" s="394"/>
      <c r="BB2467" s="394"/>
      <c r="BC2467" s="394"/>
      <c r="BD2467" s="381"/>
      <c r="BE2467" s="408"/>
      <c r="BF2467" s="385"/>
      <c r="BG2467" s="475"/>
      <c r="BH2467" s="395"/>
      <c r="BI2467" s="395" t="e">
        <f t="shared" si="1048"/>
        <v>#DIV/0!</v>
      </c>
    </row>
    <row r="2468" spans="1:61" s="358" customFormat="1" ht="19.2" x14ac:dyDescent="0.3">
      <c r="A2468" s="359" t="s">
        <v>2109</v>
      </c>
      <c r="B2468" s="572" t="s">
        <v>4053</v>
      </c>
      <c r="C2468" s="546" t="s">
        <v>3249</v>
      </c>
      <c r="D2468" s="360">
        <v>0.4</v>
      </c>
      <c r="E2468" s="393"/>
      <c r="F2468" s="523"/>
      <c r="G2468" s="393"/>
      <c r="H2468" s="573"/>
      <c r="I2468" s="394"/>
      <c r="J2468" s="394"/>
      <c r="K2468" s="394"/>
      <c r="L2468" s="394"/>
      <c r="M2468" s="394"/>
      <c r="N2468" s="394"/>
      <c r="O2468" s="394"/>
      <c r="P2468" s="394"/>
      <c r="Q2468" s="394"/>
      <c r="R2468" s="381"/>
      <c r="S2468" s="408"/>
      <c r="T2468" s="385"/>
      <c r="U2468" s="475"/>
      <c r="V2468" s="395"/>
      <c r="W2468" s="395"/>
      <c r="X2468" s="393"/>
      <c r="Y2468" s="523">
        <v>1</v>
      </c>
      <c r="Z2468" s="497"/>
      <c r="AA2468" s="573">
        <v>17.85737</v>
      </c>
      <c r="AB2468" s="394">
        <v>15.36416</v>
      </c>
      <c r="AC2468" s="394">
        <v>14.417949999999999</v>
      </c>
      <c r="AD2468" s="394"/>
      <c r="AE2468" s="394"/>
      <c r="AF2468" s="394">
        <v>0</v>
      </c>
      <c r="AG2468" s="394">
        <v>0</v>
      </c>
      <c r="AH2468" s="394">
        <v>0.58123999999999998</v>
      </c>
      <c r="AI2468" s="394">
        <v>14.417949999999999</v>
      </c>
      <c r="AJ2468" s="394"/>
      <c r="AK2468" s="381" t="s">
        <v>167</v>
      </c>
      <c r="AL2468" s="408" t="s">
        <v>175</v>
      </c>
      <c r="AM2468" s="385"/>
      <c r="AN2468" s="475">
        <v>1257</v>
      </c>
      <c r="AO2468" s="395"/>
      <c r="AP2468" s="395">
        <f t="shared" si="1047"/>
        <v>17.85737</v>
      </c>
      <c r="AQ2468" s="393"/>
      <c r="AR2468" s="523"/>
      <c r="AS2468" s="497"/>
      <c r="AT2468" s="573"/>
      <c r="AU2468" s="394"/>
      <c r="AV2468" s="394"/>
      <c r="AW2468" s="394"/>
      <c r="AX2468" s="394"/>
      <c r="AY2468" s="394"/>
      <c r="AZ2468" s="394"/>
      <c r="BA2468" s="394"/>
      <c r="BB2468" s="394"/>
      <c r="BC2468" s="394"/>
      <c r="BD2468" s="381"/>
      <c r="BE2468" s="408"/>
      <c r="BF2468" s="385"/>
      <c r="BG2468" s="475"/>
      <c r="BH2468" s="395"/>
      <c r="BI2468" s="395" t="e">
        <f t="shared" si="1048"/>
        <v>#DIV/0!</v>
      </c>
    </row>
    <row r="2469" spans="1:61" s="358" customFormat="1" ht="19.2" x14ac:dyDescent="0.3">
      <c r="A2469" s="359" t="s">
        <v>2110</v>
      </c>
      <c r="B2469" s="572" t="s">
        <v>4122</v>
      </c>
      <c r="C2469" s="546" t="s">
        <v>3250</v>
      </c>
      <c r="D2469" s="360">
        <v>0.4</v>
      </c>
      <c r="E2469" s="393"/>
      <c r="F2469" s="523"/>
      <c r="G2469" s="393"/>
      <c r="H2469" s="573"/>
      <c r="I2469" s="394"/>
      <c r="J2469" s="394"/>
      <c r="K2469" s="394"/>
      <c r="L2469" s="394"/>
      <c r="M2469" s="394"/>
      <c r="N2469" s="394"/>
      <c r="O2469" s="394"/>
      <c r="P2469" s="394"/>
      <c r="Q2469" s="394"/>
      <c r="R2469" s="381"/>
      <c r="S2469" s="408"/>
      <c r="T2469" s="385"/>
      <c r="U2469" s="475"/>
      <c r="V2469" s="395"/>
      <c r="W2469" s="395"/>
      <c r="X2469" s="393"/>
      <c r="Y2469" s="523">
        <v>1</v>
      </c>
      <c r="Z2469" s="497"/>
      <c r="AA2469" s="573">
        <v>17.857330000000001</v>
      </c>
      <c r="AB2469" s="394">
        <v>15.36412</v>
      </c>
      <c r="AC2469" s="394">
        <v>14.417949999999999</v>
      </c>
      <c r="AD2469" s="394"/>
      <c r="AE2469" s="394"/>
      <c r="AF2469" s="394">
        <v>0</v>
      </c>
      <c r="AG2469" s="394">
        <v>0</v>
      </c>
      <c r="AH2469" s="394">
        <v>0.58123999999999998</v>
      </c>
      <c r="AI2469" s="394">
        <v>14.417949999999999</v>
      </c>
      <c r="AJ2469" s="394"/>
      <c r="AK2469" s="381" t="s">
        <v>167</v>
      </c>
      <c r="AL2469" s="408" t="s">
        <v>175</v>
      </c>
      <c r="AM2469" s="385"/>
      <c r="AN2469" s="475">
        <v>1258</v>
      </c>
      <c r="AO2469" s="395"/>
      <c r="AP2469" s="395">
        <f t="shared" si="1047"/>
        <v>17.857330000000001</v>
      </c>
      <c r="AQ2469" s="393"/>
      <c r="AR2469" s="523"/>
      <c r="AS2469" s="497"/>
      <c r="AT2469" s="573"/>
      <c r="AU2469" s="394"/>
      <c r="AV2469" s="394"/>
      <c r="AW2469" s="394"/>
      <c r="AX2469" s="394"/>
      <c r="AY2469" s="394"/>
      <c r="AZ2469" s="394"/>
      <c r="BA2469" s="394"/>
      <c r="BB2469" s="394"/>
      <c r="BC2469" s="394"/>
      <c r="BD2469" s="381"/>
      <c r="BE2469" s="408"/>
      <c r="BF2469" s="385"/>
      <c r="BG2469" s="475"/>
      <c r="BH2469" s="395"/>
      <c r="BI2469" s="395" t="e">
        <f t="shared" si="1048"/>
        <v>#DIV/0!</v>
      </c>
    </row>
    <row r="2470" spans="1:61" s="358" customFormat="1" ht="19.2" x14ac:dyDescent="0.3">
      <c r="A2470" s="359" t="s">
        <v>2111</v>
      </c>
      <c r="B2470" s="572" t="s">
        <v>4123</v>
      </c>
      <c r="C2470" s="546" t="s">
        <v>3252</v>
      </c>
      <c r="D2470" s="360">
        <v>0.4</v>
      </c>
      <c r="E2470" s="393"/>
      <c r="F2470" s="523"/>
      <c r="G2470" s="393"/>
      <c r="H2470" s="573"/>
      <c r="I2470" s="394"/>
      <c r="J2470" s="394"/>
      <c r="K2470" s="394"/>
      <c r="L2470" s="394"/>
      <c r="M2470" s="394"/>
      <c r="N2470" s="394"/>
      <c r="O2470" s="394"/>
      <c r="P2470" s="394"/>
      <c r="Q2470" s="394"/>
      <c r="R2470" s="381"/>
      <c r="S2470" s="408"/>
      <c r="T2470" s="385"/>
      <c r="U2470" s="475"/>
      <c r="V2470" s="395"/>
      <c r="W2470" s="395"/>
      <c r="X2470" s="393"/>
      <c r="Y2470" s="523">
        <v>1</v>
      </c>
      <c r="Z2470" s="497"/>
      <c r="AA2470" s="573">
        <v>18.026520000000001</v>
      </c>
      <c r="AB2470" s="394">
        <v>15.53331</v>
      </c>
      <c r="AC2470" s="394">
        <v>14.417960000000001</v>
      </c>
      <c r="AD2470" s="394"/>
      <c r="AE2470" s="394"/>
      <c r="AF2470" s="394">
        <v>0</v>
      </c>
      <c r="AG2470" s="394">
        <v>0</v>
      </c>
      <c r="AH2470" s="394">
        <v>0.58123999999999998</v>
      </c>
      <c r="AI2470" s="394">
        <v>14.417960000000001</v>
      </c>
      <c r="AJ2470" s="394"/>
      <c r="AK2470" s="381" t="s">
        <v>167</v>
      </c>
      <c r="AL2470" s="408" t="s">
        <v>175</v>
      </c>
      <c r="AM2470" s="385"/>
      <c r="AN2470" s="475">
        <v>1259</v>
      </c>
      <c r="AO2470" s="395"/>
      <c r="AP2470" s="395">
        <f t="shared" si="1047"/>
        <v>18.026520000000001</v>
      </c>
      <c r="AQ2470" s="393"/>
      <c r="AR2470" s="523"/>
      <c r="AS2470" s="497"/>
      <c r="AT2470" s="573"/>
      <c r="AU2470" s="394"/>
      <c r="AV2470" s="394"/>
      <c r="AW2470" s="394"/>
      <c r="AX2470" s="394"/>
      <c r="AY2470" s="394"/>
      <c r="AZ2470" s="394"/>
      <c r="BA2470" s="394"/>
      <c r="BB2470" s="394"/>
      <c r="BC2470" s="394"/>
      <c r="BD2470" s="381"/>
      <c r="BE2470" s="408"/>
      <c r="BF2470" s="385"/>
      <c r="BG2470" s="475"/>
      <c r="BH2470" s="395"/>
      <c r="BI2470" s="395" t="e">
        <f t="shared" si="1048"/>
        <v>#DIV/0!</v>
      </c>
    </row>
    <row r="2471" spans="1:61" s="358" customFormat="1" ht="19.2" x14ac:dyDescent="0.3">
      <c r="A2471" s="359" t="s">
        <v>2112</v>
      </c>
      <c r="B2471" s="572" t="s">
        <v>4124</v>
      </c>
      <c r="C2471" s="546" t="s">
        <v>3253</v>
      </c>
      <c r="D2471" s="360">
        <v>0.4</v>
      </c>
      <c r="E2471" s="393"/>
      <c r="F2471" s="523"/>
      <c r="G2471" s="393"/>
      <c r="H2471" s="573"/>
      <c r="I2471" s="394"/>
      <c r="J2471" s="394"/>
      <c r="K2471" s="394"/>
      <c r="L2471" s="394"/>
      <c r="M2471" s="394"/>
      <c r="N2471" s="394"/>
      <c r="O2471" s="394"/>
      <c r="P2471" s="394"/>
      <c r="Q2471" s="394"/>
      <c r="R2471" s="381"/>
      <c r="S2471" s="408"/>
      <c r="T2471" s="385"/>
      <c r="U2471" s="475"/>
      <c r="V2471" s="395"/>
      <c r="W2471" s="395"/>
      <c r="X2471" s="393"/>
      <c r="Y2471" s="523">
        <v>1</v>
      </c>
      <c r="Z2471" s="497"/>
      <c r="AA2471" s="573">
        <v>17.857330000000001</v>
      </c>
      <c r="AB2471" s="394">
        <v>15.36412</v>
      </c>
      <c r="AC2471" s="394">
        <v>14.417949999999999</v>
      </c>
      <c r="AD2471" s="394"/>
      <c r="AE2471" s="394"/>
      <c r="AF2471" s="394">
        <v>0</v>
      </c>
      <c r="AG2471" s="394">
        <v>0</v>
      </c>
      <c r="AH2471" s="394">
        <v>0.58123999999999998</v>
      </c>
      <c r="AI2471" s="394">
        <v>14.417949999999999</v>
      </c>
      <c r="AJ2471" s="394"/>
      <c r="AK2471" s="381" t="s">
        <v>167</v>
      </c>
      <c r="AL2471" s="408" t="s">
        <v>175</v>
      </c>
      <c r="AM2471" s="385"/>
      <c r="AN2471" s="475">
        <v>1260</v>
      </c>
      <c r="AO2471" s="395"/>
      <c r="AP2471" s="395">
        <f t="shared" si="1047"/>
        <v>17.857330000000001</v>
      </c>
      <c r="AQ2471" s="393"/>
      <c r="AR2471" s="523"/>
      <c r="AS2471" s="497"/>
      <c r="AT2471" s="573"/>
      <c r="AU2471" s="394"/>
      <c r="AV2471" s="394"/>
      <c r="AW2471" s="394"/>
      <c r="AX2471" s="394"/>
      <c r="AY2471" s="394"/>
      <c r="AZ2471" s="394"/>
      <c r="BA2471" s="394"/>
      <c r="BB2471" s="394"/>
      <c r="BC2471" s="394"/>
      <c r="BD2471" s="381"/>
      <c r="BE2471" s="408"/>
      <c r="BF2471" s="385"/>
      <c r="BG2471" s="475"/>
      <c r="BH2471" s="395"/>
      <c r="BI2471" s="395" t="e">
        <f t="shared" si="1048"/>
        <v>#DIV/0!</v>
      </c>
    </row>
    <row r="2472" spans="1:61" s="358" customFormat="1" ht="19.2" x14ac:dyDescent="0.3">
      <c r="A2472" s="359" t="s">
        <v>2113</v>
      </c>
      <c r="B2472" s="572" t="s">
        <v>4125</v>
      </c>
      <c r="C2472" s="546" t="s">
        <v>3254</v>
      </c>
      <c r="D2472" s="360">
        <v>0.4</v>
      </c>
      <c r="E2472" s="393"/>
      <c r="F2472" s="523"/>
      <c r="G2472" s="393"/>
      <c r="H2472" s="573"/>
      <c r="I2472" s="394"/>
      <c r="J2472" s="394"/>
      <c r="K2472" s="394"/>
      <c r="L2472" s="394"/>
      <c r="M2472" s="394"/>
      <c r="N2472" s="394"/>
      <c r="O2472" s="394"/>
      <c r="P2472" s="394"/>
      <c r="Q2472" s="394"/>
      <c r="R2472" s="381"/>
      <c r="S2472" s="408"/>
      <c r="T2472" s="385"/>
      <c r="U2472" s="475"/>
      <c r="V2472" s="395"/>
      <c r="W2472" s="395"/>
      <c r="X2472" s="393"/>
      <c r="Y2472" s="523">
        <v>1</v>
      </c>
      <c r="Z2472" s="497"/>
      <c r="AA2472" s="573">
        <v>18.026520000000001</v>
      </c>
      <c r="AB2472" s="394">
        <v>15.53331</v>
      </c>
      <c r="AC2472" s="394">
        <v>14.417960000000001</v>
      </c>
      <c r="AD2472" s="394"/>
      <c r="AE2472" s="394"/>
      <c r="AF2472" s="394">
        <v>0</v>
      </c>
      <c r="AG2472" s="394">
        <v>0</v>
      </c>
      <c r="AH2472" s="394">
        <v>0.58123999999999998</v>
      </c>
      <c r="AI2472" s="394">
        <v>14.417960000000001</v>
      </c>
      <c r="AJ2472" s="394"/>
      <c r="AK2472" s="381" t="s">
        <v>167</v>
      </c>
      <c r="AL2472" s="408" t="s">
        <v>175</v>
      </c>
      <c r="AM2472" s="385"/>
      <c r="AN2472" s="475">
        <v>1261</v>
      </c>
      <c r="AO2472" s="395"/>
      <c r="AP2472" s="395">
        <f t="shared" si="1047"/>
        <v>18.026520000000001</v>
      </c>
      <c r="AQ2472" s="393"/>
      <c r="AR2472" s="523"/>
      <c r="AS2472" s="497"/>
      <c r="AT2472" s="573"/>
      <c r="AU2472" s="394"/>
      <c r="AV2472" s="394"/>
      <c r="AW2472" s="394"/>
      <c r="AX2472" s="394"/>
      <c r="AY2472" s="394"/>
      <c r="AZ2472" s="394"/>
      <c r="BA2472" s="394"/>
      <c r="BB2472" s="394"/>
      <c r="BC2472" s="394"/>
      <c r="BD2472" s="381"/>
      <c r="BE2472" s="408"/>
      <c r="BF2472" s="385"/>
      <c r="BG2472" s="475"/>
      <c r="BH2472" s="395"/>
      <c r="BI2472" s="395" t="e">
        <f t="shared" si="1048"/>
        <v>#DIV/0!</v>
      </c>
    </row>
    <row r="2473" spans="1:61" s="358" customFormat="1" ht="19.2" x14ac:dyDescent="0.3">
      <c r="A2473" s="359" t="s">
        <v>2114</v>
      </c>
      <c r="B2473" s="572" t="s">
        <v>4126</v>
      </c>
      <c r="C2473" s="546" t="s">
        <v>3255</v>
      </c>
      <c r="D2473" s="360">
        <v>0.4</v>
      </c>
      <c r="E2473" s="393"/>
      <c r="F2473" s="523"/>
      <c r="G2473" s="393"/>
      <c r="H2473" s="573"/>
      <c r="I2473" s="394"/>
      <c r="J2473" s="394"/>
      <c r="K2473" s="394"/>
      <c r="L2473" s="394"/>
      <c r="M2473" s="394"/>
      <c r="N2473" s="394"/>
      <c r="O2473" s="394"/>
      <c r="P2473" s="394"/>
      <c r="Q2473" s="394"/>
      <c r="R2473" s="381"/>
      <c r="S2473" s="408"/>
      <c r="T2473" s="385"/>
      <c r="U2473" s="475"/>
      <c r="V2473" s="395"/>
      <c r="W2473" s="395"/>
      <c r="X2473" s="393"/>
      <c r="Y2473" s="523">
        <v>1</v>
      </c>
      <c r="Z2473" s="497"/>
      <c r="AA2473" s="573">
        <v>18.026520000000001</v>
      </c>
      <c r="AB2473" s="394">
        <v>15.53331</v>
      </c>
      <c r="AC2473" s="394">
        <v>14.417960000000001</v>
      </c>
      <c r="AD2473" s="394"/>
      <c r="AE2473" s="394"/>
      <c r="AF2473" s="394">
        <v>0</v>
      </c>
      <c r="AG2473" s="394">
        <v>0</v>
      </c>
      <c r="AH2473" s="394">
        <v>0.58123999999999998</v>
      </c>
      <c r="AI2473" s="394">
        <v>14.417960000000001</v>
      </c>
      <c r="AJ2473" s="394"/>
      <c r="AK2473" s="381" t="s">
        <v>167</v>
      </c>
      <c r="AL2473" s="408" t="s">
        <v>175</v>
      </c>
      <c r="AM2473" s="385"/>
      <c r="AN2473" s="475">
        <v>1262</v>
      </c>
      <c r="AO2473" s="395"/>
      <c r="AP2473" s="395">
        <f t="shared" si="1047"/>
        <v>18.026520000000001</v>
      </c>
      <c r="AQ2473" s="393"/>
      <c r="AR2473" s="523"/>
      <c r="AS2473" s="497"/>
      <c r="AT2473" s="573"/>
      <c r="AU2473" s="394"/>
      <c r="AV2473" s="394"/>
      <c r="AW2473" s="394"/>
      <c r="AX2473" s="394"/>
      <c r="AY2473" s="394"/>
      <c r="AZ2473" s="394"/>
      <c r="BA2473" s="394"/>
      <c r="BB2473" s="394"/>
      <c r="BC2473" s="394"/>
      <c r="BD2473" s="381"/>
      <c r="BE2473" s="408"/>
      <c r="BF2473" s="385"/>
      <c r="BG2473" s="475"/>
      <c r="BH2473" s="395"/>
      <c r="BI2473" s="395" t="e">
        <f t="shared" si="1048"/>
        <v>#DIV/0!</v>
      </c>
    </row>
    <row r="2474" spans="1:61" s="358" customFormat="1" ht="19.2" x14ac:dyDescent="0.3">
      <c r="A2474" s="359" t="s">
        <v>2115</v>
      </c>
      <c r="B2474" s="572" t="s">
        <v>4127</v>
      </c>
      <c r="C2474" s="546" t="s">
        <v>3256</v>
      </c>
      <c r="D2474" s="360">
        <v>0.4</v>
      </c>
      <c r="E2474" s="393"/>
      <c r="F2474" s="523"/>
      <c r="G2474" s="393"/>
      <c r="H2474" s="573"/>
      <c r="I2474" s="394"/>
      <c r="J2474" s="394"/>
      <c r="K2474" s="394"/>
      <c r="L2474" s="394"/>
      <c r="M2474" s="394"/>
      <c r="N2474" s="394"/>
      <c r="O2474" s="394"/>
      <c r="P2474" s="394"/>
      <c r="Q2474" s="394"/>
      <c r="R2474" s="381"/>
      <c r="S2474" s="408"/>
      <c r="T2474" s="385"/>
      <c r="U2474" s="475"/>
      <c r="V2474" s="395"/>
      <c r="W2474" s="395"/>
      <c r="X2474" s="393"/>
      <c r="Y2474" s="523">
        <v>1</v>
      </c>
      <c r="Z2474" s="497"/>
      <c r="AA2474" s="573">
        <v>18.026520000000001</v>
      </c>
      <c r="AB2474" s="394">
        <v>15.53331</v>
      </c>
      <c r="AC2474" s="394">
        <v>14.417960000000001</v>
      </c>
      <c r="AD2474" s="394"/>
      <c r="AE2474" s="394"/>
      <c r="AF2474" s="394">
        <v>0</v>
      </c>
      <c r="AG2474" s="394">
        <v>0</v>
      </c>
      <c r="AH2474" s="394">
        <v>0.58123999999999998</v>
      </c>
      <c r="AI2474" s="394">
        <v>14.417960000000001</v>
      </c>
      <c r="AJ2474" s="394"/>
      <c r="AK2474" s="381" t="s">
        <v>167</v>
      </c>
      <c r="AL2474" s="408" t="s">
        <v>175</v>
      </c>
      <c r="AM2474" s="385"/>
      <c r="AN2474" s="475">
        <v>1263</v>
      </c>
      <c r="AO2474" s="395"/>
      <c r="AP2474" s="395">
        <f t="shared" si="1047"/>
        <v>18.026520000000001</v>
      </c>
      <c r="AQ2474" s="393"/>
      <c r="AR2474" s="523"/>
      <c r="AS2474" s="497"/>
      <c r="AT2474" s="573"/>
      <c r="AU2474" s="394"/>
      <c r="AV2474" s="394"/>
      <c r="AW2474" s="394"/>
      <c r="AX2474" s="394"/>
      <c r="AY2474" s="394"/>
      <c r="AZ2474" s="394"/>
      <c r="BA2474" s="394"/>
      <c r="BB2474" s="394"/>
      <c r="BC2474" s="394"/>
      <c r="BD2474" s="381"/>
      <c r="BE2474" s="408"/>
      <c r="BF2474" s="385"/>
      <c r="BG2474" s="475"/>
      <c r="BH2474" s="395"/>
      <c r="BI2474" s="395" t="e">
        <f t="shared" si="1048"/>
        <v>#DIV/0!</v>
      </c>
    </row>
    <row r="2475" spans="1:61" s="358" customFormat="1" ht="19.2" x14ac:dyDescent="0.3">
      <c r="A2475" s="359" t="s">
        <v>2132</v>
      </c>
      <c r="B2475" s="572" t="s">
        <v>4128</v>
      </c>
      <c r="C2475" s="546" t="s">
        <v>3257</v>
      </c>
      <c r="D2475" s="360">
        <v>0.4</v>
      </c>
      <c r="E2475" s="393"/>
      <c r="F2475" s="523"/>
      <c r="G2475" s="393"/>
      <c r="H2475" s="573"/>
      <c r="I2475" s="394"/>
      <c r="J2475" s="394"/>
      <c r="K2475" s="394"/>
      <c r="L2475" s="394"/>
      <c r="M2475" s="394"/>
      <c r="N2475" s="394"/>
      <c r="O2475" s="394"/>
      <c r="P2475" s="394"/>
      <c r="Q2475" s="394"/>
      <c r="R2475" s="381"/>
      <c r="S2475" s="408"/>
      <c r="T2475" s="385"/>
      <c r="U2475" s="475"/>
      <c r="V2475" s="395"/>
      <c r="W2475" s="395"/>
      <c r="X2475" s="393"/>
      <c r="Y2475" s="523">
        <v>1</v>
      </c>
      <c r="Z2475" s="497"/>
      <c r="AA2475" s="573">
        <v>17.857330000000001</v>
      </c>
      <c r="AB2475" s="394">
        <v>15.36412</v>
      </c>
      <c r="AC2475" s="394">
        <v>14.417949999999999</v>
      </c>
      <c r="AD2475" s="394"/>
      <c r="AE2475" s="394"/>
      <c r="AF2475" s="394">
        <v>0</v>
      </c>
      <c r="AG2475" s="394">
        <v>0</v>
      </c>
      <c r="AH2475" s="394">
        <v>0.58123999999999998</v>
      </c>
      <c r="AI2475" s="394">
        <v>14.417949999999999</v>
      </c>
      <c r="AJ2475" s="394"/>
      <c r="AK2475" s="381" t="s">
        <v>167</v>
      </c>
      <c r="AL2475" s="408" t="s">
        <v>175</v>
      </c>
      <c r="AM2475" s="385"/>
      <c r="AN2475" s="475">
        <v>1264</v>
      </c>
      <c r="AO2475" s="395"/>
      <c r="AP2475" s="395">
        <f t="shared" si="1047"/>
        <v>17.857330000000001</v>
      </c>
      <c r="AQ2475" s="393"/>
      <c r="AR2475" s="523"/>
      <c r="AS2475" s="497"/>
      <c r="AT2475" s="573"/>
      <c r="AU2475" s="394"/>
      <c r="AV2475" s="394"/>
      <c r="AW2475" s="394"/>
      <c r="AX2475" s="394"/>
      <c r="AY2475" s="394"/>
      <c r="AZ2475" s="394"/>
      <c r="BA2475" s="394"/>
      <c r="BB2475" s="394"/>
      <c r="BC2475" s="394"/>
      <c r="BD2475" s="381"/>
      <c r="BE2475" s="408"/>
      <c r="BF2475" s="385"/>
      <c r="BG2475" s="475"/>
      <c r="BH2475" s="395"/>
      <c r="BI2475" s="395" t="e">
        <f t="shared" si="1048"/>
        <v>#DIV/0!</v>
      </c>
    </row>
    <row r="2476" spans="1:61" s="358" customFormat="1" ht="19.2" x14ac:dyDescent="0.3">
      <c r="A2476" s="359" t="s">
        <v>2117</v>
      </c>
      <c r="B2476" s="572" t="s">
        <v>4129</v>
      </c>
      <c r="C2476" s="546" t="s">
        <v>3258</v>
      </c>
      <c r="D2476" s="360">
        <v>0.4</v>
      </c>
      <c r="E2476" s="393"/>
      <c r="F2476" s="523"/>
      <c r="G2476" s="393"/>
      <c r="H2476" s="573"/>
      <c r="I2476" s="394"/>
      <c r="J2476" s="394"/>
      <c r="K2476" s="394"/>
      <c r="L2476" s="394"/>
      <c r="M2476" s="394"/>
      <c r="N2476" s="394"/>
      <c r="O2476" s="394"/>
      <c r="P2476" s="394"/>
      <c r="Q2476" s="394"/>
      <c r="R2476" s="381"/>
      <c r="S2476" s="408"/>
      <c r="T2476" s="385"/>
      <c r="U2476" s="475"/>
      <c r="V2476" s="395"/>
      <c r="W2476" s="395"/>
      <c r="X2476" s="393"/>
      <c r="Y2476" s="523">
        <v>1</v>
      </c>
      <c r="Z2476" s="497"/>
      <c r="AA2476" s="573">
        <v>18.026520000000001</v>
      </c>
      <c r="AB2476" s="394">
        <v>15.53331</v>
      </c>
      <c r="AC2476" s="394">
        <v>14.417960000000001</v>
      </c>
      <c r="AD2476" s="394"/>
      <c r="AE2476" s="394"/>
      <c r="AF2476" s="394">
        <v>0</v>
      </c>
      <c r="AG2476" s="394">
        <v>0</v>
      </c>
      <c r="AH2476" s="394">
        <v>0.58123999999999998</v>
      </c>
      <c r="AI2476" s="394">
        <v>14.417960000000001</v>
      </c>
      <c r="AJ2476" s="394"/>
      <c r="AK2476" s="381" t="s">
        <v>167</v>
      </c>
      <c r="AL2476" s="408" t="s">
        <v>175</v>
      </c>
      <c r="AM2476" s="385"/>
      <c r="AN2476" s="475">
        <v>1265</v>
      </c>
      <c r="AO2476" s="395"/>
      <c r="AP2476" s="395">
        <f t="shared" si="1047"/>
        <v>18.026520000000001</v>
      </c>
      <c r="AQ2476" s="393"/>
      <c r="AR2476" s="523"/>
      <c r="AS2476" s="497"/>
      <c r="AT2476" s="573"/>
      <c r="AU2476" s="394"/>
      <c r="AV2476" s="394"/>
      <c r="AW2476" s="394"/>
      <c r="AX2476" s="394"/>
      <c r="AY2476" s="394"/>
      <c r="AZ2476" s="394"/>
      <c r="BA2476" s="394"/>
      <c r="BB2476" s="394"/>
      <c r="BC2476" s="394"/>
      <c r="BD2476" s="381"/>
      <c r="BE2476" s="408"/>
      <c r="BF2476" s="385"/>
      <c r="BG2476" s="475"/>
      <c r="BH2476" s="395"/>
      <c r="BI2476" s="395" t="e">
        <f t="shared" si="1048"/>
        <v>#DIV/0!</v>
      </c>
    </row>
    <row r="2477" spans="1:61" s="358" customFormat="1" ht="19.2" x14ac:dyDescent="0.3">
      <c r="A2477" s="359" t="s">
        <v>2118</v>
      </c>
      <c r="B2477" s="572" t="s">
        <v>4130</v>
      </c>
      <c r="C2477" s="546" t="s">
        <v>3259</v>
      </c>
      <c r="D2477" s="360">
        <v>0.4</v>
      </c>
      <c r="E2477" s="393"/>
      <c r="F2477" s="523"/>
      <c r="G2477" s="393"/>
      <c r="H2477" s="573"/>
      <c r="I2477" s="394"/>
      <c r="J2477" s="394"/>
      <c r="K2477" s="394"/>
      <c r="L2477" s="394"/>
      <c r="M2477" s="394"/>
      <c r="N2477" s="394"/>
      <c r="O2477" s="394"/>
      <c r="P2477" s="394"/>
      <c r="Q2477" s="394"/>
      <c r="R2477" s="381"/>
      <c r="S2477" s="408"/>
      <c r="T2477" s="385"/>
      <c r="U2477" s="475"/>
      <c r="V2477" s="395"/>
      <c r="W2477" s="395"/>
      <c r="X2477" s="393"/>
      <c r="Y2477" s="523">
        <v>1</v>
      </c>
      <c r="Z2477" s="497"/>
      <c r="AA2477" s="573">
        <v>17.857330000000001</v>
      </c>
      <c r="AB2477" s="394">
        <v>15.36412</v>
      </c>
      <c r="AC2477" s="394">
        <v>14.417949999999999</v>
      </c>
      <c r="AD2477" s="394"/>
      <c r="AE2477" s="394"/>
      <c r="AF2477" s="394">
        <v>0</v>
      </c>
      <c r="AG2477" s="394">
        <v>0</v>
      </c>
      <c r="AH2477" s="394">
        <v>0.58123999999999998</v>
      </c>
      <c r="AI2477" s="394">
        <v>14.417949999999999</v>
      </c>
      <c r="AJ2477" s="394"/>
      <c r="AK2477" s="381" t="s">
        <v>167</v>
      </c>
      <c r="AL2477" s="408" t="s">
        <v>175</v>
      </c>
      <c r="AM2477" s="385"/>
      <c r="AN2477" s="475">
        <v>1266</v>
      </c>
      <c r="AO2477" s="395"/>
      <c r="AP2477" s="395">
        <f t="shared" si="1047"/>
        <v>17.857330000000001</v>
      </c>
      <c r="AQ2477" s="393"/>
      <c r="AR2477" s="523"/>
      <c r="AS2477" s="497"/>
      <c r="AT2477" s="573"/>
      <c r="AU2477" s="394"/>
      <c r="AV2477" s="394"/>
      <c r="AW2477" s="394"/>
      <c r="AX2477" s="394"/>
      <c r="AY2477" s="394"/>
      <c r="AZ2477" s="394"/>
      <c r="BA2477" s="394"/>
      <c r="BB2477" s="394"/>
      <c r="BC2477" s="394"/>
      <c r="BD2477" s="381"/>
      <c r="BE2477" s="408"/>
      <c r="BF2477" s="385"/>
      <c r="BG2477" s="475"/>
      <c r="BH2477" s="395"/>
      <c r="BI2477" s="395" t="e">
        <f t="shared" si="1048"/>
        <v>#DIV/0!</v>
      </c>
    </row>
    <row r="2478" spans="1:61" s="358" customFormat="1" ht="19.2" x14ac:dyDescent="0.3">
      <c r="A2478" s="359" t="s">
        <v>2119</v>
      </c>
      <c r="B2478" s="572" t="s">
        <v>4049</v>
      </c>
      <c r="C2478" s="546" t="s">
        <v>3260</v>
      </c>
      <c r="D2478" s="360">
        <v>0.4</v>
      </c>
      <c r="E2478" s="393"/>
      <c r="F2478" s="523"/>
      <c r="G2478" s="393"/>
      <c r="H2478" s="573"/>
      <c r="I2478" s="394"/>
      <c r="J2478" s="394"/>
      <c r="K2478" s="394"/>
      <c r="L2478" s="394"/>
      <c r="M2478" s="394"/>
      <c r="N2478" s="394"/>
      <c r="O2478" s="394"/>
      <c r="P2478" s="394"/>
      <c r="Q2478" s="394"/>
      <c r="R2478" s="381"/>
      <c r="S2478" s="408"/>
      <c r="T2478" s="385"/>
      <c r="U2478" s="475"/>
      <c r="V2478" s="395"/>
      <c r="W2478" s="395"/>
      <c r="X2478" s="393"/>
      <c r="Y2478" s="523">
        <v>1</v>
      </c>
      <c r="Z2478" s="497"/>
      <c r="AA2478" s="573">
        <v>17.857340000000001</v>
      </c>
      <c r="AB2478" s="394">
        <v>15.364129999999999</v>
      </c>
      <c r="AC2478" s="394">
        <v>14.417949999999999</v>
      </c>
      <c r="AD2478" s="394"/>
      <c r="AE2478" s="394"/>
      <c r="AF2478" s="394">
        <v>0</v>
      </c>
      <c r="AG2478" s="394">
        <v>0</v>
      </c>
      <c r="AH2478" s="394">
        <v>0.58123999999999998</v>
      </c>
      <c r="AI2478" s="394">
        <v>14.417949999999999</v>
      </c>
      <c r="AJ2478" s="394"/>
      <c r="AK2478" s="381" t="s">
        <v>167</v>
      </c>
      <c r="AL2478" s="408" t="s">
        <v>175</v>
      </c>
      <c r="AM2478" s="385"/>
      <c r="AN2478" s="475">
        <v>1267</v>
      </c>
      <c r="AO2478" s="395"/>
      <c r="AP2478" s="395">
        <f t="shared" si="1047"/>
        <v>17.857340000000001</v>
      </c>
      <c r="AQ2478" s="393"/>
      <c r="AR2478" s="523"/>
      <c r="AS2478" s="497"/>
      <c r="AT2478" s="573"/>
      <c r="AU2478" s="394"/>
      <c r="AV2478" s="394"/>
      <c r="AW2478" s="394"/>
      <c r="AX2478" s="394"/>
      <c r="AY2478" s="394"/>
      <c r="AZ2478" s="394"/>
      <c r="BA2478" s="394"/>
      <c r="BB2478" s="394"/>
      <c r="BC2478" s="394"/>
      <c r="BD2478" s="381"/>
      <c r="BE2478" s="408"/>
      <c r="BF2478" s="385"/>
      <c r="BG2478" s="475"/>
      <c r="BH2478" s="395"/>
      <c r="BI2478" s="395" t="e">
        <f t="shared" si="1048"/>
        <v>#DIV/0!</v>
      </c>
    </row>
    <row r="2479" spans="1:61" s="358" customFormat="1" ht="19.2" x14ac:dyDescent="0.3">
      <c r="A2479" s="359" t="s">
        <v>2136</v>
      </c>
      <c r="B2479" s="572" t="s">
        <v>4131</v>
      </c>
      <c r="C2479" s="546" t="s">
        <v>3261</v>
      </c>
      <c r="D2479" s="360">
        <v>0.4</v>
      </c>
      <c r="E2479" s="393"/>
      <c r="F2479" s="523"/>
      <c r="G2479" s="393"/>
      <c r="H2479" s="573"/>
      <c r="I2479" s="394"/>
      <c r="J2479" s="394"/>
      <c r="K2479" s="394"/>
      <c r="L2479" s="394"/>
      <c r="M2479" s="394"/>
      <c r="N2479" s="394"/>
      <c r="O2479" s="394"/>
      <c r="P2479" s="394"/>
      <c r="Q2479" s="394"/>
      <c r="R2479" s="381"/>
      <c r="S2479" s="408"/>
      <c r="T2479" s="385"/>
      <c r="U2479" s="475"/>
      <c r="V2479" s="395"/>
      <c r="W2479" s="395"/>
      <c r="X2479" s="393"/>
      <c r="Y2479" s="523">
        <v>1</v>
      </c>
      <c r="Z2479" s="497"/>
      <c r="AA2479" s="573">
        <v>17.857330000000001</v>
      </c>
      <c r="AB2479" s="394">
        <v>15.36412</v>
      </c>
      <c r="AC2479" s="394">
        <v>14.417949999999999</v>
      </c>
      <c r="AD2479" s="394"/>
      <c r="AE2479" s="394"/>
      <c r="AF2479" s="394">
        <v>0</v>
      </c>
      <c r="AG2479" s="394">
        <v>0</v>
      </c>
      <c r="AH2479" s="394">
        <v>0.58123999999999998</v>
      </c>
      <c r="AI2479" s="394">
        <v>14.417949999999999</v>
      </c>
      <c r="AJ2479" s="394"/>
      <c r="AK2479" s="381" t="s">
        <v>167</v>
      </c>
      <c r="AL2479" s="408" t="s">
        <v>175</v>
      </c>
      <c r="AM2479" s="385"/>
      <c r="AN2479" s="475">
        <v>1268</v>
      </c>
      <c r="AO2479" s="395"/>
      <c r="AP2479" s="395">
        <f t="shared" si="1047"/>
        <v>17.857330000000001</v>
      </c>
      <c r="AQ2479" s="393"/>
      <c r="AR2479" s="523"/>
      <c r="AS2479" s="497"/>
      <c r="AT2479" s="573"/>
      <c r="AU2479" s="394"/>
      <c r="AV2479" s="394"/>
      <c r="AW2479" s="394"/>
      <c r="AX2479" s="394"/>
      <c r="AY2479" s="394"/>
      <c r="AZ2479" s="394"/>
      <c r="BA2479" s="394"/>
      <c r="BB2479" s="394"/>
      <c r="BC2479" s="394"/>
      <c r="BD2479" s="381"/>
      <c r="BE2479" s="408"/>
      <c r="BF2479" s="385"/>
      <c r="BG2479" s="475"/>
      <c r="BH2479" s="395"/>
      <c r="BI2479" s="395" t="e">
        <f t="shared" si="1048"/>
        <v>#DIV/0!</v>
      </c>
    </row>
    <row r="2480" spans="1:61" s="358" customFormat="1" ht="19.2" x14ac:dyDescent="0.3">
      <c r="A2480" s="359" t="s">
        <v>2121</v>
      </c>
      <c r="B2480" s="572" t="s">
        <v>4132</v>
      </c>
      <c r="C2480" s="546" t="s">
        <v>3262</v>
      </c>
      <c r="D2480" s="360">
        <v>0.4</v>
      </c>
      <c r="E2480" s="393"/>
      <c r="F2480" s="523"/>
      <c r="G2480" s="393"/>
      <c r="H2480" s="573"/>
      <c r="I2480" s="394"/>
      <c r="J2480" s="394"/>
      <c r="K2480" s="394"/>
      <c r="L2480" s="394"/>
      <c r="M2480" s="394"/>
      <c r="N2480" s="394"/>
      <c r="O2480" s="394"/>
      <c r="P2480" s="394"/>
      <c r="Q2480" s="394"/>
      <c r="R2480" s="381"/>
      <c r="S2480" s="408"/>
      <c r="T2480" s="385"/>
      <c r="U2480" s="475"/>
      <c r="V2480" s="395"/>
      <c r="W2480" s="395"/>
      <c r="X2480" s="393"/>
      <c r="Y2480" s="523">
        <v>1</v>
      </c>
      <c r="Z2480" s="497"/>
      <c r="AA2480" s="573">
        <v>17.857330000000001</v>
      </c>
      <c r="AB2480" s="394">
        <v>15.36412</v>
      </c>
      <c r="AC2480" s="394">
        <v>14.417949999999999</v>
      </c>
      <c r="AD2480" s="394"/>
      <c r="AE2480" s="394"/>
      <c r="AF2480" s="394">
        <v>0</v>
      </c>
      <c r="AG2480" s="394">
        <v>0</v>
      </c>
      <c r="AH2480" s="394">
        <v>0.58123999999999998</v>
      </c>
      <c r="AI2480" s="394">
        <v>14.417949999999999</v>
      </c>
      <c r="AJ2480" s="394"/>
      <c r="AK2480" s="381" t="s">
        <v>167</v>
      </c>
      <c r="AL2480" s="408" t="s">
        <v>175</v>
      </c>
      <c r="AM2480" s="385"/>
      <c r="AN2480" s="475">
        <v>1269</v>
      </c>
      <c r="AO2480" s="395"/>
      <c r="AP2480" s="395">
        <f t="shared" si="1047"/>
        <v>17.857330000000001</v>
      </c>
      <c r="AQ2480" s="393"/>
      <c r="AR2480" s="523"/>
      <c r="AS2480" s="497"/>
      <c r="AT2480" s="573"/>
      <c r="AU2480" s="394"/>
      <c r="AV2480" s="394"/>
      <c r="AW2480" s="394"/>
      <c r="AX2480" s="394"/>
      <c r="AY2480" s="394"/>
      <c r="AZ2480" s="394"/>
      <c r="BA2480" s="394"/>
      <c r="BB2480" s="394"/>
      <c r="BC2480" s="394"/>
      <c r="BD2480" s="381"/>
      <c r="BE2480" s="408"/>
      <c r="BF2480" s="385"/>
      <c r="BG2480" s="475"/>
      <c r="BH2480" s="395"/>
      <c r="BI2480" s="395" t="e">
        <f t="shared" si="1048"/>
        <v>#DIV/0!</v>
      </c>
    </row>
    <row r="2481" spans="1:61" s="358" customFormat="1" ht="19.2" x14ac:dyDescent="0.3">
      <c r="A2481" s="359" t="s">
        <v>2122</v>
      </c>
      <c r="B2481" s="572" t="s">
        <v>4133</v>
      </c>
      <c r="C2481" s="546" t="s">
        <v>3263</v>
      </c>
      <c r="D2481" s="360">
        <v>0.4</v>
      </c>
      <c r="E2481" s="393"/>
      <c r="F2481" s="523"/>
      <c r="G2481" s="393"/>
      <c r="H2481" s="573"/>
      <c r="I2481" s="394"/>
      <c r="J2481" s="394"/>
      <c r="K2481" s="394"/>
      <c r="L2481" s="394"/>
      <c r="M2481" s="394"/>
      <c r="N2481" s="394"/>
      <c r="O2481" s="394"/>
      <c r="P2481" s="394"/>
      <c r="Q2481" s="394"/>
      <c r="R2481" s="381"/>
      <c r="S2481" s="408"/>
      <c r="T2481" s="385"/>
      <c r="U2481" s="475"/>
      <c r="V2481" s="395"/>
      <c r="W2481" s="395"/>
      <c r="X2481" s="393"/>
      <c r="Y2481" s="523">
        <v>1</v>
      </c>
      <c r="Z2481" s="497"/>
      <c r="AA2481" s="573">
        <v>17.857330000000001</v>
      </c>
      <c r="AB2481" s="394">
        <v>15.36412</v>
      </c>
      <c r="AC2481" s="394">
        <v>14.417949999999999</v>
      </c>
      <c r="AD2481" s="394"/>
      <c r="AE2481" s="394"/>
      <c r="AF2481" s="394">
        <v>0</v>
      </c>
      <c r="AG2481" s="394">
        <v>0</v>
      </c>
      <c r="AH2481" s="394">
        <v>0.58123999999999998</v>
      </c>
      <c r="AI2481" s="394">
        <v>14.417949999999999</v>
      </c>
      <c r="AJ2481" s="394"/>
      <c r="AK2481" s="381" t="s">
        <v>167</v>
      </c>
      <c r="AL2481" s="408" t="s">
        <v>175</v>
      </c>
      <c r="AM2481" s="385"/>
      <c r="AN2481" s="475">
        <v>1270</v>
      </c>
      <c r="AO2481" s="395"/>
      <c r="AP2481" s="395">
        <f t="shared" si="1047"/>
        <v>17.857330000000001</v>
      </c>
      <c r="AQ2481" s="393"/>
      <c r="AR2481" s="523"/>
      <c r="AS2481" s="497"/>
      <c r="AT2481" s="573"/>
      <c r="AU2481" s="394"/>
      <c r="AV2481" s="394"/>
      <c r="AW2481" s="394"/>
      <c r="AX2481" s="394"/>
      <c r="AY2481" s="394"/>
      <c r="AZ2481" s="394"/>
      <c r="BA2481" s="394"/>
      <c r="BB2481" s="394"/>
      <c r="BC2481" s="394"/>
      <c r="BD2481" s="381"/>
      <c r="BE2481" s="408"/>
      <c r="BF2481" s="385"/>
      <c r="BG2481" s="475"/>
      <c r="BH2481" s="395"/>
      <c r="BI2481" s="395" t="e">
        <f t="shared" si="1048"/>
        <v>#DIV/0!</v>
      </c>
    </row>
    <row r="2482" spans="1:61" s="358" customFormat="1" ht="19.2" x14ac:dyDescent="0.3">
      <c r="A2482" s="359" t="s">
        <v>2107</v>
      </c>
      <c r="B2482" s="572" t="s">
        <v>4134</v>
      </c>
      <c r="C2482" s="546" t="s">
        <v>3264</v>
      </c>
      <c r="D2482" s="360">
        <v>0.4</v>
      </c>
      <c r="E2482" s="393"/>
      <c r="F2482" s="523"/>
      <c r="G2482" s="393"/>
      <c r="H2482" s="573"/>
      <c r="I2482" s="394"/>
      <c r="J2482" s="394"/>
      <c r="K2482" s="394"/>
      <c r="L2482" s="394"/>
      <c r="M2482" s="394"/>
      <c r="N2482" s="394"/>
      <c r="O2482" s="394"/>
      <c r="P2482" s="394"/>
      <c r="Q2482" s="394"/>
      <c r="R2482" s="381"/>
      <c r="S2482" s="408"/>
      <c r="T2482" s="385"/>
      <c r="U2482" s="475"/>
      <c r="V2482" s="395"/>
      <c r="W2482" s="395"/>
      <c r="X2482" s="393"/>
      <c r="Y2482" s="523">
        <v>1</v>
      </c>
      <c r="Z2482" s="497"/>
      <c r="AA2482" s="573">
        <v>18.026520000000001</v>
      </c>
      <c r="AB2482" s="394">
        <v>15.53331</v>
      </c>
      <c r="AC2482" s="394">
        <v>14.417960000000001</v>
      </c>
      <c r="AD2482" s="394"/>
      <c r="AE2482" s="394"/>
      <c r="AF2482" s="394">
        <v>0</v>
      </c>
      <c r="AG2482" s="394">
        <v>0</v>
      </c>
      <c r="AH2482" s="394">
        <v>0.58123999999999998</v>
      </c>
      <c r="AI2482" s="394">
        <v>14.417960000000001</v>
      </c>
      <c r="AJ2482" s="394"/>
      <c r="AK2482" s="381" t="s">
        <v>167</v>
      </c>
      <c r="AL2482" s="408" t="s">
        <v>175</v>
      </c>
      <c r="AM2482" s="385"/>
      <c r="AN2482" s="475">
        <v>1271</v>
      </c>
      <c r="AO2482" s="395"/>
      <c r="AP2482" s="395">
        <f t="shared" si="1047"/>
        <v>18.026520000000001</v>
      </c>
      <c r="AQ2482" s="393"/>
      <c r="AR2482" s="523"/>
      <c r="AS2482" s="497"/>
      <c r="AT2482" s="573"/>
      <c r="AU2482" s="394"/>
      <c r="AV2482" s="394"/>
      <c r="AW2482" s="394"/>
      <c r="AX2482" s="394"/>
      <c r="AY2482" s="394"/>
      <c r="AZ2482" s="394"/>
      <c r="BA2482" s="394"/>
      <c r="BB2482" s="394"/>
      <c r="BC2482" s="394"/>
      <c r="BD2482" s="381"/>
      <c r="BE2482" s="408"/>
      <c r="BF2482" s="385"/>
      <c r="BG2482" s="475"/>
      <c r="BH2482" s="395"/>
      <c r="BI2482" s="395" t="e">
        <f t="shared" si="1048"/>
        <v>#DIV/0!</v>
      </c>
    </row>
    <row r="2483" spans="1:61" s="358" customFormat="1" ht="19.2" x14ac:dyDescent="0.3">
      <c r="A2483" s="359" t="s">
        <v>2124</v>
      </c>
      <c r="B2483" s="572" t="s">
        <v>4135</v>
      </c>
      <c r="C2483" s="546" t="s">
        <v>3265</v>
      </c>
      <c r="D2483" s="360">
        <v>0.4</v>
      </c>
      <c r="E2483" s="393"/>
      <c r="F2483" s="523"/>
      <c r="G2483" s="393"/>
      <c r="H2483" s="573"/>
      <c r="I2483" s="394"/>
      <c r="J2483" s="394"/>
      <c r="K2483" s="394"/>
      <c r="L2483" s="394"/>
      <c r="M2483" s="394"/>
      <c r="N2483" s="394"/>
      <c r="O2483" s="394"/>
      <c r="P2483" s="394"/>
      <c r="Q2483" s="394"/>
      <c r="R2483" s="381"/>
      <c r="S2483" s="408"/>
      <c r="T2483" s="385"/>
      <c r="U2483" s="475"/>
      <c r="V2483" s="395"/>
      <c r="W2483" s="395"/>
      <c r="X2483" s="393"/>
      <c r="Y2483" s="523">
        <v>1</v>
      </c>
      <c r="Z2483" s="497"/>
      <c r="AA2483" s="573">
        <v>18.026530000000001</v>
      </c>
      <c r="AB2483" s="394">
        <v>15.53332</v>
      </c>
      <c r="AC2483" s="394">
        <v>14.417960000000001</v>
      </c>
      <c r="AD2483" s="394"/>
      <c r="AE2483" s="394"/>
      <c r="AF2483" s="394">
        <v>0</v>
      </c>
      <c r="AG2483" s="394">
        <v>0</v>
      </c>
      <c r="AH2483" s="394">
        <v>0.58123999999999998</v>
      </c>
      <c r="AI2483" s="394">
        <v>14.417960000000001</v>
      </c>
      <c r="AJ2483" s="394"/>
      <c r="AK2483" s="381" t="s">
        <v>167</v>
      </c>
      <c r="AL2483" s="408" t="s">
        <v>175</v>
      </c>
      <c r="AM2483" s="385"/>
      <c r="AN2483" s="475">
        <v>1272</v>
      </c>
      <c r="AO2483" s="395"/>
      <c r="AP2483" s="395">
        <f t="shared" si="1047"/>
        <v>18.026530000000001</v>
      </c>
      <c r="AQ2483" s="393"/>
      <c r="AR2483" s="523"/>
      <c r="AS2483" s="497"/>
      <c r="AT2483" s="573"/>
      <c r="AU2483" s="394"/>
      <c r="AV2483" s="394"/>
      <c r="AW2483" s="394"/>
      <c r="AX2483" s="394"/>
      <c r="AY2483" s="394"/>
      <c r="AZ2483" s="394"/>
      <c r="BA2483" s="394"/>
      <c r="BB2483" s="394"/>
      <c r="BC2483" s="394"/>
      <c r="BD2483" s="381"/>
      <c r="BE2483" s="408"/>
      <c r="BF2483" s="385"/>
      <c r="BG2483" s="475"/>
      <c r="BH2483" s="395"/>
      <c r="BI2483" s="395" t="e">
        <f t="shared" si="1048"/>
        <v>#DIV/0!</v>
      </c>
    </row>
    <row r="2484" spans="1:61" s="358" customFormat="1" ht="19.2" x14ac:dyDescent="0.3">
      <c r="A2484" s="359" t="s">
        <v>2125</v>
      </c>
      <c r="B2484" s="572" t="s">
        <v>4136</v>
      </c>
      <c r="C2484" s="546" t="s">
        <v>3266</v>
      </c>
      <c r="D2484" s="360">
        <v>0.4</v>
      </c>
      <c r="E2484" s="393"/>
      <c r="F2484" s="523"/>
      <c r="G2484" s="393"/>
      <c r="H2484" s="573"/>
      <c r="I2484" s="394"/>
      <c r="J2484" s="394"/>
      <c r="K2484" s="394"/>
      <c r="L2484" s="394"/>
      <c r="M2484" s="394"/>
      <c r="N2484" s="394"/>
      <c r="O2484" s="394"/>
      <c r="P2484" s="394"/>
      <c r="Q2484" s="394"/>
      <c r="R2484" s="381"/>
      <c r="S2484" s="408"/>
      <c r="T2484" s="385"/>
      <c r="U2484" s="475"/>
      <c r="V2484" s="395"/>
      <c r="W2484" s="395"/>
      <c r="X2484" s="393"/>
      <c r="Y2484" s="523">
        <v>1</v>
      </c>
      <c r="Z2484" s="497"/>
      <c r="AA2484" s="573">
        <v>18.026520000000001</v>
      </c>
      <c r="AB2484" s="394">
        <v>15.53331</v>
      </c>
      <c r="AC2484" s="394">
        <v>14.417960000000001</v>
      </c>
      <c r="AD2484" s="394"/>
      <c r="AE2484" s="394"/>
      <c r="AF2484" s="394">
        <v>0</v>
      </c>
      <c r="AG2484" s="394">
        <v>0</v>
      </c>
      <c r="AH2484" s="394">
        <v>0.58123999999999998</v>
      </c>
      <c r="AI2484" s="394">
        <v>14.417960000000001</v>
      </c>
      <c r="AJ2484" s="394"/>
      <c r="AK2484" s="381" t="s">
        <v>167</v>
      </c>
      <c r="AL2484" s="408" t="s">
        <v>175</v>
      </c>
      <c r="AM2484" s="385"/>
      <c r="AN2484" s="475">
        <v>1273</v>
      </c>
      <c r="AO2484" s="395"/>
      <c r="AP2484" s="395">
        <f t="shared" si="1047"/>
        <v>18.026520000000001</v>
      </c>
      <c r="AQ2484" s="393"/>
      <c r="AR2484" s="523"/>
      <c r="AS2484" s="497"/>
      <c r="AT2484" s="573"/>
      <c r="AU2484" s="394"/>
      <c r="AV2484" s="394"/>
      <c r="AW2484" s="394"/>
      <c r="AX2484" s="394"/>
      <c r="AY2484" s="394"/>
      <c r="AZ2484" s="394"/>
      <c r="BA2484" s="394"/>
      <c r="BB2484" s="394"/>
      <c r="BC2484" s="394"/>
      <c r="BD2484" s="381"/>
      <c r="BE2484" s="408"/>
      <c r="BF2484" s="385"/>
      <c r="BG2484" s="475"/>
      <c r="BH2484" s="395"/>
      <c r="BI2484" s="395" t="e">
        <f t="shared" si="1048"/>
        <v>#DIV/0!</v>
      </c>
    </row>
    <row r="2485" spans="1:61" s="358" customFormat="1" ht="19.2" x14ac:dyDescent="0.3">
      <c r="A2485" s="359" t="s">
        <v>2126</v>
      </c>
      <c r="B2485" s="572" t="s">
        <v>4137</v>
      </c>
      <c r="C2485" s="546" t="s">
        <v>3267</v>
      </c>
      <c r="D2485" s="360">
        <v>0.4</v>
      </c>
      <c r="E2485" s="393"/>
      <c r="F2485" s="523"/>
      <c r="G2485" s="393"/>
      <c r="H2485" s="573"/>
      <c r="I2485" s="394"/>
      <c r="J2485" s="394"/>
      <c r="K2485" s="394"/>
      <c r="L2485" s="394"/>
      <c r="M2485" s="394"/>
      <c r="N2485" s="394"/>
      <c r="O2485" s="394"/>
      <c r="P2485" s="394"/>
      <c r="Q2485" s="394"/>
      <c r="R2485" s="381"/>
      <c r="S2485" s="408"/>
      <c r="T2485" s="385"/>
      <c r="U2485" s="475"/>
      <c r="V2485" s="395"/>
      <c r="W2485" s="395"/>
      <c r="X2485" s="393"/>
      <c r="Y2485" s="523">
        <v>1</v>
      </c>
      <c r="Z2485" s="497"/>
      <c r="AA2485" s="573">
        <v>18.026520000000001</v>
      </c>
      <c r="AB2485" s="394">
        <v>15.53331</v>
      </c>
      <c r="AC2485" s="394">
        <v>14.417960000000001</v>
      </c>
      <c r="AD2485" s="394"/>
      <c r="AE2485" s="394"/>
      <c r="AF2485" s="394">
        <v>0</v>
      </c>
      <c r="AG2485" s="394">
        <v>0</v>
      </c>
      <c r="AH2485" s="394">
        <v>0.58123999999999998</v>
      </c>
      <c r="AI2485" s="394">
        <v>14.417960000000001</v>
      </c>
      <c r="AJ2485" s="394"/>
      <c r="AK2485" s="381" t="s">
        <v>167</v>
      </c>
      <c r="AL2485" s="408" t="s">
        <v>175</v>
      </c>
      <c r="AM2485" s="385"/>
      <c r="AN2485" s="475">
        <v>1274</v>
      </c>
      <c r="AO2485" s="395"/>
      <c r="AP2485" s="395">
        <f t="shared" si="1047"/>
        <v>18.026520000000001</v>
      </c>
      <c r="AQ2485" s="393"/>
      <c r="AR2485" s="523"/>
      <c r="AS2485" s="497"/>
      <c r="AT2485" s="573"/>
      <c r="AU2485" s="394"/>
      <c r="AV2485" s="394"/>
      <c r="AW2485" s="394"/>
      <c r="AX2485" s="394"/>
      <c r="AY2485" s="394"/>
      <c r="AZ2485" s="394"/>
      <c r="BA2485" s="394"/>
      <c r="BB2485" s="394"/>
      <c r="BC2485" s="394"/>
      <c r="BD2485" s="381"/>
      <c r="BE2485" s="408"/>
      <c r="BF2485" s="385"/>
      <c r="BG2485" s="475"/>
      <c r="BH2485" s="395"/>
      <c r="BI2485" s="395" t="e">
        <f t="shared" si="1048"/>
        <v>#DIV/0!</v>
      </c>
    </row>
    <row r="2486" spans="1:61" s="358" customFormat="1" ht="19.2" x14ac:dyDescent="0.3">
      <c r="A2486" s="359" t="s">
        <v>2127</v>
      </c>
      <c r="B2486" s="572" t="s">
        <v>4138</v>
      </c>
      <c r="C2486" s="546" t="s">
        <v>3268</v>
      </c>
      <c r="D2486" s="360">
        <v>0.4</v>
      </c>
      <c r="E2486" s="393"/>
      <c r="F2486" s="523"/>
      <c r="G2486" s="393"/>
      <c r="H2486" s="573"/>
      <c r="I2486" s="394"/>
      <c r="J2486" s="394"/>
      <c r="K2486" s="394"/>
      <c r="L2486" s="394"/>
      <c r="M2486" s="394"/>
      <c r="N2486" s="394"/>
      <c r="O2486" s="394"/>
      <c r="P2486" s="394"/>
      <c r="Q2486" s="394"/>
      <c r="R2486" s="381"/>
      <c r="S2486" s="408"/>
      <c r="T2486" s="385"/>
      <c r="U2486" s="475"/>
      <c r="V2486" s="395"/>
      <c r="W2486" s="395"/>
      <c r="X2486" s="393"/>
      <c r="Y2486" s="523">
        <v>1</v>
      </c>
      <c r="Z2486" s="497"/>
      <c r="AA2486" s="573">
        <v>17.857330000000001</v>
      </c>
      <c r="AB2486" s="394">
        <v>15.36412</v>
      </c>
      <c r="AC2486" s="394">
        <v>14.417949999999999</v>
      </c>
      <c r="AD2486" s="394"/>
      <c r="AE2486" s="394"/>
      <c r="AF2486" s="394">
        <v>0</v>
      </c>
      <c r="AG2486" s="394">
        <v>0</v>
      </c>
      <c r="AH2486" s="394">
        <v>0.58123999999999998</v>
      </c>
      <c r="AI2486" s="394">
        <v>14.417949999999999</v>
      </c>
      <c r="AJ2486" s="394"/>
      <c r="AK2486" s="381" t="s">
        <v>167</v>
      </c>
      <c r="AL2486" s="408" t="s">
        <v>175</v>
      </c>
      <c r="AM2486" s="385"/>
      <c r="AN2486" s="475">
        <v>1275</v>
      </c>
      <c r="AO2486" s="395"/>
      <c r="AP2486" s="395">
        <f t="shared" si="1047"/>
        <v>17.857330000000001</v>
      </c>
      <c r="AQ2486" s="393"/>
      <c r="AR2486" s="523"/>
      <c r="AS2486" s="497"/>
      <c r="AT2486" s="573"/>
      <c r="AU2486" s="394"/>
      <c r="AV2486" s="394"/>
      <c r="AW2486" s="394"/>
      <c r="AX2486" s="394"/>
      <c r="AY2486" s="394"/>
      <c r="AZ2486" s="394"/>
      <c r="BA2486" s="394"/>
      <c r="BB2486" s="394"/>
      <c r="BC2486" s="394"/>
      <c r="BD2486" s="381"/>
      <c r="BE2486" s="408"/>
      <c r="BF2486" s="385"/>
      <c r="BG2486" s="475"/>
      <c r="BH2486" s="395"/>
      <c r="BI2486" s="395" t="e">
        <f t="shared" si="1048"/>
        <v>#DIV/0!</v>
      </c>
    </row>
    <row r="2487" spans="1:61" s="358" customFormat="1" ht="19.2" x14ac:dyDescent="0.3">
      <c r="A2487" s="359" t="s">
        <v>2128</v>
      </c>
      <c r="B2487" s="572" t="s">
        <v>4139</v>
      </c>
      <c r="C2487" s="546" t="s">
        <v>3269</v>
      </c>
      <c r="D2487" s="360">
        <v>0.4</v>
      </c>
      <c r="E2487" s="393"/>
      <c r="F2487" s="523"/>
      <c r="G2487" s="393"/>
      <c r="H2487" s="573"/>
      <c r="I2487" s="394"/>
      <c r="J2487" s="394"/>
      <c r="K2487" s="394"/>
      <c r="L2487" s="394"/>
      <c r="M2487" s="394"/>
      <c r="N2487" s="394"/>
      <c r="O2487" s="394"/>
      <c r="P2487" s="394"/>
      <c r="Q2487" s="394"/>
      <c r="R2487" s="381"/>
      <c r="S2487" s="408"/>
      <c r="T2487" s="385"/>
      <c r="U2487" s="475"/>
      <c r="V2487" s="395"/>
      <c r="W2487" s="395"/>
      <c r="X2487" s="393"/>
      <c r="Y2487" s="523">
        <v>1</v>
      </c>
      <c r="Z2487" s="497"/>
      <c r="AA2487" s="573">
        <v>17.85735</v>
      </c>
      <c r="AB2487" s="394">
        <v>15.364140000000001</v>
      </c>
      <c r="AC2487" s="394">
        <v>14.417949999999999</v>
      </c>
      <c r="AD2487" s="394"/>
      <c r="AE2487" s="394"/>
      <c r="AF2487" s="394">
        <v>0</v>
      </c>
      <c r="AG2487" s="394">
        <v>0</v>
      </c>
      <c r="AH2487" s="394">
        <v>0.58123999999999998</v>
      </c>
      <c r="AI2487" s="394">
        <v>14.417949999999999</v>
      </c>
      <c r="AJ2487" s="394"/>
      <c r="AK2487" s="381" t="s">
        <v>167</v>
      </c>
      <c r="AL2487" s="408" t="s">
        <v>175</v>
      </c>
      <c r="AM2487" s="385"/>
      <c r="AN2487" s="475">
        <v>1276</v>
      </c>
      <c r="AO2487" s="395"/>
      <c r="AP2487" s="395">
        <f t="shared" si="1047"/>
        <v>17.85735</v>
      </c>
      <c r="AQ2487" s="393"/>
      <c r="AR2487" s="523"/>
      <c r="AS2487" s="497"/>
      <c r="AT2487" s="573"/>
      <c r="AU2487" s="394"/>
      <c r="AV2487" s="394"/>
      <c r="AW2487" s="394"/>
      <c r="AX2487" s="394"/>
      <c r="AY2487" s="394"/>
      <c r="AZ2487" s="394"/>
      <c r="BA2487" s="394"/>
      <c r="BB2487" s="394"/>
      <c r="BC2487" s="394"/>
      <c r="BD2487" s="381"/>
      <c r="BE2487" s="408"/>
      <c r="BF2487" s="385"/>
      <c r="BG2487" s="475"/>
      <c r="BH2487" s="395"/>
      <c r="BI2487" s="395" t="e">
        <f t="shared" si="1048"/>
        <v>#DIV/0!</v>
      </c>
    </row>
    <row r="2488" spans="1:61" s="358" customFormat="1" ht="19.2" x14ac:dyDescent="0.3">
      <c r="A2488" s="359" t="s">
        <v>2129</v>
      </c>
      <c r="B2488" s="572" t="s">
        <v>4140</v>
      </c>
      <c r="C2488" s="546" t="s">
        <v>3270</v>
      </c>
      <c r="D2488" s="360">
        <v>0.4</v>
      </c>
      <c r="E2488" s="393"/>
      <c r="F2488" s="523"/>
      <c r="G2488" s="393"/>
      <c r="H2488" s="573"/>
      <c r="I2488" s="394"/>
      <c r="J2488" s="394"/>
      <c r="K2488" s="394"/>
      <c r="L2488" s="394"/>
      <c r="M2488" s="394"/>
      <c r="N2488" s="394"/>
      <c r="O2488" s="394"/>
      <c r="P2488" s="394"/>
      <c r="Q2488" s="394"/>
      <c r="R2488" s="381"/>
      <c r="S2488" s="408"/>
      <c r="T2488" s="385"/>
      <c r="U2488" s="475"/>
      <c r="V2488" s="395"/>
      <c r="W2488" s="395"/>
      <c r="X2488" s="393"/>
      <c r="Y2488" s="523">
        <v>1</v>
      </c>
      <c r="Z2488" s="497"/>
      <c r="AA2488" s="573">
        <v>17.857330000000001</v>
      </c>
      <c r="AB2488" s="394">
        <v>15.36412</v>
      </c>
      <c r="AC2488" s="394">
        <v>14.417949999999999</v>
      </c>
      <c r="AD2488" s="394"/>
      <c r="AE2488" s="394"/>
      <c r="AF2488" s="394">
        <v>0</v>
      </c>
      <c r="AG2488" s="394">
        <v>0</v>
      </c>
      <c r="AH2488" s="394">
        <v>0.58123999999999998</v>
      </c>
      <c r="AI2488" s="394">
        <v>14.417949999999999</v>
      </c>
      <c r="AJ2488" s="394"/>
      <c r="AK2488" s="381" t="s">
        <v>167</v>
      </c>
      <c r="AL2488" s="408" t="s">
        <v>175</v>
      </c>
      <c r="AM2488" s="385"/>
      <c r="AN2488" s="475">
        <v>1277</v>
      </c>
      <c r="AO2488" s="395"/>
      <c r="AP2488" s="395">
        <f t="shared" si="1047"/>
        <v>17.857330000000001</v>
      </c>
      <c r="AQ2488" s="393"/>
      <c r="AR2488" s="523"/>
      <c r="AS2488" s="497"/>
      <c r="AT2488" s="573"/>
      <c r="AU2488" s="394"/>
      <c r="AV2488" s="394"/>
      <c r="AW2488" s="394"/>
      <c r="AX2488" s="394"/>
      <c r="AY2488" s="394"/>
      <c r="AZ2488" s="394"/>
      <c r="BA2488" s="394"/>
      <c r="BB2488" s="394"/>
      <c r="BC2488" s="394"/>
      <c r="BD2488" s="381"/>
      <c r="BE2488" s="408"/>
      <c r="BF2488" s="385"/>
      <c r="BG2488" s="475"/>
      <c r="BH2488" s="395"/>
      <c r="BI2488" s="395" t="e">
        <f t="shared" si="1048"/>
        <v>#DIV/0!</v>
      </c>
    </row>
    <row r="2489" spans="1:61" s="358" customFormat="1" ht="19.2" x14ac:dyDescent="0.3">
      <c r="A2489" s="359" t="s">
        <v>2130</v>
      </c>
      <c r="B2489" s="572" t="s">
        <v>4101</v>
      </c>
      <c r="C2489" s="546" t="s">
        <v>3271</v>
      </c>
      <c r="D2489" s="360">
        <v>0.4</v>
      </c>
      <c r="E2489" s="393"/>
      <c r="F2489" s="523"/>
      <c r="G2489" s="393"/>
      <c r="H2489" s="573"/>
      <c r="I2489" s="394"/>
      <c r="J2489" s="394"/>
      <c r="K2489" s="394"/>
      <c r="L2489" s="394"/>
      <c r="M2489" s="394"/>
      <c r="N2489" s="394"/>
      <c r="O2489" s="394"/>
      <c r="P2489" s="394"/>
      <c r="Q2489" s="394"/>
      <c r="R2489" s="381"/>
      <c r="S2489" s="408"/>
      <c r="T2489" s="385"/>
      <c r="U2489" s="475"/>
      <c r="V2489" s="395"/>
      <c r="W2489" s="395"/>
      <c r="X2489" s="393"/>
      <c r="Y2489" s="523">
        <v>1</v>
      </c>
      <c r="Z2489" s="497"/>
      <c r="AA2489" s="573">
        <v>17.857330000000001</v>
      </c>
      <c r="AB2489" s="394">
        <v>15.36412</v>
      </c>
      <c r="AC2489" s="394">
        <v>14.417949999999999</v>
      </c>
      <c r="AD2489" s="394"/>
      <c r="AE2489" s="394"/>
      <c r="AF2489" s="394">
        <v>0</v>
      </c>
      <c r="AG2489" s="394">
        <v>0</v>
      </c>
      <c r="AH2489" s="394">
        <v>0.58123999999999998</v>
      </c>
      <c r="AI2489" s="394">
        <v>14.417949999999999</v>
      </c>
      <c r="AJ2489" s="394"/>
      <c r="AK2489" s="381" t="s">
        <v>167</v>
      </c>
      <c r="AL2489" s="408" t="s">
        <v>175</v>
      </c>
      <c r="AM2489" s="385"/>
      <c r="AN2489" s="475">
        <v>1278</v>
      </c>
      <c r="AO2489" s="395"/>
      <c r="AP2489" s="395">
        <f t="shared" si="1047"/>
        <v>17.857330000000001</v>
      </c>
      <c r="AQ2489" s="393"/>
      <c r="AR2489" s="523"/>
      <c r="AS2489" s="497"/>
      <c r="AT2489" s="573"/>
      <c r="AU2489" s="394"/>
      <c r="AV2489" s="394"/>
      <c r="AW2489" s="394"/>
      <c r="AX2489" s="394"/>
      <c r="AY2489" s="394"/>
      <c r="AZ2489" s="394"/>
      <c r="BA2489" s="394"/>
      <c r="BB2489" s="394"/>
      <c r="BC2489" s="394"/>
      <c r="BD2489" s="381"/>
      <c r="BE2489" s="408"/>
      <c r="BF2489" s="385"/>
      <c r="BG2489" s="475"/>
      <c r="BH2489" s="395"/>
      <c r="BI2489" s="395" t="e">
        <f t="shared" si="1048"/>
        <v>#DIV/0!</v>
      </c>
    </row>
    <row r="2490" spans="1:61" s="358" customFormat="1" ht="19.2" x14ac:dyDescent="0.3">
      <c r="A2490" s="359" t="s">
        <v>2131</v>
      </c>
      <c r="B2490" s="572" t="s">
        <v>4141</v>
      </c>
      <c r="C2490" s="546" t="s">
        <v>3272</v>
      </c>
      <c r="D2490" s="360">
        <v>0.4</v>
      </c>
      <c r="E2490" s="393"/>
      <c r="F2490" s="523"/>
      <c r="G2490" s="393"/>
      <c r="H2490" s="573"/>
      <c r="I2490" s="394"/>
      <c r="J2490" s="394"/>
      <c r="K2490" s="394"/>
      <c r="L2490" s="394"/>
      <c r="M2490" s="394"/>
      <c r="N2490" s="394"/>
      <c r="O2490" s="394"/>
      <c r="P2490" s="394"/>
      <c r="Q2490" s="394"/>
      <c r="R2490" s="381"/>
      <c r="S2490" s="408"/>
      <c r="T2490" s="385"/>
      <c r="U2490" s="475"/>
      <c r="V2490" s="395"/>
      <c r="W2490" s="395"/>
      <c r="X2490" s="393"/>
      <c r="Y2490" s="523">
        <v>1</v>
      </c>
      <c r="Z2490" s="497"/>
      <c r="AA2490" s="573">
        <v>18.026520000000001</v>
      </c>
      <c r="AB2490" s="394">
        <v>15.53331</v>
      </c>
      <c r="AC2490" s="394">
        <v>14.417960000000001</v>
      </c>
      <c r="AD2490" s="394"/>
      <c r="AE2490" s="394"/>
      <c r="AF2490" s="394">
        <v>0</v>
      </c>
      <c r="AG2490" s="394">
        <v>0</v>
      </c>
      <c r="AH2490" s="394">
        <v>0.58123999999999998</v>
      </c>
      <c r="AI2490" s="394">
        <v>14.417960000000001</v>
      </c>
      <c r="AJ2490" s="394"/>
      <c r="AK2490" s="381" t="s">
        <v>167</v>
      </c>
      <c r="AL2490" s="408" t="s">
        <v>175</v>
      </c>
      <c r="AM2490" s="385"/>
      <c r="AN2490" s="475">
        <v>1279</v>
      </c>
      <c r="AO2490" s="395"/>
      <c r="AP2490" s="395">
        <f t="shared" si="1047"/>
        <v>18.026520000000001</v>
      </c>
      <c r="AQ2490" s="393"/>
      <c r="AR2490" s="523"/>
      <c r="AS2490" s="497"/>
      <c r="AT2490" s="573"/>
      <c r="AU2490" s="394"/>
      <c r="AV2490" s="394"/>
      <c r="AW2490" s="394"/>
      <c r="AX2490" s="394"/>
      <c r="AY2490" s="394"/>
      <c r="AZ2490" s="394"/>
      <c r="BA2490" s="394"/>
      <c r="BB2490" s="394"/>
      <c r="BC2490" s="394"/>
      <c r="BD2490" s="381"/>
      <c r="BE2490" s="408"/>
      <c r="BF2490" s="385"/>
      <c r="BG2490" s="475"/>
      <c r="BH2490" s="395"/>
      <c r="BI2490" s="395" t="e">
        <f t="shared" si="1048"/>
        <v>#DIV/0!</v>
      </c>
    </row>
    <row r="2491" spans="1:61" s="358" customFormat="1" ht="19.2" x14ac:dyDescent="0.3">
      <c r="A2491" s="359" t="s">
        <v>2148</v>
      </c>
      <c r="B2491" s="572" t="s">
        <v>4142</v>
      </c>
      <c r="C2491" s="546" t="s">
        <v>3273</v>
      </c>
      <c r="D2491" s="360">
        <v>0.4</v>
      </c>
      <c r="E2491" s="393"/>
      <c r="F2491" s="523"/>
      <c r="G2491" s="393"/>
      <c r="H2491" s="573"/>
      <c r="I2491" s="394"/>
      <c r="J2491" s="394"/>
      <c r="K2491" s="394"/>
      <c r="L2491" s="394"/>
      <c r="M2491" s="394"/>
      <c r="N2491" s="394"/>
      <c r="O2491" s="394"/>
      <c r="P2491" s="394"/>
      <c r="Q2491" s="394"/>
      <c r="R2491" s="381"/>
      <c r="S2491" s="408"/>
      <c r="T2491" s="385"/>
      <c r="U2491" s="475"/>
      <c r="V2491" s="395"/>
      <c r="W2491" s="395"/>
      <c r="X2491" s="393"/>
      <c r="Y2491" s="523">
        <v>1</v>
      </c>
      <c r="Z2491" s="497"/>
      <c r="AA2491" s="573">
        <v>14.16671</v>
      </c>
      <c r="AB2491" s="394">
        <v>12.868040000000001</v>
      </c>
      <c r="AC2491" s="394">
        <v>12.859360000000001</v>
      </c>
      <c r="AD2491" s="394"/>
      <c r="AE2491" s="394"/>
      <c r="AF2491" s="394">
        <v>0</v>
      </c>
      <c r="AG2491" s="394">
        <v>0</v>
      </c>
      <c r="AH2491" s="394">
        <v>0.30275999999999997</v>
      </c>
      <c r="AI2491" s="394">
        <v>12.859360000000001</v>
      </c>
      <c r="AJ2491" s="394"/>
      <c r="AK2491" s="381" t="s">
        <v>167</v>
      </c>
      <c r="AL2491" s="408" t="s">
        <v>175</v>
      </c>
      <c r="AM2491" s="385"/>
      <c r="AN2491" s="475">
        <v>1280</v>
      </c>
      <c r="AO2491" s="395"/>
      <c r="AP2491" s="395">
        <f t="shared" si="1047"/>
        <v>14.16671</v>
      </c>
      <c r="AQ2491" s="393"/>
      <c r="AR2491" s="523"/>
      <c r="AS2491" s="497"/>
      <c r="AT2491" s="573"/>
      <c r="AU2491" s="394"/>
      <c r="AV2491" s="394"/>
      <c r="AW2491" s="394"/>
      <c r="AX2491" s="394"/>
      <c r="AY2491" s="394"/>
      <c r="AZ2491" s="394"/>
      <c r="BA2491" s="394"/>
      <c r="BB2491" s="394"/>
      <c r="BC2491" s="394"/>
      <c r="BD2491" s="381"/>
      <c r="BE2491" s="408"/>
      <c r="BF2491" s="385"/>
      <c r="BG2491" s="475"/>
      <c r="BH2491" s="395"/>
      <c r="BI2491" s="395" t="e">
        <f t="shared" si="1048"/>
        <v>#DIV/0!</v>
      </c>
    </row>
    <row r="2492" spans="1:61" s="358" customFormat="1" ht="19.2" x14ac:dyDescent="0.3">
      <c r="A2492" s="359" t="s">
        <v>2133</v>
      </c>
      <c r="B2492" s="572" t="s">
        <v>4143</v>
      </c>
      <c r="C2492" s="546" t="s">
        <v>3274</v>
      </c>
      <c r="D2492" s="360">
        <v>0.4</v>
      </c>
      <c r="E2492" s="393"/>
      <c r="F2492" s="523"/>
      <c r="G2492" s="393"/>
      <c r="H2492" s="573"/>
      <c r="I2492" s="394"/>
      <c r="J2492" s="394"/>
      <c r="K2492" s="394"/>
      <c r="L2492" s="394"/>
      <c r="M2492" s="394"/>
      <c r="N2492" s="394"/>
      <c r="O2492" s="394"/>
      <c r="P2492" s="394"/>
      <c r="Q2492" s="394"/>
      <c r="R2492" s="381"/>
      <c r="S2492" s="408"/>
      <c r="T2492" s="385"/>
      <c r="U2492" s="475"/>
      <c r="V2492" s="395"/>
      <c r="W2492" s="395"/>
      <c r="X2492" s="393"/>
      <c r="Y2492" s="523">
        <v>1</v>
      </c>
      <c r="Z2492" s="497"/>
      <c r="AA2492" s="573">
        <v>14.16671</v>
      </c>
      <c r="AB2492" s="394">
        <v>12.868040000000001</v>
      </c>
      <c r="AC2492" s="394">
        <v>12.859360000000001</v>
      </c>
      <c r="AD2492" s="394"/>
      <c r="AE2492" s="394"/>
      <c r="AF2492" s="394">
        <v>0</v>
      </c>
      <c r="AG2492" s="394">
        <v>0</v>
      </c>
      <c r="AH2492" s="394">
        <v>0.30275999999999997</v>
      </c>
      <c r="AI2492" s="394">
        <v>12.859360000000001</v>
      </c>
      <c r="AJ2492" s="394"/>
      <c r="AK2492" s="381" t="s">
        <v>167</v>
      </c>
      <c r="AL2492" s="408" t="s">
        <v>175</v>
      </c>
      <c r="AM2492" s="385"/>
      <c r="AN2492" s="475">
        <v>1281</v>
      </c>
      <c r="AO2492" s="395"/>
      <c r="AP2492" s="395">
        <f t="shared" si="1047"/>
        <v>14.16671</v>
      </c>
      <c r="AQ2492" s="393"/>
      <c r="AR2492" s="523"/>
      <c r="AS2492" s="497"/>
      <c r="AT2492" s="573"/>
      <c r="AU2492" s="394"/>
      <c r="AV2492" s="394"/>
      <c r="AW2492" s="394"/>
      <c r="AX2492" s="394"/>
      <c r="AY2492" s="394"/>
      <c r="AZ2492" s="394"/>
      <c r="BA2492" s="394"/>
      <c r="BB2492" s="394"/>
      <c r="BC2492" s="394"/>
      <c r="BD2492" s="381"/>
      <c r="BE2492" s="408"/>
      <c r="BF2492" s="385"/>
      <c r="BG2492" s="475"/>
      <c r="BH2492" s="395"/>
      <c r="BI2492" s="395" t="e">
        <f t="shared" si="1048"/>
        <v>#DIV/0!</v>
      </c>
    </row>
    <row r="2493" spans="1:61" s="358" customFormat="1" ht="19.2" x14ac:dyDescent="0.3">
      <c r="A2493" s="359" t="s">
        <v>2134</v>
      </c>
      <c r="B2493" s="572" t="s">
        <v>4144</v>
      </c>
      <c r="C2493" s="546" t="s">
        <v>3275</v>
      </c>
      <c r="D2493" s="360">
        <v>0.4</v>
      </c>
      <c r="E2493" s="393"/>
      <c r="F2493" s="523"/>
      <c r="G2493" s="393"/>
      <c r="H2493" s="573"/>
      <c r="I2493" s="394"/>
      <c r="J2493" s="394"/>
      <c r="K2493" s="394"/>
      <c r="L2493" s="394"/>
      <c r="M2493" s="394"/>
      <c r="N2493" s="394"/>
      <c r="O2493" s="394"/>
      <c r="P2493" s="394"/>
      <c r="Q2493" s="394"/>
      <c r="R2493" s="381"/>
      <c r="S2493" s="408"/>
      <c r="T2493" s="385"/>
      <c r="U2493" s="475"/>
      <c r="V2493" s="395"/>
      <c r="W2493" s="395"/>
      <c r="X2493" s="393"/>
      <c r="Y2493" s="523">
        <v>1</v>
      </c>
      <c r="Z2493" s="497"/>
      <c r="AA2493" s="573">
        <v>17.857330000000001</v>
      </c>
      <c r="AB2493" s="394">
        <v>15.36412</v>
      </c>
      <c r="AC2493" s="394">
        <v>14.417949999999999</v>
      </c>
      <c r="AD2493" s="394"/>
      <c r="AE2493" s="394"/>
      <c r="AF2493" s="394">
        <v>0</v>
      </c>
      <c r="AG2493" s="394">
        <v>0</v>
      </c>
      <c r="AH2493" s="394">
        <v>0.58123999999999998</v>
      </c>
      <c r="AI2493" s="394">
        <v>14.417949999999999</v>
      </c>
      <c r="AJ2493" s="394"/>
      <c r="AK2493" s="381" t="s">
        <v>167</v>
      </c>
      <c r="AL2493" s="408" t="s">
        <v>175</v>
      </c>
      <c r="AM2493" s="385"/>
      <c r="AN2493" s="475">
        <v>1282</v>
      </c>
      <c r="AO2493" s="395"/>
      <c r="AP2493" s="395">
        <f t="shared" si="1047"/>
        <v>17.857330000000001</v>
      </c>
      <c r="AQ2493" s="393"/>
      <c r="AR2493" s="523"/>
      <c r="AS2493" s="497"/>
      <c r="AT2493" s="573"/>
      <c r="AU2493" s="394"/>
      <c r="AV2493" s="394"/>
      <c r="AW2493" s="394"/>
      <c r="AX2493" s="394"/>
      <c r="AY2493" s="394"/>
      <c r="AZ2493" s="394"/>
      <c r="BA2493" s="394"/>
      <c r="BB2493" s="394"/>
      <c r="BC2493" s="394"/>
      <c r="BD2493" s="381"/>
      <c r="BE2493" s="408"/>
      <c r="BF2493" s="385"/>
      <c r="BG2493" s="475"/>
      <c r="BH2493" s="395"/>
      <c r="BI2493" s="395" t="e">
        <f t="shared" si="1048"/>
        <v>#DIV/0!</v>
      </c>
    </row>
    <row r="2494" spans="1:61" s="358" customFormat="1" ht="19.2" x14ac:dyDescent="0.3">
      <c r="A2494" s="359" t="s">
        <v>2135</v>
      </c>
      <c r="B2494" s="572" t="s">
        <v>4145</v>
      </c>
      <c r="C2494" s="546" t="s">
        <v>3276</v>
      </c>
      <c r="D2494" s="360">
        <v>0.4</v>
      </c>
      <c r="E2494" s="393"/>
      <c r="F2494" s="523"/>
      <c r="G2494" s="393"/>
      <c r="H2494" s="573"/>
      <c r="I2494" s="394"/>
      <c r="J2494" s="394"/>
      <c r="K2494" s="394"/>
      <c r="L2494" s="394"/>
      <c r="M2494" s="394"/>
      <c r="N2494" s="394"/>
      <c r="O2494" s="394"/>
      <c r="P2494" s="394"/>
      <c r="Q2494" s="394"/>
      <c r="R2494" s="381"/>
      <c r="S2494" s="408"/>
      <c r="T2494" s="385"/>
      <c r="U2494" s="475"/>
      <c r="V2494" s="395"/>
      <c r="W2494" s="395"/>
      <c r="X2494" s="393"/>
      <c r="Y2494" s="523">
        <v>1</v>
      </c>
      <c r="Z2494" s="497"/>
      <c r="AA2494" s="573">
        <v>18.026520000000001</v>
      </c>
      <c r="AB2494" s="394">
        <v>15.53331</v>
      </c>
      <c r="AC2494" s="394">
        <v>14.417960000000001</v>
      </c>
      <c r="AD2494" s="394"/>
      <c r="AE2494" s="394"/>
      <c r="AF2494" s="394">
        <v>0</v>
      </c>
      <c r="AG2494" s="394">
        <v>0</v>
      </c>
      <c r="AH2494" s="394">
        <v>0.58123999999999998</v>
      </c>
      <c r="AI2494" s="394">
        <v>14.417960000000001</v>
      </c>
      <c r="AJ2494" s="394"/>
      <c r="AK2494" s="381" t="s">
        <v>167</v>
      </c>
      <c r="AL2494" s="408" t="s">
        <v>175</v>
      </c>
      <c r="AM2494" s="385"/>
      <c r="AN2494" s="475">
        <v>1283</v>
      </c>
      <c r="AO2494" s="395"/>
      <c r="AP2494" s="395">
        <f t="shared" si="1047"/>
        <v>18.026520000000001</v>
      </c>
      <c r="AQ2494" s="393"/>
      <c r="AR2494" s="523"/>
      <c r="AS2494" s="497"/>
      <c r="AT2494" s="573"/>
      <c r="AU2494" s="394"/>
      <c r="AV2494" s="394"/>
      <c r="AW2494" s="394"/>
      <c r="AX2494" s="394"/>
      <c r="AY2494" s="394"/>
      <c r="AZ2494" s="394"/>
      <c r="BA2494" s="394"/>
      <c r="BB2494" s="394"/>
      <c r="BC2494" s="394"/>
      <c r="BD2494" s="381"/>
      <c r="BE2494" s="408"/>
      <c r="BF2494" s="385"/>
      <c r="BG2494" s="475"/>
      <c r="BH2494" s="395"/>
      <c r="BI2494" s="395" t="e">
        <f t="shared" si="1048"/>
        <v>#DIV/0!</v>
      </c>
    </row>
    <row r="2495" spans="1:61" s="358" customFormat="1" ht="19.2" x14ac:dyDescent="0.3">
      <c r="A2495" s="359" t="s">
        <v>2152</v>
      </c>
      <c r="B2495" s="572" t="s">
        <v>3743</v>
      </c>
      <c r="C2495" s="546" t="s">
        <v>3277</v>
      </c>
      <c r="D2495" s="360">
        <v>0.4</v>
      </c>
      <c r="E2495" s="393"/>
      <c r="F2495" s="523"/>
      <c r="G2495" s="393"/>
      <c r="H2495" s="573"/>
      <c r="I2495" s="394"/>
      <c r="J2495" s="394"/>
      <c r="K2495" s="394"/>
      <c r="L2495" s="394"/>
      <c r="M2495" s="394"/>
      <c r="N2495" s="394"/>
      <c r="O2495" s="394"/>
      <c r="P2495" s="394"/>
      <c r="Q2495" s="394"/>
      <c r="R2495" s="381"/>
      <c r="S2495" s="408"/>
      <c r="T2495" s="385"/>
      <c r="U2495" s="475"/>
      <c r="V2495" s="395"/>
      <c r="W2495" s="395"/>
      <c r="X2495" s="393"/>
      <c r="Y2495" s="523">
        <v>1</v>
      </c>
      <c r="Z2495" s="497"/>
      <c r="AA2495" s="573">
        <v>17.85735</v>
      </c>
      <c r="AB2495" s="394">
        <v>15.364140000000001</v>
      </c>
      <c r="AC2495" s="394">
        <v>14.417949999999999</v>
      </c>
      <c r="AD2495" s="394"/>
      <c r="AE2495" s="394"/>
      <c r="AF2495" s="394">
        <v>0</v>
      </c>
      <c r="AG2495" s="394">
        <v>0</v>
      </c>
      <c r="AH2495" s="394">
        <v>0.58123999999999998</v>
      </c>
      <c r="AI2495" s="394">
        <v>14.417949999999999</v>
      </c>
      <c r="AJ2495" s="394"/>
      <c r="AK2495" s="381" t="s">
        <v>167</v>
      </c>
      <c r="AL2495" s="408" t="s">
        <v>175</v>
      </c>
      <c r="AM2495" s="385"/>
      <c r="AN2495" s="475">
        <v>1284</v>
      </c>
      <c r="AO2495" s="395"/>
      <c r="AP2495" s="395">
        <f t="shared" si="1047"/>
        <v>17.85735</v>
      </c>
      <c r="AQ2495" s="393"/>
      <c r="AR2495" s="523"/>
      <c r="AS2495" s="497"/>
      <c r="AT2495" s="573"/>
      <c r="AU2495" s="394"/>
      <c r="AV2495" s="394"/>
      <c r="AW2495" s="394"/>
      <c r="AX2495" s="394"/>
      <c r="AY2495" s="394"/>
      <c r="AZ2495" s="394"/>
      <c r="BA2495" s="394"/>
      <c r="BB2495" s="394"/>
      <c r="BC2495" s="394"/>
      <c r="BD2495" s="381"/>
      <c r="BE2495" s="408"/>
      <c r="BF2495" s="385"/>
      <c r="BG2495" s="475"/>
      <c r="BH2495" s="395"/>
      <c r="BI2495" s="395" t="e">
        <f t="shared" si="1048"/>
        <v>#DIV/0!</v>
      </c>
    </row>
    <row r="2496" spans="1:61" s="358" customFormat="1" ht="19.2" x14ac:dyDescent="0.3">
      <c r="A2496" s="359" t="s">
        <v>2137</v>
      </c>
      <c r="B2496" s="572" t="s">
        <v>4146</v>
      </c>
      <c r="C2496" s="546" t="s">
        <v>3278</v>
      </c>
      <c r="D2496" s="360">
        <v>0.4</v>
      </c>
      <c r="E2496" s="393"/>
      <c r="F2496" s="523"/>
      <c r="G2496" s="393"/>
      <c r="H2496" s="573"/>
      <c r="I2496" s="394"/>
      <c r="J2496" s="394"/>
      <c r="K2496" s="394"/>
      <c r="L2496" s="394"/>
      <c r="M2496" s="394"/>
      <c r="N2496" s="394"/>
      <c r="O2496" s="394"/>
      <c r="P2496" s="394"/>
      <c r="Q2496" s="394"/>
      <c r="R2496" s="381"/>
      <c r="S2496" s="408"/>
      <c r="T2496" s="385"/>
      <c r="U2496" s="475"/>
      <c r="V2496" s="395"/>
      <c r="W2496" s="395"/>
      <c r="X2496" s="393"/>
      <c r="Y2496" s="523">
        <v>1</v>
      </c>
      <c r="Z2496" s="497"/>
      <c r="AA2496" s="573">
        <v>17.857330000000001</v>
      </c>
      <c r="AB2496" s="394">
        <v>15.36412</v>
      </c>
      <c r="AC2496" s="394">
        <v>14.417949999999999</v>
      </c>
      <c r="AD2496" s="394"/>
      <c r="AE2496" s="394"/>
      <c r="AF2496" s="394">
        <v>0</v>
      </c>
      <c r="AG2496" s="394">
        <v>0</v>
      </c>
      <c r="AH2496" s="394">
        <v>0.58123999999999998</v>
      </c>
      <c r="AI2496" s="394">
        <v>14.417949999999999</v>
      </c>
      <c r="AJ2496" s="394"/>
      <c r="AK2496" s="381" t="s">
        <v>167</v>
      </c>
      <c r="AL2496" s="408" t="s">
        <v>175</v>
      </c>
      <c r="AM2496" s="385"/>
      <c r="AN2496" s="475">
        <v>1285</v>
      </c>
      <c r="AO2496" s="395"/>
      <c r="AP2496" s="395">
        <f t="shared" si="1047"/>
        <v>17.857330000000001</v>
      </c>
      <c r="AQ2496" s="393"/>
      <c r="AR2496" s="523"/>
      <c r="AS2496" s="497"/>
      <c r="AT2496" s="573"/>
      <c r="AU2496" s="394"/>
      <c r="AV2496" s="394"/>
      <c r="AW2496" s="394"/>
      <c r="AX2496" s="394"/>
      <c r="AY2496" s="394"/>
      <c r="AZ2496" s="394"/>
      <c r="BA2496" s="394"/>
      <c r="BB2496" s="394"/>
      <c r="BC2496" s="394"/>
      <c r="BD2496" s="381"/>
      <c r="BE2496" s="408"/>
      <c r="BF2496" s="385"/>
      <c r="BG2496" s="475"/>
      <c r="BH2496" s="395"/>
      <c r="BI2496" s="395" t="e">
        <f t="shared" si="1048"/>
        <v>#DIV/0!</v>
      </c>
    </row>
    <row r="2497" spans="1:61" s="358" customFormat="1" ht="19.2" x14ac:dyDescent="0.3">
      <c r="A2497" s="359" t="s">
        <v>2138</v>
      </c>
      <c r="B2497" s="572" t="s">
        <v>4147</v>
      </c>
      <c r="C2497" s="546" t="s">
        <v>3279</v>
      </c>
      <c r="D2497" s="360">
        <v>0.4</v>
      </c>
      <c r="E2497" s="393"/>
      <c r="F2497" s="523"/>
      <c r="G2497" s="393"/>
      <c r="H2497" s="573"/>
      <c r="I2497" s="394"/>
      <c r="J2497" s="394"/>
      <c r="K2497" s="394"/>
      <c r="L2497" s="394"/>
      <c r="M2497" s="394"/>
      <c r="N2497" s="394"/>
      <c r="O2497" s="394"/>
      <c r="P2497" s="394"/>
      <c r="Q2497" s="394"/>
      <c r="R2497" s="381"/>
      <c r="S2497" s="408"/>
      <c r="T2497" s="385"/>
      <c r="U2497" s="475"/>
      <c r="V2497" s="395"/>
      <c r="W2497" s="395"/>
      <c r="X2497" s="393"/>
      <c r="Y2497" s="523">
        <v>1</v>
      </c>
      <c r="Z2497" s="497"/>
      <c r="AA2497" s="573">
        <v>18.026520000000001</v>
      </c>
      <c r="AB2497" s="394">
        <v>15.53331</v>
      </c>
      <c r="AC2497" s="394">
        <v>14.417960000000001</v>
      </c>
      <c r="AD2497" s="394"/>
      <c r="AE2497" s="394"/>
      <c r="AF2497" s="394">
        <v>0</v>
      </c>
      <c r="AG2497" s="394">
        <v>0</v>
      </c>
      <c r="AH2497" s="394">
        <v>0.58123999999999998</v>
      </c>
      <c r="AI2497" s="394">
        <v>14.417960000000001</v>
      </c>
      <c r="AJ2497" s="394"/>
      <c r="AK2497" s="381" t="s">
        <v>167</v>
      </c>
      <c r="AL2497" s="408" t="s">
        <v>175</v>
      </c>
      <c r="AM2497" s="385"/>
      <c r="AN2497" s="475">
        <v>1286</v>
      </c>
      <c r="AO2497" s="395"/>
      <c r="AP2497" s="395">
        <f t="shared" si="1047"/>
        <v>18.026520000000001</v>
      </c>
      <c r="AQ2497" s="393"/>
      <c r="AR2497" s="523"/>
      <c r="AS2497" s="497"/>
      <c r="AT2497" s="573"/>
      <c r="AU2497" s="394"/>
      <c r="AV2497" s="394"/>
      <c r="AW2497" s="394"/>
      <c r="AX2497" s="394"/>
      <c r="AY2497" s="394"/>
      <c r="AZ2497" s="394"/>
      <c r="BA2497" s="394"/>
      <c r="BB2497" s="394"/>
      <c r="BC2497" s="394"/>
      <c r="BD2497" s="381"/>
      <c r="BE2497" s="408"/>
      <c r="BF2497" s="385"/>
      <c r="BG2497" s="475"/>
      <c r="BH2497" s="395"/>
      <c r="BI2497" s="395" t="e">
        <f t="shared" si="1048"/>
        <v>#DIV/0!</v>
      </c>
    </row>
    <row r="2498" spans="1:61" s="358" customFormat="1" ht="19.2" x14ac:dyDescent="0.3">
      <c r="A2498" s="359" t="s">
        <v>2123</v>
      </c>
      <c r="B2498" s="572" t="s">
        <v>4148</v>
      </c>
      <c r="C2498" s="546" t="s">
        <v>3280</v>
      </c>
      <c r="D2498" s="360">
        <v>0.4</v>
      </c>
      <c r="E2498" s="393"/>
      <c r="F2498" s="523"/>
      <c r="G2498" s="393"/>
      <c r="H2498" s="573"/>
      <c r="I2498" s="394"/>
      <c r="J2498" s="394"/>
      <c r="K2498" s="394"/>
      <c r="L2498" s="394"/>
      <c r="M2498" s="394"/>
      <c r="N2498" s="394"/>
      <c r="O2498" s="394"/>
      <c r="P2498" s="394"/>
      <c r="Q2498" s="394"/>
      <c r="R2498" s="381"/>
      <c r="S2498" s="408"/>
      <c r="T2498" s="385"/>
      <c r="U2498" s="475"/>
      <c r="V2498" s="395"/>
      <c r="W2498" s="395"/>
      <c r="X2498" s="393"/>
      <c r="Y2498" s="523">
        <v>1</v>
      </c>
      <c r="Z2498" s="497"/>
      <c r="AA2498" s="573">
        <v>17.857340000000001</v>
      </c>
      <c r="AB2498" s="394">
        <v>15.364129999999999</v>
      </c>
      <c r="AC2498" s="394">
        <v>14.417949999999999</v>
      </c>
      <c r="AD2498" s="394"/>
      <c r="AE2498" s="394"/>
      <c r="AF2498" s="394">
        <v>0</v>
      </c>
      <c r="AG2498" s="394">
        <v>0</v>
      </c>
      <c r="AH2498" s="394">
        <v>0.58123999999999998</v>
      </c>
      <c r="AI2498" s="394">
        <v>14.417949999999999</v>
      </c>
      <c r="AJ2498" s="394"/>
      <c r="AK2498" s="381" t="s">
        <v>167</v>
      </c>
      <c r="AL2498" s="408" t="s">
        <v>175</v>
      </c>
      <c r="AM2498" s="385"/>
      <c r="AN2498" s="475">
        <v>1287</v>
      </c>
      <c r="AO2498" s="395"/>
      <c r="AP2498" s="395">
        <f t="shared" si="1047"/>
        <v>17.857340000000001</v>
      </c>
      <c r="AQ2498" s="393"/>
      <c r="AR2498" s="523"/>
      <c r="AS2498" s="497"/>
      <c r="AT2498" s="573"/>
      <c r="AU2498" s="394"/>
      <c r="AV2498" s="394"/>
      <c r="AW2498" s="394"/>
      <c r="AX2498" s="394"/>
      <c r="AY2498" s="394"/>
      <c r="AZ2498" s="394"/>
      <c r="BA2498" s="394"/>
      <c r="BB2498" s="394"/>
      <c r="BC2498" s="394"/>
      <c r="BD2498" s="381"/>
      <c r="BE2498" s="408"/>
      <c r="BF2498" s="385"/>
      <c r="BG2498" s="475"/>
      <c r="BH2498" s="395"/>
      <c r="BI2498" s="395" t="e">
        <f t="shared" si="1048"/>
        <v>#DIV/0!</v>
      </c>
    </row>
    <row r="2499" spans="1:61" s="358" customFormat="1" ht="19.2" x14ac:dyDescent="0.3">
      <c r="A2499" s="359" t="s">
        <v>2140</v>
      </c>
      <c r="B2499" s="572" t="s">
        <v>1636</v>
      </c>
      <c r="C2499" s="546" t="s">
        <v>3281</v>
      </c>
      <c r="D2499" s="360">
        <v>0.4</v>
      </c>
      <c r="E2499" s="393"/>
      <c r="F2499" s="523"/>
      <c r="G2499" s="393"/>
      <c r="H2499" s="573"/>
      <c r="I2499" s="394"/>
      <c r="J2499" s="394"/>
      <c r="K2499" s="394"/>
      <c r="L2499" s="394"/>
      <c r="M2499" s="394"/>
      <c r="N2499" s="394"/>
      <c r="O2499" s="394"/>
      <c r="P2499" s="394"/>
      <c r="Q2499" s="394"/>
      <c r="R2499" s="381"/>
      <c r="S2499" s="408"/>
      <c r="T2499" s="385"/>
      <c r="U2499" s="475"/>
      <c r="V2499" s="395"/>
      <c r="W2499" s="395"/>
      <c r="X2499" s="393"/>
      <c r="Y2499" s="523">
        <v>1</v>
      </c>
      <c r="Z2499" s="497"/>
      <c r="AA2499" s="573">
        <v>17.857330000000001</v>
      </c>
      <c r="AB2499" s="394">
        <v>15.36412</v>
      </c>
      <c r="AC2499" s="394">
        <v>14.417949999999999</v>
      </c>
      <c r="AD2499" s="394"/>
      <c r="AE2499" s="394"/>
      <c r="AF2499" s="394">
        <v>0</v>
      </c>
      <c r="AG2499" s="394">
        <v>0</v>
      </c>
      <c r="AH2499" s="394">
        <v>0.58123999999999998</v>
      </c>
      <c r="AI2499" s="394">
        <v>14.417949999999999</v>
      </c>
      <c r="AJ2499" s="394"/>
      <c r="AK2499" s="381" t="s">
        <v>167</v>
      </c>
      <c r="AL2499" s="408" t="s">
        <v>175</v>
      </c>
      <c r="AM2499" s="385"/>
      <c r="AN2499" s="475">
        <v>1288</v>
      </c>
      <c r="AO2499" s="395"/>
      <c r="AP2499" s="395">
        <f t="shared" si="1047"/>
        <v>17.857330000000001</v>
      </c>
      <c r="AQ2499" s="393"/>
      <c r="AR2499" s="523"/>
      <c r="AS2499" s="497"/>
      <c r="AT2499" s="573"/>
      <c r="AU2499" s="394"/>
      <c r="AV2499" s="394"/>
      <c r="AW2499" s="394"/>
      <c r="AX2499" s="394"/>
      <c r="AY2499" s="394"/>
      <c r="AZ2499" s="394"/>
      <c r="BA2499" s="394"/>
      <c r="BB2499" s="394"/>
      <c r="BC2499" s="394"/>
      <c r="BD2499" s="381"/>
      <c r="BE2499" s="408"/>
      <c r="BF2499" s="385"/>
      <c r="BG2499" s="475"/>
      <c r="BH2499" s="395"/>
      <c r="BI2499" s="395" t="e">
        <f t="shared" si="1048"/>
        <v>#DIV/0!</v>
      </c>
    </row>
    <row r="2500" spans="1:61" s="358" customFormat="1" ht="19.2" x14ac:dyDescent="0.3">
      <c r="A2500" s="359" t="s">
        <v>2141</v>
      </c>
      <c r="B2500" s="572" t="s">
        <v>4149</v>
      </c>
      <c r="C2500" s="546" t="s">
        <v>3282</v>
      </c>
      <c r="D2500" s="360">
        <v>0.4</v>
      </c>
      <c r="E2500" s="393"/>
      <c r="F2500" s="523"/>
      <c r="G2500" s="393"/>
      <c r="H2500" s="573"/>
      <c r="I2500" s="394"/>
      <c r="J2500" s="394"/>
      <c r="K2500" s="394"/>
      <c r="L2500" s="394"/>
      <c r="M2500" s="394"/>
      <c r="N2500" s="394"/>
      <c r="O2500" s="394"/>
      <c r="P2500" s="394"/>
      <c r="Q2500" s="394"/>
      <c r="R2500" s="381"/>
      <c r="S2500" s="408"/>
      <c r="T2500" s="385"/>
      <c r="U2500" s="475"/>
      <c r="V2500" s="395"/>
      <c r="W2500" s="395"/>
      <c r="X2500" s="393"/>
      <c r="Y2500" s="523">
        <v>1</v>
      </c>
      <c r="Z2500" s="497"/>
      <c r="AA2500" s="573">
        <v>17.857330000000001</v>
      </c>
      <c r="AB2500" s="394">
        <v>15.36412</v>
      </c>
      <c r="AC2500" s="394">
        <v>14.417949999999999</v>
      </c>
      <c r="AD2500" s="394"/>
      <c r="AE2500" s="394"/>
      <c r="AF2500" s="394">
        <v>0</v>
      </c>
      <c r="AG2500" s="394">
        <v>0</v>
      </c>
      <c r="AH2500" s="394">
        <v>0.58123999999999998</v>
      </c>
      <c r="AI2500" s="394">
        <v>14.417949999999999</v>
      </c>
      <c r="AJ2500" s="394"/>
      <c r="AK2500" s="381" t="s">
        <v>167</v>
      </c>
      <c r="AL2500" s="408" t="s">
        <v>175</v>
      </c>
      <c r="AM2500" s="385"/>
      <c r="AN2500" s="475">
        <v>1289</v>
      </c>
      <c r="AO2500" s="395"/>
      <c r="AP2500" s="395">
        <f t="shared" ref="AP2500:AP2564" si="1049">AA2500/Y2500</f>
        <v>17.857330000000001</v>
      </c>
      <c r="AQ2500" s="393"/>
      <c r="AR2500" s="523"/>
      <c r="AS2500" s="497"/>
      <c r="AT2500" s="573"/>
      <c r="AU2500" s="394"/>
      <c r="AV2500" s="394"/>
      <c r="AW2500" s="394"/>
      <c r="AX2500" s="394"/>
      <c r="AY2500" s="394"/>
      <c r="AZ2500" s="394"/>
      <c r="BA2500" s="394"/>
      <c r="BB2500" s="394"/>
      <c r="BC2500" s="394"/>
      <c r="BD2500" s="381"/>
      <c r="BE2500" s="408"/>
      <c r="BF2500" s="385"/>
      <c r="BG2500" s="475"/>
      <c r="BH2500" s="395"/>
      <c r="BI2500" s="395" t="e">
        <f t="shared" si="1048"/>
        <v>#DIV/0!</v>
      </c>
    </row>
    <row r="2501" spans="1:61" s="358" customFormat="1" ht="19.2" x14ac:dyDescent="0.3">
      <c r="A2501" s="359" t="s">
        <v>2142</v>
      </c>
      <c r="B2501" s="572" t="s">
        <v>4150</v>
      </c>
      <c r="C2501" s="546" t="s">
        <v>3283</v>
      </c>
      <c r="D2501" s="360">
        <v>0.4</v>
      </c>
      <c r="E2501" s="393"/>
      <c r="F2501" s="523"/>
      <c r="G2501" s="393"/>
      <c r="H2501" s="573"/>
      <c r="I2501" s="394"/>
      <c r="J2501" s="394"/>
      <c r="K2501" s="394"/>
      <c r="L2501" s="394"/>
      <c r="M2501" s="394"/>
      <c r="N2501" s="394"/>
      <c r="O2501" s="394"/>
      <c r="P2501" s="394"/>
      <c r="Q2501" s="394"/>
      <c r="R2501" s="381"/>
      <c r="S2501" s="408"/>
      <c r="T2501" s="385"/>
      <c r="U2501" s="475"/>
      <c r="V2501" s="395"/>
      <c r="W2501" s="395"/>
      <c r="X2501" s="393"/>
      <c r="Y2501" s="523">
        <v>1</v>
      </c>
      <c r="Z2501" s="497"/>
      <c r="AA2501" s="573">
        <v>18.026520000000001</v>
      </c>
      <c r="AB2501" s="394">
        <v>15.53331</v>
      </c>
      <c r="AC2501" s="394">
        <v>14.417960000000001</v>
      </c>
      <c r="AD2501" s="394"/>
      <c r="AE2501" s="394"/>
      <c r="AF2501" s="394">
        <v>0</v>
      </c>
      <c r="AG2501" s="394">
        <v>0</v>
      </c>
      <c r="AH2501" s="394">
        <v>0.58123999999999998</v>
      </c>
      <c r="AI2501" s="394">
        <v>14.417960000000001</v>
      </c>
      <c r="AJ2501" s="394"/>
      <c r="AK2501" s="381" t="s">
        <v>167</v>
      </c>
      <c r="AL2501" s="408" t="s">
        <v>175</v>
      </c>
      <c r="AM2501" s="385"/>
      <c r="AN2501" s="475">
        <v>1290</v>
      </c>
      <c r="AO2501" s="395"/>
      <c r="AP2501" s="395">
        <f t="shared" si="1049"/>
        <v>18.026520000000001</v>
      </c>
      <c r="AQ2501" s="393"/>
      <c r="AR2501" s="523"/>
      <c r="AS2501" s="497"/>
      <c r="AT2501" s="573"/>
      <c r="AU2501" s="394"/>
      <c r="AV2501" s="394"/>
      <c r="AW2501" s="394"/>
      <c r="AX2501" s="394"/>
      <c r="AY2501" s="394"/>
      <c r="AZ2501" s="394"/>
      <c r="BA2501" s="394"/>
      <c r="BB2501" s="394"/>
      <c r="BC2501" s="394"/>
      <c r="BD2501" s="381"/>
      <c r="BE2501" s="408"/>
      <c r="BF2501" s="385"/>
      <c r="BG2501" s="475"/>
      <c r="BH2501" s="395"/>
      <c r="BI2501" s="395" t="e">
        <f t="shared" si="1048"/>
        <v>#DIV/0!</v>
      </c>
    </row>
    <row r="2502" spans="1:61" s="358" customFormat="1" ht="19.2" x14ac:dyDescent="0.3">
      <c r="A2502" s="359" t="s">
        <v>2143</v>
      </c>
      <c r="B2502" s="572" t="s">
        <v>4151</v>
      </c>
      <c r="C2502" s="546" t="s">
        <v>3284</v>
      </c>
      <c r="D2502" s="360">
        <v>0.4</v>
      </c>
      <c r="E2502" s="393"/>
      <c r="F2502" s="523"/>
      <c r="G2502" s="393"/>
      <c r="H2502" s="573"/>
      <c r="I2502" s="394"/>
      <c r="J2502" s="394"/>
      <c r="K2502" s="394"/>
      <c r="L2502" s="394"/>
      <c r="M2502" s="394"/>
      <c r="N2502" s="394"/>
      <c r="O2502" s="394"/>
      <c r="P2502" s="394"/>
      <c r="Q2502" s="394"/>
      <c r="R2502" s="381"/>
      <c r="S2502" s="408"/>
      <c r="T2502" s="385"/>
      <c r="U2502" s="475"/>
      <c r="V2502" s="395"/>
      <c r="W2502" s="395"/>
      <c r="X2502" s="393"/>
      <c r="Y2502" s="523">
        <v>1</v>
      </c>
      <c r="Z2502" s="497"/>
      <c r="AA2502" s="573">
        <v>17.85735</v>
      </c>
      <c r="AB2502" s="394">
        <v>15.364140000000001</v>
      </c>
      <c r="AC2502" s="394">
        <v>14.417949999999999</v>
      </c>
      <c r="AD2502" s="394"/>
      <c r="AE2502" s="394"/>
      <c r="AF2502" s="394">
        <v>0</v>
      </c>
      <c r="AG2502" s="394">
        <v>0</v>
      </c>
      <c r="AH2502" s="394">
        <v>0.58123999999999998</v>
      </c>
      <c r="AI2502" s="394">
        <v>14.417949999999999</v>
      </c>
      <c r="AJ2502" s="394"/>
      <c r="AK2502" s="381" t="s">
        <v>167</v>
      </c>
      <c r="AL2502" s="408" t="s">
        <v>175</v>
      </c>
      <c r="AM2502" s="385"/>
      <c r="AN2502" s="475">
        <v>1291</v>
      </c>
      <c r="AO2502" s="395"/>
      <c r="AP2502" s="395">
        <f t="shared" si="1049"/>
        <v>17.85735</v>
      </c>
      <c r="AQ2502" s="393"/>
      <c r="AR2502" s="523"/>
      <c r="AS2502" s="497"/>
      <c r="AT2502" s="573"/>
      <c r="AU2502" s="394"/>
      <c r="AV2502" s="394"/>
      <c r="AW2502" s="394"/>
      <c r="AX2502" s="394"/>
      <c r="AY2502" s="394"/>
      <c r="AZ2502" s="394"/>
      <c r="BA2502" s="394"/>
      <c r="BB2502" s="394"/>
      <c r="BC2502" s="394"/>
      <c r="BD2502" s="381"/>
      <c r="BE2502" s="408"/>
      <c r="BF2502" s="385"/>
      <c r="BG2502" s="475"/>
      <c r="BH2502" s="395"/>
      <c r="BI2502" s="395" t="e">
        <f t="shared" si="1048"/>
        <v>#DIV/0!</v>
      </c>
    </row>
    <row r="2503" spans="1:61" s="358" customFormat="1" ht="19.2" x14ac:dyDescent="0.3">
      <c r="A2503" s="359" t="s">
        <v>2144</v>
      </c>
      <c r="B2503" s="572" t="s">
        <v>4152</v>
      </c>
      <c r="C2503" s="546" t="s">
        <v>3285</v>
      </c>
      <c r="D2503" s="360">
        <v>0.4</v>
      </c>
      <c r="E2503" s="393"/>
      <c r="F2503" s="523"/>
      <c r="G2503" s="393"/>
      <c r="H2503" s="573"/>
      <c r="I2503" s="394"/>
      <c r="J2503" s="394"/>
      <c r="K2503" s="394"/>
      <c r="L2503" s="394"/>
      <c r="M2503" s="394"/>
      <c r="N2503" s="394"/>
      <c r="O2503" s="394"/>
      <c r="P2503" s="394"/>
      <c r="Q2503" s="394"/>
      <c r="R2503" s="381"/>
      <c r="S2503" s="408"/>
      <c r="T2503" s="385"/>
      <c r="U2503" s="475"/>
      <c r="V2503" s="395"/>
      <c r="W2503" s="395"/>
      <c r="X2503" s="393"/>
      <c r="Y2503" s="523">
        <v>1</v>
      </c>
      <c r="Z2503" s="497"/>
      <c r="AA2503" s="573">
        <v>17.857330000000001</v>
      </c>
      <c r="AB2503" s="394">
        <v>15.36412</v>
      </c>
      <c r="AC2503" s="394">
        <v>14.417949999999999</v>
      </c>
      <c r="AD2503" s="394"/>
      <c r="AE2503" s="394"/>
      <c r="AF2503" s="394">
        <v>0</v>
      </c>
      <c r="AG2503" s="394">
        <v>0</v>
      </c>
      <c r="AH2503" s="394">
        <v>0.58123999999999998</v>
      </c>
      <c r="AI2503" s="394">
        <v>14.417949999999999</v>
      </c>
      <c r="AJ2503" s="394"/>
      <c r="AK2503" s="381" t="s">
        <v>167</v>
      </c>
      <c r="AL2503" s="408" t="s">
        <v>175</v>
      </c>
      <c r="AM2503" s="385"/>
      <c r="AN2503" s="475">
        <v>1292</v>
      </c>
      <c r="AO2503" s="395"/>
      <c r="AP2503" s="395">
        <f t="shared" si="1049"/>
        <v>17.857330000000001</v>
      </c>
      <c r="AQ2503" s="393"/>
      <c r="AR2503" s="523"/>
      <c r="AS2503" s="497"/>
      <c r="AT2503" s="573"/>
      <c r="AU2503" s="394"/>
      <c r="AV2503" s="394"/>
      <c r="AW2503" s="394"/>
      <c r="AX2503" s="394"/>
      <c r="AY2503" s="394"/>
      <c r="AZ2503" s="394"/>
      <c r="BA2503" s="394"/>
      <c r="BB2503" s="394"/>
      <c r="BC2503" s="394"/>
      <c r="BD2503" s="381"/>
      <c r="BE2503" s="408"/>
      <c r="BF2503" s="385"/>
      <c r="BG2503" s="475"/>
      <c r="BH2503" s="395"/>
      <c r="BI2503" s="395" t="e">
        <f t="shared" si="1048"/>
        <v>#DIV/0!</v>
      </c>
    </row>
    <row r="2504" spans="1:61" s="358" customFormat="1" ht="19.2" x14ac:dyDescent="0.3">
      <c r="A2504" s="359" t="s">
        <v>2145</v>
      </c>
      <c r="B2504" s="572" t="s">
        <v>4153</v>
      </c>
      <c r="C2504" s="546" t="s">
        <v>3286</v>
      </c>
      <c r="D2504" s="360">
        <v>0.4</v>
      </c>
      <c r="E2504" s="393"/>
      <c r="F2504" s="523"/>
      <c r="G2504" s="393"/>
      <c r="H2504" s="573"/>
      <c r="I2504" s="394"/>
      <c r="J2504" s="394"/>
      <c r="K2504" s="394"/>
      <c r="L2504" s="394"/>
      <c r="M2504" s="394"/>
      <c r="N2504" s="394"/>
      <c r="O2504" s="394"/>
      <c r="P2504" s="394"/>
      <c r="Q2504" s="394"/>
      <c r="R2504" s="381"/>
      <c r="S2504" s="408"/>
      <c r="T2504" s="385"/>
      <c r="U2504" s="475"/>
      <c r="V2504" s="395"/>
      <c r="W2504" s="395"/>
      <c r="X2504" s="393"/>
      <c r="Y2504" s="523">
        <v>1</v>
      </c>
      <c r="Z2504" s="497"/>
      <c r="AA2504" s="573">
        <v>17.857330000000001</v>
      </c>
      <c r="AB2504" s="394">
        <v>15.36412</v>
      </c>
      <c r="AC2504" s="394">
        <v>14.417949999999999</v>
      </c>
      <c r="AD2504" s="394"/>
      <c r="AE2504" s="394"/>
      <c r="AF2504" s="394">
        <v>0</v>
      </c>
      <c r="AG2504" s="394">
        <v>0</v>
      </c>
      <c r="AH2504" s="394">
        <v>0.58123999999999998</v>
      </c>
      <c r="AI2504" s="394">
        <v>14.417949999999999</v>
      </c>
      <c r="AJ2504" s="394"/>
      <c r="AK2504" s="381" t="s">
        <v>167</v>
      </c>
      <c r="AL2504" s="408" t="s">
        <v>175</v>
      </c>
      <c r="AM2504" s="385"/>
      <c r="AN2504" s="475">
        <v>1293</v>
      </c>
      <c r="AO2504" s="395"/>
      <c r="AP2504" s="395">
        <f t="shared" si="1049"/>
        <v>17.857330000000001</v>
      </c>
      <c r="AQ2504" s="393"/>
      <c r="AR2504" s="523"/>
      <c r="AS2504" s="497"/>
      <c r="AT2504" s="573"/>
      <c r="AU2504" s="394"/>
      <c r="AV2504" s="394"/>
      <c r="AW2504" s="394"/>
      <c r="AX2504" s="394"/>
      <c r="AY2504" s="394"/>
      <c r="AZ2504" s="394"/>
      <c r="BA2504" s="394"/>
      <c r="BB2504" s="394"/>
      <c r="BC2504" s="394"/>
      <c r="BD2504" s="381"/>
      <c r="BE2504" s="408"/>
      <c r="BF2504" s="385"/>
      <c r="BG2504" s="475"/>
      <c r="BH2504" s="395"/>
      <c r="BI2504" s="395" t="e">
        <f t="shared" si="1048"/>
        <v>#DIV/0!</v>
      </c>
    </row>
    <row r="2505" spans="1:61" s="358" customFormat="1" ht="19.2" x14ac:dyDescent="0.3">
      <c r="A2505" s="359" t="s">
        <v>2146</v>
      </c>
      <c r="B2505" s="572" t="s">
        <v>4154</v>
      </c>
      <c r="C2505" s="546" t="s">
        <v>3287</v>
      </c>
      <c r="D2505" s="360">
        <v>0.4</v>
      </c>
      <c r="E2505" s="393"/>
      <c r="F2505" s="523"/>
      <c r="G2505" s="393"/>
      <c r="H2505" s="573"/>
      <c r="I2505" s="394"/>
      <c r="J2505" s="394"/>
      <c r="K2505" s="394"/>
      <c r="L2505" s="394"/>
      <c r="M2505" s="394"/>
      <c r="N2505" s="394"/>
      <c r="O2505" s="394"/>
      <c r="P2505" s="394"/>
      <c r="Q2505" s="394"/>
      <c r="R2505" s="381"/>
      <c r="S2505" s="408"/>
      <c r="T2505" s="385"/>
      <c r="U2505" s="475"/>
      <c r="V2505" s="395"/>
      <c r="W2505" s="395"/>
      <c r="X2505" s="393"/>
      <c r="Y2505" s="523">
        <v>1</v>
      </c>
      <c r="Z2505" s="497"/>
      <c r="AA2505" s="573">
        <v>17.85735</v>
      </c>
      <c r="AB2505" s="394">
        <v>15.364140000000001</v>
      </c>
      <c r="AC2505" s="394">
        <v>14.417949999999999</v>
      </c>
      <c r="AD2505" s="394"/>
      <c r="AE2505" s="394"/>
      <c r="AF2505" s="394">
        <v>0</v>
      </c>
      <c r="AG2505" s="394">
        <v>0</v>
      </c>
      <c r="AH2505" s="394">
        <v>0.58123999999999998</v>
      </c>
      <c r="AI2505" s="394">
        <v>14.417949999999999</v>
      </c>
      <c r="AJ2505" s="394"/>
      <c r="AK2505" s="381" t="s">
        <v>167</v>
      </c>
      <c r="AL2505" s="408" t="s">
        <v>175</v>
      </c>
      <c r="AM2505" s="385"/>
      <c r="AN2505" s="475">
        <v>1294</v>
      </c>
      <c r="AO2505" s="395"/>
      <c r="AP2505" s="395">
        <f t="shared" si="1049"/>
        <v>17.85735</v>
      </c>
      <c r="AQ2505" s="393"/>
      <c r="AR2505" s="523"/>
      <c r="AS2505" s="497"/>
      <c r="AT2505" s="573"/>
      <c r="AU2505" s="394"/>
      <c r="AV2505" s="394"/>
      <c r="AW2505" s="394"/>
      <c r="AX2505" s="394"/>
      <c r="AY2505" s="394"/>
      <c r="AZ2505" s="394"/>
      <c r="BA2505" s="394"/>
      <c r="BB2505" s="394"/>
      <c r="BC2505" s="394"/>
      <c r="BD2505" s="381"/>
      <c r="BE2505" s="408"/>
      <c r="BF2505" s="385"/>
      <c r="BG2505" s="475"/>
      <c r="BH2505" s="395"/>
      <c r="BI2505" s="395" t="e">
        <f t="shared" si="1048"/>
        <v>#DIV/0!</v>
      </c>
    </row>
    <row r="2506" spans="1:61" s="358" customFormat="1" ht="19.2" x14ac:dyDescent="0.3">
      <c r="A2506" s="359" t="s">
        <v>2147</v>
      </c>
      <c r="B2506" s="572" t="s">
        <v>4155</v>
      </c>
      <c r="C2506" s="546" t="s">
        <v>3288</v>
      </c>
      <c r="D2506" s="360">
        <v>0.4</v>
      </c>
      <c r="E2506" s="393"/>
      <c r="F2506" s="523"/>
      <c r="G2506" s="393"/>
      <c r="H2506" s="573"/>
      <c r="I2506" s="394"/>
      <c r="J2506" s="394"/>
      <c r="K2506" s="394"/>
      <c r="L2506" s="394"/>
      <c r="M2506" s="394"/>
      <c r="N2506" s="394"/>
      <c r="O2506" s="394"/>
      <c r="P2506" s="394"/>
      <c r="Q2506" s="394"/>
      <c r="R2506" s="381"/>
      <c r="S2506" s="408"/>
      <c r="T2506" s="385"/>
      <c r="U2506" s="475"/>
      <c r="V2506" s="395"/>
      <c r="W2506" s="395"/>
      <c r="X2506" s="393"/>
      <c r="Y2506" s="523">
        <v>1</v>
      </c>
      <c r="Z2506" s="497"/>
      <c r="AA2506" s="573">
        <v>17.85735</v>
      </c>
      <c r="AB2506" s="394">
        <v>15.364140000000001</v>
      </c>
      <c r="AC2506" s="394">
        <v>14.417949999999999</v>
      </c>
      <c r="AD2506" s="394"/>
      <c r="AE2506" s="394"/>
      <c r="AF2506" s="394">
        <v>0</v>
      </c>
      <c r="AG2506" s="394">
        <v>0</v>
      </c>
      <c r="AH2506" s="394">
        <v>0.58123999999999998</v>
      </c>
      <c r="AI2506" s="394">
        <v>14.417949999999999</v>
      </c>
      <c r="AJ2506" s="394"/>
      <c r="AK2506" s="381" t="s">
        <v>167</v>
      </c>
      <c r="AL2506" s="408" t="s">
        <v>175</v>
      </c>
      <c r="AM2506" s="385"/>
      <c r="AN2506" s="475">
        <v>1295</v>
      </c>
      <c r="AO2506" s="395"/>
      <c r="AP2506" s="395">
        <f t="shared" si="1049"/>
        <v>17.85735</v>
      </c>
      <c r="AQ2506" s="393"/>
      <c r="AR2506" s="523"/>
      <c r="AS2506" s="497"/>
      <c r="AT2506" s="573"/>
      <c r="AU2506" s="394"/>
      <c r="AV2506" s="394"/>
      <c r="AW2506" s="394"/>
      <c r="AX2506" s="394"/>
      <c r="AY2506" s="394"/>
      <c r="AZ2506" s="394"/>
      <c r="BA2506" s="394"/>
      <c r="BB2506" s="394"/>
      <c r="BC2506" s="394"/>
      <c r="BD2506" s="381"/>
      <c r="BE2506" s="408"/>
      <c r="BF2506" s="385"/>
      <c r="BG2506" s="475"/>
      <c r="BH2506" s="395"/>
      <c r="BI2506" s="395" t="e">
        <f t="shared" si="1048"/>
        <v>#DIV/0!</v>
      </c>
    </row>
    <row r="2507" spans="1:61" s="358" customFormat="1" ht="19.2" x14ac:dyDescent="0.3">
      <c r="A2507" s="359" t="s">
        <v>2164</v>
      </c>
      <c r="B2507" s="572" t="s">
        <v>4156</v>
      </c>
      <c r="C2507" s="546" t="s">
        <v>3289</v>
      </c>
      <c r="D2507" s="360">
        <v>0.4</v>
      </c>
      <c r="E2507" s="393"/>
      <c r="F2507" s="523"/>
      <c r="G2507" s="393"/>
      <c r="H2507" s="573"/>
      <c r="I2507" s="394"/>
      <c r="J2507" s="394"/>
      <c r="K2507" s="394"/>
      <c r="L2507" s="394"/>
      <c r="M2507" s="394"/>
      <c r="N2507" s="394"/>
      <c r="O2507" s="394"/>
      <c r="P2507" s="394"/>
      <c r="Q2507" s="394"/>
      <c r="R2507" s="381"/>
      <c r="S2507" s="408"/>
      <c r="T2507" s="385"/>
      <c r="U2507" s="475"/>
      <c r="V2507" s="395"/>
      <c r="W2507" s="395"/>
      <c r="X2507" s="393"/>
      <c r="Y2507" s="523">
        <v>1</v>
      </c>
      <c r="Z2507" s="497"/>
      <c r="AA2507" s="573">
        <v>17.857340000000001</v>
      </c>
      <c r="AB2507" s="394">
        <v>15.364129999999999</v>
      </c>
      <c r="AC2507" s="394">
        <v>14.417949999999999</v>
      </c>
      <c r="AD2507" s="394"/>
      <c r="AE2507" s="394"/>
      <c r="AF2507" s="394">
        <v>0</v>
      </c>
      <c r="AG2507" s="394">
        <v>0</v>
      </c>
      <c r="AH2507" s="394">
        <v>0.58123999999999998</v>
      </c>
      <c r="AI2507" s="394">
        <v>14.417949999999999</v>
      </c>
      <c r="AJ2507" s="394"/>
      <c r="AK2507" s="381" t="s">
        <v>167</v>
      </c>
      <c r="AL2507" s="408" t="s">
        <v>175</v>
      </c>
      <c r="AM2507" s="385"/>
      <c r="AN2507" s="475">
        <v>1296</v>
      </c>
      <c r="AO2507" s="395"/>
      <c r="AP2507" s="395">
        <f t="shared" si="1049"/>
        <v>17.857340000000001</v>
      </c>
      <c r="AQ2507" s="393"/>
      <c r="AR2507" s="523"/>
      <c r="AS2507" s="497"/>
      <c r="AT2507" s="573"/>
      <c r="AU2507" s="394"/>
      <c r="AV2507" s="394"/>
      <c r="AW2507" s="394"/>
      <c r="AX2507" s="394"/>
      <c r="AY2507" s="394"/>
      <c r="AZ2507" s="394"/>
      <c r="BA2507" s="394"/>
      <c r="BB2507" s="394"/>
      <c r="BC2507" s="394"/>
      <c r="BD2507" s="381"/>
      <c r="BE2507" s="408"/>
      <c r="BF2507" s="385"/>
      <c r="BG2507" s="475"/>
      <c r="BH2507" s="395"/>
      <c r="BI2507" s="395" t="e">
        <f t="shared" si="1048"/>
        <v>#DIV/0!</v>
      </c>
    </row>
    <row r="2508" spans="1:61" s="358" customFormat="1" ht="19.2" x14ac:dyDescent="0.3">
      <c r="A2508" s="359" t="s">
        <v>2149</v>
      </c>
      <c r="B2508" s="572" t="s">
        <v>4157</v>
      </c>
      <c r="C2508" s="546" t="s">
        <v>3290</v>
      </c>
      <c r="D2508" s="360">
        <v>0.4</v>
      </c>
      <c r="E2508" s="393"/>
      <c r="F2508" s="523"/>
      <c r="G2508" s="393"/>
      <c r="H2508" s="573"/>
      <c r="I2508" s="394"/>
      <c r="J2508" s="394"/>
      <c r="K2508" s="394"/>
      <c r="L2508" s="394"/>
      <c r="M2508" s="394"/>
      <c r="N2508" s="394"/>
      <c r="O2508" s="394"/>
      <c r="P2508" s="394"/>
      <c r="Q2508" s="394"/>
      <c r="R2508" s="381"/>
      <c r="S2508" s="408"/>
      <c r="T2508" s="385"/>
      <c r="U2508" s="475"/>
      <c r="V2508" s="395"/>
      <c r="W2508" s="395"/>
      <c r="X2508" s="393"/>
      <c r="Y2508" s="523">
        <v>1</v>
      </c>
      <c r="Z2508" s="497"/>
      <c r="AA2508" s="573">
        <v>17.857330000000001</v>
      </c>
      <c r="AB2508" s="394">
        <v>15.36412</v>
      </c>
      <c r="AC2508" s="394">
        <v>14.417949999999999</v>
      </c>
      <c r="AD2508" s="394"/>
      <c r="AE2508" s="394"/>
      <c r="AF2508" s="394">
        <v>0</v>
      </c>
      <c r="AG2508" s="394">
        <v>0</v>
      </c>
      <c r="AH2508" s="394">
        <v>0.58123999999999998</v>
      </c>
      <c r="AI2508" s="394">
        <v>14.417949999999999</v>
      </c>
      <c r="AJ2508" s="394"/>
      <c r="AK2508" s="381" t="s">
        <v>167</v>
      </c>
      <c r="AL2508" s="408" t="s">
        <v>175</v>
      </c>
      <c r="AM2508" s="385"/>
      <c r="AN2508" s="475">
        <v>1297</v>
      </c>
      <c r="AO2508" s="395"/>
      <c r="AP2508" s="395">
        <f t="shared" si="1049"/>
        <v>17.857330000000001</v>
      </c>
      <c r="AQ2508" s="393"/>
      <c r="AR2508" s="523"/>
      <c r="AS2508" s="497"/>
      <c r="AT2508" s="573"/>
      <c r="AU2508" s="394"/>
      <c r="AV2508" s="394"/>
      <c r="AW2508" s="394"/>
      <c r="AX2508" s="394"/>
      <c r="AY2508" s="394"/>
      <c r="AZ2508" s="394"/>
      <c r="BA2508" s="394"/>
      <c r="BB2508" s="394"/>
      <c r="BC2508" s="394"/>
      <c r="BD2508" s="381"/>
      <c r="BE2508" s="408"/>
      <c r="BF2508" s="385"/>
      <c r="BG2508" s="475"/>
      <c r="BH2508" s="395"/>
      <c r="BI2508" s="395" t="e">
        <f t="shared" si="1048"/>
        <v>#DIV/0!</v>
      </c>
    </row>
    <row r="2509" spans="1:61" s="358" customFormat="1" ht="19.2" x14ac:dyDescent="0.3">
      <c r="A2509" s="359" t="s">
        <v>2150</v>
      </c>
      <c r="B2509" s="572" t="s">
        <v>4158</v>
      </c>
      <c r="C2509" s="546" t="s">
        <v>3291</v>
      </c>
      <c r="D2509" s="360">
        <v>0.4</v>
      </c>
      <c r="E2509" s="393"/>
      <c r="F2509" s="523"/>
      <c r="G2509" s="393"/>
      <c r="H2509" s="573"/>
      <c r="I2509" s="394"/>
      <c r="J2509" s="394"/>
      <c r="K2509" s="394"/>
      <c r="L2509" s="394"/>
      <c r="M2509" s="394"/>
      <c r="N2509" s="394"/>
      <c r="O2509" s="394"/>
      <c r="P2509" s="394"/>
      <c r="Q2509" s="394"/>
      <c r="R2509" s="381"/>
      <c r="S2509" s="408"/>
      <c r="T2509" s="385"/>
      <c r="U2509" s="475"/>
      <c r="V2509" s="395"/>
      <c r="W2509" s="395"/>
      <c r="X2509" s="393"/>
      <c r="Y2509" s="523">
        <v>1</v>
      </c>
      <c r="Z2509" s="497"/>
      <c r="AA2509" s="573">
        <v>17.857330000000001</v>
      </c>
      <c r="AB2509" s="394">
        <v>15.36412</v>
      </c>
      <c r="AC2509" s="394">
        <v>14.417949999999999</v>
      </c>
      <c r="AD2509" s="394"/>
      <c r="AE2509" s="394"/>
      <c r="AF2509" s="394">
        <v>0</v>
      </c>
      <c r="AG2509" s="394">
        <v>0</v>
      </c>
      <c r="AH2509" s="394">
        <v>0.58123999999999998</v>
      </c>
      <c r="AI2509" s="394">
        <v>14.417949999999999</v>
      </c>
      <c r="AJ2509" s="394"/>
      <c r="AK2509" s="381" t="s">
        <v>167</v>
      </c>
      <c r="AL2509" s="408" t="s">
        <v>175</v>
      </c>
      <c r="AM2509" s="385"/>
      <c r="AN2509" s="475">
        <v>1298</v>
      </c>
      <c r="AO2509" s="395"/>
      <c r="AP2509" s="395">
        <f t="shared" si="1049"/>
        <v>17.857330000000001</v>
      </c>
      <c r="AQ2509" s="393"/>
      <c r="AR2509" s="523"/>
      <c r="AS2509" s="497"/>
      <c r="AT2509" s="573"/>
      <c r="AU2509" s="394"/>
      <c r="AV2509" s="394"/>
      <c r="AW2509" s="394"/>
      <c r="AX2509" s="394"/>
      <c r="AY2509" s="394"/>
      <c r="AZ2509" s="394"/>
      <c r="BA2509" s="394"/>
      <c r="BB2509" s="394"/>
      <c r="BC2509" s="394"/>
      <c r="BD2509" s="381"/>
      <c r="BE2509" s="408"/>
      <c r="BF2509" s="385"/>
      <c r="BG2509" s="475"/>
      <c r="BH2509" s="395"/>
      <c r="BI2509" s="395" t="e">
        <f t="shared" si="1048"/>
        <v>#DIV/0!</v>
      </c>
    </row>
    <row r="2510" spans="1:61" s="358" customFormat="1" ht="19.2" x14ac:dyDescent="0.3">
      <c r="A2510" s="359" t="s">
        <v>2151</v>
      </c>
      <c r="B2510" s="572" t="s">
        <v>4159</v>
      </c>
      <c r="C2510" s="546" t="s">
        <v>3292</v>
      </c>
      <c r="D2510" s="360">
        <v>0.4</v>
      </c>
      <c r="E2510" s="393"/>
      <c r="F2510" s="523"/>
      <c r="G2510" s="393"/>
      <c r="H2510" s="573"/>
      <c r="I2510" s="394"/>
      <c r="J2510" s="394"/>
      <c r="K2510" s="394"/>
      <c r="L2510" s="394"/>
      <c r="M2510" s="394"/>
      <c r="N2510" s="394"/>
      <c r="O2510" s="394"/>
      <c r="P2510" s="394"/>
      <c r="Q2510" s="394"/>
      <c r="R2510" s="381"/>
      <c r="S2510" s="408"/>
      <c r="T2510" s="385"/>
      <c r="U2510" s="475"/>
      <c r="V2510" s="395"/>
      <c r="W2510" s="395"/>
      <c r="X2510" s="393"/>
      <c r="Y2510" s="523">
        <v>1</v>
      </c>
      <c r="Z2510" s="497"/>
      <c r="AA2510" s="573">
        <v>17.857340000000001</v>
      </c>
      <c r="AB2510" s="394">
        <v>15.364129999999999</v>
      </c>
      <c r="AC2510" s="394">
        <v>14.417949999999999</v>
      </c>
      <c r="AD2510" s="394"/>
      <c r="AE2510" s="394"/>
      <c r="AF2510" s="394">
        <v>0</v>
      </c>
      <c r="AG2510" s="394">
        <v>0</v>
      </c>
      <c r="AH2510" s="394">
        <v>0.58123999999999998</v>
      </c>
      <c r="AI2510" s="394">
        <v>14.417949999999999</v>
      </c>
      <c r="AJ2510" s="394"/>
      <c r="AK2510" s="381" t="s">
        <v>167</v>
      </c>
      <c r="AL2510" s="408" t="s">
        <v>175</v>
      </c>
      <c r="AM2510" s="385"/>
      <c r="AN2510" s="475">
        <v>1299</v>
      </c>
      <c r="AO2510" s="395"/>
      <c r="AP2510" s="395">
        <f t="shared" si="1049"/>
        <v>17.857340000000001</v>
      </c>
      <c r="AQ2510" s="393"/>
      <c r="AR2510" s="523"/>
      <c r="AS2510" s="497"/>
      <c r="AT2510" s="573"/>
      <c r="AU2510" s="394"/>
      <c r="AV2510" s="394"/>
      <c r="AW2510" s="394"/>
      <c r="AX2510" s="394"/>
      <c r="AY2510" s="394"/>
      <c r="AZ2510" s="394"/>
      <c r="BA2510" s="394"/>
      <c r="BB2510" s="394"/>
      <c r="BC2510" s="394"/>
      <c r="BD2510" s="381"/>
      <c r="BE2510" s="408"/>
      <c r="BF2510" s="385"/>
      <c r="BG2510" s="475"/>
      <c r="BH2510" s="395"/>
      <c r="BI2510" s="395" t="e">
        <f t="shared" si="1048"/>
        <v>#DIV/0!</v>
      </c>
    </row>
    <row r="2511" spans="1:61" s="358" customFormat="1" ht="19.2" x14ac:dyDescent="0.3">
      <c r="A2511" s="359" t="s">
        <v>2168</v>
      </c>
      <c r="B2511" s="572" t="s">
        <v>4160</v>
      </c>
      <c r="C2511" s="546" t="s">
        <v>3293</v>
      </c>
      <c r="D2511" s="360">
        <v>0.4</v>
      </c>
      <c r="E2511" s="393"/>
      <c r="F2511" s="523"/>
      <c r="G2511" s="393"/>
      <c r="H2511" s="573"/>
      <c r="I2511" s="394"/>
      <c r="J2511" s="394"/>
      <c r="K2511" s="394"/>
      <c r="L2511" s="394"/>
      <c r="M2511" s="394"/>
      <c r="N2511" s="394"/>
      <c r="O2511" s="394"/>
      <c r="P2511" s="394"/>
      <c r="Q2511" s="394"/>
      <c r="R2511" s="381"/>
      <c r="S2511" s="408"/>
      <c r="T2511" s="385"/>
      <c r="U2511" s="475"/>
      <c r="V2511" s="395"/>
      <c r="W2511" s="395"/>
      <c r="X2511" s="393"/>
      <c r="Y2511" s="523">
        <v>1</v>
      </c>
      <c r="Z2511" s="497"/>
      <c r="AA2511" s="573">
        <v>17.857330000000001</v>
      </c>
      <c r="AB2511" s="394">
        <v>15.36412</v>
      </c>
      <c r="AC2511" s="394">
        <v>14.417949999999999</v>
      </c>
      <c r="AD2511" s="394"/>
      <c r="AE2511" s="394"/>
      <c r="AF2511" s="394">
        <v>0</v>
      </c>
      <c r="AG2511" s="394">
        <v>0</v>
      </c>
      <c r="AH2511" s="394">
        <v>0.58123999999999998</v>
      </c>
      <c r="AI2511" s="394">
        <v>14.417949999999999</v>
      </c>
      <c r="AJ2511" s="394"/>
      <c r="AK2511" s="381" t="s">
        <v>167</v>
      </c>
      <c r="AL2511" s="408" t="s">
        <v>175</v>
      </c>
      <c r="AM2511" s="385"/>
      <c r="AN2511" s="475">
        <v>1300</v>
      </c>
      <c r="AO2511" s="395"/>
      <c r="AP2511" s="395">
        <f t="shared" si="1049"/>
        <v>17.857330000000001</v>
      </c>
      <c r="AQ2511" s="393"/>
      <c r="AR2511" s="523"/>
      <c r="AS2511" s="497"/>
      <c r="AT2511" s="573"/>
      <c r="AU2511" s="394"/>
      <c r="AV2511" s="394"/>
      <c r="AW2511" s="394"/>
      <c r="AX2511" s="394"/>
      <c r="AY2511" s="394"/>
      <c r="AZ2511" s="394"/>
      <c r="BA2511" s="394"/>
      <c r="BB2511" s="394"/>
      <c r="BC2511" s="394"/>
      <c r="BD2511" s="381"/>
      <c r="BE2511" s="408"/>
      <c r="BF2511" s="385"/>
      <c r="BG2511" s="475"/>
      <c r="BH2511" s="395"/>
      <c r="BI2511" s="395" t="e">
        <f t="shared" si="1048"/>
        <v>#DIV/0!</v>
      </c>
    </row>
    <row r="2512" spans="1:61" s="358" customFormat="1" ht="19.2" x14ac:dyDescent="0.3">
      <c r="A2512" s="359" t="s">
        <v>2153</v>
      </c>
      <c r="B2512" s="572" t="s">
        <v>2527</v>
      </c>
      <c r="C2512" s="546" t="s">
        <v>2526</v>
      </c>
      <c r="D2512" s="360">
        <v>0.4</v>
      </c>
      <c r="E2512" s="393"/>
      <c r="F2512" s="523"/>
      <c r="G2512" s="393"/>
      <c r="H2512" s="573"/>
      <c r="I2512" s="394"/>
      <c r="J2512" s="394"/>
      <c r="K2512" s="394"/>
      <c r="L2512" s="394"/>
      <c r="M2512" s="394"/>
      <c r="N2512" s="394"/>
      <c r="O2512" s="394"/>
      <c r="P2512" s="394"/>
      <c r="Q2512" s="394"/>
      <c r="R2512" s="381"/>
      <c r="S2512" s="408"/>
      <c r="T2512" s="385"/>
      <c r="U2512" s="475"/>
      <c r="V2512" s="395"/>
      <c r="W2512" s="395"/>
      <c r="X2512" s="393"/>
      <c r="Y2512" s="523">
        <v>1</v>
      </c>
      <c r="Z2512" s="497"/>
      <c r="AA2512" s="573">
        <v>17.85737</v>
      </c>
      <c r="AB2512" s="394">
        <v>15.36416</v>
      </c>
      <c r="AC2512" s="394">
        <v>14.417949999999999</v>
      </c>
      <c r="AD2512" s="394"/>
      <c r="AE2512" s="394"/>
      <c r="AF2512" s="394">
        <v>0</v>
      </c>
      <c r="AG2512" s="394">
        <v>0</v>
      </c>
      <c r="AH2512" s="394">
        <v>0.58123999999999998</v>
      </c>
      <c r="AI2512" s="394">
        <v>14.417949999999999</v>
      </c>
      <c r="AJ2512" s="394"/>
      <c r="AK2512" s="381" t="s">
        <v>167</v>
      </c>
      <c r="AL2512" s="408" t="s">
        <v>175</v>
      </c>
      <c r="AM2512" s="385"/>
      <c r="AN2512" s="475">
        <v>1301</v>
      </c>
      <c r="AO2512" s="395"/>
      <c r="AP2512" s="395">
        <f t="shared" si="1049"/>
        <v>17.85737</v>
      </c>
      <c r="AQ2512" s="393"/>
      <c r="AR2512" s="523"/>
      <c r="AS2512" s="497"/>
      <c r="AT2512" s="573"/>
      <c r="AU2512" s="394"/>
      <c r="AV2512" s="394"/>
      <c r="AW2512" s="394"/>
      <c r="AX2512" s="394"/>
      <c r="AY2512" s="394"/>
      <c r="AZ2512" s="394"/>
      <c r="BA2512" s="394"/>
      <c r="BB2512" s="394"/>
      <c r="BC2512" s="394"/>
      <c r="BD2512" s="381"/>
      <c r="BE2512" s="408"/>
      <c r="BF2512" s="385"/>
      <c r="BG2512" s="475"/>
      <c r="BH2512" s="395"/>
      <c r="BI2512" s="395" t="e">
        <f t="shared" si="1048"/>
        <v>#DIV/0!</v>
      </c>
    </row>
    <row r="2513" spans="1:61" s="358" customFormat="1" ht="19.2" x14ac:dyDescent="0.3">
      <c r="A2513" s="359" t="s">
        <v>2154</v>
      </c>
      <c r="B2513" s="572" t="s">
        <v>4161</v>
      </c>
      <c r="C2513" s="546" t="s">
        <v>3294</v>
      </c>
      <c r="D2513" s="360">
        <v>0.4</v>
      </c>
      <c r="E2513" s="393"/>
      <c r="F2513" s="523"/>
      <c r="G2513" s="393"/>
      <c r="H2513" s="573"/>
      <c r="I2513" s="394"/>
      <c r="J2513" s="394"/>
      <c r="K2513" s="394"/>
      <c r="L2513" s="394"/>
      <c r="M2513" s="394"/>
      <c r="N2513" s="394"/>
      <c r="O2513" s="394"/>
      <c r="P2513" s="394"/>
      <c r="Q2513" s="394"/>
      <c r="R2513" s="381"/>
      <c r="S2513" s="408"/>
      <c r="T2513" s="385"/>
      <c r="U2513" s="475"/>
      <c r="V2513" s="395"/>
      <c r="W2513" s="395"/>
      <c r="X2513" s="393"/>
      <c r="Y2513" s="523">
        <v>1</v>
      </c>
      <c r="Z2513" s="497"/>
      <c r="AA2513" s="573">
        <v>18.026520000000001</v>
      </c>
      <c r="AB2513" s="394">
        <v>15.53331</v>
      </c>
      <c r="AC2513" s="394">
        <v>14.417960000000001</v>
      </c>
      <c r="AD2513" s="394"/>
      <c r="AE2513" s="394"/>
      <c r="AF2513" s="394">
        <v>0</v>
      </c>
      <c r="AG2513" s="394">
        <v>0</v>
      </c>
      <c r="AH2513" s="394">
        <v>0.58123999999999998</v>
      </c>
      <c r="AI2513" s="394">
        <v>14.417960000000001</v>
      </c>
      <c r="AJ2513" s="394"/>
      <c r="AK2513" s="381" t="s">
        <v>167</v>
      </c>
      <c r="AL2513" s="408" t="s">
        <v>175</v>
      </c>
      <c r="AM2513" s="385"/>
      <c r="AN2513" s="475">
        <v>1302</v>
      </c>
      <c r="AO2513" s="395"/>
      <c r="AP2513" s="395">
        <f t="shared" si="1049"/>
        <v>18.026520000000001</v>
      </c>
      <c r="AQ2513" s="393"/>
      <c r="AR2513" s="523"/>
      <c r="AS2513" s="497"/>
      <c r="AT2513" s="573"/>
      <c r="AU2513" s="394"/>
      <c r="AV2513" s="394"/>
      <c r="AW2513" s="394"/>
      <c r="AX2513" s="394"/>
      <c r="AY2513" s="394"/>
      <c r="AZ2513" s="394"/>
      <c r="BA2513" s="394"/>
      <c r="BB2513" s="394"/>
      <c r="BC2513" s="394"/>
      <c r="BD2513" s="381"/>
      <c r="BE2513" s="408"/>
      <c r="BF2513" s="385"/>
      <c r="BG2513" s="475"/>
      <c r="BH2513" s="395"/>
      <c r="BI2513" s="395" t="e">
        <f t="shared" si="1048"/>
        <v>#DIV/0!</v>
      </c>
    </row>
    <row r="2514" spans="1:61" s="358" customFormat="1" ht="19.2" x14ac:dyDescent="0.3">
      <c r="A2514" s="359" t="s">
        <v>2139</v>
      </c>
      <c r="B2514" s="572" t="s">
        <v>4162</v>
      </c>
      <c r="C2514" s="546" t="s">
        <v>3295</v>
      </c>
      <c r="D2514" s="360">
        <v>0.4</v>
      </c>
      <c r="E2514" s="393"/>
      <c r="F2514" s="523"/>
      <c r="G2514" s="393"/>
      <c r="H2514" s="573"/>
      <c r="I2514" s="394"/>
      <c r="J2514" s="394"/>
      <c r="K2514" s="394"/>
      <c r="L2514" s="394"/>
      <c r="M2514" s="394"/>
      <c r="N2514" s="394"/>
      <c r="O2514" s="394"/>
      <c r="P2514" s="394"/>
      <c r="Q2514" s="394"/>
      <c r="R2514" s="381"/>
      <c r="S2514" s="408"/>
      <c r="T2514" s="385"/>
      <c r="U2514" s="475"/>
      <c r="V2514" s="395"/>
      <c r="W2514" s="395"/>
      <c r="X2514" s="393"/>
      <c r="Y2514" s="523">
        <v>1</v>
      </c>
      <c r="Z2514" s="497"/>
      <c r="AA2514" s="573">
        <v>18.026520000000001</v>
      </c>
      <c r="AB2514" s="394">
        <v>15.53331</v>
      </c>
      <c r="AC2514" s="394">
        <v>14.417960000000001</v>
      </c>
      <c r="AD2514" s="394"/>
      <c r="AE2514" s="394"/>
      <c r="AF2514" s="394">
        <v>0</v>
      </c>
      <c r="AG2514" s="394">
        <v>0</v>
      </c>
      <c r="AH2514" s="394">
        <v>0.58123999999999998</v>
      </c>
      <c r="AI2514" s="394">
        <v>14.417960000000001</v>
      </c>
      <c r="AJ2514" s="394"/>
      <c r="AK2514" s="381" t="s">
        <v>167</v>
      </c>
      <c r="AL2514" s="408" t="s">
        <v>175</v>
      </c>
      <c r="AM2514" s="385"/>
      <c r="AN2514" s="475">
        <v>1303</v>
      </c>
      <c r="AO2514" s="395"/>
      <c r="AP2514" s="395">
        <f t="shared" si="1049"/>
        <v>18.026520000000001</v>
      </c>
      <c r="AQ2514" s="393"/>
      <c r="AR2514" s="523"/>
      <c r="AS2514" s="497"/>
      <c r="AT2514" s="573"/>
      <c r="AU2514" s="394"/>
      <c r="AV2514" s="394"/>
      <c r="AW2514" s="394"/>
      <c r="AX2514" s="394"/>
      <c r="AY2514" s="394"/>
      <c r="AZ2514" s="394"/>
      <c r="BA2514" s="394"/>
      <c r="BB2514" s="394"/>
      <c r="BC2514" s="394"/>
      <c r="BD2514" s="381"/>
      <c r="BE2514" s="408"/>
      <c r="BF2514" s="385"/>
      <c r="BG2514" s="475"/>
      <c r="BH2514" s="395"/>
      <c r="BI2514" s="395" t="e">
        <f t="shared" si="1048"/>
        <v>#DIV/0!</v>
      </c>
    </row>
    <row r="2515" spans="1:61" s="358" customFormat="1" ht="19.2" x14ac:dyDescent="0.3">
      <c r="A2515" s="359" t="s">
        <v>2156</v>
      </c>
      <c r="B2515" s="572" t="s">
        <v>4163</v>
      </c>
      <c r="C2515" s="546" t="s">
        <v>3296</v>
      </c>
      <c r="D2515" s="360">
        <v>0.4</v>
      </c>
      <c r="E2515" s="393"/>
      <c r="F2515" s="523"/>
      <c r="G2515" s="393"/>
      <c r="H2515" s="573"/>
      <c r="I2515" s="394"/>
      <c r="J2515" s="394"/>
      <c r="K2515" s="394"/>
      <c r="L2515" s="394"/>
      <c r="M2515" s="394"/>
      <c r="N2515" s="394"/>
      <c r="O2515" s="394"/>
      <c r="P2515" s="394"/>
      <c r="Q2515" s="394"/>
      <c r="R2515" s="381"/>
      <c r="S2515" s="408"/>
      <c r="T2515" s="385"/>
      <c r="U2515" s="475"/>
      <c r="V2515" s="395"/>
      <c r="W2515" s="395"/>
      <c r="X2515" s="393"/>
      <c r="Y2515" s="523">
        <v>1</v>
      </c>
      <c r="Z2515" s="497"/>
      <c r="AA2515" s="573">
        <v>18.026530000000001</v>
      </c>
      <c r="AB2515" s="394">
        <v>15.53332</v>
      </c>
      <c r="AC2515" s="394">
        <v>14.417960000000001</v>
      </c>
      <c r="AD2515" s="394"/>
      <c r="AE2515" s="394"/>
      <c r="AF2515" s="394">
        <v>0</v>
      </c>
      <c r="AG2515" s="394">
        <v>0</v>
      </c>
      <c r="AH2515" s="394">
        <v>0.58123999999999998</v>
      </c>
      <c r="AI2515" s="394">
        <v>14.417960000000001</v>
      </c>
      <c r="AJ2515" s="394"/>
      <c r="AK2515" s="381" t="s">
        <v>167</v>
      </c>
      <c r="AL2515" s="408" t="s">
        <v>175</v>
      </c>
      <c r="AM2515" s="385"/>
      <c r="AN2515" s="475">
        <v>1304</v>
      </c>
      <c r="AO2515" s="395"/>
      <c r="AP2515" s="395">
        <f t="shared" si="1049"/>
        <v>18.026530000000001</v>
      </c>
      <c r="AQ2515" s="393"/>
      <c r="AR2515" s="523"/>
      <c r="AS2515" s="497"/>
      <c r="AT2515" s="573"/>
      <c r="AU2515" s="394"/>
      <c r="AV2515" s="394"/>
      <c r="AW2515" s="394"/>
      <c r="AX2515" s="394"/>
      <c r="AY2515" s="394"/>
      <c r="AZ2515" s="394"/>
      <c r="BA2515" s="394"/>
      <c r="BB2515" s="394"/>
      <c r="BC2515" s="394"/>
      <c r="BD2515" s="381"/>
      <c r="BE2515" s="408"/>
      <c r="BF2515" s="385"/>
      <c r="BG2515" s="475"/>
      <c r="BH2515" s="395"/>
      <c r="BI2515" s="395" t="e">
        <f t="shared" si="1048"/>
        <v>#DIV/0!</v>
      </c>
    </row>
    <row r="2516" spans="1:61" s="358" customFormat="1" ht="19.2" x14ac:dyDescent="0.3">
      <c r="A2516" s="359" t="s">
        <v>2157</v>
      </c>
      <c r="B2516" s="572" t="s">
        <v>4164</v>
      </c>
      <c r="C2516" s="546" t="s">
        <v>3297</v>
      </c>
      <c r="D2516" s="360">
        <v>0.4</v>
      </c>
      <c r="E2516" s="393"/>
      <c r="F2516" s="523"/>
      <c r="G2516" s="393"/>
      <c r="H2516" s="573"/>
      <c r="I2516" s="394"/>
      <c r="J2516" s="394"/>
      <c r="K2516" s="394"/>
      <c r="L2516" s="394"/>
      <c r="M2516" s="394"/>
      <c r="N2516" s="394"/>
      <c r="O2516" s="394"/>
      <c r="P2516" s="394"/>
      <c r="Q2516" s="394"/>
      <c r="R2516" s="381"/>
      <c r="S2516" s="408"/>
      <c r="T2516" s="385"/>
      <c r="U2516" s="475"/>
      <c r="V2516" s="395"/>
      <c r="W2516" s="395"/>
      <c r="X2516" s="393"/>
      <c r="Y2516" s="523">
        <v>1</v>
      </c>
      <c r="Z2516" s="497"/>
      <c r="AA2516" s="573">
        <v>17.85737</v>
      </c>
      <c r="AB2516" s="394">
        <v>15.36416</v>
      </c>
      <c r="AC2516" s="394">
        <v>14.417949999999999</v>
      </c>
      <c r="AD2516" s="394"/>
      <c r="AE2516" s="394"/>
      <c r="AF2516" s="394">
        <v>0</v>
      </c>
      <c r="AG2516" s="394">
        <v>0</v>
      </c>
      <c r="AH2516" s="394">
        <v>0.58123999999999998</v>
      </c>
      <c r="AI2516" s="394">
        <v>14.417949999999999</v>
      </c>
      <c r="AJ2516" s="394"/>
      <c r="AK2516" s="381" t="s">
        <v>167</v>
      </c>
      <c r="AL2516" s="408" t="s">
        <v>175</v>
      </c>
      <c r="AM2516" s="385"/>
      <c r="AN2516" s="475">
        <v>1305</v>
      </c>
      <c r="AO2516" s="395"/>
      <c r="AP2516" s="395">
        <f t="shared" si="1049"/>
        <v>17.85737</v>
      </c>
      <c r="AQ2516" s="393"/>
      <c r="AR2516" s="523"/>
      <c r="AS2516" s="497"/>
      <c r="AT2516" s="573"/>
      <c r="AU2516" s="394"/>
      <c r="AV2516" s="394"/>
      <c r="AW2516" s="394"/>
      <c r="AX2516" s="394"/>
      <c r="AY2516" s="394"/>
      <c r="AZ2516" s="394"/>
      <c r="BA2516" s="394"/>
      <c r="BB2516" s="394"/>
      <c r="BC2516" s="394"/>
      <c r="BD2516" s="381"/>
      <c r="BE2516" s="408"/>
      <c r="BF2516" s="385"/>
      <c r="BG2516" s="475"/>
      <c r="BH2516" s="395"/>
      <c r="BI2516" s="395" t="e">
        <f t="shared" si="1048"/>
        <v>#DIV/0!</v>
      </c>
    </row>
    <row r="2517" spans="1:61" s="358" customFormat="1" ht="19.2" x14ac:dyDescent="0.3">
      <c r="A2517" s="359" t="s">
        <v>2158</v>
      </c>
      <c r="B2517" s="572" t="s">
        <v>2525</v>
      </c>
      <c r="C2517" s="546" t="s">
        <v>2524</v>
      </c>
      <c r="D2517" s="360">
        <v>0.4</v>
      </c>
      <c r="E2517" s="393"/>
      <c r="F2517" s="523"/>
      <c r="G2517" s="393"/>
      <c r="H2517" s="573"/>
      <c r="I2517" s="394"/>
      <c r="J2517" s="394"/>
      <c r="K2517" s="394"/>
      <c r="L2517" s="394"/>
      <c r="M2517" s="394"/>
      <c r="N2517" s="394"/>
      <c r="O2517" s="394"/>
      <c r="P2517" s="394"/>
      <c r="Q2517" s="394"/>
      <c r="R2517" s="381"/>
      <c r="S2517" s="408"/>
      <c r="T2517" s="385"/>
      <c r="U2517" s="475"/>
      <c r="V2517" s="395"/>
      <c r="W2517" s="395"/>
      <c r="X2517" s="393"/>
      <c r="Y2517" s="523">
        <v>1</v>
      </c>
      <c r="Z2517" s="497"/>
      <c r="AA2517" s="573">
        <v>43.119140000000002</v>
      </c>
      <c r="AB2517" s="394">
        <v>37.629950000000001</v>
      </c>
      <c r="AC2517" s="394">
        <v>14.417960000000001</v>
      </c>
      <c r="AD2517" s="394"/>
      <c r="AE2517" s="394"/>
      <c r="AF2517" s="394">
        <v>0</v>
      </c>
      <c r="AG2517" s="394">
        <v>0</v>
      </c>
      <c r="AH2517" s="394">
        <v>1.27969</v>
      </c>
      <c r="AI2517" s="394">
        <v>14.417960000000001</v>
      </c>
      <c r="AJ2517" s="394"/>
      <c r="AK2517" s="381" t="s">
        <v>167</v>
      </c>
      <c r="AL2517" s="408" t="s">
        <v>175</v>
      </c>
      <c r="AM2517" s="385"/>
      <c r="AN2517" s="475">
        <v>1306</v>
      </c>
      <c r="AO2517" s="395"/>
      <c r="AP2517" s="395">
        <f t="shared" si="1049"/>
        <v>43.119140000000002</v>
      </c>
      <c r="AQ2517" s="393"/>
      <c r="AR2517" s="523"/>
      <c r="AS2517" s="497"/>
      <c r="AT2517" s="573"/>
      <c r="AU2517" s="394"/>
      <c r="AV2517" s="394"/>
      <c r="AW2517" s="394"/>
      <c r="AX2517" s="394"/>
      <c r="AY2517" s="394"/>
      <c r="AZ2517" s="394"/>
      <c r="BA2517" s="394"/>
      <c r="BB2517" s="394"/>
      <c r="BC2517" s="394"/>
      <c r="BD2517" s="381"/>
      <c r="BE2517" s="408"/>
      <c r="BF2517" s="385"/>
      <c r="BG2517" s="475"/>
      <c r="BH2517" s="395"/>
      <c r="BI2517" s="395" t="e">
        <f t="shared" si="1048"/>
        <v>#DIV/0!</v>
      </c>
    </row>
    <row r="2518" spans="1:61" s="358" customFormat="1" ht="19.2" x14ac:dyDescent="0.3">
      <c r="A2518" s="359" t="s">
        <v>2159</v>
      </c>
      <c r="B2518" s="572" t="s">
        <v>4165</v>
      </c>
      <c r="C2518" s="546" t="s">
        <v>3298</v>
      </c>
      <c r="D2518" s="360">
        <v>0.4</v>
      </c>
      <c r="E2518" s="393"/>
      <c r="F2518" s="523"/>
      <c r="G2518" s="393"/>
      <c r="H2518" s="573"/>
      <c r="I2518" s="394"/>
      <c r="J2518" s="394"/>
      <c r="K2518" s="394"/>
      <c r="L2518" s="394"/>
      <c r="M2518" s="394"/>
      <c r="N2518" s="394"/>
      <c r="O2518" s="394"/>
      <c r="P2518" s="394"/>
      <c r="Q2518" s="394"/>
      <c r="R2518" s="381"/>
      <c r="S2518" s="408"/>
      <c r="T2518" s="385"/>
      <c r="U2518" s="475"/>
      <c r="V2518" s="395"/>
      <c r="W2518" s="395"/>
      <c r="X2518" s="393"/>
      <c r="Y2518" s="523">
        <v>1</v>
      </c>
      <c r="Z2518" s="497"/>
      <c r="AA2518" s="573">
        <v>18.026540000000001</v>
      </c>
      <c r="AB2518" s="394">
        <v>15.533329999999999</v>
      </c>
      <c r="AC2518" s="394">
        <v>14.417960000000001</v>
      </c>
      <c r="AD2518" s="394"/>
      <c r="AE2518" s="394"/>
      <c r="AF2518" s="394">
        <v>0</v>
      </c>
      <c r="AG2518" s="394">
        <v>0</v>
      </c>
      <c r="AH2518" s="394">
        <v>0.58123999999999998</v>
      </c>
      <c r="AI2518" s="394">
        <v>14.417960000000001</v>
      </c>
      <c r="AJ2518" s="394"/>
      <c r="AK2518" s="381" t="s">
        <v>167</v>
      </c>
      <c r="AL2518" s="408" t="s">
        <v>175</v>
      </c>
      <c r="AM2518" s="385"/>
      <c r="AN2518" s="475">
        <v>1308</v>
      </c>
      <c r="AO2518" s="395"/>
      <c r="AP2518" s="395">
        <f t="shared" si="1049"/>
        <v>18.026540000000001</v>
      </c>
      <c r="AQ2518" s="393"/>
      <c r="AR2518" s="523"/>
      <c r="AS2518" s="497"/>
      <c r="AT2518" s="573"/>
      <c r="AU2518" s="394"/>
      <c r="AV2518" s="394"/>
      <c r="AW2518" s="394"/>
      <c r="AX2518" s="394"/>
      <c r="AY2518" s="394"/>
      <c r="AZ2518" s="394"/>
      <c r="BA2518" s="394"/>
      <c r="BB2518" s="394"/>
      <c r="BC2518" s="394"/>
      <c r="BD2518" s="381"/>
      <c r="BE2518" s="408"/>
      <c r="BF2518" s="385"/>
      <c r="BG2518" s="475"/>
      <c r="BH2518" s="395"/>
      <c r="BI2518" s="395" t="e">
        <f t="shared" si="1048"/>
        <v>#DIV/0!</v>
      </c>
    </row>
    <row r="2519" spans="1:61" s="358" customFormat="1" ht="19.2" x14ac:dyDescent="0.3">
      <c r="A2519" s="359" t="s">
        <v>2160</v>
      </c>
      <c r="B2519" s="572" t="s">
        <v>4166</v>
      </c>
      <c r="C2519" s="546" t="s">
        <v>3299</v>
      </c>
      <c r="D2519" s="360">
        <v>0.4</v>
      </c>
      <c r="E2519" s="393"/>
      <c r="F2519" s="523"/>
      <c r="G2519" s="393"/>
      <c r="H2519" s="573"/>
      <c r="I2519" s="394"/>
      <c r="J2519" s="394"/>
      <c r="K2519" s="394"/>
      <c r="L2519" s="394"/>
      <c r="M2519" s="394"/>
      <c r="N2519" s="394"/>
      <c r="O2519" s="394"/>
      <c r="P2519" s="394"/>
      <c r="Q2519" s="394"/>
      <c r="R2519" s="381"/>
      <c r="S2519" s="408"/>
      <c r="T2519" s="385"/>
      <c r="U2519" s="475"/>
      <c r="V2519" s="395"/>
      <c r="W2519" s="395"/>
      <c r="X2519" s="393"/>
      <c r="Y2519" s="523">
        <v>1</v>
      </c>
      <c r="Z2519" s="497"/>
      <c r="AA2519" s="573">
        <v>17.85735</v>
      </c>
      <c r="AB2519" s="394">
        <v>15.364140000000001</v>
      </c>
      <c r="AC2519" s="394">
        <v>14.417949999999999</v>
      </c>
      <c r="AD2519" s="394"/>
      <c r="AE2519" s="394"/>
      <c r="AF2519" s="394">
        <v>0</v>
      </c>
      <c r="AG2519" s="394">
        <v>0</v>
      </c>
      <c r="AH2519" s="394">
        <v>0.58123999999999998</v>
      </c>
      <c r="AI2519" s="394">
        <v>14.417949999999999</v>
      </c>
      <c r="AJ2519" s="394"/>
      <c r="AK2519" s="381" t="s">
        <v>167</v>
      </c>
      <c r="AL2519" s="408" t="s">
        <v>175</v>
      </c>
      <c r="AM2519" s="385"/>
      <c r="AN2519" s="475">
        <v>1309</v>
      </c>
      <c r="AO2519" s="395"/>
      <c r="AP2519" s="395">
        <f t="shared" si="1049"/>
        <v>17.85735</v>
      </c>
      <c r="AQ2519" s="393"/>
      <c r="AR2519" s="523"/>
      <c r="AS2519" s="497"/>
      <c r="AT2519" s="573"/>
      <c r="AU2519" s="394"/>
      <c r="AV2519" s="394"/>
      <c r="AW2519" s="394"/>
      <c r="AX2519" s="394"/>
      <c r="AY2519" s="394"/>
      <c r="AZ2519" s="394"/>
      <c r="BA2519" s="394"/>
      <c r="BB2519" s="394"/>
      <c r="BC2519" s="394"/>
      <c r="BD2519" s="381"/>
      <c r="BE2519" s="408"/>
      <c r="BF2519" s="385"/>
      <c r="BG2519" s="475"/>
      <c r="BH2519" s="395"/>
      <c r="BI2519" s="395" t="e">
        <f t="shared" ref="BI2519:BI2530" si="1050">AT2519/AR2519</f>
        <v>#DIV/0!</v>
      </c>
    </row>
    <row r="2520" spans="1:61" s="358" customFormat="1" ht="19.2" x14ac:dyDescent="0.3">
      <c r="A2520" s="359" t="s">
        <v>2161</v>
      </c>
      <c r="B2520" s="572" t="s">
        <v>4167</v>
      </c>
      <c r="C2520" s="546" t="s">
        <v>3300</v>
      </c>
      <c r="D2520" s="360">
        <v>0.4</v>
      </c>
      <c r="E2520" s="393"/>
      <c r="F2520" s="523"/>
      <c r="G2520" s="393"/>
      <c r="H2520" s="573"/>
      <c r="I2520" s="394"/>
      <c r="J2520" s="394"/>
      <c r="K2520" s="394"/>
      <c r="L2520" s="394"/>
      <c r="M2520" s="394"/>
      <c r="N2520" s="394"/>
      <c r="O2520" s="394"/>
      <c r="P2520" s="394"/>
      <c r="Q2520" s="394"/>
      <c r="R2520" s="381"/>
      <c r="S2520" s="408"/>
      <c r="T2520" s="385"/>
      <c r="U2520" s="475"/>
      <c r="V2520" s="395"/>
      <c r="W2520" s="395"/>
      <c r="X2520" s="393"/>
      <c r="Y2520" s="523">
        <v>1</v>
      </c>
      <c r="Z2520" s="497"/>
      <c r="AA2520" s="573">
        <v>17.857330000000001</v>
      </c>
      <c r="AB2520" s="394">
        <v>15.36412</v>
      </c>
      <c r="AC2520" s="394">
        <v>14.417949999999999</v>
      </c>
      <c r="AD2520" s="394"/>
      <c r="AE2520" s="394"/>
      <c r="AF2520" s="394">
        <v>0</v>
      </c>
      <c r="AG2520" s="394">
        <v>0</v>
      </c>
      <c r="AH2520" s="394">
        <v>0.58123999999999998</v>
      </c>
      <c r="AI2520" s="394">
        <v>14.417949999999999</v>
      </c>
      <c r="AJ2520" s="394"/>
      <c r="AK2520" s="381" t="s">
        <v>167</v>
      </c>
      <c r="AL2520" s="408" t="s">
        <v>175</v>
      </c>
      <c r="AM2520" s="385"/>
      <c r="AN2520" s="475">
        <v>1310</v>
      </c>
      <c r="AO2520" s="395"/>
      <c r="AP2520" s="395">
        <f t="shared" si="1049"/>
        <v>17.857330000000001</v>
      </c>
      <c r="AQ2520" s="393"/>
      <c r="AR2520" s="523"/>
      <c r="AS2520" s="497"/>
      <c r="AT2520" s="573"/>
      <c r="AU2520" s="394"/>
      <c r="AV2520" s="394"/>
      <c r="AW2520" s="394"/>
      <c r="AX2520" s="394"/>
      <c r="AY2520" s="394"/>
      <c r="AZ2520" s="394"/>
      <c r="BA2520" s="394"/>
      <c r="BB2520" s="394"/>
      <c r="BC2520" s="394"/>
      <c r="BD2520" s="381"/>
      <c r="BE2520" s="408"/>
      <c r="BF2520" s="385"/>
      <c r="BG2520" s="475"/>
      <c r="BH2520" s="395"/>
      <c r="BI2520" s="395" t="e">
        <f t="shared" si="1050"/>
        <v>#DIV/0!</v>
      </c>
    </row>
    <row r="2521" spans="1:61" s="358" customFormat="1" ht="19.2" x14ac:dyDescent="0.3">
      <c r="A2521" s="359" t="s">
        <v>2162</v>
      </c>
      <c r="B2521" s="572" t="s">
        <v>4168</v>
      </c>
      <c r="C2521" s="546" t="s">
        <v>3301</v>
      </c>
      <c r="D2521" s="360">
        <v>0.4</v>
      </c>
      <c r="E2521" s="393"/>
      <c r="F2521" s="523"/>
      <c r="G2521" s="393"/>
      <c r="H2521" s="573"/>
      <c r="I2521" s="394"/>
      <c r="J2521" s="394"/>
      <c r="K2521" s="394"/>
      <c r="L2521" s="394"/>
      <c r="M2521" s="394"/>
      <c r="N2521" s="394"/>
      <c r="O2521" s="394"/>
      <c r="P2521" s="394"/>
      <c r="Q2521" s="394"/>
      <c r="R2521" s="381"/>
      <c r="S2521" s="408"/>
      <c r="T2521" s="385"/>
      <c r="U2521" s="475"/>
      <c r="V2521" s="395"/>
      <c r="W2521" s="395"/>
      <c r="X2521" s="393"/>
      <c r="Y2521" s="523">
        <v>1</v>
      </c>
      <c r="Z2521" s="497"/>
      <c r="AA2521" s="573">
        <v>17.85737</v>
      </c>
      <c r="AB2521" s="394">
        <v>15.36416</v>
      </c>
      <c r="AC2521" s="394">
        <v>14.417949999999999</v>
      </c>
      <c r="AD2521" s="394"/>
      <c r="AE2521" s="394"/>
      <c r="AF2521" s="394">
        <v>0</v>
      </c>
      <c r="AG2521" s="394">
        <v>0</v>
      </c>
      <c r="AH2521" s="394">
        <v>0.58123999999999998</v>
      </c>
      <c r="AI2521" s="394">
        <v>14.417949999999999</v>
      </c>
      <c r="AJ2521" s="394"/>
      <c r="AK2521" s="381" t="s">
        <v>167</v>
      </c>
      <c r="AL2521" s="408" t="s">
        <v>175</v>
      </c>
      <c r="AM2521" s="385"/>
      <c r="AN2521" s="475">
        <v>1311</v>
      </c>
      <c r="AO2521" s="395"/>
      <c r="AP2521" s="395">
        <f t="shared" si="1049"/>
        <v>17.85737</v>
      </c>
      <c r="AQ2521" s="393"/>
      <c r="AR2521" s="523"/>
      <c r="AS2521" s="497"/>
      <c r="AT2521" s="573"/>
      <c r="AU2521" s="394"/>
      <c r="AV2521" s="394"/>
      <c r="AW2521" s="394"/>
      <c r="AX2521" s="394"/>
      <c r="AY2521" s="394"/>
      <c r="AZ2521" s="394"/>
      <c r="BA2521" s="394"/>
      <c r="BB2521" s="394"/>
      <c r="BC2521" s="394"/>
      <c r="BD2521" s="381"/>
      <c r="BE2521" s="408"/>
      <c r="BF2521" s="385"/>
      <c r="BG2521" s="475"/>
      <c r="BH2521" s="395"/>
      <c r="BI2521" s="395" t="e">
        <f t="shared" si="1050"/>
        <v>#DIV/0!</v>
      </c>
    </row>
    <row r="2522" spans="1:61" s="358" customFormat="1" ht="19.2" x14ac:dyDescent="0.3">
      <c r="A2522" s="359" t="s">
        <v>2163</v>
      </c>
      <c r="B2522" s="572" t="s">
        <v>1445</v>
      </c>
      <c r="C2522" s="546" t="s">
        <v>3302</v>
      </c>
      <c r="D2522" s="360">
        <v>0.4</v>
      </c>
      <c r="E2522" s="393"/>
      <c r="F2522" s="523"/>
      <c r="G2522" s="393"/>
      <c r="H2522" s="573"/>
      <c r="I2522" s="394"/>
      <c r="J2522" s="394"/>
      <c r="K2522" s="394"/>
      <c r="L2522" s="394"/>
      <c r="M2522" s="394"/>
      <c r="N2522" s="394"/>
      <c r="O2522" s="394"/>
      <c r="P2522" s="394"/>
      <c r="Q2522" s="394"/>
      <c r="R2522" s="381"/>
      <c r="S2522" s="408"/>
      <c r="T2522" s="385"/>
      <c r="U2522" s="475"/>
      <c r="V2522" s="395"/>
      <c r="W2522" s="395"/>
      <c r="X2522" s="393"/>
      <c r="Y2522" s="523">
        <v>1</v>
      </c>
      <c r="Z2522" s="497"/>
      <c r="AA2522" s="573">
        <v>18.026520000000001</v>
      </c>
      <c r="AB2522" s="394">
        <v>15.53331</v>
      </c>
      <c r="AC2522" s="394">
        <v>14.417960000000001</v>
      </c>
      <c r="AD2522" s="394"/>
      <c r="AE2522" s="394"/>
      <c r="AF2522" s="394">
        <v>0</v>
      </c>
      <c r="AG2522" s="394">
        <v>0</v>
      </c>
      <c r="AH2522" s="394">
        <v>0.58123999999999998</v>
      </c>
      <c r="AI2522" s="394">
        <v>14.417960000000001</v>
      </c>
      <c r="AJ2522" s="394"/>
      <c r="AK2522" s="381" t="s">
        <v>167</v>
      </c>
      <c r="AL2522" s="408" t="s">
        <v>175</v>
      </c>
      <c r="AM2522" s="385"/>
      <c r="AN2522" s="475">
        <v>1312</v>
      </c>
      <c r="AO2522" s="395"/>
      <c r="AP2522" s="395">
        <f t="shared" si="1049"/>
        <v>18.026520000000001</v>
      </c>
      <c r="AQ2522" s="393"/>
      <c r="AR2522" s="523"/>
      <c r="AS2522" s="497"/>
      <c r="AT2522" s="573"/>
      <c r="AU2522" s="394"/>
      <c r="AV2522" s="394"/>
      <c r="AW2522" s="394"/>
      <c r="AX2522" s="394"/>
      <c r="AY2522" s="394"/>
      <c r="AZ2522" s="394"/>
      <c r="BA2522" s="394"/>
      <c r="BB2522" s="394"/>
      <c r="BC2522" s="394"/>
      <c r="BD2522" s="381"/>
      <c r="BE2522" s="408"/>
      <c r="BF2522" s="385"/>
      <c r="BG2522" s="475"/>
      <c r="BH2522" s="395"/>
      <c r="BI2522" s="395" t="e">
        <f t="shared" si="1050"/>
        <v>#DIV/0!</v>
      </c>
    </row>
    <row r="2523" spans="1:61" s="358" customFormat="1" ht="19.2" x14ac:dyDescent="0.3">
      <c r="A2523" s="359" t="s">
        <v>2180</v>
      </c>
      <c r="B2523" s="572" t="s">
        <v>4169</v>
      </c>
      <c r="C2523" s="546" t="s">
        <v>3303</v>
      </c>
      <c r="D2523" s="360">
        <v>0.4</v>
      </c>
      <c r="E2523" s="393"/>
      <c r="F2523" s="523"/>
      <c r="G2523" s="393"/>
      <c r="H2523" s="573"/>
      <c r="I2523" s="394"/>
      <c r="J2523" s="394"/>
      <c r="K2523" s="394"/>
      <c r="L2523" s="394"/>
      <c r="M2523" s="394"/>
      <c r="N2523" s="394"/>
      <c r="O2523" s="394"/>
      <c r="P2523" s="394"/>
      <c r="Q2523" s="394"/>
      <c r="R2523" s="381"/>
      <c r="S2523" s="408"/>
      <c r="T2523" s="385"/>
      <c r="U2523" s="475"/>
      <c r="V2523" s="395"/>
      <c r="W2523" s="395"/>
      <c r="X2523" s="393"/>
      <c r="Y2523" s="523">
        <v>1</v>
      </c>
      <c r="Z2523" s="497"/>
      <c r="AA2523" s="573">
        <v>17.85736</v>
      </c>
      <c r="AB2523" s="394">
        <v>15.36415</v>
      </c>
      <c r="AC2523" s="394">
        <v>14.417949999999999</v>
      </c>
      <c r="AD2523" s="394"/>
      <c r="AE2523" s="394"/>
      <c r="AF2523" s="394">
        <v>0</v>
      </c>
      <c r="AG2523" s="394">
        <v>0</v>
      </c>
      <c r="AH2523" s="394">
        <v>0.58123999999999998</v>
      </c>
      <c r="AI2523" s="394">
        <v>14.417949999999999</v>
      </c>
      <c r="AJ2523" s="394"/>
      <c r="AK2523" s="381" t="s">
        <v>167</v>
      </c>
      <c r="AL2523" s="408" t="s">
        <v>175</v>
      </c>
      <c r="AM2523" s="385"/>
      <c r="AN2523" s="475">
        <v>1314</v>
      </c>
      <c r="AO2523" s="395"/>
      <c r="AP2523" s="395">
        <f t="shared" si="1049"/>
        <v>17.85736</v>
      </c>
      <c r="AQ2523" s="393"/>
      <c r="AR2523" s="523"/>
      <c r="AS2523" s="497"/>
      <c r="AT2523" s="573"/>
      <c r="AU2523" s="394"/>
      <c r="AV2523" s="394"/>
      <c r="AW2523" s="394"/>
      <c r="AX2523" s="394"/>
      <c r="AY2523" s="394"/>
      <c r="AZ2523" s="394"/>
      <c r="BA2523" s="394"/>
      <c r="BB2523" s="394"/>
      <c r="BC2523" s="394"/>
      <c r="BD2523" s="381"/>
      <c r="BE2523" s="408"/>
      <c r="BF2523" s="385"/>
      <c r="BG2523" s="475"/>
      <c r="BH2523" s="395"/>
      <c r="BI2523" s="395" t="e">
        <f t="shared" si="1050"/>
        <v>#DIV/0!</v>
      </c>
    </row>
    <row r="2524" spans="1:61" s="358" customFormat="1" ht="19.2" x14ac:dyDescent="0.3">
      <c r="A2524" s="359" t="s">
        <v>2165</v>
      </c>
      <c r="B2524" s="572" t="s">
        <v>2355</v>
      </c>
      <c r="C2524" s="546" t="s">
        <v>2354</v>
      </c>
      <c r="D2524" s="360">
        <v>0.4</v>
      </c>
      <c r="E2524" s="393"/>
      <c r="F2524" s="523"/>
      <c r="G2524" s="393"/>
      <c r="H2524" s="573"/>
      <c r="I2524" s="394"/>
      <c r="J2524" s="394"/>
      <c r="K2524" s="394"/>
      <c r="L2524" s="394"/>
      <c r="M2524" s="394"/>
      <c r="N2524" s="394"/>
      <c r="O2524" s="394"/>
      <c r="P2524" s="394"/>
      <c r="Q2524" s="394"/>
      <c r="R2524" s="381"/>
      <c r="S2524" s="408"/>
      <c r="T2524" s="385"/>
      <c r="U2524" s="475"/>
      <c r="V2524" s="395"/>
      <c r="W2524" s="395"/>
      <c r="X2524" s="393"/>
      <c r="Y2524" s="523">
        <v>1</v>
      </c>
      <c r="Z2524" s="497"/>
      <c r="AA2524" s="573">
        <v>17.857340000000001</v>
      </c>
      <c r="AB2524" s="394">
        <v>15.364129999999999</v>
      </c>
      <c r="AC2524" s="394">
        <v>14.417949999999999</v>
      </c>
      <c r="AD2524" s="394"/>
      <c r="AE2524" s="394"/>
      <c r="AF2524" s="394">
        <v>0</v>
      </c>
      <c r="AG2524" s="394">
        <v>0</v>
      </c>
      <c r="AH2524" s="394">
        <v>0.58123999999999998</v>
      </c>
      <c r="AI2524" s="394">
        <v>14.417949999999999</v>
      </c>
      <c r="AJ2524" s="394"/>
      <c r="AK2524" s="381" t="s">
        <v>167</v>
      </c>
      <c r="AL2524" s="408" t="s">
        <v>175</v>
      </c>
      <c r="AM2524" s="385"/>
      <c r="AN2524" s="475">
        <v>1315</v>
      </c>
      <c r="AO2524" s="395"/>
      <c r="AP2524" s="395">
        <f t="shared" si="1049"/>
        <v>17.857340000000001</v>
      </c>
      <c r="AQ2524" s="393"/>
      <c r="AR2524" s="523"/>
      <c r="AS2524" s="497"/>
      <c r="AT2524" s="573"/>
      <c r="AU2524" s="394"/>
      <c r="AV2524" s="394"/>
      <c r="AW2524" s="394"/>
      <c r="AX2524" s="394"/>
      <c r="AY2524" s="394"/>
      <c r="AZ2524" s="394"/>
      <c r="BA2524" s="394"/>
      <c r="BB2524" s="394"/>
      <c r="BC2524" s="394"/>
      <c r="BD2524" s="381"/>
      <c r="BE2524" s="408"/>
      <c r="BF2524" s="385"/>
      <c r="BG2524" s="475"/>
      <c r="BH2524" s="395"/>
      <c r="BI2524" s="395" t="e">
        <f t="shared" si="1050"/>
        <v>#DIV/0!</v>
      </c>
    </row>
    <row r="2525" spans="1:61" s="358" customFormat="1" ht="19.2" x14ac:dyDescent="0.3">
      <c r="A2525" s="359" t="s">
        <v>2166</v>
      </c>
      <c r="B2525" s="572" t="s">
        <v>4170</v>
      </c>
      <c r="C2525" s="546" t="s">
        <v>3304</v>
      </c>
      <c r="D2525" s="360">
        <v>0.4</v>
      </c>
      <c r="E2525" s="393"/>
      <c r="F2525" s="523"/>
      <c r="G2525" s="393"/>
      <c r="H2525" s="573"/>
      <c r="I2525" s="394"/>
      <c r="J2525" s="394"/>
      <c r="K2525" s="394"/>
      <c r="L2525" s="394"/>
      <c r="M2525" s="394"/>
      <c r="N2525" s="394"/>
      <c r="O2525" s="394"/>
      <c r="P2525" s="394"/>
      <c r="Q2525" s="394"/>
      <c r="R2525" s="381"/>
      <c r="S2525" s="408"/>
      <c r="T2525" s="385"/>
      <c r="U2525" s="475"/>
      <c r="V2525" s="395"/>
      <c r="W2525" s="395"/>
      <c r="X2525" s="393"/>
      <c r="Y2525" s="523">
        <v>1</v>
      </c>
      <c r="Z2525" s="497"/>
      <c r="AA2525" s="573">
        <v>17.857340000000001</v>
      </c>
      <c r="AB2525" s="394">
        <v>15.364129999999999</v>
      </c>
      <c r="AC2525" s="394">
        <v>14.417949999999999</v>
      </c>
      <c r="AD2525" s="394"/>
      <c r="AE2525" s="394"/>
      <c r="AF2525" s="394">
        <v>0</v>
      </c>
      <c r="AG2525" s="394">
        <v>0</v>
      </c>
      <c r="AH2525" s="394">
        <v>0.58123999999999998</v>
      </c>
      <c r="AI2525" s="394">
        <v>14.417949999999999</v>
      </c>
      <c r="AJ2525" s="394"/>
      <c r="AK2525" s="381" t="s">
        <v>167</v>
      </c>
      <c r="AL2525" s="408" t="s">
        <v>175</v>
      </c>
      <c r="AM2525" s="385"/>
      <c r="AN2525" s="475">
        <v>1316</v>
      </c>
      <c r="AO2525" s="395"/>
      <c r="AP2525" s="395">
        <f t="shared" si="1049"/>
        <v>17.857340000000001</v>
      </c>
      <c r="AQ2525" s="393"/>
      <c r="AR2525" s="523"/>
      <c r="AS2525" s="497"/>
      <c r="AT2525" s="573"/>
      <c r="AU2525" s="394"/>
      <c r="AV2525" s="394"/>
      <c r="AW2525" s="394"/>
      <c r="AX2525" s="394"/>
      <c r="AY2525" s="394"/>
      <c r="AZ2525" s="394"/>
      <c r="BA2525" s="394"/>
      <c r="BB2525" s="394"/>
      <c r="BC2525" s="394"/>
      <c r="BD2525" s="381"/>
      <c r="BE2525" s="408"/>
      <c r="BF2525" s="385"/>
      <c r="BG2525" s="475"/>
      <c r="BH2525" s="395"/>
      <c r="BI2525" s="395" t="e">
        <f t="shared" si="1050"/>
        <v>#DIV/0!</v>
      </c>
    </row>
    <row r="2526" spans="1:61" s="358" customFormat="1" ht="19.2" x14ac:dyDescent="0.3">
      <c r="A2526" s="359" t="s">
        <v>2167</v>
      </c>
      <c r="B2526" s="572" t="s">
        <v>4171</v>
      </c>
      <c r="C2526" s="546" t="s">
        <v>3305</v>
      </c>
      <c r="D2526" s="360">
        <v>0.4</v>
      </c>
      <c r="E2526" s="393"/>
      <c r="F2526" s="523"/>
      <c r="G2526" s="393"/>
      <c r="H2526" s="573"/>
      <c r="I2526" s="394"/>
      <c r="J2526" s="394"/>
      <c r="K2526" s="394"/>
      <c r="L2526" s="394"/>
      <c r="M2526" s="394"/>
      <c r="N2526" s="394"/>
      <c r="O2526" s="394"/>
      <c r="P2526" s="394"/>
      <c r="Q2526" s="394"/>
      <c r="R2526" s="381"/>
      <c r="S2526" s="408"/>
      <c r="T2526" s="385"/>
      <c r="U2526" s="475"/>
      <c r="V2526" s="395"/>
      <c r="W2526" s="395"/>
      <c r="X2526" s="393"/>
      <c r="Y2526" s="523">
        <v>1</v>
      </c>
      <c r="Z2526" s="497"/>
      <c r="AA2526" s="573">
        <v>18.026509999999998</v>
      </c>
      <c r="AB2526" s="394">
        <v>15.533300000000001</v>
      </c>
      <c r="AC2526" s="394">
        <v>14.417960000000001</v>
      </c>
      <c r="AD2526" s="394"/>
      <c r="AE2526" s="394"/>
      <c r="AF2526" s="394">
        <v>0</v>
      </c>
      <c r="AG2526" s="394">
        <v>0</v>
      </c>
      <c r="AH2526" s="394">
        <v>0.58123999999999998</v>
      </c>
      <c r="AI2526" s="394">
        <v>14.417960000000001</v>
      </c>
      <c r="AJ2526" s="394"/>
      <c r="AK2526" s="381" t="s">
        <v>167</v>
      </c>
      <c r="AL2526" s="408" t="s">
        <v>175</v>
      </c>
      <c r="AM2526" s="385"/>
      <c r="AN2526" s="475">
        <v>1317</v>
      </c>
      <c r="AO2526" s="395"/>
      <c r="AP2526" s="395">
        <f t="shared" si="1049"/>
        <v>18.026509999999998</v>
      </c>
      <c r="AQ2526" s="393"/>
      <c r="AR2526" s="523"/>
      <c r="AS2526" s="497"/>
      <c r="AT2526" s="573"/>
      <c r="AU2526" s="394"/>
      <c r="AV2526" s="394"/>
      <c r="AW2526" s="394"/>
      <c r="AX2526" s="394"/>
      <c r="AY2526" s="394"/>
      <c r="AZ2526" s="394"/>
      <c r="BA2526" s="394"/>
      <c r="BB2526" s="394"/>
      <c r="BC2526" s="394"/>
      <c r="BD2526" s="381"/>
      <c r="BE2526" s="408"/>
      <c r="BF2526" s="385"/>
      <c r="BG2526" s="475"/>
      <c r="BH2526" s="395"/>
      <c r="BI2526" s="395" t="e">
        <f t="shared" si="1050"/>
        <v>#DIV/0!</v>
      </c>
    </row>
    <row r="2527" spans="1:61" s="358" customFormat="1" ht="19.2" x14ac:dyDescent="0.3">
      <c r="A2527" s="359" t="s">
        <v>2184</v>
      </c>
      <c r="B2527" s="572" t="s">
        <v>4172</v>
      </c>
      <c r="C2527" s="546" t="s">
        <v>3306</v>
      </c>
      <c r="D2527" s="360">
        <v>0.4</v>
      </c>
      <c r="E2527" s="393"/>
      <c r="F2527" s="523"/>
      <c r="G2527" s="393"/>
      <c r="H2527" s="573"/>
      <c r="I2527" s="394"/>
      <c r="J2527" s="394"/>
      <c r="K2527" s="394"/>
      <c r="L2527" s="394"/>
      <c r="M2527" s="394"/>
      <c r="N2527" s="394"/>
      <c r="O2527" s="394"/>
      <c r="P2527" s="394"/>
      <c r="Q2527" s="394"/>
      <c r="R2527" s="381"/>
      <c r="S2527" s="408"/>
      <c r="T2527" s="385"/>
      <c r="U2527" s="475"/>
      <c r="V2527" s="395"/>
      <c r="W2527" s="395"/>
      <c r="X2527" s="393"/>
      <c r="Y2527" s="523">
        <v>1</v>
      </c>
      <c r="Z2527" s="497"/>
      <c r="AA2527" s="573">
        <v>18.026540000000001</v>
      </c>
      <c r="AB2527" s="394">
        <v>15.533329999999999</v>
      </c>
      <c r="AC2527" s="394">
        <v>14.417960000000001</v>
      </c>
      <c r="AD2527" s="394"/>
      <c r="AE2527" s="394"/>
      <c r="AF2527" s="394">
        <v>0</v>
      </c>
      <c r="AG2527" s="394">
        <v>0</v>
      </c>
      <c r="AH2527" s="394">
        <v>0.58123999999999998</v>
      </c>
      <c r="AI2527" s="394">
        <v>14.417960000000001</v>
      </c>
      <c r="AJ2527" s="394"/>
      <c r="AK2527" s="381" t="s">
        <v>167</v>
      </c>
      <c r="AL2527" s="408" t="s">
        <v>175</v>
      </c>
      <c r="AM2527" s="385"/>
      <c r="AN2527" s="475">
        <v>1318</v>
      </c>
      <c r="AO2527" s="395"/>
      <c r="AP2527" s="395">
        <f t="shared" si="1049"/>
        <v>18.026540000000001</v>
      </c>
      <c r="AQ2527" s="393"/>
      <c r="AR2527" s="523"/>
      <c r="AS2527" s="497"/>
      <c r="AT2527" s="573"/>
      <c r="AU2527" s="394"/>
      <c r="AV2527" s="394"/>
      <c r="AW2527" s="394"/>
      <c r="AX2527" s="394"/>
      <c r="AY2527" s="394"/>
      <c r="AZ2527" s="394"/>
      <c r="BA2527" s="394"/>
      <c r="BB2527" s="394"/>
      <c r="BC2527" s="394"/>
      <c r="BD2527" s="381"/>
      <c r="BE2527" s="408"/>
      <c r="BF2527" s="385"/>
      <c r="BG2527" s="475"/>
      <c r="BH2527" s="395"/>
      <c r="BI2527" s="395" t="e">
        <f t="shared" si="1050"/>
        <v>#DIV/0!</v>
      </c>
    </row>
    <row r="2528" spans="1:61" s="358" customFormat="1" ht="19.2" x14ac:dyDescent="0.3">
      <c r="A2528" s="359" t="s">
        <v>2169</v>
      </c>
      <c r="B2528" s="572" t="s">
        <v>4173</v>
      </c>
      <c r="C2528" s="546" t="s">
        <v>3307</v>
      </c>
      <c r="D2528" s="360">
        <v>0.4</v>
      </c>
      <c r="E2528" s="393"/>
      <c r="F2528" s="523"/>
      <c r="G2528" s="393"/>
      <c r="H2528" s="573"/>
      <c r="I2528" s="394"/>
      <c r="J2528" s="394"/>
      <c r="K2528" s="394"/>
      <c r="L2528" s="394"/>
      <c r="M2528" s="394"/>
      <c r="N2528" s="394"/>
      <c r="O2528" s="394"/>
      <c r="P2528" s="394"/>
      <c r="Q2528" s="394"/>
      <c r="R2528" s="381"/>
      <c r="S2528" s="408"/>
      <c r="T2528" s="385"/>
      <c r="U2528" s="475"/>
      <c r="V2528" s="395"/>
      <c r="W2528" s="395"/>
      <c r="X2528" s="393"/>
      <c r="Y2528" s="523">
        <v>1</v>
      </c>
      <c r="Z2528" s="497"/>
      <c r="AA2528" s="573">
        <v>18.02655</v>
      </c>
      <c r="AB2528" s="394">
        <v>15.533340000000001</v>
      </c>
      <c r="AC2528" s="394">
        <v>14.417960000000001</v>
      </c>
      <c r="AD2528" s="394"/>
      <c r="AE2528" s="394"/>
      <c r="AF2528" s="394">
        <v>0</v>
      </c>
      <c r="AG2528" s="394">
        <v>0</v>
      </c>
      <c r="AH2528" s="394">
        <v>0.58123999999999998</v>
      </c>
      <c r="AI2528" s="394">
        <v>14.417960000000001</v>
      </c>
      <c r="AJ2528" s="394"/>
      <c r="AK2528" s="381" t="s">
        <v>167</v>
      </c>
      <c r="AL2528" s="408" t="s">
        <v>175</v>
      </c>
      <c r="AM2528" s="385"/>
      <c r="AN2528" s="475">
        <v>1319</v>
      </c>
      <c r="AO2528" s="395"/>
      <c r="AP2528" s="395">
        <f t="shared" si="1049"/>
        <v>18.02655</v>
      </c>
      <c r="AQ2528" s="393"/>
      <c r="AR2528" s="523"/>
      <c r="AS2528" s="497"/>
      <c r="AT2528" s="573"/>
      <c r="AU2528" s="394"/>
      <c r="AV2528" s="394"/>
      <c r="AW2528" s="394"/>
      <c r="AX2528" s="394"/>
      <c r="AY2528" s="394"/>
      <c r="AZ2528" s="394"/>
      <c r="BA2528" s="394"/>
      <c r="BB2528" s="394"/>
      <c r="BC2528" s="394"/>
      <c r="BD2528" s="381"/>
      <c r="BE2528" s="408"/>
      <c r="BF2528" s="385"/>
      <c r="BG2528" s="475"/>
      <c r="BH2528" s="395"/>
      <c r="BI2528" s="395" t="e">
        <f t="shared" si="1050"/>
        <v>#DIV/0!</v>
      </c>
    </row>
    <row r="2529" spans="1:61" s="358" customFormat="1" ht="19.2" x14ac:dyDescent="0.3">
      <c r="A2529" s="359" t="s">
        <v>2170</v>
      </c>
      <c r="B2529" s="572" t="s">
        <v>2385</v>
      </c>
      <c r="C2529" s="546" t="s">
        <v>2384</v>
      </c>
      <c r="D2529" s="360">
        <v>0.4</v>
      </c>
      <c r="E2529" s="393"/>
      <c r="F2529" s="523"/>
      <c r="G2529" s="393"/>
      <c r="H2529" s="573"/>
      <c r="I2529" s="394"/>
      <c r="J2529" s="394"/>
      <c r="K2529" s="394"/>
      <c r="L2529" s="394"/>
      <c r="M2529" s="394"/>
      <c r="N2529" s="394"/>
      <c r="O2529" s="394"/>
      <c r="P2529" s="394"/>
      <c r="Q2529" s="394"/>
      <c r="R2529" s="381"/>
      <c r="S2529" s="408"/>
      <c r="T2529" s="385"/>
      <c r="U2529" s="475"/>
      <c r="V2529" s="395"/>
      <c r="W2529" s="395"/>
      <c r="X2529" s="393"/>
      <c r="Y2529" s="523">
        <v>1</v>
      </c>
      <c r="Z2529" s="497"/>
      <c r="AA2529" s="573">
        <v>18.026509999999998</v>
      </c>
      <c r="AB2529" s="394">
        <v>15.533300000000001</v>
      </c>
      <c r="AC2529" s="394">
        <v>14.417960000000001</v>
      </c>
      <c r="AD2529" s="394"/>
      <c r="AE2529" s="394"/>
      <c r="AF2529" s="394">
        <v>0</v>
      </c>
      <c r="AG2529" s="394">
        <v>0</v>
      </c>
      <c r="AH2529" s="394">
        <v>0.58123999999999998</v>
      </c>
      <c r="AI2529" s="394">
        <v>14.417960000000001</v>
      </c>
      <c r="AJ2529" s="394"/>
      <c r="AK2529" s="381" t="s">
        <v>167</v>
      </c>
      <c r="AL2529" s="408" t="s">
        <v>175</v>
      </c>
      <c r="AM2529" s="385"/>
      <c r="AN2529" s="475">
        <v>1320</v>
      </c>
      <c r="AO2529" s="395"/>
      <c r="AP2529" s="395">
        <f t="shared" si="1049"/>
        <v>18.026509999999998</v>
      </c>
      <c r="AQ2529" s="393"/>
      <c r="AR2529" s="523"/>
      <c r="AS2529" s="497"/>
      <c r="AT2529" s="573"/>
      <c r="AU2529" s="394"/>
      <c r="AV2529" s="394"/>
      <c r="AW2529" s="394"/>
      <c r="AX2529" s="394"/>
      <c r="AY2529" s="394"/>
      <c r="AZ2529" s="394"/>
      <c r="BA2529" s="394"/>
      <c r="BB2529" s="394"/>
      <c r="BC2529" s="394"/>
      <c r="BD2529" s="381"/>
      <c r="BE2529" s="408"/>
      <c r="BF2529" s="385"/>
      <c r="BG2529" s="475"/>
      <c r="BH2529" s="395"/>
      <c r="BI2529" s="395" t="e">
        <f t="shared" si="1050"/>
        <v>#DIV/0!</v>
      </c>
    </row>
    <row r="2530" spans="1:61" s="358" customFormat="1" ht="19.2" x14ac:dyDescent="0.3">
      <c r="A2530" s="359" t="s">
        <v>2155</v>
      </c>
      <c r="B2530" s="572" t="s">
        <v>4174</v>
      </c>
      <c r="C2530" s="546" t="s">
        <v>3308</v>
      </c>
      <c r="D2530" s="360">
        <v>0.4</v>
      </c>
      <c r="E2530" s="393"/>
      <c r="F2530" s="523"/>
      <c r="G2530" s="393"/>
      <c r="H2530" s="573"/>
      <c r="I2530" s="394"/>
      <c r="J2530" s="394"/>
      <c r="K2530" s="394"/>
      <c r="L2530" s="394"/>
      <c r="M2530" s="394"/>
      <c r="N2530" s="394"/>
      <c r="O2530" s="394"/>
      <c r="P2530" s="394"/>
      <c r="Q2530" s="394"/>
      <c r="R2530" s="381"/>
      <c r="S2530" s="408"/>
      <c r="T2530" s="385"/>
      <c r="U2530" s="475"/>
      <c r="V2530" s="395"/>
      <c r="W2530" s="395"/>
      <c r="X2530" s="393"/>
      <c r="Y2530" s="523">
        <v>1</v>
      </c>
      <c r="Z2530" s="497"/>
      <c r="AA2530" s="573">
        <v>18.026520000000001</v>
      </c>
      <c r="AB2530" s="394">
        <v>15.53331</v>
      </c>
      <c r="AC2530" s="394">
        <v>14.417960000000001</v>
      </c>
      <c r="AD2530" s="394"/>
      <c r="AE2530" s="394"/>
      <c r="AF2530" s="394">
        <v>0</v>
      </c>
      <c r="AG2530" s="394">
        <v>0</v>
      </c>
      <c r="AH2530" s="394">
        <v>0.58123999999999998</v>
      </c>
      <c r="AI2530" s="394">
        <v>14.417960000000001</v>
      </c>
      <c r="AJ2530" s="394"/>
      <c r="AK2530" s="381" t="s">
        <v>167</v>
      </c>
      <c r="AL2530" s="408" t="s">
        <v>175</v>
      </c>
      <c r="AM2530" s="385"/>
      <c r="AN2530" s="475">
        <v>1321</v>
      </c>
      <c r="AO2530" s="395"/>
      <c r="AP2530" s="395">
        <f t="shared" si="1049"/>
        <v>18.026520000000001</v>
      </c>
      <c r="AQ2530" s="393"/>
      <c r="AR2530" s="523"/>
      <c r="AS2530" s="497"/>
      <c r="AT2530" s="573"/>
      <c r="AU2530" s="394"/>
      <c r="AV2530" s="394"/>
      <c r="AW2530" s="394"/>
      <c r="AX2530" s="394"/>
      <c r="AY2530" s="394"/>
      <c r="AZ2530" s="394"/>
      <c r="BA2530" s="394"/>
      <c r="BB2530" s="394"/>
      <c r="BC2530" s="394"/>
      <c r="BD2530" s="381"/>
      <c r="BE2530" s="408"/>
      <c r="BF2530" s="385"/>
      <c r="BG2530" s="475"/>
      <c r="BH2530" s="395"/>
      <c r="BI2530" s="395" t="e">
        <f t="shared" si="1050"/>
        <v>#DIV/0!</v>
      </c>
    </row>
    <row r="2531" spans="1:61" s="358" customFormat="1" ht="19.2" x14ac:dyDescent="0.3">
      <c r="A2531" s="359" t="s">
        <v>2172</v>
      </c>
      <c r="B2531" s="572" t="s">
        <v>2529</v>
      </c>
      <c r="C2531" s="546" t="s">
        <v>4421</v>
      </c>
      <c r="D2531" s="360">
        <v>0.4</v>
      </c>
      <c r="E2531" s="393"/>
      <c r="F2531" s="523"/>
      <c r="G2531" s="393"/>
      <c r="H2531" s="573"/>
      <c r="I2531" s="394"/>
      <c r="J2531" s="394"/>
      <c r="K2531" s="394"/>
      <c r="L2531" s="394"/>
      <c r="M2531" s="394"/>
      <c r="N2531" s="394"/>
      <c r="O2531" s="394"/>
      <c r="P2531" s="394"/>
      <c r="Q2531" s="394"/>
      <c r="R2531" s="381"/>
      <c r="S2531" s="408"/>
      <c r="T2531" s="385"/>
      <c r="U2531" s="475"/>
      <c r="V2531" s="395"/>
      <c r="W2531" s="395"/>
      <c r="X2531" s="393"/>
      <c r="Y2531" s="523">
        <v>1</v>
      </c>
      <c r="Z2531" s="393"/>
      <c r="AA2531" s="573">
        <f>28.29001-6.41573-1.78855-0.24696-1.13084</f>
        <v>18.707929999999998</v>
      </c>
      <c r="AB2531" s="394">
        <v>22.873989999999999</v>
      </c>
      <c r="AC2531" s="394">
        <v>14.417949999999999</v>
      </c>
      <c r="AD2531" s="394"/>
      <c r="AE2531" s="394"/>
      <c r="AF2531" s="394">
        <v>0</v>
      </c>
      <c r="AG2531" s="394">
        <v>0</v>
      </c>
      <c r="AH2531" s="394">
        <v>1.2626299999999999</v>
      </c>
      <c r="AI2531" s="394">
        <v>14.417949999999999</v>
      </c>
      <c r="AJ2531" s="394"/>
      <c r="AK2531" s="381" t="s">
        <v>167</v>
      </c>
      <c r="AL2531" s="408" t="s">
        <v>175</v>
      </c>
      <c r="AM2531" s="385"/>
      <c r="AN2531" s="475">
        <v>1322</v>
      </c>
      <c r="AO2531" s="395"/>
      <c r="AP2531" s="395">
        <f>AA2531/Y2531</f>
        <v>18.707929999999998</v>
      </c>
      <c r="AQ2531" s="393"/>
      <c r="AR2531" s="523"/>
      <c r="AS2531" s="393"/>
      <c r="AT2531" s="573"/>
      <c r="AU2531" s="394"/>
      <c r="AV2531" s="394"/>
      <c r="AW2531" s="394"/>
      <c r="AX2531" s="394"/>
      <c r="AY2531" s="394"/>
      <c r="AZ2531" s="394"/>
      <c r="BA2531" s="394"/>
      <c r="BB2531" s="394"/>
      <c r="BC2531" s="394"/>
      <c r="BD2531" s="381"/>
      <c r="BE2531" s="408"/>
      <c r="BF2531" s="385"/>
      <c r="BG2531" s="475"/>
      <c r="BH2531" s="395"/>
      <c r="BI2531" s="395" t="e">
        <f>AT2531/AR2531</f>
        <v>#DIV/0!</v>
      </c>
    </row>
    <row r="2532" spans="1:61" s="358" customFormat="1" ht="19.2" x14ac:dyDescent="0.3">
      <c r="A2532" s="359" t="s">
        <v>2173</v>
      </c>
      <c r="B2532" s="572" t="s">
        <v>2535</v>
      </c>
      <c r="C2532" s="546" t="s">
        <v>2534</v>
      </c>
      <c r="D2532" s="360">
        <v>0.4</v>
      </c>
      <c r="E2532" s="393"/>
      <c r="F2532" s="523"/>
      <c r="G2532" s="393"/>
      <c r="H2532" s="573"/>
      <c r="I2532" s="394"/>
      <c r="J2532" s="394"/>
      <c r="K2532" s="394"/>
      <c r="L2532" s="394"/>
      <c r="M2532" s="394"/>
      <c r="N2532" s="394"/>
      <c r="O2532" s="394"/>
      <c r="P2532" s="394"/>
      <c r="Q2532" s="394"/>
      <c r="R2532" s="381"/>
      <c r="S2532" s="408"/>
      <c r="T2532" s="385"/>
      <c r="U2532" s="475"/>
      <c r="V2532" s="395"/>
      <c r="W2532" s="395"/>
      <c r="X2532" s="393"/>
      <c r="Y2532" s="523">
        <v>1</v>
      </c>
      <c r="Z2532" s="497"/>
      <c r="AA2532" s="573">
        <v>18.039390000000001</v>
      </c>
      <c r="AB2532" s="394">
        <v>15.54618</v>
      </c>
      <c r="AC2532" s="394">
        <v>14.418139999999999</v>
      </c>
      <c r="AD2532" s="394"/>
      <c r="AE2532" s="394"/>
      <c r="AF2532" s="394">
        <v>0</v>
      </c>
      <c r="AG2532" s="394">
        <v>0</v>
      </c>
      <c r="AH2532" s="394">
        <v>0.58123999999999998</v>
      </c>
      <c r="AI2532" s="394">
        <v>14.418139999999999</v>
      </c>
      <c r="AJ2532" s="394"/>
      <c r="AK2532" s="381" t="s">
        <v>167</v>
      </c>
      <c r="AL2532" s="408" t="s">
        <v>175</v>
      </c>
      <c r="AM2532" s="385"/>
      <c r="AN2532" s="475">
        <v>1324</v>
      </c>
      <c r="AO2532" s="395"/>
      <c r="AP2532" s="395">
        <f t="shared" si="1049"/>
        <v>18.039390000000001</v>
      </c>
      <c r="AQ2532" s="393"/>
      <c r="AR2532" s="523"/>
      <c r="AS2532" s="497"/>
      <c r="AT2532" s="573"/>
      <c r="AU2532" s="394"/>
      <c r="AV2532" s="394"/>
      <c r="AW2532" s="394"/>
      <c r="AX2532" s="394"/>
      <c r="AY2532" s="394"/>
      <c r="AZ2532" s="394"/>
      <c r="BA2532" s="394"/>
      <c r="BB2532" s="394"/>
      <c r="BC2532" s="394"/>
      <c r="BD2532" s="381"/>
      <c r="BE2532" s="408"/>
      <c r="BF2532" s="385"/>
      <c r="BG2532" s="475"/>
      <c r="BH2532" s="395"/>
      <c r="BI2532" s="395" t="e">
        <f t="shared" ref="BI2532:BI2596" si="1051">AT2532/AR2532</f>
        <v>#DIV/0!</v>
      </c>
    </row>
    <row r="2533" spans="1:61" s="358" customFormat="1" ht="19.2" x14ac:dyDescent="0.3">
      <c r="A2533" s="359" t="s">
        <v>2174</v>
      </c>
      <c r="B2533" s="572" t="s">
        <v>658</v>
      </c>
      <c r="C2533" s="546" t="s">
        <v>2674</v>
      </c>
      <c r="D2533" s="360">
        <v>0.4</v>
      </c>
      <c r="E2533" s="393"/>
      <c r="F2533" s="523"/>
      <c r="G2533" s="393"/>
      <c r="H2533" s="573"/>
      <c r="I2533" s="394"/>
      <c r="J2533" s="394"/>
      <c r="K2533" s="394"/>
      <c r="L2533" s="394"/>
      <c r="M2533" s="394"/>
      <c r="N2533" s="394"/>
      <c r="O2533" s="394"/>
      <c r="P2533" s="394"/>
      <c r="Q2533" s="394"/>
      <c r="R2533" s="381"/>
      <c r="S2533" s="408"/>
      <c r="T2533" s="385"/>
      <c r="U2533" s="475"/>
      <c r="V2533" s="395"/>
      <c r="W2533" s="395"/>
      <c r="X2533" s="393"/>
      <c r="Y2533" s="523">
        <v>1</v>
      </c>
      <c r="Z2533" s="497"/>
      <c r="AA2533" s="573">
        <v>18.039400000000001</v>
      </c>
      <c r="AB2533" s="394">
        <v>15.546189999999999</v>
      </c>
      <c r="AC2533" s="394">
        <v>14.418139999999999</v>
      </c>
      <c r="AD2533" s="394"/>
      <c r="AE2533" s="394"/>
      <c r="AF2533" s="394">
        <v>0</v>
      </c>
      <c r="AG2533" s="394">
        <v>0</v>
      </c>
      <c r="AH2533" s="394">
        <v>0.58123999999999998</v>
      </c>
      <c r="AI2533" s="394">
        <v>14.418139999999999</v>
      </c>
      <c r="AJ2533" s="394"/>
      <c r="AK2533" s="381" t="s">
        <v>167</v>
      </c>
      <c r="AL2533" s="408" t="s">
        <v>175</v>
      </c>
      <c r="AM2533" s="385"/>
      <c r="AN2533" s="475">
        <v>1325</v>
      </c>
      <c r="AO2533" s="395"/>
      <c r="AP2533" s="395">
        <f t="shared" si="1049"/>
        <v>18.039400000000001</v>
      </c>
      <c r="AQ2533" s="393"/>
      <c r="AR2533" s="523"/>
      <c r="AS2533" s="497"/>
      <c r="AT2533" s="573"/>
      <c r="AU2533" s="394"/>
      <c r="AV2533" s="394"/>
      <c r="AW2533" s="394"/>
      <c r="AX2533" s="394"/>
      <c r="AY2533" s="394"/>
      <c r="AZ2533" s="394"/>
      <c r="BA2533" s="394"/>
      <c r="BB2533" s="394"/>
      <c r="BC2533" s="394"/>
      <c r="BD2533" s="381"/>
      <c r="BE2533" s="408"/>
      <c r="BF2533" s="385"/>
      <c r="BG2533" s="475"/>
      <c r="BH2533" s="395"/>
      <c r="BI2533" s="395" t="e">
        <f t="shared" si="1051"/>
        <v>#DIV/0!</v>
      </c>
    </row>
    <row r="2534" spans="1:61" s="358" customFormat="1" ht="19.2" x14ac:dyDescent="0.3">
      <c r="A2534" s="359" t="s">
        <v>2175</v>
      </c>
      <c r="B2534" s="572" t="s">
        <v>4175</v>
      </c>
      <c r="C2534" s="546" t="s">
        <v>3309</v>
      </c>
      <c r="D2534" s="360">
        <v>0.4</v>
      </c>
      <c r="E2534" s="393"/>
      <c r="F2534" s="523"/>
      <c r="G2534" s="393"/>
      <c r="H2534" s="573"/>
      <c r="I2534" s="394"/>
      <c r="J2534" s="394"/>
      <c r="K2534" s="394"/>
      <c r="L2534" s="394"/>
      <c r="M2534" s="394"/>
      <c r="N2534" s="394"/>
      <c r="O2534" s="394"/>
      <c r="P2534" s="394"/>
      <c r="Q2534" s="394"/>
      <c r="R2534" s="381"/>
      <c r="S2534" s="408"/>
      <c r="T2534" s="385"/>
      <c r="U2534" s="475"/>
      <c r="V2534" s="395"/>
      <c r="W2534" s="395"/>
      <c r="X2534" s="393"/>
      <c r="Y2534" s="523">
        <v>1</v>
      </c>
      <c r="Z2534" s="497"/>
      <c r="AA2534" s="573">
        <v>18.03942</v>
      </c>
      <c r="AB2534" s="394">
        <v>15.54621</v>
      </c>
      <c r="AC2534" s="394">
        <v>14.418139999999999</v>
      </c>
      <c r="AD2534" s="394"/>
      <c r="AE2534" s="394"/>
      <c r="AF2534" s="394">
        <v>0</v>
      </c>
      <c r="AG2534" s="394">
        <v>0</v>
      </c>
      <c r="AH2534" s="394">
        <v>0.58123999999999998</v>
      </c>
      <c r="AI2534" s="394">
        <v>14.418139999999999</v>
      </c>
      <c r="AJ2534" s="394"/>
      <c r="AK2534" s="381" t="s">
        <v>167</v>
      </c>
      <c r="AL2534" s="408" t="s">
        <v>175</v>
      </c>
      <c r="AM2534" s="385"/>
      <c r="AN2534" s="475">
        <v>1326</v>
      </c>
      <c r="AO2534" s="395"/>
      <c r="AP2534" s="395">
        <f t="shared" si="1049"/>
        <v>18.03942</v>
      </c>
      <c r="AQ2534" s="393"/>
      <c r="AR2534" s="523"/>
      <c r="AS2534" s="497"/>
      <c r="AT2534" s="573"/>
      <c r="AU2534" s="394"/>
      <c r="AV2534" s="394"/>
      <c r="AW2534" s="394"/>
      <c r="AX2534" s="394"/>
      <c r="AY2534" s="394"/>
      <c r="AZ2534" s="394"/>
      <c r="BA2534" s="394"/>
      <c r="BB2534" s="394"/>
      <c r="BC2534" s="394"/>
      <c r="BD2534" s="381"/>
      <c r="BE2534" s="408"/>
      <c r="BF2534" s="385"/>
      <c r="BG2534" s="475"/>
      <c r="BH2534" s="395"/>
      <c r="BI2534" s="395" t="e">
        <f t="shared" si="1051"/>
        <v>#DIV/0!</v>
      </c>
    </row>
    <row r="2535" spans="1:61" s="358" customFormat="1" ht="19.2" x14ac:dyDescent="0.3">
      <c r="A2535" s="359" t="s">
        <v>2176</v>
      </c>
      <c r="B2535" s="572" t="s">
        <v>4176</v>
      </c>
      <c r="C2535" s="546" t="s">
        <v>3310</v>
      </c>
      <c r="D2535" s="360">
        <v>0.4</v>
      </c>
      <c r="E2535" s="393"/>
      <c r="F2535" s="523"/>
      <c r="G2535" s="393"/>
      <c r="H2535" s="573"/>
      <c r="I2535" s="394"/>
      <c r="J2535" s="394"/>
      <c r="K2535" s="394"/>
      <c r="L2535" s="394"/>
      <c r="M2535" s="394"/>
      <c r="N2535" s="394"/>
      <c r="O2535" s="394"/>
      <c r="P2535" s="394"/>
      <c r="Q2535" s="394"/>
      <c r="R2535" s="381"/>
      <c r="S2535" s="408"/>
      <c r="T2535" s="385"/>
      <c r="U2535" s="475"/>
      <c r="V2535" s="395"/>
      <c r="W2535" s="395"/>
      <c r="X2535" s="393"/>
      <c r="Y2535" s="523">
        <v>1</v>
      </c>
      <c r="Z2535" s="497"/>
      <c r="AA2535" s="573">
        <v>18.03941</v>
      </c>
      <c r="AB2535" s="394">
        <v>15.546200000000001</v>
      </c>
      <c r="AC2535" s="394">
        <v>14.418139999999999</v>
      </c>
      <c r="AD2535" s="394"/>
      <c r="AE2535" s="394"/>
      <c r="AF2535" s="394">
        <v>0</v>
      </c>
      <c r="AG2535" s="394">
        <v>0</v>
      </c>
      <c r="AH2535" s="394">
        <v>0.58123999999999998</v>
      </c>
      <c r="AI2535" s="394">
        <v>14.418139999999999</v>
      </c>
      <c r="AJ2535" s="394"/>
      <c r="AK2535" s="381" t="s">
        <v>167</v>
      </c>
      <c r="AL2535" s="408" t="s">
        <v>175</v>
      </c>
      <c r="AM2535" s="385"/>
      <c r="AN2535" s="475">
        <v>1327</v>
      </c>
      <c r="AO2535" s="395"/>
      <c r="AP2535" s="395">
        <f t="shared" si="1049"/>
        <v>18.03941</v>
      </c>
      <c r="AQ2535" s="393"/>
      <c r="AR2535" s="523"/>
      <c r="AS2535" s="497"/>
      <c r="AT2535" s="573"/>
      <c r="AU2535" s="394"/>
      <c r="AV2535" s="394"/>
      <c r="AW2535" s="394"/>
      <c r="AX2535" s="394"/>
      <c r="AY2535" s="394"/>
      <c r="AZ2535" s="394"/>
      <c r="BA2535" s="394"/>
      <c r="BB2535" s="394"/>
      <c r="BC2535" s="394"/>
      <c r="BD2535" s="381"/>
      <c r="BE2535" s="408"/>
      <c r="BF2535" s="385"/>
      <c r="BG2535" s="475"/>
      <c r="BH2535" s="395"/>
      <c r="BI2535" s="395" t="e">
        <f t="shared" si="1051"/>
        <v>#DIV/0!</v>
      </c>
    </row>
    <row r="2536" spans="1:61" s="358" customFormat="1" ht="19.2" x14ac:dyDescent="0.3">
      <c r="A2536" s="359" t="s">
        <v>2177</v>
      </c>
      <c r="B2536" s="572" t="s">
        <v>2576</v>
      </c>
      <c r="C2536" s="546" t="s">
        <v>2575</v>
      </c>
      <c r="D2536" s="360">
        <v>0.4</v>
      </c>
      <c r="E2536" s="393"/>
      <c r="F2536" s="523"/>
      <c r="G2536" s="393"/>
      <c r="H2536" s="573"/>
      <c r="I2536" s="394"/>
      <c r="J2536" s="394"/>
      <c r="K2536" s="394"/>
      <c r="L2536" s="394"/>
      <c r="M2536" s="394"/>
      <c r="N2536" s="394"/>
      <c r="O2536" s="394"/>
      <c r="P2536" s="394"/>
      <c r="Q2536" s="394"/>
      <c r="R2536" s="381"/>
      <c r="S2536" s="408"/>
      <c r="T2536" s="385"/>
      <c r="U2536" s="475"/>
      <c r="V2536" s="395"/>
      <c r="W2536" s="395"/>
      <c r="X2536" s="393"/>
      <c r="Y2536" s="523">
        <v>1</v>
      </c>
      <c r="Z2536" s="497"/>
      <c r="AA2536" s="573">
        <v>18.03941</v>
      </c>
      <c r="AB2536" s="394">
        <v>15.546200000000001</v>
      </c>
      <c r="AC2536" s="394">
        <v>14.418139999999999</v>
      </c>
      <c r="AD2536" s="394"/>
      <c r="AE2536" s="394"/>
      <c r="AF2536" s="394">
        <v>0</v>
      </c>
      <c r="AG2536" s="394">
        <v>0</v>
      </c>
      <c r="AH2536" s="394">
        <v>0.58123999999999998</v>
      </c>
      <c r="AI2536" s="394">
        <v>14.418139999999999</v>
      </c>
      <c r="AJ2536" s="394"/>
      <c r="AK2536" s="381" t="s">
        <v>167</v>
      </c>
      <c r="AL2536" s="408" t="s">
        <v>175</v>
      </c>
      <c r="AM2536" s="385"/>
      <c r="AN2536" s="475">
        <v>1328</v>
      </c>
      <c r="AO2536" s="395"/>
      <c r="AP2536" s="395">
        <f t="shared" si="1049"/>
        <v>18.03941</v>
      </c>
      <c r="AQ2536" s="393"/>
      <c r="AR2536" s="523"/>
      <c r="AS2536" s="497"/>
      <c r="AT2536" s="573"/>
      <c r="AU2536" s="394"/>
      <c r="AV2536" s="394"/>
      <c r="AW2536" s="394"/>
      <c r="AX2536" s="394"/>
      <c r="AY2536" s="394"/>
      <c r="AZ2536" s="394"/>
      <c r="BA2536" s="394"/>
      <c r="BB2536" s="394"/>
      <c r="BC2536" s="394"/>
      <c r="BD2536" s="381"/>
      <c r="BE2536" s="408"/>
      <c r="BF2536" s="385"/>
      <c r="BG2536" s="475"/>
      <c r="BH2536" s="395"/>
      <c r="BI2536" s="395" t="e">
        <f t="shared" si="1051"/>
        <v>#DIV/0!</v>
      </c>
    </row>
    <row r="2537" spans="1:61" s="358" customFormat="1" ht="19.2" x14ac:dyDescent="0.3">
      <c r="A2537" s="359" t="s">
        <v>2178</v>
      </c>
      <c r="B2537" s="572" t="s">
        <v>2468</v>
      </c>
      <c r="C2537" s="546" t="s">
        <v>2467</v>
      </c>
      <c r="D2537" s="360">
        <v>0.4</v>
      </c>
      <c r="E2537" s="393"/>
      <c r="F2537" s="523"/>
      <c r="G2537" s="393"/>
      <c r="H2537" s="573"/>
      <c r="I2537" s="394"/>
      <c r="J2537" s="394"/>
      <c r="K2537" s="394"/>
      <c r="L2537" s="394"/>
      <c r="M2537" s="394"/>
      <c r="N2537" s="394"/>
      <c r="O2537" s="394"/>
      <c r="P2537" s="394"/>
      <c r="Q2537" s="394"/>
      <c r="R2537" s="381"/>
      <c r="S2537" s="408"/>
      <c r="T2537" s="385"/>
      <c r="U2537" s="475"/>
      <c r="V2537" s="395"/>
      <c r="W2537" s="395"/>
      <c r="X2537" s="393"/>
      <c r="Y2537" s="523">
        <v>1</v>
      </c>
      <c r="Z2537" s="497"/>
      <c r="AA2537" s="573">
        <v>18.03941</v>
      </c>
      <c r="AB2537" s="394">
        <v>15.546200000000001</v>
      </c>
      <c r="AC2537" s="394">
        <v>14.418139999999999</v>
      </c>
      <c r="AD2537" s="394"/>
      <c r="AE2537" s="394"/>
      <c r="AF2537" s="394">
        <v>0</v>
      </c>
      <c r="AG2537" s="394">
        <v>0</v>
      </c>
      <c r="AH2537" s="394">
        <v>0.58123999999999998</v>
      </c>
      <c r="AI2537" s="394">
        <v>14.418139999999999</v>
      </c>
      <c r="AJ2537" s="394"/>
      <c r="AK2537" s="381" t="s">
        <v>167</v>
      </c>
      <c r="AL2537" s="408" t="s">
        <v>175</v>
      </c>
      <c r="AM2537" s="385"/>
      <c r="AN2537" s="475">
        <v>1329</v>
      </c>
      <c r="AO2537" s="395"/>
      <c r="AP2537" s="395">
        <f t="shared" si="1049"/>
        <v>18.03941</v>
      </c>
      <c r="AQ2537" s="393"/>
      <c r="AR2537" s="523"/>
      <c r="AS2537" s="497"/>
      <c r="AT2537" s="573"/>
      <c r="AU2537" s="394"/>
      <c r="AV2537" s="394"/>
      <c r="AW2537" s="394"/>
      <c r="AX2537" s="394"/>
      <c r="AY2537" s="394"/>
      <c r="AZ2537" s="394"/>
      <c r="BA2537" s="394"/>
      <c r="BB2537" s="394"/>
      <c r="BC2537" s="394"/>
      <c r="BD2537" s="381"/>
      <c r="BE2537" s="408"/>
      <c r="BF2537" s="385"/>
      <c r="BG2537" s="475"/>
      <c r="BH2537" s="395"/>
      <c r="BI2537" s="395" t="e">
        <f t="shared" si="1051"/>
        <v>#DIV/0!</v>
      </c>
    </row>
    <row r="2538" spans="1:61" s="358" customFormat="1" ht="19.2" x14ac:dyDescent="0.3">
      <c r="A2538" s="359" t="s">
        <v>2179</v>
      </c>
      <c r="B2538" s="572" t="s">
        <v>4177</v>
      </c>
      <c r="C2538" s="546" t="s">
        <v>3311</v>
      </c>
      <c r="D2538" s="360">
        <v>0.4</v>
      </c>
      <c r="E2538" s="393"/>
      <c r="F2538" s="523"/>
      <c r="G2538" s="393"/>
      <c r="H2538" s="573"/>
      <c r="I2538" s="394"/>
      <c r="J2538" s="394"/>
      <c r="K2538" s="394"/>
      <c r="L2538" s="394"/>
      <c r="M2538" s="394"/>
      <c r="N2538" s="394"/>
      <c r="O2538" s="394"/>
      <c r="P2538" s="394"/>
      <c r="Q2538" s="394"/>
      <c r="R2538" s="381"/>
      <c r="S2538" s="408"/>
      <c r="T2538" s="385"/>
      <c r="U2538" s="475"/>
      <c r="V2538" s="395"/>
      <c r="W2538" s="395"/>
      <c r="X2538" s="393"/>
      <c r="Y2538" s="523">
        <v>1</v>
      </c>
      <c r="Z2538" s="497"/>
      <c r="AA2538" s="573">
        <v>18.03942</v>
      </c>
      <c r="AB2538" s="394">
        <v>15.54621</v>
      </c>
      <c r="AC2538" s="394">
        <v>14.418139999999999</v>
      </c>
      <c r="AD2538" s="394"/>
      <c r="AE2538" s="394"/>
      <c r="AF2538" s="394">
        <v>0</v>
      </c>
      <c r="AG2538" s="394">
        <v>0</v>
      </c>
      <c r="AH2538" s="394">
        <v>0.58123999999999998</v>
      </c>
      <c r="AI2538" s="394">
        <v>14.418139999999999</v>
      </c>
      <c r="AJ2538" s="394"/>
      <c r="AK2538" s="381" t="s">
        <v>167</v>
      </c>
      <c r="AL2538" s="408" t="s">
        <v>175</v>
      </c>
      <c r="AM2538" s="385"/>
      <c r="AN2538" s="475">
        <v>1330</v>
      </c>
      <c r="AO2538" s="395"/>
      <c r="AP2538" s="395">
        <f t="shared" si="1049"/>
        <v>18.03942</v>
      </c>
      <c r="AQ2538" s="393"/>
      <c r="AR2538" s="523"/>
      <c r="AS2538" s="497"/>
      <c r="AT2538" s="573"/>
      <c r="AU2538" s="394"/>
      <c r="AV2538" s="394"/>
      <c r="AW2538" s="394"/>
      <c r="AX2538" s="394"/>
      <c r="AY2538" s="394"/>
      <c r="AZ2538" s="394"/>
      <c r="BA2538" s="394"/>
      <c r="BB2538" s="394"/>
      <c r="BC2538" s="394"/>
      <c r="BD2538" s="381"/>
      <c r="BE2538" s="408"/>
      <c r="BF2538" s="385"/>
      <c r="BG2538" s="475"/>
      <c r="BH2538" s="395"/>
      <c r="BI2538" s="395" t="e">
        <f t="shared" si="1051"/>
        <v>#DIV/0!</v>
      </c>
    </row>
    <row r="2539" spans="1:61" s="358" customFormat="1" ht="19.2" x14ac:dyDescent="0.3">
      <c r="A2539" s="359" t="s">
        <v>2196</v>
      </c>
      <c r="B2539" s="572" t="s">
        <v>4178</v>
      </c>
      <c r="C2539" s="546" t="s">
        <v>3313</v>
      </c>
      <c r="D2539" s="360">
        <v>0.4</v>
      </c>
      <c r="E2539" s="393"/>
      <c r="F2539" s="523"/>
      <c r="G2539" s="393"/>
      <c r="H2539" s="573"/>
      <c r="I2539" s="394"/>
      <c r="J2539" s="394"/>
      <c r="K2539" s="394"/>
      <c r="L2539" s="394"/>
      <c r="M2539" s="394"/>
      <c r="N2539" s="394"/>
      <c r="O2539" s="394"/>
      <c r="P2539" s="394"/>
      <c r="Q2539" s="394"/>
      <c r="R2539" s="381"/>
      <c r="S2539" s="408"/>
      <c r="T2539" s="385"/>
      <c r="U2539" s="475"/>
      <c r="V2539" s="395"/>
      <c r="W2539" s="395"/>
      <c r="X2539" s="393"/>
      <c r="Y2539" s="523">
        <v>1</v>
      </c>
      <c r="Z2539" s="497"/>
      <c r="AA2539" s="573">
        <v>18.039400000000001</v>
      </c>
      <c r="AB2539" s="394">
        <v>15.54617</v>
      </c>
      <c r="AC2539" s="394">
        <v>14.418139999999999</v>
      </c>
      <c r="AD2539" s="394"/>
      <c r="AE2539" s="394"/>
      <c r="AF2539" s="394">
        <v>0</v>
      </c>
      <c r="AG2539" s="394">
        <v>0</v>
      </c>
      <c r="AH2539" s="394">
        <v>0.58123999999999998</v>
      </c>
      <c r="AI2539" s="394">
        <v>14.418139999999999</v>
      </c>
      <c r="AJ2539" s="394"/>
      <c r="AK2539" s="381" t="s">
        <v>167</v>
      </c>
      <c r="AL2539" s="408" t="s">
        <v>175</v>
      </c>
      <c r="AM2539" s="385"/>
      <c r="AN2539" s="475">
        <v>1331</v>
      </c>
      <c r="AO2539" s="395"/>
      <c r="AP2539" s="395">
        <f t="shared" si="1049"/>
        <v>18.039400000000001</v>
      </c>
      <c r="AQ2539" s="393"/>
      <c r="AR2539" s="523"/>
      <c r="AS2539" s="497"/>
      <c r="AT2539" s="573"/>
      <c r="AU2539" s="394"/>
      <c r="AV2539" s="394"/>
      <c r="AW2539" s="394"/>
      <c r="AX2539" s="394"/>
      <c r="AY2539" s="394"/>
      <c r="AZ2539" s="394"/>
      <c r="BA2539" s="394"/>
      <c r="BB2539" s="394"/>
      <c r="BC2539" s="394"/>
      <c r="BD2539" s="381"/>
      <c r="BE2539" s="408"/>
      <c r="BF2539" s="385"/>
      <c r="BG2539" s="475"/>
      <c r="BH2539" s="395"/>
      <c r="BI2539" s="395" t="e">
        <f t="shared" si="1051"/>
        <v>#DIV/0!</v>
      </c>
    </row>
    <row r="2540" spans="1:61" s="358" customFormat="1" ht="19.2" x14ac:dyDescent="0.3">
      <c r="A2540" s="359" t="s">
        <v>2181</v>
      </c>
      <c r="B2540" s="572" t="s">
        <v>4179</v>
      </c>
      <c r="C2540" s="546" t="s">
        <v>3314</v>
      </c>
      <c r="D2540" s="360">
        <v>0.4</v>
      </c>
      <c r="E2540" s="393"/>
      <c r="F2540" s="523"/>
      <c r="G2540" s="393"/>
      <c r="H2540" s="573"/>
      <c r="I2540" s="394"/>
      <c r="J2540" s="394"/>
      <c r="K2540" s="394"/>
      <c r="L2540" s="394"/>
      <c r="M2540" s="394"/>
      <c r="N2540" s="394"/>
      <c r="O2540" s="394"/>
      <c r="P2540" s="394"/>
      <c r="Q2540" s="394"/>
      <c r="R2540" s="381"/>
      <c r="S2540" s="408"/>
      <c r="T2540" s="385"/>
      <c r="U2540" s="475"/>
      <c r="V2540" s="395"/>
      <c r="W2540" s="395"/>
      <c r="X2540" s="393"/>
      <c r="Y2540" s="523">
        <v>1</v>
      </c>
      <c r="Z2540" s="497"/>
      <c r="AA2540" s="573">
        <v>18.039400000000001</v>
      </c>
      <c r="AB2540" s="394">
        <v>15.54617</v>
      </c>
      <c r="AC2540" s="394">
        <v>14.418139999999999</v>
      </c>
      <c r="AD2540" s="394"/>
      <c r="AE2540" s="394"/>
      <c r="AF2540" s="394">
        <v>0</v>
      </c>
      <c r="AG2540" s="394">
        <v>0</v>
      </c>
      <c r="AH2540" s="394">
        <v>0.58123999999999998</v>
      </c>
      <c r="AI2540" s="394">
        <v>14.418139999999999</v>
      </c>
      <c r="AJ2540" s="394"/>
      <c r="AK2540" s="381" t="s">
        <v>167</v>
      </c>
      <c r="AL2540" s="408" t="s">
        <v>175</v>
      </c>
      <c r="AM2540" s="385"/>
      <c r="AN2540" s="475">
        <v>1332</v>
      </c>
      <c r="AO2540" s="395"/>
      <c r="AP2540" s="395">
        <f t="shared" si="1049"/>
        <v>18.039400000000001</v>
      </c>
      <c r="AQ2540" s="393"/>
      <c r="AR2540" s="523"/>
      <c r="AS2540" s="497"/>
      <c r="AT2540" s="573"/>
      <c r="AU2540" s="394"/>
      <c r="AV2540" s="394"/>
      <c r="AW2540" s="394"/>
      <c r="AX2540" s="394"/>
      <c r="AY2540" s="394"/>
      <c r="AZ2540" s="394"/>
      <c r="BA2540" s="394"/>
      <c r="BB2540" s="394"/>
      <c r="BC2540" s="394"/>
      <c r="BD2540" s="381"/>
      <c r="BE2540" s="408"/>
      <c r="BF2540" s="385"/>
      <c r="BG2540" s="475"/>
      <c r="BH2540" s="395"/>
      <c r="BI2540" s="395" t="e">
        <f t="shared" si="1051"/>
        <v>#DIV/0!</v>
      </c>
    </row>
    <row r="2541" spans="1:61" s="358" customFormat="1" ht="19.2" x14ac:dyDescent="0.3">
      <c r="A2541" s="359" t="s">
        <v>2182</v>
      </c>
      <c r="B2541" s="572" t="s">
        <v>4180</v>
      </c>
      <c r="C2541" s="546" t="s">
        <v>3315</v>
      </c>
      <c r="D2541" s="360">
        <v>0.4</v>
      </c>
      <c r="E2541" s="393"/>
      <c r="F2541" s="523"/>
      <c r="G2541" s="393"/>
      <c r="H2541" s="573"/>
      <c r="I2541" s="394"/>
      <c r="J2541" s="394"/>
      <c r="K2541" s="394"/>
      <c r="L2541" s="394"/>
      <c r="M2541" s="394"/>
      <c r="N2541" s="394"/>
      <c r="O2541" s="394"/>
      <c r="P2541" s="394"/>
      <c r="Q2541" s="394"/>
      <c r="R2541" s="381"/>
      <c r="S2541" s="408"/>
      <c r="T2541" s="385"/>
      <c r="U2541" s="475"/>
      <c r="V2541" s="395"/>
      <c r="W2541" s="395"/>
      <c r="X2541" s="393"/>
      <c r="Y2541" s="523">
        <v>1</v>
      </c>
      <c r="Z2541" s="497"/>
      <c r="AA2541" s="573">
        <v>18.039390000000001</v>
      </c>
      <c r="AB2541" s="394">
        <v>15.54618</v>
      </c>
      <c r="AC2541" s="394">
        <v>14.418139999999999</v>
      </c>
      <c r="AD2541" s="394"/>
      <c r="AE2541" s="394"/>
      <c r="AF2541" s="394">
        <v>0</v>
      </c>
      <c r="AG2541" s="394">
        <v>0</v>
      </c>
      <c r="AH2541" s="394">
        <v>0.58123999999999998</v>
      </c>
      <c r="AI2541" s="394">
        <v>14.418139999999999</v>
      </c>
      <c r="AJ2541" s="394"/>
      <c r="AK2541" s="381" t="s">
        <v>167</v>
      </c>
      <c r="AL2541" s="408" t="s">
        <v>175</v>
      </c>
      <c r="AM2541" s="385"/>
      <c r="AN2541" s="475">
        <v>1333</v>
      </c>
      <c r="AO2541" s="395"/>
      <c r="AP2541" s="395">
        <f t="shared" si="1049"/>
        <v>18.039390000000001</v>
      </c>
      <c r="AQ2541" s="393"/>
      <c r="AR2541" s="523"/>
      <c r="AS2541" s="497"/>
      <c r="AT2541" s="573"/>
      <c r="AU2541" s="394"/>
      <c r="AV2541" s="394"/>
      <c r="AW2541" s="394"/>
      <c r="AX2541" s="394"/>
      <c r="AY2541" s="394"/>
      <c r="AZ2541" s="394"/>
      <c r="BA2541" s="394"/>
      <c r="BB2541" s="394"/>
      <c r="BC2541" s="394"/>
      <c r="BD2541" s="381"/>
      <c r="BE2541" s="408"/>
      <c r="BF2541" s="385"/>
      <c r="BG2541" s="475"/>
      <c r="BH2541" s="395"/>
      <c r="BI2541" s="395" t="e">
        <f t="shared" si="1051"/>
        <v>#DIV/0!</v>
      </c>
    </row>
    <row r="2542" spans="1:61" s="358" customFormat="1" ht="19.2" x14ac:dyDescent="0.3">
      <c r="A2542" s="359" t="s">
        <v>2183</v>
      </c>
      <c r="B2542" s="572" t="s">
        <v>4181</v>
      </c>
      <c r="C2542" s="546" t="s">
        <v>3316</v>
      </c>
      <c r="D2542" s="360">
        <v>0.4</v>
      </c>
      <c r="E2542" s="393"/>
      <c r="F2542" s="523"/>
      <c r="G2542" s="393"/>
      <c r="H2542" s="573"/>
      <c r="I2542" s="394"/>
      <c r="J2542" s="394"/>
      <c r="K2542" s="394"/>
      <c r="L2542" s="394"/>
      <c r="M2542" s="394"/>
      <c r="N2542" s="394"/>
      <c r="O2542" s="394"/>
      <c r="P2542" s="394"/>
      <c r="Q2542" s="394"/>
      <c r="R2542" s="381"/>
      <c r="S2542" s="408"/>
      <c r="T2542" s="385"/>
      <c r="U2542" s="475"/>
      <c r="V2542" s="395"/>
      <c r="W2542" s="395"/>
      <c r="X2542" s="393"/>
      <c r="Y2542" s="523">
        <v>1</v>
      </c>
      <c r="Z2542" s="497"/>
      <c r="AA2542" s="573">
        <v>18.03941</v>
      </c>
      <c r="AB2542" s="394">
        <v>15.546200000000001</v>
      </c>
      <c r="AC2542" s="394">
        <v>14.418139999999999</v>
      </c>
      <c r="AD2542" s="394"/>
      <c r="AE2542" s="394"/>
      <c r="AF2542" s="394">
        <v>0</v>
      </c>
      <c r="AG2542" s="394">
        <v>0</v>
      </c>
      <c r="AH2542" s="394">
        <v>0.58123999999999998</v>
      </c>
      <c r="AI2542" s="394">
        <v>14.418139999999999</v>
      </c>
      <c r="AJ2542" s="394"/>
      <c r="AK2542" s="381" t="s">
        <v>167</v>
      </c>
      <c r="AL2542" s="408" t="s">
        <v>175</v>
      </c>
      <c r="AM2542" s="385"/>
      <c r="AN2542" s="475">
        <v>1334</v>
      </c>
      <c r="AO2542" s="395"/>
      <c r="AP2542" s="395">
        <f t="shared" si="1049"/>
        <v>18.03941</v>
      </c>
      <c r="AQ2542" s="393"/>
      <c r="AR2542" s="523"/>
      <c r="AS2542" s="497"/>
      <c r="AT2542" s="573"/>
      <c r="AU2542" s="394"/>
      <c r="AV2542" s="394"/>
      <c r="AW2542" s="394"/>
      <c r="AX2542" s="394"/>
      <c r="AY2542" s="394"/>
      <c r="AZ2542" s="394"/>
      <c r="BA2542" s="394"/>
      <c r="BB2542" s="394"/>
      <c r="BC2542" s="394"/>
      <c r="BD2542" s="381"/>
      <c r="BE2542" s="408"/>
      <c r="BF2542" s="385"/>
      <c r="BG2542" s="475"/>
      <c r="BH2542" s="395"/>
      <c r="BI2542" s="395" t="e">
        <f t="shared" si="1051"/>
        <v>#DIV/0!</v>
      </c>
    </row>
    <row r="2543" spans="1:61" s="358" customFormat="1" ht="19.2" x14ac:dyDescent="0.3">
      <c r="A2543" s="359" t="s">
        <v>2200</v>
      </c>
      <c r="B2543" s="572" t="s">
        <v>4182</v>
      </c>
      <c r="C2543" s="546" t="s">
        <v>3317</v>
      </c>
      <c r="D2543" s="360">
        <v>0.4</v>
      </c>
      <c r="E2543" s="393"/>
      <c r="F2543" s="523"/>
      <c r="G2543" s="393"/>
      <c r="H2543" s="573"/>
      <c r="I2543" s="394"/>
      <c r="J2543" s="394"/>
      <c r="K2543" s="394"/>
      <c r="L2543" s="394"/>
      <c r="M2543" s="394"/>
      <c r="N2543" s="394"/>
      <c r="O2543" s="394"/>
      <c r="P2543" s="394"/>
      <c r="Q2543" s="394"/>
      <c r="R2543" s="381"/>
      <c r="S2543" s="408"/>
      <c r="T2543" s="385"/>
      <c r="U2543" s="475"/>
      <c r="V2543" s="395"/>
      <c r="W2543" s="395"/>
      <c r="X2543" s="393"/>
      <c r="Y2543" s="523">
        <v>1</v>
      </c>
      <c r="Z2543" s="497"/>
      <c r="AA2543" s="573">
        <v>18.03941</v>
      </c>
      <c r="AB2543" s="394">
        <v>15.546200000000001</v>
      </c>
      <c r="AC2543" s="394">
        <v>14.418139999999999</v>
      </c>
      <c r="AD2543" s="394"/>
      <c r="AE2543" s="394"/>
      <c r="AF2543" s="394">
        <v>0</v>
      </c>
      <c r="AG2543" s="394">
        <v>0</v>
      </c>
      <c r="AH2543" s="394">
        <v>0.58123999999999998</v>
      </c>
      <c r="AI2543" s="394">
        <v>14.418139999999999</v>
      </c>
      <c r="AJ2543" s="394"/>
      <c r="AK2543" s="381" t="s">
        <v>167</v>
      </c>
      <c r="AL2543" s="408" t="s">
        <v>175</v>
      </c>
      <c r="AM2543" s="385"/>
      <c r="AN2543" s="475">
        <v>1335</v>
      </c>
      <c r="AO2543" s="395"/>
      <c r="AP2543" s="395">
        <f t="shared" si="1049"/>
        <v>18.03941</v>
      </c>
      <c r="AQ2543" s="393"/>
      <c r="AR2543" s="523"/>
      <c r="AS2543" s="497"/>
      <c r="AT2543" s="573"/>
      <c r="AU2543" s="394"/>
      <c r="AV2543" s="394"/>
      <c r="AW2543" s="394"/>
      <c r="AX2543" s="394"/>
      <c r="AY2543" s="394"/>
      <c r="AZ2543" s="394"/>
      <c r="BA2543" s="394"/>
      <c r="BB2543" s="394"/>
      <c r="BC2543" s="394"/>
      <c r="BD2543" s="381"/>
      <c r="BE2543" s="408"/>
      <c r="BF2543" s="385"/>
      <c r="BG2543" s="475"/>
      <c r="BH2543" s="395"/>
      <c r="BI2543" s="395" t="e">
        <f t="shared" si="1051"/>
        <v>#DIV/0!</v>
      </c>
    </row>
    <row r="2544" spans="1:61" s="358" customFormat="1" ht="19.2" x14ac:dyDescent="0.3">
      <c r="A2544" s="359" t="s">
        <v>2185</v>
      </c>
      <c r="B2544" s="572" t="s">
        <v>4183</v>
      </c>
      <c r="C2544" s="546" t="s">
        <v>3318</v>
      </c>
      <c r="D2544" s="360">
        <v>0.4</v>
      </c>
      <c r="E2544" s="393"/>
      <c r="F2544" s="523"/>
      <c r="G2544" s="393"/>
      <c r="H2544" s="573"/>
      <c r="I2544" s="394"/>
      <c r="J2544" s="394"/>
      <c r="K2544" s="394"/>
      <c r="L2544" s="394"/>
      <c r="M2544" s="394"/>
      <c r="N2544" s="394"/>
      <c r="O2544" s="394"/>
      <c r="P2544" s="394"/>
      <c r="Q2544" s="394"/>
      <c r="R2544" s="381"/>
      <c r="S2544" s="408"/>
      <c r="T2544" s="385"/>
      <c r="U2544" s="475"/>
      <c r="V2544" s="395"/>
      <c r="W2544" s="395"/>
      <c r="X2544" s="393"/>
      <c r="Y2544" s="523">
        <v>1</v>
      </c>
      <c r="Z2544" s="497"/>
      <c r="AA2544" s="573">
        <v>18.03941</v>
      </c>
      <c r="AB2544" s="394">
        <v>15.546200000000001</v>
      </c>
      <c r="AC2544" s="394">
        <v>14.418139999999999</v>
      </c>
      <c r="AD2544" s="394"/>
      <c r="AE2544" s="394"/>
      <c r="AF2544" s="394">
        <v>0</v>
      </c>
      <c r="AG2544" s="394">
        <v>0</v>
      </c>
      <c r="AH2544" s="394">
        <v>0.58123999999999998</v>
      </c>
      <c r="AI2544" s="394">
        <v>14.418139999999999</v>
      </c>
      <c r="AJ2544" s="394"/>
      <c r="AK2544" s="381" t="s">
        <v>167</v>
      </c>
      <c r="AL2544" s="408" t="s">
        <v>175</v>
      </c>
      <c r="AM2544" s="385"/>
      <c r="AN2544" s="475">
        <v>1336</v>
      </c>
      <c r="AO2544" s="395"/>
      <c r="AP2544" s="395">
        <f t="shared" si="1049"/>
        <v>18.03941</v>
      </c>
      <c r="AQ2544" s="393"/>
      <c r="AR2544" s="523"/>
      <c r="AS2544" s="497"/>
      <c r="AT2544" s="573"/>
      <c r="AU2544" s="394"/>
      <c r="AV2544" s="394"/>
      <c r="AW2544" s="394"/>
      <c r="AX2544" s="394"/>
      <c r="AY2544" s="394"/>
      <c r="AZ2544" s="394"/>
      <c r="BA2544" s="394"/>
      <c r="BB2544" s="394"/>
      <c r="BC2544" s="394"/>
      <c r="BD2544" s="381"/>
      <c r="BE2544" s="408"/>
      <c r="BF2544" s="385"/>
      <c r="BG2544" s="475"/>
      <c r="BH2544" s="395"/>
      <c r="BI2544" s="395" t="e">
        <f t="shared" si="1051"/>
        <v>#DIV/0!</v>
      </c>
    </row>
    <row r="2545" spans="1:61" s="358" customFormat="1" ht="19.2" x14ac:dyDescent="0.3">
      <c r="A2545" s="359" t="s">
        <v>2186</v>
      </c>
      <c r="B2545" s="572" t="s">
        <v>4184</v>
      </c>
      <c r="C2545" s="546" t="s">
        <v>3319</v>
      </c>
      <c r="D2545" s="360">
        <v>0.4</v>
      </c>
      <c r="E2545" s="393"/>
      <c r="F2545" s="523"/>
      <c r="G2545" s="393"/>
      <c r="H2545" s="573"/>
      <c r="I2545" s="394"/>
      <c r="J2545" s="394"/>
      <c r="K2545" s="394"/>
      <c r="L2545" s="394"/>
      <c r="M2545" s="394"/>
      <c r="N2545" s="394"/>
      <c r="O2545" s="394"/>
      <c r="P2545" s="394"/>
      <c r="Q2545" s="394"/>
      <c r="R2545" s="381"/>
      <c r="S2545" s="408"/>
      <c r="T2545" s="385"/>
      <c r="U2545" s="475"/>
      <c r="V2545" s="395"/>
      <c r="W2545" s="395"/>
      <c r="X2545" s="393"/>
      <c r="Y2545" s="523">
        <v>1</v>
      </c>
      <c r="Z2545" s="497"/>
      <c r="AA2545" s="573">
        <v>18.039400000000001</v>
      </c>
      <c r="AB2545" s="394">
        <v>15.546189999999999</v>
      </c>
      <c r="AC2545" s="394">
        <v>14.418139999999999</v>
      </c>
      <c r="AD2545" s="394"/>
      <c r="AE2545" s="394"/>
      <c r="AF2545" s="394">
        <v>0</v>
      </c>
      <c r="AG2545" s="394">
        <v>0</v>
      </c>
      <c r="AH2545" s="394">
        <v>0.58123999999999998</v>
      </c>
      <c r="AI2545" s="394">
        <v>14.418139999999999</v>
      </c>
      <c r="AJ2545" s="394"/>
      <c r="AK2545" s="381" t="s">
        <v>167</v>
      </c>
      <c r="AL2545" s="408" t="s">
        <v>175</v>
      </c>
      <c r="AM2545" s="385"/>
      <c r="AN2545" s="475">
        <v>1337</v>
      </c>
      <c r="AO2545" s="395"/>
      <c r="AP2545" s="395">
        <f t="shared" si="1049"/>
        <v>18.039400000000001</v>
      </c>
      <c r="AQ2545" s="393"/>
      <c r="AR2545" s="523"/>
      <c r="AS2545" s="497"/>
      <c r="AT2545" s="573"/>
      <c r="AU2545" s="394"/>
      <c r="AV2545" s="394"/>
      <c r="AW2545" s="394"/>
      <c r="AX2545" s="394"/>
      <c r="AY2545" s="394"/>
      <c r="AZ2545" s="394"/>
      <c r="BA2545" s="394"/>
      <c r="BB2545" s="394"/>
      <c r="BC2545" s="394"/>
      <c r="BD2545" s="381"/>
      <c r="BE2545" s="408"/>
      <c r="BF2545" s="385"/>
      <c r="BG2545" s="475"/>
      <c r="BH2545" s="395"/>
      <c r="BI2545" s="395" t="e">
        <f t="shared" si="1051"/>
        <v>#DIV/0!</v>
      </c>
    </row>
    <row r="2546" spans="1:61" s="358" customFormat="1" ht="19.2" x14ac:dyDescent="0.3">
      <c r="A2546" s="359" t="s">
        <v>2171</v>
      </c>
      <c r="B2546" s="572" t="s">
        <v>4185</v>
      </c>
      <c r="C2546" s="546" t="s">
        <v>3320</v>
      </c>
      <c r="D2546" s="360">
        <v>0.4</v>
      </c>
      <c r="E2546" s="393"/>
      <c r="F2546" s="523"/>
      <c r="G2546" s="393"/>
      <c r="H2546" s="573"/>
      <c r="I2546" s="394"/>
      <c r="J2546" s="394"/>
      <c r="K2546" s="394"/>
      <c r="L2546" s="394"/>
      <c r="M2546" s="394"/>
      <c r="N2546" s="394"/>
      <c r="O2546" s="394"/>
      <c r="P2546" s="394"/>
      <c r="Q2546" s="394"/>
      <c r="R2546" s="381"/>
      <c r="S2546" s="408"/>
      <c r="T2546" s="385"/>
      <c r="U2546" s="475"/>
      <c r="V2546" s="395"/>
      <c r="W2546" s="395"/>
      <c r="X2546" s="393"/>
      <c r="Y2546" s="523">
        <v>1</v>
      </c>
      <c r="Z2546" s="497"/>
      <c r="AA2546" s="573">
        <v>18.03942</v>
      </c>
      <c r="AB2546" s="394">
        <v>15.54621</v>
      </c>
      <c r="AC2546" s="394">
        <v>14.418139999999999</v>
      </c>
      <c r="AD2546" s="394"/>
      <c r="AE2546" s="394"/>
      <c r="AF2546" s="394">
        <v>0</v>
      </c>
      <c r="AG2546" s="394">
        <v>0</v>
      </c>
      <c r="AH2546" s="394">
        <v>0.58123999999999998</v>
      </c>
      <c r="AI2546" s="394">
        <v>14.418139999999999</v>
      </c>
      <c r="AJ2546" s="394"/>
      <c r="AK2546" s="381" t="s">
        <v>167</v>
      </c>
      <c r="AL2546" s="408" t="s">
        <v>175</v>
      </c>
      <c r="AM2546" s="385"/>
      <c r="AN2546" s="475">
        <v>1338</v>
      </c>
      <c r="AO2546" s="395"/>
      <c r="AP2546" s="395">
        <f t="shared" si="1049"/>
        <v>18.03942</v>
      </c>
      <c r="AQ2546" s="393"/>
      <c r="AR2546" s="523"/>
      <c r="AS2546" s="497"/>
      <c r="AT2546" s="573"/>
      <c r="AU2546" s="394"/>
      <c r="AV2546" s="394"/>
      <c r="AW2546" s="394"/>
      <c r="AX2546" s="394"/>
      <c r="AY2546" s="394"/>
      <c r="AZ2546" s="394"/>
      <c r="BA2546" s="394"/>
      <c r="BB2546" s="394"/>
      <c r="BC2546" s="394"/>
      <c r="BD2546" s="381"/>
      <c r="BE2546" s="408"/>
      <c r="BF2546" s="385"/>
      <c r="BG2546" s="475"/>
      <c r="BH2546" s="395"/>
      <c r="BI2546" s="395" t="e">
        <f t="shared" si="1051"/>
        <v>#DIV/0!</v>
      </c>
    </row>
    <row r="2547" spans="1:61" s="358" customFormat="1" ht="19.2" x14ac:dyDescent="0.3">
      <c r="A2547" s="359" t="s">
        <v>2188</v>
      </c>
      <c r="B2547" s="572" t="s">
        <v>4186</v>
      </c>
      <c r="C2547" s="546" t="s">
        <v>3321</v>
      </c>
      <c r="D2547" s="360">
        <v>0.4</v>
      </c>
      <c r="E2547" s="393"/>
      <c r="F2547" s="523"/>
      <c r="G2547" s="393"/>
      <c r="H2547" s="573"/>
      <c r="I2547" s="394"/>
      <c r="J2547" s="394"/>
      <c r="K2547" s="394"/>
      <c r="L2547" s="394"/>
      <c r="M2547" s="394"/>
      <c r="N2547" s="394"/>
      <c r="O2547" s="394"/>
      <c r="P2547" s="394"/>
      <c r="Q2547" s="394"/>
      <c r="R2547" s="381"/>
      <c r="S2547" s="408"/>
      <c r="T2547" s="385"/>
      <c r="U2547" s="475"/>
      <c r="V2547" s="395"/>
      <c r="W2547" s="395"/>
      <c r="X2547" s="393"/>
      <c r="Y2547" s="523">
        <v>1</v>
      </c>
      <c r="Z2547" s="497"/>
      <c r="AA2547" s="573">
        <v>18.03941</v>
      </c>
      <c r="AB2547" s="394">
        <v>15.546200000000001</v>
      </c>
      <c r="AC2547" s="394">
        <v>14.418139999999999</v>
      </c>
      <c r="AD2547" s="394"/>
      <c r="AE2547" s="394"/>
      <c r="AF2547" s="394">
        <v>0</v>
      </c>
      <c r="AG2547" s="394">
        <v>0</v>
      </c>
      <c r="AH2547" s="394">
        <v>0.58123999999999998</v>
      </c>
      <c r="AI2547" s="394">
        <v>14.418139999999999</v>
      </c>
      <c r="AJ2547" s="394"/>
      <c r="AK2547" s="381" t="s">
        <v>167</v>
      </c>
      <c r="AL2547" s="408" t="s">
        <v>175</v>
      </c>
      <c r="AM2547" s="385"/>
      <c r="AN2547" s="475">
        <v>1339</v>
      </c>
      <c r="AO2547" s="395"/>
      <c r="AP2547" s="395">
        <f t="shared" si="1049"/>
        <v>18.03941</v>
      </c>
      <c r="AQ2547" s="393"/>
      <c r="AR2547" s="523"/>
      <c r="AS2547" s="497"/>
      <c r="AT2547" s="573"/>
      <c r="AU2547" s="394"/>
      <c r="AV2547" s="394"/>
      <c r="AW2547" s="394"/>
      <c r="AX2547" s="394"/>
      <c r="AY2547" s="394"/>
      <c r="AZ2547" s="394"/>
      <c r="BA2547" s="394"/>
      <c r="BB2547" s="394"/>
      <c r="BC2547" s="394"/>
      <c r="BD2547" s="381"/>
      <c r="BE2547" s="408"/>
      <c r="BF2547" s="385"/>
      <c r="BG2547" s="475"/>
      <c r="BH2547" s="395"/>
      <c r="BI2547" s="395" t="e">
        <f t="shared" si="1051"/>
        <v>#DIV/0!</v>
      </c>
    </row>
    <row r="2548" spans="1:61" s="358" customFormat="1" ht="19.2" x14ac:dyDescent="0.3">
      <c r="A2548" s="359" t="s">
        <v>2189</v>
      </c>
      <c r="B2548" s="572" t="s">
        <v>4187</v>
      </c>
      <c r="C2548" s="546" t="s">
        <v>3322</v>
      </c>
      <c r="D2548" s="360">
        <v>0.4</v>
      </c>
      <c r="E2548" s="393"/>
      <c r="F2548" s="523"/>
      <c r="G2548" s="393"/>
      <c r="H2548" s="573"/>
      <c r="I2548" s="394"/>
      <c r="J2548" s="394"/>
      <c r="K2548" s="394"/>
      <c r="L2548" s="394"/>
      <c r="M2548" s="394"/>
      <c r="N2548" s="394"/>
      <c r="O2548" s="394"/>
      <c r="P2548" s="394"/>
      <c r="Q2548" s="394"/>
      <c r="R2548" s="381"/>
      <c r="S2548" s="408"/>
      <c r="T2548" s="385"/>
      <c r="U2548" s="475"/>
      <c r="V2548" s="395"/>
      <c r="W2548" s="395"/>
      <c r="X2548" s="393"/>
      <c r="Y2548" s="523">
        <v>1</v>
      </c>
      <c r="Z2548" s="497"/>
      <c r="AA2548" s="573">
        <v>18.039390000000001</v>
      </c>
      <c r="AB2548" s="394">
        <v>15.54618</v>
      </c>
      <c r="AC2548" s="394">
        <v>14.418139999999999</v>
      </c>
      <c r="AD2548" s="394"/>
      <c r="AE2548" s="394"/>
      <c r="AF2548" s="394">
        <v>0</v>
      </c>
      <c r="AG2548" s="394">
        <v>0</v>
      </c>
      <c r="AH2548" s="394">
        <v>0.58123999999999998</v>
      </c>
      <c r="AI2548" s="394">
        <v>14.418139999999999</v>
      </c>
      <c r="AJ2548" s="394"/>
      <c r="AK2548" s="381" t="s">
        <v>167</v>
      </c>
      <c r="AL2548" s="408" t="s">
        <v>175</v>
      </c>
      <c r="AM2548" s="385"/>
      <c r="AN2548" s="475">
        <v>1340</v>
      </c>
      <c r="AO2548" s="395"/>
      <c r="AP2548" s="395">
        <f t="shared" si="1049"/>
        <v>18.039390000000001</v>
      </c>
      <c r="AQ2548" s="393"/>
      <c r="AR2548" s="523"/>
      <c r="AS2548" s="497"/>
      <c r="AT2548" s="573"/>
      <c r="AU2548" s="394"/>
      <c r="AV2548" s="394"/>
      <c r="AW2548" s="394"/>
      <c r="AX2548" s="394"/>
      <c r="AY2548" s="394"/>
      <c r="AZ2548" s="394"/>
      <c r="BA2548" s="394"/>
      <c r="BB2548" s="394"/>
      <c r="BC2548" s="394"/>
      <c r="BD2548" s="381"/>
      <c r="BE2548" s="408"/>
      <c r="BF2548" s="385"/>
      <c r="BG2548" s="475"/>
      <c r="BH2548" s="395"/>
      <c r="BI2548" s="395" t="e">
        <f t="shared" si="1051"/>
        <v>#DIV/0!</v>
      </c>
    </row>
    <row r="2549" spans="1:61" s="358" customFormat="1" ht="19.2" x14ac:dyDescent="0.3">
      <c r="A2549" s="359" t="s">
        <v>2190</v>
      </c>
      <c r="B2549" s="572" t="s">
        <v>4188</v>
      </c>
      <c r="C2549" s="546" t="s">
        <v>3323</v>
      </c>
      <c r="D2549" s="360">
        <v>0.4</v>
      </c>
      <c r="E2549" s="393"/>
      <c r="F2549" s="523"/>
      <c r="G2549" s="393"/>
      <c r="H2549" s="573"/>
      <c r="I2549" s="394"/>
      <c r="J2549" s="394"/>
      <c r="K2549" s="394"/>
      <c r="L2549" s="394"/>
      <c r="M2549" s="394"/>
      <c r="N2549" s="394"/>
      <c r="O2549" s="394"/>
      <c r="P2549" s="394"/>
      <c r="Q2549" s="394"/>
      <c r="R2549" s="381"/>
      <c r="S2549" s="408"/>
      <c r="T2549" s="385"/>
      <c r="U2549" s="475"/>
      <c r="V2549" s="395"/>
      <c r="W2549" s="395"/>
      <c r="X2549" s="393"/>
      <c r="Y2549" s="523">
        <v>1</v>
      </c>
      <c r="Z2549" s="497"/>
      <c r="AA2549" s="573">
        <v>18.03941</v>
      </c>
      <c r="AB2549" s="394">
        <v>15.546200000000001</v>
      </c>
      <c r="AC2549" s="394">
        <v>14.418139999999999</v>
      </c>
      <c r="AD2549" s="394"/>
      <c r="AE2549" s="394"/>
      <c r="AF2549" s="394">
        <v>0</v>
      </c>
      <c r="AG2549" s="394">
        <v>0</v>
      </c>
      <c r="AH2549" s="394">
        <v>0.58123999999999998</v>
      </c>
      <c r="AI2549" s="394">
        <v>14.418139999999999</v>
      </c>
      <c r="AJ2549" s="394"/>
      <c r="AK2549" s="381" t="s">
        <v>167</v>
      </c>
      <c r="AL2549" s="408" t="s">
        <v>175</v>
      </c>
      <c r="AM2549" s="385"/>
      <c r="AN2549" s="475">
        <v>1341</v>
      </c>
      <c r="AO2549" s="395"/>
      <c r="AP2549" s="395">
        <f t="shared" si="1049"/>
        <v>18.03941</v>
      </c>
      <c r="AQ2549" s="393"/>
      <c r="AR2549" s="523"/>
      <c r="AS2549" s="497"/>
      <c r="AT2549" s="573"/>
      <c r="AU2549" s="394"/>
      <c r="AV2549" s="394"/>
      <c r="AW2549" s="394"/>
      <c r="AX2549" s="394"/>
      <c r="AY2549" s="394"/>
      <c r="AZ2549" s="394"/>
      <c r="BA2549" s="394"/>
      <c r="BB2549" s="394"/>
      <c r="BC2549" s="394"/>
      <c r="BD2549" s="381"/>
      <c r="BE2549" s="408"/>
      <c r="BF2549" s="385"/>
      <c r="BG2549" s="475"/>
      <c r="BH2549" s="395"/>
      <c r="BI2549" s="395" t="e">
        <f t="shared" si="1051"/>
        <v>#DIV/0!</v>
      </c>
    </row>
    <row r="2550" spans="1:61" s="358" customFormat="1" ht="19.2" x14ac:dyDescent="0.3">
      <c r="A2550" s="359" t="s">
        <v>2191</v>
      </c>
      <c r="B2550" s="572" t="s">
        <v>4189</v>
      </c>
      <c r="C2550" s="546" t="s">
        <v>3324</v>
      </c>
      <c r="D2550" s="360">
        <v>0.4</v>
      </c>
      <c r="E2550" s="393"/>
      <c r="F2550" s="523"/>
      <c r="G2550" s="393"/>
      <c r="H2550" s="573"/>
      <c r="I2550" s="394"/>
      <c r="J2550" s="394"/>
      <c r="K2550" s="394"/>
      <c r="L2550" s="394"/>
      <c r="M2550" s="394"/>
      <c r="N2550" s="394"/>
      <c r="O2550" s="394"/>
      <c r="P2550" s="394"/>
      <c r="Q2550" s="394"/>
      <c r="R2550" s="381"/>
      <c r="S2550" s="408"/>
      <c r="T2550" s="385"/>
      <c r="U2550" s="475"/>
      <c r="V2550" s="395"/>
      <c r="W2550" s="395"/>
      <c r="X2550" s="393"/>
      <c r="Y2550" s="523">
        <v>1</v>
      </c>
      <c r="Z2550" s="497"/>
      <c r="AA2550" s="573">
        <v>18.03941</v>
      </c>
      <c r="AB2550" s="394">
        <v>15.546200000000001</v>
      </c>
      <c r="AC2550" s="394">
        <v>14.418139999999999</v>
      </c>
      <c r="AD2550" s="394"/>
      <c r="AE2550" s="394"/>
      <c r="AF2550" s="394">
        <v>0</v>
      </c>
      <c r="AG2550" s="394">
        <v>0</v>
      </c>
      <c r="AH2550" s="394">
        <v>0.58123999999999998</v>
      </c>
      <c r="AI2550" s="394">
        <v>14.418139999999999</v>
      </c>
      <c r="AJ2550" s="394"/>
      <c r="AK2550" s="381" t="s">
        <v>167</v>
      </c>
      <c r="AL2550" s="408" t="s">
        <v>175</v>
      </c>
      <c r="AM2550" s="385"/>
      <c r="AN2550" s="475">
        <v>1342</v>
      </c>
      <c r="AO2550" s="395"/>
      <c r="AP2550" s="395">
        <f t="shared" si="1049"/>
        <v>18.03941</v>
      </c>
      <c r="AQ2550" s="393"/>
      <c r="AR2550" s="523"/>
      <c r="AS2550" s="497"/>
      <c r="AT2550" s="573"/>
      <c r="AU2550" s="394"/>
      <c r="AV2550" s="394"/>
      <c r="AW2550" s="394"/>
      <c r="AX2550" s="394"/>
      <c r="AY2550" s="394"/>
      <c r="AZ2550" s="394"/>
      <c r="BA2550" s="394"/>
      <c r="BB2550" s="394"/>
      <c r="BC2550" s="394"/>
      <c r="BD2550" s="381"/>
      <c r="BE2550" s="408"/>
      <c r="BF2550" s="385"/>
      <c r="BG2550" s="475"/>
      <c r="BH2550" s="395"/>
      <c r="BI2550" s="395" t="e">
        <f t="shared" si="1051"/>
        <v>#DIV/0!</v>
      </c>
    </row>
    <row r="2551" spans="1:61" s="358" customFormat="1" ht="19.2" x14ac:dyDescent="0.3">
      <c r="A2551" s="359" t="s">
        <v>2192</v>
      </c>
      <c r="B2551" s="572" t="s">
        <v>2523</v>
      </c>
      <c r="C2551" s="546" t="s">
        <v>2522</v>
      </c>
      <c r="D2551" s="360">
        <v>0.4</v>
      </c>
      <c r="E2551" s="393"/>
      <c r="F2551" s="523"/>
      <c r="G2551" s="393"/>
      <c r="H2551" s="573"/>
      <c r="I2551" s="394"/>
      <c r="J2551" s="394"/>
      <c r="K2551" s="394"/>
      <c r="L2551" s="394"/>
      <c r="M2551" s="394"/>
      <c r="N2551" s="394"/>
      <c r="O2551" s="394"/>
      <c r="P2551" s="394"/>
      <c r="Q2551" s="394"/>
      <c r="R2551" s="381"/>
      <c r="S2551" s="408"/>
      <c r="T2551" s="385"/>
      <c r="U2551" s="475"/>
      <c r="V2551" s="395"/>
      <c r="W2551" s="395"/>
      <c r="X2551" s="393"/>
      <c r="Y2551" s="523">
        <v>1</v>
      </c>
      <c r="Z2551" s="497"/>
      <c r="AA2551" s="573">
        <v>18.03942</v>
      </c>
      <c r="AB2551" s="394">
        <v>15.5463</v>
      </c>
      <c r="AC2551" s="394">
        <v>14.418139999999999</v>
      </c>
      <c r="AD2551" s="394"/>
      <c r="AE2551" s="394"/>
      <c r="AF2551" s="394">
        <v>0</v>
      </c>
      <c r="AG2551" s="394">
        <v>0</v>
      </c>
      <c r="AH2551" s="394">
        <v>0.58123999999999998</v>
      </c>
      <c r="AI2551" s="394">
        <v>14.418139999999999</v>
      </c>
      <c r="AJ2551" s="394"/>
      <c r="AK2551" s="381" t="s">
        <v>167</v>
      </c>
      <c r="AL2551" s="408" t="s">
        <v>175</v>
      </c>
      <c r="AM2551" s="385"/>
      <c r="AN2551" s="475">
        <v>1343</v>
      </c>
      <c r="AO2551" s="395"/>
      <c r="AP2551" s="395">
        <f t="shared" si="1049"/>
        <v>18.03942</v>
      </c>
      <c r="AQ2551" s="393"/>
      <c r="AR2551" s="523"/>
      <c r="AS2551" s="497"/>
      <c r="AT2551" s="573"/>
      <c r="AU2551" s="394"/>
      <c r="AV2551" s="394"/>
      <c r="AW2551" s="394"/>
      <c r="AX2551" s="394"/>
      <c r="AY2551" s="394"/>
      <c r="AZ2551" s="394"/>
      <c r="BA2551" s="394"/>
      <c r="BB2551" s="394"/>
      <c r="BC2551" s="394"/>
      <c r="BD2551" s="381"/>
      <c r="BE2551" s="408"/>
      <c r="BF2551" s="385"/>
      <c r="BG2551" s="475"/>
      <c r="BH2551" s="395"/>
      <c r="BI2551" s="395" t="e">
        <f t="shared" si="1051"/>
        <v>#DIV/0!</v>
      </c>
    </row>
    <row r="2552" spans="1:61" s="358" customFormat="1" ht="19.2" x14ac:dyDescent="0.3">
      <c r="A2552" s="359" t="s">
        <v>2193</v>
      </c>
      <c r="B2552" s="572" t="s">
        <v>4190</v>
      </c>
      <c r="C2552" s="546" t="s">
        <v>3325</v>
      </c>
      <c r="D2552" s="360">
        <v>0.4</v>
      </c>
      <c r="E2552" s="393"/>
      <c r="F2552" s="523"/>
      <c r="G2552" s="393"/>
      <c r="H2552" s="573"/>
      <c r="I2552" s="394"/>
      <c r="J2552" s="394"/>
      <c r="K2552" s="394"/>
      <c r="L2552" s="394"/>
      <c r="M2552" s="394"/>
      <c r="N2552" s="394"/>
      <c r="O2552" s="394"/>
      <c r="P2552" s="394"/>
      <c r="Q2552" s="394"/>
      <c r="R2552" s="381"/>
      <c r="S2552" s="408"/>
      <c r="T2552" s="385"/>
      <c r="U2552" s="475"/>
      <c r="V2552" s="395"/>
      <c r="W2552" s="395"/>
      <c r="X2552" s="393"/>
      <c r="Y2552" s="523">
        <v>1</v>
      </c>
      <c r="Z2552" s="497"/>
      <c r="AA2552" s="573">
        <v>18.039400000000001</v>
      </c>
      <c r="AB2552" s="394">
        <v>15.546189999999999</v>
      </c>
      <c r="AC2552" s="394">
        <v>14.418139999999999</v>
      </c>
      <c r="AD2552" s="394"/>
      <c r="AE2552" s="394"/>
      <c r="AF2552" s="394">
        <v>0</v>
      </c>
      <c r="AG2552" s="394">
        <v>0</v>
      </c>
      <c r="AH2552" s="394">
        <v>0.58123999999999998</v>
      </c>
      <c r="AI2552" s="394">
        <v>14.418139999999999</v>
      </c>
      <c r="AJ2552" s="394"/>
      <c r="AK2552" s="381" t="s">
        <v>167</v>
      </c>
      <c r="AL2552" s="408" t="s">
        <v>175</v>
      </c>
      <c r="AM2552" s="385"/>
      <c r="AN2552" s="475">
        <v>1344</v>
      </c>
      <c r="AO2552" s="395"/>
      <c r="AP2552" s="395">
        <f t="shared" si="1049"/>
        <v>18.039400000000001</v>
      </c>
      <c r="AQ2552" s="393"/>
      <c r="AR2552" s="523"/>
      <c r="AS2552" s="497"/>
      <c r="AT2552" s="573"/>
      <c r="AU2552" s="394"/>
      <c r="AV2552" s="394"/>
      <c r="AW2552" s="394"/>
      <c r="AX2552" s="394"/>
      <c r="AY2552" s="394"/>
      <c r="AZ2552" s="394"/>
      <c r="BA2552" s="394"/>
      <c r="BB2552" s="394"/>
      <c r="BC2552" s="394"/>
      <c r="BD2552" s="381"/>
      <c r="BE2552" s="408"/>
      <c r="BF2552" s="385"/>
      <c r="BG2552" s="475"/>
      <c r="BH2552" s="395"/>
      <c r="BI2552" s="395" t="e">
        <f t="shared" si="1051"/>
        <v>#DIV/0!</v>
      </c>
    </row>
    <row r="2553" spans="1:61" s="358" customFormat="1" ht="19.2" x14ac:dyDescent="0.3">
      <c r="A2553" s="359" t="s">
        <v>2194</v>
      </c>
      <c r="B2553" s="572" t="s">
        <v>4191</v>
      </c>
      <c r="C2553" s="546" t="s">
        <v>3326</v>
      </c>
      <c r="D2553" s="360">
        <v>0.4</v>
      </c>
      <c r="E2553" s="393"/>
      <c r="F2553" s="523"/>
      <c r="G2553" s="393"/>
      <c r="H2553" s="573"/>
      <c r="I2553" s="394"/>
      <c r="J2553" s="394"/>
      <c r="K2553" s="394"/>
      <c r="L2553" s="394"/>
      <c r="M2553" s="394"/>
      <c r="N2553" s="394"/>
      <c r="O2553" s="394"/>
      <c r="P2553" s="394"/>
      <c r="Q2553" s="394"/>
      <c r="R2553" s="381"/>
      <c r="S2553" s="408"/>
      <c r="T2553" s="385"/>
      <c r="U2553" s="475"/>
      <c r="V2553" s="395"/>
      <c r="W2553" s="395"/>
      <c r="X2553" s="393"/>
      <c r="Y2553" s="523">
        <v>1</v>
      </c>
      <c r="Z2553" s="497"/>
      <c r="AA2553" s="573">
        <v>18.039400000000001</v>
      </c>
      <c r="AB2553" s="394">
        <v>15.546189999999999</v>
      </c>
      <c r="AC2553" s="394">
        <v>14.418139999999999</v>
      </c>
      <c r="AD2553" s="394"/>
      <c r="AE2553" s="394"/>
      <c r="AF2553" s="394">
        <v>0</v>
      </c>
      <c r="AG2553" s="394">
        <v>0</v>
      </c>
      <c r="AH2553" s="394">
        <v>0.58123999999999998</v>
      </c>
      <c r="AI2553" s="394">
        <v>14.418139999999999</v>
      </c>
      <c r="AJ2553" s="394"/>
      <c r="AK2553" s="381" t="s">
        <v>167</v>
      </c>
      <c r="AL2553" s="408" t="s">
        <v>175</v>
      </c>
      <c r="AM2553" s="385"/>
      <c r="AN2553" s="475">
        <v>1345</v>
      </c>
      <c r="AO2553" s="395"/>
      <c r="AP2553" s="395">
        <f t="shared" si="1049"/>
        <v>18.039400000000001</v>
      </c>
      <c r="AQ2553" s="393"/>
      <c r="AR2553" s="523"/>
      <c r="AS2553" s="497"/>
      <c r="AT2553" s="573"/>
      <c r="AU2553" s="394"/>
      <c r="AV2553" s="394"/>
      <c r="AW2553" s="394"/>
      <c r="AX2553" s="394"/>
      <c r="AY2553" s="394"/>
      <c r="AZ2553" s="394"/>
      <c r="BA2553" s="394"/>
      <c r="BB2553" s="394"/>
      <c r="BC2553" s="394"/>
      <c r="BD2553" s="381"/>
      <c r="BE2553" s="408"/>
      <c r="BF2553" s="385"/>
      <c r="BG2553" s="475"/>
      <c r="BH2553" s="395"/>
      <c r="BI2553" s="395" t="e">
        <f t="shared" si="1051"/>
        <v>#DIV/0!</v>
      </c>
    </row>
    <row r="2554" spans="1:61" s="358" customFormat="1" ht="19.2" x14ac:dyDescent="0.3">
      <c r="A2554" s="359" t="s">
        <v>2195</v>
      </c>
      <c r="B2554" s="572" t="s">
        <v>4192</v>
      </c>
      <c r="C2554" s="546" t="s">
        <v>3327</v>
      </c>
      <c r="D2554" s="360">
        <v>0.4</v>
      </c>
      <c r="E2554" s="393"/>
      <c r="F2554" s="523"/>
      <c r="G2554" s="393"/>
      <c r="H2554" s="573"/>
      <c r="I2554" s="394"/>
      <c r="J2554" s="394"/>
      <c r="K2554" s="394"/>
      <c r="L2554" s="394"/>
      <c r="M2554" s="394"/>
      <c r="N2554" s="394"/>
      <c r="O2554" s="394"/>
      <c r="P2554" s="394"/>
      <c r="Q2554" s="394"/>
      <c r="R2554" s="381"/>
      <c r="S2554" s="408"/>
      <c r="T2554" s="385"/>
      <c r="U2554" s="475"/>
      <c r="V2554" s="395"/>
      <c r="W2554" s="395"/>
      <c r="X2554" s="393"/>
      <c r="Y2554" s="523">
        <v>1</v>
      </c>
      <c r="Z2554" s="497"/>
      <c r="AA2554" s="573">
        <v>18.039400000000001</v>
      </c>
      <c r="AB2554" s="394">
        <v>15.546189999999999</v>
      </c>
      <c r="AC2554" s="394">
        <v>14.418139999999999</v>
      </c>
      <c r="AD2554" s="394"/>
      <c r="AE2554" s="394"/>
      <c r="AF2554" s="394">
        <v>0</v>
      </c>
      <c r="AG2554" s="394">
        <v>0</v>
      </c>
      <c r="AH2554" s="394">
        <v>0.58123999999999998</v>
      </c>
      <c r="AI2554" s="394">
        <v>14.418139999999999</v>
      </c>
      <c r="AJ2554" s="394"/>
      <c r="AK2554" s="381" t="s">
        <v>167</v>
      </c>
      <c r="AL2554" s="408" t="s">
        <v>175</v>
      </c>
      <c r="AM2554" s="385"/>
      <c r="AN2554" s="475">
        <v>1346</v>
      </c>
      <c r="AO2554" s="395"/>
      <c r="AP2554" s="395">
        <f t="shared" si="1049"/>
        <v>18.039400000000001</v>
      </c>
      <c r="AQ2554" s="393"/>
      <c r="AR2554" s="523"/>
      <c r="AS2554" s="497"/>
      <c r="AT2554" s="573"/>
      <c r="AU2554" s="394"/>
      <c r="AV2554" s="394"/>
      <c r="AW2554" s="394"/>
      <c r="AX2554" s="394"/>
      <c r="AY2554" s="394"/>
      <c r="AZ2554" s="394"/>
      <c r="BA2554" s="394"/>
      <c r="BB2554" s="394"/>
      <c r="BC2554" s="394"/>
      <c r="BD2554" s="381"/>
      <c r="BE2554" s="408"/>
      <c r="BF2554" s="385"/>
      <c r="BG2554" s="475"/>
      <c r="BH2554" s="395"/>
      <c r="BI2554" s="395" t="e">
        <f t="shared" si="1051"/>
        <v>#DIV/0!</v>
      </c>
    </row>
    <row r="2555" spans="1:61" s="358" customFormat="1" ht="19.2" x14ac:dyDescent="0.3">
      <c r="A2555" s="359" t="s">
        <v>2212</v>
      </c>
      <c r="B2555" s="572" t="s">
        <v>4193</v>
      </c>
      <c r="C2555" s="546" t="s">
        <v>3328</v>
      </c>
      <c r="D2555" s="360">
        <v>0.4</v>
      </c>
      <c r="E2555" s="393"/>
      <c r="F2555" s="523"/>
      <c r="G2555" s="393"/>
      <c r="H2555" s="573"/>
      <c r="I2555" s="394"/>
      <c r="J2555" s="394"/>
      <c r="K2555" s="394"/>
      <c r="L2555" s="394"/>
      <c r="M2555" s="394"/>
      <c r="N2555" s="394"/>
      <c r="O2555" s="394"/>
      <c r="P2555" s="394"/>
      <c r="Q2555" s="394"/>
      <c r="R2555" s="381"/>
      <c r="S2555" s="408"/>
      <c r="T2555" s="385"/>
      <c r="U2555" s="475"/>
      <c r="V2555" s="395"/>
      <c r="W2555" s="395"/>
      <c r="X2555" s="393"/>
      <c r="Y2555" s="523">
        <v>1</v>
      </c>
      <c r="Z2555" s="497"/>
      <c r="AA2555" s="573">
        <v>18.03941</v>
      </c>
      <c r="AB2555" s="394">
        <v>15.546200000000001</v>
      </c>
      <c r="AC2555" s="394">
        <v>14.418139999999999</v>
      </c>
      <c r="AD2555" s="394"/>
      <c r="AE2555" s="394"/>
      <c r="AF2555" s="394">
        <v>0</v>
      </c>
      <c r="AG2555" s="394">
        <v>0</v>
      </c>
      <c r="AH2555" s="394">
        <v>0.58123999999999998</v>
      </c>
      <c r="AI2555" s="394">
        <v>14.418139999999999</v>
      </c>
      <c r="AJ2555" s="394"/>
      <c r="AK2555" s="381" t="s">
        <v>167</v>
      </c>
      <c r="AL2555" s="408" t="s">
        <v>175</v>
      </c>
      <c r="AM2555" s="385"/>
      <c r="AN2555" s="475">
        <v>1347</v>
      </c>
      <c r="AO2555" s="395"/>
      <c r="AP2555" s="395">
        <f t="shared" si="1049"/>
        <v>18.03941</v>
      </c>
      <c r="AQ2555" s="393"/>
      <c r="AR2555" s="523"/>
      <c r="AS2555" s="497"/>
      <c r="AT2555" s="573"/>
      <c r="AU2555" s="394"/>
      <c r="AV2555" s="394"/>
      <c r="AW2555" s="394"/>
      <c r="AX2555" s="394"/>
      <c r="AY2555" s="394"/>
      <c r="AZ2555" s="394"/>
      <c r="BA2555" s="394"/>
      <c r="BB2555" s="394"/>
      <c r="BC2555" s="394"/>
      <c r="BD2555" s="381"/>
      <c r="BE2555" s="408"/>
      <c r="BF2555" s="385"/>
      <c r="BG2555" s="475"/>
      <c r="BH2555" s="395"/>
      <c r="BI2555" s="395" t="e">
        <f t="shared" si="1051"/>
        <v>#DIV/0!</v>
      </c>
    </row>
    <row r="2556" spans="1:61" s="358" customFormat="1" ht="19.2" x14ac:dyDescent="0.3">
      <c r="A2556" s="359" t="s">
        <v>2197</v>
      </c>
      <c r="B2556" s="572" t="s">
        <v>4194</v>
      </c>
      <c r="C2556" s="546" t="s">
        <v>3329</v>
      </c>
      <c r="D2556" s="360">
        <v>0.4</v>
      </c>
      <c r="E2556" s="393"/>
      <c r="F2556" s="523"/>
      <c r="G2556" s="393"/>
      <c r="H2556" s="573"/>
      <c r="I2556" s="394"/>
      <c r="J2556" s="394"/>
      <c r="K2556" s="394"/>
      <c r="L2556" s="394"/>
      <c r="M2556" s="394"/>
      <c r="N2556" s="394"/>
      <c r="O2556" s="394"/>
      <c r="P2556" s="394"/>
      <c r="Q2556" s="394"/>
      <c r="R2556" s="381"/>
      <c r="S2556" s="408"/>
      <c r="T2556" s="385"/>
      <c r="U2556" s="475"/>
      <c r="V2556" s="395"/>
      <c r="W2556" s="395"/>
      <c r="X2556" s="393"/>
      <c r="Y2556" s="523">
        <v>1</v>
      </c>
      <c r="Z2556" s="497"/>
      <c r="AA2556" s="573">
        <v>36.078800000000001</v>
      </c>
      <c r="AB2556" s="394">
        <v>31.092390000000002</v>
      </c>
      <c r="AC2556" s="394">
        <v>28.836279999999999</v>
      </c>
      <c r="AD2556" s="394"/>
      <c r="AE2556" s="394"/>
      <c r="AF2556" s="394">
        <v>0</v>
      </c>
      <c r="AG2556" s="394">
        <v>0</v>
      </c>
      <c r="AH2556" s="394">
        <v>1.1624699999999999</v>
      </c>
      <c r="AI2556" s="394">
        <v>14.418139999999999</v>
      </c>
      <c r="AJ2556" s="394"/>
      <c r="AK2556" s="381" t="s">
        <v>167</v>
      </c>
      <c r="AL2556" s="408" t="s">
        <v>175</v>
      </c>
      <c r="AM2556" s="385"/>
      <c r="AN2556" s="475">
        <v>1348</v>
      </c>
      <c r="AO2556" s="395"/>
      <c r="AP2556" s="395">
        <f t="shared" si="1049"/>
        <v>36.078800000000001</v>
      </c>
      <c r="AQ2556" s="393"/>
      <c r="AR2556" s="523"/>
      <c r="AS2556" s="497"/>
      <c r="AT2556" s="573"/>
      <c r="AU2556" s="394"/>
      <c r="AV2556" s="394"/>
      <c r="AW2556" s="394"/>
      <c r="AX2556" s="394"/>
      <c r="AY2556" s="394"/>
      <c r="AZ2556" s="394"/>
      <c r="BA2556" s="394"/>
      <c r="BB2556" s="394"/>
      <c r="BC2556" s="394"/>
      <c r="BD2556" s="381"/>
      <c r="BE2556" s="408"/>
      <c r="BF2556" s="385"/>
      <c r="BG2556" s="475"/>
      <c r="BH2556" s="395"/>
      <c r="BI2556" s="395" t="e">
        <f t="shared" si="1051"/>
        <v>#DIV/0!</v>
      </c>
    </row>
    <row r="2557" spans="1:61" s="358" customFormat="1" ht="19.2" x14ac:dyDescent="0.3">
      <c r="A2557" s="359" t="s">
        <v>2198</v>
      </c>
      <c r="B2557" s="572" t="s">
        <v>4195</v>
      </c>
      <c r="C2557" s="546" t="s">
        <v>3330</v>
      </c>
      <c r="D2557" s="360">
        <v>0.4</v>
      </c>
      <c r="E2557" s="393"/>
      <c r="F2557" s="523"/>
      <c r="G2557" s="393"/>
      <c r="H2557" s="573"/>
      <c r="I2557" s="394"/>
      <c r="J2557" s="394"/>
      <c r="K2557" s="394"/>
      <c r="L2557" s="394"/>
      <c r="M2557" s="394"/>
      <c r="N2557" s="394"/>
      <c r="O2557" s="394"/>
      <c r="P2557" s="394"/>
      <c r="Q2557" s="394"/>
      <c r="R2557" s="381"/>
      <c r="S2557" s="408"/>
      <c r="T2557" s="385"/>
      <c r="U2557" s="475"/>
      <c r="V2557" s="395"/>
      <c r="W2557" s="395"/>
      <c r="X2557" s="393"/>
      <c r="Y2557" s="523">
        <v>1</v>
      </c>
      <c r="Z2557" s="497"/>
      <c r="AA2557" s="573">
        <v>18.03941</v>
      </c>
      <c r="AB2557" s="394">
        <v>15.546200000000001</v>
      </c>
      <c r="AC2557" s="394">
        <v>14.418139999999999</v>
      </c>
      <c r="AD2557" s="394"/>
      <c r="AE2557" s="394"/>
      <c r="AF2557" s="394">
        <v>0</v>
      </c>
      <c r="AG2557" s="394">
        <v>0</v>
      </c>
      <c r="AH2557" s="394">
        <v>0.58123999999999998</v>
      </c>
      <c r="AI2557" s="394">
        <v>14.418139999999999</v>
      </c>
      <c r="AJ2557" s="394"/>
      <c r="AK2557" s="381" t="s">
        <v>167</v>
      </c>
      <c r="AL2557" s="408" t="s">
        <v>175</v>
      </c>
      <c r="AM2557" s="385"/>
      <c r="AN2557" s="475">
        <v>1349</v>
      </c>
      <c r="AO2557" s="395"/>
      <c r="AP2557" s="395">
        <f t="shared" si="1049"/>
        <v>18.03941</v>
      </c>
      <c r="AQ2557" s="393"/>
      <c r="AR2557" s="523"/>
      <c r="AS2557" s="497"/>
      <c r="AT2557" s="573"/>
      <c r="AU2557" s="394"/>
      <c r="AV2557" s="394"/>
      <c r="AW2557" s="394"/>
      <c r="AX2557" s="394"/>
      <c r="AY2557" s="394"/>
      <c r="AZ2557" s="394"/>
      <c r="BA2557" s="394"/>
      <c r="BB2557" s="394"/>
      <c r="BC2557" s="394"/>
      <c r="BD2557" s="381"/>
      <c r="BE2557" s="408"/>
      <c r="BF2557" s="385"/>
      <c r="BG2557" s="475"/>
      <c r="BH2557" s="395"/>
      <c r="BI2557" s="395" t="e">
        <f t="shared" si="1051"/>
        <v>#DIV/0!</v>
      </c>
    </row>
    <row r="2558" spans="1:61" s="358" customFormat="1" ht="19.2" x14ac:dyDescent="0.3">
      <c r="A2558" s="359" t="s">
        <v>2199</v>
      </c>
      <c r="B2558" s="572" t="s">
        <v>4196</v>
      </c>
      <c r="C2558" s="546" t="s">
        <v>3331</v>
      </c>
      <c r="D2558" s="360">
        <v>0.4</v>
      </c>
      <c r="E2558" s="393"/>
      <c r="F2558" s="523"/>
      <c r="G2558" s="393"/>
      <c r="H2558" s="573"/>
      <c r="I2558" s="394"/>
      <c r="J2558" s="394"/>
      <c r="K2558" s="394"/>
      <c r="L2558" s="394"/>
      <c r="M2558" s="394"/>
      <c r="N2558" s="394"/>
      <c r="O2558" s="394"/>
      <c r="P2558" s="394"/>
      <c r="Q2558" s="394"/>
      <c r="R2558" s="381"/>
      <c r="S2558" s="408"/>
      <c r="T2558" s="385"/>
      <c r="U2558" s="475"/>
      <c r="V2558" s="395"/>
      <c r="W2558" s="395"/>
      <c r="X2558" s="393"/>
      <c r="Y2558" s="523">
        <v>1</v>
      </c>
      <c r="Z2558" s="497"/>
      <c r="AA2558" s="573">
        <v>18.039400000000001</v>
      </c>
      <c r="AB2558" s="394">
        <v>15.546189999999999</v>
      </c>
      <c r="AC2558" s="394">
        <v>14.418139999999999</v>
      </c>
      <c r="AD2558" s="394"/>
      <c r="AE2558" s="394"/>
      <c r="AF2558" s="394">
        <v>0</v>
      </c>
      <c r="AG2558" s="394">
        <v>0</v>
      </c>
      <c r="AH2558" s="394">
        <v>0.58123999999999998</v>
      </c>
      <c r="AI2558" s="394">
        <v>14.418139999999999</v>
      </c>
      <c r="AJ2558" s="394"/>
      <c r="AK2558" s="381" t="s">
        <v>167</v>
      </c>
      <c r="AL2558" s="408" t="s">
        <v>175</v>
      </c>
      <c r="AM2558" s="385"/>
      <c r="AN2558" s="475">
        <v>1350</v>
      </c>
      <c r="AO2558" s="395"/>
      <c r="AP2558" s="395">
        <f t="shared" si="1049"/>
        <v>18.039400000000001</v>
      </c>
      <c r="AQ2558" s="393"/>
      <c r="AR2558" s="523"/>
      <c r="AS2558" s="497"/>
      <c r="AT2558" s="573"/>
      <c r="AU2558" s="394"/>
      <c r="AV2558" s="394"/>
      <c r="AW2558" s="394"/>
      <c r="AX2558" s="394"/>
      <c r="AY2558" s="394"/>
      <c r="AZ2558" s="394"/>
      <c r="BA2558" s="394"/>
      <c r="BB2558" s="394"/>
      <c r="BC2558" s="394"/>
      <c r="BD2558" s="381"/>
      <c r="BE2558" s="408"/>
      <c r="BF2558" s="385"/>
      <c r="BG2558" s="475"/>
      <c r="BH2558" s="395"/>
      <c r="BI2558" s="395" t="e">
        <f t="shared" si="1051"/>
        <v>#DIV/0!</v>
      </c>
    </row>
    <row r="2559" spans="1:61" s="358" customFormat="1" ht="19.2" x14ac:dyDescent="0.3">
      <c r="A2559" s="359" t="s">
        <v>2216</v>
      </c>
      <c r="B2559" s="572" t="s">
        <v>4197</v>
      </c>
      <c r="C2559" s="546" t="s">
        <v>3332</v>
      </c>
      <c r="D2559" s="360">
        <v>0.4</v>
      </c>
      <c r="E2559" s="393"/>
      <c r="F2559" s="523"/>
      <c r="G2559" s="393"/>
      <c r="H2559" s="573"/>
      <c r="I2559" s="394"/>
      <c r="J2559" s="394"/>
      <c r="K2559" s="394"/>
      <c r="L2559" s="394"/>
      <c r="M2559" s="394"/>
      <c r="N2559" s="394"/>
      <c r="O2559" s="394"/>
      <c r="P2559" s="394"/>
      <c r="Q2559" s="394"/>
      <c r="R2559" s="381"/>
      <c r="S2559" s="408"/>
      <c r="T2559" s="385"/>
      <c r="U2559" s="475"/>
      <c r="V2559" s="395"/>
      <c r="W2559" s="395"/>
      <c r="X2559" s="393"/>
      <c r="Y2559" s="523">
        <v>1</v>
      </c>
      <c r="Z2559" s="497"/>
      <c r="AA2559" s="573">
        <v>18.039400000000001</v>
      </c>
      <c r="AB2559" s="394">
        <v>15.546189999999999</v>
      </c>
      <c r="AC2559" s="394">
        <v>14.418139999999999</v>
      </c>
      <c r="AD2559" s="394"/>
      <c r="AE2559" s="394"/>
      <c r="AF2559" s="394">
        <v>0</v>
      </c>
      <c r="AG2559" s="394">
        <v>0</v>
      </c>
      <c r="AH2559" s="394">
        <v>0.58123999999999998</v>
      </c>
      <c r="AI2559" s="394">
        <v>14.418139999999999</v>
      </c>
      <c r="AJ2559" s="394"/>
      <c r="AK2559" s="381" t="s">
        <v>167</v>
      </c>
      <c r="AL2559" s="408" t="s">
        <v>175</v>
      </c>
      <c r="AM2559" s="385"/>
      <c r="AN2559" s="475">
        <v>1351</v>
      </c>
      <c r="AO2559" s="395"/>
      <c r="AP2559" s="395">
        <f t="shared" si="1049"/>
        <v>18.039400000000001</v>
      </c>
      <c r="AQ2559" s="393"/>
      <c r="AR2559" s="523"/>
      <c r="AS2559" s="497"/>
      <c r="AT2559" s="573"/>
      <c r="AU2559" s="394"/>
      <c r="AV2559" s="394"/>
      <c r="AW2559" s="394"/>
      <c r="AX2559" s="394"/>
      <c r="AY2559" s="394"/>
      <c r="AZ2559" s="394"/>
      <c r="BA2559" s="394"/>
      <c r="BB2559" s="394"/>
      <c r="BC2559" s="394"/>
      <c r="BD2559" s="381"/>
      <c r="BE2559" s="408"/>
      <c r="BF2559" s="385"/>
      <c r="BG2559" s="475"/>
      <c r="BH2559" s="395"/>
      <c r="BI2559" s="395" t="e">
        <f t="shared" si="1051"/>
        <v>#DIV/0!</v>
      </c>
    </row>
    <row r="2560" spans="1:61" s="358" customFormat="1" ht="19.2" x14ac:dyDescent="0.3">
      <c r="A2560" s="359" t="s">
        <v>2201</v>
      </c>
      <c r="B2560" s="572" t="s">
        <v>4198</v>
      </c>
      <c r="C2560" s="546" t="s">
        <v>3333</v>
      </c>
      <c r="D2560" s="360">
        <v>0.4</v>
      </c>
      <c r="E2560" s="393"/>
      <c r="F2560" s="523"/>
      <c r="G2560" s="393"/>
      <c r="H2560" s="573"/>
      <c r="I2560" s="394"/>
      <c r="J2560" s="394"/>
      <c r="K2560" s="394"/>
      <c r="L2560" s="394"/>
      <c r="M2560" s="394"/>
      <c r="N2560" s="394"/>
      <c r="O2560" s="394"/>
      <c r="P2560" s="394"/>
      <c r="Q2560" s="394"/>
      <c r="R2560" s="381"/>
      <c r="S2560" s="408"/>
      <c r="T2560" s="385"/>
      <c r="U2560" s="475"/>
      <c r="V2560" s="395"/>
      <c r="W2560" s="395"/>
      <c r="X2560" s="393"/>
      <c r="Y2560" s="523">
        <v>1</v>
      </c>
      <c r="Z2560" s="497"/>
      <c r="AA2560" s="573">
        <v>18.039400000000001</v>
      </c>
      <c r="AB2560" s="394">
        <v>15.546189999999999</v>
      </c>
      <c r="AC2560" s="394">
        <v>14.418139999999999</v>
      </c>
      <c r="AD2560" s="394"/>
      <c r="AE2560" s="394"/>
      <c r="AF2560" s="394">
        <v>0</v>
      </c>
      <c r="AG2560" s="394">
        <v>0</v>
      </c>
      <c r="AH2560" s="394">
        <v>0.58123999999999998</v>
      </c>
      <c r="AI2560" s="394">
        <v>14.418139999999999</v>
      </c>
      <c r="AJ2560" s="394"/>
      <c r="AK2560" s="381" t="s">
        <v>167</v>
      </c>
      <c r="AL2560" s="408" t="s">
        <v>175</v>
      </c>
      <c r="AM2560" s="385"/>
      <c r="AN2560" s="475">
        <v>1352</v>
      </c>
      <c r="AO2560" s="395"/>
      <c r="AP2560" s="395">
        <f t="shared" si="1049"/>
        <v>18.039400000000001</v>
      </c>
      <c r="AQ2560" s="393"/>
      <c r="AR2560" s="523"/>
      <c r="AS2560" s="497"/>
      <c r="AT2560" s="573"/>
      <c r="AU2560" s="394"/>
      <c r="AV2560" s="394"/>
      <c r="AW2560" s="394"/>
      <c r="AX2560" s="394"/>
      <c r="AY2560" s="394"/>
      <c r="AZ2560" s="394"/>
      <c r="BA2560" s="394"/>
      <c r="BB2560" s="394"/>
      <c r="BC2560" s="394"/>
      <c r="BD2560" s="381"/>
      <c r="BE2560" s="408"/>
      <c r="BF2560" s="385"/>
      <c r="BG2560" s="475"/>
      <c r="BH2560" s="395"/>
      <c r="BI2560" s="395" t="e">
        <f t="shared" si="1051"/>
        <v>#DIV/0!</v>
      </c>
    </row>
    <row r="2561" spans="1:61" s="358" customFormat="1" ht="19.2" x14ac:dyDescent="0.3">
      <c r="A2561" s="359" t="s">
        <v>2202</v>
      </c>
      <c r="B2561" s="572" t="s">
        <v>4199</v>
      </c>
      <c r="C2561" s="546" t="s">
        <v>3334</v>
      </c>
      <c r="D2561" s="360">
        <v>0.4</v>
      </c>
      <c r="E2561" s="393"/>
      <c r="F2561" s="523"/>
      <c r="G2561" s="393"/>
      <c r="H2561" s="573"/>
      <c r="I2561" s="394"/>
      <c r="J2561" s="394"/>
      <c r="K2561" s="394"/>
      <c r="L2561" s="394"/>
      <c r="M2561" s="394"/>
      <c r="N2561" s="394"/>
      <c r="O2561" s="394"/>
      <c r="P2561" s="394"/>
      <c r="Q2561" s="394"/>
      <c r="R2561" s="381"/>
      <c r="S2561" s="408"/>
      <c r="T2561" s="385"/>
      <c r="U2561" s="475"/>
      <c r="V2561" s="395"/>
      <c r="W2561" s="395"/>
      <c r="X2561" s="393"/>
      <c r="Y2561" s="523">
        <v>1</v>
      </c>
      <c r="Z2561" s="497"/>
      <c r="AA2561" s="573">
        <v>18.039390000000001</v>
      </c>
      <c r="AB2561" s="394">
        <v>15.54618</v>
      </c>
      <c r="AC2561" s="394">
        <v>14.418139999999999</v>
      </c>
      <c r="AD2561" s="394"/>
      <c r="AE2561" s="394"/>
      <c r="AF2561" s="394">
        <v>0</v>
      </c>
      <c r="AG2561" s="394">
        <v>0</v>
      </c>
      <c r="AH2561" s="394">
        <v>0.58123999999999998</v>
      </c>
      <c r="AI2561" s="394">
        <v>14.418139999999999</v>
      </c>
      <c r="AJ2561" s="394"/>
      <c r="AK2561" s="381" t="s">
        <v>167</v>
      </c>
      <c r="AL2561" s="408" t="s">
        <v>175</v>
      </c>
      <c r="AM2561" s="385"/>
      <c r="AN2561" s="475">
        <v>1353</v>
      </c>
      <c r="AO2561" s="395"/>
      <c r="AP2561" s="395">
        <f t="shared" si="1049"/>
        <v>18.039390000000001</v>
      </c>
      <c r="AQ2561" s="393"/>
      <c r="AR2561" s="523"/>
      <c r="AS2561" s="497"/>
      <c r="AT2561" s="573"/>
      <c r="AU2561" s="394"/>
      <c r="AV2561" s="394"/>
      <c r="AW2561" s="394"/>
      <c r="AX2561" s="394"/>
      <c r="AY2561" s="394"/>
      <c r="AZ2561" s="394"/>
      <c r="BA2561" s="394"/>
      <c r="BB2561" s="394"/>
      <c r="BC2561" s="394"/>
      <c r="BD2561" s="381"/>
      <c r="BE2561" s="408"/>
      <c r="BF2561" s="385"/>
      <c r="BG2561" s="475"/>
      <c r="BH2561" s="395"/>
      <c r="BI2561" s="395" t="e">
        <f t="shared" si="1051"/>
        <v>#DIV/0!</v>
      </c>
    </row>
    <row r="2562" spans="1:61" s="358" customFormat="1" ht="19.2" x14ac:dyDescent="0.3">
      <c r="A2562" s="359" t="s">
        <v>2187</v>
      </c>
      <c r="B2562" s="572" t="s">
        <v>4200</v>
      </c>
      <c r="C2562" s="546" t="s">
        <v>3335</v>
      </c>
      <c r="D2562" s="360">
        <v>0.4</v>
      </c>
      <c r="E2562" s="393"/>
      <c r="F2562" s="523"/>
      <c r="G2562" s="393"/>
      <c r="H2562" s="573"/>
      <c r="I2562" s="394"/>
      <c r="J2562" s="394"/>
      <c r="K2562" s="394"/>
      <c r="L2562" s="394"/>
      <c r="M2562" s="394"/>
      <c r="N2562" s="394"/>
      <c r="O2562" s="394"/>
      <c r="P2562" s="394"/>
      <c r="Q2562" s="394"/>
      <c r="R2562" s="381"/>
      <c r="S2562" s="408"/>
      <c r="T2562" s="385"/>
      <c r="U2562" s="475"/>
      <c r="V2562" s="395"/>
      <c r="W2562" s="395"/>
      <c r="X2562" s="393"/>
      <c r="Y2562" s="523">
        <v>1</v>
      </c>
      <c r="Z2562" s="497"/>
      <c r="AA2562" s="573">
        <v>18.039390000000001</v>
      </c>
      <c r="AB2562" s="394">
        <v>15.54618</v>
      </c>
      <c r="AC2562" s="394">
        <v>14.418139999999999</v>
      </c>
      <c r="AD2562" s="394"/>
      <c r="AE2562" s="394"/>
      <c r="AF2562" s="394">
        <v>0</v>
      </c>
      <c r="AG2562" s="394">
        <v>0</v>
      </c>
      <c r="AH2562" s="394">
        <v>0.58123999999999998</v>
      </c>
      <c r="AI2562" s="394">
        <v>14.418139999999999</v>
      </c>
      <c r="AJ2562" s="394"/>
      <c r="AK2562" s="381" t="s">
        <v>167</v>
      </c>
      <c r="AL2562" s="408" t="s">
        <v>175</v>
      </c>
      <c r="AM2562" s="385"/>
      <c r="AN2562" s="475">
        <v>1354</v>
      </c>
      <c r="AO2562" s="395"/>
      <c r="AP2562" s="395">
        <f t="shared" si="1049"/>
        <v>18.039390000000001</v>
      </c>
      <c r="AQ2562" s="393"/>
      <c r="AR2562" s="523"/>
      <c r="AS2562" s="497"/>
      <c r="AT2562" s="573"/>
      <c r="AU2562" s="394"/>
      <c r="AV2562" s="394"/>
      <c r="AW2562" s="394"/>
      <c r="AX2562" s="394"/>
      <c r="AY2562" s="394"/>
      <c r="AZ2562" s="394"/>
      <c r="BA2562" s="394"/>
      <c r="BB2562" s="394"/>
      <c r="BC2562" s="394"/>
      <c r="BD2562" s="381"/>
      <c r="BE2562" s="408"/>
      <c r="BF2562" s="385"/>
      <c r="BG2562" s="475"/>
      <c r="BH2562" s="395"/>
      <c r="BI2562" s="395" t="e">
        <f t="shared" si="1051"/>
        <v>#DIV/0!</v>
      </c>
    </row>
    <row r="2563" spans="1:61" s="358" customFormat="1" ht="19.2" x14ac:dyDescent="0.3">
      <c r="A2563" s="359" t="s">
        <v>2204</v>
      </c>
      <c r="B2563" s="572" t="s">
        <v>4201</v>
      </c>
      <c r="C2563" s="546" t="s">
        <v>3336</v>
      </c>
      <c r="D2563" s="360">
        <v>0.4</v>
      </c>
      <c r="E2563" s="393"/>
      <c r="F2563" s="523"/>
      <c r="G2563" s="393"/>
      <c r="H2563" s="573"/>
      <c r="I2563" s="394"/>
      <c r="J2563" s="394"/>
      <c r="K2563" s="394"/>
      <c r="L2563" s="394"/>
      <c r="M2563" s="394"/>
      <c r="N2563" s="394"/>
      <c r="O2563" s="394"/>
      <c r="P2563" s="394"/>
      <c r="Q2563" s="394"/>
      <c r="R2563" s="381"/>
      <c r="S2563" s="408"/>
      <c r="T2563" s="385"/>
      <c r="U2563" s="475"/>
      <c r="V2563" s="395"/>
      <c r="W2563" s="395"/>
      <c r="X2563" s="393"/>
      <c r="Y2563" s="523">
        <v>1</v>
      </c>
      <c r="Z2563" s="497"/>
      <c r="AA2563" s="573">
        <v>18.03941</v>
      </c>
      <c r="AB2563" s="394">
        <v>15.546200000000001</v>
      </c>
      <c r="AC2563" s="394">
        <v>14.418139999999999</v>
      </c>
      <c r="AD2563" s="394"/>
      <c r="AE2563" s="394"/>
      <c r="AF2563" s="394">
        <v>0</v>
      </c>
      <c r="AG2563" s="394">
        <v>0</v>
      </c>
      <c r="AH2563" s="394">
        <v>0.58123999999999998</v>
      </c>
      <c r="AI2563" s="394">
        <v>14.418139999999999</v>
      </c>
      <c r="AJ2563" s="394"/>
      <c r="AK2563" s="381" t="s">
        <v>167</v>
      </c>
      <c r="AL2563" s="408" t="s">
        <v>175</v>
      </c>
      <c r="AM2563" s="385"/>
      <c r="AN2563" s="475">
        <v>1355</v>
      </c>
      <c r="AO2563" s="395"/>
      <c r="AP2563" s="395">
        <f t="shared" si="1049"/>
        <v>18.03941</v>
      </c>
      <c r="AQ2563" s="393"/>
      <c r="AR2563" s="523"/>
      <c r="AS2563" s="497"/>
      <c r="AT2563" s="573"/>
      <c r="AU2563" s="394"/>
      <c r="AV2563" s="394"/>
      <c r="AW2563" s="394"/>
      <c r="AX2563" s="394"/>
      <c r="AY2563" s="394"/>
      <c r="AZ2563" s="394"/>
      <c r="BA2563" s="394"/>
      <c r="BB2563" s="394"/>
      <c r="BC2563" s="394"/>
      <c r="BD2563" s="381"/>
      <c r="BE2563" s="408"/>
      <c r="BF2563" s="385"/>
      <c r="BG2563" s="475"/>
      <c r="BH2563" s="395"/>
      <c r="BI2563" s="395" t="e">
        <f t="shared" si="1051"/>
        <v>#DIV/0!</v>
      </c>
    </row>
    <row r="2564" spans="1:61" s="358" customFormat="1" ht="19.2" x14ac:dyDescent="0.3">
      <c r="A2564" s="359" t="s">
        <v>2205</v>
      </c>
      <c r="B2564" s="572" t="s">
        <v>4202</v>
      </c>
      <c r="C2564" s="546" t="s">
        <v>3337</v>
      </c>
      <c r="D2564" s="360">
        <v>0.4</v>
      </c>
      <c r="E2564" s="393"/>
      <c r="F2564" s="523"/>
      <c r="G2564" s="393"/>
      <c r="H2564" s="573"/>
      <c r="I2564" s="394"/>
      <c r="J2564" s="394"/>
      <c r="K2564" s="394"/>
      <c r="L2564" s="394"/>
      <c r="M2564" s="394"/>
      <c r="N2564" s="394"/>
      <c r="O2564" s="394"/>
      <c r="P2564" s="394"/>
      <c r="Q2564" s="394"/>
      <c r="R2564" s="381"/>
      <c r="S2564" s="408"/>
      <c r="T2564" s="385"/>
      <c r="U2564" s="475"/>
      <c r="V2564" s="395"/>
      <c r="W2564" s="395"/>
      <c r="X2564" s="393"/>
      <c r="Y2564" s="523">
        <v>1</v>
      </c>
      <c r="Z2564" s="497"/>
      <c r="AA2564" s="573">
        <v>18.03941</v>
      </c>
      <c r="AB2564" s="394">
        <v>15.546200000000001</v>
      </c>
      <c r="AC2564" s="394">
        <v>14.418139999999999</v>
      </c>
      <c r="AD2564" s="394"/>
      <c r="AE2564" s="394"/>
      <c r="AF2564" s="394">
        <v>0</v>
      </c>
      <c r="AG2564" s="394">
        <v>0</v>
      </c>
      <c r="AH2564" s="394">
        <v>0.58123999999999998</v>
      </c>
      <c r="AI2564" s="394">
        <v>14.418139999999999</v>
      </c>
      <c r="AJ2564" s="394"/>
      <c r="AK2564" s="381" t="s">
        <v>167</v>
      </c>
      <c r="AL2564" s="408" t="s">
        <v>175</v>
      </c>
      <c r="AM2564" s="385"/>
      <c r="AN2564" s="475">
        <v>1356</v>
      </c>
      <c r="AO2564" s="395"/>
      <c r="AP2564" s="395">
        <f t="shared" si="1049"/>
        <v>18.03941</v>
      </c>
      <c r="AQ2564" s="393"/>
      <c r="AR2564" s="523"/>
      <c r="AS2564" s="497"/>
      <c r="AT2564" s="573"/>
      <c r="AU2564" s="394"/>
      <c r="AV2564" s="394"/>
      <c r="AW2564" s="394"/>
      <c r="AX2564" s="394"/>
      <c r="AY2564" s="394"/>
      <c r="AZ2564" s="394"/>
      <c r="BA2564" s="394"/>
      <c r="BB2564" s="394"/>
      <c r="BC2564" s="394"/>
      <c r="BD2564" s="381"/>
      <c r="BE2564" s="408"/>
      <c r="BF2564" s="385"/>
      <c r="BG2564" s="475"/>
      <c r="BH2564" s="395"/>
      <c r="BI2564" s="395" t="e">
        <f t="shared" si="1051"/>
        <v>#DIV/0!</v>
      </c>
    </row>
    <row r="2565" spans="1:61" s="358" customFormat="1" ht="19.2" x14ac:dyDescent="0.3">
      <c r="A2565" s="359" t="s">
        <v>2206</v>
      </c>
      <c r="B2565" s="572" t="s">
        <v>303</v>
      </c>
      <c r="C2565" s="546" t="s">
        <v>285</v>
      </c>
      <c r="D2565" s="360">
        <v>0.4</v>
      </c>
      <c r="E2565" s="393"/>
      <c r="F2565" s="523"/>
      <c r="G2565" s="393"/>
      <c r="H2565" s="573"/>
      <c r="I2565" s="394"/>
      <c r="J2565" s="394"/>
      <c r="K2565" s="394"/>
      <c r="L2565" s="394"/>
      <c r="M2565" s="394"/>
      <c r="N2565" s="394"/>
      <c r="O2565" s="394"/>
      <c r="P2565" s="394"/>
      <c r="Q2565" s="394"/>
      <c r="R2565" s="381"/>
      <c r="S2565" s="408"/>
      <c r="T2565" s="385"/>
      <c r="U2565" s="475"/>
      <c r="V2565" s="395"/>
      <c r="W2565" s="395"/>
      <c r="X2565" s="393"/>
      <c r="Y2565" s="523">
        <v>1</v>
      </c>
      <c r="Z2565" s="497"/>
      <c r="AA2565" s="573">
        <v>18.03942</v>
      </c>
      <c r="AB2565" s="394">
        <v>15.54621</v>
      </c>
      <c r="AC2565" s="394">
        <v>14.418139999999999</v>
      </c>
      <c r="AD2565" s="394"/>
      <c r="AE2565" s="394"/>
      <c r="AF2565" s="394">
        <v>0</v>
      </c>
      <c r="AG2565" s="394">
        <v>0</v>
      </c>
      <c r="AH2565" s="394">
        <v>0.58123999999999998</v>
      </c>
      <c r="AI2565" s="394">
        <v>14.418139999999999</v>
      </c>
      <c r="AJ2565" s="394"/>
      <c r="AK2565" s="381" t="s">
        <v>167</v>
      </c>
      <c r="AL2565" s="408" t="s">
        <v>175</v>
      </c>
      <c r="AM2565" s="385"/>
      <c r="AN2565" s="475">
        <v>1357</v>
      </c>
      <c r="AO2565" s="395"/>
      <c r="AP2565" s="395">
        <f t="shared" ref="AP2565:AP2628" si="1052">AA2565/Y2565</f>
        <v>18.03942</v>
      </c>
      <c r="AQ2565" s="393"/>
      <c r="AR2565" s="523"/>
      <c r="AS2565" s="497"/>
      <c r="AT2565" s="573"/>
      <c r="AU2565" s="394"/>
      <c r="AV2565" s="394"/>
      <c r="AW2565" s="394"/>
      <c r="AX2565" s="394"/>
      <c r="AY2565" s="394"/>
      <c r="AZ2565" s="394"/>
      <c r="BA2565" s="394"/>
      <c r="BB2565" s="394"/>
      <c r="BC2565" s="394"/>
      <c r="BD2565" s="381"/>
      <c r="BE2565" s="408"/>
      <c r="BF2565" s="385"/>
      <c r="BG2565" s="475"/>
      <c r="BH2565" s="395"/>
      <c r="BI2565" s="395" t="e">
        <f t="shared" si="1051"/>
        <v>#DIV/0!</v>
      </c>
    </row>
    <row r="2566" spans="1:61" s="358" customFormat="1" ht="19.2" x14ac:dyDescent="0.3">
      <c r="A2566" s="359" t="s">
        <v>2207</v>
      </c>
      <c r="B2566" s="572" t="s">
        <v>4203</v>
      </c>
      <c r="C2566" s="546" t="s">
        <v>3338</v>
      </c>
      <c r="D2566" s="360">
        <v>0.4</v>
      </c>
      <c r="E2566" s="393"/>
      <c r="F2566" s="523"/>
      <c r="G2566" s="393"/>
      <c r="H2566" s="573"/>
      <c r="I2566" s="394"/>
      <c r="J2566" s="394"/>
      <c r="K2566" s="394"/>
      <c r="L2566" s="394"/>
      <c r="M2566" s="394"/>
      <c r="N2566" s="394"/>
      <c r="O2566" s="394"/>
      <c r="P2566" s="394"/>
      <c r="Q2566" s="394"/>
      <c r="R2566" s="381"/>
      <c r="S2566" s="408"/>
      <c r="T2566" s="385"/>
      <c r="U2566" s="475"/>
      <c r="V2566" s="395"/>
      <c r="W2566" s="395"/>
      <c r="X2566" s="393"/>
      <c r="Y2566" s="523">
        <v>1</v>
      </c>
      <c r="Z2566" s="497"/>
      <c r="AA2566" s="573">
        <v>18.039390000000001</v>
      </c>
      <c r="AB2566" s="394">
        <v>15.54618</v>
      </c>
      <c r="AC2566" s="394">
        <v>14.418139999999999</v>
      </c>
      <c r="AD2566" s="394"/>
      <c r="AE2566" s="394"/>
      <c r="AF2566" s="394">
        <v>0</v>
      </c>
      <c r="AG2566" s="394">
        <v>0</v>
      </c>
      <c r="AH2566" s="394">
        <v>0.58123999999999998</v>
      </c>
      <c r="AI2566" s="394">
        <v>14.418139999999999</v>
      </c>
      <c r="AJ2566" s="394"/>
      <c r="AK2566" s="381" t="s">
        <v>167</v>
      </c>
      <c r="AL2566" s="408" t="s">
        <v>175</v>
      </c>
      <c r="AM2566" s="385"/>
      <c r="AN2566" s="475">
        <v>1358</v>
      </c>
      <c r="AO2566" s="395"/>
      <c r="AP2566" s="395">
        <f t="shared" si="1052"/>
        <v>18.039390000000001</v>
      </c>
      <c r="AQ2566" s="393"/>
      <c r="AR2566" s="523"/>
      <c r="AS2566" s="497"/>
      <c r="AT2566" s="573"/>
      <c r="AU2566" s="394"/>
      <c r="AV2566" s="394"/>
      <c r="AW2566" s="394"/>
      <c r="AX2566" s="394"/>
      <c r="AY2566" s="394"/>
      <c r="AZ2566" s="394"/>
      <c r="BA2566" s="394"/>
      <c r="BB2566" s="394"/>
      <c r="BC2566" s="394"/>
      <c r="BD2566" s="381"/>
      <c r="BE2566" s="408"/>
      <c r="BF2566" s="385"/>
      <c r="BG2566" s="475"/>
      <c r="BH2566" s="395"/>
      <c r="BI2566" s="395" t="e">
        <f t="shared" si="1051"/>
        <v>#DIV/0!</v>
      </c>
    </row>
    <row r="2567" spans="1:61" s="358" customFormat="1" ht="19.2" x14ac:dyDescent="0.3">
      <c r="A2567" s="359" t="s">
        <v>2208</v>
      </c>
      <c r="B2567" s="572" t="s">
        <v>4204</v>
      </c>
      <c r="C2567" s="546" t="s">
        <v>3339</v>
      </c>
      <c r="D2567" s="360">
        <v>0.4</v>
      </c>
      <c r="E2567" s="393"/>
      <c r="F2567" s="523"/>
      <c r="G2567" s="393"/>
      <c r="H2567" s="573"/>
      <c r="I2567" s="394"/>
      <c r="J2567" s="394"/>
      <c r="K2567" s="394"/>
      <c r="L2567" s="394"/>
      <c r="M2567" s="394"/>
      <c r="N2567" s="394"/>
      <c r="O2567" s="394"/>
      <c r="P2567" s="394"/>
      <c r="Q2567" s="394"/>
      <c r="R2567" s="381"/>
      <c r="S2567" s="408"/>
      <c r="T2567" s="385"/>
      <c r="U2567" s="475"/>
      <c r="V2567" s="395"/>
      <c r="W2567" s="395"/>
      <c r="X2567" s="393"/>
      <c r="Y2567" s="523">
        <v>1</v>
      </c>
      <c r="Z2567" s="497"/>
      <c r="AA2567" s="573">
        <v>18.03941</v>
      </c>
      <c r="AB2567" s="394">
        <v>15.546200000000001</v>
      </c>
      <c r="AC2567" s="394">
        <v>14.418139999999999</v>
      </c>
      <c r="AD2567" s="394"/>
      <c r="AE2567" s="394"/>
      <c r="AF2567" s="394">
        <v>0</v>
      </c>
      <c r="AG2567" s="394">
        <v>0</v>
      </c>
      <c r="AH2567" s="394">
        <v>0.58123999999999998</v>
      </c>
      <c r="AI2567" s="394">
        <v>14.418139999999999</v>
      </c>
      <c r="AJ2567" s="394"/>
      <c r="AK2567" s="381" t="s">
        <v>167</v>
      </c>
      <c r="AL2567" s="408" t="s">
        <v>175</v>
      </c>
      <c r="AM2567" s="385"/>
      <c r="AN2567" s="475">
        <v>1359</v>
      </c>
      <c r="AO2567" s="395"/>
      <c r="AP2567" s="395">
        <f t="shared" si="1052"/>
        <v>18.03941</v>
      </c>
      <c r="AQ2567" s="393"/>
      <c r="AR2567" s="523"/>
      <c r="AS2567" s="497"/>
      <c r="AT2567" s="573"/>
      <c r="AU2567" s="394"/>
      <c r="AV2567" s="394"/>
      <c r="AW2567" s="394"/>
      <c r="AX2567" s="394"/>
      <c r="AY2567" s="394"/>
      <c r="AZ2567" s="394"/>
      <c r="BA2567" s="394"/>
      <c r="BB2567" s="394"/>
      <c r="BC2567" s="394"/>
      <c r="BD2567" s="381"/>
      <c r="BE2567" s="408"/>
      <c r="BF2567" s="385"/>
      <c r="BG2567" s="475"/>
      <c r="BH2567" s="395"/>
      <c r="BI2567" s="395" t="e">
        <f t="shared" si="1051"/>
        <v>#DIV/0!</v>
      </c>
    </row>
    <row r="2568" spans="1:61" s="358" customFormat="1" ht="19.2" x14ac:dyDescent="0.3">
      <c r="A2568" s="359" t="s">
        <v>2209</v>
      </c>
      <c r="B2568" s="572" t="s">
        <v>4205</v>
      </c>
      <c r="C2568" s="546" t="s">
        <v>3340</v>
      </c>
      <c r="D2568" s="360">
        <v>0.4</v>
      </c>
      <c r="E2568" s="393"/>
      <c r="F2568" s="523"/>
      <c r="G2568" s="393"/>
      <c r="H2568" s="573"/>
      <c r="I2568" s="394"/>
      <c r="J2568" s="394"/>
      <c r="K2568" s="394"/>
      <c r="L2568" s="394"/>
      <c r="M2568" s="394"/>
      <c r="N2568" s="394"/>
      <c r="O2568" s="394"/>
      <c r="P2568" s="394"/>
      <c r="Q2568" s="394"/>
      <c r="R2568" s="381"/>
      <c r="S2568" s="408"/>
      <c r="T2568" s="385"/>
      <c r="U2568" s="475"/>
      <c r="V2568" s="395"/>
      <c r="W2568" s="395"/>
      <c r="X2568" s="393"/>
      <c r="Y2568" s="523">
        <v>1</v>
      </c>
      <c r="Z2568" s="497"/>
      <c r="AA2568" s="573">
        <v>18.039400000000001</v>
      </c>
      <c r="AB2568" s="394">
        <v>15.546189999999999</v>
      </c>
      <c r="AC2568" s="394">
        <v>14.418139999999999</v>
      </c>
      <c r="AD2568" s="394"/>
      <c r="AE2568" s="394"/>
      <c r="AF2568" s="394">
        <v>0</v>
      </c>
      <c r="AG2568" s="394">
        <v>0</v>
      </c>
      <c r="AH2568" s="394">
        <v>0.58123999999999998</v>
      </c>
      <c r="AI2568" s="394">
        <v>14.418139999999999</v>
      </c>
      <c r="AJ2568" s="394"/>
      <c r="AK2568" s="381" t="s">
        <v>167</v>
      </c>
      <c r="AL2568" s="408" t="s">
        <v>175</v>
      </c>
      <c r="AM2568" s="385"/>
      <c r="AN2568" s="475">
        <v>1360</v>
      </c>
      <c r="AO2568" s="395"/>
      <c r="AP2568" s="395">
        <f t="shared" si="1052"/>
        <v>18.039400000000001</v>
      </c>
      <c r="AQ2568" s="393"/>
      <c r="AR2568" s="523"/>
      <c r="AS2568" s="497"/>
      <c r="AT2568" s="573"/>
      <c r="AU2568" s="394"/>
      <c r="AV2568" s="394"/>
      <c r="AW2568" s="394"/>
      <c r="AX2568" s="394"/>
      <c r="AY2568" s="394"/>
      <c r="AZ2568" s="394"/>
      <c r="BA2568" s="394"/>
      <c r="BB2568" s="394"/>
      <c r="BC2568" s="394"/>
      <c r="BD2568" s="381"/>
      <c r="BE2568" s="408"/>
      <c r="BF2568" s="385"/>
      <c r="BG2568" s="475"/>
      <c r="BH2568" s="395"/>
      <c r="BI2568" s="395" t="e">
        <f t="shared" si="1051"/>
        <v>#DIV/0!</v>
      </c>
    </row>
    <row r="2569" spans="1:61" s="358" customFormat="1" ht="19.2" x14ac:dyDescent="0.3">
      <c r="A2569" s="359" t="s">
        <v>2210</v>
      </c>
      <c r="B2569" s="572" t="s">
        <v>4206</v>
      </c>
      <c r="C2569" s="546" t="s">
        <v>3341</v>
      </c>
      <c r="D2569" s="360">
        <v>0.4</v>
      </c>
      <c r="E2569" s="393"/>
      <c r="F2569" s="523"/>
      <c r="G2569" s="393"/>
      <c r="H2569" s="573"/>
      <c r="I2569" s="394"/>
      <c r="J2569" s="394"/>
      <c r="K2569" s="394"/>
      <c r="L2569" s="394"/>
      <c r="M2569" s="394"/>
      <c r="N2569" s="394"/>
      <c r="O2569" s="394"/>
      <c r="P2569" s="394"/>
      <c r="Q2569" s="394"/>
      <c r="R2569" s="381"/>
      <c r="S2569" s="408"/>
      <c r="T2569" s="385"/>
      <c r="U2569" s="475"/>
      <c r="V2569" s="395"/>
      <c r="W2569" s="395"/>
      <c r="X2569" s="393"/>
      <c r="Y2569" s="523">
        <v>1</v>
      </c>
      <c r="Z2569" s="497"/>
      <c r="AA2569" s="573">
        <v>18.03941</v>
      </c>
      <c r="AB2569" s="394">
        <v>15.546200000000001</v>
      </c>
      <c r="AC2569" s="394">
        <v>14.418139999999999</v>
      </c>
      <c r="AD2569" s="394"/>
      <c r="AE2569" s="394"/>
      <c r="AF2569" s="394">
        <v>0</v>
      </c>
      <c r="AG2569" s="394">
        <v>0</v>
      </c>
      <c r="AH2569" s="394">
        <v>0.58123999999999998</v>
      </c>
      <c r="AI2569" s="394">
        <v>14.418139999999999</v>
      </c>
      <c r="AJ2569" s="394"/>
      <c r="AK2569" s="381" t="s">
        <v>167</v>
      </c>
      <c r="AL2569" s="408" t="s">
        <v>175</v>
      </c>
      <c r="AM2569" s="385"/>
      <c r="AN2569" s="475">
        <v>1361</v>
      </c>
      <c r="AO2569" s="395"/>
      <c r="AP2569" s="395">
        <f t="shared" si="1052"/>
        <v>18.03941</v>
      </c>
      <c r="AQ2569" s="393"/>
      <c r="AR2569" s="523"/>
      <c r="AS2569" s="497"/>
      <c r="AT2569" s="573"/>
      <c r="AU2569" s="394"/>
      <c r="AV2569" s="394"/>
      <c r="AW2569" s="394"/>
      <c r="AX2569" s="394"/>
      <c r="AY2569" s="394"/>
      <c r="AZ2569" s="394"/>
      <c r="BA2569" s="394"/>
      <c r="BB2569" s="394"/>
      <c r="BC2569" s="394"/>
      <c r="BD2569" s="381"/>
      <c r="BE2569" s="408"/>
      <c r="BF2569" s="385"/>
      <c r="BG2569" s="475"/>
      <c r="BH2569" s="395"/>
      <c r="BI2569" s="395" t="e">
        <f t="shared" si="1051"/>
        <v>#DIV/0!</v>
      </c>
    </row>
    <row r="2570" spans="1:61" s="358" customFormat="1" ht="19.2" x14ac:dyDescent="0.3">
      <c r="A2570" s="359" t="s">
        <v>2211</v>
      </c>
      <c r="B2570" s="572" t="s">
        <v>4207</v>
      </c>
      <c r="C2570" s="546" t="s">
        <v>3342</v>
      </c>
      <c r="D2570" s="360">
        <v>0.4</v>
      </c>
      <c r="E2570" s="393"/>
      <c r="F2570" s="523"/>
      <c r="G2570" s="393"/>
      <c r="H2570" s="573"/>
      <c r="I2570" s="394"/>
      <c r="J2570" s="394"/>
      <c r="K2570" s="394"/>
      <c r="L2570" s="394"/>
      <c r="M2570" s="394"/>
      <c r="N2570" s="394"/>
      <c r="O2570" s="394"/>
      <c r="P2570" s="394"/>
      <c r="Q2570" s="394"/>
      <c r="R2570" s="381"/>
      <c r="S2570" s="408"/>
      <c r="T2570" s="385"/>
      <c r="U2570" s="475"/>
      <c r="V2570" s="395"/>
      <c r="W2570" s="395"/>
      <c r="X2570" s="393"/>
      <c r="Y2570" s="523">
        <v>1</v>
      </c>
      <c r="Z2570" s="497"/>
      <c r="AA2570" s="573">
        <v>18.039400000000001</v>
      </c>
      <c r="AB2570" s="394">
        <v>15.546189999999999</v>
      </c>
      <c r="AC2570" s="394">
        <v>14.418139999999999</v>
      </c>
      <c r="AD2570" s="394"/>
      <c r="AE2570" s="394"/>
      <c r="AF2570" s="394">
        <v>0</v>
      </c>
      <c r="AG2570" s="394">
        <v>0</v>
      </c>
      <c r="AH2570" s="394">
        <v>0.58123999999999998</v>
      </c>
      <c r="AI2570" s="394">
        <v>14.418139999999999</v>
      </c>
      <c r="AJ2570" s="394"/>
      <c r="AK2570" s="381" t="s">
        <v>167</v>
      </c>
      <c r="AL2570" s="408" t="s">
        <v>175</v>
      </c>
      <c r="AM2570" s="385"/>
      <c r="AN2570" s="475">
        <v>1362</v>
      </c>
      <c r="AO2570" s="395"/>
      <c r="AP2570" s="395">
        <f t="shared" si="1052"/>
        <v>18.039400000000001</v>
      </c>
      <c r="AQ2570" s="393"/>
      <c r="AR2570" s="523"/>
      <c r="AS2570" s="497"/>
      <c r="AT2570" s="573"/>
      <c r="AU2570" s="394"/>
      <c r="AV2570" s="394"/>
      <c r="AW2570" s="394"/>
      <c r="AX2570" s="394"/>
      <c r="AY2570" s="394"/>
      <c r="AZ2570" s="394"/>
      <c r="BA2570" s="394"/>
      <c r="BB2570" s="394"/>
      <c r="BC2570" s="394"/>
      <c r="BD2570" s="381"/>
      <c r="BE2570" s="408"/>
      <c r="BF2570" s="385"/>
      <c r="BG2570" s="475"/>
      <c r="BH2570" s="395"/>
      <c r="BI2570" s="395" t="e">
        <f t="shared" si="1051"/>
        <v>#DIV/0!</v>
      </c>
    </row>
    <row r="2571" spans="1:61" s="358" customFormat="1" ht="19.2" x14ac:dyDescent="0.3">
      <c r="A2571" s="359" t="s">
        <v>2228</v>
      </c>
      <c r="B2571" s="572" t="s">
        <v>4103</v>
      </c>
      <c r="C2571" s="546" t="s">
        <v>3343</v>
      </c>
      <c r="D2571" s="360">
        <v>0.4</v>
      </c>
      <c r="E2571" s="393"/>
      <c r="F2571" s="523"/>
      <c r="G2571" s="393"/>
      <c r="H2571" s="573"/>
      <c r="I2571" s="394"/>
      <c r="J2571" s="394"/>
      <c r="K2571" s="394"/>
      <c r="L2571" s="394"/>
      <c r="M2571" s="394"/>
      <c r="N2571" s="394"/>
      <c r="O2571" s="394"/>
      <c r="P2571" s="394"/>
      <c r="Q2571" s="394"/>
      <c r="R2571" s="381"/>
      <c r="S2571" s="408"/>
      <c r="T2571" s="385"/>
      <c r="U2571" s="475"/>
      <c r="V2571" s="395"/>
      <c r="W2571" s="395"/>
      <c r="X2571" s="393"/>
      <c r="Y2571" s="523">
        <v>1</v>
      </c>
      <c r="Z2571" s="497"/>
      <c r="AA2571" s="573">
        <v>18.039400000000001</v>
      </c>
      <c r="AB2571" s="394">
        <v>15.546189999999999</v>
      </c>
      <c r="AC2571" s="394">
        <v>14.418139999999999</v>
      </c>
      <c r="AD2571" s="394"/>
      <c r="AE2571" s="394"/>
      <c r="AF2571" s="394">
        <v>0</v>
      </c>
      <c r="AG2571" s="394">
        <v>0</v>
      </c>
      <c r="AH2571" s="394">
        <v>0.58123999999999998</v>
      </c>
      <c r="AI2571" s="394">
        <v>14.418139999999999</v>
      </c>
      <c r="AJ2571" s="394"/>
      <c r="AK2571" s="381" t="s">
        <v>167</v>
      </c>
      <c r="AL2571" s="408" t="s">
        <v>175</v>
      </c>
      <c r="AM2571" s="385"/>
      <c r="AN2571" s="475">
        <v>1363</v>
      </c>
      <c r="AO2571" s="395"/>
      <c r="AP2571" s="395">
        <f t="shared" si="1052"/>
        <v>18.039400000000001</v>
      </c>
      <c r="AQ2571" s="393"/>
      <c r="AR2571" s="523"/>
      <c r="AS2571" s="497"/>
      <c r="AT2571" s="573"/>
      <c r="AU2571" s="394"/>
      <c r="AV2571" s="394"/>
      <c r="AW2571" s="394"/>
      <c r="AX2571" s="394"/>
      <c r="AY2571" s="394"/>
      <c r="AZ2571" s="394"/>
      <c r="BA2571" s="394"/>
      <c r="BB2571" s="394"/>
      <c r="BC2571" s="394"/>
      <c r="BD2571" s="381"/>
      <c r="BE2571" s="408"/>
      <c r="BF2571" s="385"/>
      <c r="BG2571" s="475"/>
      <c r="BH2571" s="395"/>
      <c r="BI2571" s="395" t="e">
        <f t="shared" si="1051"/>
        <v>#DIV/0!</v>
      </c>
    </row>
    <row r="2572" spans="1:61" s="358" customFormat="1" ht="19.2" x14ac:dyDescent="0.3">
      <c r="A2572" s="359" t="s">
        <v>2213</v>
      </c>
      <c r="B2572" s="572" t="s">
        <v>4208</v>
      </c>
      <c r="C2572" s="546" t="s">
        <v>3344</v>
      </c>
      <c r="D2572" s="360">
        <v>0.4</v>
      </c>
      <c r="E2572" s="393"/>
      <c r="F2572" s="523"/>
      <c r="G2572" s="393"/>
      <c r="H2572" s="573"/>
      <c r="I2572" s="394"/>
      <c r="J2572" s="394"/>
      <c r="K2572" s="394"/>
      <c r="L2572" s="394"/>
      <c r="M2572" s="394"/>
      <c r="N2572" s="394"/>
      <c r="O2572" s="394"/>
      <c r="P2572" s="394"/>
      <c r="Q2572" s="394"/>
      <c r="R2572" s="381"/>
      <c r="S2572" s="408"/>
      <c r="T2572" s="385"/>
      <c r="U2572" s="475"/>
      <c r="V2572" s="395"/>
      <c r="W2572" s="395"/>
      <c r="X2572" s="393"/>
      <c r="Y2572" s="523">
        <v>1</v>
      </c>
      <c r="Z2572" s="497"/>
      <c r="AA2572" s="573">
        <v>18.03941</v>
      </c>
      <c r="AB2572" s="394">
        <v>15.546200000000001</v>
      </c>
      <c r="AC2572" s="394">
        <v>14.418139999999999</v>
      </c>
      <c r="AD2572" s="394"/>
      <c r="AE2572" s="394"/>
      <c r="AF2572" s="394">
        <v>0</v>
      </c>
      <c r="AG2572" s="394">
        <v>0</v>
      </c>
      <c r="AH2572" s="394">
        <v>0.58123999999999998</v>
      </c>
      <c r="AI2572" s="394">
        <v>14.418139999999999</v>
      </c>
      <c r="AJ2572" s="394"/>
      <c r="AK2572" s="381" t="s">
        <v>167</v>
      </c>
      <c r="AL2572" s="408" t="s">
        <v>175</v>
      </c>
      <c r="AM2572" s="385"/>
      <c r="AN2572" s="475">
        <v>1364</v>
      </c>
      <c r="AO2572" s="395"/>
      <c r="AP2572" s="395">
        <f t="shared" si="1052"/>
        <v>18.03941</v>
      </c>
      <c r="AQ2572" s="393"/>
      <c r="AR2572" s="523"/>
      <c r="AS2572" s="497"/>
      <c r="AT2572" s="573"/>
      <c r="AU2572" s="394"/>
      <c r="AV2572" s="394"/>
      <c r="AW2572" s="394"/>
      <c r="AX2572" s="394"/>
      <c r="AY2572" s="394"/>
      <c r="AZ2572" s="394"/>
      <c r="BA2572" s="394"/>
      <c r="BB2572" s="394"/>
      <c r="BC2572" s="394"/>
      <c r="BD2572" s="381"/>
      <c r="BE2572" s="408"/>
      <c r="BF2572" s="385"/>
      <c r="BG2572" s="475"/>
      <c r="BH2572" s="395"/>
      <c r="BI2572" s="395" t="e">
        <f t="shared" si="1051"/>
        <v>#DIV/0!</v>
      </c>
    </row>
    <row r="2573" spans="1:61" s="358" customFormat="1" ht="19.2" x14ac:dyDescent="0.3">
      <c r="A2573" s="359" t="s">
        <v>2214</v>
      </c>
      <c r="B2573" s="572" t="s">
        <v>2498</v>
      </c>
      <c r="C2573" s="546" t="s">
        <v>2497</v>
      </c>
      <c r="D2573" s="360">
        <v>0.4</v>
      </c>
      <c r="E2573" s="393"/>
      <c r="F2573" s="523"/>
      <c r="G2573" s="393"/>
      <c r="H2573" s="573"/>
      <c r="I2573" s="394"/>
      <c r="J2573" s="394"/>
      <c r="K2573" s="394"/>
      <c r="L2573" s="394"/>
      <c r="M2573" s="394"/>
      <c r="N2573" s="394"/>
      <c r="O2573" s="394"/>
      <c r="P2573" s="394"/>
      <c r="Q2573" s="394"/>
      <c r="R2573" s="381"/>
      <c r="S2573" s="408"/>
      <c r="T2573" s="385"/>
      <c r="U2573" s="475"/>
      <c r="V2573" s="395"/>
      <c r="W2573" s="395"/>
      <c r="X2573" s="393"/>
      <c r="Y2573" s="523">
        <v>1</v>
      </c>
      <c r="Z2573" s="497"/>
      <c r="AA2573" s="573">
        <v>18.03941</v>
      </c>
      <c r="AB2573" s="394">
        <v>15.546200000000001</v>
      </c>
      <c r="AC2573" s="394">
        <v>14.418139999999999</v>
      </c>
      <c r="AD2573" s="394"/>
      <c r="AE2573" s="394"/>
      <c r="AF2573" s="394">
        <v>0</v>
      </c>
      <c r="AG2573" s="394">
        <v>0</v>
      </c>
      <c r="AH2573" s="394">
        <v>0.58123999999999998</v>
      </c>
      <c r="AI2573" s="394">
        <v>14.418139999999999</v>
      </c>
      <c r="AJ2573" s="394"/>
      <c r="AK2573" s="381" t="s">
        <v>167</v>
      </c>
      <c r="AL2573" s="408" t="s">
        <v>175</v>
      </c>
      <c r="AM2573" s="385"/>
      <c r="AN2573" s="475">
        <v>1365</v>
      </c>
      <c r="AO2573" s="395"/>
      <c r="AP2573" s="395">
        <f t="shared" si="1052"/>
        <v>18.03941</v>
      </c>
      <c r="AQ2573" s="393"/>
      <c r="AR2573" s="523"/>
      <c r="AS2573" s="497"/>
      <c r="AT2573" s="573"/>
      <c r="AU2573" s="394"/>
      <c r="AV2573" s="394"/>
      <c r="AW2573" s="394"/>
      <c r="AX2573" s="394"/>
      <c r="AY2573" s="394"/>
      <c r="AZ2573" s="394"/>
      <c r="BA2573" s="394"/>
      <c r="BB2573" s="394"/>
      <c r="BC2573" s="394"/>
      <c r="BD2573" s="381"/>
      <c r="BE2573" s="408"/>
      <c r="BF2573" s="385"/>
      <c r="BG2573" s="475"/>
      <c r="BH2573" s="395"/>
      <c r="BI2573" s="395" t="e">
        <f t="shared" si="1051"/>
        <v>#DIV/0!</v>
      </c>
    </row>
    <row r="2574" spans="1:61" s="358" customFormat="1" ht="19.2" x14ac:dyDescent="0.3">
      <c r="A2574" s="359" t="s">
        <v>2215</v>
      </c>
      <c r="B2574" s="572" t="s">
        <v>4209</v>
      </c>
      <c r="C2574" s="546" t="s">
        <v>3345</v>
      </c>
      <c r="D2574" s="360">
        <v>0.4</v>
      </c>
      <c r="E2574" s="393"/>
      <c r="F2574" s="523"/>
      <c r="G2574" s="393"/>
      <c r="H2574" s="573"/>
      <c r="I2574" s="394"/>
      <c r="J2574" s="394"/>
      <c r="K2574" s="394"/>
      <c r="L2574" s="394"/>
      <c r="M2574" s="394"/>
      <c r="N2574" s="394"/>
      <c r="O2574" s="394"/>
      <c r="P2574" s="394"/>
      <c r="Q2574" s="394"/>
      <c r="R2574" s="381"/>
      <c r="S2574" s="408"/>
      <c r="T2574" s="385"/>
      <c r="U2574" s="475"/>
      <c r="V2574" s="395"/>
      <c r="W2574" s="395"/>
      <c r="X2574" s="393"/>
      <c r="Y2574" s="523">
        <v>1</v>
      </c>
      <c r="Z2574" s="497"/>
      <c r="AA2574" s="573">
        <v>18.039400000000001</v>
      </c>
      <c r="AB2574" s="394">
        <v>15.546189999999999</v>
      </c>
      <c r="AC2574" s="394">
        <v>14.418139999999999</v>
      </c>
      <c r="AD2574" s="394"/>
      <c r="AE2574" s="394"/>
      <c r="AF2574" s="394">
        <v>0</v>
      </c>
      <c r="AG2574" s="394">
        <v>0</v>
      </c>
      <c r="AH2574" s="394">
        <v>0.58123999999999998</v>
      </c>
      <c r="AI2574" s="394">
        <v>14.418139999999999</v>
      </c>
      <c r="AJ2574" s="394"/>
      <c r="AK2574" s="381" t="s">
        <v>167</v>
      </c>
      <c r="AL2574" s="408" t="s">
        <v>175</v>
      </c>
      <c r="AM2574" s="385"/>
      <c r="AN2574" s="475">
        <v>1366</v>
      </c>
      <c r="AO2574" s="395"/>
      <c r="AP2574" s="395">
        <f t="shared" si="1052"/>
        <v>18.039400000000001</v>
      </c>
      <c r="AQ2574" s="393"/>
      <c r="AR2574" s="523"/>
      <c r="AS2574" s="497"/>
      <c r="AT2574" s="573"/>
      <c r="AU2574" s="394"/>
      <c r="AV2574" s="394"/>
      <c r="AW2574" s="394"/>
      <c r="AX2574" s="394"/>
      <c r="AY2574" s="394"/>
      <c r="AZ2574" s="394"/>
      <c r="BA2574" s="394"/>
      <c r="BB2574" s="394"/>
      <c r="BC2574" s="394"/>
      <c r="BD2574" s="381"/>
      <c r="BE2574" s="408"/>
      <c r="BF2574" s="385"/>
      <c r="BG2574" s="475"/>
      <c r="BH2574" s="395"/>
      <c r="BI2574" s="395" t="e">
        <f t="shared" si="1051"/>
        <v>#DIV/0!</v>
      </c>
    </row>
    <row r="2575" spans="1:61" s="358" customFormat="1" ht="19.2" x14ac:dyDescent="0.3">
      <c r="A2575" s="359" t="s">
        <v>2232</v>
      </c>
      <c r="B2575" s="572" t="s">
        <v>4210</v>
      </c>
      <c r="C2575" s="546" t="s">
        <v>3346</v>
      </c>
      <c r="D2575" s="360">
        <v>0.4</v>
      </c>
      <c r="E2575" s="393"/>
      <c r="F2575" s="523"/>
      <c r="G2575" s="393"/>
      <c r="H2575" s="573"/>
      <c r="I2575" s="394"/>
      <c r="J2575" s="394"/>
      <c r="K2575" s="394"/>
      <c r="L2575" s="394"/>
      <c r="M2575" s="394"/>
      <c r="N2575" s="394"/>
      <c r="O2575" s="394"/>
      <c r="P2575" s="394"/>
      <c r="Q2575" s="394"/>
      <c r="R2575" s="381"/>
      <c r="S2575" s="408"/>
      <c r="T2575" s="385"/>
      <c r="U2575" s="475"/>
      <c r="V2575" s="395"/>
      <c r="W2575" s="395"/>
      <c r="X2575" s="393"/>
      <c r="Y2575" s="523">
        <v>1</v>
      </c>
      <c r="Z2575" s="497"/>
      <c r="AA2575" s="573">
        <v>18.03941</v>
      </c>
      <c r="AB2575" s="394">
        <v>15.546200000000001</v>
      </c>
      <c r="AC2575" s="394">
        <v>14.418139999999999</v>
      </c>
      <c r="AD2575" s="394"/>
      <c r="AE2575" s="394"/>
      <c r="AF2575" s="394">
        <v>0</v>
      </c>
      <c r="AG2575" s="394">
        <v>0</v>
      </c>
      <c r="AH2575" s="394">
        <v>0.58123999999999998</v>
      </c>
      <c r="AI2575" s="394">
        <v>14.418139999999999</v>
      </c>
      <c r="AJ2575" s="394"/>
      <c r="AK2575" s="381" t="s">
        <v>167</v>
      </c>
      <c r="AL2575" s="408" t="s">
        <v>175</v>
      </c>
      <c r="AM2575" s="385"/>
      <c r="AN2575" s="475">
        <v>1367</v>
      </c>
      <c r="AO2575" s="395"/>
      <c r="AP2575" s="395">
        <f t="shared" si="1052"/>
        <v>18.03941</v>
      </c>
      <c r="AQ2575" s="393"/>
      <c r="AR2575" s="523"/>
      <c r="AS2575" s="497"/>
      <c r="AT2575" s="573"/>
      <c r="AU2575" s="394"/>
      <c r="AV2575" s="394"/>
      <c r="AW2575" s="394"/>
      <c r="AX2575" s="394"/>
      <c r="AY2575" s="394"/>
      <c r="AZ2575" s="394"/>
      <c r="BA2575" s="394"/>
      <c r="BB2575" s="394"/>
      <c r="BC2575" s="394"/>
      <c r="BD2575" s="381"/>
      <c r="BE2575" s="408"/>
      <c r="BF2575" s="385"/>
      <c r="BG2575" s="475"/>
      <c r="BH2575" s="395"/>
      <c r="BI2575" s="395" t="e">
        <f t="shared" si="1051"/>
        <v>#DIV/0!</v>
      </c>
    </row>
    <row r="2576" spans="1:61" s="358" customFormat="1" ht="19.2" x14ac:dyDescent="0.3">
      <c r="A2576" s="359" t="s">
        <v>2217</v>
      </c>
      <c r="B2576" s="572" t="s">
        <v>3852</v>
      </c>
      <c r="C2576" s="546" t="s">
        <v>2947</v>
      </c>
      <c r="D2576" s="360">
        <v>0.4</v>
      </c>
      <c r="E2576" s="393"/>
      <c r="F2576" s="523"/>
      <c r="G2576" s="393"/>
      <c r="H2576" s="573"/>
      <c r="I2576" s="394"/>
      <c r="J2576" s="394"/>
      <c r="K2576" s="394"/>
      <c r="L2576" s="394"/>
      <c r="M2576" s="394"/>
      <c r="N2576" s="394"/>
      <c r="O2576" s="394"/>
      <c r="P2576" s="394"/>
      <c r="Q2576" s="394"/>
      <c r="R2576" s="381"/>
      <c r="S2576" s="408"/>
      <c r="T2576" s="385"/>
      <c r="U2576" s="475"/>
      <c r="V2576" s="395"/>
      <c r="W2576" s="395"/>
      <c r="X2576" s="393"/>
      <c r="Y2576" s="523">
        <v>1</v>
      </c>
      <c r="Z2576" s="497"/>
      <c r="AA2576" s="573">
        <v>18.03942</v>
      </c>
      <c r="AB2576" s="394">
        <v>15.54621</v>
      </c>
      <c r="AC2576" s="394">
        <v>14.418139999999999</v>
      </c>
      <c r="AD2576" s="394"/>
      <c r="AE2576" s="394"/>
      <c r="AF2576" s="394">
        <v>0</v>
      </c>
      <c r="AG2576" s="394">
        <v>0</v>
      </c>
      <c r="AH2576" s="394">
        <v>0.58123999999999998</v>
      </c>
      <c r="AI2576" s="394">
        <v>14.418139999999999</v>
      </c>
      <c r="AJ2576" s="394"/>
      <c r="AK2576" s="381" t="s">
        <v>167</v>
      </c>
      <c r="AL2576" s="408" t="s">
        <v>175</v>
      </c>
      <c r="AM2576" s="385"/>
      <c r="AN2576" s="475">
        <v>1368</v>
      </c>
      <c r="AO2576" s="395"/>
      <c r="AP2576" s="395">
        <f t="shared" si="1052"/>
        <v>18.03942</v>
      </c>
      <c r="AQ2576" s="393"/>
      <c r="AR2576" s="523"/>
      <c r="AS2576" s="497"/>
      <c r="AT2576" s="573"/>
      <c r="AU2576" s="394"/>
      <c r="AV2576" s="394"/>
      <c r="AW2576" s="394"/>
      <c r="AX2576" s="394"/>
      <c r="AY2576" s="394"/>
      <c r="AZ2576" s="394"/>
      <c r="BA2576" s="394"/>
      <c r="BB2576" s="394"/>
      <c r="BC2576" s="394"/>
      <c r="BD2576" s="381"/>
      <c r="BE2576" s="408"/>
      <c r="BF2576" s="385"/>
      <c r="BG2576" s="475"/>
      <c r="BH2576" s="395"/>
      <c r="BI2576" s="395" t="e">
        <f t="shared" si="1051"/>
        <v>#DIV/0!</v>
      </c>
    </row>
    <row r="2577" spans="1:61" s="358" customFormat="1" ht="19.2" x14ac:dyDescent="0.3">
      <c r="A2577" s="359" t="s">
        <v>2218</v>
      </c>
      <c r="B2577" s="572" t="s">
        <v>4211</v>
      </c>
      <c r="C2577" s="546" t="s">
        <v>3347</v>
      </c>
      <c r="D2577" s="360">
        <v>0.4</v>
      </c>
      <c r="E2577" s="393"/>
      <c r="F2577" s="523"/>
      <c r="G2577" s="393"/>
      <c r="H2577" s="573"/>
      <c r="I2577" s="394"/>
      <c r="J2577" s="394"/>
      <c r="K2577" s="394"/>
      <c r="L2577" s="394"/>
      <c r="M2577" s="394"/>
      <c r="N2577" s="394"/>
      <c r="O2577" s="394"/>
      <c r="P2577" s="394"/>
      <c r="Q2577" s="394"/>
      <c r="R2577" s="381"/>
      <c r="S2577" s="408"/>
      <c r="T2577" s="385"/>
      <c r="U2577" s="475"/>
      <c r="V2577" s="395"/>
      <c r="W2577" s="395"/>
      <c r="X2577" s="393"/>
      <c r="Y2577" s="523">
        <v>1</v>
      </c>
      <c r="Z2577" s="497"/>
      <c r="AA2577" s="573">
        <v>18.03942</v>
      </c>
      <c r="AB2577" s="394">
        <v>15.54621</v>
      </c>
      <c r="AC2577" s="394">
        <v>14.418139999999999</v>
      </c>
      <c r="AD2577" s="394"/>
      <c r="AE2577" s="394"/>
      <c r="AF2577" s="394">
        <v>0</v>
      </c>
      <c r="AG2577" s="394">
        <v>0</v>
      </c>
      <c r="AH2577" s="394">
        <v>0.58123999999999998</v>
      </c>
      <c r="AI2577" s="394">
        <v>14.418139999999999</v>
      </c>
      <c r="AJ2577" s="394"/>
      <c r="AK2577" s="381" t="s">
        <v>167</v>
      </c>
      <c r="AL2577" s="408" t="s">
        <v>175</v>
      </c>
      <c r="AM2577" s="385"/>
      <c r="AN2577" s="475">
        <v>1369</v>
      </c>
      <c r="AO2577" s="395"/>
      <c r="AP2577" s="395">
        <f t="shared" si="1052"/>
        <v>18.03942</v>
      </c>
      <c r="AQ2577" s="393"/>
      <c r="AR2577" s="523"/>
      <c r="AS2577" s="497"/>
      <c r="AT2577" s="573"/>
      <c r="AU2577" s="394"/>
      <c r="AV2577" s="394"/>
      <c r="AW2577" s="394"/>
      <c r="AX2577" s="394"/>
      <c r="AY2577" s="394"/>
      <c r="AZ2577" s="394"/>
      <c r="BA2577" s="394"/>
      <c r="BB2577" s="394"/>
      <c r="BC2577" s="394"/>
      <c r="BD2577" s="381"/>
      <c r="BE2577" s="408"/>
      <c r="BF2577" s="385"/>
      <c r="BG2577" s="475"/>
      <c r="BH2577" s="395"/>
      <c r="BI2577" s="395" t="e">
        <f t="shared" si="1051"/>
        <v>#DIV/0!</v>
      </c>
    </row>
    <row r="2578" spans="1:61" s="358" customFormat="1" ht="19.2" x14ac:dyDescent="0.3">
      <c r="A2578" s="359" t="s">
        <v>2203</v>
      </c>
      <c r="B2578" s="572" t="s">
        <v>4212</v>
      </c>
      <c r="C2578" s="546" t="s">
        <v>3348</v>
      </c>
      <c r="D2578" s="360">
        <v>0.4</v>
      </c>
      <c r="E2578" s="393"/>
      <c r="F2578" s="523"/>
      <c r="G2578" s="393"/>
      <c r="H2578" s="573"/>
      <c r="I2578" s="394"/>
      <c r="J2578" s="394"/>
      <c r="K2578" s="394"/>
      <c r="L2578" s="394"/>
      <c r="M2578" s="394"/>
      <c r="N2578" s="394"/>
      <c r="O2578" s="394"/>
      <c r="P2578" s="394"/>
      <c r="Q2578" s="394"/>
      <c r="R2578" s="381"/>
      <c r="S2578" s="408"/>
      <c r="T2578" s="385"/>
      <c r="U2578" s="475"/>
      <c r="V2578" s="395"/>
      <c r="W2578" s="395"/>
      <c r="X2578" s="393"/>
      <c r="Y2578" s="523">
        <v>1</v>
      </c>
      <c r="Z2578" s="497"/>
      <c r="AA2578" s="573">
        <v>18.03942</v>
      </c>
      <c r="AB2578" s="394">
        <v>15.54621</v>
      </c>
      <c r="AC2578" s="394">
        <v>14.418139999999999</v>
      </c>
      <c r="AD2578" s="394"/>
      <c r="AE2578" s="394"/>
      <c r="AF2578" s="394">
        <v>0</v>
      </c>
      <c r="AG2578" s="394">
        <v>0</v>
      </c>
      <c r="AH2578" s="394">
        <v>0.58123999999999998</v>
      </c>
      <c r="AI2578" s="394">
        <v>14.418139999999999</v>
      </c>
      <c r="AJ2578" s="394"/>
      <c r="AK2578" s="381" t="s">
        <v>167</v>
      </c>
      <c r="AL2578" s="408" t="s">
        <v>175</v>
      </c>
      <c r="AM2578" s="385"/>
      <c r="AN2578" s="475">
        <v>1370</v>
      </c>
      <c r="AO2578" s="395"/>
      <c r="AP2578" s="395">
        <f t="shared" si="1052"/>
        <v>18.03942</v>
      </c>
      <c r="AQ2578" s="393"/>
      <c r="AR2578" s="523"/>
      <c r="AS2578" s="497"/>
      <c r="AT2578" s="573"/>
      <c r="AU2578" s="394"/>
      <c r="AV2578" s="394"/>
      <c r="AW2578" s="394"/>
      <c r="AX2578" s="394"/>
      <c r="AY2578" s="394"/>
      <c r="AZ2578" s="394"/>
      <c r="BA2578" s="394"/>
      <c r="BB2578" s="394"/>
      <c r="BC2578" s="394"/>
      <c r="BD2578" s="381"/>
      <c r="BE2578" s="408"/>
      <c r="BF2578" s="385"/>
      <c r="BG2578" s="475"/>
      <c r="BH2578" s="395"/>
      <c r="BI2578" s="395" t="e">
        <f t="shared" si="1051"/>
        <v>#DIV/0!</v>
      </c>
    </row>
    <row r="2579" spans="1:61" s="358" customFormat="1" ht="19.2" x14ac:dyDescent="0.3">
      <c r="A2579" s="359" t="s">
        <v>2220</v>
      </c>
      <c r="B2579" s="572" t="s">
        <v>4213</v>
      </c>
      <c r="C2579" s="546" t="s">
        <v>3349</v>
      </c>
      <c r="D2579" s="360">
        <v>0.4</v>
      </c>
      <c r="E2579" s="393"/>
      <c r="F2579" s="523"/>
      <c r="G2579" s="393"/>
      <c r="H2579" s="573"/>
      <c r="I2579" s="394"/>
      <c r="J2579" s="394"/>
      <c r="K2579" s="394"/>
      <c r="L2579" s="394"/>
      <c r="M2579" s="394"/>
      <c r="N2579" s="394"/>
      <c r="O2579" s="394"/>
      <c r="P2579" s="394"/>
      <c r="Q2579" s="394"/>
      <c r="R2579" s="381"/>
      <c r="S2579" s="408"/>
      <c r="T2579" s="385"/>
      <c r="U2579" s="475"/>
      <c r="V2579" s="395"/>
      <c r="W2579" s="395"/>
      <c r="X2579" s="393"/>
      <c r="Y2579" s="523">
        <v>1</v>
      </c>
      <c r="Z2579" s="497"/>
      <c r="AA2579" s="573">
        <v>18.03941</v>
      </c>
      <c r="AB2579" s="394">
        <v>15.546200000000001</v>
      </c>
      <c r="AC2579" s="394">
        <v>14.418139999999999</v>
      </c>
      <c r="AD2579" s="394"/>
      <c r="AE2579" s="394"/>
      <c r="AF2579" s="394">
        <v>0</v>
      </c>
      <c r="AG2579" s="394">
        <v>0</v>
      </c>
      <c r="AH2579" s="394">
        <v>0.58123999999999998</v>
      </c>
      <c r="AI2579" s="394">
        <v>14.418139999999999</v>
      </c>
      <c r="AJ2579" s="394"/>
      <c r="AK2579" s="381" t="s">
        <v>167</v>
      </c>
      <c r="AL2579" s="408" t="s">
        <v>175</v>
      </c>
      <c r="AM2579" s="385"/>
      <c r="AN2579" s="475">
        <v>1371</v>
      </c>
      <c r="AO2579" s="395"/>
      <c r="AP2579" s="395">
        <f t="shared" si="1052"/>
        <v>18.03941</v>
      </c>
      <c r="AQ2579" s="393"/>
      <c r="AR2579" s="523"/>
      <c r="AS2579" s="497"/>
      <c r="AT2579" s="573"/>
      <c r="AU2579" s="394"/>
      <c r="AV2579" s="394"/>
      <c r="AW2579" s="394"/>
      <c r="AX2579" s="394"/>
      <c r="AY2579" s="394"/>
      <c r="AZ2579" s="394"/>
      <c r="BA2579" s="394"/>
      <c r="BB2579" s="394"/>
      <c r="BC2579" s="394"/>
      <c r="BD2579" s="381"/>
      <c r="BE2579" s="408"/>
      <c r="BF2579" s="385"/>
      <c r="BG2579" s="475"/>
      <c r="BH2579" s="395"/>
      <c r="BI2579" s="395" t="e">
        <f t="shared" si="1051"/>
        <v>#DIV/0!</v>
      </c>
    </row>
    <row r="2580" spans="1:61" s="358" customFormat="1" ht="19.2" x14ac:dyDescent="0.3">
      <c r="A2580" s="359" t="s">
        <v>2221</v>
      </c>
      <c r="B2580" s="572" t="s">
        <v>4214</v>
      </c>
      <c r="C2580" s="546" t="s">
        <v>3350</v>
      </c>
      <c r="D2580" s="360">
        <v>0.4</v>
      </c>
      <c r="E2580" s="393"/>
      <c r="F2580" s="523"/>
      <c r="G2580" s="393"/>
      <c r="H2580" s="573"/>
      <c r="I2580" s="394"/>
      <c r="J2580" s="394"/>
      <c r="K2580" s="394"/>
      <c r="L2580" s="394"/>
      <c r="M2580" s="394"/>
      <c r="N2580" s="394"/>
      <c r="O2580" s="394"/>
      <c r="P2580" s="394"/>
      <c r="Q2580" s="394"/>
      <c r="R2580" s="381"/>
      <c r="S2580" s="408"/>
      <c r="T2580" s="385"/>
      <c r="U2580" s="475"/>
      <c r="V2580" s="395"/>
      <c r="W2580" s="395"/>
      <c r="X2580" s="393"/>
      <c r="Y2580" s="523">
        <v>1</v>
      </c>
      <c r="Z2580" s="497"/>
      <c r="AA2580" s="573">
        <v>18.03942</v>
      </c>
      <c r="AB2580" s="394">
        <v>15.54621</v>
      </c>
      <c r="AC2580" s="394">
        <v>14.418139999999999</v>
      </c>
      <c r="AD2580" s="394"/>
      <c r="AE2580" s="394"/>
      <c r="AF2580" s="394">
        <v>0</v>
      </c>
      <c r="AG2580" s="394">
        <v>0</v>
      </c>
      <c r="AH2580" s="394">
        <v>0.58123999999999998</v>
      </c>
      <c r="AI2580" s="394">
        <v>14.418139999999999</v>
      </c>
      <c r="AJ2580" s="394"/>
      <c r="AK2580" s="381" t="s">
        <v>167</v>
      </c>
      <c r="AL2580" s="408" t="s">
        <v>175</v>
      </c>
      <c r="AM2580" s="385"/>
      <c r="AN2580" s="475">
        <v>1372</v>
      </c>
      <c r="AO2580" s="395"/>
      <c r="AP2580" s="395">
        <f t="shared" si="1052"/>
        <v>18.03942</v>
      </c>
      <c r="AQ2580" s="393"/>
      <c r="AR2580" s="523"/>
      <c r="AS2580" s="497"/>
      <c r="AT2580" s="573"/>
      <c r="AU2580" s="394"/>
      <c r="AV2580" s="394"/>
      <c r="AW2580" s="394"/>
      <c r="AX2580" s="394"/>
      <c r="AY2580" s="394"/>
      <c r="AZ2580" s="394"/>
      <c r="BA2580" s="394"/>
      <c r="BB2580" s="394"/>
      <c r="BC2580" s="394"/>
      <c r="BD2580" s="381"/>
      <c r="BE2580" s="408"/>
      <c r="BF2580" s="385"/>
      <c r="BG2580" s="475"/>
      <c r="BH2580" s="395"/>
      <c r="BI2580" s="395" t="e">
        <f t="shared" si="1051"/>
        <v>#DIV/0!</v>
      </c>
    </row>
    <row r="2581" spans="1:61" s="358" customFormat="1" ht="19.2" x14ac:dyDescent="0.3">
      <c r="A2581" s="359" t="s">
        <v>2222</v>
      </c>
      <c r="B2581" s="572" t="s">
        <v>4215</v>
      </c>
      <c r="C2581" s="546" t="s">
        <v>3351</v>
      </c>
      <c r="D2581" s="360">
        <v>0.4</v>
      </c>
      <c r="E2581" s="393"/>
      <c r="F2581" s="523"/>
      <c r="G2581" s="393"/>
      <c r="H2581" s="573"/>
      <c r="I2581" s="394"/>
      <c r="J2581" s="394"/>
      <c r="K2581" s="394"/>
      <c r="L2581" s="394"/>
      <c r="M2581" s="394"/>
      <c r="N2581" s="394"/>
      <c r="O2581" s="394"/>
      <c r="P2581" s="394"/>
      <c r="Q2581" s="394"/>
      <c r="R2581" s="381"/>
      <c r="S2581" s="408"/>
      <c r="T2581" s="385"/>
      <c r="U2581" s="475"/>
      <c r="V2581" s="395"/>
      <c r="W2581" s="395"/>
      <c r="X2581" s="393"/>
      <c r="Y2581" s="523">
        <v>1</v>
      </c>
      <c r="Z2581" s="497"/>
      <c r="AA2581" s="573">
        <v>18.039400000000001</v>
      </c>
      <c r="AB2581" s="394">
        <v>15.546189999999999</v>
      </c>
      <c r="AC2581" s="394">
        <v>14.418139999999999</v>
      </c>
      <c r="AD2581" s="394"/>
      <c r="AE2581" s="394"/>
      <c r="AF2581" s="394">
        <v>0</v>
      </c>
      <c r="AG2581" s="394">
        <v>0</v>
      </c>
      <c r="AH2581" s="394">
        <v>0.58123999999999998</v>
      </c>
      <c r="AI2581" s="394">
        <v>14.418139999999999</v>
      </c>
      <c r="AJ2581" s="394"/>
      <c r="AK2581" s="381" t="s">
        <v>167</v>
      </c>
      <c r="AL2581" s="408" t="s">
        <v>175</v>
      </c>
      <c r="AM2581" s="385"/>
      <c r="AN2581" s="475">
        <v>1373</v>
      </c>
      <c r="AO2581" s="395"/>
      <c r="AP2581" s="395">
        <f t="shared" si="1052"/>
        <v>18.039400000000001</v>
      </c>
      <c r="AQ2581" s="393"/>
      <c r="AR2581" s="523"/>
      <c r="AS2581" s="497"/>
      <c r="AT2581" s="573"/>
      <c r="AU2581" s="394"/>
      <c r="AV2581" s="394"/>
      <c r="AW2581" s="394"/>
      <c r="AX2581" s="394"/>
      <c r="AY2581" s="394"/>
      <c r="AZ2581" s="394"/>
      <c r="BA2581" s="394"/>
      <c r="BB2581" s="394"/>
      <c r="BC2581" s="394"/>
      <c r="BD2581" s="381"/>
      <c r="BE2581" s="408"/>
      <c r="BF2581" s="385"/>
      <c r="BG2581" s="475"/>
      <c r="BH2581" s="395"/>
      <c r="BI2581" s="395" t="e">
        <f t="shared" si="1051"/>
        <v>#DIV/0!</v>
      </c>
    </row>
    <row r="2582" spans="1:61" s="358" customFormat="1" ht="19.2" x14ac:dyDescent="0.3">
      <c r="A2582" s="359" t="s">
        <v>2223</v>
      </c>
      <c r="B2582" s="572" t="s">
        <v>4216</v>
      </c>
      <c r="C2582" s="546" t="s">
        <v>3352</v>
      </c>
      <c r="D2582" s="360">
        <v>0.4</v>
      </c>
      <c r="E2582" s="393"/>
      <c r="F2582" s="523"/>
      <c r="G2582" s="393"/>
      <c r="H2582" s="573"/>
      <c r="I2582" s="394"/>
      <c r="J2582" s="394"/>
      <c r="K2582" s="394"/>
      <c r="L2582" s="394"/>
      <c r="M2582" s="394"/>
      <c r="N2582" s="394"/>
      <c r="O2582" s="394"/>
      <c r="P2582" s="394"/>
      <c r="Q2582" s="394"/>
      <c r="R2582" s="381"/>
      <c r="S2582" s="408"/>
      <c r="T2582" s="385"/>
      <c r="U2582" s="475"/>
      <c r="V2582" s="395"/>
      <c r="W2582" s="395"/>
      <c r="X2582" s="393"/>
      <c r="Y2582" s="523">
        <v>1</v>
      </c>
      <c r="Z2582" s="497"/>
      <c r="AA2582" s="573">
        <v>18.03942</v>
      </c>
      <c r="AB2582" s="394">
        <v>15.54621</v>
      </c>
      <c r="AC2582" s="394">
        <v>14.418139999999999</v>
      </c>
      <c r="AD2582" s="394"/>
      <c r="AE2582" s="394"/>
      <c r="AF2582" s="394">
        <v>0</v>
      </c>
      <c r="AG2582" s="394">
        <v>0</v>
      </c>
      <c r="AH2582" s="394">
        <v>0.58123999999999998</v>
      </c>
      <c r="AI2582" s="394">
        <v>14.418139999999999</v>
      </c>
      <c r="AJ2582" s="394"/>
      <c r="AK2582" s="381" t="s">
        <v>167</v>
      </c>
      <c r="AL2582" s="408" t="s">
        <v>175</v>
      </c>
      <c r="AM2582" s="385"/>
      <c r="AN2582" s="475">
        <v>1374</v>
      </c>
      <c r="AO2582" s="395"/>
      <c r="AP2582" s="395">
        <f t="shared" si="1052"/>
        <v>18.03942</v>
      </c>
      <c r="AQ2582" s="393"/>
      <c r="AR2582" s="523"/>
      <c r="AS2582" s="497"/>
      <c r="AT2582" s="573"/>
      <c r="AU2582" s="394"/>
      <c r="AV2582" s="394"/>
      <c r="AW2582" s="394"/>
      <c r="AX2582" s="394"/>
      <c r="AY2582" s="394"/>
      <c r="AZ2582" s="394"/>
      <c r="BA2582" s="394"/>
      <c r="BB2582" s="394"/>
      <c r="BC2582" s="394"/>
      <c r="BD2582" s="381"/>
      <c r="BE2582" s="408"/>
      <c r="BF2582" s="385"/>
      <c r="BG2582" s="475"/>
      <c r="BH2582" s="395"/>
      <c r="BI2582" s="395" t="e">
        <f t="shared" si="1051"/>
        <v>#DIV/0!</v>
      </c>
    </row>
    <row r="2583" spans="1:61" s="358" customFormat="1" ht="19.2" x14ac:dyDescent="0.3">
      <c r="A2583" s="359" t="s">
        <v>2224</v>
      </c>
      <c r="B2583" s="572" t="s">
        <v>2531</v>
      </c>
      <c r="C2583" s="546" t="s">
        <v>2530</v>
      </c>
      <c r="D2583" s="360">
        <v>0.4</v>
      </c>
      <c r="E2583" s="393"/>
      <c r="F2583" s="523"/>
      <c r="G2583" s="393"/>
      <c r="H2583" s="573"/>
      <c r="I2583" s="394"/>
      <c r="J2583" s="394"/>
      <c r="K2583" s="394"/>
      <c r="L2583" s="394"/>
      <c r="M2583" s="394"/>
      <c r="N2583" s="394"/>
      <c r="O2583" s="394"/>
      <c r="P2583" s="394"/>
      <c r="Q2583" s="394"/>
      <c r="R2583" s="381"/>
      <c r="S2583" s="408"/>
      <c r="T2583" s="385"/>
      <c r="U2583" s="475"/>
      <c r="V2583" s="395"/>
      <c r="W2583" s="395"/>
      <c r="X2583" s="393"/>
      <c r="Y2583" s="523">
        <v>1</v>
      </c>
      <c r="Z2583" s="497"/>
      <c r="AA2583" s="573">
        <v>19.070779999999999</v>
      </c>
      <c r="AB2583" s="394">
        <v>15.546200000000001</v>
      </c>
      <c r="AC2583" s="394">
        <v>14.418139999999999</v>
      </c>
      <c r="AD2583" s="394"/>
      <c r="AE2583" s="394"/>
      <c r="AF2583" s="394">
        <v>0</v>
      </c>
      <c r="AG2583" s="394">
        <v>0</v>
      </c>
      <c r="AH2583" s="394">
        <v>1.0313699999999999</v>
      </c>
      <c r="AI2583" s="394">
        <v>14.418139999999999</v>
      </c>
      <c r="AJ2583" s="394"/>
      <c r="AK2583" s="381" t="s">
        <v>167</v>
      </c>
      <c r="AL2583" s="408" t="s">
        <v>175</v>
      </c>
      <c r="AM2583" s="385"/>
      <c r="AN2583" s="475">
        <v>1375</v>
      </c>
      <c r="AO2583" s="395"/>
      <c r="AP2583" s="395">
        <f t="shared" si="1052"/>
        <v>19.070779999999999</v>
      </c>
      <c r="AQ2583" s="393"/>
      <c r="AR2583" s="523"/>
      <c r="AS2583" s="497"/>
      <c r="AT2583" s="573"/>
      <c r="AU2583" s="394"/>
      <c r="AV2583" s="394"/>
      <c r="AW2583" s="394"/>
      <c r="AX2583" s="394"/>
      <c r="AY2583" s="394"/>
      <c r="AZ2583" s="394"/>
      <c r="BA2583" s="394"/>
      <c r="BB2583" s="394"/>
      <c r="BC2583" s="394"/>
      <c r="BD2583" s="381"/>
      <c r="BE2583" s="408"/>
      <c r="BF2583" s="385"/>
      <c r="BG2583" s="475"/>
      <c r="BH2583" s="395"/>
      <c r="BI2583" s="395" t="e">
        <f t="shared" si="1051"/>
        <v>#DIV/0!</v>
      </c>
    </row>
    <row r="2584" spans="1:61" s="358" customFormat="1" ht="19.2" x14ac:dyDescent="0.3">
      <c r="A2584" s="359" t="s">
        <v>2225</v>
      </c>
      <c r="B2584" s="572" t="s">
        <v>4217</v>
      </c>
      <c r="C2584" s="546" t="s">
        <v>3353</v>
      </c>
      <c r="D2584" s="360">
        <v>0.4</v>
      </c>
      <c r="E2584" s="393"/>
      <c r="F2584" s="523"/>
      <c r="G2584" s="393"/>
      <c r="H2584" s="573"/>
      <c r="I2584" s="394"/>
      <c r="J2584" s="394"/>
      <c r="K2584" s="394"/>
      <c r="L2584" s="394"/>
      <c r="M2584" s="394"/>
      <c r="N2584" s="394"/>
      <c r="O2584" s="394"/>
      <c r="P2584" s="394"/>
      <c r="Q2584" s="394"/>
      <c r="R2584" s="381"/>
      <c r="S2584" s="408"/>
      <c r="T2584" s="385"/>
      <c r="U2584" s="475"/>
      <c r="V2584" s="395"/>
      <c r="W2584" s="395"/>
      <c r="X2584" s="393"/>
      <c r="Y2584" s="523">
        <v>1</v>
      </c>
      <c r="Z2584" s="497"/>
      <c r="AA2584" s="573">
        <v>18.039400000000001</v>
      </c>
      <c r="AB2584" s="394">
        <v>15.546189999999999</v>
      </c>
      <c r="AC2584" s="394">
        <v>14.418139999999999</v>
      </c>
      <c r="AD2584" s="394"/>
      <c r="AE2584" s="394"/>
      <c r="AF2584" s="394">
        <v>0</v>
      </c>
      <c r="AG2584" s="394">
        <v>0</v>
      </c>
      <c r="AH2584" s="394">
        <v>0.58123999999999998</v>
      </c>
      <c r="AI2584" s="394">
        <v>14.418139999999999</v>
      </c>
      <c r="AJ2584" s="394"/>
      <c r="AK2584" s="381" t="s">
        <v>167</v>
      </c>
      <c r="AL2584" s="408" t="s">
        <v>175</v>
      </c>
      <c r="AM2584" s="385"/>
      <c r="AN2584" s="475">
        <v>1376</v>
      </c>
      <c r="AO2584" s="395"/>
      <c r="AP2584" s="395">
        <f t="shared" si="1052"/>
        <v>18.039400000000001</v>
      </c>
      <c r="AQ2584" s="393"/>
      <c r="AR2584" s="523"/>
      <c r="AS2584" s="497"/>
      <c r="AT2584" s="573"/>
      <c r="AU2584" s="394"/>
      <c r="AV2584" s="394"/>
      <c r="AW2584" s="394"/>
      <c r="AX2584" s="394"/>
      <c r="AY2584" s="394"/>
      <c r="AZ2584" s="394"/>
      <c r="BA2584" s="394"/>
      <c r="BB2584" s="394"/>
      <c r="BC2584" s="394"/>
      <c r="BD2584" s="381"/>
      <c r="BE2584" s="408"/>
      <c r="BF2584" s="385"/>
      <c r="BG2584" s="475"/>
      <c r="BH2584" s="395"/>
      <c r="BI2584" s="395" t="e">
        <f t="shared" si="1051"/>
        <v>#DIV/0!</v>
      </c>
    </row>
    <row r="2585" spans="1:61" s="358" customFormat="1" ht="19.2" x14ac:dyDescent="0.3">
      <c r="A2585" s="359" t="s">
        <v>2226</v>
      </c>
      <c r="B2585" s="572" t="s">
        <v>4218</v>
      </c>
      <c r="C2585" s="546" t="s">
        <v>3354</v>
      </c>
      <c r="D2585" s="360">
        <v>0.4</v>
      </c>
      <c r="E2585" s="393"/>
      <c r="F2585" s="523"/>
      <c r="G2585" s="393"/>
      <c r="H2585" s="573"/>
      <c r="I2585" s="394"/>
      <c r="J2585" s="394"/>
      <c r="K2585" s="394"/>
      <c r="L2585" s="394"/>
      <c r="M2585" s="394"/>
      <c r="N2585" s="394"/>
      <c r="O2585" s="394"/>
      <c r="P2585" s="394"/>
      <c r="Q2585" s="394"/>
      <c r="R2585" s="381"/>
      <c r="S2585" s="408"/>
      <c r="T2585" s="385"/>
      <c r="U2585" s="475"/>
      <c r="V2585" s="395"/>
      <c r="W2585" s="395"/>
      <c r="X2585" s="393"/>
      <c r="Y2585" s="523">
        <v>1</v>
      </c>
      <c r="Z2585" s="497"/>
      <c r="AA2585" s="573">
        <v>18.03941</v>
      </c>
      <c r="AB2585" s="394">
        <v>15.546200000000001</v>
      </c>
      <c r="AC2585" s="394">
        <v>14.418139999999999</v>
      </c>
      <c r="AD2585" s="394"/>
      <c r="AE2585" s="394"/>
      <c r="AF2585" s="394">
        <v>0</v>
      </c>
      <c r="AG2585" s="394">
        <v>0</v>
      </c>
      <c r="AH2585" s="394">
        <v>0.58123999999999998</v>
      </c>
      <c r="AI2585" s="394">
        <v>14.418139999999999</v>
      </c>
      <c r="AJ2585" s="394"/>
      <c r="AK2585" s="381" t="s">
        <v>167</v>
      </c>
      <c r="AL2585" s="408" t="s">
        <v>175</v>
      </c>
      <c r="AM2585" s="385"/>
      <c r="AN2585" s="475">
        <v>1377</v>
      </c>
      <c r="AO2585" s="395"/>
      <c r="AP2585" s="395">
        <f t="shared" si="1052"/>
        <v>18.03941</v>
      </c>
      <c r="AQ2585" s="393"/>
      <c r="AR2585" s="523"/>
      <c r="AS2585" s="497"/>
      <c r="AT2585" s="573"/>
      <c r="AU2585" s="394"/>
      <c r="AV2585" s="394"/>
      <c r="AW2585" s="394"/>
      <c r="AX2585" s="394"/>
      <c r="AY2585" s="394"/>
      <c r="AZ2585" s="394"/>
      <c r="BA2585" s="394"/>
      <c r="BB2585" s="394"/>
      <c r="BC2585" s="394"/>
      <c r="BD2585" s="381"/>
      <c r="BE2585" s="408"/>
      <c r="BF2585" s="385"/>
      <c r="BG2585" s="475"/>
      <c r="BH2585" s="395"/>
      <c r="BI2585" s="395" t="e">
        <f t="shared" si="1051"/>
        <v>#DIV/0!</v>
      </c>
    </row>
    <row r="2586" spans="1:61" s="358" customFormat="1" ht="19.2" x14ac:dyDescent="0.3">
      <c r="A2586" s="359" t="s">
        <v>2227</v>
      </c>
      <c r="B2586" s="572" t="s">
        <v>4219</v>
      </c>
      <c r="C2586" s="546" t="s">
        <v>3355</v>
      </c>
      <c r="D2586" s="360">
        <v>0.4</v>
      </c>
      <c r="E2586" s="393"/>
      <c r="F2586" s="523"/>
      <c r="G2586" s="393"/>
      <c r="H2586" s="573"/>
      <c r="I2586" s="394"/>
      <c r="J2586" s="394"/>
      <c r="K2586" s="394"/>
      <c r="L2586" s="394"/>
      <c r="M2586" s="394"/>
      <c r="N2586" s="394"/>
      <c r="O2586" s="394"/>
      <c r="P2586" s="394"/>
      <c r="Q2586" s="394"/>
      <c r="R2586" s="381"/>
      <c r="S2586" s="408"/>
      <c r="T2586" s="385"/>
      <c r="U2586" s="475"/>
      <c r="V2586" s="395"/>
      <c r="W2586" s="395"/>
      <c r="X2586" s="393"/>
      <c r="Y2586" s="523">
        <v>1</v>
      </c>
      <c r="Z2586" s="497"/>
      <c r="AA2586" s="573">
        <v>18.039400000000001</v>
      </c>
      <c r="AB2586" s="394">
        <v>15.546189999999999</v>
      </c>
      <c r="AC2586" s="394">
        <v>14.418139999999999</v>
      </c>
      <c r="AD2586" s="394"/>
      <c r="AE2586" s="394"/>
      <c r="AF2586" s="394">
        <v>0</v>
      </c>
      <c r="AG2586" s="394">
        <v>0</v>
      </c>
      <c r="AH2586" s="394">
        <v>0.58123999999999998</v>
      </c>
      <c r="AI2586" s="394">
        <v>14.418139999999999</v>
      </c>
      <c r="AJ2586" s="394"/>
      <c r="AK2586" s="381" t="s">
        <v>167</v>
      </c>
      <c r="AL2586" s="408" t="s">
        <v>175</v>
      </c>
      <c r="AM2586" s="385"/>
      <c r="AN2586" s="475">
        <v>1378</v>
      </c>
      <c r="AO2586" s="395"/>
      <c r="AP2586" s="395">
        <f t="shared" si="1052"/>
        <v>18.039400000000001</v>
      </c>
      <c r="AQ2586" s="393"/>
      <c r="AR2586" s="523"/>
      <c r="AS2586" s="497"/>
      <c r="AT2586" s="573"/>
      <c r="AU2586" s="394"/>
      <c r="AV2586" s="394"/>
      <c r="AW2586" s="394"/>
      <c r="AX2586" s="394"/>
      <c r="AY2586" s="394"/>
      <c r="AZ2586" s="394"/>
      <c r="BA2586" s="394"/>
      <c r="BB2586" s="394"/>
      <c r="BC2586" s="394"/>
      <c r="BD2586" s="381"/>
      <c r="BE2586" s="408"/>
      <c r="BF2586" s="385"/>
      <c r="BG2586" s="475"/>
      <c r="BH2586" s="395"/>
      <c r="BI2586" s="395" t="e">
        <f t="shared" si="1051"/>
        <v>#DIV/0!</v>
      </c>
    </row>
    <row r="2587" spans="1:61" s="358" customFormat="1" ht="19.2" x14ac:dyDescent="0.3">
      <c r="A2587" s="359" t="s">
        <v>2244</v>
      </c>
      <c r="B2587" s="572" t="s">
        <v>4220</v>
      </c>
      <c r="C2587" s="546" t="s">
        <v>3356</v>
      </c>
      <c r="D2587" s="360">
        <v>0.4</v>
      </c>
      <c r="E2587" s="393"/>
      <c r="F2587" s="523"/>
      <c r="G2587" s="393"/>
      <c r="H2587" s="573"/>
      <c r="I2587" s="394"/>
      <c r="J2587" s="394"/>
      <c r="K2587" s="394"/>
      <c r="L2587" s="394"/>
      <c r="M2587" s="394"/>
      <c r="N2587" s="394"/>
      <c r="O2587" s="394"/>
      <c r="P2587" s="394"/>
      <c r="Q2587" s="394"/>
      <c r="R2587" s="381"/>
      <c r="S2587" s="408"/>
      <c r="T2587" s="385"/>
      <c r="U2587" s="475"/>
      <c r="V2587" s="395"/>
      <c r="W2587" s="395"/>
      <c r="X2587" s="393"/>
      <c r="Y2587" s="523">
        <v>1</v>
      </c>
      <c r="Z2587" s="497"/>
      <c r="AA2587" s="573">
        <v>18.039400000000001</v>
      </c>
      <c r="AB2587" s="394">
        <v>15.546189999999999</v>
      </c>
      <c r="AC2587" s="394">
        <v>14.418139999999999</v>
      </c>
      <c r="AD2587" s="394"/>
      <c r="AE2587" s="394"/>
      <c r="AF2587" s="394">
        <v>0</v>
      </c>
      <c r="AG2587" s="394">
        <v>0</v>
      </c>
      <c r="AH2587" s="394">
        <v>0.58123999999999998</v>
      </c>
      <c r="AI2587" s="394">
        <v>14.418139999999999</v>
      </c>
      <c r="AJ2587" s="394"/>
      <c r="AK2587" s="381" t="s">
        <v>167</v>
      </c>
      <c r="AL2587" s="408" t="s">
        <v>175</v>
      </c>
      <c r="AM2587" s="385"/>
      <c r="AN2587" s="475">
        <v>1379</v>
      </c>
      <c r="AO2587" s="395"/>
      <c r="AP2587" s="395">
        <f t="shared" si="1052"/>
        <v>18.039400000000001</v>
      </c>
      <c r="AQ2587" s="393"/>
      <c r="AR2587" s="523"/>
      <c r="AS2587" s="497"/>
      <c r="AT2587" s="573"/>
      <c r="AU2587" s="394"/>
      <c r="AV2587" s="394"/>
      <c r="AW2587" s="394"/>
      <c r="AX2587" s="394"/>
      <c r="AY2587" s="394"/>
      <c r="AZ2587" s="394"/>
      <c r="BA2587" s="394"/>
      <c r="BB2587" s="394"/>
      <c r="BC2587" s="394"/>
      <c r="BD2587" s="381"/>
      <c r="BE2587" s="408"/>
      <c r="BF2587" s="385"/>
      <c r="BG2587" s="475"/>
      <c r="BH2587" s="395"/>
      <c r="BI2587" s="395" t="e">
        <f t="shared" si="1051"/>
        <v>#DIV/0!</v>
      </c>
    </row>
    <row r="2588" spans="1:61" s="358" customFormat="1" ht="19.2" x14ac:dyDescent="0.3">
      <c r="A2588" s="359" t="s">
        <v>2229</v>
      </c>
      <c r="B2588" s="572" t="s">
        <v>4221</v>
      </c>
      <c r="C2588" s="546" t="s">
        <v>3357</v>
      </c>
      <c r="D2588" s="360">
        <v>0.4</v>
      </c>
      <c r="E2588" s="393"/>
      <c r="F2588" s="523"/>
      <c r="G2588" s="393"/>
      <c r="H2588" s="573"/>
      <c r="I2588" s="394"/>
      <c r="J2588" s="394"/>
      <c r="K2588" s="394"/>
      <c r="L2588" s="394"/>
      <c r="M2588" s="394"/>
      <c r="N2588" s="394"/>
      <c r="O2588" s="394"/>
      <c r="P2588" s="394"/>
      <c r="Q2588" s="394"/>
      <c r="R2588" s="381"/>
      <c r="S2588" s="408"/>
      <c r="T2588" s="385"/>
      <c r="U2588" s="475"/>
      <c r="V2588" s="395"/>
      <c r="W2588" s="395"/>
      <c r="X2588" s="393"/>
      <c r="Y2588" s="523">
        <v>1</v>
      </c>
      <c r="Z2588" s="497"/>
      <c r="AA2588" s="573">
        <v>18.03942</v>
      </c>
      <c r="AB2588" s="394">
        <v>15.54621</v>
      </c>
      <c r="AC2588" s="394">
        <v>14.418139999999999</v>
      </c>
      <c r="AD2588" s="394"/>
      <c r="AE2588" s="394"/>
      <c r="AF2588" s="394">
        <v>0</v>
      </c>
      <c r="AG2588" s="394">
        <v>0</v>
      </c>
      <c r="AH2588" s="394">
        <v>0.58123999999999998</v>
      </c>
      <c r="AI2588" s="394">
        <v>14.418139999999999</v>
      </c>
      <c r="AJ2588" s="394"/>
      <c r="AK2588" s="381" t="s">
        <v>167</v>
      </c>
      <c r="AL2588" s="408" t="s">
        <v>175</v>
      </c>
      <c r="AM2588" s="385"/>
      <c r="AN2588" s="475">
        <v>1380</v>
      </c>
      <c r="AO2588" s="395"/>
      <c r="AP2588" s="395">
        <f t="shared" si="1052"/>
        <v>18.03942</v>
      </c>
      <c r="AQ2588" s="393"/>
      <c r="AR2588" s="523"/>
      <c r="AS2588" s="497"/>
      <c r="AT2588" s="573"/>
      <c r="AU2588" s="394"/>
      <c r="AV2588" s="394"/>
      <c r="AW2588" s="394"/>
      <c r="AX2588" s="394"/>
      <c r="AY2588" s="394"/>
      <c r="AZ2588" s="394"/>
      <c r="BA2588" s="394"/>
      <c r="BB2588" s="394"/>
      <c r="BC2588" s="394"/>
      <c r="BD2588" s="381"/>
      <c r="BE2588" s="408"/>
      <c r="BF2588" s="385"/>
      <c r="BG2588" s="475"/>
      <c r="BH2588" s="395"/>
      <c r="BI2588" s="395" t="e">
        <f t="shared" si="1051"/>
        <v>#DIV/0!</v>
      </c>
    </row>
    <row r="2589" spans="1:61" s="358" customFormat="1" ht="19.2" x14ac:dyDescent="0.3">
      <c r="A2589" s="359" t="s">
        <v>2230</v>
      </c>
      <c r="B2589" s="572" t="s">
        <v>4222</v>
      </c>
      <c r="C2589" s="546" t="s">
        <v>3358</v>
      </c>
      <c r="D2589" s="360">
        <v>0.4</v>
      </c>
      <c r="E2589" s="393"/>
      <c r="F2589" s="523"/>
      <c r="G2589" s="393"/>
      <c r="H2589" s="573"/>
      <c r="I2589" s="394"/>
      <c r="J2589" s="394"/>
      <c r="K2589" s="394"/>
      <c r="L2589" s="394"/>
      <c r="M2589" s="394"/>
      <c r="N2589" s="394"/>
      <c r="O2589" s="394"/>
      <c r="P2589" s="394"/>
      <c r="Q2589" s="394"/>
      <c r="R2589" s="381"/>
      <c r="S2589" s="408"/>
      <c r="T2589" s="385"/>
      <c r="U2589" s="475"/>
      <c r="V2589" s="395"/>
      <c r="W2589" s="395"/>
      <c r="X2589" s="393"/>
      <c r="Y2589" s="523">
        <v>1</v>
      </c>
      <c r="Z2589" s="497"/>
      <c r="AA2589" s="573">
        <v>18.039400000000001</v>
      </c>
      <c r="AB2589" s="394">
        <v>15.546189999999999</v>
      </c>
      <c r="AC2589" s="394">
        <v>14.418139999999999</v>
      </c>
      <c r="AD2589" s="394"/>
      <c r="AE2589" s="394"/>
      <c r="AF2589" s="394">
        <v>0</v>
      </c>
      <c r="AG2589" s="394">
        <v>0</v>
      </c>
      <c r="AH2589" s="394">
        <v>0.58123999999999998</v>
      </c>
      <c r="AI2589" s="394">
        <v>14.418139999999999</v>
      </c>
      <c r="AJ2589" s="394"/>
      <c r="AK2589" s="381" t="s">
        <v>167</v>
      </c>
      <c r="AL2589" s="408" t="s">
        <v>175</v>
      </c>
      <c r="AM2589" s="385"/>
      <c r="AN2589" s="475">
        <v>1381</v>
      </c>
      <c r="AO2589" s="395"/>
      <c r="AP2589" s="395">
        <f t="shared" si="1052"/>
        <v>18.039400000000001</v>
      </c>
      <c r="AQ2589" s="393"/>
      <c r="AR2589" s="523"/>
      <c r="AS2589" s="497"/>
      <c r="AT2589" s="573"/>
      <c r="AU2589" s="394"/>
      <c r="AV2589" s="394"/>
      <c r="AW2589" s="394"/>
      <c r="AX2589" s="394"/>
      <c r="AY2589" s="394"/>
      <c r="AZ2589" s="394"/>
      <c r="BA2589" s="394"/>
      <c r="BB2589" s="394"/>
      <c r="BC2589" s="394"/>
      <c r="BD2589" s="381"/>
      <c r="BE2589" s="408"/>
      <c r="BF2589" s="385"/>
      <c r="BG2589" s="475"/>
      <c r="BH2589" s="395"/>
      <c r="BI2589" s="395" t="e">
        <f t="shared" si="1051"/>
        <v>#DIV/0!</v>
      </c>
    </row>
    <row r="2590" spans="1:61" s="358" customFormat="1" ht="19.2" x14ac:dyDescent="0.3">
      <c r="A2590" s="359" t="s">
        <v>2231</v>
      </c>
      <c r="B2590" s="572" t="s">
        <v>4223</v>
      </c>
      <c r="C2590" s="546" t="s">
        <v>3359</v>
      </c>
      <c r="D2590" s="360">
        <v>0.4</v>
      </c>
      <c r="E2590" s="393"/>
      <c r="F2590" s="523"/>
      <c r="G2590" s="393"/>
      <c r="H2590" s="573"/>
      <c r="I2590" s="394"/>
      <c r="J2590" s="394"/>
      <c r="K2590" s="394"/>
      <c r="L2590" s="394"/>
      <c r="M2590" s="394"/>
      <c r="N2590" s="394"/>
      <c r="O2590" s="394"/>
      <c r="P2590" s="394"/>
      <c r="Q2590" s="394"/>
      <c r="R2590" s="381"/>
      <c r="S2590" s="408"/>
      <c r="T2590" s="385"/>
      <c r="U2590" s="475"/>
      <c r="V2590" s="395"/>
      <c r="W2590" s="395"/>
      <c r="X2590" s="393"/>
      <c r="Y2590" s="523">
        <v>1</v>
      </c>
      <c r="Z2590" s="497"/>
      <c r="AA2590" s="573">
        <v>18.03941</v>
      </c>
      <c r="AB2590" s="394">
        <v>15.546200000000001</v>
      </c>
      <c r="AC2590" s="394">
        <v>14.418139999999999</v>
      </c>
      <c r="AD2590" s="394"/>
      <c r="AE2590" s="394"/>
      <c r="AF2590" s="394">
        <v>0</v>
      </c>
      <c r="AG2590" s="394">
        <v>0</v>
      </c>
      <c r="AH2590" s="394">
        <v>0.58123999999999998</v>
      </c>
      <c r="AI2590" s="394">
        <v>14.418139999999999</v>
      </c>
      <c r="AJ2590" s="394"/>
      <c r="AK2590" s="381" t="s">
        <v>167</v>
      </c>
      <c r="AL2590" s="408" t="s">
        <v>175</v>
      </c>
      <c r="AM2590" s="385"/>
      <c r="AN2590" s="475">
        <v>1382</v>
      </c>
      <c r="AO2590" s="395"/>
      <c r="AP2590" s="395">
        <f t="shared" si="1052"/>
        <v>18.03941</v>
      </c>
      <c r="AQ2590" s="393"/>
      <c r="AR2590" s="523"/>
      <c r="AS2590" s="497"/>
      <c r="AT2590" s="573"/>
      <c r="AU2590" s="394"/>
      <c r="AV2590" s="394"/>
      <c r="AW2590" s="394"/>
      <c r="AX2590" s="394"/>
      <c r="AY2590" s="394"/>
      <c r="AZ2590" s="394"/>
      <c r="BA2590" s="394"/>
      <c r="BB2590" s="394"/>
      <c r="BC2590" s="394"/>
      <c r="BD2590" s="381"/>
      <c r="BE2590" s="408"/>
      <c r="BF2590" s="385"/>
      <c r="BG2590" s="475"/>
      <c r="BH2590" s="395"/>
      <c r="BI2590" s="395" t="e">
        <f t="shared" si="1051"/>
        <v>#DIV/0!</v>
      </c>
    </row>
    <row r="2591" spans="1:61" s="358" customFormat="1" ht="19.2" x14ac:dyDescent="0.3">
      <c r="A2591" s="359" t="s">
        <v>2248</v>
      </c>
      <c r="B2591" s="572" t="s">
        <v>4224</v>
      </c>
      <c r="C2591" s="546" t="s">
        <v>3360</v>
      </c>
      <c r="D2591" s="360">
        <v>0.4</v>
      </c>
      <c r="E2591" s="393"/>
      <c r="F2591" s="523"/>
      <c r="G2591" s="393"/>
      <c r="H2591" s="573"/>
      <c r="I2591" s="394"/>
      <c r="J2591" s="394"/>
      <c r="K2591" s="394"/>
      <c r="L2591" s="394"/>
      <c r="M2591" s="394"/>
      <c r="N2591" s="394"/>
      <c r="O2591" s="394"/>
      <c r="P2591" s="394"/>
      <c r="Q2591" s="394"/>
      <c r="R2591" s="381"/>
      <c r="S2591" s="408"/>
      <c r="T2591" s="385"/>
      <c r="U2591" s="475"/>
      <c r="V2591" s="395"/>
      <c r="W2591" s="395"/>
      <c r="X2591" s="393"/>
      <c r="Y2591" s="523">
        <v>1</v>
      </c>
      <c r="Z2591" s="497"/>
      <c r="AA2591" s="573">
        <v>18.039400000000001</v>
      </c>
      <c r="AB2591" s="394">
        <v>15.546189999999999</v>
      </c>
      <c r="AC2591" s="394">
        <v>14.418139999999999</v>
      </c>
      <c r="AD2591" s="394"/>
      <c r="AE2591" s="394"/>
      <c r="AF2591" s="394">
        <v>0</v>
      </c>
      <c r="AG2591" s="394">
        <v>0</v>
      </c>
      <c r="AH2591" s="394">
        <v>0.58123999999999998</v>
      </c>
      <c r="AI2591" s="394">
        <v>14.418139999999999</v>
      </c>
      <c r="AJ2591" s="394"/>
      <c r="AK2591" s="381" t="s">
        <v>167</v>
      </c>
      <c r="AL2591" s="408" t="s">
        <v>175</v>
      </c>
      <c r="AM2591" s="385"/>
      <c r="AN2591" s="475">
        <v>1383</v>
      </c>
      <c r="AO2591" s="395"/>
      <c r="AP2591" s="395">
        <f t="shared" si="1052"/>
        <v>18.039400000000001</v>
      </c>
      <c r="AQ2591" s="393"/>
      <c r="AR2591" s="523"/>
      <c r="AS2591" s="497"/>
      <c r="AT2591" s="573"/>
      <c r="AU2591" s="394"/>
      <c r="AV2591" s="394"/>
      <c r="AW2591" s="394"/>
      <c r="AX2591" s="394"/>
      <c r="AY2591" s="394"/>
      <c r="AZ2591" s="394"/>
      <c r="BA2591" s="394"/>
      <c r="BB2591" s="394"/>
      <c r="BC2591" s="394"/>
      <c r="BD2591" s="381"/>
      <c r="BE2591" s="408"/>
      <c r="BF2591" s="385"/>
      <c r="BG2591" s="475"/>
      <c r="BH2591" s="395"/>
      <c r="BI2591" s="395" t="e">
        <f t="shared" si="1051"/>
        <v>#DIV/0!</v>
      </c>
    </row>
    <row r="2592" spans="1:61" s="358" customFormat="1" ht="19.2" x14ac:dyDescent="0.3">
      <c r="A2592" s="359" t="s">
        <v>2233</v>
      </c>
      <c r="B2592" s="572" t="s">
        <v>4225</v>
      </c>
      <c r="C2592" s="546" t="s">
        <v>3361</v>
      </c>
      <c r="D2592" s="360">
        <v>0.4</v>
      </c>
      <c r="E2592" s="393"/>
      <c r="F2592" s="523"/>
      <c r="G2592" s="393"/>
      <c r="H2592" s="573"/>
      <c r="I2592" s="394"/>
      <c r="J2592" s="394"/>
      <c r="K2592" s="394"/>
      <c r="L2592" s="394"/>
      <c r="M2592" s="394"/>
      <c r="N2592" s="394"/>
      <c r="O2592" s="394"/>
      <c r="P2592" s="394"/>
      <c r="Q2592" s="394"/>
      <c r="R2592" s="381"/>
      <c r="S2592" s="408"/>
      <c r="T2592" s="385"/>
      <c r="U2592" s="475"/>
      <c r="V2592" s="395"/>
      <c r="W2592" s="395"/>
      <c r="X2592" s="393"/>
      <c r="Y2592" s="523">
        <v>1</v>
      </c>
      <c r="Z2592" s="497"/>
      <c r="AA2592" s="573">
        <v>18.039400000000001</v>
      </c>
      <c r="AB2592" s="394">
        <v>15.546189999999999</v>
      </c>
      <c r="AC2592" s="394">
        <v>14.418139999999999</v>
      </c>
      <c r="AD2592" s="394"/>
      <c r="AE2592" s="394"/>
      <c r="AF2592" s="394">
        <v>0</v>
      </c>
      <c r="AG2592" s="394">
        <v>0</v>
      </c>
      <c r="AH2592" s="394">
        <v>0.58123999999999998</v>
      </c>
      <c r="AI2592" s="394">
        <v>14.418139999999999</v>
      </c>
      <c r="AJ2592" s="394"/>
      <c r="AK2592" s="381" t="s">
        <v>167</v>
      </c>
      <c r="AL2592" s="408" t="s">
        <v>175</v>
      </c>
      <c r="AM2592" s="385"/>
      <c r="AN2592" s="475">
        <v>1384</v>
      </c>
      <c r="AO2592" s="395"/>
      <c r="AP2592" s="395">
        <f t="shared" si="1052"/>
        <v>18.039400000000001</v>
      </c>
      <c r="AQ2592" s="393"/>
      <c r="AR2592" s="523"/>
      <c r="AS2592" s="497"/>
      <c r="AT2592" s="573"/>
      <c r="AU2592" s="394"/>
      <c r="AV2592" s="394"/>
      <c r="AW2592" s="394"/>
      <c r="AX2592" s="394"/>
      <c r="AY2592" s="394"/>
      <c r="AZ2592" s="394"/>
      <c r="BA2592" s="394"/>
      <c r="BB2592" s="394"/>
      <c r="BC2592" s="394"/>
      <c r="BD2592" s="381"/>
      <c r="BE2592" s="408"/>
      <c r="BF2592" s="385"/>
      <c r="BG2592" s="475"/>
      <c r="BH2592" s="395"/>
      <c r="BI2592" s="395" t="e">
        <f t="shared" si="1051"/>
        <v>#DIV/0!</v>
      </c>
    </row>
    <row r="2593" spans="1:61" s="358" customFormat="1" ht="19.2" x14ac:dyDescent="0.3">
      <c r="A2593" s="359" t="s">
        <v>2234</v>
      </c>
      <c r="B2593" s="572" t="s">
        <v>2466</v>
      </c>
      <c r="C2593" s="546" t="s">
        <v>2465</v>
      </c>
      <c r="D2593" s="360">
        <v>0.4</v>
      </c>
      <c r="E2593" s="393"/>
      <c r="F2593" s="523"/>
      <c r="G2593" s="393"/>
      <c r="H2593" s="573"/>
      <c r="I2593" s="394"/>
      <c r="J2593" s="394"/>
      <c r="K2593" s="394"/>
      <c r="L2593" s="394"/>
      <c r="M2593" s="394"/>
      <c r="N2593" s="394"/>
      <c r="O2593" s="394"/>
      <c r="P2593" s="394"/>
      <c r="Q2593" s="394"/>
      <c r="R2593" s="381"/>
      <c r="S2593" s="408"/>
      <c r="T2593" s="385"/>
      <c r="U2593" s="475"/>
      <c r="V2593" s="395"/>
      <c r="W2593" s="395"/>
      <c r="X2593" s="393"/>
      <c r="Y2593" s="523">
        <v>1</v>
      </c>
      <c r="Z2593" s="497"/>
      <c r="AA2593" s="573">
        <v>18.03941</v>
      </c>
      <c r="AB2593" s="394">
        <v>15.546200000000001</v>
      </c>
      <c r="AC2593" s="394">
        <v>14.418139999999999</v>
      </c>
      <c r="AD2593" s="394"/>
      <c r="AE2593" s="394"/>
      <c r="AF2593" s="394">
        <v>0</v>
      </c>
      <c r="AG2593" s="394">
        <v>0</v>
      </c>
      <c r="AH2593" s="394">
        <v>0.58123999999999998</v>
      </c>
      <c r="AI2593" s="394">
        <v>14.418139999999999</v>
      </c>
      <c r="AJ2593" s="394"/>
      <c r="AK2593" s="381" t="s">
        <v>167</v>
      </c>
      <c r="AL2593" s="408" t="s">
        <v>175</v>
      </c>
      <c r="AM2593" s="385"/>
      <c r="AN2593" s="475">
        <v>1385</v>
      </c>
      <c r="AO2593" s="395"/>
      <c r="AP2593" s="395">
        <f t="shared" si="1052"/>
        <v>18.03941</v>
      </c>
      <c r="AQ2593" s="393"/>
      <c r="AR2593" s="523"/>
      <c r="AS2593" s="497"/>
      <c r="AT2593" s="573"/>
      <c r="AU2593" s="394"/>
      <c r="AV2593" s="394"/>
      <c r="AW2593" s="394"/>
      <c r="AX2593" s="394"/>
      <c r="AY2593" s="394"/>
      <c r="AZ2593" s="394"/>
      <c r="BA2593" s="394"/>
      <c r="BB2593" s="394"/>
      <c r="BC2593" s="394"/>
      <c r="BD2593" s="381"/>
      <c r="BE2593" s="408"/>
      <c r="BF2593" s="385"/>
      <c r="BG2593" s="475"/>
      <c r="BH2593" s="395"/>
      <c r="BI2593" s="395" t="e">
        <f t="shared" si="1051"/>
        <v>#DIV/0!</v>
      </c>
    </row>
    <row r="2594" spans="1:61" s="358" customFormat="1" ht="19.2" x14ac:dyDescent="0.3">
      <c r="A2594" s="359" t="s">
        <v>2219</v>
      </c>
      <c r="B2594" s="572" t="s">
        <v>4226</v>
      </c>
      <c r="C2594" s="546" t="s">
        <v>3362</v>
      </c>
      <c r="D2594" s="360">
        <v>0.4</v>
      </c>
      <c r="E2594" s="393"/>
      <c r="F2594" s="523"/>
      <c r="G2594" s="393"/>
      <c r="H2594" s="573"/>
      <c r="I2594" s="394"/>
      <c r="J2594" s="394"/>
      <c r="K2594" s="394"/>
      <c r="L2594" s="394"/>
      <c r="M2594" s="394"/>
      <c r="N2594" s="394"/>
      <c r="O2594" s="394"/>
      <c r="P2594" s="394"/>
      <c r="Q2594" s="394"/>
      <c r="R2594" s="381"/>
      <c r="S2594" s="408"/>
      <c r="T2594" s="385"/>
      <c r="U2594" s="475"/>
      <c r="V2594" s="395"/>
      <c r="W2594" s="395"/>
      <c r="X2594" s="393"/>
      <c r="Y2594" s="523">
        <v>1</v>
      </c>
      <c r="Z2594" s="497"/>
      <c r="AA2594" s="573">
        <v>18.03942</v>
      </c>
      <c r="AB2594" s="394">
        <v>15.54621</v>
      </c>
      <c r="AC2594" s="394">
        <v>14.418139999999999</v>
      </c>
      <c r="AD2594" s="394"/>
      <c r="AE2594" s="394"/>
      <c r="AF2594" s="394">
        <v>0</v>
      </c>
      <c r="AG2594" s="394">
        <v>0</v>
      </c>
      <c r="AH2594" s="394">
        <v>0.58123999999999998</v>
      </c>
      <c r="AI2594" s="394">
        <v>14.418139999999999</v>
      </c>
      <c r="AJ2594" s="394"/>
      <c r="AK2594" s="381" t="s">
        <v>167</v>
      </c>
      <c r="AL2594" s="408" t="s">
        <v>175</v>
      </c>
      <c r="AM2594" s="385"/>
      <c r="AN2594" s="475">
        <v>1386</v>
      </c>
      <c r="AO2594" s="395"/>
      <c r="AP2594" s="395">
        <f t="shared" si="1052"/>
        <v>18.03942</v>
      </c>
      <c r="AQ2594" s="393"/>
      <c r="AR2594" s="523"/>
      <c r="AS2594" s="497"/>
      <c r="AT2594" s="573"/>
      <c r="AU2594" s="394"/>
      <c r="AV2594" s="394"/>
      <c r="AW2594" s="394"/>
      <c r="AX2594" s="394"/>
      <c r="AY2594" s="394"/>
      <c r="AZ2594" s="394"/>
      <c r="BA2594" s="394"/>
      <c r="BB2594" s="394"/>
      <c r="BC2594" s="394"/>
      <c r="BD2594" s="381"/>
      <c r="BE2594" s="408"/>
      <c r="BF2594" s="385"/>
      <c r="BG2594" s="475"/>
      <c r="BH2594" s="395"/>
      <c r="BI2594" s="395" t="e">
        <f t="shared" si="1051"/>
        <v>#DIV/0!</v>
      </c>
    </row>
    <row r="2595" spans="1:61" s="358" customFormat="1" ht="19.2" x14ac:dyDescent="0.3">
      <c r="A2595" s="359" t="s">
        <v>2236</v>
      </c>
      <c r="B2595" s="572" t="s">
        <v>2490</v>
      </c>
      <c r="C2595" s="546" t="s">
        <v>2489</v>
      </c>
      <c r="D2595" s="360">
        <v>0.4</v>
      </c>
      <c r="E2595" s="393"/>
      <c r="F2595" s="523"/>
      <c r="G2595" s="393"/>
      <c r="H2595" s="573"/>
      <c r="I2595" s="394"/>
      <c r="J2595" s="394"/>
      <c r="K2595" s="394"/>
      <c r="L2595" s="394"/>
      <c r="M2595" s="394"/>
      <c r="N2595" s="394"/>
      <c r="O2595" s="394"/>
      <c r="P2595" s="394"/>
      <c r="Q2595" s="394"/>
      <c r="R2595" s="381"/>
      <c r="S2595" s="408"/>
      <c r="T2595" s="385"/>
      <c r="U2595" s="475"/>
      <c r="V2595" s="395"/>
      <c r="W2595" s="395"/>
      <c r="X2595" s="393"/>
      <c r="Y2595" s="523">
        <v>1</v>
      </c>
      <c r="Z2595" s="497"/>
      <c r="AA2595" s="573">
        <v>18.00751</v>
      </c>
      <c r="AB2595" s="394">
        <v>15.5143</v>
      </c>
      <c r="AC2595" s="394">
        <v>14.418150000000001</v>
      </c>
      <c r="AD2595" s="394"/>
      <c r="AE2595" s="394"/>
      <c r="AF2595" s="394">
        <v>0</v>
      </c>
      <c r="AG2595" s="394">
        <v>0</v>
      </c>
      <c r="AH2595" s="394">
        <v>0.58123999999999998</v>
      </c>
      <c r="AI2595" s="394">
        <v>14.418150000000001</v>
      </c>
      <c r="AJ2595" s="394"/>
      <c r="AK2595" s="381" t="s">
        <v>167</v>
      </c>
      <c r="AL2595" s="408" t="s">
        <v>175</v>
      </c>
      <c r="AM2595" s="385"/>
      <c r="AN2595" s="475">
        <v>1387</v>
      </c>
      <c r="AO2595" s="395"/>
      <c r="AP2595" s="395">
        <f t="shared" si="1052"/>
        <v>18.00751</v>
      </c>
      <c r="AQ2595" s="393"/>
      <c r="AR2595" s="523"/>
      <c r="AS2595" s="497"/>
      <c r="AT2595" s="573"/>
      <c r="AU2595" s="394"/>
      <c r="AV2595" s="394"/>
      <c r="AW2595" s="394"/>
      <c r="AX2595" s="394"/>
      <c r="AY2595" s="394"/>
      <c r="AZ2595" s="394"/>
      <c r="BA2595" s="394"/>
      <c r="BB2595" s="394"/>
      <c r="BC2595" s="394"/>
      <c r="BD2595" s="381"/>
      <c r="BE2595" s="408"/>
      <c r="BF2595" s="385"/>
      <c r="BG2595" s="475"/>
      <c r="BH2595" s="395"/>
      <c r="BI2595" s="395" t="e">
        <f t="shared" si="1051"/>
        <v>#DIV/0!</v>
      </c>
    </row>
    <row r="2596" spans="1:61" s="358" customFormat="1" ht="19.2" x14ac:dyDescent="0.3">
      <c r="A2596" s="359" t="s">
        <v>2237</v>
      </c>
      <c r="B2596" s="572" t="s">
        <v>2472</v>
      </c>
      <c r="C2596" s="546" t="s">
        <v>2471</v>
      </c>
      <c r="D2596" s="360">
        <v>0.4</v>
      </c>
      <c r="E2596" s="393"/>
      <c r="F2596" s="523"/>
      <c r="G2596" s="393"/>
      <c r="H2596" s="573"/>
      <c r="I2596" s="394"/>
      <c r="J2596" s="394"/>
      <c r="K2596" s="394"/>
      <c r="L2596" s="394"/>
      <c r="M2596" s="394"/>
      <c r="N2596" s="394"/>
      <c r="O2596" s="394"/>
      <c r="P2596" s="394"/>
      <c r="Q2596" s="394"/>
      <c r="R2596" s="381"/>
      <c r="S2596" s="408"/>
      <c r="T2596" s="385"/>
      <c r="U2596" s="475"/>
      <c r="V2596" s="395"/>
      <c r="W2596" s="395"/>
      <c r="X2596" s="393"/>
      <c r="Y2596" s="523">
        <v>1</v>
      </c>
      <c r="Z2596" s="497"/>
      <c r="AA2596" s="573">
        <v>18.00751</v>
      </c>
      <c r="AB2596" s="394">
        <v>15.5143</v>
      </c>
      <c r="AC2596" s="394">
        <v>14.418150000000001</v>
      </c>
      <c r="AD2596" s="394"/>
      <c r="AE2596" s="394"/>
      <c r="AF2596" s="394">
        <v>0</v>
      </c>
      <c r="AG2596" s="394">
        <v>0</v>
      </c>
      <c r="AH2596" s="394">
        <v>0.58123999999999998</v>
      </c>
      <c r="AI2596" s="394">
        <v>14.418150000000001</v>
      </c>
      <c r="AJ2596" s="394"/>
      <c r="AK2596" s="381" t="s">
        <v>167</v>
      </c>
      <c r="AL2596" s="408" t="s">
        <v>175</v>
      </c>
      <c r="AM2596" s="385"/>
      <c r="AN2596" s="475">
        <v>1388</v>
      </c>
      <c r="AO2596" s="395"/>
      <c r="AP2596" s="395">
        <f t="shared" si="1052"/>
        <v>18.00751</v>
      </c>
      <c r="AQ2596" s="393"/>
      <c r="AR2596" s="523"/>
      <c r="AS2596" s="497"/>
      <c r="AT2596" s="573"/>
      <c r="AU2596" s="394"/>
      <c r="AV2596" s="394"/>
      <c r="AW2596" s="394"/>
      <c r="AX2596" s="394"/>
      <c r="AY2596" s="394"/>
      <c r="AZ2596" s="394"/>
      <c r="BA2596" s="394"/>
      <c r="BB2596" s="394"/>
      <c r="BC2596" s="394"/>
      <c r="BD2596" s="381"/>
      <c r="BE2596" s="408"/>
      <c r="BF2596" s="385"/>
      <c r="BG2596" s="475"/>
      <c r="BH2596" s="395"/>
      <c r="BI2596" s="395" t="e">
        <f t="shared" si="1051"/>
        <v>#DIV/0!</v>
      </c>
    </row>
    <row r="2597" spans="1:61" s="358" customFormat="1" ht="19.2" x14ac:dyDescent="0.3">
      <c r="A2597" s="359" t="s">
        <v>2238</v>
      </c>
      <c r="B2597" s="572" t="s">
        <v>2470</v>
      </c>
      <c r="C2597" s="546" t="s">
        <v>2469</v>
      </c>
      <c r="D2597" s="360">
        <v>0.4</v>
      </c>
      <c r="E2597" s="393"/>
      <c r="F2597" s="523"/>
      <c r="G2597" s="393"/>
      <c r="H2597" s="573"/>
      <c r="I2597" s="394"/>
      <c r="J2597" s="394"/>
      <c r="K2597" s="394"/>
      <c r="L2597" s="394"/>
      <c r="M2597" s="394"/>
      <c r="N2597" s="394"/>
      <c r="O2597" s="394"/>
      <c r="P2597" s="394"/>
      <c r="Q2597" s="394"/>
      <c r="R2597" s="381"/>
      <c r="S2597" s="408"/>
      <c r="T2597" s="385"/>
      <c r="U2597" s="475"/>
      <c r="V2597" s="395"/>
      <c r="W2597" s="395"/>
      <c r="X2597" s="393"/>
      <c r="Y2597" s="523">
        <v>1</v>
      </c>
      <c r="Z2597" s="497"/>
      <c r="AA2597" s="573">
        <v>18.0075</v>
      </c>
      <c r="AB2597" s="394">
        <v>15.514290000000001</v>
      </c>
      <c r="AC2597" s="394">
        <v>14.418150000000001</v>
      </c>
      <c r="AD2597" s="394"/>
      <c r="AE2597" s="394"/>
      <c r="AF2597" s="394">
        <v>0</v>
      </c>
      <c r="AG2597" s="394">
        <v>0</v>
      </c>
      <c r="AH2597" s="394">
        <v>0.58123999999999998</v>
      </c>
      <c r="AI2597" s="394">
        <v>14.418150000000001</v>
      </c>
      <c r="AJ2597" s="394"/>
      <c r="AK2597" s="381" t="s">
        <v>167</v>
      </c>
      <c r="AL2597" s="408" t="s">
        <v>175</v>
      </c>
      <c r="AM2597" s="385"/>
      <c r="AN2597" s="475">
        <v>1389</v>
      </c>
      <c r="AO2597" s="395"/>
      <c r="AP2597" s="395">
        <f t="shared" si="1052"/>
        <v>18.0075</v>
      </c>
      <c r="AQ2597" s="393"/>
      <c r="AR2597" s="523"/>
      <c r="AS2597" s="497"/>
      <c r="AT2597" s="573"/>
      <c r="AU2597" s="394"/>
      <c r="AV2597" s="394"/>
      <c r="AW2597" s="394"/>
      <c r="AX2597" s="394"/>
      <c r="AY2597" s="394"/>
      <c r="AZ2597" s="394"/>
      <c r="BA2597" s="394"/>
      <c r="BB2597" s="394"/>
      <c r="BC2597" s="394"/>
      <c r="BD2597" s="381"/>
      <c r="BE2597" s="408"/>
      <c r="BF2597" s="385"/>
      <c r="BG2597" s="475"/>
      <c r="BH2597" s="395"/>
      <c r="BI2597" s="395" t="e">
        <f t="shared" ref="BI2597:BI2660" si="1053">AT2597/AR2597</f>
        <v>#DIV/0!</v>
      </c>
    </row>
    <row r="2598" spans="1:61" s="358" customFormat="1" ht="19.2" x14ac:dyDescent="0.3">
      <c r="A2598" s="359" t="s">
        <v>2239</v>
      </c>
      <c r="B2598" s="572" t="s">
        <v>4054</v>
      </c>
      <c r="C2598" s="546" t="s">
        <v>3363</v>
      </c>
      <c r="D2598" s="360">
        <v>0.4</v>
      </c>
      <c r="E2598" s="393"/>
      <c r="F2598" s="523"/>
      <c r="G2598" s="393"/>
      <c r="H2598" s="573"/>
      <c r="I2598" s="394"/>
      <c r="J2598" s="394"/>
      <c r="K2598" s="394"/>
      <c r="L2598" s="394"/>
      <c r="M2598" s="394"/>
      <c r="N2598" s="394"/>
      <c r="O2598" s="394"/>
      <c r="P2598" s="394"/>
      <c r="Q2598" s="394"/>
      <c r="R2598" s="381"/>
      <c r="S2598" s="408"/>
      <c r="T2598" s="385"/>
      <c r="U2598" s="475"/>
      <c r="V2598" s="395"/>
      <c r="W2598" s="395"/>
      <c r="X2598" s="393"/>
      <c r="Y2598" s="523">
        <v>1</v>
      </c>
      <c r="Z2598" s="497"/>
      <c r="AA2598" s="573">
        <v>17.58746</v>
      </c>
      <c r="AB2598" s="394">
        <v>14.481019999999999</v>
      </c>
      <c r="AC2598" s="394">
        <v>12.85934</v>
      </c>
      <c r="AD2598" s="394"/>
      <c r="AE2598" s="394"/>
      <c r="AF2598" s="394">
        <v>0</v>
      </c>
      <c r="AG2598" s="394">
        <v>0</v>
      </c>
      <c r="AH2598" s="394">
        <v>0.72419999999999995</v>
      </c>
      <c r="AI2598" s="394">
        <v>12.85934</v>
      </c>
      <c r="AJ2598" s="394"/>
      <c r="AK2598" s="381" t="s">
        <v>167</v>
      </c>
      <c r="AL2598" s="408" t="s">
        <v>175</v>
      </c>
      <c r="AM2598" s="385"/>
      <c r="AN2598" s="475">
        <v>1390</v>
      </c>
      <c r="AO2598" s="395"/>
      <c r="AP2598" s="395">
        <f t="shared" si="1052"/>
        <v>17.58746</v>
      </c>
      <c r="AQ2598" s="393"/>
      <c r="AR2598" s="523"/>
      <c r="AS2598" s="497"/>
      <c r="AT2598" s="573"/>
      <c r="AU2598" s="394"/>
      <c r="AV2598" s="394"/>
      <c r="AW2598" s="394"/>
      <c r="AX2598" s="394"/>
      <c r="AY2598" s="394"/>
      <c r="AZ2598" s="394"/>
      <c r="BA2598" s="394"/>
      <c r="BB2598" s="394"/>
      <c r="BC2598" s="394"/>
      <c r="BD2598" s="381"/>
      <c r="BE2598" s="408"/>
      <c r="BF2598" s="385"/>
      <c r="BG2598" s="475"/>
      <c r="BH2598" s="395"/>
      <c r="BI2598" s="395" t="e">
        <f t="shared" si="1053"/>
        <v>#DIV/0!</v>
      </c>
    </row>
    <row r="2599" spans="1:61" s="358" customFormat="1" ht="19.2" x14ac:dyDescent="0.3">
      <c r="A2599" s="359" t="s">
        <v>2240</v>
      </c>
      <c r="B2599" s="572" t="s">
        <v>2476</v>
      </c>
      <c r="C2599" s="546" t="s">
        <v>2475</v>
      </c>
      <c r="D2599" s="360">
        <v>0.4</v>
      </c>
      <c r="E2599" s="393"/>
      <c r="F2599" s="523"/>
      <c r="G2599" s="393"/>
      <c r="H2599" s="573"/>
      <c r="I2599" s="394"/>
      <c r="J2599" s="394"/>
      <c r="K2599" s="394"/>
      <c r="L2599" s="394"/>
      <c r="M2599" s="394"/>
      <c r="N2599" s="394"/>
      <c r="O2599" s="394"/>
      <c r="P2599" s="394"/>
      <c r="Q2599" s="394"/>
      <c r="R2599" s="381"/>
      <c r="S2599" s="408"/>
      <c r="T2599" s="385"/>
      <c r="U2599" s="475"/>
      <c r="V2599" s="395"/>
      <c r="W2599" s="395"/>
      <c r="X2599" s="393"/>
      <c r="Y2599" s="523">
        <v>1</v>
      </c>
      <c r="Z2599" s="497"/>
      <c r="AA2599" s="573">
        <v>18.0075</v>
      </c>
      <c r="AB2599" s="394">
        <v>15.514290000000001</v>
      </c>
      <c r="AC2599" s="394">
        <v>14.418150000000001</v>
      </c>
      <c r="AD2599" s="394"/>
      <c r="AE2599" s="394"/>
      <c r="AF2599" s="394">
        <v>0</v>
      </c>
      <c r="AG2599" s="394">
        <v>0</v>
      </c>
      <c r="AH2599" s="394">
        <v>0.58123999999999998</v>
      </c>
      <c r="AI2599" s="394">
        <v>14.418150000000001</v>
      </c>
      <c r="AJ2599" s="394"/>
      <c r="AK2599" s="381" t="s">
        <v>167</v>
      </c>
      <c r="AL2599" s="408" t="s">
        <v>175</v>
      </c>
      <c r="AM2599" s="385"/>
      <c r="AN2599" s="475">
        <v>1391</v>
      </c>
      <c r="AO2599" s="395"/>
      <c r="AP2599" s="395">
        <f t="shared" si="1052"/>
        <v>18.0075</v>
      </c>
      <c r="AQ2599" s="393"/>
      <c r="AR2599" s="523"/>
      <c r="AS2599" s="497"/>
      <c r="AT2599" s="573"/>
      <c r="AU2599" s="394"/>
      <c r="AV2599" s="394"/>
      <c r="AW2599" s="394"/>
      <c r="AX2599" s="394"/>
      <c r="AY2599" s="394"/>
      <c r="AZ2599" s="394"/>
      <c r="BA2599" s="394"/>
      <c r="BB2599" s="394"/>
      <c r="BC2599" s="394"/>
      <c r="BD2599" s="381"/>
      <c r="BE2599" s="408"/>
      <c r="BF2599" s="385"/>
      <c r="BG2599" s="475"/>
      <c r="BH2599" s="395"/>
      <c r="BI2599" s="395" t="e">
        <f t="shared" si="1053"/>
        <v>#DIV/0!</v>
      </c>
    </row>
    <row r="2600" spans="1:61" s="358" customFormat="1" ht="19.2" x14ac:dyDescent="0.3">
      <c r="A2600" s="359" t="s">
        <v>2241</v>
      </c>
      <c r="B2600" s="572" t="s">
        <v>2560</v>
      </c>
      <c r="C2600" s="546" t="s">
        <v>2559</v>
      </c>
      <c r="D2600" s="360">
        <v>0.4</v>
      </c>
      <c r="E2600" s="393"/>
      <c r="F2600" s="523"/>
      <c r="G2600" s="393"/>
      <c r="H2600" s="573"/>
      <c r="I2600" s="394"/>
      <c r="J2600" s="394"/>
      <c r="K2600" s="394"/>
      <c r="L2600" s="394"/>
      <c r="M2600" s="394"/>
      <c r="N2600" s="394"/>
      <c r="O2600" s="394"/>
      <c r="P2600" s="394"/>
      <c r="Q2600" s="394"/>
      <c r="R2600" s="381"/>
      <c r="S2600" s="408"/>
      <c r="T2600" s="385"/>
      <c r="U2600" s="475"/>
      <c r="V2600" s="395"/>
      <c r="W2600" s="395"/>
      <c r="X2600" s="393"/>
      <c r="Y2600" s="523">
        <v>1</v>
      </c>
      <c r="Z2600" s="497"/>
      <c r="AA2600" s="573">
        <v>18.00751</v>
      </c>
      <c r="AB2600" s="394">
        <v>15.5143</v>
      </c>
      <c r="AC2600" s="394">
        <v>14.418150000000001</v>
      </c>
      <c r="AD2600" s="394"/>
      <c r="AE2600" s="394"/>
      <c r="AF2600" s="394">
        <v>0</v>
      </c>
      <c r="AG2600" s="394">
        <v>0</v>
      </c>
      <c r="AH2600" s="394">
        <v>0.58123999999999998</v>
      </c>
      <c r="AI2600" s="394">
        <v>14.418150000000001</v>
      </c>
      <c r="AJ2600" s="394"/>
      <c r="AK2600" s="381" t="s">
        <v>167</v>
      </c>
      <c r="AL2600" s="408" t="s">
        <v>175</v>
      </c>
      <c r="AM2600" s="385"/>
      <c r="AN2600" s="475">
        <v>1392</v>
      </c>
      <c r="AO2600" s="395"/>
      <c r="AP2600" s="395">
        <f t="shared" si="1052"/>
        <v>18.00751</v>
      </c>
      <c r="AQ2600" s="393"/>
      <c r="AR2600" s="523"/>
      <c r="AS2600" s="497"/>
      <c r="AT2600" s="573"/>
      <c r="AU2600" s="394"/>
      <c r="AV2600" s="394"/>
      <c r="AW2600" s="394"/>
      <c r="AX2600" s="394"/>
      <c r="AY2600" s="394"/>
      <c r="AZ2600" s="394"/>
      <c r="BA2600" s="394"/>
      <c r="BB2600" s="394"/>
      <c r="BC2600" s="394"/>
      <c r="BD2600" s="381"/>
      <c r="BE2600" s="408"/>
      <c r="BF2600" s="385"/>
      <c r="BG2600" s="475"/>
      <c r="BH2600" s="395"/>
      <c r="BI2600" s="395" t="e">
        <f t="shared" si="1053"/>
        <v>#DIV/0!</v>
      </c>
    </row>
    <row r="2601" spans="1:61" s="358" customFormat="1" ht="19.2" x14ac:dyDescent="0.3">
      <c r="A2601" s="359" t="s">
        <v>2242</v>
      </c>
      <c r="B2601" s="572" t="s">
        <v>2474</v>
      </c>
      <c r="C2601" s="546" t="s">
        <v>2473</v>
      </c>
      <c r="D2601" s="360">
        <v>0.4</v>
      </c>
      <c r="E2601" s="393"/>
      <c r="F2601" s="523"/>
      <c r="G2601" s="393"/>
      <c r="H2601" s="573"/>
      <c r="I2601" s="394"/>
      <c r="J2601" s="394"/>
      <c r="K2601" s="394"/>
      <c r="L2601" s="394"/>
      <c r="M2601" s="394"/>
      <c r="N2601" s="394"/>
      <c r="O2601" s="394"/>
      <c r="P2601" s="394"/>
      <c r="Q2601" s="394"/>
      <c r="R2601" s="381"/>
      <c r="S2601" s="408"/>
      <c r="T2601" s="385"/>
      <c r="U2601" s="475"/>
      <c r="V2601" s="395"/>
      <c r="W2601" s="395"/>
      <c r="X2601" s="393"/>
      <c r="Y2601" s="523">
        <v>1</v>
      </c>
      <c r="Z2601" s="497"/>
      <c r="AA2601" s="573">
        <v>18.981909999999999</v>
      </c>
      <c r="AB2601" s="394">
        <v>16.177399999999999</v>
      </c>
      <c r="AC2601" s="394">
        <v>14.41813</v>
      </c>
      <c r="AD2601" s="394"/>
      <c r="AE2601" s="394"/>
      <c r="AF2601" s="394">
        <v>0</v>
      </c>
      <c r="AG2601" s="394">
        <v>0</v>
      </c>
      <c r="AH2601" s="394">
        <v>0.65381</v>
      </c>
      <c r="AI2601" s="394">
        <v>14.41813</v>
      </c>
      <c r="AJ2601" s="394"/>
      <c r="AK2601" s="381" t="s">
        <v>167</v>
      </c>
      <c r="AL2601" s="408" t="s">
        <v>175</v>
      </c>
      <c r="AM2601" s="385"/>
      <c r="AN2601" s="475">
        <v>1393</v>
      </c>
      <c r="AO2601" s="395"/>
      <c r="AP2601" s="395">
        <f t="shared" si="1052"/>
        <v>18.981909999999999</v>
      </c>
      <c r="AQ2601" s="393"/>
      <c r="AR2601" s="523"/>
      <c r="AS2601" s="497"/>
      <c r="AT2601" s="573"/>
      <c r="AU2601" s="394"/>
      <c r="AV2601" s="394"/>
      <c r="AW2601" s="394"/>
      <c r="AX2601" s="394"/>
      <c r="AY2601" s="394"/>
      <c r="AZ2601" s="394"/>
      <c r="BA2601" s="394"/>
      <c r="BB2601" s="394"/>
      <c r="BC2601" s="394"/>
      <c r="BD2601" s="381"/>
      <c r="BE2601" s="408"/>
      <c r="BF2601" s="385"/>
      <c r="BG2601" s="475"/>
      <c r="BH2601" s="395"/>
      <c r="BI2601" s="395" t="e">
        <f t="shared" si="1053"/>
        <v>#DIV/0!</v>
      </c>
    </row>
    <row r="2602" spans="1:61" s="358" customFormat="1" ht="19.2" x14ac:dyDescent="0.3">
      <c r="A2602" s="359" t="s">
        <v>2243</v>
      </c>
      <c r="B2602" s="572" t="s">
        <v>4227</v>
      </c>
      <c r="C2602" s="546" t="s">
        <v>3365</v>
      </c>
      <c r="D2602" s="360">
        <v>0.4</v>
      </c>
      <c r="E2602" s="393"/>
      <c r="F2602" s="523"/>
      <c r="G2602" s="393"/>
      <c r="H2602" s="573"/>
      <c r="I2602" s="394"/>
      <c r="J2602" s="394"/>
      <c r="K2602" s="394"/>
      <c r="L2602" s="394"/>
      <c r="M2602" s="394"/>
      <c r="N2602" s="394"/>
      <c r="O2602" s="394"/>
      <c r="P2602" s="394"/>
      <c r="Q2602" s="394"/>
      <c r="R2602" s="381"/>
      <c r="S2602" s="408"/>
      <c r="T2602" s="385"/>
      <c r="U2602" s="475"/>
      <c r="V2602" s="395"/>
      <c r="W2602" s="395"/>
      <c r="X2602" s="393"/>
      <c r="Y2602" s="523">
        <v>1</v>
      </c>
      <c r="Z2602" s="497"/>
      <c r="AA2602" s="573">
        <v>14.162369999999999</v>
      </c>
      <c r="AB2602" s="394">
        <v>12.8637</v>
      </c>
      <c r="AC2602" s="394">
        <v>12.85937</v>
      </c>
      <c r="AD2602" s="394"/>
      <c r="AE2602" s="394"/>
      <c r="AF2602" s="394">
        <v>0</v>
      </c>
      <c r="AG2602" s="394">
        <v>0</v>
      </c>
      <c r="AH2602" s="394">
        <v>0.30275999999999997</v>
      </c>
      <c r="AI2602" s="394">
        <v>12.85937</v>
      </c>
      <c r="AJ2602" s="394"/>
      <c r="AK2602" s="381" t="s">
        <v>167</v>
      </c>
      <c r="AL2602" s="408" t="s">
        <v>175</v>
      </c>
      <c r="AM2602" s="385"/>
      <c r="AN2602" s="475">
        <v>1394</v>
      </c>
      <c r="AO2602" s="395"/>
      <c r="AP2602" s="395">
        <f t="shared" si="1052"/>
        <v>14.162369999999999</v>
      </c>
      <c r="AQ2602" s="393"/>
      <c r="AR2602" s="523"/>
      <c r="AS2602" s="497"/>
      <c r="AT2602" s="573"/>
      <c r="AU2602" s="394"/>
      <c r="AV2602" s="394"/>
      <c r="AW2602" s="394"/>
      <c r="AX2602" s="394"/>
      <c r="AY2602" s="394"/>
      <c r="AZ2602" s="394"/>
      <c r="BA2602" s="394"/>
      <c r="BB2602" s="394"/>
      <c r="BC2602" s="394"/>
      <c r="BD2602" s="381"/>
      <c r="BE2602" s="408"/>
      <c r="BF2602" s="385"/>
      <c r="BG2602" s="475"/>
      <c r="BH2602" s="395"/>
      <c r="BI2602" s="395" t="e">
        <f t="shared" si="1053"/>
        <v>#DIV/0!</v>
      </c>
    </row>
    <row r="2603" spans="1:61" s="358" customFormat="1" ht="19.2" x14ac:dyDescent="0.3">
      <c r="A2603" s="359" t="s">
        <v>4426</v>
      </c>
      <c r="B2603" s="572" t="s">
        <v>4228</v>
      </c>
      <c r="C2603" s="546" t="s">
        <v>3366</v>
      </c>
      <c r="D2603" s="360">
        <v>0.4</v>
      </c>
      <c r="E2603" s="393"/>
      <c r="F2603" s="523"/>
      <c r="G2603" s="393"/>
      <c r="H2603" s="573"/>
      <c r="I2603" s="394"/>
      <c r="J2603" s="394"/>
      <c r="K2603" s="394"/>
      <c r="L2603" s="394"/>
      <c r="M2603" s="394"/>
      <c r="N2603" s="394"/>
      <c r="O2603" s="394"/>
      <c r="P2603" s="394"/>
      <c r="Q2603" s="394"/>
      <c r="R2603" s="381"/>
      <c r="S2603" s="408"/>
      <c r="T2603" s="385"/>
      <c r="U2603" s="475"/>
      <c r="V2603" s="395"/>
      <c r="W2603" s="395"/>
      <c r="X2603" s="393"/>
      <c r="Y2603" s="523">
        <v>1</v>
      </c>
      <c r="Z2603" s="497"/>
      <c r="AA2603" s="573">
        <v>18.9819</v>
      </c>
      <c r="AB2603" s="394">
        <v>16.177299999999999</v>
      </c>
      <c r="AC2603" s="394">
        <v>14.41813</v>
      </c>
      <c r="AD2603" s="394"/>
      <c r="AE2603" s="394"/>
      <c r="AF2603" s="394">
        <v>0</v>
      </c>
      <c r="AG2603" s="394">
        <v>0</v>
      </c>
      <c r="AH2603" s="394">
        <v>0.65381</v>
      </c>
      <c r="AI2603" s="394">
        <v>14.41813</v>
      </c>
      <c r="AJ2603" s="394"/>
      <c r="AK2603" s="381" t="s">
        <v>167</v>
      </c>
      <c r="AL2603" s="408" t="s">
        <v>175</v>
      </c>
      <c r="AM2603" s="385"/>
      <c r="AN2603" s="475">
        <v>1395</v>
      </c>
      <c r="AO2603" s="395"/>
      <c r="AP2603" s="395">
        <f t="shared" si="1052"/>
        <v>18.9819</v>
      </c>
      <c r="AQ2603" s="393"/>
      <c r="AR2603" s="523"/>
      <c r="AS2603" s="497"/>
      <c r="AT2603" s="573"/>
      <c r="AU2603" s="394"/>
      <c r="AV2603" s="394"/>
      <c r="AW2603" s="394"/>
      <c r="AX2603" s="394"/>
      <c r="AY2603" s="394"/>
      <c r="AZ2603" s="394"/>
      <c r="BA2603" s="394"/>
      <c r="BB2603" s="394"/>
      <c r="BC2603" s="394"/>
      <c r="BD2603" s="381"/>
      <c r="BE2603" s="408"/>
      <c r="BF2603" s="385"/>
      <c r="BG2603" s="475"/>
      <c r="BH2603" s="395"/>
      <c r="BI2603" s="395" t="e">
        <f t="shared" si="1053"/>
        <v>#DIV/0!</v>
      </c>
    </row>
    <row r="2604" spans="1:61" s="358" customFormat="1" ht="19.2" x14ac:dyDescent="0.3">
      <c r="A2604" s="359" t="s">
        <v>2245</v>
      </c>
      <c r="B2604" s="572" t="s">
        <v>4229</v>
      </c>
      <c r="C2604" s="546" t="s">
        <v>3367</v>
      </c>
      <c r="D2604" s="360">
        <v>0.4</v>
      </c>
      <c r="E2604" s="393"/>
      <c r="F2604" s="523"/>
      <c r="G2604" s="393"/>
      <c r="H2604" s="573"/>
      <c r="I2604" s="394"/>
      <c r="J2604" s="394"/>
      <c r="K2604" s="394"/>
      <c r="L2604" s="394"/>
      <c r="M2604" s="394"/>
      <c r="N2604" s="394"/>
      <c r="O2604" s="394"/>
      <c r="P2604" s="394"/>
      <c r="Q2604" s="394"/>
      <c r="R2604" s="381"/>
      <c r="S2604" s="408"/>
      <c r="T2604" s="385"/>
      <c r="U2604" s="475"/>
      <c r="V2604" s="395"/>
      <c r="W2604" s="395"/>
      <c r="X2604" s="393"/>
      <c r="Y2604" s="523">
        <v>1</v>
      </c>
      <c r="Z2604" s="497"/>
      <c r="AA2604" s="573">
        <v>18.0075</v>
      </c>
      <c r="AB2604" s="394">
        <v>15.514290000000001</v>
      </c>
      <c r="AC2604" s="394">
        <v>14.418150000000001</v>
      </c>
      <c r="AD2604" s="394"/>
      <c r="AE2604" s="394"/>
      <c r="AF2604" s="394">
        <v>0</v>
      </c>
      <c r="AG2604" s="394">
        <v>0</v>
      </c>
      <c r="AH2604" s="394">
        <v>0.58123999999999998</v>
      </c>
      <c r="AI2604" s="394">
        <v>14.418150000000001</v>
      </c>
      <c r="AJ2604" s="394"/>
      <c r="AK2604" s="381" t="s">
        <v>167</v>
      </c>
      <c r="AL2604" s="408" t="s">
        <v>175</v>
      </c>
      <c r="AM2604" s="385"/>
      <c r="AN2604" s="475">
        <v>1396</v>
      </c>
      <c r="AO2604" s="395"/>
      <c r="AP2604" s="395">
        <f t="shared" si="1052"/>
        <v>18.0075</v>
      </c>
      <c r="AQ2604" s="393"/>
      <c r="AR2604" s="523"/>
      <c r="AS2604" s="497"/>
      <c r="AT2604" s="573"/>
      <c r="AU2604" s="394"/>
      <c r="AV2604" s="394"/>
      <c r="AW2604" s="394"/>
      <c r="AX2604" s="394"/>
      <c r="AY2604" s="394"/>
      <c r="AZ2604" s="394"/>
      <c r="BA2604" s="394"/>
      <c r="BB2604" s="394"/>
      <c r="BC2604" s="394"/>
      <c r="BD2604" s="381"/>
      <c r="BE2604" s="408"/>
      <c r="BF2604" s="385"/>
      <c r="BG2604" s="475"/>
      <c r="BH2604" s="395"/>
      <c r="BI2604" s="395" t="e">
        <f t="shared" si="1053"/>
        <v>#DIV/0!</v>
      </c>
    </row>
    <row r="2605" spans="1:61" s="358" customFormat="1" ht="19.2" x14ac:dyDescent="0.3">
      <c r="A2605" s="359" t="s">
        <v>2246</v>
      </c>
      <c r="B2605" s="572" t="s">
        <v>4230</v>
      </c>
      <c r="C2605" s="546" t="s">
        <v>3368</v>
      </c>
      <c r="D2605" s="360">
        <v>0.4</v>
      </c>
      <c r="E2605" s="393"/>
      <c r="F2605" s="523"/>
      <c r="G2605" s="393"/>
      <c r="H2605" s="573"/>
      <c r="I2605" s="394"/>
      <c r="J2605" s="394"/>
      <c r="K2605" s="394"/>
      <c r="L2605" s="394"/>
      <c r="M2605" s="394"/>
      <c r="N2605" s="394"/>
      <c r="O2605" s="394"/>
      <c r="P2605" s="394"/>
      <c r="Q2605" s="394"/>
      <c r="R2605" s="381"/>
      <c r="S2605" s="408"/>
      <c r="T2605" s="385"/>
      <c r="U2605" s="475"/>
      <c r="V2605" s="395"/>
      <c r="W2605" s="395"/>
      <c r="X2605" s="393"/>
      <c r="Y2605" s="523">
        <v>1</v>
      </c>
      <c r="Z2605" s="497"/>
      <c r="AA2605" s="573">
        <v>18.9819</v>
      </c>
      <c r="AB2605" s="394">
        <v>16.177299999999999</v>
      </c>
      <c r="AC2605" s="394">
        <v>14.41813</v>
      </c>
      <c r="AD2605" s="394"/>
      <c r="AE2605" s="394"/>
      <c r="AF2605" s="394">
        <v>0</v>
      </c>
      <c r="AG2605" s="394">
        <v>0</v>
      </c>
      <c r="AH2605" s="394">
        <v>0.65381</v>
      </c>
      <c r="AI2605" s="394">
        <v>14.41813</v>
      </c>
      <c r="AJ2605" s="394"/>
      <c r="AK2605" s="381" t="s">
        <v>167</v>
      </c>
      <c r="AL2605" s="408" t="s">
        <v>175</v>
      </c>
      <c r="AM2605" s="385"/>
      <c r="AN2605" s="475">
        <v>1397</v>
      </c>
      <c r="AO2605" s="395"/>
      <c r="AP2605" s="395">
        <f t="shared" si="1052"/>
        <v>18.9819</v>
      </c>
      <c r="AQ2605" s="393"/>
      <c r="AR2605" s="523"/>
      <c r="AS2605" s="497"/>
      <c r="AT2605" s="573"/>
      <c r="AU2605" s="394"/>
      <c r="AV2605" s="394"/>
      <c r="AW2605" s="394"/>
      <c r="AX2605" s="394"/>
      <c r="AY2605" s="394"/>
      <c r="AZ2605" s="394"/>
      <c r="BA2605" s="394"/>
      <c r="BB2605" s="394"/>
      <c r="BC2605" s="394"/>
      <c r="BD2605" s="381"/>
      <c r="BE2605" s="408"/>
      <c r="BF2605" s="385"/>
      <c r="BG2605" s="475"/>
      <c r="BH2605" s="395"/>
      <c r="BI2605" s="395" t="e">
        <f t="shared" si="1053"/>
        <v>#DIV/0!</v>
      </c>
    </row>
    <row r="2606" spans="1:61" s="358" customFormat="1" ht="19.2" x14ac:dyDescent="0.3">
      <c r="A2606" s="359" t="s">
        <v>2247</v>
      </c>
      <c r="B2606" s="572" t="s">
        <v>4231</v>
      </c>
      <c r="C2606" s="546" t="s">
        <v>3369</v>
      </c>
      <c r="D2606" s="360">
        <v>0.4</v>
      </c>
      <c r="E2606" s="393"/>
      <c r="F2606" s="523"/>
      <c r="G2606" s="393"/>
      <c r="H2606" s="573"/>
      <c r="I2606" s="394"/>
      <c r="J2606" s="394"/>
      <c r="K2606" s="394"/>
      <c r="L2606" s="394"/>
      <c r="M2606" s="394"/>
      <c r="N2606" s="394"/>
      <c r="O2606" s="394"/>
      <c r="P2606" s="394"/>
      <c r="Q2606" s="394"/>
      <c r="R2606" s="381"/>
      <c r="S2606" s="408"/>
      <c r="T2606" s="385"/>
      <c r="U2606" s="475"/>
      <c r="V2606" s="395"/>
      <c r="W2606" s="395"/>
      <c r="X2606" s="393"/>
      <c r="Y2606" s="523">
        <v>1</v>
      </c>
      <c r="Z2606" s="497"/>
      <c r="AA2606" s="573">
        <v>18.0075</v>
      </c>
      <c r="AB2606" s="394">
        <v>15.514290000000001</v>
      </c>
      <c r="AC2606" s="394">
        <v>14.418150000000001</v>
      </c>
      <c r="AD2606" s="394"/>
      <c r="AE2606" s="394"/>
      <c r="AF2606" s="394">
        <v>0</v>
      </c>
      <c r="AG2606" s="394">
        <v>0</v>
      </c>
      <c r="AH2606" s="394">
        <v>0.58123999999999998</v>
      </c>
      <c r="AI2606" s="394">
        <v>14.418150000000001</v>
      </c>
      <c r="AJ2606" s="394"/>
      <c r="AK2606" s="381" t="s">
        <v>167</v>
      </c>
      <c r="AL2606" s="408" t="s">
        <v>175</v>
      </c>
      <c r="AM2606" s="385"/>
      <c r="AN2606" s="475">
        <v>1398</v>
      </c>
      <c r="AO2606" s="395"/>
      <c r="AP2606" s="395">
        <f t="shared" si="1052"/>
        <v>18.0075</v>
      </c>
      <c r="AQ2606" s="393"/>
      <c r="AR2606" s="523"/>
      <c r="AS2606" s="497"/>
      <c r="AT2606" s="573"/>
      <c r="AU2606" s="394"/>
      <c r="AV2606" s="394"/>
      <c r="AW2606" s="394"/>
      <c r="AX2606" s="394"/>
      <c r="AY2606" s="394"/>
      <c r="AZ2606" s="394"/>
      <c r="BA2606" s="394"/>
      <c r="BB2606" s="394"/>
      <c r="BC2606" s="394"/>
      <c r="BD2606" s="381"/>
      <c r="BE2606" s="408"/>
      <c r="BF2606" s="385"/>
      <c r="BG2606" s="475"/>
      <c r="BH2606" s="395"/>
      <c r="BI2606" s="395" t="e">
        <f t="shared" si="1053"/>
        <v>#DIV/0!</v>
      </c>
    </row>
    <row r="2607" spans="1:61" s="358" customFormat="1" ht="19.2" x14ac:dyDescent="0.3">
      <c r="A2607" s="359" t="s">
        <v>4430</v>
      </c>
      <c r="B2607" s="572" t="s">
        <v>4232</v>
      </c>
      <c r="C2607" s="546" t="s">
        <v>3370</v>
      </c>
      <c r="D2607" s="360">
        <v>0.4</v>
      </c>
      <c r="E2607" s="393"/>
      <c r="F2607" s="523"/>
      <c r="G2607" s="393"/>
      <c r="H2607" s="573"/>
      <c r="I2607" s="394"/>
      <c r="J2607" s="394"/>
      <c r="K2607" s="394"/>
      <c r="L2607" s="394"/>
      <c r="M2607" s="394"/>
      <c r="N2607" s="394"/>
      <c r="O2607" s="394"/>
      <c r="P2607" s="394"/>
      <c r="Q2607" s="394"/>
      <c r="R2607" s="381"/>
      <c r="S2607" s="408"/>
      <c r="T2607" s="385"/>
      <c r="U2607" s="475"/>
      <c r="V2607" s="395"/>
      <c r="W2607" s="395"/>
      <c r="X2607" s="393"/>
      <c r="Y2607" s="523">
        <v>1</v>
      </c>
      <c r="Z2607" s="497"/>
      <c r="AA2607" s="573">
        <v>18.00751</v>
      </c>
      <c r="AB2607" s="394">
        <v>15.5143</v>
      </c>
      <c r="AC2607" s="394">
        <v>14.418150000000001</v>
      </c>
      <c r="AD2607" s="394"/>
      <c r="AE2607" s="394"/>
      <c r="AF2607" s="394">
        <v>0</v>
      </c>
      <c r="AG2607" s="394">
        <v>0</v>
      </c>
      <c r="AH2607" s="394">
        <v>0.58123999999999998</v>
      </c>
      <c r="AI2607" s="394">
        <v>14.418150000000001</v>
      </c>
      <c r="AJ2607" s="394"/>
      <c r="AK2607" s="381" t="s">
        <v>167</v>
      </c>
      <c r="AL2607" s="408" t="s">
        <v>175</v>
      </c>
      <c r="AM2607" s="385"/>
      <c r="AN2607" s="475">
        <v>1399</v>
      </c>
      <c r="AO2607" s="395"/>
      <c r="AP2607" s="395">
        <f t="shared" si="1052"/>
        <v>18.00751</v>
      </c>
      <c r="AQ2607" s="393"/>
      <c r="AR2607" s="523"/>
      <c r="AS2607" s="497"/>
      <c r="AT2607" s="573"/>
      <c r="AU2607" s="394"/>
      <c r="AV2607" s="394"/>
      <c r="AW2607" s="394"/>
      <c r="AX2607" s="394"/>
      <c r="AY2607" s="394"/>
      <c r="AZ2607" s="394"/>
      <c r="BA2607" s="394"/>
      <c r="BB2607" s="394"/>
      <c r="BC2607" s="394"/>
      <c r="BD2607" s="381"/>
      <c r="BE2607" s="408"/>
      <c r="BF2607" s="385"/>
      <c r="BG2607" s="475"/>
      <c r="BH2607" s="395"/>
      <c r="BI2607" s="395" t="e">
        <f t="shared" si="1053"/>
        <v>#DIV/0!</v>
      </c>
    </row>
    <row r="2608" spans="1:61" s="358" customFormat="1" ht="19.2" x14ac:dyDescent="0.3">
      <c r="A2608" s="359" t="s">
        <v>2249</v>
      </c>
      <c r="B2608" s="572" t="s">
        <v>4233</v>
      </c>
      <c r="C2608" s="546" t="s">
        <v>3371</v>
      </c>
      <c r="D2608" s="360">
        <v>0.4</v>
      </c>
      <c r="E2608" s="393"/>
      <c r="F2608" s="523"/>
      <c r="G2608" s="393"/>
      <c r="H2608" s="573"/>
      <c r="I2608" s="394"/>
      <c r="J2608" s="394"/>
      <c r="K2608" s="394"/>
      <c r="L2608" s="394"/>
      <c r="M2608" s="394"/>
      <c r="N2608" s="394"/>
      <c r="O2608" s="394"/>
      <c r="P2608" s="394"/>
      <c r="Q2608" s="394"/>
      <c r="R2608" s="381"/>
      <c r="S2608" s="408"/>
      <c r="T2608" s="385"/>
      <c r="U2608" s="475"/>
      <c r="V2608" s="395"/>
      <c r="W2608" s="395"/>
      <c r="X2608" s="393"/>
      <c r="Y2608" s="523">
        <v>1</v>
      </c>
      <c r="Z2608" s="497"/>
      <c r="AA2608" s="573">
        <v>18.0075</v>
      </c>
      <c r="AB2608" s="394">
        <v>15.514290000000001</v>
      </c>
      <c r="AC2608" s="394">
        <v>14.418150000000001</v>
      </c>
      <c r="AD2608" s="394"/>
      <c r="AE2608" s="394"/>
      <c r="AF2608" s="394">
        <v>0</v>
      </c>
      <c r="AG2608" s="394">
        <v>0</v>
      </c>
      <c r="AH2608" s="394">
        <v>0.58123999999999998</v>
      </c>
      <c r="AI2608" s="394">
        <v>14.418150000000001</v>
      </c>
      <c r="AJ2608" s="394"/>
      <c r="AK2608" s="381" t="s">
        <v>167</v>
      </c>
      <c r="AL2608" s="408" t="s">
        <v>175</v>
      </c>
      <c r="AM2608" s="385"/>
      <c r="AN2608" s="475">
        <v>1400</v>
      </c>
      <c r="AO2608" s="395"/>
      <c r="AP2608" s="395">
        <f t="shared" si="1052"/>
        <v>18.0075</v>
      </c>
      <c r="AQ2608" s="393"/>
      <c r="AR2608" s="523"/>
      <c r="AS2608" s="497"/>
      <c r="AT2608" s="573"/>
      <c r="AU2608" s="394"/>
      <c r="AV2608" s="394"/>
      <c r="AW2608" s="394"/>
      <c r="AX2608" s="394"/>
      <c r="AY2608" s="394"/>
      <c r="AZ2608" s="394"/>
      <c r="BA2608" s="394"/>
      <c r="BB2608" s="394"/>
      <c r="BC2608" s="394"/>
      <c r="BD2608" s="381"/>
      <c r="BE2608" s="408"/>
      <c r="BF2608" s="385"/>
      <c r="BG2608" s="475"/>
      <c r="BH2608" s="395"/>
      <c r="BI2608" s="395" t="e">
        <f t="shared" si="1053"/>
        <v>#DIV/0!</v>
      </c>
    </row>
    <row r="2609" spans="1:61" s="358" customFormat="1" ht="19.2" x14ac:dyDescent="0.3">
      <c r="A2609" s="359" t="s">
        <v>2250</v>
      </c>
      <c r="B2609" s="572" t="s">
        <v>4234</v>
      </c>
      <c r="C2609" s="546" t="s">
        <v>3372</v>
      </c>
      <c r="D2609" s="360">
        <v>0.4</v>
      </c>
      <c r="E2609" s="393"/>
      <c r="F2609" s="523"/>
      <c r="G2609" s="393"/>
      <c r="H2609" s="573"/>
      <c r="I2609" s="394"/>
      <c r="J2609" s="394"/>
      <c r="K2609" s="394"/>
      <c r="L2609" s="394"/>
      <c r="M2609" s="394"/>
      <c r="N2609" s="394"/>
      <c r="O2609" s="394"/>
      <c r="P2609" s="394"/>
      <c r="Q2609" s="394"/>
      <c r="R2609" s="381"/>
      <c r="S2609" s="408"/>
      <c r="T2609" s="385"/>
      <c r="U2609" s="475"/>
      <c r="V2609" s="395"/>
      <c r="W2609" s="395"/>
      <c r="X2609" s="393"/>
      <c r="Y2609" s="523">
        <v>1</v>
      </c>
      <c r="Z2609" s="497"/>
      <c r="AA2609" s="573">
        <v>18.00751</v>
      </c>
      <c r="AB2609" s="394">
        <v>15.5143</v>
      </c>
      <c r="AC2609" s="394">
        <v>14.418150000000001</v>
      </c>
      <c r="AD2609" s="394"/>
      <c r="AE2609" s="394"/>
      <c r="AF2609" s="394">
        <v>0</v>
      </c>
      <c r="AG2609" s="394">
        <v>0</v>
      </c>
      <c r="AH2609" s="394">
        <v>0.58123999999999998</v>
      </c>
      <c r="AI2609" s="394">
        <v>14.418150000000001</v>
      </c>
      <c r="AJ2609" s="394"/>
      <c r="AK2609" s="381" t="s">
        <v>167</v>
      </c>
      <c r="AL2609" s="408" t="s">
        <v>175</v>
      </c>
      <c r="AM2609" s="385"/>
      <c r="AN2609" s="475">
        <v>1401</v>
      </c>
      <c r="AO2609" s="395"/>
      <c r="AP2609" s="395">
        <f t="shared" si="1052"/>
        <v>18.00751</v>
      </c>
      <c r="AQ2609" s="393"/>
      <c r="AR2609" s="523"/>
      <c r="AS2609" s="497"/>
      <c r="AT2609" s="573"/>
      <c r="AU2609" s="394"/>
      <c r="AV2609" s="394"/>
      <c r="AW2609" s="394"/>
      <c r="AX2609" s="394"/>
      <c r="AY2609" s="394"/>
      <c r="AZ2609" s="394"/>
      <c r="BA2609" s="394"/>
      <c r="BB2609" s="394"/>
      <c r="BC2609" s="394"/>
      <c r="BD2609" s="381"/>
      <c r="BE2609" s="408"/>
      <c r="BF2609" s="385"/>
      <c r="BG2609" s="475"/>
      <c r="BH2609" s="395"/>
      <c r="BI2609" s="395" t="e">
        <f t="shared" si="1053"/>
        <v>#DIV/0!</v>
      </c>
    </row>
    <row r="2610" spans="1:61" s="358" customFormat="1" ht="19.2" x14ac:dyDescent="0.3">
      <c r="A2610" s="359" t="s">
        <v>2235</v>
      </c>
      <c r="B2610" s="572" t="s">
        <v>4235</v>
      </c>
      <c r="C2610" s="546" t="s">
        <v>3373</v>
      </c>
      <c r="D2610" s="360">
        <v>0.4</v>
      </c>
      <c r="E2610" s="393"/>
      <c r="F2610" s="523"/>
      <c r="G2610" s="393"/>
      <c r="H2610" s="573"/>
      <c r="I2610" s="394"/>
      <c r="J2610" s="394"/>
      <c r="K2610" s="394"/>
      <c r="L2610" s="394"/>
      <c r="M2610" s="394"/>
      <c r="N2610" s="394"/>
      <c r="O2610" s="394"/>
      <c r="P2610" s="394"/>
      <c r="Q2610" s="394"/>
      <c r="R2610" s="381"/>
      <c r="S2610" s="408"/>
      <c r="T2610" s="385"/>
      <c r="U2610" s="475"/>
      <c r="V2610" s="395"/>
      <c r="W2610" s="395"/>
      <c r="X2610" s="393"/>
      <c r="Y2610" s="523">
        <v>1</v>
      </c>
      <c r="Z2610" s="497"/>
      <c r="AA2610" s="573">
        <v>18.0075</v>
      </c>
      <c r="AB2610" s="394">
        <v>15.514290000000001</v>
      </c>
      <c r="AC2610" s="394">
        <v>14.418150000000001</v>
      </c>
      <c r="AD2610" s="394"/>
      <c r="AE2610" s="394"/>
      <c r="AF2610" s="394">
        <v>0</v>
      </c>
      <c r="AG2610" s="394">
        <v>0</v>
      </c>
      <c r="AH2610" s="394">
        <v>0.58123999999999998</v>
      </c>
      <c r="AI2610" s="394">
        <v>14.418150000000001</v>
      </c>
      <c r="AJ2610" s="394"/>
      <c r="AK2610" s="381" t="s">
        <v>167</v>
      </c>
      <c r="AL2610" s="408" t="s">
        <v>175</v>
      </c>
      <c r="AM2610" s="385"/>
      <c r="AN2610" s="475">
        <v>1402</v>
      </c>
      <c r="AO2610" s="395"/>
      <c r="AP2610" s="395">
        <f t="shared" si="1052"/>
        <v>18.0075</v>
      </c>
      <c r="AQ2610" s="393"/>
      <c r="AR2610" s="523"/>
      <c r="AS2610" s="497"/>
      <c r="AT2610" s="573"/>
      <c r="AU2610" s="394"/>
      <c r="AV2610" s="394"/>
      <c r="AW2610" s="394"/>
      <c r="AX2610" s="394"/>
      <c r="AY2610" s="394"/>
      <c r="AZ2610" s="394"/>
      <c r="BA2610" s="394"/>
      <c r="BB2610" s="394"/>
      <c r="BC2610" s="394"/>
      <c r="BD2610" s="381"/>
      <c r="BE2610" s="408"/>
      <c r="BF2610" s="385"/>
      <c r="BG2610" s="475"/>
      <c r="BH2610" s="395"/>
      <c r="BI2610" s="395" t="e">
        <f t="shared" si="1053"/>
        <v>#DIV/0!</v>
      </c>
    </row>
    <row r="2611" spans="1:61" s="358" customFormat="1" ht="19.2" x14ac:dyDescent="0.3">
      <c r="A2611" s="359" t="s">
        <v>2252</v>
      </c>
      <c r="B2611" s="572" t="s">
        <v>4236</v>
      </c>
      <c r="C2611" s="546" t="s">
        <v>3374</v>
      </c>
      <c r="D2611" s="360">
        <v>0.4</v>
      </c>
      <c r="E2611" s="393"/>
      <c r="F2611" s="523"/>
      <c r="G2611" s="393"/>
      <c r="H2611" s="573"/>
      <c r="I2611" s="394"/>
      <c r="J2611" s="394"/>
      <c r="K2611" s="394"/>
      <c r="L2611" s="394"/>
      <c r="M2611" s="394"/>
      <c r="N2611" s="394"/>
      <c r="O2611" s="394"/>
      <c r="P2611" s="394"/>
      <c r="Q2611" s="394"/>
      <c r="R2611" s="381"/>
      <c r="S2611" s="408"/>
      <c r="T2611" s="385"/>
      <c r="U2611" s="475"/>
      <c r="V2611" s="395"/>
      <c r="W2611" s="395"/>
      <c r="X2611" s="393"/>
      <c r="Y2611" s="523">
        <v>1</v>
      </c>
      <c r="Z2611" s="497"/>
      <c r="AA2611" s="573">
        <v>18.0075</v>
      </c>
      <c r="AB2611" s="394">
        <v>15.514290000000001</v>
      </c>
      <c r="AC2611" s="394">
        <v>14.418150000000001</v>
      </c>
      <c r="AD2611" s="394"/>
      <c r="AE2611" s="394"/>
      <c r="AF2611" s="394">
        <v>0</v>
      </c>
      <c r="AG2611" s="394">
        <v>0</v>
      </c>
      <c r="AH2611" s="394">
        <v>0.58123999999999998</v>
      </c>
      <c r="AI2611" s="394">
        <v>14.418150000000001</v>
      </c>
      <c r="AJ2611" s="394"/>
      <c r="AK2611" s="381" t="s">
        <v>167</v>
      </c>
      <c r="AL2611" s="408" t="s">
        <v>175</v>
      </c>
      <c r="AM2611" s="385"/>
      <c r="AN2611" s="475">
        <v>1403</v>
      </c>
      <c r="AO2611" s="395"/>
      <c r="AP2611" s="395">
        <f t="shared" si="1052"/>
        <v>18.0075</v>
      </c>
      <c r="AQ2611" s="393"/>
      <c r="AR2611" s="523"/>
      <c r="AS2611" s="497"/>
      <c r="AT2611" s="573"/>
      <c r="AU2611" s="394"/>
      <c r="AV2611" s="394"/>
      <c r="AW2611" s="394"/>
      <c r="AX2611" s="394"/>
      <c r="AY2611" s="394"/>
      <c r="AZ2611" s="394"/>
      <c r="BA2611" s="394"/>
      <c r="BB2611" s="394"/>
      <c r="BC2611" s="394"/>
      <c r="BD2611" s="381"/>
      <c r="BE2611" s="408"/>
      <c r="BF2611" s="385"/>
      <c r="BG2611" s="475"/>
      <c r="BH2611" s="395"/>
      <c r="BI2611" s="395" t="e">
        <f t="shared" si="1053"/>
        <v>#DIV/0!</v>
      </c>
    </row>
    <row r="2612" spans="1:61" s="358" customFormat="1" ht="19.2" x14ac:dyDescent="0.3">
      <c r="A2612" s="359" t="s">
        <v>2253</v>
      </c>
      <c r="B2612" s="572" t="s">
        <v>4237</v>
      </c>
      <c r="C2612" s="546" t="s">
        <v>3375</v>
      </c>
      <c r="D2612" s="360">
        <v>0.4</v>
      </c>
      <c r="E2612" s="393"/>
      <c r="F2612" s="523"/>
      <c r="G2612" s="393"/>
      <c r="H2612" s="573"/>
      <c r="I2612" s="394"/>
      <c r="J2612" s="394"/>
      <c r="K2612" s="394"/>
      <c r="L2612" s="394"/>
      <c r="M2612" s="394"/>
      <c r="N2612" s="394"/>
      <c r="O2612" s="394"/>
      <c r="P2612" s="394"/>
      <c r="Q2612" s="394"/>
      <c r="R2612" s="381"/>
      <c r="S2612" s="408"/>
      <c r="T2612" s="385"/>
      <c r="U2612" s="475"/>
      <c r="V2612" s="395"/>
      <c r="W2612" s="395"/>
      <c r="X2612" s="393"/>
      <c r="Y2612" s="523">
        <v>1</v>
      </c>
      <c r="Z2612" s="497"/>
      <c r="AA2612" s="573">
        <v>18.0075</v>
      </c>
      <c r="AB2612" s="394">
        <v>15.514290000000001</v>
      </c>
      <c r="AC2612" s="394">
        <v>14.418150000000001</v>
      </c>
      <c r="AD2612" s="394"/>
      <c r="AE2612" s="394"/>
      <c r="AF2612" s="394">
        <v>0</v>
      </c>
      <c r="AG2612" s="394">
        <v>0</v>
      </c>
      <c r="AH2612" s="394">
        <v>0.58123999999999998</v>
      </c>
      <c r="AI2612" s="394">
        <v>14.418150000000001</v>
      </c>
      <c r="AJ2612" s="394"/>
      <c r="AK2612" s="381" t="s">
        <v>167</v>
      </c>
      <c r="AL2612" s="408" t="s">
        <v>175</v>
      </c>
      <c r="AM2612" s="385"/>
      <c r="AN2612" s="475">
        <v>1404</v>
      </c>
      <c r="AO2612" s="395"/>
      <c r="AP2612" s="395">
        <f t="shared" si="1052"/>
        <v>18.0075</v>
      </c>
      <c r="AQ2612" s="393"/>
      <c r="AR2612" s="523"/>
      <c r="AS2612" s="497"/>
      <c r="AT2612" s="573"/>
      <c r="AU2612" s="394"/>
      <c r="AV2612" s="394"/>
      <c r="AW2612" s="394"/>
      <c r="AX2612" s="394"/>
      <c r="AY2612" s="394"/>
      <c r="AZ2612" s="394"/>
      <c r="BA2612" s="394"/>
      <c r="BB2612" s="394"/>
      <c r="BC2612" s="394"/>
      <c r="BD2612" s="381"/>
      <c r="BE2612" s="408"/>
      <c r="BF2612" s="385"/>
      <c r="BG2612" s="475"/>
      <c r="BH2612" s="395"/>
      <c r="BI2612" s="395" t="e">
        <f t="shared" si="1053"/>
        <v>#DIV/0!</v>
      </c>
    </row>
    <row r="2613" spans="1:61" s="358" customFormat="1" ht="19.2" x14ac:dyDescent="0.3">
      <c r="A2613" s="359" t="s">
        <v>2254</v>
      </c>
      <c r="B2613" s="572" t="s">
        <v>4238</v>
      </c>
      <c r="C2613" s="546" t="s">
        <v>3376</v>
      </c>
      <c r="D2613" s="360">
        <v>0.4</v>
      </c>
      <c r="E2613" s="393"/>
      <c r="F2613" s="523"/>
      <c r="G2613" s="393"/>
      <c r="H2613" s="573"/>
      <c r="I2613" s="394"/>
      <c r="J2613" s="394"/>
      <c r="K2613" s="394"/>
      <c r="L2613" s="394"/>
      <c r="M2613" s="394"/>
      <c r="N2613" s="394"/>
      <c r="O2613" s="394"/>
      <c r="P2613" s="394"/>
      <c r="Q2613" s="394"/>
      <c r="R2613" s="381"/>
      <c r="S2613" s="408"/>
      <c r="T2613" s="385"/>
      <c r="U2613" s="475"/>
      <c r="V2613" s="395"/>
      <c r="W2613" s="395"/>
      <c r="X2613" s="393"/>
      <c r="Y2613" s="523">
        <v>1</v>
      </c>
      <c r="Z2613" s="497"/>
      <c r="AA2613" s="573">
        <v>18.00751</v>
      </c>
      <c r="AB2613" s="394">
        <v>15.5143</v>
      </c>
      <c r="AC2613" s="394">
        <v>14.418150000000001</v>
      </c>
      <c r="AD2613" s="394"/>
      <c r="AE2613" s="394"/>
      <c r="AF2613" s="394">
        <v>0</v>
      </c>
      <c r="AG2613" s="394">
        <v>0</v>
      </c>
      <c r="AH2613" s="394">
        <v>0.58123999999999998</v>
      </c>
      <c r="AI2613" s="394">
        <v>14.418150000000001</v>
      </c>
      <c r="AJ2613" s="394"/>
      <c r="AK2613" s="381" t="s">
        <v>167</v>
      </c>
      <c r="AL2613" s="408" t="s">
        <v>175</v>
      </c>
      <c r="AM2613" s="385"/>
      <c r="AN2613" s="475">
        <v>1405</v>
      </c>
      <c r="AO2613" s="395"/>
      <c r="AP2613" s="395">
        <f t="shared" si="1052"/>
        <v>18.00751</v>
      </c>
      <c r="AQ2613" s="393"/>
      <c r="AR2613" s="523"/>
      <c r="AS2613" s="497"/>
      <c r="AT2613" s="573"/>
      <c r="AU2613" s="394"/>
      <c r="AV2613" s="394"/>
      <c r="AW2613" s="394"/>
      <c r="AX2613" s="394"/>
      <c r="AY2613" s="394"/>
      <c r="AZ2613" s="394"/>
      <c r="BA2613" s="394"/>
      <c r="BB2613" s="394"/>
      <c r="BC2613" s="394"/>
      <c r="BD2613" s="381"/>
      <c r="BE2613" s="408"/>
      <c r="BF2613" s="385"/>
      <c r="BG2613" s="475"/>
      <c r="BH2613" s="395"/>
      <c r="BI2613" s="395" t="e">
        <f t="shared" si="1053"/>
        <v>#DIV/0!</v>
      </c>
    </row>
    <row r="2614" spans="1:61" s="358" customFormat="1" ht="19.2" x14ac:dyDescent="0.3">
      <c r="A2614" s="359" t="s">
        <v>2255</v>
      </c>
      <c r="B2614" s="572" t="s">
        <v>4239</v>
      </c>
      <c r="C2614" s="546" t="s">
        <v>3377</v>
      </c>
      <c r="D2614" s="360">
        <v>0.4</v>
      </c>
      <c r="E2614" s="393"/>
      <c r="F2614" s="523"/>
      <c r="G2614" s="393"/>
      <c r="H2614" s="573"/>
      <c r="I2614" s="394"/>
      <c r="J2614" s="394"/>
      <c r="K2614" s="394"/>
      <c r="L2614" s="394"/>
      <c r="M2614" s="394"/>
      <c r="N2614" s="394"/>
      <c r="O2614" s="394"/>
      <c r="P2614" s="394"/>
      <c r="Q2614" s="394"/>
      <c r="R2614" s="381"/>
      <c r="S2614" s="408"/>
      <c r="T2614" s="385"/>
      <c r="U2614" s="475"/>
      <c r="V2614" s="395"/>
      <c r="W2614" s="395"/>
      <c r="X2614" s="393"/>
      <c r="Y2614" s="523">
        <v>1</v>
      </c>
      <c r="Z2614" s="497"/>
      <c r="AA2614" s="573">
        <v>18.0075</v>
      </c>
      <c r="AB2614" s="394">
        <v>15.514290000000001</v>
      </c>
      <c r="AC2614" s="394">
        <v>14.418150000000001</v>
      </c>
      <c r="AD2614" s="394"/>
      <c r="AE2614" s="394"/>
      <c r="AF2614" s="394">
        <v>0</v>
      </c>
      <c r="AG2614" s="394">
        <v>0</v>
      </c>
      <c r="AH2614" s="394">
        <v>0.58123999999999998</v>
      </c>
      <c r="AI2614" s="394">
        <v>14.418150000000001</v>
      </c>
      <c r="AJ2614" s="394"/>
      <c r="AK2614" s="381" t="s">
        <v>167</v>
      </c>
      <c r="AL2614" s="408" t="s">
        <v>175</v>
      </c>
      <c r="AM2614" s="385"/>
      <c r="AN2614" s="475">
        <v>1406</v>
      </c>
      <c r="AO2614" s="395"/>
      <c r="AP2614" s="395">
        <f t="shared" si="1052"/>
        <v>18.0075</v>
      </c>
      <c r="AQ2614" s="393"/>
      <c r="AR2614" s="523"/>
      <c r="AS2614" s="497"/>
      <c r="AT2614" s="573"/>
      <c r="AU2614" s="394"/>
      <c r="AV2614" s="394"/>
      <c r="AW2614" s="394"/>
      <c r="AX2614" s="394"/>
      <c r="AY2614" s="394"/>
      <c r="AZ2614" s="394"/>
      <c r="BA2614" s="394"/>
      <c r="BB2614" s="394"/>
      <c r="BC2614" s="394"/>
      <c r="BD2614" s="381"/>
      <c r="BE2614" s="408"/>
      <c r="BF2614" s="385"/>
      <c r="BG2614" s="475"/>
      <c r="BH2614" s="395"/>
      <c r="BI2614" s="395" t="e">
        <f t="shared" si="1053"/>
        <v>#DIV/0!</v>
      </c>
    </row>
    <row r="2615" spans="1:61" s="358" customFormat="1" ht="19.2" x14ac:dyDescent="0.3">
      <c r="A2615" s="359" t="s">
        <v>2257</v>
      </c>
      <c r="B2615" s="572" t="s">
        <v>4240</v>
      </c>
      <c r="C2615" s="546" t="s">
        <v>3378</v>
      </c>
      <c r="D2615" s="360">
        <v>0.4</v>
      </c>
      <c r="E2615" s="393"/>
      <c r="F2615" s="523"/>
      <c r="G2615" s="393"/>
      <c r="H2615" s="573"/>
      <c r="I2615" s="394"/>
      <c r="J2615" s="394"/>
      <c r="K2615" s="394"/>
      <c r="L2615" s="394"/>
      <c r="M2615" s="394"/>
      <c r="N2615" s="394"/>
      <c r="O2615" s="394"/>
      <c r="P2615" s="394"/>
      <c r="Q2615" s="394"/>
      <c r="R2615" s="381"/>
      <c r="S2615" s="408"/>
      <c r="T2615" s="385"/>
      <c r="U2615" s="475"/>
      <c r="V2615" s="395"/>
      <c r="W2615" s="395"/>
      <c r="X2615" s="393"/>
      <c r="Y2615" s="523">
        <v>1</v>
      </c>
      <c r="Z2615" s="497"/>
      <c r="AA2615" s="573">
        <v>18.0075</v>
      </c>
      <c r="AB2615" s="394">
        <v>15.514290000000001</v>
      </c>
      <c r="AC2615" s="394">
        <v>14.418150000000001</v>
      </c>
      <c r="AD2615" s="394"/>
      <c r="AE2615" s="394"/>
      <c r="AF2615" s="394">
        <v>0</v>
      </c>
      <c r="AG2615" s="394">
        <v>0</v>
      </c>
      <c r="AH2615" s="394">
        <v>0.58123999999999998</v>
      </c>
      <c r="AI2615" s="394">
        <v>14.418150000000001</v>
      </c>
      <c r="AJ2615" s="394"/>
      <c r="AK2615" s="381" t="s">
        <v>167</v>
      </c>
      <c r="AL2615" s="408" t="s">
        <v>175</v>
      </c>
      <c r="AM2615" s="385"/>
      <c r="AN2615" s="475">
        <v>1407</v>
      </c>
      <c r="AO2615" s="395"/>
      <c r="AP2615" s="395">
        <f t="shared" si="1052"/>
        <v>18.0075</v>
      </c>
      <c r="AQ2615" s="393"/>
      <c r="AR2615" s="523"/>
      <c r="AS2615" s="497"/>
      <c r="AT2615" s="573"/>
      <c r="AU2615" s="394"/>
      <c r="AV2615" s="394"/>
      <c r="AW2615" s="394"/>
      <c r="AX2615" s="394"/>
      <c r="AY2615" s="394"/>
      <c r="AZ2615" s="394"/>
      <c r="BA2615" s="394"/>
      <c r="BB2615" s="394"/>
      <c r="BC2615" s="394"/>
      <c r="BD2615" s="381"/>
      <c r="BE2615" s="408"/>
      <c r="BF2615" s="385"/>
      <c r="BG2615" s="475"/>
      <c r="BH2615" s="395"/>
      <c r="BI2615" s="395" t="e">
        <f t="shared" si="1053"/>
        <v>#DIV/0!</v>
      </c>
    </row>
    <row r="2616" spans="1:61" s="358" customFormat="1" ht="19.2" x14ac:dyDescent="0.3">
      <c r="A2616" s="359" t="s">
        <v>4423</v>
      </c>
      <c r="B2616" s="572" t="s">
        <v>4241</v>
      </c>
      <c r="C2616" s="546" t="s">
        <v>3379</v>
      </c>
      <c r="D2616" s="360">
        <v>0.4</v>
      </c>
      <c r="E2616" s="393"/>
      <c r="F2616" s="523"/>
      <c r="G2616" s="393"/>
      <c r="H2616" s="573"/>
      <c r="I2616" s="394"/>
      <c r="J2616" s="394"/>
      <c r="K2616" s="394"/>
      <c r="L2616" s="394"/>
      <c r="M2616" s="394"/>
      <c r="N2616" s="394"/>
      <c r="O2616" s="394"/>
      <c r="P2616" s="394"/>
      <c r="Q2616" s="394"/>
      <c r="R2616" s="381"/>
      <c r="S2616" s="408"/>
      <c r="T2616" s="385"/>
      <c r="U2616" s="475"/>
      <c r="V2616" s="395"/>
      <c r="W2616" s="395"/>
      <c r="X2616" s="393"/>
      <c r="Y2616" s="523">
        <v>1</v>
      </c>
      <c r="Z2616" s="497"/>
      <c r="AA2616" s="573">
        <v>37.963810000000002</v>
      </c>
      <c r="AB2616" s="394">
        <v>32.354799999999997</v>
      </c>
      <c r="AC2616" s="394">
        <v>28.836259999999999</v>
      </c>
      <c r="AD2616" s="394"/>
      <c r="AE2616" s="394"/>
      <c r="AF2616" s="394">
        <v>0</v>
      </c>
      <c r="AG2616" s="394">
        <v>0</v>
      </c>
      <c r="AH2616" s="394">
        <v>1.30762</v>
      </c>
      <c r="AI2616" s="394">
        <v>14.41813</v>
      </c>
      <c r="AJ2616" s="394"/>
      <c r="AK2616" s="381" t="s">
        <v>167</v>
      </c>
      <c r="AL2616" s="408" t="s">
        <v>175</v>
      </c>
      <c r="AM2616" s="385"/>
      <c r="AN2616" s="475">
        <v>1408</v>
      </c>
      <c r="AO2616" s="395"/>
      <c r="AP2616" s="395">
        <f t="shared" si="1052"/>
        <v>37.963810000000002</v>
      </c>
      <c r="AQ2616" s="393"/>
      <c r="AR2616" s="523"/>
      <c r="AS2616" s="497"/>
      <c r="AT2616" s="573"/>
      <c r="AU2616" s="394"/>
      <c r="AV2616" s="394"/>
      <c r="AW2616" s="394"/>
      <c r="AX2616" s="394"/>
      <c r="AY2616" s="394"/>
      <c r="AZ2616" s="394"/>
      <c r="BA2616" s="394"/>
      <c r="BB2616" s="394"/>
      <c r="BC2616" s="394"/>
      <c r="BD2616" s="381"/>
      <c r="BE2616" s="408"/>
      <c r="BF2616" s="385"/>
      <c r="BG2616" s="475"/>
      <c r="BH2616" s="395"/>
      <c r="BI2616" s="395" t="e">
        <f t="shared" si="1053"/>
        <v>#DIV/0!</v>
      </c>
    </row>
    <row r="2617" spans="1:61" s="358" customFormat="1" ht="19.2" x14ac:dyDescent="0.3">
      <c r="A2617" s="359" t="s">
        <v>4424</v>
      </c>
      <c r="B2617" s="572" t="s">
        <v>4242</v>
      </c>
      <c r="C2617" s="546" t="s">
        <v>3380</v>
      </c>
      <c r="D2617" s="360">
        <v>0.4</v>
      </c>
      <c r="E2617" s="393"/>
      <c r="F2617" s="523"/>
      <c r="G2617" s="393"/>
      <c r="H2617" s="573"/>
      <c r="I2617" s="394"/>
      <c r="J2617" s="394"/>
      <c r="K2617" s="394"/>
      <c r="L2617" s="394"/>
      <c r="M2617" s="394"/>
      <c r="N2617" s="394"/>
      <c r="O2617" s="394"/>
      <c r="P2617" s="394"/>
      <c r="Q2617" s="394"/>
      <c r="R2617" s="381"/>
      <c r="S2617" s="408"/>
      <c r="T2617" s="385"/>
      <c r="U2617" s="475"/>
      <c r="V2617" s="395"/>
      <c r="W2617" s="395"/>
      <c r="X2617" s="393"/>
      <c r="Y2617" s="523">
        <v>1</v>
      </c>
      <c r="Z2617" s="497"/>
      <c r="AA2617" s="573">
        <v>18.0075</v>
      </c>
      <c r="AB2617" s="394">
        <v>15.514290000000001</v>
      </c>
      <c r="AC2617" s="394">
        <v>14.418150000000001</v>
      </c>
      <c r="AD2617" s="394"/>
      <c r="AE2617" s="394"/>
      <c r="AF2617" s="394">
        <v>0</v>
      </c>
      <c r="AG2617" s="394">
        <v>0</v>
      </c>
      <c r="AH2617" s="394">
        <v>0.58123999999999998</v>
      </c>
      <c r="AI2617" s="394">
        <v>14.418150000000001</v>
      </c>
      <c r="AJ2617" s="394"/>
      <c r="AK2617" s="381" t="s">
        <v>167</v>
      </c>
      <c r="AL2617" s="408" t="s">
        <v>175</v>
      </c>
      <c r="AM2617" s="385"/>
      <c r="AN2617" s="475">
        <v>1409</v>
      </c>
      <c r="AO2617" s="395"/>
      <c r="AP2617" s="395">
        <f t="shared" si="1052"/>
        <v>18.0075</v>
      </c>
      <c r="AQ2617" s="393"/>
      <c r="AR2617" s="523"/>
      <c r="AS2617" s="497"/>
      <c r="AT2617" s="573"/>
      <c r="AU2617" s="394"/>
      <c r="AV2617" s="394"/>
      <c r="AW2617" s="394"/>
      <c r="AX2617" s="394"/>
      <c r="AY2617" s="394"/>
      <c r="AZ2617" s="394"/>
      <c r="BA2617" s="394"/>
      <c r="BB2617" s="394"/>
      <c r="BC2617" s="394"/>
      <c r="BD2617" s="381"/>
      <c r="BE2617" s="408"/>
      <c r="BF2617" s="385"/>
      <c r="BG2617" s="475"/>
      <c r="BH2617" s="395"/>
      <c r="BI2617" s="395" t="e">
        <f t="shared" si="1053"/>
        <v>#DIV/0!</v>
      </c>
    </row>
    <row r="2618" spans="1:61" s="358" customFormat="1" ht="19.2" x14ac:dyDescent="0.3">
      <c r="A2618" s="359" t="s">
        <v>4425</v>
      </c>
      <c r="B2618" s="572" t="s">
        <v>4243</v>
      </c>
      <c r="C2618" s="546" t="s">
        <v>3381</v>
      </c>
      <c r="D2618" s="360">
        <v>0.4</v>
      </c>
      <c r="E2618" s="393"/>
      <c r="F2618" s="523"/>
      <c r="G2618" s="393"/>
      <c r="H2618" s="573"/>
      <c r="I2618" s="394"/>
      <c r="J2618" s="394"/>
      <c r="K2618" s="394"/>
      <c r="L2618" s="394"/>
      <c r="M2618" s="394"/>
      <c r="N2618" s="394"/>
      <c r="O2618" s="394"/>
      <c r="P2618" s="394"/>
      <c r="Q2618" s="394"/>
      <c r="R2618" s="381"/>
      <c r="S2618" s="408"/>
      <c r="T2618" s="385"/>
      <c r="U2618" s="475"/>
      <c r="V2618" s="395"/>
      <c r="W2618" s="395"/>
      <c r="X2618" s="393"/>
      <c r="Y2618" s="523">
        <v>1</v>
      </c>
      <c r="Z2618" s="497"/>
      <c r="AA2618" s="573">
        <v>18.9819</v>
      </c>
      <c r="AB2618" s="394">
        <v>16.177299999999999</v>
      </c>
      <c r="AC2618" s="394">
        <v>14.41813</v>
      </c>
      <c r="AD2618" s="394"/>
      <c r="AE2618" s="394"/>
      <c r="AF2618" s="394">
        <v>0</v>
      </c>
      <c r="AG2618" s="394">
        <v>0</v>
      </c>
      <c r="AH2618" s="394">
        <v>0.65381</v>
      </c>
      <c r="AI2618" s="394">
        <v>14.41813</v>
      </c>
      <c r="AJ2618" s="394"/>
      <c r="AK2618" s="381" t="s">
        <v>167</v>
      </c>
      <c r="AL2618" s="408" t="s">
        <v>175</v>
      </c>
      <c r="AM2618" s="385"/>
      <c r="AN2618" s="475">
        <v>1410</v>
      </c>
      <c r="AO2618" s="395"/>
      <c r="AP2618" s="395">
        <f t="shared" si="1052"/>
        <v>18.9819</v>
      </c>
      <c r="AQ2618" s="393"/>
      <c r="AR2618" s="523"/>
      <c r="AS2618" s="497"/>
      <c r="AT2618" s="573"/>
      <c r="AU2618" s="394"/>
      <c r="AV2618" s="394"/>
      <c r="AW2618" s="394"/>
      <c r="AX2618" s="394"/>
      <c r="AY2618" s="394"/>
      <c r="AZ2618" s="394"/>
      <c r="BA2618" s="394"/>
      <c r="BB2618" s="394"/>
      <c r="BC2618" s="394"/>
      <c r="BD2618" s="381"/>
      <c r="BE2618" s="408"/>
      <c r="BF2618" s="385"/>
      <c r="BG2618" s="475"/>
      <c r="BH2618" s="395"/>
      <c r="BI2618" s="395" t="e">
        <f t="shared" si="1053"/>
        <v>#DIV/0!</v>
      </c>
    </row>
    <row r="2619" spans="1:61" s="358" customFormat="1" ht="19.2" x14ac:dyDescent="0.3">
      <c r="A2619" s="359" t="s">
        <v>4442</v>
      </c>
      <c r="B2619" s="572" t="s">
        <v>4244</v>
      </c>
      <c r="C2619" s="546" t="s">
        <v>3382</v>
      </c>
      <c r="D2619" s="360">
        <v>0.4</v>
      </c>
      <c r="E2619" s="393"/>
      <c r="F2619" s="523"/>
      <c r="G2619" s="393"/>
      <c r="H2619" s="573"/>
      <c r="I2619" s="394"/>
      <c r="J2619" s="394"/>
      <c r="K2619" s="394"/>
      <c r="L2619" s="394"/>
      <c r="M2619" s="394"/>
      <c r="N2619" s="394"/>
      <c r="O2619" s="394"/>
      <c r="P2619" s="394"/>
      <c r="Q2619" s="394"/>
      <c r="R2619" s="381"/>
      <c r="S2619" s="408"/>
      <c r="T2619" s="385"/>
      <c r="U2619" s="475"/>
      <c r="V2619" s="395"/>
      <c r="W2619" s="395"/>
      <c r="X2619" s="393"/>
      <c r="Y2619" s="523">
        <v>1</v>
      </c>
      <c r="Z2619" s="497"/>
      <c r="AA2619" s="573">
        <v>18.9819</v>
      </c>
      <c r="AB2619" s="394">
        <v>16.177299999999999</v>
      </c>
      <c r="AC2619" s="394">
        <v>14.41813</v>
      </c>
      <c r="AD2619" s="394"/>
      <c r="AE2619" s="394"/>
      <c r="AF2619" s="394">
        <v>0</v>
      </c>
      <c r="AG2619" s="394">
        <v>0</v>
      </c>
      <c r="AH2619" s="394">
        <v>0.65381</v>
      </c>
      <c r="AI2619" s="394">
        <v>14.41813</v>
      </c>
      <c r="AJ2619" s="394"/>
      <c r="AK2619" s="381" t="s">
        <v>167</v>
      </c>
      <c r="AL2619" s="408" t="s">
        <v>175</v>
      </c>
      <c r="AM2619" s="385"/>
      <c r="AN2619" s="475">
        <v>1411</v>
      </c>
      <c r="AO2619" s="395"/>
      <c r="AP2619" s="395">
        <f t="shared" si="1052"/>
        <v>18.9819</v>
      </c>
      <c r="AQ2619" s="393"/>
      <c r="AR2619" s="523"/>
      <c r="AS2619" s="497"/>
      <c r="AT2619" s="573"/>
      <c r="AU2619" s="394"/>
      <c r="AV2619" s="394"/>
      <c r="AW2619" s="394"/>
      <c r="AX2619" s="394"/>
      <c r="AY2619" s="394"/>
      <c r="AZ2619" s="394"/>
      <c r="BA2619" s="394"/>
      <c r="BB2619" s="394"/>
      <c r="BC2619" s="394"/>
      <c r="BD2619" s="381"/>
      <c r="BE2619" s="408"/>
      <c r="BF2619" s="385"/>
      <c r="BG2619" s="475"/>
      <c r="BH2619" s="395"/>
      <c r="BI2619" s="395" t="e">
        <f t="shared" si="1053"/>
        <v>#DIV/0!</v>
      </c>
    </row>
    <row r="2620" spans="1:61" s="358" customFormat="1" ht="19.2" x14ac:dyDescent="0.3">
      <c r="A2620" s="359" t="s">
        <v>4427</v>
      </c>
      <c r="B2620" s="572" t="s">
        <v>4245</v>
      </c>
      <c r="C2620" s="546" t="s">
        <v>3383</v>
      </c>
      <c r="D2620" s="360">
        <v>0.4</v>
      </c>
      <c r="E2620" s="393"/>
      <c r="F2620" s="523"/>
      <c r="G2620" s="393"/>
      <c r="H2620" s="573"/>
      <c r="I2620" s="394"/>
      <c r="J2620" s="394"/>
      <c r="K2620" s="394"/>
      <c r="L2620" s="394"/>
      <c r="M2620" s="394"/>
      <c r="N2620" s="394"/>
      <c r="O2620" s="394"/>
      <c r="P2620" s="394"/>
      <c r="Q2620" s="394"/>
      <c r="R2620" s="381"/>
      <c r="S2620" s="408"/>
      <c r="T2620" s="385"/>
      <c r="U2620" s="475"/>
      <c r="V2620" s="395"/>
      <c r="W2620" s="395"/>
      <c r="X2620" s="393"/>
      <c r="Y2620" s="523">
        <v>1</v>
      </c>
      <c r="Z2620" s="497"/>
      <c r="AA2620" s="573">
        <v>18.0075</v>
      </c>
      <c r="AB2620" s="394">
        <v>15.514290000000001</v>
      </c>
      <c r="AC2620" s="394">
        <v>14.418150000000001</v>
      </c>
      <c r="AD2620" s="394"/>
      <c r="AE2620" s="394"/>
      <c r="AF2620" s="394">
        <v>0</v>
      </c>
      <c r="AG2620" s="394">
        <v>0</v>
      </c>
      <c r="AH2620" s="394">
        <v>0.58123999999999998</v>
      </c>
      <c r="AI2620" s="394">
        <v>14.418150000000001</v>
      </c>
      <c r="AJ2620" s="394"/>
      <c r="AK2620" s="381" t="s">
        <v>167</v>
      </c>
      <c r="AL2620" s="408" t="s">
        <v>175</v>
      </c>
      <c r="AM2620" s="385"/>
      <c r="AN2620" s="475">
        <v>1412</v>
      </c>
      <c r="AO2620" s="395"/>
      <c r="AP2620" s="395">
        <f t="shared" si="1052"/>
        <v>18.0075</v>
      </c>
      <c r="AQ2620" s="393"/>
      <c r="AR2620" s="523"/>
      <c r="AS2620" s="497"/>
      <c r="AT2620" s="573"/>
      <c r="AU2620" s="394"/>
      <c r="AV2620" s="394"/>
      <c r="AW2620" s="394"/>
      <c r="AX2620" s="394"/>
      <c r="AY2620" s="394"/>
      <c r="AZ2620" s="394"/>
      <c r="BA2620" s="394"/>
      <c r="BB2620" s="394"/>
      <c r="BC2620" s="394"/>
      <c r="BD2620" s="381"/>
      <c r="BE2620" s="408"/>
      <c r="BF2620" s="385"/>
      <c r="BG2620" s="475"/>
      <c r="BH2620" s="395"/>
      <c r="BI2620" s="395" t="e">
        <f t="shared" si="1053"/>
        <v>#DIV/0!</v>
      </c>
    </row>
    <row r="2621" spans="1:61" s="358" customFormat="1" ht="19.2" x14ac:dyDescent="0.3">
      <c r="A2621" s="359" t="s">
        <v>4428</v>
      </c>
      <c r="B2621" s="572" t="s">
        <v>4246</v>
      </c>
      <c r="C2621" s="546" t="s">
        <v>3384</v>
      </c>
      <c r="D2621" s="360">
        <v>0.4</v>
      </c>
      <c r="E2621" s="393"/>
      <c r="F2621" s="523"/>
      <c r="G2621" s="393"/>
      <c r="H2621" s="573"/>
      <c r="I2621" s="394"/>
      <c r="J2621" s="394"/>
      <c r="K2621" s="394"/>
      <c r="L2621" s="394"/>
      <c r="M2621" s="394"/>
      <c r="N2621" s="394"/>
      <c r="O2621" s="394"/>
      <c r="P2621" s="394"/>
      <c r="Q2621" s="394"/>
      <c r="R2621" s="381"/>
      <c r="S2621" s="408"/>
      <c r="T2621" s="385"/>
      <c r="U2621" s="475"/>
      <c r="V2621" s="395"/>
      <c r="W2621" s="395"/>
      <c r="X2621" s="393"/>
      <c r="Y2621" s="523">
        <v>1</v>
      </c>
      <c r="Z2621" s="497"/>
      <c r="AA2621" s="573">
        <v>18.0075</v>
      </c>
      <c r="AB2621" s="394">
        <v>15.514290000000001</v>
      </c>
      <c r="AC2621" s="394">
        <v>14.418150000000001</v>
      </c>
      <c r="AD2621" s="394"/>
      <c r="AE2621" s="394"/>
      <c r="AF2621" s="394">
        <v>0</v>
      </c>
      <c r="AG2621" s="394">
        <v>0</v>
      </c>
      <c r="AH2621" s="394">
        <v>0.58123999999999998</v>
      </c>
      <c r="AI2621" s="394">
        <v>14.418150000000001</v>
      </c>
      <c r="AJ2621" s="394"/>
      <c r="AK2621" s="381" t="s">
        <v>167</v>
      </c>
      <c r="AL2621" s="408" t="s">
        <v>175</v>
      </c>
      <c r="AM2621" s="385"/>
      <c r="AN2621" s="475">
        <v>1413</v>
      </c>
      <c r="AO2621" s="395"/>
      <c r="AP2621" s="395">
        <f t="shared" si="1052"/>
        <v>18.0075</v>
      </c>
      <c r="AQ2621" s="393"/>
      <c r="AR2621" s="523"/>
      <c r="AS2621" s="497"/>
      <c r="AT2621" s="573"/>
      <c r="AU2621" s="394"/>
      <c r="AV2621" s="394"/>
      <c r="AW2621" s="394"/>
      <c r="AX2621" s="394"/>
      <c r="AY2621" s="394"/>
      <c r="AZ2621" s="394"/>
      <c r="BA2621" s="394"/>
      <c r="BB2621" s="394"/>
      <c r="BC2621" s="394"/>
      <c r="BD2621" s="381"/>
      <c r="BE2621" s="408"/>
      <c r="BF2621" s="385"/>
      <c r="BG2621" s="475"/>
      <c r="BH2621" s="395"/>
      <c r="BI2621" s="395" t="e">
        <f t="shared" si="1053"/>
        <v>#DIV/0!</v>
      </c>
    </row>
    <row r="2622" spans="1:61" s="358" customFormat="1" ht="19.2" x14ac:dyDescent="0.3">
      <c r="A2622" s="359" t="s">
        <v>4429</v>
      </c>
      <c r="B2622" s="572" t="s">
        <v>4247</v>
      </c>
      <c r="C2622" s="546" t="s">
        <v>3385</v>
      </c>
      <c r="D2622" s="360">
        <v>0.4</v>
      </c>
      <c r="E2622" s="393"/>
      <c r="F2622" s="523"/>
      <c r="G2622" s="393"/>
      <c r="H2622" s="573"/>
      <c r="I2622" s="394"/>
      <c r="J2622" s="394"/>
      <c r="K2622" s="394"/>
      <c r="L2622" s="394"/>
      <c r="M2622" s="394"/>
      <c r="N2622" s="394"/>
      <c r="O2622" s="394"/>
      <c r="P2622" s="394"/>
      <c r="Q2622" s="394"/>
      <c r="R2622" s="381"/>
      <c r="S2622" s="408"/>
      <c r="T2622" s="385"/>
      <c r="U2622" s="475"/>
      <c r="V2622" s="395"/>
      <c r="W2622" s="395"/>
      <c r="X2622" s="393"/>
      <c r="Y2622" s="523">
        <v>1</v>
      </c>
      <c r="Z2622" s="497"/>
      <c r="AA2622" s="573">
        <v>18.0075</v>
      </c>
      <c r="AB2622" s="394">
        <v>15.514290000000001</v>
      </c>
      <c r="AC2622" s="394">
        <v>14.418150000000001</v>
      </c>
      <c r="AD2622" s="394"/>
      <c r="AE2622" s="394"/>
      <c r="AF2622" s="394">
        <v>0</v>
      </c>
      <c r="AG2622" s="394">
        <v>0</v>
      </c>
      <c r="AH2622" s="394">
        <v>0.58123999999999998</v>
      </c>
      <c r="AI2622" s="394">
        <v>14.418150000000001</v>
      </c>
      <c r="AJ2622" s="394"/>
      <c r="AK2622" s="381" t="s">
        <v>167</v>
      </c>
      <c r="AL2622" s="408" t="s">
        <v>175</v>
      </c>
      <c r="AM2622" s="385"/>
      <c r="AN2622" s="475">
        <v>1414</v>
      </c>
      <c r="AO2622" s="395"/>
      <c r="AP2622" s="395">
        <f t="shared" si="1052"/>
        <v>18.0075</v>
      </c>
      <c r="AQ2622" s="393"/>
      <c r="AR2622" s="523"/>
      <c r="AS2622" s="497"/>
      <c r="AT2622" s="573"/>
      <c r="AU2622" s="394"/>
      <c r="AV2622" s="394"/>
      <c r="AW2622" s="394"/>
      <c r="AX2622" s="394"/>
      <c r="AY2622" s="394"/>
      <c r="AZ2622" s="394"/>
      <c r="BA2622" s="394"/>
      <c r="BB2622" s="394"/>
      <c r="BC2622" s="394"/>
      <c r="BD2622" s="381"/>
      <c r="BE2622" s="408"/>
      <c r="BF2622" s="385"/>
      <c r="BG2622" s="475"/>
      <c r="BH2622" s="395"/>
      <c r="BI2622" s="395" t="e">
        <f t="shared" si="1053"/>
        <v>#DIV/0!</v>
      </c>
    </row>
    <row r="2623" spans="1:61" s="358" customFormat="1" ht="19.2" x14ac:dyDescent="0.3">
      <c r="A2623" s="359" t="s">
        <v>4446</v>
      </c>
      <c r="B2623" s="572" t="s">
        <v>4248</v>
      </c>
      <c r="C2623" s="546" t="s">
        <v>3386</v>
      </c>
      <c r="D2623" s="360">
        <v>0.4</v>
      </c>
      <c r="E2623" s="393"/>
      <c r="F2623" s="523"/>
      <c r="G2623" s="393"/>
      <c r="H2623" s="573"/>
      <c r="I2623" s="394"/>
      <c r="J2623" s="394"/>
      <c r="K2623" s="394"/>
      <c r="L2623" s="394"/>
      <c r="M2623" s="394"/>
      <c r="N2623" s="394"/>
      <c r="O2623" s="394"/>
      <c r="P2623" s="394"/>
      <c r="Q2623" s="394"/>
      <c r="R2623" s="381"/>
      <c r="S2623" s="408"/>
      <c r="T2623" s="385"/>
      <c r="U2623" s="475"/>
      <c r="V2623" s="395"/>
      <c r="W2623" s="395"/>
      <c r="X2623" s="393"/>
      <c r="Y2623" s="523">
        <v>1</v>
      </c>
      <c r="Z2623" s="497"/>
      <c r="AA2623" s="573">
        <v>18.0075</v>
      </c>
      <c r="AB2623" s="394">
        <v>15.514290000000001</v>
      </c>
      <c r="AC2623" s="394">
        <v>14.418150000000001</v>
      </c>
      <c r="AD2623" s="394"/>
      <c r="AE2623" s="394"/>
      <c r="AF2623" s="394">
        <v>0</v>
      </c>
      <c r="AG2623" s="394">
        <v>0</v>
      </c>
      <c r="AH2623" s="394">
        <v>0.58123999999999998</v>
      </c>
      <c r="AI2623" s="394">
        <v>14.418150000000001</v>
      </c>
      <c r="AJ2623" s="394"/>
      <c r="AK2623" s="381" t="s">
        <v>167</v>
      </c>
      <c r="AL2623" s="408" t="s">
        <v>175</v>
      </c>
      <c r="AM2623" s="385"/>
      <c r="AN2623" s="475">
        <v>1415</v>
      </c>
      <c r="AO2623" s="395"/>
      <c r="AP2623" s="395">
        <f t="shared" si="1052"/>
        <v>18.0075</v>
      </c>
      <c r="AQ2623" s="393"/>
      <c r="AR2623" s="523"/>
      <c r="AS2623" s="497"/>
      <c r="AT2623" s="573"/>
      <c r="AU2623" s="394"/>
      <c r="AV2623" s="394"/>
      <c r="AW2623" s="394"/>
      <c r="AX2623" s="394"/>
      <c r="AY2623" s="394"/>
      <c r="AZ2623" s="394"/>
      <c r="BA2623" s="394"/>
      <c r="BB2623" s="394"/>
      <c r="BC2623" s="394"/>
      <c r="BD2623" s="381"/>
      <c r="BE2623" s="408"/>
      <c r="BF2623" s="385"/>
      <c r="BG2623" s="475"/>
      <c r="BH2623" s="395"/>
      <c r="BI2623" s="395" t="e">
        <f t="shared" si="1053"/>
        <v>#DIV/0!</v>
      </c>
    </row>
    <row r="2624" spans="1:61" s="358" customFormat="1" ht="19.2" x14ac:dyDescent="0.3">
      <c r="A2624" s="359" t="s">
        <v>4431</v>
      </c>
      <c r="B2624" s="572" t="s">
        <v>4249</v>
      </c>
      <c r="C2624" s="546" t="s">
        <v>3387</v>
      </c>
      <c r="D2624" s="360">
        <v>0.4</v>
      </c>
      <c r="E2624" s="393"/>
      <c r="F2624" s="523"/>
      <c r="G2624" s="393"/>
      <c r="H2624" s="573"/>
      <c r="I2624" s="394"/>
      <c r="J2624" s="394"/>
      <c r="K2624" s="394"/>
      <c r="L2624" s="394"/>
      <c r="M2624" s="394"/>
      <c r="N2624" s="394"/>
      <c r="O2624" s="394"/>
      <c r="P2624" s="394"/>
      <c r="Q2624" s="394"/>
      <c r="R2624" s="381"/>
      <c r="S2624" s="408"/>
      <c r="T2624" s="385"/>
      <c r="U2624" s="475"/>
      <c r="V2624" s="395"/>
      <c r="W2624" s="395"/>
      <c r="X2624" s="393"/>
      <c r="Y2624" s="523">
        <v>1</v>
      </c>
      <c r="Z2624" s="497"/>
      <c r="AA2624" s="573">
        <v>18.981909999999999</v>
      </c>
      <c r="AB2624" s="394">
        <v>16.177399999999999</v>
      </c>
      <c r="AC2624" s="394">
        <v>14.41813</v>
      </c>
      <c r="AD2624" s="394"/>
      <c r="AE2624" s="394"/>
      <c r="AF2624" s="394">
        <v>0</v>
      </c>
      <c r="AG2624" s="394">
        <v>0</v>
      </c>
      <c r="AH2624" s="394">
        <v>0.65381</v>
      </c>
      <c r="AI2624" s="394">
        <v>14.41813</v>
      </c>
      <c r="AJ2624" s="394"/>
      <c r="AK2624" s="381" t="s">
        <v>167</v>
      </c>
      <c r="AL2624" s="408" t="s">
        <v>175</v>
      </c>
      <c r="AM2624" s="385"/>
      <c r="AN2624" s="475">
        <v>1416</v>
      </c>
      <c r="AO2624" s="395"/>
      <c r="AP2624" s="395">
        <f t="shared" si="1052"/>
        <v>18.981909999999999</v>
      </c>
      <c r="AQ2624" s="393"/>
      <c r="AR2624" s="523"/>
      <c r="AS2624" s="497"/>
      <c r="AT2624" s="573"/>
      <c r="AU2624" s="394"/>
      <c r="AV2624" s="394"/>
      <c r="AW2624" s="394"/>
      <c r="AX2624" s="394"/>
      <c r="AY2624" s="394"/>
      <c r="AZ2624" s="394"/>
      <c r="BA2624" s="394"/>
      <c r="BB2624" s="394"/>
      <c r="BC2624" s="394"/>
      <c r="BD2624" s="381"/>
      <c r="BE2624" s="408"/>
      <c r="BF2624" s="385"/>
      <c r="BG2624" s="475"/>
      <c r="BH2624" s="395"/>
      <c r="BI2624" s="395" t="e">
        <f t="shared" si="1053"/>
        <v>#DIV/0!</v>
      </c>
    </row>
    <row r="2625" spans="1:61" s="358" customFormat="1" ht="19.2" x14ac:dyDescent="0.3">
      <c r="A2625" s="359" t="s">
        <v>4432</v>
      </c>
      <c r="B2625" s="572" t="s">
        <v>4250</v>
      </c>
      <c r="C2625" s="546" t="s">
        <v>3388</v>
      </c>
      <c r="D2625" s="360">
        <v>0.4</v>
      </c>
      <c r="E2625" s="393"/>
      <c r="F2625" s="523"/>
      <c r="G2625" s="393"/>
      <c r="H2625" s="573"/>
      <c r="I2625" s="394"/>
      <c r="J2625" s="394"/>
      <c r="K2625" s="394"/>
      <c r="L2625" s="394"/>
      <c r="M2625" s="394"/>
      <c r="N2625" s="394"/>
      <c r="O2625" s="394"/>
      <c r="P2625" s="394"/>
      <c r="Q2625" s="394"/>
      <c r="R2625" s="381"/>
      <c r="S2625" s="408"/>
      <c r="T2625" s="385"/>
      <c r="U2625" s="475"/>
      <c r="V2625" s="395"/>
      <c r="W2625" s="395"/>
      <c r="X2625" s="393"/>
      <c r="Y2625" s="523">
        <v>1</v>
      </c>
      <c r="Z2625" s="497"/>
      <c r="AA2625" s="573">
        <v>18.0075</v>
      </c>
      <c r="AB2625" s="394">
        <v>15.514290000000001</v>
      </c>
      <c r="AC2625" s="394">
        <v>14.418150000000001</v>
      </c>
      <c r="AD2625" s="394"/>
      <c r="AE2625" s="394"/>
      <c r="AF2625" s="394">
        <v>0</v>
      </c>
      <c r="AG2625" s="394">
        <v>0</v>
      </c>
      <c r="AH2625" s="394">
        <v>0.58123999999999998</v>
      </c>
      <c r="AI2625" s="394">
        <v>14.418150000000001</v>
      </c>
      <c r="AJ2625" s="394"/>
      <c r="AK2625" s="381" t="s">
        <v>167</v>
      </c>
      <c r="AL2625" s="408" t="s">
        <v>175</v>
      </c>
      <c r="AM2625" s="385"/>
      <c r="AN2625" s="475">
        <v>1417</v>
      </c>
      <c r="AO2625" s="395"/>
      <c r="AP2625" s="395">
        <f t="shared" si="1052"/>
        <v>18.0075</v>
      </c>
      <c r="AQ2625" s="393"/>
      <c r="AR2625" s="523"/>
      <c r="AS2625" s="497"/>
      <c r="AT2625" s="573"/>
      <c r="AU2625" s="394"/>
      <c r="AV2625" s="394"/>
      <c r="AW2625" s="394"/>
      <c r="AX2625" s="394"/>
      <c r="AY2625" s="394"/>
      <c r="AZ2625" s="394"/>
      <c r="BA2625" s="394"/>
      <c r="BB2625" s="394"/>
      <c r="BC2625" s="394"/>
      <c r="BD2625" s="381"/>
      <c r="BE2625" s="408"/>
      <c r="BF2625" s="385"/>
      <c r="BG2625" s="475"/>
      <c r="BH2625" s="395"/>
      <c r="BI2625" s="395" t="e">
        <f t="shared" si="1053"/>
        <v>#DIV/0!</v>
      </c>
    </row>
    <row r="2626" spans="1:61" s="358" customFormat="1" ht="19.2" x14ac:dyDescent="0.3">
      <c r="A2626" s="359" t="s">
        <v>2251</v>
      </c>
      <c r="B2626" s="572" t="s">
        <v>4251</v>
      </c>
      <c r="C2626" s="546" t="s">
        <v>3389</v>
      </c>
      <c r="D2626" s="360">
        <v>0.4</v>
      </c>
      <c r="E2626" s="393"/>
      <c r="F2626" s="523"/>
      <c r="G2626" s="393"/>
      <c r="H2626" s="573"/>
      <c r="I2626" s="394"/>
      <c r="J2626" s="394"/>
      <c r="K2626" s="394"/>
      <c r="L2626" s="394"/>
      <c r="M2626" s="394"/>
      <c r="N2626" s="394"/>
      <c r="O2626" s="394"/>
      <c r="P2626" s="394"/>
      <c r="Q2626" s="394"/>
      <c r="R2626" s="381"/>
      <c r="S2626" s="408"/>
      <c r="T2626" s="385"/>
      <c r="U2626" s="475"/>
      <c r="V2626" s="395"/>
      <c r="W2626" s="395"/>
      <c r="X2626" s="393"/>
      <c r="Y2626" s="523">
        <v>1</v>
      </c>
      <c r="Z2626" s="497"/>
      <c r="AA2626" s="573">
        <v>18.0075</v>
      </c>
      <c r="AB2626" s="394">
        <v>15.514290000000001</v>
      </c>
      <c r="AC2626" s="394">
        <v>14.418150000000001</v>
      </c>
      <c r="AD2626" s="394"/>
      <c r="AE2626" s="394"/>
      <c r="AF2626" s="394">
        <v>0</v>
      </c>
      <c r="AG2626" s="394">
        <v>0</v>
      </c>
      <c r="AH2626" s="394">
        <v>0.58123999999999998</v>
      </c>
      <c r="AI2626" s="394">
        <v>14.418150000000001</v>
      </c>
      <c r="AJ2626" s="394"/>
      <c r="AK2626" s="381" t="s">
        <v>167</v>
      </c>
      <c r="AL2626" s="408" t="s">
        <v>175</v>
      </c>
      <c r="AM2626" s="385"/>
      <c r="AN2626" s="475">
        <v>1418</v>
      </c>
      <c r="AO2626" s="395"/>
      <c r="AP2626" s="395">
        <f t="shared" si="1052"/>
        <v>18.0075</v>
      </c>
      <c r="AQ2626" s="393"/>
      <c r="AR2626" s="523"/>
      <c r="AS2626" s="497"/>
      <c r="AT2626" s="573"/>
      <c r="AU2626" s="394"/>
      <c r="AV2626" s="394"/>
      <c r="AW2626" s="394"/>
      <c r="AX2626" s="394"/>
      <c r="AY2626" s="394"/>
      <c r="AZ2626" s="394"/>
      <c r="BA2626" s="394"/>
      <c r="BB2626" s="394"/>
      <c r="BC2626" s="394"/>
      <c r="BD2626" s="381"/>
      <c r="BE2626" s="408"/>
      <c r="BF2626" s="385"/>
      <c r="BG2626" s="475"/>
      <c r="BH2626" s="395"/>
      <c r="BI2626" s="395" t="e">
        <f t="shared" si="1053"/>
        <v>#DIV/0!</v>
      </c>
    </row>
    <row r="2627" spans="1:61" s="358" customFormat="1" ht="19.2" x14ac:dyDescent="0.3">
      <c r="A2627" s="359" t="s">
        <v>4434</v>
      </c>
      <c r="B2627" s="572" t="s">
        <v>4252</v>
      </c>
      <c r="C2627" s="546" t="s">
        <v>3390</v>
      </c>
      <c r="D2627" s="360">
        <v>0.4</v>
      </c>
      <c r="E2627" s="393"/>
      <c r="F2627" s="523"/>
      <c r="G2627" s="393"/>
      <c r="H2627" s="573"/>
      <c r="I2627" s="394"/>
      <c r="J2627" s="394"/>
      <c r="K2627" s="394"/>
      <c r="L2627" s="394"/>
      <c r="M2627" s="394"/>
      <c r="N2627" s="394"/>
      <c r="O2627" s="394"/>
      <c r="P2627" s="394"/>
      <c r="Q2627" s="394"/>
      <c r="R2627" s="381"/>
      <c r="S2627" s="408"/>
      <c r="T2627" s="385"/>
      <c r="U2627" s="475"/>
      <c r="V2627" s="395"/>
      <c r="W2627" s="395"/>
      <c r="X2627" s="393"/>
      <c r="Y2627" s="523">
        <v>1</v>
      </c>
      <c r="Z2627" s="497"/>
      <c r="AA2627" s="573">
        <v>18.0075</v>
      </c>
      <c r="AB2627" s="394">
        <v>15.514290000000001</v>
      </c>
      <c r="AC2627" s="394">
        <v>14.418150000000001</v>
      </c>
      <c r="AD2627" s="394"/>
      <c r="AE2627" s="394"/>
      <c r="AF2627" s="394">
        <v>0</v>
      </c>
      <c r="AG2627" s="394">
        <v>0</v>
      </c>
      <c r="AH2627" s="394">
        <v>0.58123999999999998</v>
      </c>
      <c r="AI2627" s="394">
        <v>14.418150000000001</v>
      </c>
      <c r="AJ2627" s="394"/>
      <c r="AK2627" s="381" t="s">
        <v>167</v>
      </c>
      <c r="AL2627" s="408" t="s">
        <v>175</v>
      </c>
      <c r="AM2627" s="385"/>
      <c r="AN2627" s="475">
        <v>1419</v>
      </c>
      <c r="AO2627" s="395"/>
      <c r="AP2627" s="395">
        <f t="shared" si="1052"/>
        <v>18.0075</v>
      </c>
      <c r="AQ2627" s="393"/>
      <c r="AR2627" s="523"/>
      <c r="AS2627" s="497"/>
      <c r="AT2627" s="573"/>
      <c r="AU2627" s="394"/>
      <c r="AV2627" s="394"/>
      <c r="AW2627" s="394"/>
      <c r="AX2627" s="394"/>
      <c r="AY2627" s="394"/>
      <c r="AZ2627" s="394"/>
      <c r="BA2627" s="394"/>
      <c r="BB2627" s="394"/>
      <c r="BC2627" s="394"/>
      <c r="BD2627" s="381"/>
      <c r="BE2627" s="408"/>
      <c r="BF2627" s="385"/>
      <c r="BG2627" s="475"/>
      <c r="BH2627" s="395"/>
      <c r="BI2627" s="395" t="e">
        <f t="shared" si="1053"/>
        <v>#DIV/0!</v>
      </c>
    </row>
    <row r="2628" spans="1:61" s="358" customFormat="1" ht="19.2" x14ac:dyDescent="0.3">
      <c r="A2628" s="359" t="s">
        <v>4435</v>
      </c>
      <c r="B2628" s="572" t="s">
        <v>4401</v>
      </c>
      <c r="C2628" s="546" t="s">
        <v>3391</v>
      </c>
      <c r="D2628" s="360">
        <v>0.4</v>
      </c>
      <c r="E2628" s="393"/>
      <c r="F2628" s="523"/>
      <c r="G2628" s="393"/>
      <c r="H2628" s="573"/>
      <c r="I2628" s="394"/>
      <c r="J2628" s="394"/>
      <c r="K2628" s="394"/>
      <c r="L2628" s="394"/>
      <c r="M2628" s="394"/>
      <c r="N2628" s="394"/>
      <c r="O2628" s="394"/>
      <c r="P2628" s="394"/>
      <c r="Q2628" s="394"/>
      <c r="R2628" s="381"/>
      <c r="S2628" s="408"/>
      <c r="T2628" s="385"/>
      <c r="U2628" s="475"/>
      <c r="V2628" s="395"/>
      <c r="W2628" s="395"/>
      <c r="X2628" s="393"/>
      <c r="Y2628" s="523">
        <v>1</v>
      </c>
      <c r="Z2628" s="497"/>
      <c r="AA2628" s="573">
        <v>16.640750000000001</v>
      </c>
      <c r="AB2628" s="394">
        <v>14.185140000000001</v>
      </c>
      <c r="AC2628" s="394">
        <v>12.859360000000001</v>
      </c>
      <c r="AD2628" s="394"/>
      <c r="AE2628" s="394"/>
      <c r="AF2628" s="394">
        <v>0</v>
      </c>
      <c r="AG2628" s="394">
        <v>0</v>
      </c>
      <c r="AH2628" s="394">
        <v>0.57247000000000003</v>
      </c>
      <c r="AI2628" s="394">
        <v>12.859360000000001</v>
      </c>
      <c r="AJ2628" s="394"/>
      <c r="AK2628" s="381" t="s">
        <v>167</v>
      </c>
      <c r="AL2628" s="408" t="s">
        <v>175</v>
      </c>
      <c r="AM2628" s="385"/>
      <c r="AN2628" s="475">
        <v>1420</v>
      </c>
      <c r="AO2628" s="395"/>
      <c r="AP2628" s="395">
        <f t="shared" si="1052"/>
        <v>16.640750000000001</v>
      </c>
      <c r="AQ2628" s="393"/>
      <c r="AR2628" s="523"/>
      <c r="AS2628" s="497"/>
      <c r="AT2628" s="573"/>
      <c r="AU2628" s="394"/>
      <c r="AV2628" s="394"/>
      <c r="AW2628" s="394"/>
      <c r="AX2628" s="394"/>
      <c r="AY2628" s="394"/>
      <c r="AZ2628" s="394"/>
      <c r="BA2628" s="394"/>
      <c r="BB2628" s="394"/>
      <c r="BC2628" s="394"/>
      <c r="BD2628" s="381"/>
      <c r="BE2628" s="408"/>
      <c r="BF2628" s="385"/>
      <c r="BG2628" s="475"/>
      <c r="BH2628" s="395"/>
      <c r="BI2628" s="395" t="e">
        <f t="shared" si="1053"/>
        <v>#DIV/0!</v>
      </c>
    </row>
    <row r="2629" spans="1:61" s="358" customFormat="1" ht="19.2" x14ac:dyDescent="0.3">
      <c r="A2629" s="359" t="s">
        <v>4436</v>
      </c>
      <c r="B2629" s="572" t="s">
        <v>4253</v>
      </c>
      <c r="C2629" s="546" t="s">
        <v>3392</v>
      </c>
      <c r="D2629" s="360">
        <v>0.4</v>
      </c>
      <c r="E2629" s="393"/>
      <c r="F2629" s="523"/>
      <c r="G2629" s="393"/>
      <c r="H2629" s="573"/>
      <c r="I2629" s="394"/>
      <c r="J2629" s="394"/>
      <c r="K2629" s="394"/>
      <c r="L2629" s="394"/>
      <c r="M2629" s="394"/>
      <c r="N2629" s="394"/>
      <c r="O2629" s="394"/>
      <c r="P2629" s="394"/>
      <c r="Q2629" s="394"/>
      <c r="R2629" s="381"/>
      <c r="S2629" s="408"/>
      <c r="T2629" s="385"/>
      <c r="U2629" s="475"/>
      <c r="V2629" s="395"/>
      <c r="W2629" s="395"/>
      <c r="X2629" s="393"/>
      <c r="Y2629" s="523">
        <v>1</v>
      </c>
      <c r="Z2629" s="497"/>
      <c r="AA2629" s="573">
        <v>18.0075</v>
      </c>
      <c r="AB2629" s="394">
        <v>15.514290000000001</v>
      </c>
      <c r="AC2629" s="394">
        <v>14.418150000000001</v>
      </c>
      <c r="AD2629" s="394"/>
      <c r="AE2629" s="394"/>
      <c r="AF2629" s="394">
        <v>0</v>
      </c>
      <c r="AG2629" s="394">
        <v>0</v>
      </c>
      <c r="AH2629" s="394">
        <v>0.58123999999999998</v>
      </c>
      <c r="AI2629" s="394">
        <v>14.418150000000001</v>
      </c>
      <c r="AJ2629" s="394"/>
      <c r="AK2629" s="381" t="s">
        <v>167</v>
      </c>
      <c r="AL2629" s="408" t="s">
        <v>175</v>
      </c>
      <c r="AM2629" s="385"/>
      <c r="AN2629" s="475">
        <v>1421</v>
      </c>
      <c r="AO2629" s="395"/>
      <c r="AP2629" s="395">
        <f t="shared" ref="AP2629:AP2693" si="1054">AA2629/Y2629</f>
        <v>18.0075</v>
      </c>
      <c r="AQ2629" s="393"/>
      <c r="AR2629" s="523"/>
      <c r="AS2629" s="497"/>
      <c r="AT2629" s="573"/>
      <c r="AU2629" s="394"/>
      <c r="AV2629" s="394"/>
      <c r="AW2629" s="394"/>
      <c r="AX2629" s="394"/>
      <c r="AY2629" s="394"/>
      <c r="AZ2629" s="394"/>
      <c r="BA2629" s="394"/>
      <c r="BB2629" s="394"/>
      <c r="BC2629" s="394"/>
      <c r="BD2629" s="381"/>
      <c r="BE2629" s="408"/>
      <c r="BF2629" s="385"/>
      <c r="BG2629" s="475"/>
      <c r="BH2629" s="395"/>
      <c r="BI2629" s="395" t="e">
        <f t="shared" si="1053"/>
        <v>#DIV/0!</v>
      </c>
    </row>
    <row r="2630" spans="1:61" s="358" customFormat="1" ht="19.2" x14ac:dyDescent="0.3">
      <c r="A2630" s="359" t="s">
        <v>4437</v>
      </c>
      <c r="B2630" s="572" t="s">
        <v>4254</v>
      </c>
      <c r="C2630" s="546" t="s">
        <v>3393</v>
      </c>
      <c r="D2630" s="360">
        <v>0.4</v>
      </c>
      <c r="E2630" s="393"/>
      <c r="F2630" s="523"/>
      <c r="G2630" s="393"/>
      <c r="H2630" s="573"/>
      <c r="I2630" s="394"/>
      <c r="J2630" s="394"/>
      <c r="K2630" s="394"/>
      <c r="L2630" s="394"/>
      <c r="M2630" s="394"/>
      <c r="N2630" s="394"/>
      <c r="O2630" s="394"/>
      <c r="P2630" s="394"/>
      <c r="Q2630" s="394"/>
      <c r="R2630" s="381"/>
      <c r="S2630" s="408"/>
      <c r="T2630" s="385"/>
      <c r="U2630" s="475"/>
      <c r="V2630" s="395"/>
      <c r="W2630" s="395"/>
      <c r="X2630" s="393"/>
      <c r="Y2630" s="523">
        <v>1</v>
      </c>
      <c r="Z2630" s="497"/>
      <c r="AA2630" s="573">
        <v>18.0075</v>
      </c>
      <c r="AB2630" s="394">
        <v>15.514290000000001</v>
      </c>
      <c r="AC2630" s="394">
        <v>14.418150000000001</v>
      </c>
      <c r="AD2630" s="394"/>
      <c r="AE2630" s="394"/>
      <c r="AF2630" s="394">
        <v>0</v>
      </c>
      <c r="AG2630" s="394">
        <v>0</v>
      </c>
      <c r="AH2630" s="394">
        <v>0.58123999999999998</v>
      </c>
      <c r="AI2630" s="394">
        <v>14.418150000000001</v>
      </c>
      <c r="AJ2630" s="394"/>
      <c r="AK2630" s="381" t="s">
        <v>167</v>
      </c>
      <c r="AL2630" s="408" t="s">
        <v>175</v>
      </c>
      <c r="AM2630" s="385"/>
      <c r="AN2630" s="475">
        <v>1422</v>
      </c>
      <c r="AO2630" s="395"/>
      <c r="AP2630" s="395">
        <f t="shared" si="1054"/>
        <v>18.0075</v>
      </c>
      <c r="AQ2630" s="393"/>
      <c r="AR2630" s="523"/>
      <c r="AS2630" s="497"/>
      <c r="AT2630" s="573"/>
      <c r="AU2630" s="394"/>
      <c r="AV2630" s="394"/>
      <c r="AW2630" s="394"/>
      <c r="AX2630" s="394"/>
      <c r="AY2630" s="394"/>
      <c r="AZ2630" s="394"/>
      <c r="BA2630" s="394"/>
      <c r="BB2630" s="394"/>
      <c r="BC2630" s="394"/>
      <c r="BD2630" s="381"/>
      <c r="BE2630" s="408"/>
      <c r="BF2630" s="385"/>
      <c r="BG2630" s="475"/>
      <c r="BH2630" s="395"/>
      <c r="BI2630" s="395" t="e">
        <f t="shared" si="1053"/>
        <v>#DIV/0!</v>
      </c>
    </row>
    <row r="2631" spans="1:61" s="358" customFormat="1" ht="19.2" x14ac:dyDescent="0.3">
      <c r="A2631" s="359" t="s">
        <v>4438</v>
      </c>
      <c r="B2631" s="572" t="s">
        <v>4255</v>
      </c>
      <c r="C2631" s="546" t="s">
        <v>3394</v>
      </c>
      <c r="D2631" s="360">
        <v>0.4</v>
      </c>
      <c r="E2631" s="393"/>
      <c r="F2631" s="523"/>
      <c r="G2631" s="393"/>
      <c r="H2631" s="573"/>
      <c r="I2631" s="394"/>
      <c r="J2631" s="394"/>
      <c r="K2631" s="394"/>
      <c r="L2631" s="394"/>
      <c r="M2631" s="394"/>
      <c r="N2631" s="394"/>
      <c r="O2631" s="394"/>
      <c r="P2631" s="394"/>
      <c r="Q2631" s="394"/>
      <c r="R2631" s="381"/>
      <c r="S2631" s="408"/>
      <c r="T2631" s="385"/>
      <c r="U2631" s="475"/>
      <c r="V2631" s="395"/>
      <c r="W2631" s="395"/>
      <c r="X2631" s="393"/>
      <c r="Y2631" s="523">
        <v>1</v>
      </c>
      <c r="Z2631" s="497"/>
      <c r="AA2631" s="573">
        <v>18.0075</v>
      </c>
      <c r="AB2631" s="394">
        <v>15.514290000000001</v>
      </c>
      <c r="AC2631" s="394">
        <v>14.418150000000001</v>
      </c>
      <c r="AD2631" s="394"/>
      <c r="AE2631" s="394"/>
      <c r="AF2631" s="394">
        <v>0</v>
      </c>
      <c r="AG2631" s="394">
        <v>0</v>
      </c>
      <c r="AH2631" s="394">
        <v>0.58123999999999998</v>
      </c>
      <c r="AI2631" s="394">
        <v>14.418150000000001</v>
      </c>
      <c r="AJ2631" s="394"/>
      <c r="AK2631" s="381" t="s">
        <v>167</v>
      </c>
      <c r="AL2631" s="408" t="s">
        <v>175</v>
      </c>
      <c r="AM2631" s="385"/>
      <c r="AN2631" s="475">
        <v>1423</v>
      </c>
      <c r="AO2631" s="395"/>
      <c r="AP2631" s="395">
        <f t="shared" si="1054"/>
        <v>18.0075</v>
      </c>
      <c r="AQ2631" s="393"/>
      <c r="AR2631" s="523"/>
      <c r="AS2631" s="497"/>
      <c r="AT2631" s="573"/>
      <c r="AU2631" s="394"/>
      <c r="AV2631" s="394"/>
      <c r="AW2631" s="394"/>
      <c r="AX2631" s="394"/>
      <c r="AY2631" s="394"/>
      <c r="AZ2631" s="394"/>
      <c r="BA2631" s="394"/>
      <c r="BB2631" s="394"/>
      <c r="BC2631" s="394"/>
      <c r="BD2631" s="381"/>
      <c r="BE2631" s="408"/>
      <c r="BF2631" s="385"/>
      <c r="BG2631" s="475"/>
      <c r="BH2631" s="395"/>
      <c r="BI2631" s="395" t="e">
        <f t="shared" si="1053"/>
        <v>#DIV/0!</v>
      </c>
    </row>
    <row r="2632" spans="1:61" s="358" customFormat="1" ht="19.2" x14ac:dyDescent="0.3">
      <c r="A2632" s="359" t="s">
        <v>4439</v>
      </c>
      <c r="B2632" s="572" t="s">
        <v>4110</v>
      </c>
      <c r="C2632" s="546" t="s">
        <v>3395</v>
      </c>
      <c r="D2632" s="360">
        <v>0.4</v>
      </c>
      <c r="E2632" s="393"/>
      <c r="F2632" s="523"/>
      <c r="G2632" s="393"/>
      <c r="H2632" s="573"/>
      <c r="I2632" s="394"/>
      <c r="J2632" s="394"/>
      <c r="K2632" s="394"/>
      <c r="L2632" s="394"/>
      <c r="M2632" s="394"/>
      <c r="N2632" s="394"/>
      <c r="O2632" s="394"/>
      <c r="P2632" s="394"/>
      <c r="Q2632" s="394"/>
      <c r="R2632" s="381"/>
      <c r="S2632" s="408"/>
      <c r="T2632" s="385"/>
      <c r="U2632" s="475"/>
      <c r="V2632" s="395"/>
      <c r="W2632" s="395"/>
      <c r="X2632" s="393"/>
      <c r="Y2632" s="523">
        <v>1</v>
      </c>
      <c r="Z2632" s="497"/>
      <c r="AA2632" s="573">
        <v>18.0075</v>
      </c>
      <c r="AB2632" s="394">
        <v>15.514290000000001</v>
      </c>
      <c r="AC2632" s="394">
        <v>14.418150000000001</v>
      </c>
      <c r="AD2632" s="394"/>
      <c r="AE2632" s="394"/>
      <c r="AF2632" s="394">
        <v>0</v>
      </c>
      <c r="AG2632" s="394">
        <v>0</v>
      </c>
      <c r="AH2632" s="394">
        <v>0.58123999999999998</v>
      </c>
      <c r="AI2632" s="394">
        <v>14.418150000000001</v>
      </c>
      <c r="AJ2632" s="394"/>
      <c r="AK2632" s="381" t="s">
        <v>167</v>
      </c>
      <c r="AL2632" s="408" t="s">
        <v>175</v>
      </c>
      <c r="AM2632" s="385"/>
      <c r="AN2632" s="475">
        <v>1424</v>
      </c>
      <c r="AO2632" s="395"/>
      <c r="AP2632" s="395">
        <f t="shared" si="1054"/>
        <v>18.0075</v>
      </c>
      <c r="AQ2632" s="393"/>
      <c r="AR2632" s="523"/>
      <c r="AS2632" s="497"/>
      <c r="AT2632" s="573"/>
      <c r="AU2632" s="394"/>
      <c r="AV2632" s="394"/>
      <c r="AW2632" s="394"/>
      <c r="AX2632" s="394"/>
      <c r="AY2632" s="394"/>
      <c r="AZ2632" s="394"/>
      <c r="BA2632" s="394"/>
      <c r="BB2632" s="394"/>
      <c r="BC2632" s="394"/>
      <c r="BD2632" s="381"/>
      <c r="BE2632" s="408"/>
      <c r="BF2632" s="385"/>
      <c r="BG2632" s="475"/>
      <c r="BH2632" s="395"/>
      <c r="BI2632" s="395" t="e">
        <f t="shared" si="1053"/>
        <v>#DIV/0!</v>
      </c>
    </row>
    <row r="2633" spans="1:61" s="358" customFormat="1" ht="19.2" x14ac:dyDescent="0.3">
      <c r="A2633" s="359" t="s">
        <v>4440</v>
      </c>
      <c r="B2633" s="572" t="s">
        <v>4256</v>
      </c>
      <c r="C2633" s="546" t="s">
        <v>3396</v>
      </c>
      <c r="D2633" s="360">
        <v>0.4</v>
      </c>
      <c r="E2633" s="393"/>
      <c r="F2633" s="523"/>
      <c r="G2633" s="393"/>
      <c r="H2633" s="573"/>
      <c r="I2633" s="394"/>
      <c r="J2633" s="394"/>
      <c r="K2633" s="394"/>
      <c r="L2633" s="394"/>
      <c r="M2633" s="394"/>
      <c r="N2633" s="394"/>
      <c r="O2633" s="394"/>
      <c r="P2633" s="394"/>
      <c r="Q2633" s="394"/>
      <c r="R2633" s="381"/>
      <c r="S2633" s="408"/>
      <c r="T2633" s="385"/>
      <c r="U2633" s="475"/>
      <c r="V2633" s="395"/>
      <c r="W2633" s="395"/>
      <c r="X2633" s="393"/>
      <c r="Y2633" s="523">
        <v>1</v>
      </c>
      <c r="Z2633" s="497"/>
      <c r="AA2633" s="573">
        <v>18.981909999999999</v>
      </c>
      <c r="AB2633" s="394">
        <v>16.177399999999999</v>
      </c>
      <c r="AC2633" s="394">
        <v>14.41813</v>
      </c>
      <c r="AD2633" s="394"/>
      <c r="AE2633" s="394"/>
      <c r="AF2633" s="394">
        <v>0</v>
      </c>
      <c r="AG2633" s="394">
        <v>0</v>
      </c>
      <c r="AH2633" s="394">
        <v>0.65381</v>
      </c>
      <c r="AI2633" s="394">
        <v>14.41813</v>
      </c>
      <c r="AJ2633" s="394"/>
      <c r="AK2633" s="381" t="s">
        <v>167</v>
      </c>
      <c r="AL2633" s="408" t="s">
        <v>175</v>
      </c>
      <c r="AM2633" s="385"/>
      <c r="AN2633" s="475">
        <v>1425</v>
      </c>
      <c r="AO2633" s="395"/>
      <c r="AP2633" s="395">
        <f t="shared" si="1054"/>
        <v>18.981909999999999</v>
      </c>
      <c r="AQ2633" s="393"/>
      <c r="AR2633" s="523"/>
      <c r="AS2633" s="497"/>
      <c r="AT2633" s="573"/>
      <c r="AU2633" s="394"/>
      <c r="AV2633" s="394"/>
      <c r="AW2633" s="394"/>
      <c r="AX2633" s="394"/>
      <c r="AY2633" s="394"/>
      <c r="AZ2633" s="394"/>
      <c r="BA2633" s="394"/>
      <c r="BB2633" s="394"/>
      <c r="BC2633" s="394"/>
      <c r="BD2633" s="381"/>
      <c r="BE2633" s="408"/>
      <c r="BF2633" s="385"/>
      <c r="BG2633" s="475"/>
      <c r="BH2633" s="395"/>
      <c r="BI2633" s="395" t="e">
        <f t="shared" si="1053"/>
        <v>#DIV/0!</v>
      </c>
    </row>
    <row r="2634" spans="1:61" s="358" customFormat="1" ht="19.2" x14ac:dyDescent="0.3">
      <c r="A2634" s="359" t="s">
        <v>4441</v>
      </c>
      <c r="B2634" s="572" t="s">
        <v>4257</v>
      </c>
      <c r="C2634" s="546" t="s">
        <v>3397</v>
      </c>
      <c r="D2634" s="360">
        <v>0.4</v>
      </c>
      <c r="E2634" s="393"/>
      <c r="F2634" s="523"/>
      <c r="G2634" s="393"/>
      <c r="H2634" s="573"/>
      <c r="I2634" s="394"/>
      <c r="J2634" s="394"/>
      <c r="K2634" s="394"/>
      <c r="L2634" s="394"/>
      <c r="M2634" s="394"/>
      <c r="N2634" s="394"/>
      <c r="O2634" s="394"/>
      <c r="P2634" s="394"/>
      <c r="Q2634" s="394"/>
      <c r="R2634" s="381"/>
      <c r="S2634" s="408"/>
      <c r="T2634" s="385"/>
      <c r="U2634" s="475"/>
      <c r="V2634" s="395"/>
      <c r="W2634" s="395"/>
      <c r="X2634" s="393"/>
      <c r="Y2634" s="523">
        <v>1</v>
      </c>
      <c r="Z2634" s="497"/>
      <c r="AA2634" s="573">
        <v>18.9819</v>
      </c>
      <c r="AB2634" s="394">
        <v>16.177299999999999</v>
      </c>
      <c r="AC2634" s="394">
        <v>14.41813</v>
      </c>
      <c r="AD2634" s="394"/>
      <c r="AE2634" s="394"/>
      <c r="AF2634" s="394">
        <v>0</v>
      </c>
      <c r="AG2634" s="394">
        <v>0</v>
      </c>
      <c r="AH2634" s="394">
        <v>0.65381</v>
      </c>
      <c r="AI2634" s="394">
        <v>14.41813</v>
      </c>
      <c r="AJ2634" s="394"/>
      <c r="AK2634" s="381" t="s">
        <v>167</v>
      </c>
      <c r="AL2634" s="408" t="s">
        <v>175</v>
      </c>
      <c r="AM2634" s="385"/>
      <c r="AN2634" s="475">
        <v>1426</v>
      </c>
      <c r="AO2634" s="395"/>
      <c r="AP2634" s="395">
        <f t="shared" si="1054"/>
        <v>18.9819</v>
      </c>
      <c r="AQ2634" s="393"/>
      <c r="AR2634" s="523"/>
      <c r="AS2634" s="497"/>
      <c r="AT2634" s="573"/>
      <c r="AU2634" s="394"/>
      <c r="AV2634" s="394"/>
      <c r="AW2634" s="394"/>
      <c r="AX2634" s="394"/>
      <c r="AY2634" s="394"/>
      <c r="AZ2634" s="394"/>
      <c r="BA2634" s="394"/>
      <c r="BB2634" s="394"/>
      <c r="BC2634" s="394"/>
      <c r="BD2634" s="381"/>
      <c r="BE2634" s="408"/>
      <c r="BF2634" s="385"/>
      <c r="BG2634" s="475"/>
      <c r="BH2634" s="395"/>
      <c r="BI2634" s="395" t="e">
        <f t="shared" si="1053"/>
        <v>#DIV/0!</v>
      </c>
    </row>
    <row r="2635" spans="1:61" s="358" customFormat="1" ht="19.2" x14ac:dyDescent="0.3">
      <c r="A2635" s="359" t="s">
        <v>4458</v>
      </c>
      <c r="B2635" s="572" t="s">
        <v>4258</v>
      </c>
      <c r="C2635" s="546" t="s">
        <v>3398</v>
      </c>
      <c r="D2635" s="360">
        <v>0.4</v>
      </c>
      <c r="E2635" s="393"/>
      <c r="F2635" s="523"/>
      <c r="G2635" s="393"/>
      <c r="H2635" s="573"/>
      <c r="I2635" s="394"/>
      <c r="J2635" s="394"/>
      <c r="K2635" s="394"/>
      <c r="L2635" s="394"/>
      <c r="M2635" s="394"/>
      <c r="N2635" s="394"/>
      <c r="O2635" s="394"/>
      <c r="P2635" s="394"/>
      <c r="Q2635" s="394"/>
      <c r="R2635" s="381"/>
      <c r="S2635" s="408"/>
      <c r="T2635" s="385"/>
      <c r="U2635" s="475"/>
      <c r="V2635" s="395"/>
      <c r="W2635" s="395"/>
      <c r="X2635" s="393"/>
      <c r="Y2635" s="523">
        <v>1</v>
      </c>
      <c r="Z2635" s="497"/>
      <c r="AA2635" s="573">
        <v>18.981909999999999</v>
      </c>
      <c r="AB2635" s="394">
        <v>16.177399999999999</v>
      </c>
      <c r="AC2635" s="394">
        <v>14.41813</v>
      </c>
      <c r="AD2635" s="394"/>
      <c r="AE2635" s="394"/>
      <c r="AF2635" s="394">
        <v>0</v>
      </c>
      <c r="AG2635" s="394">
        <v>0</v>
      </c>
      <c r="AH2635" s="394">
        <v>0.65381</v>
      </c>
      <c r="AI2635" s="394">
        <v>14.41813</v>
      </c>
      <c r="AJ2635" s="394"/>
      <c r="AK2635" s="381" t="s">
        <v>167</v>
      </c>
      <c r="AL2635" s="408" t="s">
        <v>175</v>
      </c>
      <c r="AM2635" s="385"/>
      <c r="AN2635" s="475">
        <v>1427</v>
      </c>
      <c r="AO2635" s="395"/>
      <c r="AP2635" s="395">
        <f t="shared" si="1054"/>
        <v>18.981909999999999</v>
      </c>
      <c r="AQ2635" s="393"/>
      <c r="AR2635" s="523"/>
      <c r="AS2635" s="497"/>
      <c r="AT2635" s="573"/>
      <c r="AU2635" s="394"/>
      <c r="AV2635" s="394"/>
      <c r="AW2635" s="394"/>
      <c r="AX2635" s="394"/>
      <c r="AY2635" s="394"/>
      <c r="AZ2635" s="394"/>
      <c r="BA2635" s="394"/>
      <c r="BB2635" s="394"/>
      <c r="BC2635" s="394"/>
      <c r="BD2635" s="381"/>
      <c r="BE2635" s="408"/>
      <c r="BF2635" s="385"/>
      <c r="BG2635" s="475"/>
      <c r="BH2635" s="395"/>
      <c r="BI2635" s="395" t="e">
        <f t="shared" si="1053"/>
        <v>#DIV/0!</v>
      </c>
    </row>
    <row r="2636" spans="1:61" s="358" customFormat="1" ht="19.2" x14ac:dyDescent="0.3">
      <c r="A2636" s="359" t="s">
        <v>4443</v>
      </c>
      <c r="B2636" s="572" t="s">
        <v>4259</v>
      </c>
      <c r="C2636" s="546" t="s">
        <v>3402</v>
      </c>
      <c r="D2636" s="360">
        <v>0.4</v>
      </c>
      <c r="E2636" s="393"/>
      <c r="F2636" s="523"/>
      <c r="G2636" s="393"/>
      <c r="H2636" s="573"/>
      <c r="I2636" s="394"/>
      <c r="J2636" s="394"/>
      <c r="K2636" s="394"/>
      <c r="L2636" s="394"/>
      <c r="M2636" s="394"/>
      <c r="N2636" s="394"/>
      <c r="O2636" s="394"/>
      <c r="P2636" s="394"/>
      <c r="Q2636" s="394"/>
      <c r="R2636" s="381"/>
      <c r="S2636" s="408"/>
      <c r="T2636" s="385"/>
      <c r="U2636" s="475"/>
      <c r="V2636" s="395"/>
      <c r="W2636" s="395"/>
      <c r="X2636" s="393"/>
      <c r="Y2636" s="523">
        <v>1</v>
      </c>
      <c r="Z2636" s="497"/>
      <c r="AA2636" s="573">
        <v>18.981909999999999</v>
      </c>
      <c r="AB2636" s="394">
        <v>16.177399999999999</v>
      </c>
      <c r="AC2636" s="394">
        <v>14.41813</v>
      </c>
      <c r="AD2636" s="394"/>
      <c r="AE2636" s="394"/>
      <c r="AF2636" s="394">
        <v>0</v>
      </c>
      <c r="AG2636" s="394">
        <v>0</v>
      </c>
      <c r="AH2636" s="394">
        <v>0.65381</v>
      </c>
      <c r="AI2636" s="394">
        <v>14.41813</v>
      </c>
      <c r="AJ2636" s="394"/>
      <c r="AK2636" s="381" t="s">
        <v>167</v>
      </c>
      <c r="AL2636" s="408" t="s">
        <v>175</v>
      </c>
      <c r="AM2636" s="385"/>
      <c r="AN2636" s="475">
        <v>1428</v>
      </c>
      <c r="AO2636" s="395"/>
      <c r="AP2636" s="395">
        <f t="shared" si="1054"/>
        <v>18.981909999999999</v>
      </c>
      <c r="AQ2636" s="393"/>
      <c r="AR2636" s="523"/>
      <c r="AS2636" s="497"/>
      <c r="AT2636" s="573"/>
      <c r="AU2636" s="394"/>
      <c r="AV2636" s="394"/>
      <c r="AW2636" s="394"/>
      <c r="AX2636" s="394"/>
      <c r="AY2636" s="394"/>
      <c r="AZ2636" s="394"/>
      <c r="BA2636" s="394"/>
      <c r="BB2636" s="394"/>
      <c r="BC2636" s="394"/>
      <c r="BD2636" s="381"/>
      <c r="BE2636" s="408"/>
      <c r="BF2636" s="385"/>
      <c r="BG2636" s="475"/>
      <c r="BH2636" s="395"/>
      <c r="BI2636" s="395" t="e">
        <f t="shared" si="1053"/>
        <v>#DIV/0!</v>
      </c>
    </row>
    <row r="2637" spans="1:61" s="358" customFormat="1" ht="19.2" x14ac:dyDescent="0.3">
      <c r="A2637" s="359" t="s">
        <v>4444</v>
      </c>
      <c r="B2637" s="572" t="s">
        <v>4402</v>
      </c>
      <c r="C2637" s="546" t="s">
        <v>4403</v>
      </c>
      <c r="D2637" s="360">
        <v>0.4</v>
      </c>
      <c r="E2637" s="393"/>
      <c r="F2637" s="523"/>
      <c r="G2637" s="393"/>
      <c r="H2637" s="573"/>
      <c r="I2637" s="394"/>
      <c r="J2637" s="394"/>
      <c r="K2637" s="394"/>
      <c r="L2637" s="394"/>
      <c r="M2637" s="394"/>
      <c r="N2637" s="394"/>
      <c r="O2637" s="394"/>
      <c r="P2637" s="394"/>
      <c r="Q2637" s="394"/>
      <c r="R2637" s="381"/>
      <c r="S2637" s="408"/>
      <c r="T2637" s="385"/>
      <c r="U2637" s="475"/>
      <c r="V2637" s="395"/>
      <c r="W2637" s="395"/>
      <c r="X2637" s="393"/>
      <c r="Y2637" s="523">
        <v>1</v>
      </c>
      <c r="Z2637" s="497"/>
      <c r="AA2637" s="573">
        <v>18.981909999999999</v>
      </c>
      <c r="AB2637" s="394">
        <v>16.177399999999999</v>
      </c>
      <c r="AC2637" s="394">
        <v>14.41813</v>
      </c>
      <c r="AD2637" s="394"/>
      <c r="AE2637" s="394"/>
      <c r="AF2637" s="394">
        <v>0</v>
      </c>
      <c r="AG2637" s="394">
        <v>0</v>
      </c>
      <c r="AH2637" s="394">
        <v>0.65381</v>
      </c>
      <c r="AI2637" s="394">
        <v>14.41813</v>
      </c>
      <c r="AJ2637" s="394"/>
      <c r="AK2637" s="381" t="s">
        <v>167</v>
      </c>
      <c r="AL2637" s="408" t="s">
        <v>175</v>
      </c>
      <c r="AM2637" s="385"/>
      <c r="AN2637" s="475">
        <v>1429</v>
      </c>
      <c r="AO2637" s="395"/>
      <c r="AP2637" s="395">
        <f t="shared" si="1054"/>
        <v>18.981909999999999</v>
      </c>
      <c r="AQ2637" s="393"/>
      <c r="AR2637" s="523"/>
      <c r="AS2637" s="497"/>
      <c r="AT2637" s="573"/>
      <c r="AU2637" s="394"/>
      <c r="AV2637" s="394"/>
      <c r="AW2637" s="394"/>
      <c r="AX2637" s="394"/>
      <c r="AY2637" s="394"/>
      <c r="AZ2637" s="394"/>
      <c r="BA2637" s="394"/>
      <c r="BB2637" s="394"/>
      <c r="BC2637" s="394"/>
      <c r="BD2637" s="381"/>
      <c r="BE2637" s="408"/>
      <c r="BF2637" s="385"/>
      <c r="BG2637" s="475"/>
      <c r="BH2637" s="395"/>
      <c r="BI2637" s="395" t="e">
        <f t="shared" si="1053"/>
        <v>#DIV/0!</v>
      </c>
    </row>
    <row r="2638" spans="1:61" s="358" customFormat="1" ht="19.2" x14ac:dyDescent="0.3">
      <c r="A2638" s="359" t="s">
        <v>4445</v>
      </c>
      <c r="B2638" s="572" t="s">
        <v>2279</v>
      </c>
      <c r="C2638" s="546" t="s">
        <v>3403</v>
      </c>
      <c r="D2638" s="360">
        <v>0.4</v>
      </c>
      <c r="E2638" s="393"/>
      <c r="F2638" s="523"/>
      <c r="G2638" s="393"/>
      <c r="H2638" s="573"/>
      <c r="I2638" s="394"/>
      <c r="J2638" s="394"/>
      <c r="K2638" s="394"/>
      <c r="L2638" s="394"/>
      <c r="M2638" s="394"/>
      <c r="N2638" s="394"/>
      <c r="O2638" s="394"/>
      <c r="P2638" s="394"/>
      <c r="Q2638" s="394"/>
      <c r="R2638" s="381"/>
      <c r="S2638" s="408"/>
      <c r="T2638" s="385"/>
      <c r="U2638" s="475"/>
      <c r="V2638" s="395"/>
      <c r="W2638" s="395"/>
      <c r="X2638" s="393"/>
      <c r="Y2638" s="523">
        <v>1</v>
      </c>
      <c r="Z2638" s="497"/>
      <c r="AA2638" s="573">
        <v>18.00751</v>
      </c>
      <c r="AB2638" s="394">
        <v>15.5143</v>
      </c>
      <c r="AC2638" s="394">
        <v>14.418150000000001</v>
      </c>
      <c r="AD2638" s="394"/>
      <c r="AE2638" s="394"/>
      <c r="AF2638" s="394">
        <v>0</v>
      </c>
      <c r="AG2638" s="394">
        <v>0</v>
      </c>
      <c r="AH2638" s="394">
        <v>0.58123999999999998</v>
      </c>
      <c r="AI2638" s="394">
        <v>14.418150000000001</v>
      </c>
      <c r="AJ2638" s="394"/>
      <c r="AK2638" s="381" t="s">
        <v>167</v>
      </c>
      <c r="AL2638" s="408" t="s">
        <v>175</v>
      </c>
      <c r="AM2638" s="385"/>
      <c r="AN2638" s="475">
        <v>1430</v>
      </c>
      <c r="AO2638" s="395"/>
      <c r="AP2638" s="395">
        <f t="shared" si="1054"/>
        <v>18.00751</v>
      </c>
      <c r="AQ2638" s="393"/>
      <c r="AR2638" s="523"/>
      <c r="AS2638" s="497"/>
      <c r="AT2638" s="573"/>
      <c r="AU2638" s="394"/>
      <c r="AV2638" s="394"/>
      <c r="AW2638" s="394"/>
      <c r="AX2638" s="394"/>
      <c r="AY2638" s="394"/>
      <c r="AZ2638" s="394"/>
      <c r="BA2638" s="394"/>
      <c r="BB2638" s="394"/>
      <c r="BC2638" s="394"/>
      <c r="BD2638" s="381"/>
      <c r="BE2638" s="408"/>
      <c r="BF2638" s="385"/>
      <c r="BG2638" s="475"/>
      <c r="BH2638" s="395"/>
      <c r="BI2638" s="395" t="e">
        <f t="shared" si="1053"/>
        <v>#DIV/0!</v>
      </c>
    </row>
    <row r="2639" spans="1:61" s="358" customFormat="1" ht="19.2" x14ac:dyDescent="0.3">
      <c r="A2639" s="359" t="s">
        <v>4462</v>
      </c>
      <c r="B2639" s="572" t="s">
        <v>4260</v>
      </c>
      <c r="C2639" s="546" t="s">
        <v>3404</v>
      </c>
      <c r="D2639" s="360">
        <v>0.4</v>
      </c>
      <c r="E2639" s="393"/>
      <c r="F2639" s="523"/>
      <c r="G2639" s="393"/>
      <c r="H2639" s="573"/>
      <c r="I2639" s="394"/>
      <c r="J2639" s="394"/>
      <c r="K2639" s="394"/>
      <c r="L2639" s="394"/>
      <c r="M2639" s="394"/>
      <c r="N2639" s="394"/>
      <c r="O2639" s="394"/>
      <c r="P2639" s="394"/>
      <c r="Q2639" s="394"/>
      <c r="R2639" s="381"/>
      <c r="S2639" s="408"/>
      <c r="T2639" s="385"/>
      <c r="U2639" s="475"/>
      <c r="V2639" s="395"/>
      <c r="W2639" s="395"/>
      <c r="X2639" s="393"/>
      <c r="Y2639" s="523">
        <v>1</v>
      </c>
      <c r="Z2639" s="497"/>
      <c r="AA2639" s="573">
        <v>18.00751</v>
      </c>
      <c r="AB2639" s="394">
        <v>15.5143</v>
      </c>
      <c r="AC2639" s="394">
        <v>14.418150000000001</v>
      </c>
      <c r="AD2639" s="394"/>
      <c r="AE2639" s="394"/>
      <c r="AF2639" s="394">
        <v>0</v>
      </c>
      <c r="AG2639" s="394">
        <v>0</v>
      </c>
      <c r="AH2639" s="394">
        <v>0.58123999999999998</v>
      </c>
      <c r="AI2639" s="394">
        <v>14.418150000000001</v>
      </c>
      <c r="AJ2639" s="394"/>
      <c r="AK2639" s="381" t="s">
        <v>167</v>
      </c>
      <c r="AL2639" s="408" t="s">
        <v>175</v>
      </c>
      <c r="AM2639" s="385"/>
      <c r="AN2639" s="475">
        <v>1431</v>
      </c>
      <c r="AO2639" s="395"/>
      <c r="AP2639" s="395">
        <f t="shared" si="1054"/>
        <v>18.00751</v>
      </c>
      <c r="AQ2639" s="393"/>
      <c r="AR2639" s="523"/>
      <c r="AS2639" s="497"/>
      <c r="AT2639" s="573"/>
      <c r="AU2639" s="394"/>
      <c r="AV2639" s="394"/>
      <c r="AW2639" s="394"/>
      <c r="AX2639" s="394"/>
      <c r="AY2639" s="394"/>
      <c r="AZ2639" s="394"/>
      <c r="BA2639" s="394"/>
      <c r="BB2639" s="394"/>
      <c r="BC2639" s="394"/>
      <c r="BD2639" s="381"/>
      <c r="BE2639" s="408"/>
      <c r="BF2639" s="385"/>
      <c r="BG2639" s="475"/>
      <c r="BH2639" s="395"/>
      <c r="BI2639" s="395" t="e">
        <f t="shared" si="1053"/>
        <v>#DIV/0!</v>
      </c>
    </row>
    <row r="2640" spans="1:61" s="358" customFormat="1" ht="19.2" x14ac:dyDescent="0.3">
      <c r="A2640" s="359" t="s">
        <v>4447</v>
      </c>
      <c r="B2640" s="572" t="s">
        <v>4261</v>
      </c>
      <c r="C2640" s="546" t="s">
        <v>3405</v>
      </c>
      <c r="D2640" s="360">
        <v>0.4</v>
      </c>
      <c r="E2640" s="393"/>
      <c r="F2640" s="523"/>
      <c r="G2640" s="393"/>
      <c r="H2640" s="573"/>
      <c r="I2640" s="394"/>
      <c r="J2640" s="394"/>
      <c r="K2640" s="394"/>
      <c r="L2640" s="394"/>
      <c r="M2640" s="394"/>
      <c r="N2640" s="394"/>
      <c r="O2640" s="394"/>
      <c r="P2640" s="394"/>
      <c r="Q2640" s="394"/>
      <c r="R2640" s="381"/>
      <c r="S2640" s="408"/>
      <c r="T2640" s="385"/>
      <c r="U2640" s="475"/>
      <c r="V2640" s="395"/>
      <c r="W2640" s="395"/>
      <c r="X2640" s="393"/>
      <c r="Y2640" s="523">
        <v>1</v>
      </c>
      <c r="Z2640" s="497"/>
      <c r="AA2640" s="573">
        <v>18.00751</v>
      </c>
      <c r="AB2640" s="394">
        <v>15.5143</v>
      </c>
      <c r="AC2640" s="394">
        <v>14.418150000000001</v>
      </c>
      <c r="AD2640" s="394"/>
      <c r="AE2640" s="394"/>
      <c r="AF2640" s="394">
        <v>0</v>
      </c>
      <c r="AG2640" s="394">
        <v>0</v>
      </c>
      <c r="AH2640" s="394">
        <v>0.58123999999999998</v>
      </c>
      <c r="AI2640" s="394">
        <v>14.418150000000001</v>
      </c>
      <c r="AJ2640" s="394"/>
      <c r="AK2640" s="381" t="s">
        <v>167</v>
      </c>
      <c r="AL2640" s="408" t="s">
        <v>175</v>
      </c>
      <c r="AM2640" s="385"/>
      <c r="AN2640" s="475">
        <v>1432</v>
      </c>
      <c r="AO2640" s="395"/>
      <c r="AP2640" s="395">
        <f t="shared" si="1054"/>
        <v>18.00751</v>
      </c>
      <c r="AQ2640" s="393"/>
      <c r="AR2640" s="523"/>
      <c r="AS2640" s="497"/>
      <c r="AT2640" s="573"/>
      <c r="AU2640" s="394"/>
      <c r="AV2640" s="394"/>
      <c r="AW2640" s="394"/>
      <c r="AX2640" s="394"/>
      <c r="AY2640" s="394"/>
      <c r="AZ2640" s="394"/>
      <c r="BA2640" s="394"/>
      <c r="BB2640" s="394"/>
      <c r="BC2640" s="394"/>
      <c r="BD2640" s="381"/>
      <c r="BE2640" s="408"/>
      <c r="BF2640" s="385"/>
      <c r="BG2640" s="475"/>
      <c r="BH2640" s="395"/>
      <c r="BI2640" s="395" t="e">
        <f t="shared" si="1053"/>
        <v>#DIV/0!</v>
      </c>
    </row>
    <row r="2641" spans="1:61" s="358" customFormat="1" ht="19.2" x14ac:dyDescent="0.3">
      <c r="A2641" s="359" t="s">
        <v>4448</v>
      </c>
      <c r="B2641" s="572" t="s">
        <v>4262</v>
      </c>
      <c r="C2641" s="546" t="s">
        <v>3406</v>
      </c>
      <c r="D2641" s="360">
        <v>0.4</v>
      </c>
      <c r="E2641" s="393"/>
      <c r="F2641" s="523"/>
      <c r="G2641" s="393"/>
      <c r="H2641" s="573"/>
      <c r="I2641" s="394"/>
      <c r="J2641" s="394"/>
      <c r="K2641" s="394"/>
      <c r="L2641" s="394"/>
      <c r="M2641" s="394"/>
      <c r="N2641" s="394"/>
      <c r="O2641" s="394"/>
      <c r="P2641" s="394"/>
      <c r="Q2641" s="394"/>
      <c r="R2641" s="381"/>
      <c r="S2641" s="408"/>
      <c r="T2641" s="385"/>
      <c r="U2641" s="475"/>
      <c r="V2641" s="395"/>
      <c r="W2641" s="395"/>
      <c r="X2641" s="393"/>
      <c r="Y2641" s="523">
        <v>1</v>
      </c>
      <c r="Z2641" s="497"/>
      <c r="AA2641" s="573">
        <v>18.0075</v>
      </c>
      <c r="AB2641" s="394">
        <v>15.514290000000001</v>
      </c>
      <c r="AC2641" s="394">
        <v>14.418150000000001</v>
      </c>
      <c r="AD2641" s="394"/>
      <c r="AE2641" s="394"/>
      <c r="AF2641" s="394">
        <v>0</v>
      </c>
      <c r="AG2641" s="394">
        <v>0</v>
      </c>
      <c r="AH2641" s="394">
        <v>0.58123999999999998</v>
      </c>
      <c r="AI2641" s="394">
        <v>14.418150000000001</v>
      </c>
      <c r="AJ2641" s="394"/>
      <c r="AK2641" s="381" t="s">
        <v>167</v>
      </c>
      <c r="AL2641" s="408" t="s">
        <v>175</v>
      </c>
      <c r="AM2641" s="385"/>
      <c r="AN2641" s="475">
        <v>1433</v>
      </c>
      <c r="AO2641" s="395"/>
      <c r="AP2641" s="395">
        <f t="shared" si="1054"/>
        <v>18.0075</v>
      </c>
      <c r="AQ2641" s="393"/>
      <c r="AR2641" s="523"/>
      <c r="AS2641" s="497"/>
      <c r="AT2641" s="573"/>
      <c r="AU2641" s="394"/>
      <c r="AV2641" s="394"/>
      <c r="AW2641" s="394"/>
      <c r="AX2641" s="394"/>
      <c r="AY2641" s="394"/>
      <c r="AZ2641" s="394"/>
      <c r="BA2641" s="394"/>
      <c r="BB2641" s="394"/>
      <c r="BC2641" s="394"/>
      <c r="BD2641" s="381"/>
      <c r="BE2641" s="408"/>
      <c r="BF2641" s="385"/>
      <c r="BG2641" s="475"/>
      <c r="BH2641" s="395"/>
      <c r="BI2641" s="395" t="e">
        <f t="shared" si="1053"/>
        <v>#DIV/0!</v>
      </c>
    </row>
    <row r="2642" spans="1:61" s="358" customFormat="1" ht="19.2" x14ac:dyDescent="0.3">
      <c r="A2642" s="359" t="s">
        <v>4433</v>
      </c>
      <c r="B2642" s="572" t="s">
        <v>4263</v>
      </c>
      <c r="C2642" s="546" t="s">
        <v>3407</v>
      </c>
      <c r="D2642" s="360">
        <v>0.4</v>
      </c>
      <c r="E2642" s="393"/>
      <c r="F2642" s="523"/>
      <c r="G2642" s="393"/>
      <c r="H2642" s="573"/>
      <c r="I2642" s="394"/>
      <c r="J2642" s="394"/>
      <c r="K2642" s="394"/>
      <c r="L2642" s="394"/>
      <c r="M2642" s="394"/>
      <c r="N2642" s="394"/>
      <c r="O2642" s="394"/>
      <c r="P2642" s="394"/>
      <c r="Q2642" s="394"/>
      <c r="R2642" s="381"/>
      <c r="S2642" s="408"/>
      <c r="T2642" s="385"/>
      <c r="U2642" s="475"/>
      <c r="V2642" s="395"/>
      <c r="W2642" s="395"/>
      <c r="X2642" s="393"/>
      <c r="Y2642" s="523">
        <v>1</v>
      </c>
      <c r="Z2642" s="497"/>
      <c r="AA2642" s="573">
        <v>18.00751</v>
      </c>
      <c r="AB2642" s="394">
        <v>15.5143</v>
      </c>
      <c r="AC2642" s="394">
        <v>14.418150000000001</v>
      </c>
      <c r="AD2642" s="394"/>
      <c r="AE2642" s="394"/>
      <c r="AF2642" s="394">
        <v>0</v>
      </c>
      <c r="AG2642" s="394">
        <v>0</v>
      </c>
      <c r="AH2642" s="394">
        <v>0.58123999999999998</v>
      </c>
      <c r="AI2642" s="394">
        <v>14.418150000000001</v>
      </c>
      <c r="AJ2642" s="394"/>
      <c r="AK2642" s="381" t="s">
        <v>167</v>
      </c>
      <c r="AL2642" s="408" t="s">
        <v>175</v>
      </c>
      <c r="AM2642" s="385"/>
      <c r="AN2642" s="475">
        <v>1434</v>
      </c>
      <c r="AO2642" s="395"/>
      <c r="AP2642" s="395">
        <f t="shared" si="1054"/>
        <v>18.00751</v>
      </c>
      <c r="AQ2642" s="393"/>
      <c r="AR2642" s="523"/>
      <c r="AS2642" s="497"/>
      <c r="AT2642" s="573"/>
      <c r="AU2642" s="394"/>
      <c r="AV2642" s="394"/>
      <c r="AW2642" s="394"/>
      <c r="AX2642" s="394"/>
      <c r="AY2642" s="394"/>
      <c r="AZ2642" s="394"/>
      <c r="BA2642" s="394"/>
      <c r="BB2642" s="394"/>
      <c r="BC2642" s="394"/>
      <c r="BD2642" s="381"/>
      <c r="BE2642" s="408"/>
      <c r="BF2642" s="385"/>
      <c r="BG2642" s="475"/>
      <c r="BH2642" s="395"/>
      <c r="BI2642" s="395" t="e">
        <f t="shared" si="1053"/>
        <v>#DIV/0!</v>
      </c>
    </row>
    <row r="2643" spans="1:61" s="358" customFormat="1" ht="19.2" x14ac:dyDescent="0.3">
      <c r="A2643" s="359" t="s">
        <v>4450</v>
      </c>
      <c r="B2643" s="572" t="s">
        <v>4264</v>
      </c>
      <c r="C2643" s="546" t="s">
        <v>3408</v>
      </c>
      <c r="D2643" s="360">
        <v>0.4</v>
      </c>
      <c r="E2643" s="393"/>
      <c r="F2643" s="523"/>
      <c r="G2643" s="393"/>
      <c r="H2643" s="573"/>
      <c r="I2643" s="394"/>
      <c r="J2643" s="394"/>
      <c r="K2643" s="394"/>
      <c r="L2643" s="394"/>
      <c r="M2643" s="394"/>
      <c r="N2643" s="394"/>
      <c r="O2643" s="394"/>
      <c r="P2643" s="394"/>
      <c r="Q2643" s="394"/>
      <c r="R2643" s="381"/>
      <c r="S2643" s="408"/>
      <c r="T2643" s="385"/>
      <c r="U2643" s="475"/>
      <c r="V2643" s="395"/>
      <c r="W2643" s="395"/>
      <c r="X2643" s="393"/>
      <c r="Y2643" s="523">
        <v>1</v>
      </c>
      <c r="Z2643" s="497"/>
      <c r="AA2643" s="573">
        <v>18.0075</v>
      </c>
      <c r="AB2643" s="394">
        <v>15.514290000000001</v>
      </c>
      <c r="AC2643" s="394">
        <v>14.418150000000001</v>
      </c>
      <c r="AD2643" s="394"/>
      <c r="AE2643" s="394"/>
      <c r="AF2643" s="394">
        <v>0</v>
      </c>
      <c r="AG2643" s="394">
        <v>0</v>
      </c>
      <c r="AH2643" s="394">
        <v>0.58123999999999998</v>
      </c>
      <c r="AI2643" s="394">
        <v>14.418150000000001</v>
      </c>
      <c r="AJ2643" s="394"/>
      <c r="AK2643" s="381" t="s">
        <v>167</v>
      </c>
      <c r="AL2643" s="408" t="s">
        <v>175</v>
      </c>
      <c r="AM2643" s="385"/>
      <c r="AN2643" s="475">
        <v>1435</v>
      </c>
      <c r="AO2643" s="395"/>
      <c r="AP2643" s="395">
        <f t="shared" si="1054"/>
        <v>18.0075</v>
      </c>
      <c r="AQ2643" s="393"/>
      <c r="AR2643" s="523"/>
      <c r="AS2643" s="497"/>
      <c r="AT2643" s="573"/>
      <c r="AU2643" s="394"/>
      <c r="AV2643" s="394"/>
      <c r="AW2643" s="394"/>
      <c r="AX2643" s="394"/>
      <c r="AY2643" s="394"/>
      <c r="AZ2643" s="394"/>
      <c r="BA2643" s="394"/>
      <c r="BB2643" s="394"/>
      <c r="BC2643" s="394"/>
      <c r="BD2643" s="381"/>
      <c r="BE2643" s="408"/>
      <c r="BF2643" s="385"/>
      <c r="BG2643" s="475"/>
      <c r="BH2643" s="395"/>
      <c r="BI2643" s="395" t="e">
        <f t="shared" si="1053"/>
        <v>#DIV/0!</v>
      </c>
    </row>
    <row r="2644" spans="1:61" s="358" customFormat="1" ht="19.2" x14ac:dyDescent="0.3">
      <c r="A2644" s="359" t="s">
        <v>4451</v>
      </c>
      <c r="B2644" s="572" t="s">
        <v>4265</v>
      </c>
      <c r="C2644" s="546" t="s">
        <v>3409</v>
      </c>
      <c r="D2644" s="360">
        <v>0.4</v>
      </c>
      <c r="E2644" s="393"/>
      <c r="F2644" s="523"/>
      <c r="G2644" s="393"/>
      <c r="H2644" s="573"/>
      <c r="I2644" s="394"/>
      <c r="J2644" s="394"/>
      <c r="K2644" s="394"/>
      <c r="L2644" s="394"/>
      <c r="M2644" s="394"/>
      <c r="N2644" s="394"/>
      <c r="O2644" s="394"/>
      <c r="P2644" s="394"/>
      <c r="Q2644" s="394"/>
      <c r="R2644" s="381"/>
      <c r="S2644" s="408"/>
      <c r="T2644" s="385"/>
      <c r="U2644" s="475"/>
      <c r="V2644" s="395"/>
      <c r="W2644" s="395"/>
      <c r="X2644" s="393"/>
      <c r="Y2644" s="523">
        <v>1</v>
      </c>
      <c r="Z2644" s="497"/>
      <c r="AA2644" s="573">
        <v>18.0075</v>
      </c>
      <c r="AB2644" s="394">
        <v>15.514290000000001</v>
      </c>
      <c r="AC2644" s="394">
        <v>14.418150000000001</v>
      </c>
      <c r="AD2644" s="394"/>
      <c r="AE2644" s="394"/>
      <c r="AF2644" s="394">
        <v>0</v>
      </c>
      <c r="AG2644" s="394">
        <v>0</v>
      </c>
      <c r="AH2644" s="394">
        <v>0.58123999999999998</v>
      </c>
      <c r="AI2644" s="394">
        <v>14.418150000000001</v>
      </c>
      <c r="AJ2644" s="394"/>
      <c r="AK2644" s="381" t="s">
        <v>167</v>
      </c>
      <c r="AL2644" s="408" t="s">
        <v>175</v>
      </c>
      <c r="AM2644" s="385"/>
      <c r="AN2644" s="475">
        <v>1436</v>
      </c>
      <c r="AO2644" s="395"/>
      <c r="AP2644" s="395">
        <f t="shared" si="1054"/>
        <v>18.0075</v>
      </c>
      <c r="AQ2644" s="393"/>
      <c r="AR2644" s="523"/>
      <c r="AS2644" s="497"/>
      <c r="AT2644" s="573"/>
      <c r="AU2644" s="394"/>
      <c r="AV2644" s="394"/>
      <c r="AW2644" s="394"/>
      <c r="AX2644" s="394"/>
      <c r="AY2644" s="394"/>
      <c r="AZ2644" s="394"/>
      <c r="BA2644" s="394"/>
      <c r="BB2644" s="394"/>
      <c r="BC2644" s="394"/>
      <c r="BD2644" s="381"/>
      <c r="BE2644" s="408"/>
      <c r="BF2644" s="385"/>
      <c r="BG2644" s="475"/>
      <c r="BH2644" s="395"/>
      <c r="BI2644" s="395" t="e">
        <f t="shared" si="1053"/>
        <v>#DIV/0!</v>
      </c>
    </row>
    <row r="2645" spans="1:61" s="358" customFormat="1" ht="19.2" x14ac:dyDescent="0.3">
      <c r="A2645" s="359" t="s">
        <v>4452</v>
      </c>
      <c r="B2645" s="572" t="s">
        <v>4266</v>
      </c>
      <c r="C2645" s="546" t="s">
        <v>3410</v>
      </c>
      <c r="D2645" s="360">
        <v>0.4</v>
      </c>
      <c r="E2645" s="393"/>
      <c r="F2645" s="523"/>
      <c r="G2645" s="393"/>
      <c r="H2645" s="573"/>
      <c r="I2645" s="394"/>
      <c r="J2645" s="394"/>
      <c r="K2645" s="394"/>
      <c r="L2645" s="394"/>
      <c r="M2645" s="394"/>
      <c r="N2645" s="394"/>
      <c r="O2645" s="394"/>
      <c r="P2645" s="394"/>
      <c r="Q2645" s="394"/>
      <c r="R2645" s="381"/>
      <c r="S2645" s="408"/>
      <c r="T2645" s="385"/>
      <c r="U2645" s="475"/>
      <c r="V2645" s="395"/>
      <c r="W2645" s="395"/>
      <c r="X2645" s="393"/>
      <c r="Y2645" s="523">
        <v>1</v>
      </c>
      <c r="Z2645" s="497"/>
      <c r="AA2645" s="573">
        <v>18.9819</v>
      </c>
      <c r="AB2645" s="394">
        <v>16.177299999999999</v>
      </c>
      <c r="AC2645" s="394">
        <v>14.41813</v>
      </c>
      <c r="AD2645" s="394"/>
      <c r="AE2645" s="394"/>
      <c r="AF2645" s="394">
        <v>0</v>
      </c>
      <c r="AG2645" s="394">
        <v>0</v>
      </c>
      <c r="AH2645" s="394">
        <v>0.65381</v>
      </c>
      <c r="AI2645" s="394">
        <v>14.41813</v>
      </c>
      <c r="AJ2645" s="394"/>
      <c r="AK2645" s="381" t="s">
        <v>167</v>
      </c>
      <c r="AL2645" s="408" t="s">
        <v>175</v>
      </c>
      <c r="AM2645" s="385"/>
      <c r="AN2645" s="475">
        <v>1437</v>
      </c>
      <c r="AO2645" s="395"/>
      <c r="AP2645" s="395">
        <f t="shared" si="1054"/>
        <v>18.9819</v>
      </c>
      <c r="AQ2645" s="393"/>
      <c r="AR2645" s="523"/>
      <c r="AS2645" s="497"/>
      <c r="AT2645" s="573"/>
      <c r="AU2645" s="394"/>
      <c r="AV2645" s="394"/>
      <c r="AW2645" s="394"/>
      <c r="AX2645" s="394"/>
      <c r="AY2645" s="394"/>
      <c r="AZ2645" s="394"/>
      <c r="BA2645" s="394"/>
      <c r="BB2645" s="394"/>
      <c r="BC2645" s="394"/>
      <c r="BD2645" s="381"/>
      <c r="BE2645" s="408"/>
      <c r="BF2645" s="385"/>
      <c r="BG2645" s="475"/>
      <c r="BH2645" s="395"/>
      <c r="BI2645" s="395" t="e">
        <f t="shared" si="1053"/>
        <v>#DIV/0!</v>
      </c>
    </row>
    <row r="2646" spans="1:61" s="358" customFormat="1" ht="19.2" x14ac:dyDescent="0.3">
      <c r="A2646" s="359" t="s">
        <v>4453</v>
      </c>
      <c r="B2646" s="572" t="s">
        <v>4267</v>
      </c>
      <c r="C2646" s="546" t="s">
        <v>3411</v>
      </c>
      <c r="D2646" s="360">
        <v>0.4</v>
      </c>
      <c r="E2646" s="393"/>
      <c r="F2646" s="523"/>
      <c r="G2646" s="393"/>
      <c r="H2646" s="573"/>
      <c r="I2646" s="394"/>
      <c r="J2646" s="394"/>
      <c r="K2646" s="394"/>
      <c r="L2646" s="394"/>
      <c r="M2646" s="394"/>
      <c r="N2646" s="394"/>
      <c r="O2646" s="394"/>
      <c r="P2646" s="394"/>
      <c r="Q2646" s="394"/>
      <c r="R2646" s="381"/>
      <c r="S2646" s="408"/>
      <c r="T2646" s="385"/>
      <c r="U2646" s="475"/>
      <c r="V2646" s="395"/>
      <c r="W2646" s="395"/>
      <c r="X2646" s="393"/>
      <c r="Y2646" s="523">
        <v>1</v>
      </c>
      <c r="Z2646" s="497"/>
      <c r="AA2646" s="573">
        <v>18.00751</v>
      </c>
      <c r="AB2646" s="394">
        <v>15.5143</v>
      </c>
      <c r="AC2646" s="394">
        <v>14.418150000000001</v>
      </c>
      <c r="AD2646" s="394"/>
      <c r="AE2646" s="394"/>
      <c r="AF2646" s="394">
        <v>0</v>
      </c>
      <c r="AG2646" s="394">
        <v>0</v>
      </c>
      <c r="AH2646" s="394">
        <v>0.58123999999999998</v>
      </c>
      <c r="AI2646" s="394">
        <v>14.418150000000001</v>
      </c>
      <c r="AJ2646" s="394"/>
      <c r="AK2646" s="381" t="s">
        <v>167</v>
      </c>
      <c r="AL2646" s="408" t="s">
        <v>175</v>
      </c>
      <c r="AM2646" s="385"/>
      <c r="AN2646" s="475">
        <v>1438</v>
      </c>
      <c r="AO2646" s="395"/>
      <c r="AP2646" s="395">
        <f t="shared" si="1054"/>
        <v>18.00751</v>
      </c>
      <c r="AQ2646" s="393"/>
      <c r="AR2646" s="523"/>
      <c r="AS2646" s="497"/>
      <c r="AT2646" s="573"/>
      <c r="AU2646" s="394"/>
      <c r="AV2646" s="394"/>
      <c r="AW2646" s="394"/>
      <c r="AX2646" s="394"/>
      <c r="AY2646" s="394"/>
      <c r="AZ2646" s="394"/>
      <c r="BA2646" s="394"/>
      <c r="BB2646" s="394"/>
      <c r="BC2646" s="394"/>
      <c r="BD2646" s="381"/>
      <c r="BE2646" s="408"/>
      <c r="BF2646" s="385"/>
      <c r="BG2646" s="475"/>
      <c r="BH2646" s="395"/>
      <c r="BI2646" s="395" t="e">
        <f t="shared" si="1053"/>
        <v>#DIV/0!</v>
      </c>
    </row>
    <row r="2647" spans="1:61" s="358" customFormat="1" ht="19.2" x14ac:dyDescent="0.3">
      <c r="A2647" s="359" t="s">
        <v>4454</v>
      </c>
      <c r="B2647" s="572" t="s">
        <v>4268</v>
      </c>
      <c r="C2647" s="546" t="s">
        <v>3412</v>
      </c>
      <c r="D2647" s="360">
        <v>0.4</v>
      </c>
      <c r="E2647" s="393"/>
      <c r="F2647" s="523"/>
      <c r="G2647" s="393"/>
      <c r="H2647" s="573"/>
      <c r="I2647" s="394"/>
      <c r="J2647" s="394"/>
      <c r="K2647" s="394"/>
      <c r="L2647" s="394"/>
      <c r="M2647" s="394"/>
      <c r="N2647" s="394"/>
      <c r="O2647" s="394"/>
      <c r="P2647" s="394"/>
      <c r="Q2647" s="394"/>
      <c r="R2647" s="381"/>
      <c r="S2647" s="408"/>
      <c r="T2647" s="385"/>
      <c r="U2647" s="475"/>
      <c r="V2647" s="395"/>
      <c r="W2647" s="395"/>
      <c r="X2647" s="393"/>
      <c r="Y2647" s="523">
        <v>1</v>
      </c>
      <c r="Z2647" s="497"/>
      <c r="AA2647" s="573">
        <v>18.00751</v>
      </c>
      <c r="AB2647" s="394">
        <v>15.5143</v>
      </c>
      <c r="AC2647" s="394">
        <v>14.418150000000001</v>
      </c>
      <c r="AD2647" s="394"/>
      <c r="AE2647" s="394"/>
      <c r="AF2647" s="394">
        <v>0</v>
      </c>
      <c r="AG2647" s="394">
        <v>0</v>
      </c>
      <c r="AH2647" s="394">
        <v>0.58123999999999998</v>
      </c>
      <c r="AI2647" s="394">
        <v>14.418150000000001</v>
      </c>
      <c r="AJ2647" s="394"/>
      <c r="AK2647" s="381" t="s">
        <v>167</v>
      </c>
      <c r="AL2647" s="408" t="s">
        <v>175</v>
      </c>
      <c r="AM2647" s="385"/>
      <c r="AN2647" s="475">
        <v>1439</v>
      </c>
      <c r="AO2647" s="395"/>
      <c r="AP2647" s="395">
        <f t="shared" si="1054"/>
        <v>18.00751</v>
      </c>
      <c r="AQ2647" s="393"/>
      <c r="AR2647" s="523"/>
      <c r="AS2647" s="497"/>
      <c r="AT2647" s="573"/>
      <c r="AU2647" s="394"/>
      <c r="AV2647" s="394"/>
      <c r="AW2647" s="394"/>
      <c r="AX2647" s="394"/>
      <c r="AY2647" s="394"/>
      <c r="AZ2647" s="394"/>
      <c r="BA2647" s="394"/>
      <c r="BB2647" s="394"/>
      <c r="BC2647" s="394"/>
      <c r="BD2647" s="381"/>
      <c r="BE2647" s="408"/>
      <c r="BF2647" s="385"/>
      <c r="BG2647" s="475"/>
      <c r="BH2647" s="395"/>
      <c r="BI2647" s="395" t="e">
        <f t="shared" si="1053"/>
        <v>#DIV/0!</v>
      </c>
    </row>
    <row r="2648" spans="1:61" s="358" customFormat="1" ht="19.2" x14ac:dyDescent="0.3">
      <c r="A2648" s="359" t="s">
        <v>4455</v>
      </c>
      <c r="B2648" s="572" t="s">
        <v>4269</v>
      </c>
      <c r="C2648" s="546" t="s">
        <v>3413</v>
      </c>
      <c r="D2648" s="360">
        <v>0.4</v>
      </c>
      <c r="E2648" s="393"/>
      <c r="F2648" s="523"/>
      <c r="G2648" s="393"/>
      <c r="H2648" s="573"/>
      <c r="I2648" s="394"/>
      <c r="J2648" s="394"/>
      <c r="K2648" s="394"/>
      <c r="L2648" s="394"/>
      <c r="M2648" s="394"/>
      <c r="N2648" s="394"/>
      <c r="O2648" s="394"/>
      <c r="P2648" s="394"/>
      <c r="Q2648" s="394"/>
      <c r="R2648" s="381"/>
      <c r="S2648" s="408"/>
      <c r="T2648" s="385"/>
      <c r="U2648" s="475"/>
      <c r="V2648" s="395"/>
      <c r="W2648" s="395"/>
      <c r="X2648" s="393"/>
      <c r="Y2648" s="523">
        <v>1</v>
      </c>
      <c r="Z2648" s="497"/>
      <c r="AA2648" s="573">
        <v>18.00751</v>
      </c>
      <c r="AB2648" s="394">
        <v>15.5143</v>
      </c>
      <c r="AC2648" s="394">
        <v>14.418150000000001</v>
      </c>
      <c r="AD2648" s="394"/>
      <c r="AE2648" s="394"/>
      <c r="AF2648" s="394">
        <v>0</v>
      </c>
      <c r="AG2648" s="394">
        <v>0</v>
      </c>
      <c r="AH2648" s="394">
        <v>0.58123999999999998</v>
      </c>
      <c r="AI2648" s="394">
        <v>14.418150000000001</v>
      </c>
      <c r="AJ2648" s="394"/>
      <c r="AK2648" s="381" t="s">
        <v>167</v>
      </c>
      <c r="AL2648" s="408" t="s">
        <v>175</v>
      </c>
      <c r="AM2648" s="385"/>
      <c r="AN2648" s="475">
        <v>1440</v>
      </c>
      <c r="AO2648" s="395"/>
      <c r="AP2648" s="395">
        <f t="shared" si="1054"/>
        <v>18.00751</v>
      </c>
      <c r="AQ2648" s="393"/>
      <c r="AR2648" s="523"/>
      <c r="AS2648" s="497"/>
      <c r="AT2648" s="573"/>
      <c r="AU2648" s="394"/>
      <c r="AV2648" s="394"/>
      <c r="AW2648" s="394"/>
      <c r="AX2648" s="394"/>
      <c r="AY2648" s="394"/>
      <c r="AZ2648" s="394"/>
      <c r="BA2648" s="394"/>
      <c r="BB2648" s="394"/>
      <c r="BC2648" s="394"/>
      <c r="BD2648" s="381"/>
      <c r="BE2648" s="408"/>
      <c r="BF2648" s="385"/>
      <c r="BG2648" s="475"/>
      <c r="BH2648" s="395"/>
      <c r="BI2648" s="395" t="e">
        <f t="shared" si="1053"/>
        <v>#DIV/0!</v>
      </c>
    </row>
    <row r="2649" spans="1:61" s="358" customFormat="1" ht="19.2" x14ac:dyDescent="0.3">
      <c r="A2649" s="359" t="s">
        <v>4456</v>
      </c>
      <c r="B2649" s="572" t="s">
        <v>4270</v>
      </c>
      <c r="C2649" s="546" t="s">
        <v>3414</v>
      </c>
      <c r="D2649" s="360">
        <v>0.4</v>
      </c>
      <c r="E2649" s="393"/>
      <c r="F2649" s="523"/>
      <c r="G2649" s="393"/>
      <c r="H2649" s="573"/>
      <c r="I2649" s="394"/>
      <c r="J2649" s="394"/>
      <c r="K2649" s="394"/>
      <c r="L2649" s="394"/>
      <c r="M2649" s="394"/>
      <c r="N2649" s="394"/>
      <c r="O2649" s="394"/>
      <c r="P2649" s="394"/>
      <c r="Q2649" s="394"/>
      <c r="R2649" s="381"/>
      <c r="S2649" s="408"/>
      <c r="T2649" s="385"/>
      <c r="U2649" s="475"/>
      <c r="V2649" s="395"/>
      <c r="W2649" s="395"/>
      <c r="X2649" s="393"/>
      <c r="Y2649" s="523">
        <v>1</v>
      </c>
      <c r="Z2649" s="497"/>
      <c r="AA2649" s="573">
        <v>18.981909999999999</v>
      </c>
      <c r="AB2649" s="394">
        <v>16.177399999999999</v>
      </c>
      <c r="AC2649" s="394">
        <v>14.41813</v>
      </c>
      <c r="AD2649" s="394"/>
      <c r="AE2649" s="394"/>
      <c r="AF2649" s="394">
        <v>0</v>
      </c>
      <c r="AG2649" s="394">
        <v>0</v>
      </c>
      <c r="AH2649" s="394">
        <v>0.65381</v>
      </c>
      <c r="AI2649" s="394">
        <v>14.41813</v>
      </c>
      <c r="AJ2649" s="394"/>
      <c r="AK2649" s="381" t="s">
        <v>167</v>
      </c>
      <c r="AL2649" s="408" t="s">
        <v>175</v>
      </c>
      <c r="AM2649" s="385"/>
      <c r="AN2649" s="475">
        <v>1441</v>
      </c>
      <c r="AO2649" s="395"/>
      <c r="AP2649" s="395">
        <f t="shared" si="1054"/>
        <v>18.981909999999999</v>
      </c>
      <c r="AQ2649" s="393"/>
      <c r="AR2649" s="523"/>
      <c r="AS2649" s="497"/>
      <c r="AT2649" s="573"/>
      <c r="AU2649" s="394"/>
      <c r="AV2649" s="394"/>
      <c r="AW2649" s="394"/>
      <c r="AX2649" s="394"/>
      <c r="AY2649" s="394"/>
      <c r="AZ2649" s="394"/>
      <c r="BA2649" s="394"/>
      <c r="BB2649" s="394"/>
      <c r="BC2649" s="394"/>
      <c r="BD2649" s="381"/>
      <c r="BE2649" s="408"/>
      <c r="BF2649" s="385"/>
      <c r="BG2649" s="475"/>
      <c r="BH2649" s="395"/>
      <c r="BI2649" s="395" t="e">
        <f t="shared" si="1053"/>
        <v>#DIV/0!</v>
      </c>
    </row>
    <row r="2650" spans="1:61" s="358" customFormat="1" ht="19.2" x14ac:dyDescent="0.3">
      <c r="A2650" s="359" t="s">
        <v>4457</v>
      </c>
      <c r="B2650" s="572" t="s">
        <v>2518</v>
      </c>
      <c r="C2650" s="546" t="s">
        <v>2517</v>
      </c>
      <c r="D2650" s="360">
        <v>0.4</v>
      </c>
      <c r="E2650" s="393"/>
      <c r="F2650" s="523"/>
      <c r="G2650" s="393"/>
      <c r="H2650" s="573"/>
      <c r="I2650" s="394"/>
      <c r="J2650" s="394"/>
      <c r="K2650" s="394"/>
      <c r="L2650" s="394"/>
      <c r="M2650" s="394"/>
      <c r="N2650" s="394"/>
      <c r="O2650" s="394"/>
      <c r="P2650" s="394"/>
      <c r="Q2650" s="394"/>
      <c r="R2650" s="381"/>
      <c r="S2650" s="408"/>
      <c r="T2650" s="385"/>
      <c r="U2650" s="475"/>
      <c r="V2650" s="395"/>
      <c r="W2650" s="395"/>
      <c r="X2650" s="393"/>
      <c r="Y2650" s="523">
        <v>1</v>
      </c>
      <c r="Z2650" s="497"/>
      <c r="AA2650" s="573">
        <v>18.64819</v>
      </c>
      <c r="AB2650" s="394">
        <v>14.404120000000001</v>
      </c>
      <c r="AC2650" s="394">
        <v>12.85937</v>
      </c>
      <c r="AD2650" s="394"/>
      <c r="AE2650" s="394"/>
      <c r="AF2650" s="394">
        <v>0</v>
      </c>
      <c r="AG2650" s="394">
        <v>0</v>
      </c>
      <c r="AH2650" s="394">
        <v>0.98941000000000001</v>
      </c>
      <c r="AI2650" s="394">
        <v>12.85937</v>
      </c>
      <c r="AJ2650" s="394"/>
      <c r="AK2650" s="381" t="s">
        <v>167</v>
      </c>
      <c r="AL2650" s="408" t="s">
        <v>175</v>
      </c>
      <c r="AM2650" s="385"/>
      <c r="AN2650" s="475">
        <v>1442</v>
      </c>
      <c r="AO2650" s="395"/>
      <c r="AP2650" s="395">
        <f t="shared" si="1054"/>
        <v>18.64819</v>
      </c>
      <c r="AQ2650" s="393"/>
      <c r="AR2650" s="523"/>
      <c r="AS2650" s="497"/>
      <c r="AT2650" s="573"/>
      <c r="AU2650" s="394"/>
      <c r="AV2650" s="394"/>
      <c r="AW2650" s="394"/>
      <c r="AX2650" s="394"/>
      <c r="AY2650" s="394"/>
      <c r="AZ2650" s="394"/>
      <c r="BA2650" s="394"/>
      <c r="BB2650" s="394"/>
      <c r="BC2650" s="394"/>
      <c r="BD2650" s="381"/>
      <c r="BE2650" s="408"/>
      <c r="BF2650" s="385"/>
      <c r="BG2650" s="475"/>
      <c r="BH2650" s="395"/>
      <c r="BI2650" s="395" t="e">
        <f t="shared" si="1053"/>
        <v>#DIV/0!</v>
      </c>
    </row>
    <row r="2651" spans="1:61" s="358" customFormat="1" ht="19.2" x14ac:dyDescent="0.3">
      <c r="A2651" s="359" t="s">
        <v>4474</v>
      </c>
      <c r="B2651" s="572" t="s">
        <v>2516</v>
      </c>
      <c r="C2651" s="546" t="s">
        <v>2515</v>
      </c>
      <c r="D2651" s="360">
        <v>0.4</v>
      </c>
      <c r="E2651" s="393"/>
      <c r="F2651" s="523"/>
      <c r="G2651" s="393"/>
      <c r="H2651" s="573"/>
      <c r="I2651" s="394"/>
      <c r="J2651" s="394"/>
      <c r="K2651" s="394"/>
      <c r="L2651" s="394"/>
      <c r="M2651" s="394"/>
      <c r="N2651" s="394"/>
      <c r="O2651" s="394"/>
      <c r="P2651" s="394"/>
      <c r="Q2651" s="394"/>
      <c r="R2651" s="381"/>
      <c r="S2651" s="408"/>
      <c r="T2651" s="385"/>
      <c r="U2651" s="475"/>
      <c r="V2651" s="395"/>
      <c r="W2651" s="395"/>
      <c r="X2651" s="393"/>
      <c r="Y2651" s="523">
        <v>1</v>
      </c>
      <c r="Z2651" s="497"/>
      <c r="AA2651" s="573">
        <v>17.873999999999999</v>
      </c>
      <c r="AB2651" s="394">
        <v>15.380789999999999</v>
      </c>
      <c r="AC2651" s="394">
        <v>14.418139999999999</v>
      </c>
      <c r="AD2651" s="394"/>
      <c r="AE2651" s="394"/>
      <c r="AF2651" s="394">
        <v>0</v>
      </c>
      <c r="AG2651" s="394">
        <v>0</v>
      </c>
      <c r="AH2651" s="394">
        <v>0.58123999999999998</v>
      </c>
      <c r="AI2651" s="394">
        <v>14.418139999999999</v>
      </c>
      <c r="AJ2651" s="394"/>
      <c r="AK2651" s="381" t="s">
        <v>167</v>
      </c>
      <c r="AL2651" s="408" t="s">
        <v>175</v>
      </c>
      <c r="AM2651" s="385"/>
      <c r="AN2651" s="475">
        <v>1443</v>
      </c>
      <c r="AO2651" s="395"/>
      <c r="AP2651" s="395">
        <f t="shared" si="1054"/>
        <v>17.873999999999999</v>
      </c>
      <c r="AQ2651" s="393"/>
      <c r="AR2651" s="523"/>
      <c r="AS2651" s="497"/>
      <c r="AT2651" s="573"/>
      <c r="AU2651" s="394"/>
      <c r="AV2651" s="394"/>
      <c r="AW2651" s="394"/>
      <c r="AX2651" s="394"/>
      <c r="AY2651" s="394"/>
      <c r="AZ2651" s="394"/>
      <c r="BA2651" s="394"/>
      <c r="BB2651" s="394"/>
      <c r="BC2651" s="394"/>
      <c r="BD2651" s="381"/>
      <c r="BE2651" s="408"/>
      <c r="BF2651" s="385"/>
      <c r="BG2651" s="475"/>
      <c r="BH2651" s="395"/>
      <c r="BI2651" s="395" t="e">
        <f t="shared" si="1053"/>
        <v>#DIV/0!</v>
      </c>
    </row>
    <row r="2652" spans="1:61" s="358" customFormat="1" ht="19.2" x14ac:dyDescent="0.3">
      <c r="A2652" s="359" t="s">
        <v>4459</v>
      </c>
      <c r="B2652" s="572" t="s">
        <v>2558</v>
      </c>
      <c r="C2652" s="546" t="s">
        <v>2557</v>
      </c>
      <c r="D2652" s="360">
        <v>0.4</v>
      </c>
      <c r="E2652" s="393"/>
      <c r="F2652" s="523"/>
      <c r="G2652" s="393"/>
      <c r="H2652" s="573"/>
      <c r="I2652" s="394"/>
      <c r="J2652" s="394"/>
      <c r="K2652" s="394"/>
      <c r="L2652" s="394"/>
      <c r="M2652" s="394"/>
      <c r="N2652" s="394"/>
      <c r="O2652" s="394"/>
      <c r="P2652" s="394"/>
      <c r="Q2652" s="394"/>
      <c r="R2652" s="381"/>
      <c r="S2652" s="408"/>
      <c r="T2652" s="385"/>
      <c r="U2652" s="475"/>
      <c r="V2652" s="395"/>
      <c r="W2652" s="395"/>
      <c r="X2652" s="393"/>
      <c r="Y2652" s="523">
        <v>1</v>
      </c>
      <c r="Z2652" s="497"/>
      <c r="AA2652" s="573">
        <v>17.874030000000001</v>
      </c>
      <c r="AB2652" s="394">
        <v>15.38082</v>
      </c>
      <c r="AC2652" s="394">
        <v>14.418139999999999</v>
      </c>
      <c r="AD2652" s="394"/>
      <c r="AE2652" s="394"/>
      <c r="AF2652" s="394">
        <v>0</v>
      </c>
      <c r="AG2652" s="394">
        <v>0</v>
      </c>
      <c r="AH2652" s="394">
        <v>0.58123999999999998</v>
      </c>
      <c r="AI2652" s="394">
        <v>14.418139999999999</v>
      </c>
      <c r="AJ2652" s="394"/>
      <c r="AK2652" s="381" t="s">
        <v>167</v>
      </c>
      <c r="AL2652" s="408" t="s">
        <v>175</v>
      </c>
      <c r="AM2652" s="385"/>
      <c r="AN2652" s="475">
        <v>1444</v>
      </c>
      <c r="AO2652" s="395"/>
      <c r="AP2652" s="395">
        <f t="shared" si="1054"/>
        <v>17.874030000000001</v>
      </c>
      <c r="AQ2652" s="393"/>
      <c r="AR2652" s="523"/>
      <c r="AS2652" s="497"/>
      <c r="AT2652" s="573"/>
      <c r="AU2652" s="394"/>
      <c r="AV2652" s="394"/>
      <c r="AW2652" s="394"/>
      <c r="AX2652" s="394"/>
      <c r="AY2652" s="394"/>
      <c r="AZ2652" s="394"/>
      <c r="BA2652" s="394"/>
      <c r="BB2652" s="394"/>
      <c r="BC2652" s="394"/>
      <c r="BD2652" s="381"/>
      <c r="BE2652" s="408"/>
      <c r="BF2652" s="385"/>
      <c r="BG2652" s="475"/>
      <c r="BH2652" s="395"/>
      <c r="BI2652" s="395" t="e">
        <f t="shared" si="1053"/>
        <v>#DIV/0!</v>
      </c>
    </row>
    <row r="2653" spans="1:61" s="358" customFormat="1" ht="19.2" x14ac:dyDescent="0.3">
      <c r="A2653" s="359" t="s">
        <v>4460</v>
      </c>
      <c r="B2653" s="572" t="s">
        <v>4271</v>
      </c>
      <c r="C2653" s="546" t="s">
        <v>3416</v>
      </c>
      <c r="D2653" s="360">
        <v>0.4</v>
      </c>
      <c r="E2653" s="393"/>
      <c r="F2653" s="523"/>
      <c r="G2653" s="393"/>
      <c r="H2653" s="573"/>
      <c r="I2653" s="394"/>
      <c r="J2653" s="394"/>
      <c r="K2653" s="394"/>
      <c r="L2653" s="394"/>
      <c r="M2653" s="394"/>
      <c r="N2653" s="394"/>
      <c r="O2653" s="394"/>
      <c r="P2653" s="394"/>
      <c r="Q2653" s="394"/>
      <c r="R2653" s="381"/>
      <c r="S2653" s="408"/>
      <c r="T2653" s="385"/>
      <c r="U2653" s="475"/>
      <c r="V2653" s="395"/>
      <c r="W2653" s="395"/>
      <c r="X2653" s="393"/>
      <c r="Y2653" s="523">
        <v>1</v>
      </c>
      <c r="Z2653" s="497"/>
      <c r="AA2653" s="573">
        <v>17.874030000000001</v>
      </c>
      <c r="AB2653" s="394">
        <v>15.38082</v>
      </c>
      <c r="AC2653" s="394">
        <v>14.418139999999999</v>
      </c>
      <c r="AD2653" s="394"/>
      <c r="AE2653" s="394"/>
      <c r="AF2653" s="394">
        <v>0</v>
      </c>
      <c r="AG2653" s="394">
        <v>0</v>
      </c>
      <c r="AH2653" s="394">
        <v>0.58123999999999998</v>
      </c>
      <c r="AI2653" s="394">
        <v>14.418139999999999</v>
      </c>
      <c r="AJ2653" s="394"/>
      <c r="AK2653" s="381" t="s">
        <v>167</v>
      </c>
      <c r="AL2653" s="408" t="s">
        <v>175</v>
      </c>
      <c r="AM2653" s="385"/>
      <c r="AN2653" s="475">
        <v>1445</v>
      </c>
      <c r="AO2653" s="395"/>
      <c r="AP2653" s="395">
        <f t="shared" si="1054"/>
        <v>17.874030000000001</v>
      </c>
      <c r="AQ2653" s="393"/>
      <c r="AR2653" s="523"/>
      <c r="AS2653" s="497"/>
      <c r="AT2653" s="573"/>
      <c r="AU2653" s="394"/>
      <c r="AV2653" s="394"/>
      <c r="AW2653" s="394"/>
      <c r="AX2653" s="394"/>
      <c r="AY2653" s="394"/>
      <c r="AZ2653" s="394"/>
      <c r="BA2653" s="394"/>
      <c r="BB2653" s="394"/>
      <c r="BC2653" s="394"/>
      <c r="BD2653" s="381"/>
      <c r="BE2653" s="408"/>
      <c r="BF2653" s="385"/>
      <c r="BG2653" s="475"/>
      <c r="BH2653" s="395"/>
      <c r="BI2653" s="395" t="e">
        <f t="shared" si="1053"/>
        <v>#DIV/0!</v>
      </c>
    </row>
    <row r="2654" spans="1:61" s="358" customFormat="1" ht="19.2" x14ac:dyDescent="0.3">
      <c r="A2654" s="359" t="s">
        <v>4461</v>
      </c>
      <c r="B2654" s="572" t="s">
        <v>2353</v>
      </c>
      <c r="C2654" s="546" t="s">
        <v>2352</v>
      </c>
      <c r="D2654" s="360">
        <v>0.4</v>
      </c>
      <c r="E2654" s="393"/>
      <c r="F2654" s="523"/>
      <c r="G2654" s="393"/>
      <c r="H2654" s="573"/>
      <c r="I2654" s="394"/>
      <c r="J2654" s="394"/>
      <c r="K2654" s="394"/>
      <c r="L2654" s="394"/>
      <c r="M2654" s="394"/>
      <c r="N2654" s="394"/>
      <c r="O2654" s="394"/>
      <c r="P2654" s="394"/>
      <c r="Q2654" s="394"/>
      <c r="R2654" s="381"/>
      <c r="S2654" s="408"/>
      <c r="T2654" s="385"/>
      <c r="U2654" s="475"/>
      <c r="V2654" s="395"/>
      <c r="W2654" s="395"/>
      <c r="X2654" s="393"/>
      <c r="Y2654" s="523">
        <v>1</v>
      </c>
      <c r="Z2654" s="497"/>
      <c r="AA2654" s="573">
        <v>17.874020000000002</v>
      </c>
      <c r="AB2654" s="394">
        <v>15.38081</v>
      </c>
      <c r="AC2654" s="394">
        <v>14.418139999999999</v>
      </c>
      <c r="AD2654" s="394"/>
      <c r="AE2654" s="394"/>
      <c r="AF2654" s="394">
        <v>0</v>
      </c>
      <c r="AG2654" s="394">
        <v>0</v>
      </c>
      <c r="AH2654" s="394">
        <v>0.58123999999999998</v>
      </c>
      <c r="AI2654" s="394">
        <v>14.418139999999999</v>
      </c>
      <c r="AJ2654" s="394"/>
      <c r="AK2654" s="381" t="s">
        <v>167</v>
      </c>
      <c r="AL2654" s="408" t="s">
        <v>175</v>
      </c>
      <c r="AM2654" s="385"/>
      <c r="AN2654" s="475">
        <v>1446</v>
      </c>
      <c r="AO2654" s="395"/>
      <c r="AP2654" s="395">
        <f t="shared" si="1054"/>
        <v>17.874020000000002</v>
      </c>
      <c r="AQ2654" s="393"/>
      <c r="AR2654" s="523"/>
      <c r="AS2654" s="497"/>
      <c r="AT2654" s="573"/>
      <c r="AU2654" s="394"/>
      <c r="AV2654" s="394"/>
      <c r="AW2654" s="394"/>
      <c r="AX2654" s="394"/>
      <c r="AY2654" s="394"/>
      <c r="AZ2654" s="394"/>
      <c r="BA2654" s="394"/>
      <c r="BB2654" s="394"/>
      <c r="BC2654" s="394"/>
      <c r="BD2654" s="381"/>
      <c r="BE2654" s="408"/>
      <c r="BF2654" s="385"/>
      <c r="BG2654" s="475"/>
      <c r="BH2654" s="395"/>
      <c r="BI2654" s="395" t="e">
        <f t="shared" si="1053"/>
        <v>#DIV/0!</v>
      </c>
    </row>
    <row r="2655" spans="1:61" s="358" customFormat="1" ht="19.2" x14ac:dyDescent="0.3">
      <c r="A2655" s="359" t="s">
        <v>4478</v>
      </c>
      <c r="B2655" s="572" t="s">
        <v>1379</v>
      </c>
      <c r="C2655" s="546" t="s">
        <v>3417</v>
      </c>
      <c r="D2655" s="360">
        <v>0.4</v>
      </c>
      <c r="E2655" s="393"/>
      <c r="F2655" s="523"/>
      <c r="G2655" s="393"/>
      <c r="H2655" s="573"/>
      <c r="I2655" s="394"/>
      <c r="J2655" s="394"/>
      <c r="K2655" s="394"/>
      <c r="L2655" s="394"/>
      <c r="M2655" s="394"/>
      <c r="N2655" s="394"/>
      <c r="O2655" s="394"/>
      <c r="P2655" s="394"/>
      <c r="Q2655" s="394"/>
      <c r="R2655" s="381"/>
      <c r="S2655" s="408"/>
      <c r="T2655" s="385"/>
      <c r="U2655" s="475"/>
      <c r="V2655" s="395"/>
      <c r="W2655" s="395"/>
      <c r="X2655" s="393"/>
      <c r="Y2655" s="523">
        <v>1</v>
      </c>
      <c r="Z2655" s="497"/>
      <c r="AA2655" s="573">
        <v>17.874030000000001</v>
      </c>
      <c r="AB2655" s="394">
        <v>15.38082</v>
      </c>
      <c r="AC2655" s="394">
        <v>14.418139999999999</v>
      </c>
      <c r="AD2655" s="394"/>
      <c r="AE2655" s="394"/>
      <c r="AF2655" s="394">
        <v>0</v>
      </c>
      <c r="AG2655" s="394">
        <v>0</v>
      </c>
      <c r="AH2655" s="394">
        <v>0.58123999999999998</v>
      </c>
      <c r="AI2655" s="394">
        <v>14.418139999999999</v>
      </c>
      <c r="AJ2655" s="394"/>
      <c r="AK2655" s="381" t="s">
        <v>167</v>
      </c>
      <c r="AL2655" s="408" t="s">
        <v>175</v>
      </c>
      <c r="AM2655" s="385"/>
      <c r="AN2655" s="475">
        <v>1447</v>
      </c>
      <c r="AO2655" s="395"/>
      <c r="AP2655" s="395">
        <f t="shared" si="1054"/>
        <v>17.874030000000001</v>
      </c>
      <c r="AQ2655" s="393"/>
      <c r="AR2655" s="523"/>
      <c r="AS2655" s="497"/>
      <c r="AT2655" s="573"/>
      <c r="AU2655" s="394"/>
      <c r="AV2655" s="394"/>
      <c r="AW2655" s="394"/>
      <c r="AX2655" s="394"/>
      <c r="AY2655" s="394"/>
      <c r="AZ2655" s="394"/>
      <c r="BA2655" s="394"/>
      <c r="BB2655" s="394"/>
      <c r="BC2655" s="394"/>
      <c r="BD2655" s="381"/>
      <c r="BE2655" s="408"/>
      <c r="BF2655" s="385"/>
      <c r="BG2655" s="475"/>
      <c r="BH2655" s="395"/>
      <c r="BI2655" s="395" t="e">
        <f t="shared" si="1053"/>
        <v>#DIV/0!</v>
      </c>
    </row>
    <row r="2656" spans="1:61" s="358" customFormat="1" ht="19.2" x14ac:dyDescent="0.3">
      <c r="A2656" s="359" t="s">
        <v>4463</v>
      </c>
      <c r="B2656" s="572" t="s">
        <v>2514</v>
      </c>
      <c r="C2656" s="546" t="s">
        <v>2513</v>
      </c>
      <c r="D2656" s="360">
        <v>0.4</v>
      </c>
      <c r="E2656" s="393"/>
      <c r="F2656" s="523"/>
      <c r="G2656" s="393"/>
      <c r="H2656" s="573"/>
      <c r="I2656" s="394"/>
      <c r="J2656" s="394"/>
      <c r="K2656" s="394"/>
      <c r="L2656" s="394"/>
      <c r="M2656" s="394"/>
      <c r="N2656" s="394"/>
      <c r="O2656" s="394"/>
      <c r="P2656" s="394"/>
      <c r="Q2656" s="394"/>
      <c r="R2656" s="381"/>
      <c r="S2656" s="408"/>
      <c r="T2656" s="385"/>
      <c r="U2656" s="475"/>
      <c r="V2656" s="395"/>
      <c r="W2656" s="395"/>
      <c r="X2656" s="393"/>
      <c r="Y2656" s="523">
        <v>1</v>
      </c>
      <c r="Z2656" s="497"/>
      <c r="AA2656" s="573">
        <v>17.874020000000002</v>
      </c>
      <c r="AB2656" s="394">
        <v>15.38081</v>
      </c>
      <c r="AC2656" s="394">
        <v>14.418139999999999</v>
      </c>
      <c r="AD2656" s="394"/>
      <c r="AE2656" s="394"/>
      <c r="AF2656" s="394">
        <v>0</v>
      </c>
      <c r="AG2656" s="394">
        <v>0</v>
      </c>
      <c r="AH2656" s="394">
        <v>0.58123999999999998</v>
      </c>
      <c r="AI2656" s="394">
        <v>14.418139999999999</v>
      </c>
      <c r="AJ2656" s="394"/>
      <c r="AK2656" s="381" t="s">
        <v>167</v>
      </c>
      <c r="AL2656" s="408" t="s">
        <v>175</v>
      </c>
      <c r="AM2656" s="385"/>
      <c r="AN2656" s="475">
        <v>1448</v>
      </c>
      <c r="AO2656" s="395"/>
      <c r="AP2656" s="395">
        <f t="shared" si="1054"/>
        <v>17.874020000000002</v>
      </c>
      <c r="AQ2656" s="393"/>
      <c r="AR2656" s="523"/>
      <c r="AS2656" s="497"/>
      <c r="AT2656" s="573"/>
      <c r="AU2656" s="394"/>
      <c r="AV2656" s="394"/>
      <c r="AW2656" s="394"/>
      <c r="AX2656" s="394"/>
      <c r="AY2656" s="394"/>
      <c r="AZ2656" s="394"/>
      <c r="BA2656" s="394"/>
      <c r="BB2656" s="394"/>
      <c r="BC2656" s="394"/>
      <c r="BD2656" s="381"/>
      <c r="BE2656" s="408"/>
      <c r="BF2656" s="385"/>
      <c r="BG2656" s="475"/>
      <c r="BH2656" s="395"/>
      <c r="BI2656" s="395" t="e">
        <f t="shared" si="1053"/>
        <v>#DIV/0!</v>
      </c>
    </row>
    <row r="2657" spans="1:61" s="358" customFormat="1" ht="19.2" x14ac:dyDescent="0.3">
      <c r="A2657" s="359" t="s">
        <v>4464</v>
      </c>
      <c r="B2657" s="572" t="s">
        <v>2496</v>
      </c>
      <c r="C2657" s="546" t="s">
        <v>2495</v>
      </c>
      <c r="D2657" s="360">
        <v>0.4</v>
      </c>
      <c r="E2657" s="393"/>
      <c r="F2657" s="523"/>
      <c r="G2657" s="393"/>
      <c r="H2657" s="573"/>
      <c r="I2657" s="394"/>
      <c r="J2657" s="394"/>
      <c r="K2657" s="394"/>
      <c r="L2657" s="394"/>
      <c r="M2657" s="394"/>
      <c r="N2657" s="394"/>
      <c r="O2657" s="394"/>
      <c r="P2657" s="394"/>
      <c r="Q2657" s="394"/>
      <c r="R2657" s="381"/>
      <c r="S2657" s="408"/>
      <c r="T2657" s="385"/>
      <c r="U2657" s="475"/>
      <c r="V2657" s="395"/>
      <c r="W2657" s="395"/>
      <c r="X2657" s="393"/>
      <c r="Y2657" s="523">
        <v>1</v>
      </c>
      <c r="Z2657" s="497"/>
      <c r="AA2657" s="573">
        <v>17.874020000000002</v>
      </c>
      <c r="AB2657" s="394">
        <v>15.38081</v>
      </c>
      <c r="AC2657" s="394">
        <v>14.418139999999999</v>
      </c>
      <c r="AD2657" s="394"/>
      <c r="AE2657" s="394"/>
      <c r="AF2657" s="394">
        <v>0</v>
      </c>
      <c r="AG2657" s="394">
        <v>0</v>
      </c>
      <c r="AH2657" s="394">
        <v>0.58123999999999998</v>
      </c>
      <c r="AI2657" s="394">
        <v>14.418139999999999</v>
      </c>
      <c r="AJ2657" s="394"/>
      <c r="AK2657" s="381" t="s">
        <v>167</v>
      </c>
      <c r="AL2657" s="408" t="s">
        <v>175</v>
      </c>
      <c r="AM2657" s="385"/>
      <c r="AN2657" s="475">
        <v>1449</v>
      </c>
      <c r="AO2657" s="395"/>
      <c r="AP2657" s="395">
        <f t="shared" si="1054"/>
        <v>17.874020000000002</v>
      </c>
      <c r="AQ2657" s="393"/>
      <c r="AR2657" s="523"/>
      <c r="AS2657" s="497"/>
      <c r="AT2657" s="573"/>
      <c r="AU2657" s="394"/>
      <c r="AV2657" s="394"/>
      <c r="AW2657" s="394"/>
      <c r="AX2657" s="394"/>
      <c r="AY2657" s="394"/>
      <c r="AZ2657" s="394"/>
      <c r="BA2657" s="394"/>
      <c r="BB2657" s="394"/>
      <c r="BC2657" s="394"/>
      <c r="BD2657" s="381"/>
      <c r="BE2657" s="408"/>
      <c r="BF2657" s="385"/>
      <c r="BG2657" s="475"/>
      <c r="BH2657" s="395"/>
      <c r="BI2657" s="395" t="e">
        <f t="shared" si="1053"/>
        <v>#DIV/0!</v>
      </c>
    </row>
    <row r="2658" spans="1:61" s="358" customFormat="1" ht="19.2" x14ac:dyDescent="0.3">
      <c r="A2658" s="359" t="s">
        <v>4449</v>
      </c>
      <c r="B2658" s="572" t="s">
        <v>2494</v>
      </c>
      <c r="C2658" s="546" t="s">
        <v>2493</v>
      </c>
      <c r="D2658" s="360">
        <v>0.4</v>
      </c>
      <c r="E2658" s="393"/>
      <c r="F2658" s="523"/>
      <c r="G2658" s="393"/>
      <c r="H2658" s="573"/>
      <c r="I2658" s="394"/>
      <c r="J2658" s="394"/>
      <c r="K2658" s="394"/>
      <c r="L2658" s="394"/>
      <c r="M2658" s="394"/>
      <c r="N2658" s="394"/>
      <c r="O2658" s="394"/>
      <c r="P2658" s="394"/>
      <c r="Q2658" s="394"/>
      <c r="R2658" s="381"/>
      <c r="S2658" s="408"/>
      <c r="T2658" s="385"/>
      <c r="U2658" s="475"/>
      <c r="V2658" s="395"/>
      <c r="W2658" s="395"/>
      <c r="X2658" s="393"/>
      <c r="Y2658" s="523">
        <v>1</v>
      </c>
      <c r="Z2658" s="497"/>
      <c r="AA2658" s="573">
        <v>36.262949999999996</v>
      </c>
      <c r="AB2658" s="394">
        <v>27.419419999999999</v>
      </c>
      <c r="AC2658" s="394">
        <v>12.85937</v>
      </c>
      <c r="AD2658" s="394"/>
      <c r="AE2658" s="394"/>
      <c r="AF2658" s="394">
        <v>0</v>
      </c>
      <c r="AG2658" s="394">
        <v>0</v>
      </c>
      <c r="AH2658" s="394">
        <v>2.06168</v>
      </c>
      <c r="AI2658" s="394">
        <v>12.85937</v>
      </c>
      <c r="AJ2658" s="394"/>
      <c r="AK2658" s="381" t="s">
        <v>167</v>
      </c>
      <c r="AL2658" s="408" t="s">
        <v>175</v>
      </c>
      <c r="AM2658" s="385"/>
      <c r="AN2658" s="475">
        <v>1450</v>
      </c>
      <c r="AO2658" s="395"/>
      <c r="AP2658" s="395">
        <f t="shared" si="1054"/>
        <v>36.262949999999996</v>
      </c>
      <c r="AQ2658" s="393"/>
      <c r="AR2658" s="523"/>
      <c r="AS2658" s="497"/>
      <c r="AT2658" s="573"/>
      <c r="AU2658" s="394"/>
      <c r="AV2658" s="394"/>
      <c r="AW2658" s="394"/>
      <c r="AX2658" s="394"/>
      <c r="AY2658" s="394"/>
      <c r="AZ2658" s="394"/>
      <c r="BA2658" s="394"/>
      <c r="BB2658" s="394"/>
      <c r="BC2658" s="394"/>
      <c r="BD2658" s="381"/>
      <c r="BE2658" s="408"/>
      <c r="BF2658" s="385"/>
      <c r="BG2658" s="475"/>
      <c r="BH2658" s="395"/>
      <c r="BI2658" s="395" t="e">
        <f t="shared" si="1053"/>
        <v>#DIV/0!</v>
      </c>
    </row>
    <row r="2659" spans="1:61" s="358" customFormat="1" ht="19.2" x14ac:dyDescent="0.3">
      <c r="A2659" s="359" t="s">
        <v>4466</v>
      </c>
      <c r="B2659" s="572" t="s">
        <v>4272</v>
      </c>
      <c r="C2659" s="546" t="s">
        <v>3418</v>
      </c>
      <c r="D2659" s="360">
        <v>0.4</v>
      </c>
      <c r="E2659" s="393"/>
      <c r="F2659" s="523"/>
      <c r="G2659" s="393"/>
      <c r="H2659" s="573"/>
      <c r="I2659" s="394"/>
      <c r="J2659" s="394"/>
      <c r="K2659" s="394"/>
      <c r="L2659" s="394"/>
      <c r="M2659" s="394"/>
      <c r="N2659" s="394"/>
      <c r="O2659" s="394"/>
      <c r="P2659" s="394"/>
      <c r="Q2659" s="394"/>
      <c r="R2659" s="381"/>
      <c r="S2659" s="408"/>
      <c r="T2659" s="385"/>
      <c r="U2659" s="475"/>
      <c r="V2659" s="395"/>
      <c r="W2659" s="395"/>
      <c r="X2659" s="393"/>
      <c r="Y2659" s="523">
        <v>1</v>
      </c>
      <c r="Z2659" s="497"/>
      <c r="AA2659" s="573">
        <v>17.874020000000002</v>
      </c>
      <c r="AB2659" s="394">
        <v>15.38081</v>
      </c>
      <c r="AC2659" s="394">
        <v>14.418139999999999</v>
      </c>
      <c r="AD2659" s="394"/>
      <c r="AE2659" s="394"/>
      <c r="AF2659" s="394">
        <v>0</v>
      </c>
      <c r="AG2659" s="394">
        <v>0</v>
      </c>
      <c r="AH2659" s="394">
        <v>0.58123999999999998</v>
      </c>
      <c r="AI2659" s="394">
        <v>14.418139999999999</v>
      </c>
      <c r="AJ2659" s="394"/>
      <c r="AK2659" s="381" t="s">
        <v>167</v>
      </c>
      <c r="AL2659" s="408" t="s">
        <v>175</v>
      </c>
      <c r="AM2659" s="385"/>
      <c r="AN2659" s="475">
        <v>1452</v>
      </c>
      <c r="AO2659" s="395"/>
      <c r="AP2659" s="395">
        <f t="shared" si="1054"/>
        <v>17.874020000000002</v>
      </c>
      <c r="AQ2659" s="393"/>
      <c r="AR2659" s="523"/>
      <c r="AS2659" s="497"/>
      <c r="AT2659" s="573"/>
      <c r="AU2659" s="394"/>
      <c r="AV2659" s="394"/>
      <c r="AW2659" s="394"/>
      <c r="AX2659" s="394"/>
      <c r="AY2659" s="394"/>
      <c r="AZ2659" s="394"/>
      <c r="BA2659" s="394"/>
      <c r="BB2659" s="394"/>
      <c r="BC2659" s="394"/>
      <c r="BD2659" s="381"/>
      <c r="BE2659" s="408"/>
      <c r="BF2659" s="385"/>
      <c r="BG2659" s="475"/>
      <c r="BH2659" s="395"/>
      <c r="BI2659" s="395" t="e">
        <f t="shared" si="1053"/>
        <v>#DIV/0!</v>
      </c>
    </row>
    <row r="2660" spans="1:61" s="358" customFormat="1" ht="19.2" x14ac:dyDescent="0.3">
      <c r="A2660" s="359" t="s">
        <v>4467</v>
      </c>
      <c r="B2660" s="572" t="s">
        <v>2508</v>
      </c>
      <c r="C2660" s="546" t="s">
        <v>2507</v>
      </c>
      <c r="D2660" s="360">
        <v>0.4</v>
      </c>
      <c r="E2660" s="393"/>
      <c r="F2660" s="523"/>
      <c r="G2660" s="393"/>
      <c r="H2660" s="573"/>
      <c r="I2660" s="394"/>
      <c r="J2660" s="394"/>
      <c r="K2660" s="394"/>
      <c r="L2660" s="394"/>
      <c r="M2660" s="394"/>
      <c r="N2660" s="394"/>
      <c r="O2660" s="394"/>
      <c r="P2660" s="394"/>
      <c r="Q2660" s="394"/>
      <c r="R2660" s="381"/>
      <c r="S2660" s="408"/>
      <c r="T2660" s="385"/>
      <c r="U2660" s="475"/>
      <c r="V2660" s="395"/>
      <c r="W2660" s="395"/>
      <c r="X2660" s="393"/>
      <c r="Y2660" s="523">
        <v>1</v>
      </c>
      <c r="Z2660" s="497"/>
      <c r="AA2660" s="573">
        <v>17.873999999999999</v>
      </c>
      <c r="AB2660" s="394">
        <v>15.380789999999999</v>
      </c>
      <c r="AC2660" s="394">
        <v>14.418139999999999</v>
      </c>
      <c r="AD2660" s="394"/>
      <c r="AE2660" s="394"/>
      <c r="AF2660" s="394">
        <v>0</v>
      </c>
      <c r="AG2660" s="394">
        <v>0</v>
      </c>
      <c r="AH2660" s="394">
        <v>0.58123999999999998</v>
      </c>
      <c r="AI2660" s="394">
        <v>14.418139999999999</v>
      </c>
      <c r="AJ2660" s="394"/>
      <c r="AK2660" s="381" t="s">
        <v>167</v>
      </c>
      <c r="AL2660" s="408" t="s">
        <v>175</v>
      </c>
      <c r="AM2660" s="385"/>
      <c r="AN2660" s="475">
        <v>1453</v>
      </c>
      <c r="AO2660" s="395"/>
      <c r="AP2660" s="395">
        <f t="shared" si="1054"/>
        <v>17.873999999999999</v>
      </c>
      <c r="AQ2660" s="393"/>
      <c r="AR2660" s="523"/>
      <c r="AS2660" s="497"/>
      <c r="AT2660" s="573"/>
      <c r="AU2660" s="394"/>
      <c r="AV2660" s="394"/>
      <c r="AW2660" s="394"/>
      <c r="AX2660" s="394"/>
      <c r="AY2660" s="394"/>
      <c r="AZ2660" s="394"/>
      <c r="BA2660" s="394"/>
      <c r="BB2660" s="394"/>
      <c r="BC2660" s="394"/>
      <c r="BD2660" s="381"/>
      <c r="BE2660" s="408"/>
      <c r="BF2660" s="385"/>
      <c r="BG2660" s="475"/>
      <c r="BH2660" s="395"/>
      <c r="BI2660" s="395" t="e">
        <f t="shared" si="1053"/>
        <v>#DIV/0!</v>
      </c>
    </row>
    <row r="2661" spans="1:61" s="358" customFormat="1" ht="19.2" x14ac:dyDescent="0.3">
      <c r="A2661" s="359" t="s">
        <v>4468</v>
      </c>
      <c r="B2661" s="572" t="s">
        <v>4273</v>
      </c>
      <c r="C2661" s="546" t="s">
        <v>3419</v>
      </c>
      <c r="D2661" s="360">
        <v>0.4</v>
      </c>
      <c r="E2661" s="393"/>
      <c r="F2661" s="523"/>
      <c r="G2661" s="393"/>
      <c r="H2661" s="573"/>
      <c r="I2661" s="394"/>
      <c r="J2661" s="394"/>
      <c r="K2661" s="394"/>
      <c r="L2661" s="394"/>
      <c r="M2661" s="394"/>
      <c r="N2661" s="394"/>
      <c r="O2661" s="394"/>
      <c r="P2661" s="394"/>
      <c r="Q2661" s="394"/>
      <c r="R2661" s="381"/>
      <c r="S2661" s="408"/>
      <c r="T2661" s="385"/>
      <c r="U2661" s="475"/>
      <c r="V2661" s="395"/>
      <c r="W2661" s="395"/>
      <c r="X2661" s="393"/>
      <c r="Y2661" s="523">
        <v>1</v>
      </c>
      <c r="Z2661" s="497"/>
      <c r="AA2661" s="573">
        <v>17.10934</v>
      </c>
      <c r="AB2661" s="394">
        <v>14.92022</v>
      </c>
      <c r="AC2661" s="394">
        <v>12.85937</v>
      </c>
      <c r="AD2661" s="394">
        <v>1.89062</v>
      </c>
      <c r="AE2661" s="394"/>
      <c r="AF2661" s="394">
        <v>0</v>
      </c>
      <c r="AG2661" s="394">
        <v>0</v>
      </c>
      <c r="AH2661" s="394">
        <v>0.51034999999999997</v>
      </c>
      <c r="AI2661" s="394">
        <v>12.85937</v>
      </c>
      <c r="AJ2661" s="394">
        <v>1.89062</v>
      </c>
      <c r="AK2661" s="381" t="s">
        <v>167</v>
      </c>
      <c r="AL2661" s="408" t="s">
        <v>175</v>
      </c>
      <c r="AM2661" s="385"/>
      <c r="AN2661" s="475">
        <v>1454</v>
      </c>
      <c r="AO2661" s="395"/>
      <c r="AP2661" s="395">
        <f t="shared" si="1054"/>
        <v>17.10934</v>
      </c>
      <c r="AQ2661" s="393"/>
      <c r="AR2661" s="523"/>
      <c r="AS2661" s="497"/>
      <c r="AT2661" s="573"/>
      <c r="AU2661" s="394"/>
      <c r="AV2661" s="394"/>
      <c r="AW2661" s="394"/>
      <c r="AX2661" s="394"/>
      <c r="AY2661" s="394"/>
      <c r="AZ2661" s="394"/>
      <c r="BA2661" s="394"/>
      <c r="BB2661" s="394"/>
      <c r="BC2661" s="394"/>
      <c r="BD2661" s="381"/>
      <c r="BE2661" s="408"/>
      <c r="BF2661" s="385"/>
      <c r="BG2661" s="475"/>
      <c r="BH2661" s="395"/>
      <c r="BI2661" s="395" t="e">
        <f t="shared" ref="BI2661:BI2725" si="1055">AT2661/AR2661</f>
        <v>#DIV/0!</v>
      </c>
    </row>
    <row r="2662" spans="1:61" s="358" customFormat="1" ht="19.2" x14ac:dyDescent="0.3">
      <c r="A2662" s="359" t="s">
        <v>4469</v>
      </c>
      <c r="B2662" s="572" t="s">
        <v>4274</v>
      </c>
      <c r="C2662" s="546" t="s">
        <v>3420</v>
      </c>
      <c r="D2662" s="360">
        <v>0.4</v>
      </c>
      <c r="E2662" s="393"/>
      <c r="F2662" s="523"/>
      <c r="G2662" s="393"/>
      <c r="H2662" s="573"/>
      <c r="I2662" s="394"/>
      <c r="J2662" s="394"/>
      <c r="K2662" s="394"/>
      <c r="L2662" s="394"/>
      <c r="M2662" s="394"/>
      <c r="N2662" s="394"/>
      <c r="O2662" s="394"/>
      <c r="P2662" s="394"/>
      <c r="Q2662" s="394"/>
      <c r="R2662" s="381"/>
      <c r="S2662" s="408"/>
      <c r="T2662" s="385"/>
      <c r="U2662" s="475"/>
      <c r="V2662" s="395"/>
      <c r="W2662" s="395"/>
      <c r="X2662" s="393"/>
      <c r="Y2662" s="523">
        <v>1</v>
      </c>
      <c r="Z2662" s="497"/>
      <c r="AA2662" s="573">
        <v>18.009370000000001</v>
      </c>
      <c r="AB2662" s="394">
        <v>15.516159999999999</v>
      </c>
      <c r="AC2662" s="394">
        <v>14.418150000000001</v>
      </c>
      <c r="AD2662" s="394"/>
      <c r="AE2662" s="394"/>
      <c r="AF2662" s="394">
        <v>0</v>
      </c>
      <c r="AG2662" s="394">
        <v>0</v>
      </c>
      <c r="AH2662" s="394">
        <v>0.58123999999999998</v>
      </c>
      <c r="AI2662" s="394">
        <v>14.418150000000001</v>
      </c>
      <c r="AJ2662" s="394"/>
      <c r="AK2662" s="381" t="s">
        <v>167</v>
      </c>
      <c r="AL2662" s="408" t="s">
        <v>175</v>
      </c>
      <c r="AM2662" s="385"/>
      <c r="AN2662" s="475">
        <v>1455</v>
      </c>
      <c r="AO2662" s="395"/>
      <c r="AP2662" s="395">
        <f t="shared" si="1054"/>
        <v>18.009370000000001</v>
      </c>
      <c r="AQ2662" s="393"/>
      <c r="AR2662" s="523"/>
      <c r="AS2662" s="497"/>
      <c r="AT2662" s="573"/>
      <c r="AU2662" s="394"/>
      <c r="AV2662" s="394"/>
      <c r="AW2662" s="394"/>
      <c r="AX2662" s="394"/>
      <c r="AY2662" s="394"/>
      <c r="AZ2662" s="394"/>
      <c r="BA2662" s="394"/>
      <c r="BB2662" s="394"/>
      <c r="BC2662" s="394"/>
      <c r="BD2662" s="381"/>
      <c r="BE2662" s="408"/>
      <c r="BF2662" s="385"/>
      <c r="BG2662" s="475"/>
      <c r="BH2662" s="395"/>
      <c r="BI2662" s="395" t="e">
        <f t="shared" si="1055"/>
        <v>#DIV/0!</v>
      </c>
    </row>
    <row r="2663" spans="1:61" s="358" customFormat="1" ht="19.2" x14ac:dyDescent="0.3">
      <c r="A2663" s="359" t="s">
        <v>4470</v>
      </c>
      <c r="B2663" s="572" t="s">
        <v>4275</v>
      </c>
      <c r="C2663" s="546" t="s">
        <v>3421</v>
      </c>
      <c r="D2663" s="360">
        <v>0.4</v>
      </c>
      <c r="E2663" s="393"/>
      <c r="F2663" s="523"/>
      <c r="G2663" s="393"/>
      <c r="H2663" s="573"/>
      <c r="I2663" s="394"/>
      <c r="J2663" s="394"/>
      <c r="K2663" s="394"/>
      <c r="L2663" s="394"/>
      <c r="M2663" s="394"/>
      <c r="N2663" s="394"/>
      <c r="O2663" s="394"/>
      <c r="P2663" s="394"/>
      <c r="Q2663" s="394"/>
      <c r="R2663" s="381"/>
      <c r="S2663" s="408"/>
      <c r="T2663" s="385"/>
      <c r="U2663" s="475"/>
      <c r="V2663" s="395"/>
      <c r="W2663" s="395"/>
      <c r="X2663" s="393"/>
      <c r="Y2663" s="523">
        <v>1</v>
      </c>
      <c r="Z2663" s="497"/>
      <c r="AA2663" s="573">
        <v>17.873989999999999</v>
      </c>
      <c r="AB2663" s="394">
        <v>15.38078</v>
      </c>
      <c r="AC2663" s="394">
        <v>14.418139999999999</v>
      </c>
      <c r="AD2663" s="394"/>
      <c r="AE2663" s="394"/>
      <c r="AF2663" s="394">
        <v>0</v>
      </c>
      <c r="AG2663" s="394">
        <v>0</v>
      </c>
      <c r="AH2663" s="394">
        <v>0.58123999999999998</v>
      </c>
      <c r="AI2663" s="394">
        <v>14.418139999999999</v>
      </c>
      <c r="AJ2663" s="394"/>
      <c r="AK2663" s="381" t="s">
        <v>167</v>
      </c>
      <c r="AL2663" s="408" t="s">
        <v>175</v>
      </c>
      <c r="AM2663" s="385"/>
      <c r="AN2663" s="475">
        <v>1456</v>
      </c>
      <c r="AO2663" s="395"/>
      <c r="AP2663" s="395">
        <f t="shared" si="1054"/>
        <v>17.873989999999999</v>
      </c>
      <c r="AQ2663" s="393"/>
      <c r="AR2663" s="523"/>
      <c r="AS2663" s="497"/>
      <c r="AT2663" s="573"/>
      <c r="AU2663" s="394"/>
      <c r="AV2663" s="394"/>
      <c r="AW2663" s="394"/>
      <c r="AX2663" s="394"/>
      <c r="AY2663" s="394"/>
      <c r="AZ2663" s="394"/>
      <c r="BA2663" s="394"/>
      <c r="BB2663" s="394"/>
      <c r="BC2663" s="394"/>
      <c r="BD2663" s="381"/>
      <c r="BE2663" s="408"/>
      <c r="BF2663" s="385"/>
      <c r="BG2663" s="475"/>
      <c r="BH2663" s="395"/>
      <c r="BI2663" s="395" t="e">
        <f t="shared" si="1055"/>
        <v>#DIV/0!</v>
      </c>
    </row>
    <row r="2664" spans="1:61" s="358" customFormat="1" ht="19.2" x14ac:dyDescent="0.3">
      <c r="A2664" s="359" t="s">
        <v>4471</v>
      </c>
      <c r="B2664" s="572" t="s">
        <v>4276</v>
      </c>
      <c r="C2664" s="546" t="s">
        <v>3422</v>
      </c>
      <c r="D2664" s="360">
        <v>0.4</v>
      </c>
      <c r="E2664" s="393"/>
      <c r="F2664" s="523"/>
      <c r="G2664" s="393"/>
      <c r="H2664" s="573"/>
      <c r="I2664" s="394"/>
      <c r="J2664" s="394"/>
      <c r="K2664" s="394"/>
      <c r="L2664" s="394"/>
      <c r="M2664" s="394"/>
      <c r="N2664" s="394"/>
      <c r="O2664" s="394"/>
      <c r="P2664" s="394"/>
      <c r="Q2664" s="394"/>
      <c r="R2664" s="381"/>
      <c r="S2664" s="408"/>
      <c r="T2664" s="385"/>
      <c r="U2664" s="475"/>
      <c r="V2664" s="395"/>
      <c r="W2664" s="395"/>
      <c r="X2664" s="393"/>
      <c r="Y2664" s="523">
        <v>1</v>
      </c>
      <c r="Z2664" s="497"/>
      <c r="AA2664" s="573">
        <v>18.009370000000001</v>
      </c>
      <c r="AB2664" s="394">
        <v>15.516159999999999</v>
      </c>
      <c r="AC2664" s="394">
        <v>14.418150000000001</v>
      </c>
      <c r="AD2664" s="394"/>
      <c r="AE2664" s="394"/>
      <c r="AF2664" s="394">
        <v>0</v>
      </c>
      <c r="AG2664" s="394">
        <v>0</v>
      </c>
      <c r="AH2664" s="394">
        <v>0.58123999999999998</v>
      </c>
      <c r="AI2664" s="394">
        <v>14.418150000000001</v>
      </c>
      <c r="AJ2664" s="394"/>
      <c r="AK2664" s="381" t="s">
        <v>167</v>
      </c>
      <c r="AL2664" s="408" t="s">
        <v>175</v>
      </c>
      <c r="AM2664" s="385"/>
      <c r="AN2664" s="475">
        <v>1457</v>
      </c>
      <c r="AO2664" s="395"/>
      <c r="AP2664" s="395">
        <f t="shared" si="1054"/>
        <v>18.009370000000001</v>
      </c>
      <c r="AQ2664" s="393"/>
      <c r="AR2664" s="523"/>
      <c r="AS2664" s="497"/>
      <c r="AT2664" s="573"/>
      <c r="AU2664" s="394"/>
      <c r="AV2664" s="394"/>
      <c r="AW2664" s="394"/>
      <c r="AX2664" s="394"/>
      <c r="AY2664" s="394"/>
      <c r="AZ2664" s="394"/>
      <c r="BA2664" s="394"/>
      <c r="BB2664" s="394"/>
      <c r="BC2664" s="394"/>
      <c r="BD2664" s="381"/>
      <c r="BE2664" s="408"/>
      <c r="BF2664" s="385"/>
      <c r="BG2664" s="475"/>
      <c r="BH2664" s="395"/>
      <c r="BI2664" s="395" t="e">
        <f t="shared" si="1055"/>
        <v>#DIV/0!</v>
      </c>
    </row>
    <row r="2665" spans="1:61" s="358" customFormat="1" ht="19.2" x14ac:dyDescent="0.3">
      <c r="A2665" s="359" t="s">
        <v>4472</v>
      </c>
      <c r="B2665" s="572" t="s">
        <v>2584</v>
      </c>
      <c r="C2665" s="546" t="s">
        <v>2583</v>
      </c>
      <c r="D2665" s="360">
        <v>0.4</v>
      </c>
      <c r="E2665" s="393"/>
      <c r="F2665" s="523"/>
      <c r="G2665" s="393"/>
      <c r="H2665" s="573"/>
      <c r="I2665" s="394"/>
      <c r="J2665" s="394"/>
      <c r="K2665" s="394"/>
      <c r="L2665" s="394"/>
      <c r="M2665" s="394"/>
      <c r="N2665" s="394"/>
      <c r="O2665" s="394"/>
      <c r="P2665" s="394"/>
      <c r="Q2665" s="394"/>
      <c r="R2665" s="381"/>
      <c r="S2665" s="408"/>
      <c r="T2665" s="385"/>
      <c r="U2665" s="475"/>
      <c r="V2665" s="395"/>
      <c r="W2665" s="395"/>
      <c r="X2665" s="393"/>
      <c r="Y2665" s="523">
        <v>1</v>
      </c>
      <c r="Z2665" s="497"/>
      <c r="AA2665" s="573">
        <v>17.873999999999999</v>
      </c>
      <c r="AB2665" s="394">
        <v>15.380789999999999</v>
      </c>
      <c r="AC2665" s="394">
        <v>14.418139999999999</v>
      </c>
      <c r="AD2665" s="394"/>
      <c r="AE2665" s="394"/>
      <c r="AF2665" s="394">
        <v>0</v>
      </c>
      <c r="AG2665" s="394">
        <v>0</v>
      </c>
      <c r="AH2665" s="394">
        <v>0.58123999999999998</v>
      </c>
      <c r="AI2665" s="394">
        <v>14.418139999999999</v>
      </c>
      <c r="AJ2665" s="394"/>
      <c r="AK2665" s="381" t="s">
        <v>167</v>
      </c>
      <c r="AL2665" s="408" t="s">
        <v>175</v>
      </c>
      <c r="AM2665" s="385"/>
      <c r="AN2665" s="475">
        <v>1458</v>
      </c>
      <c r="AO2665" s="395"/>
      <c r="AP2665" s="395">
        <f t="shared" si="1054"/>
        <v>17.873999999999999</v>
      </c>
      <c r="AQ2665" s="393"/>
      <c r="AR2665" s="523"/>
      <c r="AS2665" s="497"/>
      <c r="AT2665" s="573"/>
      <c r="AU2665" s="394"/>
      <c r="AV2665" s="394"/>
      <c r="AW2665" s="394"/>
      <c r="AX2665" s="394"/>
      <c r="AY2665" s="394"/>
      <c r="AZ2665" s="394"/>
      <c r="BA2665" s="394"/>
      <c r="BB2665" s="394"/>
      <c r="BC2665" s="394"/>
      <c r="BD2665" s="381"/>
      <c r="BE2665" s="408"/>
      <c r="BF2665" s="385"/>
      <c r="BG2665" s="475"/>
      <c r="BH2665" s="395"/>
      <c r="BI2665" s="395" t="e">
        <f t="shared" si="1055"/>
        <v>#DIV/0!</v>
      </c>
    </row>
    <row r="2666" spans="1:61" s="358" customFormat="1" ht="19.2" x14ac:dyDescent="0.3">
      <c r="A2666" s="359" t="s">
        <v>4473</v>
      </c>
      <c r="B2666" s="572" t="s">
        <v>4277</v>
      </c>
      <c r="C2666" s="546" t="s">
        <v>3423</v>
      </c>
      <c r="D2666" s="360">
        <v>0.4</v>
      </c>
      <c r="E2666" s="393"/>
      <c r="F2666" s="523"/>
      <c r="G2666" s="393"/>
      <c r="H2666" s="573"/>
      <c r="I2666" s="394"/>
      <c r="J2666" s="394"/>
      <c r="K2666" s="394"/>
      <c r="L2666" s="394"/>
      <c r="M2666" s="394"/>
      <c r="N2666" s="394"/>
      <c r="O2666" s="394"/>
      <c r="P2666" s="394"/>
      <c r="Q2666" s="394"/>
      <c r="R2666" s="381"/>
      <c r="S2666" s="408"/>
      <c r="T2666" s="385"/>
      <c r="U2666" s="475"/>
      <c r="V2666" s="395"/>
      <c r="W2666" s="395"/>
      <c r="X2666" s="393"/>
      <c r="Y2666" s="523">
        <v>1</v>
      </c>
      <c r="Z2666" s="497"/>
      <c r="AA2666" s="573">
        <v>18.009350000000001</v>
      </c>
      <c r="AB2666" s="394">
        <v>15.51614</v>
      </c>
      <c r="AC2666" s="394">
        <v>14.418150000000001</v>
      </c>
      <c r="AD2666" s="394"/>
      <c r="AE2666" s="394"/>
      <c r="AF2666" s="394">
        <v>0</v>
      </c>
      <c r="AG2666" s="394">
        <v>0</v>
      </c>
      <c r="AH2666" s="394">
        <v>0.58123999999999998</v>
      </c>
      <c r="AI2666" s="394">
        <v>14.418150000000001</v>
      </c>
      <c r="AJ2666" s="394"/>
      <c r="AK2666" s="381" t="s">
        <v>167</v>
      </c>
      <c r="AL2666" s="408" t="s">
        <v>175</v>
      </c>
      <c r="AM2666" s="385"/>
      <c r="AN2666" s="475">
        <v>1459</v>
      </c>
      <c r="AO2666" s="395"/>
      <c r="AP2666" s="395">
        <f t="shared" si="1054"/>
        <v>18.009350000000001</v>
      </c>
      <c r="AQ2666" s="393"/>
      <c r="AR2666" s="523"/>
      <c r="AS2666" s="497"/>
      <c r="AT2666" s="573"/>
      <c r="AU2666" s="394"/>
      <c r="AV2666" s="394"/>
      <c r="AW2666" s="394"/>
      <c r="AX2666" s="394"/>
      <c r="AY2666" s="394"/>
      <c r="AZ2666" s="394"/>
      <c r="BA2666" s="394"/>
      <c r="BB2666" s="394"/>
      <c r="BC2666" s="394"/>
      <c r="BD2666" s="381"/>
      <c r="BE2666" s="408"/>
      <c r="BF2666" s="385"/>
      <c r="BG2666" s="475"/>
      <c r="BH2666" s="395"/>
      <c r="BI2666" s="395" t="e">
        <f t="shared" si="1055"/>
        <v>#DIV/0!</v>
      </c>
    </row>
    <row r="2667" spans="1:61" s="358" customFormat="1" ht="19.2" x14ac:dyDescent="0.3">
      <c r="A2667" s="359" t="s">
        <v>4490</v>
      </c>
      <c r="B2667" s="572" t="s">
        <v>4278</v>
      </c>
      <c r="C2667" s="546" t="s">
        <v>3424</v>
      </c>
      <c r="D2667" s="360">
        <v>0.4</v>
      </c>
      <c r="E2667" s="393"/>
      <c r="F2667" s="523"/>
      <c r="G2667" s="393"/>
      <c r="H2667" s="573"/>
      <c r="I2667" s="394"/>
      <c r="J2667" s="394"/>
      <c r="K2667" s="394"/>
      <c r="L2667" s="394"/>
      <c r="M2667" s="394"/>
      <c r="N2667" s="394"/>
      <c r="O2667" s="394"/>
      <c r="P2667" s="394"/>
      <c r="Q2667" s="394"/>
      <c r="R2667" s="381"/>
      <c r="S2667" s="408"/>
      <c r="T2667" s="385"/>
      <c r="U2667" s="475"/>
      <c r="V2667" s="395"/>
      <c r="W2667" s="395"/>
      <c r="X2667" s="393"/>
      <c r="Y2667" s="523">
        <v>1</v>
      </c>
      <c r="Z2667" s="497"/>
      <c r="AA2667" s="573">
        <v>17.874030000000001</v>
      </c>
      <c r="AB2667" s="394">
        <v>15.38082</v>
      </c>
      <c r="AC2667" s="394">
        <v>14.418139999999999</v>
      </c>
      <c r="AD2667" s="394"/>
      <c r="AE2667" s="394"/>
      <c r="AF2667" s="394">
        <v>0</v>
      </c>
      <c r="AG2667" s="394">
        <v>0</v>
      </c>
      <c r="AH2667" s="394">
        <v>0.58123999999999998</v>
      </c>
      <c r="AI2667" s="394">
        <v>14.418139999999999</v>
      </c>
      <c r="AJ2667" s="394"/>
      <c r="AK2667" s="381" t="s">
        <v>167</v>
      </c>
      <c r="AL2667" s="408" t="s">
        <v>175</v>
      </c>
      <c r="AM2667" s="385"/>
      <c r="AN2667" s="475">
        <v>1460</v>
      </c>
      <c r="AO2667" s="395"/>
      <c r="AP2667" s="395">
        <f t="shared" si="1054"/>
        <v>17.874030000000001</v>
      </c>
      <c r="AQ2667" s="393"/>
      <c r="AR2667" s="523"/>
      <c r="AS2667" s="497"/>
      <c r="AT2667" s="573"/>
      <c r="AU2667" s="394"/>
      <c r="AV2667" s="394"/>
      <c r="AW2667" s="394"/>
      <c r="AX2667" s="394"/>
      <c r="AY2667" s="394"/>
      <c r="AZ2667" s="394"/>
      <c r="BA2667" s="394"/>
      <c r="BB2667" s="394"/>
      <c r="BC2667" s="394"/>
      <c r="BD2667" s="381"/>
      <c r="BE2667" s="408"/>
      <c r="BF2667" s="385"/>
      <c r="BG2667" s="475"/>
      <c r="BH2667" s="395"/>
      <c r="BI2667" s="395" t="e">
        <f t="shared" si="1055"/>
        <v>#DIV/0!</v>
      </c>
    </row>
    <row r="2668" spans="1:61" s="358" customFormat="1" ht="19.2" x14ac:dyDescent="0.3">
      <c r="A2668" s="359" t="s">
        <v>4475</v>
      </c>
      <c r="B2668" s="572" t="s">
        <v>4279</v>
      </c>
      <c r="C2668" s="546" t="s">
        <v>3425</v>
      </c>
      <c r="D2668" s="360">
        <v>0.4</v>
      </c>
      <c r="E2668" s="393"/>
      <c r="F2668" s="523"/>
      <c r="G2668" s="393"/>
      <c r="H2668" s="573"/>
      <c r="I2668" s="394"/>
      <c r="J2668" s="394"/>
      <c r="K2668" s="394"/>
      <c r="L2668" s="394"/>
      <c r="M2668" s="394"/>
      <c r="N2668" s="394"/>
      <c r="O2668" s="394"/>
      <c r="P2668" s="394"/>
      <c r="Q2668" s="394"/>
      <c r="R2668" s="381"/>
      <c r="S2668" s="408"/>
      <c r="T2668" s="385"/>
      <c r="U2668" s="475"/>
      <c r="V2668" s="395"/>
      <c r="W2668" s="395"/>
      <c r="X2668" s="393"/>
      <c r="Y2668" s="523">
        <v>1</v>
      </c>
      <c r="Z2668" s="497"/>
      <c r="AA2668" s="573">
        <v>17.874030000000001</v>
      </c>
      <c r="AB2668" s="394">
        <v>15.38082</v>
      </c>
      <c r="AC2668" s="394">
        <v>14.418139999999999</v>
      </c>
      <c r="AD2668" s="394"/>
      <c r="AE2668" s="394"/>
      <c r="AF2668" s="394">
        <v>0</v>
      </c>
      <c r="AG2668" s="394">
        <v>0</v>
      </c>
      <c r="AH2668" s="394">
        <v>0.58123999999999998</v>
      </c>
      <c r="AI2668" s="394">
        <v>14.418139999999999</v>
      </c>
      <c r="AJ2668" s="394"/>
      <c r="AK2668" s="381" t="s">
        <v>167</v>
      </c>
      <c r="AL2668" s="408" t="s">
        <v>175</v>
      </c>
      <c r="AM2668" s="385"/>
      <c r="AN2668" s="475">
        <v>1461</v>
      </c>
      <c r="AO2668" s="395"/>
      <c r="AP2668" s="395">
        <f t="shared" si="1054"/>
        <v>17.874030000000001</v>
      </c>
      <c r="AQ2668" s="393"/>
      <c r="AR2668" s="523"/>
      <c r="AS2668" s="497"/>
      <c r="AT2668" s="573"/>
      <c r="AU2668" s="394"/>
      <c r="AV2668" s="394"/>
      <c r="AW2668" s="394"/>
      <c r="AX2668" s="394"/>
      <c r="AY2668" s="394"/>
      <c r="AZ2668" s="394"/>
      <c r="BA2668" s="394"/>
      <c r="BB2668" s="394"/>
      <c r="BC2668" s="394"/>
      <c r="BD2668" s="381"/>
      <c r="BE2668" s="408"/>
      <c r="BF2668" s="385"/>
      <c r="BG2668" s="475"/>
      <c r="BH2668" s="395"/>
      <c r="BI2668" s="395" t="e">
        <f t="shared" si="1055"/>
        <v>#DIV/0!</v>
      </c>
    </row>
    <row r="2669" spans="1:61" s="358" customFormat="1" ht="19.2" x14ac:dyDescent="0.3">
      <c r="A2669" s="359" t="s">
        <v>4476</v>
      </c>
      <c r="B2669" s="572" t="s">
        <v>4280</v>
      </c>
      <c r="C2669" s="546" t="s">
        <v>3426</v>
      </c>
      <c r="D2669" s="360">
        <v>0.4</v>
      </c>
      <c r="E2669" s="393"/>
      <c r="F2669" s="523"/>
      <c r="G2669" s="393"/>
      <c r="H2669" s="573"/>
      <c r="I2669" s="394"/>
      <c r="J2669" s="394"/>
      <c r="K2669" s="394"/>
      <c r="L2669" s="394"/>
      <c r="M2669" s="394"/>
      <c r="N2669" s="394"/>
      <c r="O2669" s="394"/>
      <c r="P2669" s="394"/>
      <c r="Q2669" s="394"/>
      <c r="R2669" s="381"/>
      <c r="S2669" s="408"/>
      <c r="T2669" s="385"/>
      <c r="U2669" s="475"/>
      <c r="V2669" s="395"/>
      <c r="W2669" s="395"/>
      <c r="X2669" s="393"/>
      <c r="Y2669" s="523">
        <v>1</v>
      </c>
      <c r="Z2669" s="497"/>
      <c r="AA2669" s="573">
        <v>17.874020000000002</v>
      </c>
      <c r="AB2669" s="394">
        <v>15.38081</v>
      </c>
      <c r="AC2669" s="394">
        <v>14.418139999999999</v>
      </c>
      <c r="AD2669" s="394"/>
      <c r="AE2669" s="394"/>
      <c r="AF2669" s="394">
        <v>0</v>
      </c>
      <c r="AG2669" s="394">
        <v>0</v>
      </c>
      <c r="AH2669" s="394">
        <v>0.58123999999999998</v>
      </c>
      <c r="AI2669" s="394">
        <v>14.418139999999999</v>
      </c>
      <c r="AJ2669" s="394"/>
      <c r="AK2669" s="381" t="s">
        <v>167</v>
      </c>
      <c r="AL2669" s="408" t="s">
        <v>175</v>
      </c>
      <c r="AM2669" s="385"/>
      <c r="AN2669" s="475">
        <v>1462</v>
      </c>
      <c r="AO2669" s="395"/>
      <c r="AP2669" s="395">
        <f t="shared" si="1054"/>
        <v>17.874020000000002</v>
      </c>
      <c r="AQ2669" s="393"/>
      <c r="AR2669" s="523"/>
      <c r="AS2669" s="497"/>
      <c r="AT2669" s="573"/>
      <c r="AU2669" s="394"/>
      <c r="AV2669" s="394"/>
      <c r="AW2669" s="394"/>
      <c r="AX2669" s="394"/>
      <c r="AY2669" s="394"/>
      <c r="AZ2669" s="394"/>
      <c r="BA2669" s="394"/>
      <c r="BB2669" s="394"/>
      <c r="BC2669" s="394"/>
      <c r="BD2669" s="381"/>
      <c r="BE2669" s="408"/>
      <c r="BF2669" s="385"/>
      <c r="BG2669" s="475"/>
      <c r="BH2669" s="395"/>
      <c r="BI2669" s="395" t="e">
        <f t="shared" si="1055"/>
        <v>#DIV/0!</v>
      </c>
    </row>
    <row r="2670" spans="1:61" s="358" customFormat="1" ht="19.2" x14ac:dyDescent="0.3">
      <c r="A2670" s="359" t="s">
        <v>4477</v>
      </c>
      <c r="B2670" s="572" t="s">
        <v>4281</v>
      </c>
      <c r="C2670" s="546" t="s">
        <v>3427</v>
      </c>
      <c r="D2670" s="360">
        <v>0.4</v>
      </c>
      <c r="E2670" s="393"/>
      <c r="F2670" s="523"/>
      <c r="G2670" s="393"/>
      <c r="H2670" s="573"/>
      <c r="I2670" s="394"/>
      <c r="J2670" s="394"/>
      <c r="K2670" s="394"/>
      <c r="L2670" s="394"/>
      <c r="M2670" s="394"/>
      <c r="N2670" s="394"/>
      <c r="O2670" s="394"/>
      <c r="P2670" s="394"/>
      <c r="Q2670" s="394"/>
      <c r="R2670" s="381"/>
      <c r="S2670" s="408"/>
      <c r="T2670" s="385"/>
      <c r="U2670" s="475"/>
      <c r="V2670" s="395"/>
      <c r="W2670" s="395"/>
      <c r="X2670" s="393"/>
      <c r="Y2670" s="523">
        <v>1</v>
      </c>
      <c r="Z2670" s="497"/>
      <c r="AA2670" s="573">
        <v>17.873989999999999</v>
      </c>
      <c r="AB2670" s="394">
        <v>15.38078</v>
      </c>
      <c r="AC2670" s="394">
        <v>14.418139999999999</v>
      </c>
      <c r="AD2670" s="394"/>
      <c r="AE2670" s="394"/>
      <c r="AF2670" s="394">
        <v>0</v>
      </c>
      <c r="AG2670" s="394">
        <v>0</v>
      </c>
      <c r="AH2670" s="394">
        <v>0.58123999999999998</v>
      </c>
      <c r="AI2670" s="394">
        <v>14.418139999999999</v>
      </c>
      <c r="AJ2670" s="394"/>
      <c r="AK2670" s="381" t="s">
        <v>167</v>
      </c>
      <c r="AL2670" s="408" t="s">
        <v>175</v>
      </c>
      <c r="AM2670" s="385"/>
      <c r="AN2670" s="475">
        <v>1463</v>
      </c>
      <c r="AO2670" s="395"/>
      <c r="AP2670" s="395">
        <f t="shared" si="1054"/>
        <v>17.873989999999999</v>
      </c>
      <c r="AQ2670" s="393"/>
      <c r="AR2670" s="523"/>
      <c r="AS2670" s="497"/>
      <c r="AT2670" s="573"/>
      <c r="AU2670" s="394"/>
      <c r="AV2670" s="394"/>
      <c r="AW2670" s="394"/>
      <c r="AX2670" s="394"/>
      <c r="AY2670" s="394"/>
      <c r="AZ2670" s="394"/>
      <c r="BA2670" s="394"/>
      <c r="BB2670" s="394"/>
      <c r="BC2670" s="394"/>
      <c r="BD2670" s="381"/>
      <c r="BE2670" s="408"/>
      <c r="BF2670" s="385"/>
      <c r="BG2670" s="475"/>
      <c r="BH2670" s="395"/>
      <c r="BI2670" s="395" t="e">
        <f t="shared" si="1055"/>
        <v>#DIV/0!</v>
      </c>
    </row>
    <row r="2671" spans="1:61" s="358" customFormat="1" ht="19.2" x14ac:dyDescent="0.3">
      <c r="A2671" s="359" t="s">
        <v>4494</v>
      </c>
      <c r="B2671" s="572" t="s">
        <v>4282</v>
      </c>
      <c r="C2671" s="546" t="s">
        <v>3428</v>
      </c>
      <c r="D2671" s="360">
        <v>0.4</v>
      </c>
      <c r="E2671" s="393"/>
      <c r="F2671" s="523"/>
      <c r="G2671" s="393"/>
      <c r="H2671" s="573"/>
      <c r="I2671" s="394"/>
      <c r="J2671" s="394"/>
      <c r="K2671" s="394"/>
      <c r="L2671" s="394"/>
      <c r="M2671" s="394"/>
      <c r="N2671" s="394"/>
      <c r="O2671" s="394"/>
      <c r="P2671" s="394"/>
      <c r="Q2671" s="394"/>
      <c r="R2671" s="381"/>
      <c r="S2671" s="408"/>
      <c r="T2671" s="385"/>
      <c r="U2671" s="475"/>
      <c r="V2671" s="395"/>
      <c r="W2671" s="395"/>
      <c r="X2671" s="393"/>
      <c r="Y2671" s="523">
        <v>1</v>
      </c>
      <c r="Z2671" s="497"/>
      <c r="AA2671" s="573">
        <v>17.874020000000002</v>
      </c>
      <c r="AB2671" s="394">
        <v>15.38081</v>
      </c>
      <c r="AC2671" s="394">
        <v>14.418139999999999</v>
      </c>
      <c r="AD2671" s="394"/>
      <c r="AE2671" s="394"/>
      <c r="AF2671" s="394">
        <v>0</v>
      </c>
      <c r="AG2671" s="394">
        <v>0</v>
      </c>
      <c r="AH2671" s="394">
        <v>0.58123999999999998</v>
      </c>
      <c r="AI2671" s="394">
        <v>14.418139999999999</v>
      </c>
      <c r="AJ2671" s="394"/>
      <c r="AK2671" s="381" t="s">
        <v>167</v>
      </c>
      <c r="AL2671" s="408" t="s">
        <v>175</v>
      </c>
      <c r="AM2671" s="385"/>
      <c r="AN2671" s="475">
        <v>1464</v>
      </c>
      <c r="AO2671" s="395"/>
      <c r="AP2671" s="395">
        <f t="shared" si="1054"/>
        <v>17.874020000000002</v>
      </c>
      <c r="AQ2671" s="393"/>
      <c r="AR2671" s="523"/>
      <c r="AS2671" s="497"/>
      <c r="AT2671" s="573"/>
      <c r="AU2671" s="394"/>
      <c r="AV2671" s="394"/>
      <c r="AW2671" s="394"/>
      <c r="AX2671" s="394"/>
      <c r="AY2671" s="394"/>
      <c r="AZ2671" s="394"/>
      <c r="BA2671" s="394"/>
      <c r="BB2671" s="394"/>
      <c r="BC2671" s="394"/>
      <c r="BD2671" s="381"/>
      <c r="BE2671" s="408"/>
      <c r="BF2671" s="385"/>
      <c r="BG2671" s="475"/>
      <c r="BH2671" s="395"/>
      <c r="BI2671" s="395" t="e">
        <f t="shared" si="1055"/>
        <v>#DIV/0!</v>
      </c>
    </row>
    <row r="2672" spans="1:61" s="358" customFormat="1" ht="19.2" x14ac:dyDescent="0.3">
      <c r="A2672" s="359" t="s">
        <v>4479</v>
      </c>
      <c r="B2672" s="572" t="s">
        <v>4283</v>
      </c>
      <c r="C2672" s="546" t="s">
        <v>3429</v>
      </c>
      <c r="D2672" s="360">
        <v>0.4</v>
      </c>
      <c r="E2672" s="393"/>
      <c r="F2672" s="523"/>
      <c r="G2672" s="393"/>
      <c r="H2672" s="573"/>
      <c r="I2672" s="394"/>
      <c r="J2672" s="394"/>
      <c r="K2672" s="394"/>
      <c r="L2672" s="394"/>
      <c r="M2672" s="394"/>
      <c r="N2672" s="394"/>
      <c r="O2672" s="394"/>
      <c r="P2672" s="394"/>
      <c r="Q2672" s="394"/>
      <c r="R2672" s="381"/>
      <c r="S2672" s="408"/>
      <c r="T2672" s="385"/>
      <c r="U2672" s="475"/>
      <c r="V2672" s="395"/>
      <c r="W2672" s="395"/>
      <c r="X2672" s="393"/>
      <c r="Y2672" s="523">
        <v>1</v>
      </c>
      <c r="Z2672" s="497"/>
      <c r="AA2672" s="573">
        <v>17.874020000000002</v>
      </c>
      <c r="AB2672" s="394">
        <v>15.38081</v>
      </c>
      <c r="AC2672" s="394">
        <v>14.418139999999999</v>
      </c>
      <c r="AD2672" s="394"/>
      <c r="AE2672" s="394"/>
      <c r="AF2672" s="394">
        <v>0</v>
      </c>
      <c r="AG2672" s="394">
        <v>0</v>
      </c>
      <c r="AH2672" s="394">
        <v>0.58123999999999998</v>
      </c>
      <c r="AI2672" s="394">
        <v>14.418139999999999</v>
      </c>
      <c r="AJ2672" s="394"/>
      <c r="AK2672" s="381" t="s">
        <v>167</v>
      </c>
      <c r="AL2672" s="408" t="s">
        <v>175</v>
      </c>
      <c r="AM2672" s="385"/>
      <c r="AN2672" s="475">
        <v>1465</v>
      </c>
      <c r="AO2672" s="395"/>
      <c r="AP2672" s="395">
        <f t="shared" si="1054"/>
        <v>17.874020000000002</v>
      </c>
      <c r="AQ2672" s="393"/>
      <c r="AR2672" s="523"/>
      <c r="AS2672" s="497"/>
      <c r="AT2672" s="573"/>
      <c r="AU2672" s="394"/>
      <c r="AV2672" s="394"/>
      <c r="AW2672" s="394"/>
      <c r="AX2672" s="394"/>
      <c r="AY2672" s="394"/>
      <c r="AZ2672" s="394"/>
      <c r="BA2672" s="394"/>
      <c r="BB2672" s="394"/>
      <c r="BC2672" s="394"/>
      <c r="BD2672" s="381"/>
      <c r="BE2672" s="408"/>
      <c r="BF2672" s="385"/>
      <c r="BG2672" s="475"/>
      <c r="BH2672" s="395"/>
      <c r="BI2672" s="395" t="e">
        <f t="shared" si="1055"/>
        <v>#DIV/0!</v>
      </c>
    </row>
    <row r="2673" spans="1:61" s="358" customFormat="1" ht="19.2" x14ac:dyDescent="0.3">
      <c r="A2673" s="359" t="s">
        <v>4480</v>
      </c>
      <c r="B2673" s="572" t="s">
        <v>4284</v>
      </c>
      <c r="C2673" s="546" t="s">
        <v>3430</v>
      </c>
      <c r="D2673" s="360">
        <v>0.4</v>
      </c>
      <c r="E2673" s="393"/>
      <c r="F2673" s="523"/>
      <c r="G2673" s="393"/>
      <c r="H2673" s="573"/>
      <c r="I2673" s="394"/>
      <c r="J2673" s="394"/>
      <c r="K2673" s="394"/>
      <c r="L2673" s="394"/>
      <c r="M2673" s="394"/>
      <c r="N2673" s="394"/>
      <c r="O2673" s="394"/>
      <c r="P2673" s="394"/>
      <c r="Q2673" s="394"/>
      <c r="R2673" s="381"/>
      <c r="S2673" s="408"/>
      <c r="T2673" s="385"/>
      <c r="U2673" s="475"/>
      <c r="V2673" s="395"/>
      <c r="W2673" s="395"/>
      <c r="X2673" s="393"/>
      <c r="Y2673" s="523">
        <v>1</v>
      </c>
      <c r="Z2673" s="497"/>
      <c r="AA2673" s="573">
        <v>17.873999999999999</v>
      </c>
      <c r="AB2673" s="394">
        <v>15.380789999999999</v>
      </c>
      <c r="AC2673" s="394">
        <v>14.418139999999999</v>
      </c>
      <c r="AD2673" s="394"/>
      <c r="AE2673" s="394"/>
      <c r="AF2673" s="394">
        <v>0</v>
      </c>
      <c r="AG2673" s="394">
        <v>0</v>
      </c>
      <c r="AH2673" s="394">
        <v>0.58123999999999998</v>
      </c>
      <c r="AI2673" s="394">
        <v>14.418139999999999</v>
      </c>
      <c r="AJ2673" s="394"/>
      <c r="AK2673" s="381" t="s">
        <v>167</v>
      </c>
      <c r="AL2673" s="408" t="s">
        <v>175</v>
      </c>
      <c r="AM2673" s="385"/>
      <c r="AN2673" s="475">
        <v>1466</v>
      </c>
      <c r="AO2673" s="395"/>
      <c r="AP2673" s="395">
        <f t="shared" si="1054"/>
        <v>17.873999999999999</v>
      </c>
      <c r="AQ2673" s="393"/>
      <c r="AR2673" s="523"/>
      <c r="AS2673" s="497"/>
      <c r="AT2673" s="573"/>
      <c r="AU2673" s="394"/>
      <c r="AV2673" s="394"/>
      <c r="AW2673" s="394"/>
      <c r="AX2673" s="394"/>
      <c r="AY2673" s="394"/>
      <c r="AZ2673" s="394"/>
      <c r="BA2673" s="394"/>
      <c r="BB2673" s="394"/>
      <c r="BC2673" s="394"/>
      <c r="BD2673" s="381"/>
      <c r="BE2673" s="408"/>
      <c r="BF2673" s="385"/>
      <c r="BG2673" s="475"/>
      <c r="BH2673" s="395"/>
      <c r="BI2673" s="395" t="e">
        <f t="shared" si="1055"/>
        <v>#DIV/0!</v>
      </c>
    </row>
    <row r="2674" spans="1:61" s="358" customFormat="1" ht="19.2" x14ac:dyDescent="0.3">
      <c r="A2674" s="359" t="s">
        <v>4465</v>
      </c>
      <c r="B2674" s="572" t="s">
        <v>4285</v>
      </c>
      <c r="C2674" s="546" t="s">
        <v>3431</v>
      </c>
      <c r="D2674" s="360">
        <v>0.4</v>
      </c>
      <c r="E2674" s="393"/>
      <c r="F2674" s="523"/>
      <c r="G2674" s="393"/>
      <c r="H2674" s="573"/>
      <c r="I2674" s="394"/>
      <c r="J2674" s="394"/>
      <c r="K2674" s="394"/>
      <c r="L2674" s="394"/>
      <c r="M2674" s="394"/>
      <c r="N2674" s="394"/>
      <c r="O2674" s="394"/>
      <c r="P2674" s="394"/>
      <c r="Q2674" s="394"/>
      <c r="R2674" s="381"/>
      <c r="S2674" s="408"/>
      <c r="T2674" s="385"/>
      <c r="U2674" s="475"/>
      <c r="V2674" s="395"/>
      <c r="W2674" s="395"/>
      <c r="X2674" s="393"/>
      <c r="Y2674" s="523">
        <v>1</v>
      </c>
      <c r="Z2674" s="497"/>
      <c r="AA2674" s="573">
        <v>17.873989999999999</v>
      </c>
      <c r="AB2674" s="394">
        <v>15.38078</v>
      </c>
      <c r="AC2674" s="394">
        <v>14.418139999999999</v>
      </c>
      <c r="AD2674" s="394"/>
      <c r="AE2674" s="394"/>
      <c r="AF2674" s="394">
        <v>0</v>
      </c>
      <c r="AG2674" s="394">
        <v>0</v>
      </c>
      <c r="AH2674" s="394">
        <v>0.58123999999999998</v>
      </c>
      <c r="AI2674" s="394">
        <v>14.418139999999999</v>
      </c>
      <c r="AJ2674" s="394"/>
      <c r="AK2674" s="381" t="s">
        <v>167</v>
      </c>
      <c r="AL2674" s="408" t="s">
        <v>175</v>
      </c>
      <c r="AM2674" s="385"/>
      <c r="AN2674" s="475">
        <v>1467</v>
      </c>
      <c r="AO2674" s="395"/>
      <c r="AP2674" s="395">
        <f t="shared" si="1054"/>
        <v>17.873989999999999</v>
      </c>
      <c r="AQ2674" s="393"/>
      <c r="AR2674" s="523"/>
      <c r="AS2674" s="497"/>
      <c r="AT2674" s="573"/>
      <c r="AU2674" s="394"/>
      <c r="AV2674" s="394"/>
      <c r="AW2674" s="394"/>
      <c r="AX2674" s="394"/>
      <c r="AY2674" s="394"/>
      <c r="AZ2674" s="394"/>
      <c r="BA2674" s="394"/>
      <c r="BB2674" s="394"/>
      <c r="BC2674" s="394"/>
      <c r="BD2674" s="381"/>
      <c r="BE2674" s="408"/>
      <c r="BF2674" s="385"/>
      <c r="BG2674" s="475"/>
      <c r="BH2674" s="395"/>
      <c r="BI2674" s="395" t="e">
        <f t="shared" si="1055"/>
        <v>#DIV/0!</v>
      </c>
    </row>
    <row r="2675" spans="1:61" s="358" customFormat="1" ht="19.2" x14ac:dyDescent="0.3">
      <c r="A2675" s="359" t="s">
        <v>4482</v>
      </c>
      <c r="B2675" s="572" t="s">
        <v>4286</v>
      </c>
      <c r="C2675" s="546" t="s">
        <v>3432</v>
      </c>
      <c r="D2675" s="360">
        <v>0.4</v>
      </c>
      <c r="E2675" s="393"/>
      <c r="F2675" s="523"/>
      <c r="G2675" s="393"/>
      <c r="H2675" s="573"/>
      <c r="I2675" s="394"/>
      <c r="J2675" s="394"/>
      <c r="K2675" s="394"/>
      <c r="L2675" s="394"/>
      <c r="M2675" s="394"/>
      <c r="N2675" s="394"/>
      <c r="O2675" s="394"/>
      <c r="P2675" s="394"/>
      <c r="Q2675" s="394"/>
      <c r="R2675" s="381"/>
      <c r="S2675" s="408"/>
      <c r="T2675" s="385"/>
      <c r="U2675" s="475"/>
      <c r="V2675" s="395"/>
      <c r="W2675" s="395"/>
      <c r="X2675" s="393"/>
      <c r="Y2675" s="523">
        <v>1</v>
      </c>
      <c r="Z2675" s="497"/>
      <c r="AA2675" s="573">
        <v>17.874020000000002</v>
      </c>
      <c r="AB2675" s="394">
        <v>15.38081</v>
      </c>
      <c r="AC2675" s="394">
        <v>14.418139999999999</v>
      </c>
      <c r="AD2675" s="394"/>
      <c r="AE2675" s="394"/>
      <c r="AF2675" s="394">
        <v>0</v>
      </c>
      <c r="AG2675" s="394">
        <v>0</v>
      </c>
      <c r="AH2675" s="394">
        <v>0.58123999999999998</v>
      </c>
      <c r="AI2675" s="394">
        <v>14.418139999999999</v>
      </c>
      <c r="AJ2675" s="394"/>
      <c r="AK2675" s="381" t="s">
        <v>167</v>
      </c>
      <c r="AL2675" s="408" t="s">
        <v>175</v>
      </c>
      <c r="AM2675" s="385"/>
      <c r="AN2675" s="475">
        <v>1468</v>
      </c>
      <c r="AO2675" s="395"/>
      <c r="AP2675" s="395">
        <f t="shared" si="1054"/>
        <v>17.874020000000002</v>
      </c>
      <c r="AQ2675" s="393"/>
      <c r="AR2675" s="523"/>
      <c r="AS2675" s="497"/>
      <c r="AT2675" s="573"/>
      <c r="AU2675" s="394"/>
      <c r="AV2675" s="394"/>
      <c r="AW2675" s="394"/>
      <c r="AX2675" s="394"/>
      <c r="AY2675" s="394"/>
      <c r="AZ2675" s="394"/>
      <c r="BA2675" s="394"/>
      <c r="BB2675" s="394"/>
      <c r="BC2675" s="394"/>
      <c r="BD2675" s="381"/>
      <c r="BE2675" s="408"/>
      <c r="BF2675" s="385"/>
      <c r="BG2675" s="475"/>
      <c r="BH2675" s="395"/>
      <c r="BI2675" s="395" t="e">
        <f t="shared" si="1055"/>
        <v>#DIV/0!</v>
      </c>
    </row>
    <row r="2676" spans="1:61" s="358" customFormat="1" ht="19.2" x14ac:dyDescent="0.3">
      <c r="A2676" s="359" t="s">
        <v>4483</v>
      </c>
      <c r="B2676" s="572" t="s">
        <v>4287</v>
      </c>
      <c r="C2676" s="546" t="s">
        <v>3433</v>
      </c>
      <c r="D2676" s="360">
        <v>0.4</v>
      </c>
      <c r="E2676" s="393"/>
      <c r="F2676" s="523"/>
      <c r="G2676" s="393"/>
      <c r="H2676" s="573"/>
      <c r="I2676" s="394"/>
      <c r="J2676" s="394"/>
      <c r="K2676" s="394"/>
      <c r="L2676" s="394"/>
      <c r="M2676" s="394"/>
      <c r="N2676" s="394"/>
      <c r="O2676" s="394"/>
      <c r="P2676" s="394"/>
      <c r="Q2676" s="394"/>
      <c r="R2676" s="381"/>
      <c r="S2676" s="408"/>
      <c r="T2676" s="385"/>
      <c r="U2676" s="475"/>
      <c r="V2676" s="395"/>
      <c r="W2676" s="395"/>
      <c r="X2676" s="393"/>
      <c r="Y2676" s="523">
        <v>1</v>
      </c>
      <c r="Z2676" s="497"/>
      <c r="AA2676" s="573">
        <v>17.873999999999999</v>
      </c>
      <c r="AB2676" s="394">
        <v>15.380789999999999</v>
      </c>
      <c r="AC2676" s="394">
        <v>14.418139999999999</v>
      </c>
      <c r="AD2676" s="394"/>
      <c r="AE2676" s="394"/>
      <c r="AF2676" s="394">
        <v>0</v>
      </c>
      <c r="AG2676" s="394">
        <v>0</v>
      </c>
      <c r="AH2676" s="394">
        <v>0.58123999999999998</v>
      </c>
      <c r="AI2676" s="394">
        <v>14.418139999999999</v>
      </c>
      <c r="AJ2676" s="394"/>
      <c r="AK2676" s="381" t="s">
        <v>167</v>
      </c>
      <c r="AL2676" s="408" t="s">
        <v>175</v>
      </c>
      <c r="AM2676" s="385"/>
      <c r="AN2676" s="475">
        <v>1469</v>
      </c>
      <c r="AO2676" s="395"/>
      <c r="AP2676" s="395">
        <f t="shared" si="1054"/>
        <v>17.873999999999999</v>
      </c>
      <c r="AQ2676" s="393"/>
      <c r="AR2676" s="523"/>
      <c r="AS2676" s="497"/>
      <c r="AT2676" s="573"/>
      <c r="AU2676" s="394"/>
      <c r="AV2676" s="394"/>
      <c r="AW2676" s="394"/>
      <c r="AX2676" s="394"/>
      <c r="AY2676" s="394"/>
      <c r="AZ2676" s="394"/>
      <c r="BA2676" s="394"/>
      <c r="BB2676" s="394"/>
      <c r="BC2676" s="394"/>
      <c r="BD2676" s="381"/>
      <c r="BE2676" s="408"/>
      <c r="BF2676" s="385"/>
      <c r="BG2676" s="475"/>
      <c r="BH2676" s="395"/>
      <c r="BI2676" s="395" t="e">
        <f t="shared" si="1055"/>
        <v>#DIV/0!</v>
      </c>
    </row>
    <row r="2677" spans="1:61" s="358" customFormat="1" ht="19.2" x14ac:dyDescent="0.3">
      <c r="A2677" s="359" t="s">
        <v>4484</v>
      </c>
      <c r="B2677" s="572" t="s">
        <v>4288</v>
      </c>
      <c r="C2677" s="546" t="s">
        <v>3434</v>
      </c>
      <c r="D2677" s="360">
        <v>0.4</v>
      </c>
      <c r="E2677" s="393"/>
      <c r="F2677" s="523"/>
      <c r="G2677" s="393"/>
      <c r="H2677" s="573"/>
      <c r="I2677" s="394"/>
      <c r="J2677" s="394"/>
      <c r="K2677" s="394"/>
      <c r="L2677" s="394"/>
      <c r="M2677" s="394"/>
      <c r="N2677" s="394"/>
      <c r="O2677" s="394"/>
      <c r="P2677" s="394"/>
      <c r="Q2677" s="394"/>
      <c r="R2677" s="381"/>
      <c r="S2677" s="408"/>
      <c r="T2677" s="385"/>
      <c r="U2677" s="475"/>
      <c r="V2677" s="395"/>
      <c r="W2677" s="395"/>
      <c r="X2677" s="393"/>
      <c r="Y2677" s="523">
        <v>1</v>
      </c>
      <c r="Z2677" s="497"/>
      <c r="AA2677" s="573">
        <v>17.873989999999999</v>
      </c>
      <c r="AB2677" s="394">
        <v>15.38078</v>
      </c>
      <c r="AC2677" s="394">
        <v>14.418139999999999</v>
      </c>
      <c r="AD2677" s="394"/>
      <c r="AE2677" s="394"/>
      <c r="AF2677" s="394">
        <v>0</v>
      </c>
      <c r="AG2677" s="394">
        <v>0</v>
      </c>
      <c r="AH2677" s="394">
        <v>0.58123999999999998</v>
      </c>
      <c r="AI2677" s="394">
        <v>14.418139999999999</v>
      </c>
      <c r="AJ2677" s="394"/>
      <c r="AK2677" s="381" t="s">
        <v>167</v>
      </c>
      <c r="AL2677" s="408" t="s">
        <v>175</v>
      </c>
      <c r="AM2677" s="385"/>
      <c r="AN2677" s="475">
        <v>1470</v>
      </c>
      <c r="AO2677" s="395"/>
      <c r="AP2677" s="395">
        <f t="shared" si="1054"/>
        <v>17.873989999999999</v>
      </c>
      <c r="AQ2677" s="393"/>
      <c r="AR2677" s="523"/>
      <c r="AS2677" s="497"/>
      <c r="AT2677" s="573"/>
      <c r="AU2677" s="394"/>
      <c r="AV2677" s="394"/>
      <c r="AW2677" s="394"/>
      <c r="AX2677" s="394"/>
      <c r="AY2677" s="394"/>
      <c r="AZ2677" s="394"/>
      <c r="BA2677" s="394"/>
      <c r="BB2677" s="394"/>
      <c r="BC2677" s="394"/>
      <c r="BD2677" s="381"/>
      <c r="BE2677" s="408"/>
      <c r="BF2677" s="385"/>
      <c r="BG2677" s="475"/>
      <c r="BH2677" s="395"/>
      <c r="BI2677" s="395" t="e">
        <f t="shared" si="1055"/>
        <v>#DIV/0!</v>
      </c>
    </row>
    <row r="2678" spans="1:61" s="358" customFormat="1" ht="19.2" x14ac:dyDescent="0.3">
      <c r="A2678" s="359" t="s">
        <v>4485</v>
      </c>
      <c r="B2678" s="572" t="s">
        <v>4289</v>
      </c>
      <c r="C2678" s="546" t="s">
        <v>3435</v>
      </c>
      <c r="D2678" s="360">
        <v>0.4</v>
      </c>
      <c r="E2678" s="393"/>
      <c r="F2678" s="523"/>
      <c r="G2678" s="393"/>
      <c r="H2678" s="573"/>
      <c r="I2678" s="394"/>
      <c r="J2678" s="394"/>
      <c r="K2678" s="394"/>
      <c r="L2678" s="394"/>
      <c r="M2678" s="394"/>
      <c r="N2678" s="394"/>
      <c r="O2678" s="394"/>
      <c r="P2678" s="394"/>
      <c r="Q2678" s="394"/>
      <c r="R2678" s="381"/>
      <c r="S2678" s="408"/>
      <c r="T2678" s="385"/>
      <c r="U2678" s="475"/>
      <c r="V2678" s="395"/>
      <c r="W2678" s="395"/>
      <c r="X2678" s="393"/>
      <c r="Y2678" s="523">
        <v>1</v>
      </c>
      <c r="Z2678" s="497"/>
      <c r="AA2678" s="573">
        <v>17.874020000000002</v>
      </c>
      <c r="AB2678" s="394">
        <v>15.38081</v>
      </c>
      <c r="AC2678" s="394">
        <v>14.418139999999999</v>
      </c>
      <c r="AD2678" s="394"/>
      <c r="AE2678" s="394"/>
      <c r="AF2678" s="394">
        <v>0</v>
      </c>
      <c r="AG2678" s="394">
        <v>0</v>
      </c>
      <c r="AH2678" s="394">
        <v>0.58123999999999998</v>
      </c>
      <c r="AI2678" s="394">
        <v>14.418139999999999</v>
      </c>
      <c r="AJ2678" s="394"/>
      <c r="AK2678" s="381" t="s">
        <v>167</v>
      </c>
      <c r="AL2678" s="408" t="s">
        <v>175</v>
      </c>
      <c r="AM2678" s="385"/>
      <c r="AN2678" s="475">
        <v>1471</v>
      </c>
      <c r="AO2678" s="395"/>
      <c r="AP2678" s="395">
        <f t="shared" si="1054"/>
        <v>17.874020000000002</v>
      </c>
      <c r="AQ2678" s="393"/>
      <c r="AR2678" s="523"/>
      <c r="AS2678" s="497"/>
      <c r="AT2678" s="573"/>
      <c r="AU2678" s="394"/>
      <c r="AV2678" s="394"/>
      <c r="AW2678" s="394"/>
      <c r="AX2678" s="394"/>
      <c r="AY2678" s="394"/>
      <c r="AZ2678" s="394"/>
      <c r="BA2678" s="394"/>
      <c r="BB2678" s="394"/>
      <c r="BC2678" s="394"/>
      <c r="BD2678" s="381"/>
      <c r="BE2678" s="408"/>
      <c r="BF2678" s="385"/>
      <c r="BG2678" s="475"/>
      <c r="BH2678" s="395"/>
      <c r="BI2678" s="395" t="e">
        <f t="shared" si="1055"/>
        <v>#DIV/0!</v>
      </c>
    </row>
    <row r="2679" spans="1:61" s="358" customFormat="1" ht="19.2" x14ac:dyDescent="0.3">
      <c r="A2679" s="359" t="s">
        <v>4486</v>
      </c>
      <c r="B2679" s="572" t="s">
        <v>4290</v>
      </c>
      <c r="C2679" s="546" t="s">
        <v>3436</v>
      </c>
      <c r="D2679" s="360">
        <v>0.4</v>
      </c>
      <c r="E2679" s="393"/>
      <c r="F2679" s="523"/>
      <c r="G2679" s="393"/>
      <c r="H2679" s="573"/>
      <c r="I2679" s="394"/>
      <c r="J2679" s="394"/>
      <c r="K2679" s="394"/>
      <c r="L2679" s="394"/>
      <c r="M2679" s="394"/>
      <c r="N2679" s="394"/>
      <c r="O2679" s="394"/>
      <c r="P2679" s="394"/>
      <c r="Q2679" s="394"/>
      <c r="R2679" s="381"/>
      <c r="S2679" s="408"/>
      <c r="T2679" s="385"/>
      <c r="U2679" s="475"/>
      <c r="V2679" s="395"/>
      <c r="W2679" s="395"/>
      <c r="X2679" s="393"/>
      <c r="Y2679" s="523">
        <v>1</v>
      </c>
      <c r="Z2679" s="497"/>
      <c r="AA2679" s="573">
        <v>17.873989999999999</v>
      </c>
      <c r="AB2679" s="394">
        <v>15.38078</v>
      </c>
      <c r="AC2679" s="394">
        <v>14.418139999999999</v>
      </c>
      <c r="AD2679" s="394"/>
      <c r="AE2679" s="394"/>
      <c r="AF2679" s="394">
        <v>0</v>
      </c>
      <c r="AG2679" s="394">
        <v>0</v>
      </c>
      <c r="AH2679" s="394">
        <v>0.58123999999999998</v>
      </c>
      <c r="AI2679" s="394">
        <v>14.418139999999999</v>
      </c>
      <c r="AJ2679" s="394"/>
      <c r="AK2679" s="381" t="s">
        <v>167</v>
      </c>
      <c r="AL2679" s="408" t="s">
        <v>175</v>
      </c>
      <c r="AM2679" s="385"/>
      <c r="AN2679" s="475">
        <v>1472</v>
      </c>
      <c r="AO2679" s="395"/>
      <c r="AP2679" s="395">
        <f t="shared" si="1054"/>
        <v>17.873989999999999</v>
      </c>
      <c r="AQ2679" s="393"/>
      <c r="AR2679" s="523"/>
      <c r="AS2679" s="497"/>
      <c r="AT2679" s="573"/>
      <c r="AU2679" s="394"/>
      <c r="AV2679" s="394"/>
      <c r="AW2679" s="394"/>
      <c r="AX2679" s="394"/>
      <c r="AY2679" s="394"/>
      <c r="AZ2679" s="394"/>
      <c r="BA2679" s="394"/>
      <c r="BB2679" s="394"/>
      <c r="BC2679" s="394"/>
      <c r="BD2679" s="381"/>
      <c r="BE2679" s="408"/>
      <c r="BF2679" s="385"/>
      <c r="BG2679" s="475"/>
      <c r="BH2679" s="395"/>
      <c r="BI2679" s="395" t="e">
        <f t="shared" si="1055"/>
        <v>#DIV/0!</v>
      </c>
    </row>
    <row r="2680" spans="1:61" s="358" customFormat="1" ht="19.2" x14ac:dyDescent="0.3">
      <c r="A2680" s="359" t="s">
        <v>4487</v>
      </c>
      <c r="B2680" s="572" t="s">
        <v>4291</v>
      </c>
      <c r="C2680" s="546" t="s">
        <v>3437</v>
      </c>
      <c r="D2680" s="360">
        <v>0.4</v>
      </c>
      <c r="E2680" s="393"/>
      <c r="F2680" s="523"/>
      <c r="G2680" s="393"/>
      <c r="H2680" s="573"/>
      <c r="I2680" s="394"/>
      <c r="J2680" s="394"/>
      <c r="K2680" s="394"/>
      <c r="L2680" s="394"/>
      <c r="M2680" s="394"/>
      <c r="N2680" s="394"/>
      <c r="O2680" s="394"/>
      <c r="P2680" s="394"/>
      <c r="Q2680" s="394"/>
      <c r="R2680" s="381"/>
      <c r="S2680" s="408"/>
      <c r="T2680" s="385"/>
      <c r="U2680" s="475"/>
      <c r="V2680" s="395"/>
      <c r="W2680" s="395"/>
      <c r="X2680" s="393"/>
      <c r="Y2680" s="523">
        <v>1</v>
      </c>
      <c r="Z2680" s="497"/>
      <c r="AA2680" s="573">
        <v>17.873989999999999</v>
      </c>
      <c r="AB2680" s="394">
        <v>15.38078</v>
      </c>
      <c r="AC2680" s="394">
        <v>14.418139999999999</v>
      </c>
      <c r="AD2680" s="394"/>
      <c r="AE2680" s="394"/>
      <c r="AF2680" s="394">
        <v>0</v>
      </c>
      <c r="AG2680" s="394">
        <v>0</v>
      </c>
      <c r="AH2680" s="394">
        <v>0.58123999999999998</v>
      </c>
      <c r="AI2680" s="394">
        <v>14.418139999999999</v>
      </c>
      <c r="AJ2680" s="394"/>
      <c r="AK2680" s="381" t="s">
        <v>167</v>
      </c>
      <c r="AL2680" s="408" t="s">
        <v>175</v>
      </c>
      <c r="AM2680" s="385"/>
      <c r="AN2680" s="475">
        <v>1473</v>
      </c>
      <c r="AO2680" s="395"/>
      <c r="AP2680" s="395">
        <f t="shared" si="1054"/>
        <v>17.873989999999999</v>
      </c>
      <c r="AQ2680" s="393"/>
      <c r="AR2680" s="523"/>
      <c r="AS2680" s="497"/>
      <c r="AT2680" s="573"/>
      <c r="AU2680" s="394"/>
      <c r="AV2680" s="394"/>
      <c r="AW2680" s="394"/>
      <c r="AX2680" s="394"/>
      <c r="AY2680" s="394"/>
      <c r="AZ2680" s="394"/>
      <c r="BA2680" s="394"/>
      <c r="BB2680" s="394"/>
      <c r="BC2680" s="394"/>
      <c r="BD2680" s="381"/>
      <c r="BE2680" s="408"/>
      <c r="BF2680" s="385"/>
      <c r="BG2680" s="475"/>
      <c r="BH2680" s="395"/>
      <c r="BI2680" s="395" t="e">
        <f t="shared" si="1055"/>
        <v>#DIV/0!</v>
      </c>
    </row>
    <row r="2681" spans="1:61" s="358" customFormat="1" ht="19.2" x14ac:dyDescent="0.3">
      <c r="A2681" s="359" t="s">
        <v>4488</v>
      </c>
      <c r="B2681" s="572" t="s">
        <v>4292</v>
      </c>
      <c r="C2681" s="546" t="s">
        <v>3438</v>
      </c>
      <c r="D2681" s="360">
        <v>0.4</v>
      </c>
      <c r="E2681" s="393"/>
      <c r="F2681" s="523"/>
      <c r="G2681" s="393"/>
      <c r="H2681" s="573"/>
      <c r="I2681" s="394"/>
      <c r="J2681" s="394"/>
      <c r="K2681" s="394"/>
      <c r="L2681" s="394"/>
      <c r="M2681" s="394"/>
      <c r="N2681" s="394"/>
      <c r="O2681" s="394"/>
      <c r="P2681" s="394"/>
      <c r="Q2681" s="394"/>
      <c r="R2681" s="381"/>
      <c r="S2681" s="408"/>
      <c r="T2681" s="385"/>
      <c r="U2681" s="475"/>
      <c r="V2681" s="395"/>
      <c r="W2681" s="395"/>
      <c r="X2681" s="393"/>
      <c r="Y2681" s="523">
        <v>1</v>
      </c>
      <c r="Z2681" s="497"/>
      <c r="AA2681" s="573">
        <v>17.873989999999999</v>
      </c>
      <c r="AB2681" s="394">
        <v>15.38078</v>
      </c>
      <c r="AC2681" s="394">
        <v>14.418139999999999</v>
      </c>
      <c r="AD2681" s="394"/>
      <c r="AE2681" s="394"/>
      <c r="AF2681" s="394">
        <v>0</v>
      </c>
      <c r="AG2681" s="394">
        <v>0</v>
      </c>
      <c r="AH2681" s="394">
        <v>0.58123999999999998</v>
      </c>
      <c r="AI2681" s="394">
        <v>14.418139999999999</v>
      </c>
      <c r="AJ2681" s="394"/>
      <c r="AK2681" s="381" t="s">
        <v>167</v>
      </c>
      <c r="AL2681" s="408" t="s">
        <v>175</v>
      </c>
      <c r="AM2681" s="385"/>
      <c r="AN2681" s="475">
        <v>1474</v>
      </c>
      <c r="AO2681" s="395"/>
      <c r="AP2681" s="395">
        <f t="shared" si="1054"/>
        <v>17.873989999999999</v>
      </c>
      <c r="AQ2681" s="393"/>
      <c r="AR2681" s="523"/>
      <c r="AS2681" s="497"/>
      <c r="AT2681" s="573"/>
      <c r="AU2681" s="394"/>
      <c r="AV2681" s="394"/>
      <c r="AW2681" s="394"/>
      <c r="AX2681" s="394"/>
      <c r="AY2681" s="394"/>
      <c r="AZ2681" s="394"/>
      <c r="BA2681" s="394"/>
      <c r="BB2681" s="394"/>
      <c r="BC2681" s="394"/>
      <c r="BD2681" s="381"/>
      <c r="BE2681" s="408"/>
      <c r="BF2681" s="385"/>
      <c r="BG2681" s="475"/>
      <c r="BH2681" s="395"/>
      <c r="BI2681" s="395" t="e">
        <f t="shared" si="1055"/>
        <v>#DIV/0!</v>
      </c>
    </row>
    <row r="2682" spans="1:61" s="358" customFormat="1" ht="19.2" x14ac:dyDescent="0.3">
      <c r="A2682" s="359" t="s">
        <v>4489</v>
      </c>
      <c r="B2682" s="572" t="s">
        <v>4017</v>
      </c>
      <c r="C2682" s="546" t="s">
        <v>3439</v>
      </c>
      <c r="D2682" s="360">
        <v>0.4</v>
      </c>
      <c r="E2682" s="393"/>
      <c r="F2682" s="523"/>
      <c r="G2682" s="393"/>
      <c r="H2682" s="573"/>
      <c r="I2682" s="394"/>
      <c r="J2682" s="394"/>
      <c r="K2682" s="394"/>
      <c r="L2682" s="394"/>
      <c r="M2682" s="394"/>
      <c r="N2682" s="394"/>
      <c r="O2682" s="394"/>
      <c r="P2682" s="394"/>
      <c r="Q2682" s="394"/>
      <c r="R2682" s="381"/>
      <c r="S2682" s="408"/>
      <c r="T2682" s="385"/>
      <c r="U2682" s="475"/>
      <c r="V2682" s="395"/>
      <c r="W2682" s="395"/>
      <c r="X2682" s="393"/>
      <c r="Y2682" s="523">
        <v>1</v>
      </c>
      <c r="Z2682" s="497"/>
      <c r="AA2682" s="573">
        <v>17.874020000000002</v>
      </c>
      <c r="AB2682" s="394">
        <v>15.38081</v>
      </c>
      <c r="AC2682" s="394">
        <v>14.418139999999999</v>
      </c>
      <c r="AD2682" s="394"/>
      <c r="AE2682" s="394"/>
      <c r="AF2682" s="394">
        <v>0</v>
      </c>
      <c r="AG2682" s="394">
        <v>0</v>
      </c>
      <c r="AH2682" s="394">
        <v>0.58123999999999998</v>
      </c>
      <c r="AI2682" s="394">
        <v>14.418139999999999</v>
      </c>
      <c r="AJ2682" s="394"/>
      <c r="AK2682" s="381" t="s">
        <v>167</v>
      </c>
      <c r="AL2682" s="408" t="s">
        <v>175</v>
      </c>
      <c r="AM2682" s="385"/>
      <c r="AN2682" s="475">
        <v>1475</v>
      </c>
      <c r="AO2682" s="395"/>
      <c r="AP2682" s="395">
        <f t="shared" si="1054"/>
        <v>17.874020000000002</v>
      </c>
      <c r="AQ2682" s="393"/>
      <c r="AR2682" s="523"/>
      <c r="AS2682" s="497"/>
      <c r="AT2682" s="573"/>
      <c r="AU2682" s="394"/>
      <c r="AV2682" s="394"/>
      <c r="AW2682" s="394"/>
      <c r="AX2682" s="394"/>
      <c r="AY2682" s="394"/>
      <c r="AZ2682" s="394"/>
      <c r="BA2682" s="394"/>
      <c r="BB2682" s="394"/>
      <c r="BC2682" s="394"/>
      <c r="BD2682" s="381"/>
      <c r="BE2682" s="408"/>
      <c r="BF2682" s="385"/>
      <c r="BG2682" s="475"/>
      <c r="BH2682" s="395"/>
      <c r="BI2682" s="395" t="e">
        <f t="shared" si="1055"/>
        <v>#DIV/0!</v>
      </c>
    </row>
    <row r="2683" spans="1:61" s="358" customFormat="1" ht="19.2" x14ac:dyDescent="0.3">
      <c r="A2683" s="359" t="s">
        <v>4506</v>
      </c>
      <c r="B2683" s="572" t="s">
        <v>4293</v>
      </c>
      <c r="C2683" s="546" t="s">
        <v>3440</v>
      </c>
      <c r="D2683" s="360">
        <v>0.4</v>
      </c>
      <c r="E2683" s="393"/>
      <c r="F2683" s="523"/>
      <c r="G2683" s="393"/>
      <c r="H2683" s="573"/>
      <c r="I2683" s="394"/>
      <c r="J2683" s="394"/>
      <c r="K2683" s="394"/>
      <c r="L2683" s="394"/>
      <c r="M2683" s="394"/>
      <c r="N2683" s="394"/>
      <c r="O2683" s="394"/>
      <c r="P2683" s="394"/>
      <c r="Q2683" s="394"/>
      <c r="R2683" s="381"/>
      <c r="S2683" s="408"/>
      <c r="T2683" s="385"/>
      <c r="U2683" s="475"/>
      <c r="V2683" s="395"/>
      <c r="W2683" s="395"/>
      <c r="X2683" s="393"/>
      <c r="Y2683" s="523">
        <v>1</v>
      </c>
      <c r="Z2683" s="497"/>
      <c r="AA2683" s="573">
        <v>17.874020000000002</v>
      </c>
      <c r="AB2683" s="394">
        <v>15.38081</v>
      </c>
      <c r="AC2683" s="394">
        <v>14.418139999999999</v>
      </c>
      <c r="AD2683" s="394"/>
      <c r="AE2683" s="394"/>
      <c r="AF2683" s="394">
        <v>0</v>
      </c>
      <c r="AG2683" s="394">
        <v>0</v>
      </c>
      <c r="AH2683" s="394">
        <v>0.58123999999999998</v>
      </c>
      <c r="AI2683" s="394">
        <v>14.418139999999999</v>
      </c>
      <c r="AJ2683" s="394"/>
      <c r="AK2683" s="381" t="s">
        <v>167</v>
      </c>
      <c r="AL2683" s="408" t="s">
        <v>175</v>
      </c>
      <c r="AM2683" s="385"/>
      <c r="AN2683" s="475">
        <v>1476</v>
      </c>
      <c r="AO2683" s="395"/>
      <c r="AP2683" s="395">
        <f t="shared" si="1054"/>
        <v>17.874020000000002</v>
      </c>
      <c r="AQ2683" s="393"/>
      <c r="AR2683" s="523"/>
      <c r="AS2683" s="497"/>
      <c r="AT2683" s="573"/>
      <c r="AU2683" s="394"/>
      <c r="AV2683" s="394"/>
      <c r="AW2683" s="394"/>
      <c r="AX2683" s="394"/>
      <c r="AY2683" s="394"/>
      <c r="AZ2683" s="394"/>
      <c r="BA2683" s="394"/>
      <c r="BB2683" s="394"/>
      <c r="BC2683" s="394"/>
      <c r="BD2683" s="381"/>
      <c r="BE2683" s="408"/>
      <c r="BF2683" s="385"/>
      <c r="BG2683" s="475"/>
      <c r="BH2683" s="395"/>
      <c r="BI2683" s="395" t="e">
        <f t="shared" si="1055"/>
        <v>#DIV/0!</v>
      </c>
    </row>
    <row r="2684" spans="1:61" s="358" customFormat="1" ht="19.2" x14ac:dyDescent="0.3">
      <c r="A2684" s="359" t="s">
        <v>4491</v>
      </c>
      <c r="B2684" s="572" t="s">
        <v>4294</v>
      </c>
      <c r="C2684" s="546" t="s">
        <v>3441</v>
      </c>
      <c r="D2684" s="360">
        <v>0.4</v>
      </c>
      <c r="E2684" s="393"/>
      <c r="F2684" s="523"/>
      <c r="G2684" s="393"/>
      <c r="H2684" s="573"/>
      <c r="I2684" s="394"/>
      <c r="J2684" s="394"/>
      <c r="K2684" s="394"/>
      <c r="L2684" s="394"/>
      <c r="M2684" s="394"/>
      <c r="N2684" s="394"/>
      <c r="O2684" s="394"/>
      <c r="P2684" s="394"/>
      <c r="Q2684" s="394"/>
      <c r="R2684" s="381"/>
      <c r="S2684" s="408"/>
      <c r="T2684" s="385"/>
      <c r="U2684" s="475"/>
      <c r="V2684" s="395"/>
      <c r="W2684" s="395"/>
      <c r="X2684" s="393"/>
      <c r="Y2684" s="523">
        <v>1</v>
      </c>
      <c r="Z2684" s="497"/>
      <c r="AA2684" s="573">
        <v>17.873989999999999</v>
      </c>
      <c r="AB2684" s="394">
        <v>15.38078</v>
      </c>
      <c r="AC2684" s="394">
        <v>14.418139999999999</v>
      </c>
      <c r="AD2684" s="394"/>
      <c r="AE2684" s="394"/>
      <c r="AF2684" s="394">
        <v>0</v>
      </c>
      <c r="AG2684" s="394">
        <v>0</v>
      </c>
      <c r="AH2684" s="394">
        <v>0.58123999999999998</v>
      </c>
      <c r="AI2684" s="394">
        <v>14.418139999999999</v>
      </c>
      <c r="AJ2684" s="394"/>
      <c r="AK2684" s="381" t="s">
        <v>167</v>
      </c>
      <c r="AL2684" s="408" t="s">
        <v>175</v>
      </c>
      <c r="AM2684" s="385"/>
      <c r="AN2684" s="475">
        <v>1477</v>
      </c>
      <c r="AO2684" s="395"/>
      <c r="AP2684" s="395">
        <f t="shared" si="1054"/>
        <v>17.873989999999999</v>
      </c>
      <c r="AQ2684" s="393"/>
      <c r="AR2684" s="523"/>
      <c r="AS2684" s="497"/>
      <c r="AT2684" s="573"/>
      <c r="AU2684" s="394"/>
      <c r="AV2684" s="394"/>
      <c r="AW2684" s="394"/>
      <c r="AX2684" s="394"/>
      <c r="AY2684" s="394"/>
      <c r="AZ2684" s="394"/>
      <c r="BA2684" s="394"/>
      <c r="BB2684" s="394"/>
      <c r="BC2684" s="394"/>
      <c r="BD2684" s="381"/>
      <c r="BE2684" s="408"/>
      <c r="BF2684" s="385"/>
      <c r="BG2684" s="475"/>
      <c r="BH2684" s="395"/>
      <c r="BI2684" s="395" t="e">
        <f t="shared" si="1055"/>
        <v>#DIV/0!</v>
      </c>
    </row>
    <row r="2685" spans="1:61" s="358" customFormat="1" ht="19.2" x14ac:dyDescent="0.3">
      <c r="A2685" s="359" t="s">
        <v>4492</v>
      </c>
      <c r="B2685" s="572" t="s">
        <v>4017</v>
      </c>
      <c r="C2685" s="546" t="s">
        <v>3442</v>
      </c>
      <c r="D2685" s="360">
        <v>0.4</v>
      </c>
      <c r="E2685" s="393"/>
      <c r="F2685" s="523"/>
      <c r="G2685" s="393"/>
      <c r="H2685" s="573"/>
      <c r="I2685" s="394"/>
      <c r="J2685" s="394"/>
      <c r="K2685" s="394"/>
      <c r="L2685" s="394"/>
      <c r="M2685" s="394"/>
      <c r="N2685" s="394"/>
      <c r="O2685" s="394"/>
      <c r="P2685" s="394"/>
      <c r="Q2685" s="394"/>
      <c r="R2685" s="381"/>
      <c r="S2685" s="408"/>
      <c r="T2685" s="385"/>
      <c r="U2685" s="475"/>
      <c r="V2685" s="395"/>
      <c r="W2685" s="395"/>
      <c r="X2685" s="393"/>
      <c r="Y2685" s="523">
        <v>1</v>
      </c>
      <c r="Z2685" s="497"/>
      <c r="AA2685" s="573">
        <v>17.873999999999999</v>
      </c>
      <c r="AB2685" s="394">
        <v>15.380789999999999</v>
      </c>
      <c r="AC2685" s="394">
        <v>14.418139999999999</v>
      </c>
      <c r="AD2685" s="394"/>
      <c r="AE2685" s="394"/>
      <c r="AF2685" s="394">
        <v>0</v>
      </c>
      <c r="AG2685" s="394">
        <v>0</v>
      </c>
      <c r="AH2685" s="394">
        <v>0.58123999999999998</v>
      </c>
      <c r="AI2685" s="394">
        <v>14.418139999999999</v>
      </c>
      <c r="AJ2685" s="394"/>
      <c r="AK2685" s="381" t="s">
        <v>167</v>
      </c>
      <c r="AL2685" s="408" t="s">
        <v>175</v>
      </c>
      <c r="AM2685" s="385"/>
      <c r="AN2685" s="475">
        <v>1478</v>
      </c>
      <c r="AO2685" s="395"/>
      <c r="AP2685" s="395">
        <f t="shared" si="1054"/>
        <v>17.873999999999999</v>
      </c>
      <c r="AQ2685" s="393"/>
      <c r="AR2685" s="523"/>
      <c r="AS2685" s="497"/>
      <c r="AT2685" s="573"/>
      <c r="AU2685" s="394"/>
      <c r="AV2685" s="394"/>
      <c r="AW2685" s="394"/>
      <c r="AX2685" s="394"/>
      <c r="AY2685" s="394"/>
      <c r="AZ2685" s="394"/>
      <c r="BA2685" s="394"/>
      <c r="BB2685" s="394"/>
      <c r="BC2685" s="394"/>
      <c r="BD2685" s="381"/>
      <c r="BE2685" s="408"/>
      <c r="BF2685" s="385"/>
      <c r="BG2685" s="475"/>
      <c r="BH2685" s="395"/>
      <c r="BI2685" s="395" t="e">
        <f t="shared" si="1055"/>
        <v>#DIV/0!</v>
      </c>
    </row>
    <row r="2686" spans="1:61" s="358" customFormat="1" ht="19.2" x14ac:dyDescent="0.3">
      <c r="A2686" s="359" t="s">
        <v>4493</v>
      </c>
      <c r="B2686" s="572" t="s">
        <v>4295</v>
      </c>
      <c r="C2686" s="546" t="s">
        <v>3443</v>
      </c>
      <c r="D2686" s="360">
        <v>0.4</v>
      </c>
      <c r="E2686" s="393"/>
      <c r="F2686" s="523"/>
      <c r="G2686" s="393"/>
      <c r="H2686" s="573"/>
      <c r="I2686" s="394"/>
      <c r="J2686" s="394"/>
      <c r="K2686" s="394"/>
      <c r="L2686" s="394"/>
      <c r="M2686" s="394"/>
      <c r="N2686" s="394"/>
      <c r="O2686" s="394"/>
      <c r="P2686" s="394"/>
      <c r="Q2686" s="394"/>
      <c r="R2686" s="381"/>
      <c r="S2686" s="408"/>
      <c r="T2686" s="385"/>
      <c r="U2686" s="475"/>
      <c r="V2686" s="395"/>
      <c r="W2686" s="395"/>
      <c r="X2686" s="393"/>
      <c r="Y2686" s="523">
        <v>1</v>
      </c>
      <c r="Z2686" s="497"/>
      <c r="AA2686" s="573">
        <v>17.873999999999999</v>
      </c>
      <c r="AB2686" s="394">
        <v>15.380789999999999</v>
      </c>
      <c r="AC2686" s="394">
        <v>14.418139999999999</v>
      </c>
      <c r="AD2686" s="394"/>
      <c r="AE2686" s="394"/>
      <c r="AF2686" s="394">
        <v>0</v>
      </c>
      <c r="AG2686" s="394">
        <v>0</v>
      </c>
      <c r="AH2686" s="394">
        <v>0.58123999999999998</v>
      </c>
      <c r="AI2686" s="394">
        <v>14.418139999999999</v>
      </c>
      <c r="AJ2686" s="394"/>
      <c r="AK2686" s="381" t="s">
        <v>167</v>
      </c>
      <c r="AL2686" s="408" t="s">
        <v>175</v>
      </c>
      <c r="AM2686" s="385"/>
      <c r="AN2686" s="475">
        <v>1479</v>
      </c>
      <c r="AO2686" s="395"/>
      <c r="AP2686" s="395">
        <f t="shared" si="1054"/>
        <v>17.873999999999999</v>
      </c>
      <c r="AQ2686" s="393"/>
      <c r="AR2686" s="523"/>
      <c r="AS2686" s="497"/>
      <c r="AT2686" s="573"/>
      <c r="AU2686" s="394"/>
      <c r="AV2686" s="394"/>
      <c r="AW2686" s="394"/>
      <c r="AX2686" s="394"/>
      <c r="AY2686" s="394"/>
      <c r="AZ2686" s="394"/>
      <c r="BA2686" s="394"/>
      <c r="BB2686" s="394"/>
      <c r="BC2686" s="394"/>
      <c r="BD2686" s="381"/>
      <c r="BE2686" s="408"/>
      <c r="BF2686" s="385"/>
      <c r="BG2686" s="475"/>
      <c r="BH2686" s="395"/>
      <c r="BI2686" s="395" t="e">
        <f t="shared" si="1055"/>
        <v>#DIV/0!</v>
      </c>
    </row>
    <row r="2687" spans="1:61" s="358" customFormat="1" ht="19.2" x14ac:dyDescent="0.3">
      <c r="A2687" s="359" t="s">
        <v>4510</v>
      </c>
      <c r="B2687" s="572" t="s">
        <v>4296</v>
      </c>
      <c r="C2687" s="546" t="s">
        <v>3444</v>
      </c>
      <c r="D2687" s="360">
        <v>0.4</v>
      </c>
      <c r="E2687" s="393"/>
      <c r="F2687" s="523"/>
      <c r="G2687" s="393"/>
      <c r="H2687" s="573"/>
      <c r="I2687" s="394"/>
      <c r="J2687" s="394"/>
      <c r="K2687" s="394"/>
      <c r="L2687" s="394"/>
      <c r="M2687" s="394"/>
      <c r="N2687" s="394"/>
      <c r="O2687" s="394"/>
      <c r="P2687" s="394"/>
      <c r="Q2687" s="394"/>
      <c r="R2687" s="381"/>
      <c r="S2687" s="408"/>
      <c r="T2687" s="385"/>
      <c r="U2687" s="475"/>
      <c r="V2687" s="395"/>
      <c r="W2687" s="395"/>
      <c r="X2687" s="393"/>
      <c r="Y2687" s="523">
        <v>1</v>
      </c>
      <c r="Z2687" s="497"/>
      <c r="AA2687" s="573">
        <v>17.873999999999999</v>
      </c>
      <c r="AB2687" s="394">
        <v>15.380789999999999</v>
      </c>
      <c r="AC2687" s="394">
        <v>14.418139999999999</v>
      </c>
      <c r="AD2687" s="394"/>
      <c r="AE2687" s="394"/>
      <c r="AF2687" s="394">
        <v>0</v>
      </c>
      <c r="AG2687" s="394">
        <v>0</v>
      </c>
      <c r="AH2687" s="394">
        <v>0.58123999999999998</v>
      </c>
      <c r="AI2687" s="394">
        <v>14.418139999999999</v>
      </c>
      <c r="AJ2687" s="394"/>
      <c r="AK2687" s="381" t="s">
        <v>167</v>
      </c>
      <c r="AL2687" s="408" t="s">
        <v>175</v>
      </c>
      <c r="AM2687" s="385"/>
      <c r="AN2687" s="475">
        <v>1480</v>
      </c>
      <c r="AO2687" s="395"/>
      <c r="AP2687" s="395">
        <f t="shared" si="1054"/>
        <v>17.873999999999999</v>
      </c>
      <c r="AQ2687" s="393"/>
      <c r="AR2687" s="523"/>
      <c r="AS2687" s="497"/>
      <c r="AT2687" s="573"/>
      <c r="AU2687" s="394"/>
      <c r="AV2687" s="394"/>
      <c r="AW2687" s="394"/>
      <c r="AX2687" s="394"/>
      <c r="AY2687" s="394"/>
      <c r="AZ2687" s="394"/>
      <c r="BA2687" s="394"/>
      <c r="BB2687" s="394"/>
      <c r="BC2687" s="394"/>
      <c r="BD2687" s="381"/>
      <c r="BE2687" s="408"/>
      <c r="BF2687" s="385"/>
      <c r="BG2687" s="475"/>
      <c r="BH2687" s="395"/>
      <c r="BI2687" s="395" t="e">
        <f t="shared" si="1055"/>
        <v>#DIV/0!</v>
      </c>
    </row>
    <row r="2688" spans="1:61" s="358" customFormat="1" ht="19.2" x14ac:dyDescent="0.3">
      <c r="A2688" s="359" t="s">
        <v>4495</v>
      </c>
      <c r="B2688" s="572" t="s">
        <v>4297</v>
      </c>
      <c r="C2688" s="546" t="s">
        <v>3445</v>
      </c>
      <c r="D2688" s="360">
        <v>0.4</v>
      </c>
      <c r="E2688" s="393"/>
      <c r="F2688" s="523"/>
      <c r="G2688" s="393"/>
      <c r="H2688" s="573"/>
      <c r="I2688" s="394"/>
      <c r="J2688" s="394"/>
      <c r="K2688" s="394"/>
      <c r="L2688" s="394"/>
      <c r="M2688" s="394"/>
      <c r="N2688" s="394"/>
      <c r="O2688" s="394"/>
      <c r="P2688" s="394"/>
      <c r="Q2688" s="394"/>
      <c r="R2688" s="381"/>
      <c r="S2688" s="408"/>
      <c r="T2688" s="385"/>
      <c r="U2688" s="475"/>
      <c r="V2688" s="395"/>
      <c r="W2688" s="395"/>
      <c r="X2688" s="393"/>
      <c r="Y2688" s="523">
        <v>1</v>
      </c>
      <c r="Z2688" s="497"/>
      <c r="AA2688" s="573">
        <v>17.873999999999999</v>
      </c>
      <c r="AB2688" s="394">
        <v>15.380789999999999</v>
      </c>
      <c r="AC2688" s="394">
        <v>14.418139999999999</v>
      </c>
      <c r="AD2688" s="394"/>
      <c r="AE2688" s="394"/>
      <c r="AF2688" s="394">
        <v>0</v>
      </c>
      <c r="AG2688" s="394">
        <v>0</v>
      </c>
      <c r="AH2688" s="394">
        <v>0.58123999999999998</v>
      </c>
      <c r="AI2688" s="394">
        <v>14.418139999999999</v>
      </c>
      <c r="AJ2688" s="394"/>
      <c r="AK2688" s="381" t="s">
        <v>167</v>
      </c>
      <c r="AL2688" s="408" t="s">
        <v>175</v>
      </c>
      <c r="AM2688" s="385"/>
      <c r="AN2688" s="475">
        <v>1481</v>
      </c>
      <c r="AO2688" s="395"/>
      <c r="AP2688" s="395">
        <f t="shared" si="1054"/>
        <v>17.873999999999999</v>
      </c>
      <c r="AQ2688" s="393"/>
      <c r="AR2688" s="523"/>
      <c r="AS2688" s="497"/>
      <c r="AT2688" s="573"/>
      <c r="AU2688" s="394"/>
      <c r="AV2688" s="394"/>
      <c r="AW2688" s="394"/>
      <c r="AX2688" s="394"/>
      <c r="AY2688" s="394"/>
      <c r="AZ2688" s="394"/>
      <c r="BA2688" s="394"/>
      <c r="BB2688" s="394"/>
      <c r="BC2688" s="394"/>
      <c r="BD2688" s="381"/>
      <c r="BE2688" s="408"/>
      <c r="BF2688" s="385"/>
      <c r="BG2688" s="475"/>
      <c r="BH2688" s="395"/>
      <c r="BI2688" s="395" t="e">
        <f t="shared" si="1055"/>
        <v>#DIV/0!</v>
      </c>
    </row>
    <row r="2689" spans="1:61" s="358" customFormat="1" ht="19.2" x14ac:dyDescent="0.3">
      <c r="A2689" s="359" t="s">
        <v>4496</v>
      </c>
      <c r="B2689" s="572" t="s">
        <v>4298</v>
      </c>
      <c r="C2689" s="546" t="s">
        <v>3446</v>
      </c>
      <c r="D2689" s="360">
        <v>0.4</v>
      </c>
      <c r="E2689" s="393"/>
      <c r="F2689" s="523"/>
      <c r="G2689" s="393"/>
      <c r="H2689" s="573"/>
      <c r="I2689" s="394"/>
      <c r="J2689" s="394"/>
      <c r="K2689" s="394"/>
      <c r="L2689" s="394"/>
      <c r="M2689" s="394"/>
      <c r="N2689" s="394"/>
      <c r="O2689" s="394"/>
      <c r="P2689" s="394"/>
      <c r="Q2689" s="394"/>
      <c r="R2689" s="381"/>
      <c r="S2689" s="408"/>
      <c r="T2689" s="385"/>
      <c r="U2689" s="475"/>
      <c r="V2689" s="395"/>
      <c r="W2689" s="395"/>
      <c r="X2689" s="393"/>
      <c r="Y2689" s="523">
        <v>1</v>
      </c>
      <c r="Z2689" s="497"/>
      <c r="AA2689" s="573">
        <v>17.874030000000001</v>
      </c>
      <c r="AB2689" s="394">
        <v>15.38082</v>
      </c>
      <c r="AC2689" s="394">
        <v>14.418139999999999</v>
      </c>
      <c r="AD2689" s="394"/>
      <c r="AE2689" s="394"/>
      <c r="AF2689" s="394">
        <v>0</v>
      </c>
      <c r="AG2689" s="394">
        <v>0</v>
      </c>
      <c r="AH2689" s="394">
        <v>0.58123999999999998</v>
      </c>
      <c r="AI2689" s="394">
        <v>14.418139999999999</v>
      </c>
      <c r="AJ2689" s="394"/>
      <c r="AK2689" s="381" t="s">
        <v>167</v>
      </c>
      <c r="AL2689" s="408" t="s">
        <v>175</v>
      </c>
      <c r="AM2689" s="385"/>
      <c r="AN2689" s="475">
        <v>1482</v>
      </c>
      <c r="AO2689" s="395"/>
      <c r="AP2689" s="395">
        <f t="shared" si="1054"/>
        <v>17.874030000000001</v>
      </c>
      <c r="AQ2689" s="393"/>
      <c r="AR2689" s="523"/>
      <c r="AS2689" s="497"/>
      <c r="AT2689" s="573"/>
      <c r="AU2689" s="394"/>
      <c r="AV2689" s="394"/>
      <c r="AW2689" s="394"/>
      <c r="AX2689" s="394"/>
      <c r="AY2689" s="394"/>
      <c r="AZ2689" s="394"/>
      <c r="BA2689" s="394"/>
      <c r="BB2689" s="394"/>
      <c r="BC2689" s="394"/>
      <c r="BD2689" s="381"/>
      <c r="BE2689" s="408"/>
      <c r="BF2689" s="385"/>
      <c r="BG2689" s="475"/>
      <c r="BH2689" s="395"/>
      <c r="BI2689" s="395" t="e">
        <f t="shared" si="1055"/>
        <v>#DIV/0!</v>
      </c>
    </row>
    <row r="2690" spans="1:61" s="358" customFormat="1" ht="19.2" x14ac:dyDescent="0.3">
      <c r="A2690" s="359" t="s">
        <v>4481</v>
      </c>
      <c r="B2690" s="572" t="s">
        <v>4299</v>
      </c>
      <c r="C2690" s="546" t="s">
        <v>3447</v>
      </c>
      <c r="D2690" s="360">
        <v>0.4</v>
      </c>
      <c r="E2690" s="393"/>
      <c r="F2690" s="523"/>
      <c r="G2690" s="393"/>
      <c r="H2690" s="573"/>
      <c r="I2690" s="394"/>
      <c r="J2690" s="394"/>
      <c r="K2690" s="394"/>
      <c r="L2690" s="394"/>
      <c r="M2690" s="394"/>
      <c r="N2690" s="394"/>
      <c r="O2690" s="394"/>
      <c r="P2690" s="394"/>
      <c r="Q2690" s="394"/>
      <c r="R2690" s="381"/>
      <c r="S2690" s="408"/>
      <c r="T2690" s="385"/>
      <c r="U2690" s="475"/>
      <c r="V2690" s="395"/>
      <c r="W2690" s="395"/>
      <c r="X2690" s="393"/>
      <c r="Y2690" s="523">
        <v>1</v>
      </c>
      <c r="Z2690" s="497"/>
      <c r="AA2690" s="573">
        <v>17.874020000000002</v>
      </c>
      <c r="AB2690" s="394">
        <v>15.38081</v>
      </c>
      <c r="AC2690" s="394">
        <v>14.418139999999999</v>
      </c>
      <c r="AD2690" s="394"/>
      <c r="AE2690" s="394"/>
      <c r="AF2690" s="394">
        <v>0</v>
      </c>
      <c r="AG2690" s="394">
        <v>0</v>
      </c>
      <c r="AH2690" s="394">
        <v>0.58123999999999998</v>
      </c>
      <c r="AI2690" s="394">
        <v>14.418139999999999</v>
      </c>
      <c r="AJ2690" s="394"/>
      <c r="AK2690" s="381" t="s">
        <v>167</v>
      </c>
      <c r="AL2690" s="408" t="s">
        <v>175</v>
      </c>
      <c r="AM2690" s="385"/>
      <c r="AN2690" s="475">
        <v>1483</v>
      </c>
      <c r="AO2690" s="395"/>
      <c r="AP2690" s="395">
        <f t="shared" si="1054"/>
        <v>17.874020000000002</v>
      </c>
      <c r="AQ2690" s="393"/>
      <c r="AR2690" s="523"/>
      <c r="AS2690" s="497"/>
      <c r="AT2690" s="573"/>
      <c r="AU2690" s="394"/>
      <c r="AV2690" s="394"/>
      <c r="AW2690" s="394"/>
      <c r="AX2690" s="394"/>
      <c r="AY2690" s="394"/>
      <c r="AZ2690" s="394"/>
      <c r="BA2690" s="394"/>
      <c r="BB2690" s="394"/>
      <c r="BC2690" s="394"/>
      <c r="BD2690" s="381"/>
      <c r="BE2690" s="408"/>
      <c r="BF2690" s="385"/>
      <c r="BG2690" s="475"/>
      <c r="BH2690" s="395"/>
      <c r="BI2690" s="395" t="e">
        <f t="shared" si="1055"/>
        <v>#DIV/0!</v>
      </c>
    </row>
    <row r="2691" spans="1:61" s="358" customFormat="1" ht="19.2" x14ac:dyDescent="0.3">
      <c r="A2691" s="359" t="s">
        <v>4498</v>
      </c>
      <c r="B2691" s="572" t="s">
        <v>4300</v>
      </c>
      <c r="C2691" s="546" t="s">
        <v>3448</v>
      </c>
      <c r="D2691" s="360">
        <v>0.4</v>
      </c>
      <c r="E2691" s="393"/>
      <c r="F2691" s="523"/>
      <c r="G2691" s="393"/>
      <c r="H2691" s="573"/>
      <c r="I2691" s="394"/>
      <c r="J2691" s="394"/>
      <c r="K2691" s="394"/>
      <c r="L2691" s="394"/>
      <c r="M2691" s="394"/>
      <c r="N2691" s="394"/>
      <c r="O2691" s="394"/>
      <c r="P2691" s="394"/>
      <c r="Q2691" s="394"/>
      <c r="R2691" s="381"/>
      <c r="S2691" s="408"/>
      <c r="T2691" s="385"/>
      <c r="U2691" s="475"/>
      <c r="V2691" s="395"/>
      <c r="W2691" s="395"/>
      <c r="X2691" s="393"/>
      <c r="Y2691" s="523">
        <v>1</v>
      </c>
      <c r="Z2691" s="497"/>
      <c r="AA2691" s="573">
        <v>17.874030000000001</v>
      </c>
      <c r="AB2691" s="394">
        <v>15.38082</v>
      </c>
      <c r="AC2691" s="394">
        <v>14.418139999999999</v>
      </c>
      <c r="AD2691" s="394"/>
      <c r="AE2691" s="394"/>
      <c r="AF2691" s="394">
        <v>0</v>
      </c>
      <c r="AG2691" s="394">
        <v>0</v>
      </c>
      <c r="AH2691" s="394">
        <v>0.58123999999999998</v>
      </c>
      <c r="AI2691" s="394">
        <v>14.418139999999999</v>
      </c>
      <c r="AJ2691" s="394"/>
      <c r="AK2691" s="381" t="s">
        <v>167</v>
      </c>
      <c r="AL2691" s="408" t="s">
        <v>175</v>
      </c>
      <c r="AM2691" s="385"/>
      <c r="AN2691" s="475">
        <v>1484</v>
      </c>
      <c r="AO2691" s="395"/>
      <c r="AP2691" s="395">
        <f t="shared" si="1054"/>
        <v>17.874030000000001</v>
      </c>
      <c r="AQ2691" s="393"/>
      <c r="AR2691" s="523"/>
      <c r="AS2691" s="497"/>
      <c r="AT2691" s="573"/>
      <c r="AU2691" s="394"/>
      <c r="AV2691" s="394"/>
      <c r="AW2691" s="394"/>
      <c r="AX2691" s="394"/>
      <c r="AY2691" s="394"/>
      <c r="AZ2691" s="394"/>
      <c r="BA2691" s="394"/>
      <c r="BB2691" s="394"/>
      <c r="BC2691" s="394"/>
      <c r="BD2691" s="381"/>
      <c r="BE2691" s="408"/>
      <c r="BF2691" s="385"/>
      <c r="BG2691" s="475"/>
      <c r="BH2691" s="395"/>
      <c r="BI2691" s="395" t="e">
        <f t="shared" si="1055"/>
        <v>#DIV/0!</v>
      </c>
    </row>
    <row r="2692" spans="1:61" s="358" customFormat="1" ht="19.2" x14ac:dyDescent="0.3">
      <c r="A2692" s="359" t="s">
        <v>4499</v>
      </c>
      <c r="B2692" s="572" t="s">
        <v>4301</v>
      </c>
      <c r="C2692" s="546" t="s">
        <v>3450</v>
      </c>
      <c r="D2692" s="360">
        <v>0.4</v>
      </c>
      <c r="E2692" s="393"/>
      <c r="F2692" s="523"/>
      <c r="G2692" s="393"/>
      <c r="H2692" s="573"/>
      <c r="I2692" s="394"/>
      <c r="J2692" s="394"/>
      <c r="K2692" s="394"/>
      <c r="L2692" s="394"/>
      <c r="M2692" s="394"/>
      <c r="N2692" s="394"/>
      <c r="O2692" s="394"/>
      <c r="P2692" s="394"/>
      <c r="Q2692" s="394"/>
      <c r="R2692" s="381"/>
      <c r="S2692" s="408"/>
      <c r="T2692" s="385"/>
      <c r="U2692" s="475"/>
      <c r="V2692" s="395"/>
      <c r="W2692" s="395"/>
      <c r="X2692" s="393"/>
      <c r="Y2692" s="523">
        <v>1</v>
      </c>
      <c r="Z2692" s="497"/>
      <c r="AA2692" s="573">
        <v>17.873999999999999</v>
      </c>
      <c r="AB2692" s="394">
        <v>15.380789999999999</v>
      </c>
      <c r="AC2692" s="394">
        <v>14.418139999999999</v>
      </c>
      <c r="AD2692" s="394"/>
      <c r="AE2692" s="394"/>
      <c r="AF2692" s="394">
        <v>0</v>
      </c>
      <c r="AG2692" s="394">
        <v>0</v>
      </c>
      <c r="AH2692" s="394">
        <v>0.58123999999999998</v>
      </c>
      <c r="AI2692" s="394">
        <v>14.418139999999999</v>
      </c>
      <c r="AJ2692" s="394"/>
      <c r="AK2692" s="381" t="s">
        <v>167</v>
      </c>
      <c r="AL2692" s="408" t="s">
        <v>175</v>
      </c>
      <c r="AM2692" s="385"/>
      <c r="AN2692" s="475">
        <v>1485</v>
      </c>
      <c r="AO2692" s="395"/>
      <c r="AP2692" s="395">
        <f t="shared" si="1054"/>
        <v>17.873999999999999</v>
      </c>
      <c r="AQ2692" s="393"/>
      <c r="AR2692" s="523"/>
      <c r="AS2692" s="497"/>
      <c r="AT2692" s="573"/>
      <c r="AU2692" s="394"/>
      <c r="AV2692" s="394"/>
      <c r="AW2692" s="394"/>
      <c r="AX2692" s="394"/>
      <c r="AY2692" s="394"/>
      <c r="AZ2692" s="394"/>
      <c r="BA2692" s="394"/>
      <c r="BB2692" s="394"/>
      <c r="BC2692" s="394"/>
      <c r="BD2692" s="381"/>
      <c r="BE2692" s="408"/>
      <c r="BF2692" s="385"/>
      <c r="BG2692" s="475"/>
      <c r="BH2692" s="395"/>
      <c r="BI2692" s="395" t="e">
        <f t="shared" si="1055"/>
        <v>#DIV/0!</v>
      </c>
    </row>
    <row r="2693" spans="1:61" s="358" customFormat="1" ht="19.2" x14ac:dyDescent="0.3">
      <c r="A2693" s="359" t="s">
        <v>4500</v>
      </c>
      <c r="B2693" s="572" t="s">
        <v>4302</v>
      </c>
      <c r="C2693" s="546" t="s">
        <v>3451</v>
      </c>
      <c r="D2693" s="360">
        <v>0.4</v>
      </c>
      <c r="E2693" s="393"/>
      <c r="F2693" s="523"/>
      <c r="G2693" s="393"/>
      <c r="H2693" s="573"/>
      <c r="I2693" s="394"/>
      <c r="J2693" s="394"/>
      <c r="K2693" s="394"/>
      <c r="L2693" s="394"/>
      <c r="M2693" s="394"/>
      <c r="N2693" s="394"/>
      <c r="O2693" s="394"/>
      <c r="P2693" s="394"/>
      <c r="Q2693" s="394"/>
      <c r="R2693" s="381"/>
      <c r="S2693" s="408"/>
      <c r="T2693" s="385"/>
      <c r="U2693" s="475"/>
      <c r="V2693" s="395"/>
      <c r="W2693" s="395"/>
      <c r="X2693" s="393"/>
      <c r="Y2693" s="523">
        <v>1</v>
      </c>
      <c r="Z2693" s="497"/>
      <c r="AA2693" s="573">
        <v>17.874020000000002</v>
      </c>
      <c r="AB2693" s="394">
        <v>15.38081</v>
      </c>
      <c r="AC2693" s="394">
        <v>14.418139999999999</v>
      </c>
      <c r="AD2693" s="394"/>
      <c r="AE2693" s="394"/>
      <c r="AF2693" s="394">
        <v>0</v>
      </c>
      <c r="AG2693" s="394">
        <v>0</v>
      </c>
      <c r="AH2693" s="394">
        <v>0.58123999999999998</v>
      </c>
      <c r="AI2693" s="394">
        <v>14.418139999999999</v>
      </c>
      <c r="AJ2693" s="394"/>
      <c r="AK2693" s="381" t="s">
        <v>167</v>
      </c>
      <c r="AL2693" s="408" t="s">
        <v>175</v>
      </c>
      <c r="AM2693" s="385"/>
      <c r="AN2693" s="475">
        <v>1486</v>
      </c>
      <c r="AO2693" s="395"/>
      <c r="AP2693" s="395">
        <f t="shared" si="1054"/>
        <v>17.874020000000002</v>
      </c>
      <c r="AQ2693" s="393"/>
      <c r="AR2693" s="523"/>
      <c r="AS2693" s="497"/>
      <c r="AT2693" s="573"/>
      <c r="AU2693" s="394"/>
      <c r="AV2693" s="394"/>
      <c r="AW2693" s="394"/>
      <c r="AX2693" s="394"/>
      <c r="AY2693" s="394"/>
      <c r="AZ2693" s="394"/>
      <c r="BA2693" s="394"/>
      <c r="BB2693" s="394"/>
      <c r="BC2693" s="394"/>
      <c r="BD2693" s="381"/>
      <c r="BE2693" s="408"/>
      <c r="BF2693" s="385"/>
      <c r="BG2693" s="475"/>
      <c r="BH2693" s="395"/>
      <c r="BI2693" s="395" t="e">
        <f t="shared" si="1055"/>
        <v>#DIV/0!</v>
      </c>
    </row>
    <row r="2694" spans="1:61" s="358" customFormat="1" ht="19.2" x14ac:dyDescent="0.3">
      <c r="A2694" s="359" t="s">
        <v>4501</v>
      </c>
      <c r="B2694" s="572" t="s">
        <v>4303</v>
      </c>
      <c r="C2694" s="546" t="s">
        <v>3452</v>
      </c>
      <c r="D2694" s="360">
        <v>0.4</v>
      </c>
      <c r="E2694" s="393"/>
      <c r="F2694" s="523"/>
      <c r="G2694" s="393"/>
      <c r="H2694" s="573"/>
      <c r="I2694" s="394"/>
      <c r="J2694" s="394"/>
      <c r="K2694" s="394"/>
      <c r="L2694" s="394"/>
      <c r="M2694" s="394"/>
      <c r="N2694" s="394"/>
      <c r="O2694" s="394"/>
      <c r="P2694" s="394"/>
      <c r="Q2694" s="394"/>
      <c r="R2694" s="381"/>
      <c r="S2694" s="408"/>
      <c r="T2694" s="385"/>
      <c r="U2694" s="475"/>
      <c r="V2694" s="395"/>
      <c r="W2694" s="395"/>
      <c r="X2694" s="393"/>
      <c r="Y2694" s="523">
        <v>1</v>
      </c>
      <c r="Z2694" s="497"/>
      <c r="AA2694" s="573">
        <v>17.873999999999999</v>
      </c>
      <c r="AB2694" s="394">
        <v>15.380789999999999</v>
      </c>
      <c r="AC2694" s="394">
        <v>14.418139999999999</v>
      </c>
      <c r="AD2694" s="394"/>
      <c r="AE2694" s="394"/>
      <c r="AF2694" s="394">
        <v>0</v>
      </c>
      <c r="AG2694" s="394">
        <v>0</v>
      </c>
      <c r="AH2694" s="394">
        <v>0.58123999999999998</v>
      </c>
      <c r="AI2694" s="394">
        <v>14.418139999999999</v>
      </c>
      <c r="AJ2694" s="394"/>
      <c r="AK2694" s="381" t="s">
        <v>167</v>
      </c>
      <c r="AL2694" s="408" t="s">
        <v>175</v>
      </c>
      <c r="AM2694" s="385"/>
      <c r="AN2694" s="475">
        <v>1487</v>
      </c>
      <c r="AO2694" s="395"/>
      <c r="AP2694" s="395">
        <f t="shared" ref="AP2694:AP2757" si="1056">AA2694/Y2694</f>
        <v>17.873999999999999</v>
      </c>
      <c r="AQ2694" s="393"/>
      <c r="AR2694" s="523"/>
      <c r="AS2694" s="497"/>
      <c r="AT2694" s="573"/>
      <c r="AU2694" s="394"/>
      <c r="AV2694" s="394"/>
      <c r="AW2694" s="394"/>
      <c r="AX2694" s="394"/>
      <c r="AY2694" s="394"/>
      <c r="AZ2694" s="394"/>
      <c r="BA2694" s="394"/>
      <c r="BB2694" s="394"/>
      <c r="BC2694" s="394"/>
      <c r="BD2694" s="381"/>
      <c r="BE2694" s="408"/>
      <c r="BF2694" s="385"/>
      <c r="BG2694" s="475"/>
      <c r="BH2694" s="395"/>
      <c r="BI2694" s="395" t="e">
        <f t="shared" si="1055"/>
        <v>#DIV/0!</v>
      </c>
    </row>
    <row r="2695" spans="1:61" s="358" customFormat="1" ht="19.2" x14ac:dyDescent="0.3">
      <c r="A2695" s="359" t="s">
        <v>4502</v>
      </c>
      <c r="B2695" s="572" t="s">
        <v>4304</v>
      </c>
      <c r="C2695" s="546" t="s">
        <v>3453</v>
      </c>
      <c r="D2695" s="360">
        <v>0.4</v>
      </c>
      <c r="E2695" s="393"/>
      <c r="F2695" s="523"/>
      <c r="G2695" s="393"/>
      <c r="H2695" s="573"/>
      <c r="I2695" s="394"/>
      <c r="J2695" s="394"/>
      <c r="K2695" s="394"/>
      <c r="L2695" s="394"/>
      <c r="M2695" s="394"/>
      <c r="N2695" s="394"/>
      <c r="O2695" s="394"/>
      <c r="P2695" s="394"/>
      <c r="Q2695" s="394"/>
      <c r="R2695" s="381"/>
      <c r="S2695" s="408"/>
      <c r="T2695" s="385"/>
      <c r="U2695" s="475"/>
      <c r="V2695" s="395"/>
      <c r="W2695" s="395"/>
      <c r="X2695" s="393"/>
      <c r="Y2695" s="523">
        <v>1</v>
      </c>
      <c r="Z2695" s="497"/>
      <c r="AA2695" s="573">
        <v>17.874020000000002</v>
      </c>
      <c r="AB2695" s="394">
        <v>15.38081</v>
      </c>
      <c r="AC2695" s="394">
        <v>14.418139999999999</v>
      </c>
      <c r="AD2695" s="394"/>
      <c r="AE2695" s="394"/>
      <c r="AF2695" s="394">
        <v>0</v>
      </c>
      <c r="AG2695" s="394">
        <v>0</v>
      </c>
      <c r="AH2695" s="394">
        <v>0.58123999999999998</v>
      </c>
      <c r="AI2695" s="394">
        <v>14.418139999999999</v>
      </c>
      <c r="AJ2695" s="394"/>
      <c r="AK2695" s="381" t="s">
        <v>167</v>
      </c>
      <c r="AL2695" s="408" t="s">
        <v>175</v>
      </c>
      <c r="AM2695" s="385"/>
      <c r="AN2695" s="475">
        <v>1488</v>
      </c>
      <c r="AO2695" s="395"/>
      <c r="AP2695" s="395">
        <f t="shared" si="1056"/>
        <v>17.874020000000002</v>
      </c>
      <c r="AQ2695" s="393"/>
      <c r="AR2695" s="523"/>
      <c r="AS2695" s="497"/>
      <c r="AT2695" s="573"/>
      <c r="AU2695" s="394"/>
      <c r="AV2695" s="394"/>
      <c r="AW2695" s="394"/>
      <c r="AX2695" s="394"/>
      <c r="AY2695" s="394"/>
      <c r="AZ2695" s="394"/>
      <c r="BA2695" s="394"/>
      <c r="BB2695" s="394"/>
      <c r="BC2695" s="394"/>
      <c r="BD2695" s="381"/>
      <c r="BE2695" s="408"/>
      <c r="BF2695" s="385"/>
      <c r="BG2695" s="475"/>
      <c r="BH2695" s="395"/>
      <c r="BI2695" s="395" t="e">
        <f t="shared" si="1055"/>
        <v>#DIV/0!</v>
      </c>
    </row>
    <row r="2696" spans="1:61" s="358" customFormat="1" ht="19.2" x14ac:dyDescent="0.3">
      <c r="A2696" s="359" t="s">
        <v>4503</v>
      </c>
      <c r="B2696" s="572" t="s">
        <v>4305</v>
      </c>
      <c r="C2696" s="546" t="s">
        <v>3454</v>
      </c>
      <c r="D2696" s="360">
        <v>0.4</v>
      </c>
      <c r="E2696" s="393"/>
      <c r="F2696" s="523"/>
      <c r="G2696" s="393"/>
      <c r="H2696" s="573"/>
      <c r="I2696" s="394"/>
      <c r="J2696" s="394"/>
      <c r="K2696" s="394"/>
      <c r="L2696" s="394"/>
      <c r="M2696" s="394"/>
      <c r="N2696" s="394"/>
      <c r="O2696" s="394"/>
      <c r="P2696" s="394"/>
      <c r="Q2696" s="394"/>
      <c r="R2696" s="381"/>
      <c r="S2696" s="408"/>
      <c r="T2696" s="385"/>
      <c r="U2696" s="475"/>
      <c r="V2696" s="395"/>
      <c r="W2696" s="395"/>
      <c r="X2696" s="393"/>
      <c r="Y2696" s="523">
        <v>1</v>
      </c>
      <c r="Z2696" s="497"/>
      <c r="AA2696" s="573">
        <v>17.874030000000001</v>
      </c>
      <c r="AB2696" s="394">
        <v>15.38082</v>
      </c>
      <c r="AC2696" s="394">
        <v>14.418139999999999</v>
      </c>
      <c r="AD2696" s="394"/>
      <c r="AE2696" s="394"/>
      <c r="AF2696" s="394">
        <v>0</v>
      </c>
      <c r="AG2696" s="394">
        <v>0</v>
      </c>
      <c r="AH2696" s="394">
        <v>0.58123999999999998</v>
      </c>
      <c r="AI2696" s="394">
        <v>14.418139999999999</v>
      </c>
      <c r="AJ2696" s="394"/>
      <c r="AK2696" s="381" t="s">
        <v>167</v>
      </c>
      <c r="AL2696" s="408" t="s">
        <v>175</v>
      </c>
      <c r="AM2696" s="385"/>
      <c r="AN2696" s="475">
        <v>1489</v>
      </c>
      <c r="AO2696" s="395"/>
      <c r="AP2696" s="395">
        <f t="shared" si="1056"/>
        <v>17.874030000000001</v>
      </c>
      <c r="AQ2696" s="393"/>
      <c r="AR2696" s="523"/>
      <c r="AS2696" s="497"/>
      <c r="AT2696" s="573"/>
      <c r="AU2696" s="394"/>
      <c r="AV2696" s="394"/>
      <c r="AW2696" s="394"/>
      <c r="AX2696" s="394"/>
      <c r="AY2696" s="394"/>
      <c r="AZ2696" s="394"/>
      <c r="BA2696" s="394"/>
      <c r="BB2696" s="394"/>
      <c r="BC2696" s="394"/>
      <c r="BD2696" s="381"/>
      <c r="BE2696" s="408"/>
      <c r="BF2696" s="385"/>
      <c r="BG2696" s="475"/>
      <c r="BH2696" s="395"/>
      <c r="BI2696" s="395" t="e">
        <f t="shared" si="1055"/>
        <v>#DIV/0!</v>
      </c>
    </row>
    <row r="2697" spans="1:61" s="358" customFormat="1" ht="19.2" x14ac:dyDescent="0.3">
      <c r="A2697" s="359" t="s">
        <v>4504</v>
      </c>
      <c r="B2697" s="572" t="s">
        <v>4306</v>
      </c>
      <c r="C2697" s="546" t="s">
        <v>3455</v>
      </c>
      <c r="D2697" s="360">
        <v>0.4</v>
      </c>
      <c r="E2697" s="393"/>
      <c r="F2697" s="523"/>
      <c r="G2697" s="393"/>
      <c r="H2697" s="573"/>
      <c r="I2697" s="394"/>
      <c r="J2697" s="394"/>
      <c r="K2697" s="394"/>
      <c r="L2697" s="394"/>
      <c r="M2697" s="394"/>
      <c r="N2697" s="394"/>
      <c r="O2697" s="394"/>
      <c r="P2697" s="394"/>
      <c r="Q2697" s="394"/>
      <c r="R2697" s="381"/>
      <c r="S2697" s="408"/>
      <c r="T2697" s="385"/>
      <c r="U2697" s="475"/>
      <c r="V2697" s="395"/>
      <c r="W2697" s="395"/>
      <c r="X2697" s="393"/>
      <c r="Y2697" s="523">
        <v>1</v>
      </c>
      <c r="Z2697" s="497"/>
      <c r="AA2697" s="573">
        <v>17.874020000000002</v>
      </c>
      <c r="AB2697" s="394">
        <v>15.38081</v>
      </c>
      <c r="AC2697" s="394">
        <v>14.418139999999999</v>
      </c>
      <c r="AD2697" s="394"/>
      <c r="AE2697" s="394"/>
      <c r="AF2697" s="394">
        <v>0</v>
      </c>
      <c r="AG2697" s="394">
        <v>0</v>
      </c>
      <c r="AH2697" s="394">
        <v>0.58123999999999998</v>
      </c>
      <c r="AI2697" s="394">
        <v>14.418139999999999</v>
      </c>
      <c r="AJ2697" s="394"/>
      <c r="AK2697" s="381" t="s">
        <v>167</v>
      </c>
      <c r="AL2697" s="408" t="s">
        <v>175</v>
      </c>
      <c r="AM2697" s="385"/>
      <c r="AN2697" s="475">
        <v>1490</v>
      </c>
      <c r="AO2697" s="395"/>
      <c r="AP2697" s="395">
        <f t="shared" si="1056"/>
        <v>17.874020000000002</v>
      </c>
      <c r="AQ2697" s="393"/>
      <c r="AR2697" s="523"/>
      <c r="AS2697" s="497"/>
      <c r="AT2697" s="573"/>
      <c r="AU2697" s="394"/>
      <c r="AV2697" s="394"/>
      <c r="AW2697" s="394"/>
      <c r="AX2697" s="394"/>
      <c r="AY2697" s="394"/>
      <c r="AZ2697" s="394"/>
      <c r="BA2697" s="394"/>
      <c r="BB2697" s="394"/>
      <c r="BC2697" s="394"/>
      <c r="BD2697" s="381"/>
      <c r="BE2697" s="408"/>
      <c r="BF2697" s="385"/>
      <c r="BG2697" s="475"/>
      <c r="BH2697" s="395"/>
      <c r="BI2697" s="395" t="e">
        <f t="shared" si="1055"/>
        <v>#DIV/0!</v>
      </c>
    </row>
    <row r="2698" spans="1:61" s="358" customFormat="1" ht="19.2" x14ac:dyDescent="0.3">
      <c r="A2698" s="359" t="s">
        <v>4505</v>
      </c>
      <c r="B2698" s="572" t="s">
        <v>4307</v>
      </c>
      <c r="C2698" s="546" t="s">
        <v>3456</v>
      </c>
      <c r="D2698" s="360">
        <v>0.4</v>
      </c>
      <c r="E2698" s="393"/>
      <c r="F2698" s="523"/>
      <c r="G2698" s="393"/>
      <c r="H2698" s="573"/>
      <c r="I2698" s="394"/>
      <c r="J2698" s="394"/>
      <c r="K2698" s="394"/>
      <c r="L2698" s="394"/>
      <c r="M2698" s="394"/>
      <c r="N2698" s="394"/>
      <c r="O2698" s="394"/>
      <c r="P2698" s="394"/>
      <c r="Q2698" s="394"/>
      <c r="R2698" s="381"/>
      <c r="S2698" s="408"/>
      <c r="T2698" s="385"/>
      <c r="U2698" s="475"/>
      <c r="V2698" s="395"/>
      <c r="W2698" s="395"/>
      <c r="X2698" s="393"/>
      <c r="Y2698" s="523">
        <v>1</v>
      </c>
      <c r="Z2698" s="497"/>
      <c r="AA2698" s="573">
        <v>17.873999999999999</v>
      </c>
      <c r="AB2698" s="394">
        <v>15.380789999999999</v>
      </c>
      <c r="AC2698" s="394">
        <v>14.418139999999999</v>
      </c>
      <c r="AD2698" s="394"/>
      <c r="AE2698" s="394"/>
      <c r="AF2698" s="394">
        <v>0</v>
      </c>
      <c r="AG2698" s="394">
        <v>0</v>
      </c>
      <c r="AH2698" s="394">
        <v>0.58123999999999998</v>
      </c>
      <c r="AI2698" s="394">
        <v>14.418139999999999</v>
      </c>
      <c r="AJ2698" s="394"/>
      <c r="AK2698" s="381" t="s">
        <v>167</v>
      </c>
      <c r="AL2698" s="408" t="s">
        <v>175</v>
      </c>
      <c r="AM2698" s="385"/>
      <c r="AN2698" s="475">
        <v>1491</v>
      </c>
      <c r="AO2698" s="395"/>
      <c r="AP2698" s="395">
        <f t="shared" si="1056"/>
        <v>17.873999999999999</v>
      </c>
      <c r="AQ2698" s="393"/>
      <c r="AR2698" s="523"/>
      <c r="AS2698" s="497"/>
      <c r="AT2698" s="573"/>
      <c r="AU2698" s="394"/>
      <c r="AV2698" s="394"/>
      <c r="AW2698" s="394"/>
      <c r="AX2698" s="394"/>
      <c r="AY2698" s="394"/>
      <c r="AZ2698" s="394"/>
      <c r="BA2698" s="394"/>
      <c r="BB2698" s="394"/>
      <c r="BC2698" s="394"/>
      <c r="BD2698" s="381"/>
      <c r="BE2698" s="408"/>
      <c r="BF2698" s="385"/>
      <c r="BG2698" s="475"/>
      <c r="BH2698" s="395"/>
      <c r="BI2698" s="395" t="e">
        <f t="shared" si="1055"/>
        <v>#DIV/0!</v>
      </c>
    </row>
    <row r="2699" spans="1:61" s="358" customFormat="1" ht="19.2" x14ac:dyDescent="0.3">
      <c r="A2699" s="359" t="s">
        <v>4522</v>
      </c>
      <c r="B2699" s="572" t="s">
        <v>4308</v>
      </c>
      <c r="C2699" s="546" t="s">
        <v>3457</v>
      </c>
      <c r="D2699" s="360">
        <v>0.4</v>
      </c>
      <c r="E2699" s="393"/>
      <c r="F2699" s="523"/>
      <c r="G2699" s="393"/>
      <c r="H2699" s="573"/>
      <c r="I2699" s="394"/>
      <c r="J2699" s="394"/>
      <c r="K2699" s="394"/>
      <c r="L2699" s="394"/>
      <c r="M2699" s="394"/>
      <c r="N2699" s="394"/>
      <c r="O2699" s="394"/>
      <c r="P2699" s="394"/>
      <c r="Q2699" s="394"/>
      <c r="R2699" s="381"/>
      <c r="S2699" s="408"/>
      <c r="T2699" s="385"/>
      <c r="U2699" s="475"/>
      <c r="V2699" s="395"/>
      <c r="W2699" s="395"/>
      <c r="X2699" s="393"/>
      <c r="Y2699" s="523">
        <v>1</v>
      </c>
      <c r="Z2699" s="497"/>
      <c r="AA2699" s="573">
        <v>17.873989999999999</v>
      </c>
      <c r="AB2699" s="394">
        <v>15.38078</v>
      </c>
      <c r="AC2699" s="394">
        <v>14.418139999999999</v>
      </c>
      <c r="AD2699" s="394"/>
      <c r="AE2699" s="394"/>
      <c r="AF2699" s="394">
        <v>0</v>
      </c>
      <c r="AG2699" s="394">
        <v>0</v>
      </c>
      <c r="AH2699" s="394">
        <v>0.58123999999999998</v>
      </c>
      <c r="AI2699" s="394">
        <v>14.418139999999999</v>
      </c>
      <c r="AJ2699" s="394"/>
      <c r="AK2699" s="381" t="s">
        <v>167</v>
      </c>
      <c r="AL2699" s="408" t="s">
        <v>175</v>
      </c>
      <c r="AM2699" s="385"/>
      <c r="AN2699" s="475">
        <v>1492</v>
      </c>
      <c r="AO2699" s="395"/>
      <c r="AP2699" s="395">
        <f t="shared" si="1056"/>
        <v>17.873989999999999</v>
      </c>
      <c r="AQ2699" s="393"/>
      <c r="AR2699" s="523"/>
      <c r="AS2699" s="497"/>
      <c r="AT2699" s="573"/>
      <c r="AU2699" s="394"/>
      <c r="AV2699" s="394"/>
      <c r="AW2699" s="394"/>
      <c r="AX2699" s="394"/>
      <c r="AY2699" s="394"/>
      <c r="AZ2699" s="394"/>
      <c r="BA2699" s="394"/>
      <c r="BB2699" s="394"/>
      <c r="BC2699" s="394"/>
      <c r="BD2699" s="381"/>
      <c r="BE2699" s="408"/>
      <c r="BF2699" s="385"/>
      <c r="BG2699" s="475"/>
      <c r="BH2699" s="395"/>
      <c r="BI2699" s="395" t="e">
        <f t="shared" si="1055"/>
        <v>#DIV/0!</v>
      </c>
    </row>
    <row r="2700" spans="1:61" s="358" customFormat="1" ht="19.2" x14ac:dyDescent="0.3">
      <c r="A2700" s="359" t="s">
        <v>4507</v>
      </c>
      <c r="B2700" s="572" t="s">
        <v>4309</v>
      </c>
      <c r="C2700" s="546" t="s">
        <v>3458</v>
      </c>
      <c r="D2700" s="360">
        <v>0.4</v>
      </c>
      <c r="E2700" s="393"/>
      <c r="F2700" s="523"/>
      <c r="G2700" s="393"/>
      <c r="H2700" s="573"/>
      <c r="I2700" s="394"/>
      <c r="J2700" s="394"/>
      <c r="K2700" s="394"/>
      <c r="L2700" s="394"/>
      <c r="M2700" s="394"/>
      <c r="N2700" s="394"/>
      <c r="O2700" s="394"/>
      <c r="P2700" s="394"/>
      <c r="Q2700" s="394"/>
      <c r="R2700" s="381"/>
      <c r="S2700" s="408"/>
      <c r="T2700" s="385"/>
      <c r="U2700" s="475"/>
      <c r="V2700" s="395"/>
      <c r="W2700" s="395"/>
      <c r="X2700" s="393"/>
      <c r="Y2700" s="523">
        <v>1</v>
      </c>
      <c r="Z2700" s="497"/>
      <c r="AA2700" s="573">
        <v>17.873999999999999</v>
      </c>
      <c r="AB2700" s="394">
        <v>15.380789999999999</v>
      </c>
      <c r="AC2700" s="394">
        <v>14.418139999999999</v>
      </c>
      <c r="AD2700" s="394"/>
      <c r="AE2700" s="394"/>
      <c r="AF2700" s="394">
        <v>0</v>
      </c>
      <c r="AG2700" s="394">
        <v>0</v>
      </c>
      <c r="AH2700" s="394">
        <v>0.58123999999999998</v>
      </c>
      <c r="AI2700" s="394">
        <v>14.418139999999999</v>
      </c>
      <c r="AJ2700" s="394"/>
      <c r="AK2700" s="381" t="s">
        <v>167</v>
      </c>
      <c r="AL2700" s="408" t="s">
        <v>175</v>
      </c>
      <c r="AM2700" s="385"/>
      <c r="AN2700" s="475">
        <v>1493</v>
      </c>
      <c r="AO2700" s="395"/>
      <c r="AP2700" s="395">
        <f t="shared" si="1056"/>
        <v>17.873999999999999</v>
      </c>
      <c r="AQ2700" s="393"/>
      <c r="AR2700" s="523"/>
      <c r="AS2700" s="497"/>
      <c r="AT2700" s="573"/>
      <c r="AU2700" s="394"/>
      <c r="AV2700" s="394"/>
      <c r="AW2700" s="394"/>
      <c r="AX2700" s="394"/>
      <c r="AY2700" s="394"/>
      <c r="AZ2700" s="394"/>
      <c r="BA2700" s="394"/>
      <c r="BB2700" s="394"/>
      <c r="BC2700" s="394"/>
      <c r="BD2700" s="381"/>
      <c r="BE2700" s="408"/>
      <c r="BF2700" s="385"/>
      <c r="BG2700" s="475"/>
      <c r="BH2700" s="395"/>
      <c r="BI2700" s="395" t="e">
        <f t="shared" si="1055"/>
        <v>#DIV/0!</v>
      </c>
    </row>
    <row r="2701" spans="1:61" s="358" customFormat="1" ht="19.2" x14ac:dyDescent="0.3">
      <c r="A2701" s="359" t="s">
        <v>4508</v>
      </c>
      <c r="B2701" s="572" t="s">
        <v>4310</v>
      </c>
      <c r="C2701" s="546" t="s">
        <v>3459</v>
      </c>
      <c r="D2701" s="360">
        <v>0.4</v>
      </c>
      <c r="E2701" s="393"/>
      <c r="F2701" s="523"/>
      <c r="G2701" s="393"/>
      <c r="H2701" s="573"/>
      <c r="I2701" s="394"/>
      <c r="J2701" s="394"/>
      <c r="K2701" s="394"/>
      <c r="L2701" s="394"/>
      <c r="M2701" s="394"/>
      <c r="N2701" s="394"/>
      <c r="O2701" s="394"/>
      <c r="P2701" s="394"/>
      <c r="Q2701" s="394"/>
      <c r="R2701" s="381"/>
      <c r="S2701" s="408"/>
      <c r="T2701" s="385"/>
      <c r="U2701" s="475"/>
      <c r="V2701" s="395"/>
      <c r="W2701" s="395"/>
      <c r="X2701" s="393"/>
      <c r="Y2701" s="523">
        <v>1</v>
      </c>
      <c r="Z2701" s="497"/>
      <c r="AA2701" s="573">
        <v>17.873989999999999</v>
      </c>
      <c r="AB2701" s="394">
        <v>15.38078</v>
      </c>
      <c r="AC2701" s="394">
        <v>14.418139999999999</v>
      </c>
      <c r="AD2701" s="394"/>
      <c r="AE2701" s="394"/>
      <c r="AF2701" s="394">
        <v>0</v>
      </c>
      <c r="AG2701" s="394">
        <v>0</v>
      </c>
      <c r="AH2701" s="394">
        <v>0.58123999999999998</v>
      </c>
      <c r="AI2701" s="394">
        <v>14.418139999999999</v>
      </c>
      <c r="AJ2701" s="394"/>
      <c r="AK2701" s="381" t="s">
        <v>167</v>
      </c>
      <c r="AL2701" s="408" t="s">
        <v>175</v>
      </c>
      <c r="AM2701" s="385"/>
      <c r="AN2701" s="475">
        <v>1494</v>
      </c>
      <c r="AO2701" s="395"/>
      <c r="AP2701" s="395">
        <f t="shared" si="1056"/>
        <v>17.873989999999999</v>
      </c>
      <c r="AQ2701" s="393"/>
      <c r="AR2701" s="523"/>
      <c r="AS2701" s="497"/>
      <c r="AT2701" s="573"/>
      <c r="AU2701" s="394"/>
      <c r="AV2701" s="394"/>
      <c r="AW2701" s="394"/>
      <c r="AX2701" s="394"/>
      <c r="AY2701" s="394"/>
      <c r="AZ2701" s="394"/>
      <c r="BA2701" s="394"/>
      <c r="BB2701" s="394"/>
      <c r="BC2701" s="394"/>
      <c r="BD2701" s="381"/>
      <c r="BE2701" s="408"/>
      <c r="BF2701" s="385"/>
      <c r="BG2701" s="475"/>
      <c r="BH2701" s="395"/>
      <c r="BI2701" s="395" t="e">
        <f t="shared" si="1055"/>
        <v>#DIV/0!</v>
      </c>
    </row>
    <row r="2702" spans="1:61" s="358" customFormat="1" ht="19.2" x14ac:dyDescent="0.3">
      <c r="A2702" s="359" t="s">
        <v>4509</v>
      </c>
      <c r="B2702" s="572" t="s">
        <v>4311</v>
      </c>
      <c r="C2702" s="546" t="s">
        <v>3460</v>
      </c>
      <c r="D2702" s="360">
        <v>0.4</v>
      </c>
      <c r="E2702" s="393"/>
      <c r="F2702" s="523"/>
      <c r="G2702" s="393"/>
      <c r="H2702" s="573"/>
      <c r="I2702" s="394"/>
      <c r="J2702" s="394"/>
      <c r="K2702" s="394"/>
      <c r="L2702" s="394"/>
      <c r="M2702" s="394"/>
      <c r="N2702" s="394"/>
      <c r="O2702" s="394"/>
      <c r="P2702" s="394"/>
      <c r="Q2702" s="394"/>
      <c r="R2702" s="381"/>
      <c r="S2702" s="408"/>
      <c r="T2702" s="385"/>
      <c r="U2702" s="475"/>
      <c r="V2702" s="395"/>
      <c r="W2702" s="395"/>
      <c r="X2702" s="393"/>
      <c r="Y2702" s="523">
        <v>1</v>
      </c>
      <c r="Z2702" s="497"/>
      <c r="AA2702" s="573">
        <v>17.874030000000001</v>
      </c>
      <c r="AB2702" s="394">
        <v>15.38082</v>
      </c>
      <c r="AC2702" s="394">
        <v>14.418139999999999</v>
      </c>
      <c r="AD2702" s="394"/>
      <c r="AE2702" s="394"/>
      <c r="AF2702" s="394">
        <v>0</v>
      </c>
      <c r="AG2702" s="394">
        <v>0</v>
      </c>
      <c r="AH2702" s="394">
        <v>0.58123999999999998</v>
      </c>
      <c r="AI2702" s="394">
        <v>14.418139999999999</v>
      </c>
      <c r="AJ2702" s="394"/>
      <c r="AK2702" s="381" t="s">
        <v>167</v>
      </c>
      <c r="AL2702" s="408" t="s">
        <v>175</v>
      </c>
      <c r="AM2702" s="385"/>
      <c r="AN2702" s="475">
        <v>1495</v>
      </c>
      <c r="AO2702" s="395"/>
      <c r="AP2702" s="395">
        <f t="shared" si="1056"/>
        <v>17.874030000000001</v>
      </c>
      <c r="AQ2702" s="393"/>
      <c r="AR2702" s="523"/>
      <c r="AS2702" s="497"/>
      <c r="AT2702" s="573"/>
      <c r="AU2702" s="394"/>
      <c r="AV2702" s="394"/>
      <c r="AW2702" s="394"/>
      <c r="AX2702" s="394"/>
      <c r="AY2702" s="394"/>
      <c r="AZ2702" s="394"/>
      <c r="BA2702" s="394"/>
      <c r="BB2702" s="394"/>
      <c r="BC2702" s="394"/>
      <c r="BD2702" s="381"/>
      <c r="BE2702" s="408"/>
      <c r="BF2702" s="385"/>
      <c r="BG2702" s="475"/>
      <c r="BH2702" s="395"/>
      <c r="BI2702" s="395" t="e">
        <f t="shared" si="1055"/>
        <v>#DIV/0!</v>
      </c>
    </row>
    <row r="2703" spans="1:61" s="358" customFormat="1" ht="19.2" x14ac:dyDescent="0.3">
      <c r="A2703" s="359" t="s">
        <v>4526</v>
      </c>
      <c r="B2703" s="572" t="s">
        <v>4312</v>
      </c>
      <c r="C2703" s="546" t="s">
        <v>3461</v>
      </c>
      <c r="D2703" s="360">
        <v>0.4</v>
      </c>
      <c r="E2703" s="393"/>
      <c r="F2703" s="523"/>
      <c r="G2703" s="393"/>
      <c r="H2703" s="573"/>
      <c r="I2703" s="394"/>
      <c r="J2703" s="394"/>
      <c r="K2703" s="394"/>
      <c r="L2703" s="394"/>
      <c r="M2703" s="394"/>
      <c r="N2703" s="394"/>
      <c r="O2703" s="394"/>
      <c r="P2703" s="394"/>
      <c r="Q2703" s="394"/>
      <c r="R2703" s="381"/>
      <c r="S2703" s="408"/>
      <c r="T2703" s="385"/>
      <c r="U2703" s="475"/>
      <c r="V2703" s="395"/>
      <c r="W2703" s="395"/>
      <c r="X2703" s="393"/>
      <c r="Y2703" s="523">
        <v>1</v>
      </c>
      <c r="Z2703" s="497"/>
      <c r="AA2703" s="573">
        <v>18.009350000000001</v>
      </c>
      <c r="AB2703" s="394">
        <v>15.51614</v>
      </c>
      <c r="AC2703" s="394">
        <v>14.418150000000001</v>
      </c>
      <c r="AD2703" s="394"/>
      <c r="AE2703" s="394"/>
      <c r="AF2703" s="394">
        <v>0</v>
      </c>
      <c r="AG2703" s="394">
        <v>0</v>
      </c>
      <c r="AH2703" s="394">
        <v>0.58123999999999998</v>
      </c>
      <c r="AI2703" s="394">
        <v>14.418150000000001</v>
      </c>
      <c r="AJ2703" s="394"/>
      <c r="AK2703" s="381" t="s">
        <v>167</v>
      </c>
      <c r="AL2703" s="408" t="s">
        <v>175</v>
      </c>
      <c r="AM2703" s="385"/>
      <c r="AN2703" s="475">
        <v>1496</v>
      </c>
      <c r="AO2703" s="395"/>
      <c r="AP2703" s="395">
        <f t="shared" si="1056"/>
        <v>18.009350000000001</v>
      </c>
      <c r="AQ2703" s="393"/>
      <c r="AR2703" s="523"/>
      <c r="AS2703" s="497"/>
      <c r="AT2703" s="573"/>
      <c r="AU2703" s="394"/>
      <c r="AV2703" s="394"/>
      <c r="AW2703" s="394"/>
      <c r="AX2703" s="394"/>
      <c r="AY2703" s="394"/>
      <c r="AZ2703" s="394"/>
      <c r="BA2703" s="394"/>
      <c r="BB2703" s="394"/>
      <c r="BC2703" s="394"/>
      <c r="BD2703" s="381"/>
      <c r="BE2703" s="408"/>
      <c r="BF2703" s="385"/>
      <c r="BG2703" s="475"/>
      <c r="BH2703" s="395"/>
      <c r="BI2703" s="395" t="e">
        <f t="shared" si="1055"/>
        <v>#DIV/0!</v>
      </c>
    </row>
    <row r="2704" spans="1:61" s="358" customFormat="1" ht="19.2" x14ac:dyDescent="0.3">
      <c r="A2704" s="359" t="s">
        <v>4511</v>
      </c>
      <c r="B2704" s="572" t="s">
        <v>4313</v>
      </c>
      <c r="C2704" s="546" t="s">
        <v>3462</v>
      </c>
      <c r="D2704" s="360">
        <v>0.4</v>
      </c>
      <c r="E2704" s="393"/>
      <c r="F2704" s="523"/>
      <c r="G2704" s="393"/>
      <c r="H2704" s="573"/>
      <c r="I2704" s="394"/>
      <c r="J2704" s="394"/>
      <c r="K2704" s="394"/>
      <c r="L2704" s="394"/>
      <c r="M2704" s="394"/>
      <c r="N2704" s="394"/>
      <c r="O2704" s="394"/>
      <c r="P2704" s="394"/>
      <c r="Q2704" s="394"/>
      <c r="R2704" s="381"/>
      <c r="S2704" s="408"/>
      <c r="T2704" s="385"/>
      <c r="U2704" s="475"/>
      <c r="V2704" s="395"/>
      <c r="W2704" s="395"/>
      <c r="X2704" s="393"/>
      <c r="Y2704" s="523">
        <v>1</v>
      </c>
      <c r="Z2704" s="497"/>
      <c r="AA2704" s="573">
        <v>17.874030000000001</v>
      </c>
      <c r="AB2704" s="394">
        <v>15.38082</v>
      </c>
      <c r="AC2704" s="394">
        <v>14.418139999999999</v>
      </c>
      <c r="AD2704" s="394"/>
      <c r="AE2704" s="394"/>
      <c r="AF2704" s="394">
        <v>0</v>
      </c>
      <c r="AG2704" s="394">
        <v>0</v>
      </c>
      <c r="AH2704" s="394">
        <v>0.58123999999999998</v>
      </c>
      <c r="AI2704" s="394">
        <v>14.418139999999999</v>
      </c>
      <c r="AJ2704" s="394"/>
      <c r="AK2704" s="381" t="s">
        <v>167</v>
      </c>
      <c r="AL2704" s="408" t="s">
        <v>175</v>
      </c>
      <c r="AM2704" s="385"/>
      <c r="AN2704" s="475">
        <v>1497</v>
      </c>
      <c r="AO2704" s="395"/>
      <c r="AP2704" s="395">
        <f t="shared" si="1056"/>
        <v>17.874030000000001</v>
      </c>
      <c r="AQ2704" s="393"/>
      <c r="AR2704" s="523"/>
      <c r="AS2704" s="497"/>
      <c r="AT2704" s="573"/>
      <c r="AU2704" s="394"/>
      <c r="AV2704" s="394"/>
      <c r="AW2704" s="394"/>
      <c r="AX2704" s="394"/>
      <c r="AY2704" s="394"/>
      <c r="AZ2704" s="394"/>
      <c r="BA2704" s="394"/>
      <c r="BB2704" s="394"/>
      <c r="BC2704" s="394"/>
      <c r="BD2704" s="381"/>
      <c r="BE2704" s="408"/>
      <c r="BF2704" s="385"/>
      <c r="BG2704" s="475"/>
      <c r="BH2704" s="395"/>
      <c r="BI2704" s="395" t="e">
        <f t="shared" si="1055"/>
        <v>#DIV/0!</v>
      </c>
    </row>
    <row r="2705" spans="1:61" s="358" customFormat="1" ht="19.2" x14ac:dyDescent="0.3">
      <c r="A2705" s="359" t="s">
        <v>4512</v>
      </c>
      <c r="B2705" s="572" t="s">
        <v>4314</v>
      </c>
      <c r="C2705" s="546" t="s">
        <v>3463</v>
      </c>
      <c r="D2705" s="360">
        <v>0.4</v>
      </c>
      <c r="E2705" s="393"/>
      <c r="F2705" s="523"/>
      <c r="G2705" s="393"/>
      <c r="H2705" s="573"/>
      <c r="I2705" s="394"/>
      <c r="J2705" s="394"/>
      <c r="K2705" s="394"/>
      <c r="L2705" s="394"/>
      <c r="M2705" s="394"/>
      <c r="N2705" s="394"/>
      <c r="O2705" s="394"/>
      <c r="P2705" s="394"/>
      <c r="Q2705" s="394"/>
      <c r="R2705" s="381"/>
      <c r="S2705" s="408"/>
      <c r="T2705" s="385"/>
      <c r="U2705" s="475"/>
      <c r="V2705" s="395"/>
      <c r="W2705" s="395"/>
      <c r="X2705" s="393"/>
      <c r="Y2705" s="523">
        <v>1</v>
      </c>
      <c r="Z2705" s="497"/>
      <c r="AA2705" s="573">
        <v>17.873999999999999</v>
      </c>
      <c r="AB2705" s="394">
        <v>15.380789999999999</v>
      </c>
      <c r="AC2705" s="394">
        <v>14.418139999999999</v>
      </c>
      <c r="AD2705" s="394"/>
      <c r="AE2705" s="394"/>
      <c r="AF2705" s="394">
        <v>0</v>
      </c>
      <c r="AG2705" s="394">
        <v>0</v>
      </c>
      <c r="AH2705" s="394">
        <v>0.58123999999999998</v>
      </c>
      <c r="AI2705" s="394">
        <v>14.418139999999999</v>
      </c>
      <c r="AJ2705" s="394"/>
      <c r="AK2705" s="381" t="s">
        <v>167</v>
      </c>
      <c r="AL2705" s="408" t="s">
        <v>175</v>
      </c>
      <c r="AM2705" s="385"/>
      <c r="AN2705" s="475">
        <v>1498</v>
      </c>
      <c r="AO2705" s="395"/>
      <c r="AP2705" s="395">
        <f t="shared" si="1056"/>
        <v>17.873999999999999</v>
      </c>
      <c r="AQ2705" s="393"/>
      <c r="AR2705" s="523"/>
      <c r="AS2705" s="497"/>
      <c r="AT2705" s="573"/>
      <c r="AU2705" s="394"/>
      <c r="AV2705" s="394"/>
      <c r="AW2705" s="394"/>
      <c r="AX2705" s="394"/>
      <c r="AY2705" s="394"/>
      <c r="AZ2705" s="394"/>
      <c r="BA2705" s="394"/>
      <c r="BB2705" s="394"/>
      <c r="BC2705" s="394"/>
      <c r="BD2705" s="381"/>
      <c r="BE2705" s="408"/>
      <c r="BF2705" s="385"/>
      <c r="BG2705" s="475"/>
      <c r="BH2705" s="395"/>
      <c r="BI2705" s="395" t="e">
        <f t="shared" si="1055"/>
        <v>#DIV/0!</v>
      </c>
    </row>
    <row r="2706" spans="1:61" s="358" customFormat="1" ht="19.2" x14ac:dyDescent="0.3">
      <c r="A2706" s="359" t="s">
        <v>4497</v>
      </c>
      <c r="B2706" s="572" t="s">
        <v>4315</v>
      </c>
      <c r="C2706" s="546" t="s">
        <v>3464</v>
      </c>
      <c r="D2706" s="360">
        <v>0.4</v>
      </c>
      <c r="E2706" s="393"/>
      <c r="F2706" s="523"/>
      <c r="G2706" s="393"/>
      <c r="H2706" s="573"/>
      <c r="I2706" s="394"/>
      <c r="J2706" s="394"/>
      <c r="K2706" s="394"/>
      <c r="L2706" s="394"/>
      <c r="M2706" s="394"/>
      <c r="N2706" s="394"/>
      <c r="O2706" s="394"/>
      <c r="P2706" s="394"/>
      <c r="Q2706" s="394"/>
      <c r="R2706" s="381"/>
      <c r="S2706" s="408"/>
      <c r="T2706" s="385"/>
      <c r="U2706" s="475"/>
      <c r="V2706" s="395"/>
      <c r="W2706" s="395"/>
      <c r="X2706" s="393"/>
      <c r="Y2706" s="523">
        <v>1</v>
      </c>
      <c r="Z2706" s="497"/>
      <c r="AA2706" s="573">
        <v>17.873989999999999</v>
      </c>
      <c r="AB2706" s="394">
        <v>15.38078</v>
      </c>
      <c r="AC2706" s="394">
        <v>14.418139999999999</v>
      </c>
      <c r="AD2706" s="394"/>
      <c r="AE2706" s="394"/>
      <c r="AF2706" s="394">
        <v>0</v>
      </c>
      <c r="AG2706" s="394">
        <v>0</v>
      </c>
      <c r="AH2706" s="394">
        <v>0.58123999999999998</v>
      </c>
      <c r="AI2706" s="394">
        <v>14.418139999999999</v>
      </c>
      <c r="AJ2706" s="394"/>
      <c r="AK2706" s="381" t="s">
        <v>167</v>
      </c>
      <c r="AL2706" s="408" t="s">
        <v>175</v>
      </c>
      <c r="AM2706" s="385"/>
      <c r="AN2706" s="475">
        <v>1499</v>
      </c>
      <c r="AO2706" s="395"/>
      <c r="AP2706" s="395">
        <f t="shared" si="1056"/>
        <v>17.873989999999999</v>
      </c>
      <c r="AQ2706" s="393"/>
      <c r="AR2706" s="523"/>
      <c r="AS2706" s="497"/>
      <c r="AT2706" s="573"/>
      <c r="AU2706" s="394"/>
      <c r="AV2706" s="394"/>
      <c r="AW2706" s="394"/>
      <c r="AX2706" s="394"/>
      <c r="AY2706" s="394"/>
      <c r="AZ2706" s="394"/>
      <c r="BA2706" s="394"/>
      <c r="BB2706" s="394"/>
      <c r="BC2706" s="394"/>
      <c r="BD2706" s="381"/>
      <c r="BE2706" s="408"/>
      <c r="BF2706" s="385"/>
      <c r="BG2706" s="475"/>
      <c r="BH2706" s="395"/>
      <c r="BI2706" s="395" t="e">
        <f t="shared" si="1055"/>
        <v>#DIV/0!</v>
      </c>
    </row>
    <row r="2707" spans="1:61" s="358" customFormat="1" ht="19.2" x14ac:dyDescent="0.3">
      <c r="A2707" s="359" t="s">
        <v>4514</v>
      </c>
      <c r="B2707" s="572" t="s">
        <v>4316</v>
      </c>
      <c r="C2707" s="546" t="s">
        <v>3465</v>
      </c>
      <c r="D2707" s="360">
        <v>0.4</v>
      </c>
      <c r="E2707" s="393"/>
      <c r="F2707" s="523"/>
      <c r="G2707" s="393"/>
      <c r="H2707" s="573"/>
      <c r="I2707" s="394"/>
      <c r="J2707" s="394"/>
      <c r="K2707" s="394"/>
      <c r="L2707" s="394"/>
      <c r="M2707" s="394"/>
      <c r="N2707" s="394"/>
      <c r="O2707" s="394"/>
      <c r="P2707" s="394"/>
      <c r="Q2707" s="394"/>
      <c r="R2707" s="381"/>
      <c r="S2707" s="408"/>
      <c r="T2707" s="385"/>
      <c r="U2707" s="475"/>
      <c r="V2707" s="395"/>
      <c r="W2707" s="395"/>
      <c r="X2707" s="393"/>
      <c r="Y2707" s="523">
        <v>1</v>
      </c>
      <c r="Z2707" s="497"/>
      <c r="AA2707" s="573">
        <v>17.874020000000002</v>
      </c>
      <c r="AB2707" s="394">
        <v>15.38081</v>
      </c>
      <c r="AC2707" s="394">
        <v>14.418139999999999</v>
      </c>
      <c r="AD2707" s="394"/>
      <c r="AE2707" s="394"/>
      <c r="AF2707" s="394">
        <v>0</v>
      </c>
      <c r="AG2707" s="394">
        <v>0</v>
      </c>
      <c r="AH2707" s="394">
        <v>0.58123999999999998</v>
      </c>
      <c r="AI2707" s="394">
        <v>14.418139999999999</v>
      </c>
      <c r="AJ2707" s="394"/>
      <c r="AK2707" s="381" t="s">
        <v>167</v>
      </c>
      <c r="AL2707" s="408" t="s">
        <v>175</v>
      </c>
      <c r="AM2707" s="385"/>
      <c r="AN2707" s="475">
        <v>1500</v>
      </c>
      <c r="AO2707" s="395"/>
      <c r="AP2707" s="395">
        <f t="shared" si="1056"/>
        <v>17.874020000000002</v>
      </c>
      <c r="AQ2707" s="393"/>
      <c r="AR2707" s="523"/>
      <c r="AS2707" s="497"/>
      <c r="AT2707" s="573"/>
      <c r="AU2707" s="394"/>
      <c r="AV2707" s="394"/>
      <c r="AW2707" s="394"/>
      <c r="AX2707" s="394"/>
      <c r="AY2707" s="394"/>
      <c r="AZ2707" s="394"/>
      <c r="BA2707" s="394"/>
      <c r="BB2707" s="394"/>
      <c r="BC2707" s="394"/>
      <c r="BD2707" s="381"/>
      <c r="BE2707" s="408"/>
      <c r="BF2707" s="385"/>
      <c r="BG2707" s="475"/>
      <c r="BH2707" s="395"/>
      <c r="BI2707" s="395" t="e">
        <f t="shared" si="1055"/>
        <v>#DIV/0!</v>
      </c>
    </row>
    <row r="2708" spans="1:61" s="358" customFormat="1" ht="19.2" x14ac:dyDescent="0.3">
      <c r="A2708" s="359" t="s">
        <v>4515</v>
      </c>
      <c r="B2708" s="572" t="s">
        <v>4317</v>
      </c>
      <c r="C2708" s="546" t="s">
        <v>3466</v>
      </c>
      <c r="D2708" s="360">
        <v>0.4</v>
      </c>
      <c r="E2708" s="393"/>
      <c r="F2708" s="523"/>
      <c r="G2708" s="393"/>
      <c r="H2708" s="573"/>
      <c r="I2708" s="394"/>
      <c r="J2708" s="394"/>
      <c r="K2708" s="394"/>
      <c r="L2708" s="394"/>
      <c r="M2708" s="394"/>
      <c r="N2708" s="394"/>
      <c r="O2708" s="394"/>
      <c r="P2708" s="394"/>
      <c r="Q2708" s="394"/>
      <c r="R2708" s="381"/>
      <c r="S2708" s="408"/>
      <c r="T2708" s="385"/>
      <c r="U2708" s="475"/>
      <c r="V2708" s="395"/>
      <c r="W2708" s="395"/>
      <c r="X2708" s="393"/>
      <c r="Y2708" s="523">
        <v>1</v>
      </c>
      <c r="Z2708" s="497"/>
      <c r="AA2708" s="573">
        <v>17.874030000000001</v>
      </c>
      <c r="AB2708" s="394">
        <v>15.38082</v>
      </c>
      <c r="AC2708" s="394">
        <v>14.418139999999999</v>
      </c>
      <c r="AD2708" s="394"/>
      <c r="AE2708" s="394"/>
      <c r="AF2708" s="394">
        <v>0</v>
      </c>
      <c r="AG2708" s="394">
        <v>0</v>
      </c>
      <c r="AH2708" s="394">
        <v>0.58123999999999998</v>
      </c>
      <c r="AI2708" s="394">
        <v>14.418139999999999</v>
      </c>
      <c r="AJ2708" s="394"/>
      <c r="AK2708" s="381" t="s">
        <v>167</v>
      </c>
      <c r="AL2708" s="408" t="s">
        <v>175</v>
      </c>
      <c r="AM2708" s="385"/>
      <c r="AN2708" s="475">
        <v>1501</v>
      </c>
      <c r="AO2708" s="395"/>
      <c r="AP2708" s="395">
        <f t="shared" si="1056"/>
        <v>17.874030000000001</v>
      </c>
      <c r="AQ2708" s="393"/>
      <c r="AR2708" s="523"/>
      <c r="AS2708" s="497"/>
      <c r="AT2708" s="573"/>
      <c r="AU2708" s="394"/>
      <c r="AV2708" s="394"/>
      <c r="AW2708" s="394"/>
      <c r="AX2708" s="394"/>
      <c r="AY2708" s="394"/>
      <c r="AZ2708" s="394"/>
      <c r="BA2708" s="394"/>
      <c r="BB2708" s="394"/>
      <c r="BC2708" s="394"/>
      <c r="BD2708" s="381"/>
      <c r="BE2708" s="408"/>
      <c r="BF2708" s="385"/>
      <c r="BG2708" s="475"/>
      <c r="BH2708" s="395"/>
      <c r="BI2708" s="395" t="e">
        <f t="shared" si="1055"/>
        <v>#DIV/0!</v>
      </c>
    </row>
    <row r="2709" spans="1:61" s="358" customFormat="1" ht="19.2" x14ac:dyDescent="0.3">
      <c r="A2709" s="359" t="s">
        <v>4516</v>
      </c>
      <c r="B2709" s="572" t="s">
        <v>4318</v>
      </c>
      <c r="C2709" s="546" t="s">
        <v>3467</v>
      </c>
      <c r="D2709" s="360">
        <v>0.4</v>
      </c>
      <c r="E2709" s="393"/>
      <c r="F2709" s="523"/>
      <c r="G2709" s="393"/>
      <c r="H2709" s="573"/>
      <c r="I2709" s="394"/>
      <c r="J2709" s="394"/>
      <c r="K2709" s="394"/>
      <c r="L2709" s="394"/>
      <c r="M2709" s="394"/>
      <c r="N2709" s="394"/>
      <c r="O2709" s="394"/>
      <c r="P2709" s="394"/>
      <c r="Q2709" s="394"/>
      <c r="R2709" s="381"/>
      <c r="S2709" s="408"/>
      <c r="T2709" s="385"/>
      <c r="U2709" s="475"/>
      <c r="V2709" s="395"/>
      <c r="W2709" s="395"/>
      <c r="X2709" s="393"/>
      <c r="Y2709" s="523">
        <v>1</v>
      </c>
      <c r="Z2709" s="497"/>
      <c r="AA2709" s="573">
        <v>17.873989999999999</v>
      </c>
      <c r="AB2709" s="394">
        <v>15.38078</v>
      </c>
      <c r="AC2709" s="394">
        <v>14.418139999999999</v>
      </c>
      <c r="AD2709" s="394"/>
      <c r="AE2709" s="394"/>
      <c r="AF2709" s="394">
        <v>0</v>
      </c>
      <c r="AG2709" s="394">
        <v>0</v>
      </c>
      <c r="AH2709" s="394">
        <v>0.58123999999999998</v>
      </c>
      <c r="AI2709" s="394">
        <v>14.418139999999999</v>
      </c>
      <c r="AJ2709" s="394"/>
      <c r="AK2709" s="381" t="s">
        <v>167</v>
      </c>
      <c r="AL2709" s="408" t="s">
        <v>175</v>
      </c>
      <c r="AM2709" s="385"/>
      <c r="AN2709" s="475">
        <v>1502</v>
      </c>
      <c r="AO2709" s="395"/>
      <c r="AP2709" s="395">
        <f t="shared" si="1056"/>
        <v>17.873989999999999</v>
      </c>
      <c r="AQ2709" s="393"/>
      <c r="AR2709" s="523"/>
      <c r="AS2709" s="497"/>
      <c r="AT2709" s="573"/>
      <c r="AU2709" s="394"/>
      <c r="AV2709" s="394"/>
      <c r="AW2709" s="394"/>
      <c r="AX2709" s="394"/>
      <c r="AY2709" s="394"/>
      <c r="AZ2709" s="394"/>
      <c r="BA2709" s="394"/>
      <c r="BB2709" s="394"/>
      <c r="BC2709" s="394"/>
      <c r="BD2709" s="381"/>
      <c r="BE2709" s="408"/>
      <c r="BF2709" s="385"/>
      <c r="BG2709" s="475"/>
      <c r="BH2709" s="395"/>
      <c r="BI2709" s="395" t="e">
        <f t="shared" si="1055"/>
        <v>#DIV/0!</v>
      </c>
    </row>
    <row r="2710" spans="1:61" s="358" customFormat="1" ht="19.2" x14ac:dyDescent="0.3">
      <c r="A2710" s="359" t="s">
        <v>4517</v>
      </c>
      <c r="B2710" s="572" t="s">
        <v>4319</v>
      </c>
      <c r="C2710" s="546" t="s">
        <v>3468</v>
      </c>
      <c r="D2710" s="360">
        <v>0.4</v>
      </c>
      <c r="E2710" s="393"/>
      <c r="F2710" s="523"/>
      <c r="G2710" s="393"/>
      <c r="H2710" s="573"/>
      <c r="I2710" s="394"/>
      <c r="J2710" s="394"/>
      <c r="K2710" s="394"/>
      <c r="L2710" s="394"/>
      <c r="M2710" s="394"/>
      <c r="N2710" s="394"/>
      <c r="O2710" s="394"/>
      <c r="P2710" s="394"/>
      <c r="Q2710" s="394"/>
      <c r="R2710" s="381"/>
      <c r="S2710" s="408"/>
      <c r="T2710" s="385"/>
      <c r="U2710" s="475"/>
      <c r="V2710" s="395"/>
      <c r="W2710" s="395"/>
      <c r="X2710" s="393"/>
      <c r="Y2710" s="523">
        <v>1</v>
      </c>
      <c r="Z2710" s="497"/>
      <c r="AA2710" s="573">
        <v>17.874020000000002</v>
      </c>
      <c r="AB2710" s="394">
        <v>15.38081</v>
      </c>
      <c r="AC2710" s="394">
        <v>14.418139999999999</v>
      </c>
      <c r="AD2710" s="394"/>
      <c r="AE2710" s="394"/>
      <c r="AF2710" s="394">
        <v>0</v>
      </c>
      <c r="AG2710" s="394">
        <v>0</v>
      </c>
      <c r="AH2710" s="394">
        <v>0.58123999999999998</v>
      </c>
      <c r="AI2710" s="394">
        <v>14.418139999999999</v>
      </c>
      <c r="AJ2710" s="394"/>
      <c r="AK2710" s="381" t="s">
        <v>167</v>
      </c>
      <c r="AL2710" s="408" t="s">
        <v>175</v>
      </c>
      <c r="AM2710" s="385"/>
      <c r="AN2710" s="475">
        <v>1503</v>
      </c>
      <c r="AO2710" s="395"/>
      <c r="AP2710" s="395">
        <f t="shared" si="1056"/>
        <v>17.874020000000002</v>
      </c>
      <c r="AQ2710" s="393"/>
      <c r="AR2710" s="523"/>
      <c r="AS2710" s="497"/>
      <c r="AT2710" s="573"/>
      <c r="AU2710" s="394"/>
      <c r="AV2710" s="394"/>
      <c r="AW2710" s="394"/>
      <c r="AX2710" s="394"/>
      <c r="AY2710" s="394"/>
      <c r="AZ2710" s="394"/>
      <c r="BA2710" s="394"/>
      <c r="BB2710" s="394"/>
      <c r="BC2710" s="394"/>
      <c r="BD2710" s="381"/>
      <c r="BE2710" s="408"/>
      <c r="BF2710" s="385"/>
      <c r="BG2710" s="475"/>
      <c r="BH2710" s="395"/>
      <c r="BI2710" s="395" t="e">
        <f t="shared" si="1055"/>
        <v>#DIV/0!</v>
      </c>
    </row>
    <row r="2711" spans="1:61" s="358" customFormat="1" ht="19.2" x14ac:dyDescent="0.3">
      <c r="A2711" s="359" t="s">
        <v>4518</v>
      </c>
      <c r="B2711" s="572" t="s">
        <v>4320</v>
      </c>
      <c r="C2711" s="546" t="s">
        <v>3469</v>
      </c>
      <c r="D2711" s="360">
        <v>0.4</v>
      </c>
      <c r="E2711" s="393"/>
      <c r="F2711" s="523"/>
      <c r="G2711" s="393"/>
      <c r="H2711" s="573"/>
      <c r="I2711" s="394"/>
      <c r="J2711" s="394"/>
      <c r="K2711" s="394"/>
      <c r="L2711" s="394"/>
      <c r="M2711" s="394"/>
      <c r="N2711" s="394"/>
      <c r="O2711" s="394"/>
      <c r="P2711" s="394"/>
      <c r="Q2711" s="394"/>
      <c r="R2711" s="381"/>
      <c r="S2711" s="408"/>
      <c r="T2711" s="385"/>
      <c r="U2711" s="475"/>
      <c r="V2711" s="395"/>
      <c r="W2711" s="395"/>
      <c r="X2711" s="393"/>
      <c r="Y2711" s="523">
        <v>1</v>
      </c>
      <c r="Z2711" s="497"/>
      <c r="AA2711" s="573">
        <v>17.873999999999999</v>
      </c>
      <c r="AB2711" s="394">
        <v>15.380789999999999</v>
      </c>
      <c r="AC2711" s="394">
        <v>14.418139999999999</v>
      </c>
      <c r="AD2711" s="394"/>
      <c r="AE2711" s="394"/>
      <c r="AF2711" s="394">
        <v>0</v>
      </c>
      <c r="AG2711" s="394">
        <v>0</v>
      </c>
      <c r="AH2711" s="394">
        <v>0.58123999999999998</v>
      </c>
      <c r="AI2711" s="394">
        <v>14.418139999999999</v>
      </c>
      <c r="AJ2711" s="394"/>
      <c r="AK2711" s="381" t="s">
        <v>167</v>
      </c>
      <c r="AL2711" s="408" t="s">
        <v>175</v>
      </c>
      <c r="AM2711" s="385"/>
      <c r="AN2711" s="475">
        <v>1504</v>
      </c>
      <c r="AO2711" s="395"/>
      <c r="AP2711" s="395">
        <f t="shared" si="1056"/>
        <v>17.873999999999999</v>
      </c>
      <c r="AQ2711" s="393"/>
      <c r="AR2711" s="523"/>
      <c r="AS2711" s="497"/>
      <c r="AT2711" s="573"/>
      <c r="AU2711" s="394"/>
      <c r="AV2711" s="394"/>
      <c r="AW2711" s="394"/>
      <c r="AX2711" s="394"/>
      <c r="AY2711" s="394"/>
      <c r="AZ2711" s="394"/>
      <c r="BA2711" s="394"/>
      <c r="BB2711" s="394"/>
      <c r="BC2711" s="394"/>
      <c r="BD2711" s="381"/>
      <c r="BE2711" s="408"/>
      <c r="BF2711" s="385"/>
      <c r="BG2711" s="475"/>
      <c r="BH2711" s="395"/>
      <c r="BI2711" s="395" t="e">
        <f t="shared" si="1055"/>
        <v>#DIV/0!</v>
      </c>
    </row>
    <row r="2712" spans="1:61" s="358" customFormat="1" ht="19.2" x14ac:dyDescent="0.3">
      <c r="A2712" s="359" t="s">
        <v>4519</v>
      </c>
      <c r="B2712" s="572" t="s">
        <v>4321</v>
      </c>
      <c r="C2712" s="546" t="s">
        <v>3470</v>
      </c>
      <c r="D2712" s="360">
        <v>0.4</v>
      </c>
      <c r="E2712" s="393"/>
      <c r="F2712" s="523"/>
      <c r="G2712" s="393"/>
      <c r="H2712" s="573"/>
      <c r="I2712" s="394"/>
      <c r="J2712" s="394"/>
      <c r="K2712" s="394"/>
      <c r="L2712" s="394"/>
      <c r="M2712" s="394"/>
      <c r="N2712" s="394"/>
      <c r="O2712" s="394"/>
      <c r="P2712" s="394"/>
      <c r="Q2712" s="394"/>
      <c r="R2712" s="381"/>
      <c r="S2712" s="408"/>
      <c r="T2712" s="385"/>
      <c r="U2712" s="475"/>
      <c r="V2712" s="395"/>
      <c r="W2712" s="395"/>
      <c r="X2712" s="393"/>
      <c r="Y2712" s="523">
        <v>1</v>
      </c>
      <c r="Z2712" s="497"/>
      <c r="AA2712" s="573">
        <v>17.873989999999999</v>
      </c>
      <c r="AB2712" s="394">
        <v>15.38078</v>
      </c>
      <c r="AC2712" s="394">
        <v>14.418139999999999</v>
      </c>
      <c r="AD2712" s="394"/>
      <c r="AE2712" s="394"/>
      <c r="AF2712" s="394">
        <v>0</v>
      </c>
      <c r="AG2712" s="394">
        <v>0</v>
      </c>
      <c r="AH2712" s="394">
        <v>0.58123999999999998</v>
      </c>
      <c r="AI2712" s="394">
        <v>14.418139999999999</v>
      </c>
      <c r="AJ2712" s="394"/>
      <c r="AK2712" s="381" t="s">
        <v>167</v>
      </c>
      <c r="AL2712" s="408" t="s">
        <v>175</v>
      </c>
      <c r="AM2712" s="385"/>
      <c r="AN2712" s="475">
        <v>1505</v>
      </c>
      <c r="AO2712" s="395"/>
      <c r="AP2712" s="395">
        <f t="shared" si="1056"/>
        <v>17.873989999999999</v>
      </c>
      <c r="AQ2712" s="393"/>
      <c r="AR2712" s="523"/>
      <c r="AS2712" s="497"/>
      <c r="AT2712" s="573"/>
      <c r="AU2712" s="394"/>
      <c r="AV2712" s="394"/>
      <c r="AW2712" s="394"/>
      <c r="AX2712" s="394"/>
      <c r="AY2712" s="394"/>
      <c r="AZ2712" s="394"/>
      <c r="BA2712" s="394"/>
      <c r="BB2712" s="394"/>
      <c r="BC2712" s="394"/>
      <c r="BD2712" s="381"/>
      <c r="BE2712" s="408"/>
      <c r="BF2712" s="385"/>
      <c r="BG2712" s="475"/>
      <c r="BH2712" s="395"/>
      <c r="BI2712" s="395" t="e">
        <f t="shared" si="1055"/>
        <v>#DIV/0!</v>
      </c>
    </row>
    <row r="2713" spans="1:61" s="358" customFormat="1" ht="19.2" x14ac:dyDescent="0.3">
      <c r="A2713" s="359" t="s">
        <v>4520</v>
      </c>
      <c r="B2713" s="572" t="s">
        <v>2562</v>
      </c>
      <c r="C2713" s="546" t="s">
        <v>2561</v>
      </c>
      <c r="D2713" s="360">
        <v>0.4</v>
      </c>
      <c r="E2713" s="393"/>
      <c r="F2713" s="523"/>
      <c r="G2713" s="393"/>
      <c r="H2713" s="573"/>
      <c r="I2713" s="394"/>
      <c r="J2713" s="394"/>
      <c r="K2713" s="394"/>
      <c r="L2713" s="394"/>
      <c r="M2713" s="394"/>
      <c r="N2713" s="394"/>
      <c r="O2713" s="394"/>
      <c r="P2713" s="394"/>
      <c r="Q2713" s="394"/>
      <c r="R2713" s="381"/>
      <c r="S2713" s="408"/>
      <c r="T2713" s="385"/>
      <c r="U2713" s="475"/>
      <c r="V2713" s="395"/>
      <c r="W2713" s="395"/>
      <c r="X2713" s="393"/>
      <c r="Y2713" s="523">
        <v>1</v>
      </c>
      <c r="Z2713" s="497"/>
      <c r="AA2713" s="573">
        <v>17.873989999999999</v>
      </c>
      <c r="AB2713" s="394">
        <v>15.38078</v>
      </c>
      <c r="AC2713" s="394">
        <v>14.418139999999999</v>
      </c>
      <c r="AD2713" s="394"/>
      <c r="AE2713" s="394"/>
      <c r="AF2713" s="394">
        <v>0</v>
      </c>
      <c r="AG2713" s="394">
        <v>0</v>
      </c>
      <c r="AH2713" s="394">
        <v>0.58123999999999998</v>
      </c>
      <c r="AI2713" s="394">
        <v>14.418139999999999</v>
      </c>
      <c r="AJ2713" s="394"/>
      <c r="AK2713" s="381" t="s">
        <v>167</v>
      </c>
      <c r="AL2713" s="408" t="s">
        <v>175</v>
      </c>
      <c r="AM2713" s="385"/>
      <c r="AN2713" s="475">
        <v>1506</v>
      </c>
      <c r="AO2713" s="395"/>
      <c r="AP2713" s="395">
        <f t="shared" si="1056"/>
        <v>17.873989999999999</v>
      </c>
      <c r="AQ2713" s="393"/>
      <c r="AR2713" s="523"/>
      <c r="AS2713" s="497"/>
      <c r="AT2713" s="573"/>
      <c r="AU2713" s="394"/>
      <c r="AV2713" s="394"/>
      <c r="AW2713" s="394"/>
      <c r="AX2713" s="394"/>
      <c r="AY2713" s="394"/>
      <c r="AZ2713" s="394"/>
      <c r="BA2713" s="394"/>
      <c r="BB2713" s="394"/>
      <c r="BC2713" s="394"/>
      <c r="BD2713" s="381"/>
      <c r="BE2713" s="408"/>
      <c r="BF2713" s="385"/>
      <c r="BG2713" s="475"/>
      <c r="BH2713" s="395"/>
      <c r="BI2713" s="395" t="e">
        <f t="shared" si="1055"/>
        <v>#DIV/0!</v>
      </c>
    </row>
    <row r="2714" spans="1:61" s="358" customFormat="1" ht="19.2" x14ac:dyDescent="0.3">
      <c r="A2714" s="359" t="s">
        <v>4521</v>
      </c>
      <c r="B2714" s="572" t="s">
        <v>4322</v>
      </c>
      <c r="C2714" s="546" t="s">
        <v>3473</v>
      </c>
      <c r="D2714" s="360">
        <v>0.4</v>
      </c>
      <c r="E2714" s="393"/>
      <c r="F2714" s="523"/>
      <c r="G2714" s="393"/>
      <c r="H2714" s="573"/>
      <c r="I2714" s="394"/>
      <c r="J2714" s="394"/>
      <c r="K2714" s="394"/>
      <c r="L2714" s="394"/>
      <c r="M2714" s="394"/>
      <c r="N2714" s="394"/>
      <c r="O2714" s="394"/>
      <c r="P2714" s="394"/>
      <c r="Q2714" s="394"/>
      <c r="R2714" s="381"/>
      <c r="S2714" s="408"/>
      <c r="T2714" s="385"/>
      <c r="U2714" s="475"/>
      <c r="V2714" s="395"/>
      <c r="W2714" s="395"/>
      <c r="X2714" s="393"/>
      <c r="Y2714" s="523">
        <v>1</v>
      </c>
      <c r="Z2714" s="497"/>
      <c r="AA2714" s="573">
        <v>18.009360000000001</v>
      </c>
      <c r="AB2714" s="394">
        <v>15.51615</v>
      </c>
      <c r="AC2714" s="394">
        <v>14.418150000000001</v>
      </c>
      <c r="AD2714" s="394"/>
      <c r="AE2714" s="394"/>
      <c r="AF2714" s="394">
        <v>0</v>
      </c>
      <c r="AG2714" s="394">
        <v>0</v>
      </c>
      <c r="AH2714" s="394">
        <v>0.58123999999999998</v>
      </c>
      <c r="AI2714" s="394">
        <v>14.418150000000001</v>
      </c>
      <c r="AJ2714" s="394"/>
      <c r="AK2714" s="381" t="s">
        <v>167</v>
      </c>
      <c r="AL2714" s="408" t="s">
        <v>175</v>
      </c>
      <c r="AM2714" s="385"/>
      <c r="AN2714" s="475">
        <v>1507</v>
      </c>
      <c r="AO2714" s="395"/>
      <c r="AP2714" s="395">
        <f t="shared" si="1056"/>
        <v>18.009360000000001</v>
      </c>
      <c r="AQ2714" s="393"/>
      <c r="AR2714" s="523"/>
      <c r="AS2714" s="497"/>
      <c r="AT2714" s="573"/>
      <c r="AU2714" s="394"/>
      <c r="AV2714" s="394"/>
      <c r="AW2714" s="394"/>
      <c r="AX2714" s="394"/>
      <c r="AY2714" s="394"/>
      <c r="AZ2714" s="394"/>
      <c r="BA2714" s="394"/>
      <c r="BB2714" s="394"/>
      <c r="BC2714" s="394"/>
      <c r="BD2714" s="381"/>
      <c r="BE2714" s="408"/>
      <c r="BF2714" s="385"/>
      <c r="BG2714" s="475"/>
      <c r="BH2714" s="395"/>
      <c r="BI2714" s="395" t="e">
        <f t="shared" si="1055"/>
        <v>#DIV/0!</v>
      </c>
    </row>
    <row r="2715" spans="1:61" s="358" customFormat="1" ht="19.2" x14ac:dyDescent="0.3">
      <c r="A2715" s="359" t="s">
        <v>4538</v>
      </c>
      <c r="B2715" s="572" t="s">
        <v>4323</v>
      </c>
      <c r="C2715" s="546" t="s">
        <v>3474</v>
      </c>
      <c r="D2715" s="360">
        <v>0.4</v>
      </c>
      <c r="E2715" s="393"/>
      <c r="F2715" s="523"/>
      <c r="G2715" s="393"/>
      <c r="H2715" s="573"/>
      <c r="I2715" s="394"/>
      <c r="J2715" s="394"/>
      <c r="K2715" s="394"/>
      <c r="L2715" s="394"/>
      <c r="M2715" s="394"/>
      <c r="N2715" s="394"/>
      <c r="O2715" s="394"/>
      <c r="P2715" s="394"/>
      <c r="Q2715" s="394"/>
      <c r="R2715" s="381"/>
      <c r="S2715" s="408"/>
      <c r="T2715" s="385"/>
      <c r="U2715" s="475"/>
      <c r="V2715" s="395"/>
      <c r="W2715" s="395"/>
      <c r="X2715" s="393"/>
      <c r="Y2715" s="523">
        <v>1</v>
      </c>
      <c r="Z2715" s="497"/>
      <c r="AA2715" s="573">
        <v>18.009350000000001</v>
      </c>
      <c r="AB2715" s="394">
        <v>15.51614</v>
      </c>
      <c r="AC2715" s="394">
        <v>14.418150000000001</v>
      </c>
      <c r="AD2715" s="394"/>
      <c r="AE2715" s="394"/>
      <c r="AF2715" s="394">
        <v>0</v>
      </c>
      <c r="AG2715" s="394">
        <v>0</v>
      </c>
      <c r="AH2715" s="394">
        <v>0.58123999999999998</v>
      </c>
      <c r="AI2715" s="394">
        <v>14.418150000000001</v>
      </c>
      <c r="AJ2715" s="394"/>
      <c r="AK2715" s="381" t="s">
        <v>167</v>
      </c>
      <c r="AL2715" s="408" t="s">
        <v>175</v>
      </c>
      <c r="AM2715" s="385"/>
      <c r="AN2715" s="475">
        <v>1508</v>
      </c>
      <c r="AO2715" s="395"/>
      <c r="AP2715" s="395">
        <f t="shared" si="1056"/>
        <v>18.009350000000001</v>
      </c>
      <c r="AQ2715" s="393"/>
      <c r="AR2715" s="523"/>
      <c r="AS2715" s="497"/>
      <c r="AT2715" s="573"/>
      <c r="AU2715" s="394"/>
      <c r="AV2715" s="394"/>
      <c r="AW2715" s="394"/>
      <c r="AX2715" s="394"/>
      <c r="AY2715" s="394"/>
      <c r="AZ2715" s="394"/>
      <c r="BA2715" s="394"/>
      <c r="BB2715" s="394"/>
      <c r="BC2715" s="394"/>
      <c r="BD2715" s="381"/>
      <c r="BE2715" s="408"/>
      <c r="BF2715" s="385"/>
      <c r="BG2715" s="475"/>
      <c r="BH2715" s="395"/>
      <c r="BI2715" s="395" t="e">
        <f t="shared" si="1055"/>
        <v>#DIV/0!</v>
      </c>
    </row>
    <row r="2716" spans="1:61" s="358" customFormat="1" ht="19.2" x14ac:dyDescent="0.3">
      <c r="A2716" s="359" t="s">
        <v>4523</v>
      </c>
      <c r="B2716" s="572" t="s">
        <v>4324</v>
      </c>
      <c r="C2716" s="546" t="s">
        <v>3475</v>
      </c>
      <c r="D2716" s="360">
        <v>0.4</v>
      </c>
      <c r="E2716" s="393"/>
      <c r="F2716" s="523"/>
      <c r="G2716" s="393"/>
      <c r="H2716" s="573"/>
      <c r="I2716" s="394"/>
      <c r="J2716" s="394"/>
      <c r="K2716" s="394"/>
      <c r="L2716" s="394"/>
      <c r="M2716" s="394"/>
      <c r="N2716" s="394"/>
      <c r="O2716" s="394"/>
      <c r="P2716" s="394"/>
      <c r="Q2716" s="394"/>
      <c r="R2716" s="381"/>
      <c r="S2716" s="408"/>
      <c r="T2716" s="385"/>
      <c r="U2716" s="475"/>
      <c r="V2716" s="395"/>
      <c r="W2716" s="395"/>
      <c r="X2716" s="393"/>
      <c r="Y2716" s="523">
        <v>1</v>
      </c>
      <c r="Z2716" s="497"/>
      <c r="AA2716" s="573">
        <v>17.874030000000001</v>
      </c>
      <c r="AB2716" s="394">
        <v>15.38082</v>
      </c>
      <c r="AC2716" s="394">
        <v>14.418139999999999</v>
      </c>
      <c r="AD2716" s="394"/>
      <c r="AE2716" s="394"/>
      <c r="AF2716" s="394">
        <v>0</v>
      </c>
      <c r="AG2716" s="394">
        <v>0</v>
      </c>
      <c r="AH2716" s="394">
        <v>0.58123999999999998</v>
      </c>
      <c r="AI2716" s="394">
        <v>14.418139999999999</v>
      </c>
      <c r="AJ2716" s="394"/>
      <c r="AK2716" s="381" t="s">
        <v>167</v>
      </c>
      <c r="AL2716" s="408" t="s">
        <v>175</v>
      </c>
      <c r="AM2716" s="385"/>
      <c r="AN2716" s="475">
        <v>1509</v>
      </c>
      <c r="AO2716" s="395"/>
      <c r="AP2716" s="395">
        <f t="shared" si="1056"/>
        <v>17.874030000000001</v>
      </c>
      <c r="AQ2716" s="393"/>
      <c r="AR2716" s="523"/>
      <c r="AS2716" s="497"/>
      <c r="AT2716" s="573"/>
      <c r="AU2716" s="394"/>
      <c r="AV2716" s="394"/>
      <c r="AW2716" s="394"/>
      <c r="AX2716" s="394"/>
      <c r="AY2716" s="394"/>
      <c r="AZ2716" s="394"/>
      <c r="BA2716" s="394"/>
      <c r="BB2716" s="394"/>
      <c r="BC2716" s="394"/>
      <c r="BD2716" s="381"/>
      <c r="BE2716" s="408"/>
      <c r="BF2716" s="385"/>
      <c r="BG2716" s="475"/>
      <c r="BH2716" s="395"/>
      <c r="BI2716" s="395" t="e">
        <f t="shared" si="1055"/>
        <v>#DIV/0!</v>
      </c>
    </row>
    <row r="2717" spans="1:61" s="358" customFormat="1" ht="19.2" x14ac:dyDescent="0.3">
      <c r="A2717" s="359" t="s">
        <v>4524</v>
      </c>
      <c r="B2717" s="572" t="s">
        <v>4325</v>
      </c>
      <c r="C2717" s="546" t="s">
        <v>3476</v>
      </c>
      <c r="D2717" s="360">
        <v>0.4</v>
      </c>
      <c r="E2717" s="393"/>
      <c r="F2717" s="523"/>
      <c r="G2717" s="393"/>
      <c r="H2717" s="573"/>
      <c r="I2717" s="394"/>
      <c r="J2717" s="394"/>
      <c r="K2717" s="394"/>
      <c r="L2717" s="394"/>
      <c r="M2717" s="394"/>
      <c r="N2717" s="394"/>
      <c r="O2717" s="394"/>
      <c r="P2717" s="394"/>
      <c r="Q2717" s="394"/>
      <c r="R2717" s="381"/>
      <c r="S2717" s="408"/>
      <c r="T2717" s="385"/>
      <c r="U2717" s="475"/>
      <c r="V2717" s="395"/>
      <c r="W2717" s="395"/>
      <c r="X2717" s="393"/>
      <c r="Y2717" s="523">
        <v>1</v>
      </c>
      <c r="Z2717" s="497"/>
      <c r="AA2717" s="573">
        <v>17.873999999999999</v>
      </c>
      <c r="AB2717" s="394">
        <v>15.380789999999999</v>
      </c>
      <c r="AC2717" s="394">
        <v>14.418139999999999</v>
      </c>
      <c r="AD2717" s="394"/>
      <c r="AE2717" s="394"/>
      <c r="AF2717" s="394">
        <v>0</v>
      </c>
      <c r="AG2717" s="394">
        <v>0</v>
      </c>
      <c r="AH2717" s="394">
        <v>0.58123999999999998</v>
      </c>
      <c r="AI2717" s="394">
        <v>14.418139999999999</v>
      </c>
      <c r="AJ2717" s="394"/>
      <c r="AK2717" s="381" t="s">
        <v>167</v>
      </c>
      <c r="AL2717" s="408" t="s">
        <v>175</v>
      </c>
      <c r="AM2717" s="385"/>
      <c r="AN2717" s="475">
        <v>1510</v>
      </c>
      <c r="AO2717" s="395"/>
      <c r="AP2717" s="395">
        <f t="shared" si="1056"/>
        <v>17.873999999999999</v>
      </c>
      <c r="AQ2717" s="393"/>
      <c r="AR2717" s="523"/>
      <c r="AS2717" s="497"/>
      <c r="AT2717" s="573"/>
      <c r="AU2717" s="394"/>
      <c r="AV2717" s="394"/>
      <c r="AW2717" s="394"/>
      <c r="AX2717" s="394"/>
      <c r="AY2717" s="394"/>
      <c r="AZ2717" s="394"/>
      <c r="BA2717" s="394"/>
      <c r="BB2717" s="394"/>
      <c r="BC2717" s="394"/>
      <c r="BD2717" s="381"/>
      <c r="BE2717" s="408"/>
      <c r="BF2717" s="385"/>
      <c r="BG2717" s="475"/>
      <c r="BH2717" s="395"/>
      <c r="BI2717" s="395" t="e">
        <f t="shared" si="1055"/>
        <v>#DIV/0!</v>
      </c>
    </row>
    <row r="2718" spans="1:61" s="358" customFormat="1" ht="19.2" x14ac:dyDescent="0.3">
      <c r="A2718" s="359" t="s">
        <v>4525</v>
      </c>
      <c r="B2718" s="572" t="s">
        <v>4326</v>
      </c>
      <c r="C2718" s="546" t="s">
        <v>3477</v>
      </c>
      <c r="D2718" s="360">
        <v>0.4</v>
      </c>
      <c r="E2718" s="393"/>
      <c r="F2718" s="523"/>
      <c r="G2718" s="393"/>
      <c r="H2718" s="573"/>
      <c r="I2718" s="394"/>
      <c r="J2718" s="394"/>
      <c r="K2718" s="394"/>
      <c r="L2718" s="394"/>
      <c r="M2718" s="394"/>
      <c r="N2718" s="394"/>
      <c r="O2718" s="394"/>
      <c r="P2718" s="394"/>
      <c r="Q2718" s="394"/>
      <c r="R2718" s="381"/>
      <c r="S2718" s="408"/>
      <c r="T2718" s="385"/>
      <c r="U2718" s="475"/>
      <c r="V2718" s="395"/>
      <c r="W2718" s="395"/>
      <c r="X2718" s="393"/>
      <c r="Y2718" s="523">
        <v>1</v>
      </c>
      <c r="Z2718" s="497"/>
      <c r="AA2718" s="573">
        <v>17.874030000000001</v>
      </c>
      <c r="AB2718" s="394">
        <v>15.38082</v>
      </c>
      <c r="AC2718" s="394">
        <v>14.418139999999999</v>
      </c>
      <c r="AD2718" s="394"/>
      <c r="AE2718" s="394"/>
      <c r="AF2718" s="394">
        <v>0</v>
      </c>
      <c r="AG2718" s="394">
        <v>0</v>
      </c>
      <c r="AH2718" s="394">
        <v>0.58123999999999998</v>
      </c>
      <c r="AI2718" s="394">
        <v>14.418139999999999</v>
      </c>
      <c r="AJ2718" s="394"/>
      <c r="AK2718" s="381" t="s">
        <v>167</v>
      </c>
      <c r="AL2718" s="408" t="s">
        <v>175</v>
      </c>
      <c r="AM2718" s="385"/>
      <c r="AN2718" s="475">
        <v>1511</v>
      </c>
      <c r="AO2718" s="395"/>
      <c r="AP2718" s="395">
        <f t="shared" si="1056"/>
        <v>17.874030000000001</v>
      </c>
      <c r="AQ2718" s="393"/>
      <c r="AR2718" s="523"/>
      <c r="AS2718" s="497"/>
      <c r="AT2718" s="573"/>
      <c r="AU2718" s="394"/>
      <c r="AV2718" s="394"/>
      <c r="AW2718" s="394"/>
      <c r="AX2718" s="394"/>
      <c r="AY2718" s="394"/>
      <c r="AZ2718" s="394"/>
      <c r="BA2718" s="394"/>
      <c r="BB2718" s="394"/>
      <c r="BC2718" s="394"/>
      <c r="BD2718" s="381"/>
      <c r="BE2718" s="408"/>
      <c r="BF2718" s="385"/>
      <c r="BG2718" s="475"/>
      <c r="BH2718" s="395"/>
      <c r="BI2718" s="395" t="e">
        <f t="shared" si="1055"/>
        <v>#DIV/0!</v>
      </c>
    </row>
    <row r="2719" spans="1:61" s="358" customFormat="1" ht="19.2" x14ac:dyDescent="0.3">
      <c r="A2719" s="359" t="s">
        <v>4542</v>
      </c>
      <c r="B2719" s="572" t="s">
        <v>3981</v>
      </c>
      <c r="C2719" s="546" t="s">
        <v>3478</v>
      </c>
      <c r="D2719" s="360">
        <v>0.4</v>
      </c>
      <c r="E2719" s="393"/>
      <c r="F2719" s="523"/>
      <c r="G2719" s="393"/>
      <c r="H2719" s="573"/>
      <c r="I2719" s="394"/>
      <c r="J2719" s="394"/>
      <c r="K2719" s="394"/>
      <c r="L2719" s="394"/>
      <c r="M2719" s="394"/>
      <c r="N2719" s="394"/>
      <c r="O2719" s="394"/>
      <c r="P2719" s="394"/>
      <c r="Q2719" s="394"/>
      <c r="R2719" s="381"/>
      <c r="S2719" s="408"/>
      <c r="T2719" s="385"/>
      <c r="U2719" s="475"/>
      <c r="V2719" s="395"/>
      <c r="W2719" s="395"/>
      <c r="X2719" s="393"/>
      <c r="Y2719" s="523">
        <v>1</v>
      </c>
      <c r="Z2719" s="497"/>
      <c r="AA2719" s="573">
        <v>17.874020000000002</v>
      </c>
      <c r="AB2719" s="394">
        <v>15.38081</v>
      </c>
      <c r="AC2719" s="394">
        <v>14.418139999999999</v>
      </c>
      <c r="AD2719" s="394"/>
      <c r="AE2719" s="394"/>
      <c r="AF2719" s="394">
        <v>0</v>
      </c>
      <c r="AG2719" s="394">
        <v>0</v>
      </c>
      <c r="AH2719" s="394">
        <v>0.58123999999999998</v>
      </c>
      <c r="AI2719" s="394">
        <v>14.418139999999999</v>
      </c>
      <c r="AJ2719" s="394"/>
      <c r="AK2719" s="381" t="s">
        <v>167</v>
      </c>
      <c r="AL2719" s="408" t="s">
        <v>175</v>
      </c>
      <c r="AM2719" s="385"/>
      <c r="AN2719" s="475">
        <v>1512</v>
      </c>
      <c r="AO2719" s="395"/>
      <c r="AP2719" s="395">
        <f t="shared" si="1056"/>
        <v>17.874020000000002</v>
      </c>
      <c r="AQ2719" s="393"/>
      <c r="AR2719" s="523"/>
      <c r="AS2719" s="497"/>
      <c r="AT2719" s="573"/>
      <c r="AU2719" s="394"/>
      <c r="AV2719" s="394"/>
      <c r="AW2719" s="394"/>
      <c r="AX2719" s="394"/>
      <c r="AY2719" s="394"/>
      <c r="AZ2719" s="394"/>
      <c r="BA2719" s="394"/>
      <c r="BB2719" s="394"/>
      <c r="BC2719" s="394"/>
      <c r="BD2719" s="381"/>
      <c r="BE2719" s="408"/>
      <c r="BF2719" s="385"/>
      <c r="BG2719" s="475"/>
      <c r="BH2719" s="395"/>
      <c r="BI2719" s="395" t="e">
        <f t="shared" si="1055"/>
        <v>#DIV/0!</v>
      </c>
    </row>
    <row r="2720" spans="1:61" s="358" customFormat="1" ht="19.2" x14ac:dyDescent="0.3">
      <c r="A2720" s="359" t="s">
        <v>4527</v>
      </c>
      <c r="B2720" s="572" t="s">
        <v>3981</v>
      </c>
      <c r="C2720" s="546" t="s">
        <v>3479</v>
      </c>
      <c r="D2720" s="360">
        <v>0.4</v>
      </c>
      <c r="E2720" s="393"/>
      <c r="F2720" s="523"/>
      <c r="G2720" s="393"/>
      <c r="H2720" s="573"/>
      <c r="I2720" s="394"/>
      <c r="J2720" s="394"/>
      <c r="K2720" s="394"/>
      <c r="L2720" s="394"/>
      <c r="M2720" s="394"/>
      <c r="N2720" s="394"/>
      <c r="O2720" s="394"/>
      <c r="P2720" s="394"/>
      <c r="Q2720" s="394"/>
      <c r="R2720" s="381"/>
      <c r="S2720" s="408"/>
      <c r="T2720" s="385"/>
      <c r="U2720" s="475"/>
      <c r="V2720" s="395"/>
      <c r="W2720" s="395"/>
      <c r="X2720" s="393"/>
      <c r="Y2720" s="523">
        <v>1</v>
      </c>
      <c r="Z2720" s="497"/>
      <c r="AA2720" s="573">
        <v>17.873999999999999</v>
      </c>
      <c r="AB2720" s="394">
        <v>15.380789999999999</v>
      </c>
      <c r="AC2720" s="394">
        <v>14.418139999999999</v>
      </c>
      <c r="AD2720" s="394"/>
      <c r="AE2720" s="394"/>
      <c r="AF2720" s="394">
        <v>0</v>
      </c>
      <c r="AG2720" s="394">
        <v>0</v>
      </c>
      <c r="AH2720" s="394">
        <v>0.58123999999999998</v>
      </c>
      <c r="AI2720" s="394">
        <v>14.418139999999999</v>
      </c>
      <c r="AJ2720" s="394"/>
      <c r="AK2720" s="381" t="s">
        <v>167</v>
      </c>
      <c r="AL2720" s="408" t="s">
        <v>175</v>
      </c>
      <c r="AM2720" s="385"/>
      <c r="AN2720" s="475">
        <v>1513</v>
      </c>
      <c r="AO2720" s="395"/>
      <c r="AP2720" s="395">
        <f t="shared" si="1056"/>
        <v>17.873999999999999</v>
      </c>
      <c r="AQ2720" s="393"/>
      <c r="AR2720" s="523"/>
      <c r="AS2720" s="497"/>
      <c r="AT2720" s="573"/>
      <c r="AU2720" s="394"/>
      <c r="AV2720" s="394"/>
      <c r="AW2720" s="394"/>
      <c r="AX2720" s="394"/>
      <c r="AY2720" s="394"/>
      <c r="AZ2720" s="394"/>
      <c r="BA2720" s="394"/>
      <c r="BB2720" s="394"/>
      <c r="BC2720" s="394"/>
      <c r="BD2720" s="381"/>
      <c r="BE2720" s="408"/>
      <c r="BF2720" s="385"/>
      <c r="BG2720" s="475"/>
      <c r="BH2720" s="395"/>
      <c r="BI2720" s="395" t="e">
        <f t="shared" si="1055"/>
        <v>#DIV/0!</v>
      </c>
    </row>
    <row r="2721" spans="1:61" s="358" customFormat="1" ht="19.2" x14ac:dyDescent="0.3">
      <c r="A2721" s="359" t="s">
        <v>4528</v>
      </c>
      <c r="B2721" s="572" t="s">
        <v>4327</v>
      </c>
      <c r="C2721" s="546" t="s">
        <v>3480</v>
      </c>
      <c r="D2721" s="360">
        <v>0.4</v>
      </c>
      <c r="E2721" s="393"/>
      <c r="F2721" s="523"/>
      <c r="G2721" s="393"/>
      <c r="H2721" s="573"/>
      <c r="I2721" s="394"/>
      <c r="J2721" s="394"/>
      <c r="K2721" s="394"/>
      <c r="L2721" s="394"/>
      <c r="M2721" s="394"/>
      <c r="N2721" s="394"/>
      <c r="O2721" s="394"/>
      <c r="P2721" s="394"/>
      <c r="Q2721" s="394"/>
      <c r="R2721" s="381"/>
      <c r="S2721" s="408"/>
      <c r="T2721" s="385"/>
      <c r="U2721" s="475"/>
      <c r="V2721" s="395"/>
      <c r="W2721" s="395"/>
      <c r="X2721" s="393"/>
      <c r="Y2721" s="523">
        <v>1</v>
      </c>
      <c r="Z2721" s="497"/>
      <c r="AA2721" s="573">
        <v>38.34639</v>
      </c>
      <c r="AB2721" s="394">
        <v>32.684690000000003</v>
      </c>
      <c r="AC2721" s="394">
        <v>14.41844</v>
      </c>
      <c r="AD2721" s="394"/>
      <c r="AE2721" s="394"/>
      <c r="AF2721" s="394">
        <v>0</v>
      </c>
      <c r="AG2721" s="394">
        <v>0</v>
      </c>
      <c r="AH2721" s="394">
        <v>1.3199099999999999</v>
      </c>
      <c r="AI2721" s="394">
        <v>14.41844</v>
      </c>
      <c r="AJ2721" s="394"/>
      <c r="AK2721" s="381" t="s">
        <v>167</v>
      </c>
      <c r="AL2721" s="408" t="s">
        <v>175</v>
      </c>
      <c r="AM2721" s="385"/>
      <c r="AN2721" s="475">
        <v>1514</v>
      </c>
      <c r="AO2721" s="395"/>
      <c r="AP2721" s="395">
        <f t="shared" si="1056"/>
        <v>38.34639</v>
      </c>
      <c r="AQ2721" s="393"/>
      <c r="AR2721" s="523"/>
      <c r="AS2721" s="497"/>
      <c r="AT2721" s="573"/>
      <c r="AU2721" s="394"/>
      <c r="AV2721" s="394"/>
      <c r="AW2721" s="394"/>
      <c r="AX2721" s="394"/>
      <c r="AY2721" s="394"/>
      <c r="AZ2721" s="394"/>
      <c r="BA2721" s="394"/>
      <c r="BB2721" s="394"/>
      <c r="BC2721" s="394"/>
      <c r="BD2721" s="381"/>
      <c r="BE2721" s="408"/>
      <c r="BF2721" s="385"/>
      <c r="BG2721" s="475"/>
      <c r="BH2721" s="395"/>
      <c r="BI2721" s="395" t="e">
        <f t="shared" si="1055"/>
        <v>#DIV/0!</v>
      </c>
    </row>
    <row r="2722" spans="1:61" s="358" customFormat="1" ht="19.2" x14ac:dyDescent="0.3">
      <c r="A2722" s="359" t="s">
        <v>4513</v>
      </c>
      <c r="B2722" s="572" t="s">
        <v>2512</v>
      </c>
      <c r="C2722" s="546" t="s">
        <v>2511</v>
      </c>
      <c r="D2722" s="360">
        <v>0.4</v>
      </c>
      <c r="E2722" s="393"/>
      <c r="F2722" s="523"/>
      <c r="G2722" s="393"/>
      <c r="H2722" s="573"/>
      <c r="I2722" s="394"/>
      <c r="J2722" s="394"/>
      <c r="K2722" s="394"/>
      <c r="L2722" s="394"/>
      <c r="M2722" s="394"/>
      <c r="N2722" s="394"/>
      <c r="O2722" s="394"/>
      <c r="P2722" s="394"/>
      <c r="Q2722" s="394"/>
      <c r="R2722" s="381"/>
      <c r="S2722" s="408"/>
      <c r="T2722" s="385"/>
      <c r="U2722" s="475"/>
      <c r="V2722" s="395"/>
      <c r="W2722" s="395"/>
      <c r="X2722" s="393"/>
      <c r="Y2722" s="523">
        <v>1</v>
      </c>
      <c r="Z2722" s="497"/>
      <c r="AA2722" s="573">
        <v>17.873999999999999</v>
      </c>
      <c r="AB2722" s="394">
        <v>15.380789999999999</v>
      </c>
      <c r="AC2722" s="394">
        <v>14.418139999999999</v>
      </c>
      <c r="AD2722" s="394"/>
      <c r="AE2722" s="394"/>
      <c r="AF2722" s="394">
        <v>0</v>
      </c>
      <c r="AG2722" s="394">
        <v>0</v>
      </c>
      <c r="AH2722" s="394">
        <v>0.58123999999999998</v>
      </c>
      <c r="AI2722" s="394">
        <v>14.418139999999999</v>
      </c>
      <c r="AJ2722" s="394"/>
      <c r="AK2722" s="381" t="s">
        <v>167</v>
      </c>
      <c r="AL2722" s="408" t="s">
        <v>175</v>
      </c>
      <c r="AM2722" s="385"/>
      <c r="AN2722" s="475">
        <v>1515</v>
      </c>
      <c r="AO2722" s="395"/>
      <c r="AP2722" s="395">
        <f t="shared" si="1056"/>
        <v>17.873999999999999</v>
      </c>
      <c r="AQ2722" s="393"/>
      <c r="AR2722" s="523"/>
      <c r="AS2722" s="497"/>
      <c r="AT2722" s="573"/>
      <c r="AU2722" s="394"/>
      <c r="AV2722" s="394"/>
      <c r="AW2722" s="394"/>
      <c r="AX2722" s="394"/>
      <c r="AY2722" s="394"/>
      <c r="AZ2722" s="394"/>
      <c r="BA2722" s="394"/>
      <c r="BB2722" s="394"/>
      <c r="BC2722" s="394"/>
      <c r="BD2722" s="381"/>
      <c r="BE2722" s="408"/>
      <c r="BF2722" s="385"/>
      <c r="BG2722" s="475"/>
      <c r="BH2722" s="395"/>
      <c r="BI2722" s="395" t="e">
        <f t="shared" si="1055"/>
        <v>#DIV/0!</v>
      </c>
    </row>
    <row r="2723" spans="1:61" s="358" customFormat="1" ht="19.2" x14ac:dyDescent="0.3">
      <c r="A2723" s="359" t="s">
        <v>4530</v>
      </c>
      <c r="B2723" s="572" t="s">
        <v>4328</v>
      </c>
      <c r="C2723" s="546" t="s">
        <v>3481</v>
      </c>
      <c r="D2723" s="360">
        <v>0.4</v>
      </c>
      <c r="E2723" s="393"/>
      <c r="F2723" s="523"/>
      <c r="G2723" s="393"/>
      <c r="H2723" s="573"/>
      <c r="I2723" s="394"/>
      <c r="J2723" s="394"/>
      <c r="K2723" s="394"/>
      <c r="L2723" s="394"/>
      <c r="M2723" s="394"/>
      <c r="N2723" s="394"/>
      <c r="O2723" s="394"/>
      <c r="P2723" s="394"/>
      <c r="Q2723" s="394"/>
      <c r="R2723" s="381"/>
      <c r="S2723" s="408"/>
      <c r="T2723" s="385"/>
      <c r="U2723" s="475"/>
      <c r="V2723" s="395"/>
      <c r="W2723" s="395"/>
      <c r="X2723" s="393"/>
      <c r="Y2723" s="523">
        <v>1</v>
      </c>
      <c r="Z2723" s="497"/>
      <c r="AA2723" s="573">
        <v>17.874030000000001</v>
      </c>
      <c r="AB2723" s="394">
        <v>15.38082</v>
      </c>
      <c r="AC2723" s="394">
        <v>14.418139999999999</v>
      </c>
      <c r="AD2723" s="394"/>
      <c r="AE2723" s="394"/>
      <c r="AF2723" s="394">
        <v>0</v>
      </c>
      <c r="AG2723" s="394">
        <v>0</v>
      </c>
      <c r="AH2723" s="394">
        <v>0.58123999999999998</v>
      </c>
      <c r="AI2723" s="394">
        <v>14.418139999999999</v>
      </c>
      <c r="AJ2723" s="394"/>
      <c r="AK2723" s="381" t="s">
        <v>167</v>
      </c>
      <c r="AL2723" s="408" t="s">
        <v>175</v>
      </c>
      <c r="AM2723" s="385"/>
      <c r="AN2723" s="475">
        <v>1516</v>
      </c>
      <c r="AO2723" s="395"/>
      <c r="AP2723" s="395">
        <f t="shared" si="1056"/>
        <v>17.874030000000001</v>
      </c>
      <c r="AQ2723" s="393"/>
      <c r="AR2723" s="523"/>
      <c r="AS2723" s="497"/>
      <c r="AT2723" s="573"/>
      <c r="AU2723" s="394"/>
      <c r="AV2723" s="394"/>
      <c r="AW2723" s="394"/>
      <c r="AX2723" s="394"/>
      <c r="AY2723" s="394"/>
      <c r="AZ2723" s="394"/>
      <c r="BA2723" s="394"/>
      <c r="BB2723" s="394"/>
      <c r="BC2723" s="394"/>
      <c r="BD2723" s="381"/>
      <c r="BE2723" s="408"/>
      <c r="BF2723" s="385"/>
      <c r="BG2723" s="475"/>
      <c r="BH2723" s="395"/>
      <c r="BI2723" s="395" t="e">
        <f t="shared" si="1055"/>
        <v>#DIV/0!</v>
      </c>
    </row>
    <row r="2724" spans="1:61" s="358" customFormat="1" ht="19.2" x14ac:dyDescent="0.3">
      <c r="A2724" s="359" t="s">
        <v>4531</v>
      </c>
      <c r="B2724" s="572" t="s">
        <v>4329</v>
      </c>
      <c r="C2724" s="546" t="s">
        <v>3482</v>
      </c>
      <c r="D2724" s="360">
        <v>0.4</v>
      </c>
      <c r="E2724" s="393"/>
      <c r="F2724" s="523"/>
      <c r="G2724" s="393"/>
      <c r="H2724" s="573"/>
      <c r="I2724" s="394"/>
      <c r="J2724" s="394"/>
      <c r="K2724" s="394"/>
      <c r="L2724" s="394"/>
      <c r="M2724" s="394"/>
      <c r="N2724" s="394"/>
      <c r="O2724" s="394"/>
      <c r="P2724" s="394"/>
      <c r="Q2724" s="394"/>
      <c r="R2724" s="381"/>
      <c r="S2724" s="408"/>
      <c r="T2724" s="385"/>
      <c r="U2724" s="475"/>
      <c r="V2724" s="395"/>
      <c r="W2724" s="395"/>
      <c r="X2724" s="393"/>
      <c r="Y2724" s="523">
        <v>1</v>
      </c>
      <c r="Z2724" s="497"/>
      <c r="AA2724" s="573">
        <v>17.874030000000001</v>
      </c>
      <c r="AB2724" s="394">
        <v>15.38082</v>
      </c>
      <c r="AC2724" s="394">
        <v>14.418139999999999</v>
      </c>
      <c r="AD2724" s="394"/>
      <c r="AE2724" s="394"/>
      <c r="AF2724" s="394">
        <v>0</v>
      </c>
      <c r="AG2724" s="394">
        <v>0</v>
      </c>
      <c r="AH2724" s="394">
        <v>0.58123999999999998</v>
      </c>
      <c r="AI2724" s="394">
        <v>14.418139999999999</v>
      </c>
      <c r="AJ2724" s="394"/>
      <c r="AK2724" s="381" t="s">
        <v>167</v>
      </c>
      <c r="AL2724" s="408" t="s">
        <v>175</v>
      </c>
      <c r="AM2724" s="385"/>
      <c r="AN2724" s="475">
        <v>1517</v>
      </c>
      <c r="AO2724" s="395"/>
      <c r="AP2724" s="395">
        <f t="shared" si="1056"/>
        <v>17.874030000000001</v>
      </c>
      <c r="AQ2724" s="393"/>
      <c r="AR2724" s="523"/>
      <c r="AS2724" s="497"/>
      <c r="AT2724" s="573"/>
      <c r="AU2724" s="394"/>
      <c r="AV2724" s="394"/>
      <c r="AW2724" s="394"/>
      <c r="AX2724" s="394"/>
      <c r="AY2724" s="394"/>
      <c r="AZ2724" s="394"/>
      <c r="BA2724" s="394"/>
      <c r="BB2724" s="394"/>
      <c r="BC2724" s="394"/>
      <c r="BD2724" s="381"/>
      <c r="BE2724" s="408"/>
      <c r="BF2724" s="385"/>
      <c r="BG2724" s="475"/>
      <c r="BH2724" s="395"/>
      <c r="BI2724" s="395" t="e">
        <f t="shared" si="1055"/>
        <v>#DIV/0!</v>
      </c>
    </row>
    <row r="2725" spans="1:61" s="358" customFormat="1" ht="19.2" x14ac:dyDescent="0.3">
      <c r="A2725" s="359" t="s">
        <v>4532</v>
      </c>
      <c r="B2725" s="572" t="s">
        <v>4330</v>
      </c>
      <c r="C2725" s="546" t="s">
        <v>3483</v>
      </c>
      <c r="D2725" s="360">
        <v>0.4</v>
      </c>
      <c r="E2725" s="393"/>
      <c r="F2725" s="523"/>
      <c r="G2725" s="393"/>
      <c r="H2725" s="573"/>
      <c r="I2725" s="394"/>
      <c r="J2725" s="394"/>
      <c r="K2725" s="394"/>
      <c r="L2725" s="394"/>
      <c r="M2725" s="394"/>
      <c r="N2725" s="394"/>
      <c r="O2725" s="394"/>
      <c r="P2725" s="394"/>
      <c r="Q2725" s="394"/>
      <c r="R2725" s="381"/>
      <c r="S2725" s="408"/>
      <c r="T2725" s="385"/>
      <c r="U2725" s="475"/>
      <c r="V2725" s="395"/>
      <c r="W2725" s="395"/>
      <c r="X2725" s="393"/>
      <c r="Y2725" s="523">
        <v>1</v>
      </c>
      <c r="Z2725" s="497"/>
      <c r="AA2725" s="573">
        <v>17.874020000000002</v>
      </c>
      <c r="AB2725" s="394">
        <v>15.38081</v>
      </c>
      <c r="AC2725" s="394">
        <v>14.418139999999999</v>
      </c>
      <c r="AD2725" s="394"/>
      <c r="AE2725" s="394"/>
      <c r="AF2725" s="394">
        <v>0</v>
      </c>
      <c r="AG2725" s="394">
        <v>0</v>
      </c>
      <c r="AH2725" s="394">
        <v>0.58123999999999998</v>
      </c>
      <c r="AI2725" s="394">
        <v>14.418139999999999</v>
      </c>
      <c r="AJ2725" s="394"/>
      <c r="AK2725" s="381" t="s">
        <v>167</v>
      </c>
      <c r="AL2725" s="408" t="s">
        <v>175</v>
      </c>
      <c r="AM2725" s="385"/>
      <c r="AN2725" s="475">
        <v>1518</v>
      </c>
      <c r="AO2725" s="395"/>
      <c r="AP2725" s="395">
        <f t="shared" si="1056"/>
        <v>17.874020000000002</v>
      </c>
      <c r="AQ2725" s="393"/>
      <c r="AR2725" s="523"/>
      <c r="AS2725" s="497"/>
      <c r="AT2725" s="573"/>
      <c r="AU2725" s="394"/>
      <c r="AV2725" s="394"/>
      <c r="AW2725" s="394"/>
      <c r="AX2725" s="394"/>
      <c r="AY2725" s="394"/>
      <c r="AZ2725" s="394"/>
      <c r="BA2725" s="394"/>
      <c r="BB2725" s="394"/>
      <c r="BC2725" s="394"/>
      <c r="BD2725" s="381"/>
      <c r="BE2725" s="408"/>
      <c r="BF2725" s="385"/>
      <c r="BG2725" s="475"/>
      <c r="BH2725" s="395"/>
      <c r="BI2725" s="395" t="e">
        <f t="shared" si="1055"/>
        <v>#DIV/0!</v>
      </c>
    </row>
    <row r="2726" spans="1:61" s="358" customFormat="1" ht="19.2" x14ac:dyDescent="0.3">
      <c r="A2726" s="359" t="s">
        <v>4533</v>
      </c>
      <c r="B2726" s="572" t="s">
        <v>4331</v>
      </c>
      <c r="C2726" s="546" t="s">
        <v>3484</v>
      </c>
      <c r="D2726" s="360">
        <v>0.4</v>
      </c>
      <c r="E2726" s="393"/>
      <c r="F2726" s="523"/>
      <c r="G2726" s="393"/>
      <c r="H2726" s="573"/>
      <c r="I2726" s="394"/>
      <c r="J2726" s="394"/>
      <c r="K2726" s="394"/>
      <c r="L2726" s="394"/>
      <c r="M2726" s="394"/>
      <c r="N2726" s="394"/>
      <c r="O2726" s="394"/>
      <c r="P2726" s="394"/>
      <c r="Q2726" s="394"/>
      <c r="R2726" s="381"/>
      <c r="S2726" s="408"/>
      <c r="T2726" s="385"/>
      <c r="U2726" s="475"/>
      <c r="V2726" s="395"/>
      <c r="W2726" s="395"/>
      <c r="X2726" s="393"/>
      <c r="Y2726" s="523">
        <v>1</v>
      </c>
      <c r="Z2726" s="497"/>
      <c r="AA2726" s="573">
        <v>17.873989999999999</v>
      </c>
      <c r="AB2726" s="394">
        <v>15.38078</v>
      </c>
      <c r="AC2726" s="394">
        <v>14.418139999999999</v>
      </c>
      <c r="AD2726" s="394"/>
      <c r="AE2726" s="394"/>
      <c r="AF2726" s="394">
        <v>0</v>
      </c>
      <c r="AG2726" s="394">
        <v>0</v>
      </c>
      <c r="AH2726" s="394">
        <v>0.58123999999999998</v>
      </c>
      <c r="AI2726" s="394">
        <v>14.418139999999999</v>
      </c>
      <c r="AJ2726" s="394"/>
      <c r="AK2726" s="381" t="s">
        <v>167</v>
      </c>
      <c r="AL2726" s="408" t="s">
        <v>175</v>
      </c>
      <c r="AM2726" s="385"/>
      <c r="AN2726" s="475">
        <v>1519</v>
      </c>
      <c r="AO2726" s="395"/>
      <c r="AP2726" s="395">
        <f t="shared" si="1056"/>
        <v>17.873989999999999</v>
      </c>
      <c r="AQ2726" s="393"/>
      <c r="AR2726" s="523"/>
      <c r="AS2726" s="497"/>
      <c r="AT2726" s="573"/>
      <c r="AU2726" s="394"/>
      <c r="AV2726" s="394"/>
      <c r="AW2726" s="394"/>
      <c r="AX2726" s="394"/>
      <c r="AY2726" s="394"/>
      <c r="AZ2726" s="394"/>
      <c r="BA2726" s="394"/>
      <c r="BB2726" s="394"/>
      <c r="BC2726" s="394"/>
      <c r="BD2726" s="381"/>
      <c r="BE2726" s="408"/>
      <c r="BF2726" s="385"/>
      <c r="BG2726" s="475"/>
      <c r="BH2726" s="395"/>
      <c r="BI2726" s="395" t="e">
        <f t="shared" ref="BI2726:BI2789" si="1057">AT2726/AR2726</f>
        <v>#DIV/0!</v>
      </c>
    </row>
    <row r="2727" spans="1:61" s="358" customFormat="1" ht="19.2" x14ac:dyDescent="0.3">
      <c r="A2727" s="359" t="s">
        <v>4534</v>
      </c>
      <c r="B2727" s="572" t="s">
        <v>4332</v>
      </c>
      <c r="C2727" s="546" t="s">
        <v>3485</v>
      </c>
      <c r="D2727" s="360">
        <v>0.4</v>
      </c>
      <c r="E2727" s="393"/>
      <c r="F2727" s="523"/>
      <c r="G2727" s="393"/>
      <c r="H2727" s="573"/>
      <c r="I2727" s="394"/>
      <c r="J2727" s="394"/>
      <c r="K2727" s="394"/>
      <c r="L2727" s="394"/>
      <c r="M2727" s="394"/>
      <c r="N2727" s="394"/>
      <c r="O2727" s="394"/>
      <c r="P2727" s="394"/>
      <c r="Q2727" s="394"/>
      <c r="R2727" s="381"/>
      <c r="S2727" s="408"/>
      <c r="T2727" s="385"/>
      <c r="U2727" s="475"/>
      <c r="V2727" s="395"/>
      <c r="W2727" s="395"/>
      <c r="X2727" s="393"/>
      <c r="Y2727" s="523">
        <v>1</v>
      </c>
      <c r="Z2727" s="497"/>
      <c r="AA2727" s="573">
        <v>18.009350000000001</v>
      </c>
      <c r="AB2727" s="394">
        <v>15.51614</v>
      </c>
      <c r="AC2727" s="394">
        <v>14.418150000000001</v>
      </c>
      <c r="AD2727" s="394"/>
      <c r="AE2727" s="394"/>
      <c r="AF2727" s="394">
        <v>0</v>
      </c>
      <c r="AG2727" s="394">
        <v>0</v>
      </c>
      <c r="AH2727" s="394">
        <v>0.58123999999999998</v>
      </c>
      <c r="AI2727" s="394">
        <v>14.418150000000001</v>
      </c>
      <c r="AJ2727" s="394"/>
      <c r="AK2727" s="381" t="s">
        <v>167</v>
      </c>
      <c r="AL2727" s="408" t="s">
        <v>175</v>
      </c>
      <c r="AM2727" s="385"/>
      <c r="AN2727" s="475">
        <v>1520</v>
      </c>
      <c r="AO2727" s="395"/>
      <c r="AP2727" s="395">
        <f t="shared" si="1056"/>
        <v>18.009350000000001</v>
      </c>
      <c r="AQ2727" s="393"/>
      <c r="AR2727" s="523"/>
      <c r="AS2727" s="497"/>
      <c r="AT2727" s="573"/>
      <c r="AU2727" s="394"/>
      <c r="AV2727" s="394"/>
      <c r="AW2727" s="394"/>
      <c r="AX2727" s="394"/>
      <c r="AY2727" s="394"/>
      <c r="AZ2727" s="394"/>
      <c r="BA2727" s="394"/>
      <c r="BB2727" s="394"/>
      <c r="BC2727" s="394"/>
      <c r="BD2727" s="381"/>
      <c r="BE2727" s="408"/>
      <c r="BF2727" s="385"/>
      <c r="BG2727" s="475"/>
      <c r="BH2727" s="395"/>
      <c r="BI2727" s="395" t="e">
        <f t="shared" si="1057"/>
        <v>#DIV/0!</v>
      </c>
    </row>
    <row r="2728" spans="1:61" s="358" customFormat="1" ht="19.2" x14ac:dyDescent="0.3">
      <c r="A2728" s="359" t="s">
        <v>4535</v>
      </c>
      <c r="B2728" s="572" t="s">
        <v>4333</v>
      </c>
      <c r="C2728" s="546" t="s">
        <v>3487</v>
      </c>
      <c r="D2728" s="360">
        <v>0.4</v>
      </c>
      <c r="E2728" s="393"/>
      <c r="F2728" s="523"/>
      <c r="G2728" s="393"/>
      <c r="H2728" s="573"/>
      <c r="I2728" s="394"/>
      <c r="J2728" s="394"/>
      <c r="K2728" s="394"/>
      <c r="L2728" s="394"/>
      <c r="M2728" s="394"/>
      <c r="N2728" s="394"/>
      <c r="O2728" s="394"/>
      <c r="P2728" s="394"/>
      <c r="Q2728" s="394"/>
      <c r="R2728" s="381"/>
      <c r="S2728" s="408"/>
      <c r="T2728" s="385"/>
      <c r="U2728" s="475"/>
      <c r="V2728" s="395"/>
      <c r="W2728" s="395"/>
      <c r="X2728" s="393"/>
      <c r="Y2728" s="523">
        <v>1</v>
      </c>
      <c r="Z2728" s="497"/>
      <c r="AA2728" s="573">
        <v>18.408740000000002</v>
      </c>
      <c r="AB2728" s="394">
        <v>15.91553</v>
      </c>
      <c r="AC2728" s="394">
        <v>15.01099</v>
      </c>
      <c r="AD2728" s="394"/>
      <c r="AE2728" s="394"/>
      <c r="AF2728" s="394">
        <v>0</v>
      </c>
      <c r="AG2728" s="394">
        <v>0</v>
      </c>
      <c r="AH2728" s="394">
        <v>0.58123999999999998</v>
      </c>
      <c r="AI2728" s="394">
        <v>15.01099</v>
      </c>
      <c r="AJ2728" s="394"/>
      <c r="AK2728" s="381" t="s">
        <v>167</v>
      </c>
      <c r="AL2728" s="408" t="s">
        <v>175</v>
      </c>
      <c r="AM2728" s="385"/>
      <c r="AN2728" s="475">
        <v>1521</v>
      </c>
      <c r="AO2728" s="395"/>
      <c r="AP2728" s="395">
        <f t="shared" si="1056"/>
        <v>18.408740000000002</v>
      </c>
      <c r="AQ2728" s="393"/>
      <c r="AR2728" s="523"/>
      <c r="AS2728" s="497"/>
      <c r="AT2728" s="573"/>
      <c r="AU2728" s="394"/>
      <c r="AV2728" s="394"/>
      <c r="AW2728" s="394"/>
      <c r="AX2728" s="394"/>
      <c r="AY2728" s="394"/>
      <c r="AZ2728" s="394"/>
      <c r="BA2728" s="394"/>
      <c r="BB2728" s="394"/>
      <c r="BC2728" s="394"/>
      <c r="BD2728" s="381"/>
      <c r="BE2728" s="408"/>
      <c r="BF2728" s="385"/>
      <c r="BG2728" s="475"/>
      <c r="BH2728" s="395"/>
      <c r="BI2728" s="395" t="e">
        <f t="shared" si="1057"/>
        <v>#DIV/0!</v>
      </c>
    </row>
    <row r="2729" spans="1:61" s="358" customFormat="1" ht="19.2" x14ac:dyDescent="0.3">
      <c r="A2729" s="359" t="s">
        <v>4536</v>
      </c>
      <c r="B2729" s="572" t="s">
        <v>4334</v>
      </c>
      <c r="C2729" s="546" t="s">
        <v>3488</v>
      </c>
      <c r="D2729" s="360">
        <v>0.4</v>
      </c>
      <c r="E2729" s="393"/>
      <c r="F2729" s="523"/>
      <c r="G2729" s="393"/>
      <c r="H2729" s="573"/>
      <c r="I2729" s="394"/>
      <c r="J2729" s="394"/>
      <c r="K2729" s="394"/>
      <c r="L2729" s="394"/>
      <c r="M2729" s="394"/>
      <c r="N2729" s="394"/>
      <c r="O2729" s="394"/>
      <c r="P2729" s="394"/>
      <c r="Q2729" s="394"/>
      <c r="R2729" s="381"/>
      <c r="S2729" s="408"/>
      <c r="T2729" s="385"/>
      <c r="U2729" s="475"/>
      <c r="V2729" s="395"/>
      <c r="W2729" s="395"/>
      <c r="X2729" s="393"/>
      <c r="Y2729" s="523">
        <v>1</v>
      </c>
      <c r="Z2729" s="497"/>
      <c r="AA2729" s="573">
        <v>18.408740000000002</v>
      </c>
      <c r="AB2729" s="394">
        <v>15.91553</v>
      </c>
      <c r="AC2729" s="394">
        <v>15.01099</v>
      </c>
      <c r="AD2729" s="394"/>
      <c r="AE2729" s="394"/>
      <c r="AF2729" s="394">
        <v>0</v>
      </c>
      <c r="AG2729" s="394">
        <v>0</v>
      </c>
      <c r="AH2729" s="394">
        <v>0.58123999999999998</v>
      </c>
      <c r="AI2729" s="394">
        <v>15.01099</v>
      </c>
      <c r="AJ2729" s="394"/>
      <c r="AK2729" s="381" t="s">
        <v>167</v>
      </c>
      <c r="AL2729" s="408" t="s">
        <v>175</v>
      </c>
      <c r="AM2729" s="385"/>
      <c r="AN2729" s="475">
        <v>1522</v>
      </c>
      <c r="AO2729" s="395"/>
      <c r="AP2729" s="395">
        <f t="shared" si="1056"/>
        <v>18.408740000000002</v>
      </c>
      <c r="AQ2729" s="393"/>
      <c r="AR2729" s="523"/>
      <c r="AS2729" s="497"/>
      <c r="AT2729" s="573"/>
      <c r="AU2729" s="394"/>
      <c r="AV2729" s="394"/>
      <c r="AW2729" s="394"/>
      <c r="AX2729" s="394"/>
      <c r="AY2729" s="394"/>
      <c r="AZ2729" s="394"/>
      <c r="BA2729" s="394"/>
      <c r="BB2729" s="394"/>
      <c r="BC2729" s="394"/>
      <c r="BD2729" s="381"/>
      <c r="BE2729" s="408"/>
      <c r="BF2729" s="385"/>
      <c r="BG2729" s="475"/>
      <c r="BH2729" s="395"/>
      <c r="BI2729" s="395" t="e">
        <f t="shared" si="1057"/>
        <v>#DIV/0!</v>
      </c>
    </row>
    <row r="2730" spans="1:61" s="358" customFormat="1" ht="19.2" x14ac:dyDescent="0.3">
      <c r="A2730" s="359" t="s">
        <v>4537</v>
      </c>
      <c r="B2730" s="572" t="s">
        <v>4335</v>
      </c>
      <c r="C2730" s="546" t="s">
        <v>3489</v>
      </c>
      <c r="D2730" s="360">
        <v>0.4</v>
      </c>
      <c r="E2730" s="393"/>
      <c r="F2730" s="523"/>
      <c r="G2730" s="393"/>
      <c r="H2730" s="573"/>
      <c r="I2730" s="394"/>
      <c r="J2730" s="394"/>
      <c r="K2730" s="394"/>
      <c r="L2730" s="394"/>
      <c r="M2730" s="394"/>
      <c r="N2730" s="394"/>
      <c r="O2730" s="394"/>
      <c r="P2730" s="394"/>
      <c r="Q2730" s="394"/>
      <c r="R2730" s="381"/>
      <c r="S2730" s="408"/>
      <c r="T2730" s="385"/>
      <c r="U2730" s="475"/>
      <c r="V2730" s="395"/>
      <c r="W2730" s="395"/>
      <c r="X2730" s="393"/>
      <c r="Y2730" s="523">
        <v>1</v>
      </c>
      <c r="Z2730" s="497"/>
      <c r="AA2730" s="573">
        <v>18.408740000000002</v>
      </c>
      <c r="AB2730" s="394">
        <v>15.91553</v>
      </c>
      <c r="AC2730" s="394">
        <v>15.01099</v>
      </c>
      <c r="AD2730" s="394"/>
      <c r="AE2730" s="394"/>
      <c r="AF2730" s="394">
        <v>0</v>
      </c>
      <c r="AG2730" s="394">
        <v>0</v>
      </c>
      <c r="AH2730" s="394">
        <v>0.58123999999999998</v>
      </c>
      <c r="AI2730" s="394">
        <v>15.01099</v>
      </c>
      <c r="AJ2730" s="394"/>
      <c r="AK2730" s="381" t="s">
        <v>167</v>
      </c>
      <c r="AL2730" s="408" t="s">
        <v>175</v>
      </c>
      <c r="AM2730" s="385"/>
      <c r="AN2730" s="475">
        <v>1523</v>
      </c>
      <c r="AO2730" s="395"/>
      <c r="AP2730" s="395">
        <f t="shared" si="1056"/>
        <v>18.408740000000002</v>
      </c>
      <c r="AQ2730" s="393"/>
      <c r="AR2730" s="523"/>
      <c r="AS2730" s="497"/>
      <c r="AT2730" s="573"/>
      <c r="AU2730" s="394"/>
      <c r="AV2730" s="394"/>
      <c r="AW2730" s="394"/>
      <c r="AX2730" s="394"/>
      <c r="AY2730" s="394"/>
      <c r="AZ2730" s="394"/>
      <c r="BA2730" s="394"/>
      <c r="BB2730" s="394"/>
      <c r="BC2730" s="394"/>
      <c r="BD2730" s="381"/>
      <c r="BE2730" s="408"/>
      <c r="BF2730" s="385"/>
      <c r="BG2730" s="475"/>
      <c r="BH2730" s="395"/>
      <c r="BI2730" s="395" t="e">
        <f t="shared" si="1057"/>
        <v>#DIV/0!</v>
      </c>
    </row>
    <row r="2731" spans="1:61" s="358" customFormat="1" ht="19.2" x14ac:dyDescent="0.3">
      <c r="A2731" s="359" t="s">
        <v>4554</v>
      </c>
      <c r="B2731" s="572" t="s">
        <v>4336</v>
      </c>
      <c r="C2731" s="546" t="s">
        <v>3490</v>
      </c>
      <c r="D2731" s="360">
        <v>0.4</v>
      </c>
      <c r="E2731" s="393"/>
      <c r="F2731" s="523"/>
      <c r="G2731" s="393"/>
      <c r="H2731" s="573"/>
      <c r="I2731" s="394"/>
      <c r="J2731" s="394"/>
      <c r="K2731" s="394"/>
      <c r="L2731" s="394"/>
      <c r="M2731" s="394"/>
      <c r="N2731" s="394"/>
      <c r="O2731" s="394"/>
      <c r="P2731" s="394"/>
      <c r="Q2731" s="394"/>
      <c r="R2731" s="381"/>
      <c r="S2731" s="408"/>
      <c r="T2731" s="385"/>
      <c r="U2731" s="475"/>
      <c r="V2731" s="395"/>
      <c r="W2731" s="395"/>
      <c r="X2731" s="393"/>
      <c r="Y2731" s="523">
        <v>1</v>
      </c>
      <c r="Z2731" s="497"/>
      <c r="AA2731" s="573">
        <v>18.408740000000002</v>
      </c>
      <c r="AB2731" s="394">
        <v>15.91553</v>
      </c>
      <c r="AC2731" s="394">
        <v>15.01099</v>
      </c>
      <c r="AD2731" s="394"/>
      <c r="AE2731" s="394"/>
      <c r="AF2731" s="394">
        <v>0</v>
      </c>
      <c r="AG2731" s="394">
        <v>0</v>
      </c>
      <c r="AH2731" s="394">
        <v>0.58123999999999998</v>
      </c>
      <c r="AI2731" s="394">
        <v>15.01099</v>
      </c>
      <c r="AJ2731" s="394"/>
      <c r="AK2731" s="381" t="s">
        <v>167</v>
      </c>
      <c r="AL2731" s="408" t="s">
        <v>175</v>
      </c>
      <c r="AM2731" s="385"/>
      <c r="AN2731" s="475">
        <v>1524</v>
      </c>
      <c r="AO2731" s="395"/>
      <c r="AP2731" s="395">
        <f t="shared" si="1056"/>
        <v>18.408740000000002</v>
      </c>
      <c r="AQ2731" s="393"/>
      <c r="AR2731" s="523"/>
      <c r="AS2731" s="497"/>
      <c r="AT2731" s="573"/>
      <c r="AU2731" s="394"/>
      <c r="AV2731" s="394"/>
      <c r="AW2731" s="394"/>
      <c r="AX2731" s="394"/>
      <c r="AY2731" s="394"/>
      <c r="AZ2731" s="394"/>
      <c r="BA2731" s="394"/>
      <c r="BB2731" s="394"/>
      <c r="BC2731" s="394"/>
      <c r="BD2731" s="381"/>
      <c r="BE2731" s="408"/>
      <c r="BF2731" s="385"/>
      <c r="BG2731" s="475"/>
      <c r="BH2731" s="395"/>
      <c r="BI2731" s="395" t="e">
        <f t="shared" si="1057"/>
        <v>#DIV/0!</v>
      </c>
    </row>
    <row r="2732" spans="1:61" s="358" customFormat="1" ht="29.4" x14ac:dyDescent="0.3">
      <c r="A2732" s="359" t="s">
        <v>4539</v>
      </c>
      <c r="B2732" s="572" t="s">
        <v>3972</v>
      </c>
      <c r="C2732" s="546" t="s">
        <v>4404</v>
      </c>
      <c r="D2732" s="360">
        <v>0.4</v>
      </c>
      <c r="E2732" s="393"/>
      <c r="F2732" s="523"/>
      <c r="G2732" s="393"/>
      <c r="H2732" s="573"/>
      <c r="I2732" s="394"/>
      <c r="J2732" s="394"/>
      <c r="K2732" s="394"/>
      <c r="L2732" s="394"/>
      <c r="M2732" s="394"/>
      <c r="N2732" s="394"/>
      <c r="O2732" s="394"/>
      <c r="P2732" s="394"/>
      <c r="Q2732" s="394"/>
      <c r="R2732" s="381"/>
      <c r="S2732" s="408"/>
      <c r="T2732" s="385"/>
      <c r="U2732" s="475"/>
      <c r="V2732" s="395"/>
      <c r="W2732" s="395"/>
      <c r="X2732" s="393"/>
      <c r="Y2732" s="523">
        <v>1</v>
      </c>
      <c r="Z2732" s="497"/>
      <c r="AA2732" s="573">
        <v>18.408740000000002</v>
      </c>
      <c r="AB2732" s="394">
        <v>15.91553</v>
      </c>
      <c r="AC2732" s="394">
        <v>15.01099</v>
      </c>
      <c r="AD2732" s="394"/>
      <c r="AE2732" s="394"/>
      <c r="AF2732" s="394">
        <v>0</v>
      </c>
      <c r="AG2732" s="394">
        <v>0</v>
      </c>
      <c r="AH2732" s="394">
        <v>0.58123999999999998</v>
      </c>
      <c r="AI2732" s="394">
        <v>15.01099</v>
      </c>
      <c r="AJ2732" s="394"/>
      <c r="AK2732" s="381" t="s">
        <v>167</v>
      </c>
      <c r="AL2732" s="408" t="s">
        <v>175</v>
      </c>
      <c r="AM2732" s="385"/>
      <c r="AN2732" s="475">
        <v>1525</v>
      </c>
      <c r="AO2732" s="395"/>
      <c r="AP2732" s="395">
        <f t="shared" si="1056"/>
        <v>18.408740000000002</v>
      </c>
      <c r="AQ2732" s="393"/>
      <c r="AR2732" s="523"/>
      <c r="AS2732" s="497"/>
      <c r="AT2732" s="573"/>
      <c r="AU2732" s="394"/>
      <c r="AV2732" s="394"/>
      <c r="AW2732" s="394"/>
      <c r="AX2732" s="394"/>
      <c r="AY2732" s="394"/>
      <c r="AZ2732" s="394"/>
      <c r="BA2732" s="394"/>
      <c r="BB2732" s="394"/>
      <c r="BC2732" s="394"/>
      <c r="BD2732" s="381"/>
      <c r="BE2732" s="408"/>
      <c r="BF2732" s="385"/>
      <c r="BG2732" s="475"/>
      <c r="BH2732" s="395"/>
      <c r="BI2732" s="395" t="e">
        <f t="shared" si="1057"/>
        <v>#DIV/0!</v>
      </c>
    </row>
    <row r="2733" spans="1:61" s="358" customFormat="1" ht="19.2" x14ac:dyDescent="0.3">
      <c r="A2733" s="359" t="s">
        <v>4540</v>
      </c>
      <c r="B2733" s="572" t="s">
        <v>4337</v>
      </c>
      <c r="C2733" s="546" t="s">
        <v>3491</v>
      </c>
      <c r="D2733" s="360">
        <v>0.4</v>
      </c>
      <c r="E2733" s="393"/>
      <c r="F2733" s="523"/>
      <c r="G2733" s="393"/>
      <c r="H2733" s="573"/>
      <c r="I2733" s="394"/>
      <c r="J2733" s="394"/>
      <c r="K2733" s="394"/>
      <c r="L2733" s="394"/>
      <c r="M2733" s="394"/>
      <c r="N2733" s="394"/>
      <c r="O2733" s="394"/>
      <c r="P2733" s="394"/>
      <c r="Q2733" s="394"/>
      <c r="R2733" s="381"/>
      <c r="S2733" s="408"/>
      <c r="T2733" s="385"/>
      <c r="U2733" s="475"/>
      <c r="V2733" s="395"/>
      <c r="W2733" s="395"/>
      <c r="X2733" s="393"/>
      <c r="Y2733" s="523">
        <v>1</v>
      </c>
      <c r="Z2733" s="497"/>
      <c r="AA2733" s="573">
        <v>18.5869</v>
      </c>
      <c r="AB2733" s="394">
        <v>16.093689999999999</v>
      </c>
      <c r="AC2733" s="394">
        <v>15.005520000000001</v>
      </c>
      <c r="AD2733" s="394"/>
      <c r="AE2733" s="394"/>
      <c r="AF2733" s="394">
        <v>0</v>
      </c>
      <c r="AG2733" s="394">
        <v>0</v>
      </c>
      <c r="AH2733" s="394">
        <v>0.58123999999999998</v>
      </c>
      <c r="AI2733" s="394">
        <v>15.005520000000001</v>
      </c>
      <c r="AJ2733" s="394"/>
      <c r="AK2733" s="381" t="s">
        <v>167</v>
      </c>
      <c r="AL2733" s="408" t="s">
        <v>175</v>
      </c>
      <c r="AM2733" s="385"/>
      <c r="AN2733" s="475">
        <v>1526</v>
      </c>
      <c r="AO2733" s="395"/>
      <c r="AP2733" s="395">
        <f t="shared" si="1056"/>
        <v>18.5869</v>
      </c>
      <c r="AQ2733" s="393"/>
      <c r="AR2733" s="523"/>
      <c r="AS2733" s="497"/>
      <c r="AT2733" s="573"/>
      <c r="AU2733" s="394"/>
      <c r="AV2733" s="394"/>
      <c r="AW2733" s="394"/>
      <c r="AX2733" s="394"/>
      <c r="AY2733" s="394"/>
      <c r="AZ2733" s="394"/>
      <c r="BA2733" s="394"/>
      <c r="BB2733" s="394"/>
      <c r="BC2733" s="394"/>
      <c r="BD2733" s="381"/>
      <c r="BE2733" s="408"/>
      <c r="BF2733" s="385"/>
      <c r="BG2733" s="475"/>
      <c r="BH2733" s="395"/>
      <c r="BI2733" s="395" t="e">
        <f t="shared" si="1057"/>
        <v>#DIV/0!</v>
      </c>
    </row>
    <row r="2734" spans="1:61" s="358" customFormat="1" ht="19.2" x14ac:dyDescent="0.3">
      <c r="A2734" s="359" t="s">
        <v>4541</v>
      </c>
      <c r="B2734" s="572" t="s">
        <v>4338</v>
      </c>
      <c r="C2734" s="546" t="s">
        <v>3492</v>
      </c>
      <c r="D2734" s="360">
        <v>0.4</v>
      </c>
      <c r="E2734" s="393"/>
      <c r="F2734" s="523"/>
      <c r="G2734" s="393"/>
      <c r="H2734" s="573"/>
      <c r="I2734" s="394"/>
      <c r="J2734" s="394"/>
      <c r="K2734" s="394"/>
      <c r="L2734" s="394"/>
      <c r="M2734" s="394"/>
      <c r="N2734" s="394"/>
      <c r="O2734" s="394"/>
      <c r="P2734" s="394"/>
      <c r="Q2734" s="394"/>
      <c r="R2734" s="381"/>
      <c r="S2734" s="408"/>
      <c r="T2734" s="385"/>
      <c r="U2734" s="475"/>
      <c r="V2734" s="395"/>
      <c r="W2734" s="395"/>
      <c r="X2734" s="393"/>
      <c r="Y2734" s="523">
        <v>1</v>
      </c>
      <c r="Z2734" s="497"/>
      <c r="AA2734" s="573">
        <v>18.408729999999998</v>
      </c>
      <c r="AB2734" s="394">
        <v>15.915520000000001</v>
      </c>
      <c r="AC2734" s="394">
        <v>15.01099</v>
      </c>
      <c r="AD2734" s="394"/>
      <c r="AE2734" s="394"/>
      <c r="AF2734" s="394">
        <v>0</v>
      </c>
      <c r="AG2734" s="394">
        <v>0</v>
      </c>
      <c r="AH2734" s="394">
        <v>0.58123999999999998</v>
      </c>
      <c r="AI2734" s="394">
        <v>15.01099</v>
      </c>
      <c r="AJ2734" s="394"/>
      <c r="AK2734" s="381" t="s">
        <v>167</v>
      </c>
      <c r="AL2734" s="408" t="s">
        <v>175</v>
      </c>
      <c r="AM2734" s="385"/>
      <c r="AN2734" s="475">
        <v>1527</v>
      </c>
      <c r="AO2734" s="395"/>
      <c r="AP2734" s="395">
        <f t="shared" si="1056"/>
        <v>18.408729999999998</v>
      </c>
      <c r="AQ2734" s="393"/>
      <c r="AR2734" s="523"/>
      <c r="AS2734" s="497"/>
      <c r="AT2734" s="573"/>
      <c r="AU2734" s="394"/>
      <c r="AV2734" s="394"/>
      <c r="AW2734" s="394"/>
      <c r="AX2734" s="394"/>
      <c r="AY2734" s="394"/>
      <c r="AZ2734" s="394"/>
      <c r="BA2734" s="394"/>
      <c r="BB2734" s="394"/>
      <c r="BC2734" s="394"/>
      <c r="BD2734" s="381"/>
      <c r="BE2734" s="408"/>
      <c r="BF2734" s="385"/>
      <c r="BG2734" s="475"/>
      <c r="BH2734" s="395"/>
      <c r="BI2734" s="395" t="e">
        <f t="shared" si="1057"/>
        <v>#DIV/0!</v>
      </c>
    </row>
    <row r="2735" spans="1:61" s="358" customFormat="1" ht="19.2" x14ac:dyDescent="0.3">
      <c r="A2735" s="359" t="s">
        <v>4558</v>
      </c>
      <c r="B2735" s="572" t="s">
        <v>4339</v>
      </c>
      <c r="C2735" s="546" t="s">
        <v>3493</v>
      </c>
      <c r="D2735" s="360">
        <v>0.4</v>
      </c>
      <c r="E2735" s="393"/>
      <c r="F2735" s="523"/>
      <c r="G2735" s="393"/>
      <c r="H2735" s="573"/>
      <c r="I2735" s="394"/>
      <c r="J2735" s="394"/>
      <c r="K2735" s="394"/>
      <c r="L2735" s="394"/>
      <c r="M2735" s="394"/>
      <c r="N2735" s="394"/>
      <c r="O2735" s="394"/>
      <c r="P2735" s="394"/>
      <c r="Q2735" s="394"/>
      <c r="R2735" s="381"/>
      <c r="S2735" s="408"/>
      <c r="T2735" s="385"/>
      <c r="U2735" s="475"/>
      <c r="V2735" s="395"/>
      <c r="W2735" s="395"/>
      <c r="X2735" s="393"/>
      <c r="Y2735" s="523">
        <v>1</v>
      </c>
      <c r="Z2735" s="497"/>
      <c r="AA2735" s="573">
        <v>18.408750000000001</v>
      </c>
      <c r="AB2735" s="394">
        <v>15.91554</v>
      </c>
      <c r="AC2735" s="394">
        <v>15.01099</v>
      </c>
      <c r="AD2735" s="394"/>
      <c r="AE2735" s="394"/>
      <c r="AF2735" s="394">
        <v>0</v>
      </c>
      <c r="AG2735" s="394">
        <v>0</v>
      </c>
      <c r="AH2735" s="394">
        <v>0.58123999999999998</v>
      </c>
      <c r="AI2735" s="394">
        <v>15.01099</v>
      </c>
      <c r="AJ2735" s="394"/>
      <c r="AK2735" s="381" t="s">
        <v>167</v>
      </c>
      <c r="AL2735" s="408" t="s">
        <v>175</v>
      </c>
      <c r="AM2735" s="385"/>
      <c r="AN2735" s="475">
        <v>1528</v>
      </c>
      <c r="AO2735" s="395"/>
      <c r="AP2735" s="395">
        <f t="shared" si="1056"/>
        <v>18.408750000000001</v>
      </c>
      <c r="AQ2735" s="393"/>
      <c r="AR2735" s="523"/>
      <c r="AS2735" s="497"/>
      <c r="AT2735" s="573"/>
      <c r="AU2735" s="394"/>
      <c r="AV2735" s="394"/>
      <c r="AW2735" s="394"/>
      <c r="AX2735" s="394"/>
      <c r="AY2735" s="394"/>
      <c r="AZ2735" s="394"/>
      <c r="BA2735" s="394"/>
      <c r="BB2735" s="394"/>
      <c r="BC2735" s="394"/>
      <c r="BD2735" s="381"/>
      <c r="BE2735" s="408"/>
      <c r="BF2735" s="385"/>
      <c r="BG2735" s="475"/>
      <c r="BH2735" s="395"/>
      <c r="BI2735" s="395" t="e">
        <f t="shared" si="1057"/>
        <v>#DIV/0!</v>
      </c>
    </row>
    <row r="2736" spans="1:61" s="358" customFormat="1" ht="19.2" x14ac:dyDescent="0.3">
      <c r="A2736" s="359" t="s">
        <v>4543</v>
      </c>
      <c r="B2736" s="572" t="s">
        <v>4340</v>
      </c>
      <c r="C2736" s="546" t="s">
        <v>3494</v>
      </c>
      <c r="D2736" s="360">
        <v>0.4</v>
      </c>
      <c r="E2736" s="393"/>
      <c r="F2736" s="523"/>
      <c r="G2736" s="393"/>
      <c r="H2736" s="573"/>
      <c r="I2736" s="394"/>
      <c r="J2736" s="394"/>
      <c r="K2736" s="394"/>
      <c r="L2736" s="394"/>
      <c r="M2736" s="394"/>
      <c r="N2736" s="394"/>
      <c r="O2736" s="394"/>
      <c r="P2736" s="394"/>
      <c r="Q2736" s="394"/>
      <c r="R2736" s="381"/>
      <c r="S2736" s="408"/>
      <c r="T2736" s="385"/>
      <c r="U2736" s="475"/>
      <c r="V2736" s="395"/>
      <c r="W2736" s="395"/>
      <c r="X2736" s="393"/>
      <c r="Y2736" s="523">
        <v>1</v>
      </c>
      <c r="Z2736" s="497"/>
      <c r="AA2736" s="573">
        <v>18.451540000000001</v>
      </c>
      <c r="AB2736" s="394">
        <v>15.95833</v>
      </c>
      <c r="AC2736" s="394">
        <v>15.0055</v>
      </c>
      <c r="AD2736" s="394"/>
      <c r="AE2736" s="394"/>
      <c r="AF2736" s="394">
        <v>0</v>
      </c>
      <c r="AG2736" s="394">
        <v>0</v>
      </c>
      <c r="AH2736" s="394">
        <v>0.58123999999999998</v>
      </c>
      <c r="AI2736" s="394">
        <v>15.0055</v>
      </c>
      <c r="AJ2736" s="394"/>
      <c r="AK2736" s="381" t="s">
        <v>167</v>
      </c>
      <c r="AL2736" s="408" t="s">
        <v>175</v>
      </c>
      <c r="AM2736" s="385"/>
      <c r="AN2736" s="475">
        <v>1529</v>
      </c>
      <c r="AO2736" s="395"/>
      <c r="AP2736" s="395">
        <f t="shared" si="1056"/>
        <v>18.451540000000001</v>
      </c>
      <c r="AQ2736" s="393"/>
      <c r="AR2736" s="523"/>
      <c r="AS2736" s="497"/>
      <c r="AT2736" s="573"/>
      <c r="AU2736" s="394"/>
      <c r="AV2736" s="394"/>
      <c r="AW2736" s="394"/>
      <c r="AX2736" s="394"/>
      <c r="AY2736" s="394"/>
      <c r="AZ2736" s="394"/>
      <c r="BA2736" s="394"/>
      <c r="BB2736" s="394"/>
      <c r="BC2736" s="394"/>
      <c r="BD2736" s="381"/>
      <c r="BE2736" s="408"/>
      <c r="BF2736" s="385"/>
      <c r="BG2736" s="475"/>
      <c r="BH2736" s="395"/>
      <c r="BI2736" s="395" t="e">
        <f t="shared" si="1057"/>
        <v>#DIV/0!</v>
      </c>
    </row>
    <row r="2737" spans="1:61" s="358" customFormat="1" ht="19.2" x14ac:dyDescent="0.3">
      <c r="A2737" s="359" t="s">
        <v>4544</v>
      </c>
      <c r="B2737" s="572" t="s">
        <v>4341</v>
      </c>
      <c r="C2737" s="546" t="s">
        <v>3495</v>
      </c>
      <c r="D2737" s="360">
        <v>0.4</v>
      </c>
      <c r="E2737" s="393"/>
      <c r="F2737" s="523"/>
      <c r="G2737" s="393"/>
      <c r="H2737" s="573"/>
      <c r="I2737" s="394"/>
      <c r="J2737" s="394"/>
      <c r="K2737" s="394"/>
      <c r="L2737" s="394"/>
      <c r="M2737" s="394"/>
      <c r="N2737" s="394"/>
      <c r="O2737" s="394"/>
      <c r="P2737" s="394"/>
      <c r="Q2737" s="394"/>
      <c r="R2737" s="381"/>
      <c r="S2737" s="408"/>
      <c r="T2737" s="385"/>
      <c r="U2737" s="475"/>
      <c r="V2737" s="395"/>
      <c r="W2737" s="395"/>
      <c r="X2737" s="393"/>
      <c r="Y2737" s="523">
        <v>1</v>
      </c>
      <c r="Z2737" s="497"/>
      <c r="AA2737" s="573">
        <v>18.58689</v>
      </c>
      <c r="AB2737" s="394">
        <v>16.093679999999999</v>
      </c>
      <c r="AC2737" s="394">
        <v>15.005520000000001</v>
      </c>
      <c r="AD2737" s="394"/>
      <c r="AE2737" s="394"/>
      <c r="AF2737" s="394">
        <v>0</v>
      </c>
      <c r="AG2737" s="394">
        <v>0</v>
      </c>
      <c r="AH2737" s="394">
        <v>0.58123999999999998</v>
      </c>
      <c r="AI2737" s="394">
        <v>15.005520000000001</v>
      </c>
      <c r="AJ2737" s="394"/>
      <c r="AK2737" s="381" t="s">
        <v>167</v>
      </c>
      <c r="AL2737" s="408" t="s">
        <v>175</v>
      </c>
      <c r="AM2737" s="385"/>
      <c r="AN2737" s="475">
        <v>1530</v>
      </c>
      <c r="AO2737" s="395"/>
      <c r="AP2737" s="395">
        <f t="shared" si="1056"/>
        <v>18.58689</v>
      </c>
      <c r="AQ2737" s="393"/>
      <c r="AR2737" s="523"/>
      <c r="AS2737" s="497"/>
      <c r="AT2737" s="573"/>
      <c r="AU2737" s="394"/>
      <c r="AV2737" s="394"/>
      <c r="AW2737" s="394"/>
      <c r="AX2737" s="394"/>
      <c r="AY2737" s="394"/>
      <c r="AZ2737" s="394"/>
      <c r="BA2737" s="394"/>
      <c r="BB2737" s="394"/>
      <c r="BC2737" s="394"/>
      <c r="BD2737" s="381"/>
      <c r="BE2737" s="408"/>
      <c r="BF2737" s="385"/>
      <c r="BG2737" s="475"/>
      <c r="BH2737" s="395"/>
      <c r="BI2737" s="395" t="e">
        <f t="shared" si="1057"/>
        <v>#DIV/0!</v>
      </c>
    </row>
    <row r="2738" spans="1:61" s="358" customFormat="1" ht="19.2" x14ac:dyDescent="0.3">
      <c r="A2738" s="359" t="s">
        <v>4529</v>
      </c>
      <c r="B2738" s="572" t="s">
        <v>4342</v>
      </c>
      <c r="C2738" s="546" t="s">
        <v>3496</v>
      </c>
      <c r="D2738" s="360">
        <v>0.4</v>
      </c>
      <c r="E2738" s="393"/>
      <c r="F2738" s="523"/>
      <c r="G2738" s="393"/>
      <c r="H2738" s="573"/>
      <c r="I2738" s="394"/>
      <c r="J2738" s="394"/>
      <c r="K2738" s="394"/>
      <c r="L2738" s="394"/>
      <c r="M2738" s="394"/>
      <c r="N2738" s="394"/>
      <c r="O2738" s="394"/>
      <c r="P2738" s="394"/>
      <c r="Q2738" s="394"/>
      <c r="R2738" s="381"/>
      <c r="S2738" s="408"/>
      <c r="T2738" s="385"/>
      <c r="U2738" s="475"/>
      <c r="V2738" s="395"/>
      <c r="W2738" s="395"/>
      <c r="X2738" s="393"/>
      <c r="Y2738" s="523">
        <v>1</v>
      </c>
      <c r="Z2738" s="497"/>
      <c r="AA2738" s="573">
        <v>18.408740000000002</v>
      </c>
      <c r="AB2738" s="394">
        <v>15.91553</v>
      </c>
      <c r="AC2738" s="394">
        <v>15.01099</v>
      </c>
      <c r="AD2738" s="394"/>
      <c r="AE2738" s="394"/>
      <c r="AF2738" s="394">
        <v>0</v>
      </c>
      <c r="AG2738" s="394">
        <v>0</v>
      </c>
      <c r="AH2738" s="394">
        <v>0.58123999999999998</v>
      </c>
      <c r="AI2738" s="394">
        <v>15.01099</v>
      </c>
      <c r="AJ2738" s="394"/>
      <c r="AK2738" s="381" t="s">
        <v>167</v>
      </c>
      <c r="AL2738" s="408" t="s">
        <v>175</v>
      </c>
      <c r="AM2738" s="385"/>
      <c r="AN2738" s="475">
        <v>1531</v>
      </c>
      <c r="AO2738" s="395"/>
      <c r="AP2738" s="395">
        <f t="shared" si="1056"/>
        <v>18.408740000000002</v>
      </c>
      <c r="AQ2738" s="393"/>
      <c r="AR2738" s="523"/>
      <c r="AS2738" s="497"/>
      <c r="AT2738" s="573"/>
      <c r="AU2738" s="394"/>
      <c r="AV2738" s="394"/>
      <c r="AW2738" s="394"/>
      <c r="AX2738" s="394"/>
      <c r="AY2738" s="394"/>
      <c r="AZ2738" s="394"/>
      <c r="BA2738" s="394"/>
      <c r="BB2738" s="394"/>
      <c r="BC2738" s="394"/>
      <c r="BD2738" s="381"/>
      <c r="BE2738" s="408"/>
      <c r="BF2738" s="385"/>
      <c r="BG2738" s="475"/>
      <c r="BH2738" s="395"/>
      <c r="BI2738" s="395" t="e">
        <f t="shared" si="1057"/>
        <v>#DIV/0!</v>
      </c>
    </row>
    <row r="2739" spans="1:61" s="358" customFormat="1" ht="19.2" x14ac:dyDescent="0.3">
      <c r="A2739" s="359" t="s">
        <v>4546</v>
      </c>
      <c r="B2739" s="572" t="s">
        <v>4343</v>
      </c>
      <c r="C2739" s="546" t="s">
        <v>3497</v>
      </c>
      <c r="D2739" s="360">
        <v>0.4</v>
      </c>
      <c r="E2739" s="393"/>
      <c r="F2739" s="523"/>
      <c r="G2739" s="393"/>
      <c r="H2739" s="573"/>
      <c r="I2739" s="394"/>
      <c r="J2739" s="394"/>
      <c r="K2739" s="394"/>
      <c r="L2739" s="394"/>
      <c r="M2739" s="394"/>
      <c r="N2739" s="394"/>
      <c r="O2739" s="394"/>
      <c r="P2739" s="394"/>
      <c r="Q2739" s="394"/>
      <c r="R2739" s="381"/>
      <c r="S2739" s="408"/>
      <c r="T2739" s="385"/>
      <c r="U2739" s="475"/>
      <c r="V2739" s="395"/>
      <c r="W2739" s="395"/>
      <c r="X2739" s="393"/>
      <c r="Y2739" s="523">
        <v>1</v>
      </c>
      <c r="Z2739" s="497"/>
      <c r="AA2739" s="573">
        <v>18.58689</v>
      </c>
      <c r="AB2739" s="394">
        <v>16.093679999999999</v>
      </c>
      <c r="AC2739" s="394">
        <v>15.005520000000001</v>
      </c>
      <c r="AD2739" s="394"/>
      <c r="AE2739" s="394"/>
      <c r="AF2739" s="394">
        <v>0</v>
      </c>
      <c r="AG2739" s="394">
        <v>0</v>
      </c>
      <c r="AH2739" s="394">
        <v>0.58123999999999998</v>
      </c>
      <c r="AI2739" s="394">
        <v>15.005520000000001</v>
      </c>
      <c r="AJ2739" s="394"/>
      <c r="AK2739" s="381" t="s">
        <v>167</v>
      </c>
      <c r="AL2739" s="408" t="s">
        <v>175</v>
      </c>
      <c r="AM2739" s="385"/>
      <c r="AN2739" s="475">
        <v>1532</v>
      </c>
      <c r="AO2739" s="395"/>
      <c r="AP2739" s="395">
        <f t="shared" si="1056"/>
        <v>18.58689</v>
      </c>
      <c r="AQ2739" s="393"/>
      <c r="AR2739" s="523"/>
      <c r="AS2739" s="497"/>
      <c r="AT2739" s="573"/>
      <c r="AU2739" s="394"/>
      <c r="AV2739" s="394"/>
      <c r="AW2739" s="394"/>
      <c r="AX2739" s="394"/>
      <c r="AY2739" s="394"/>
      <c r="AZ2739" s="394"/>
      <c r="BA2739" s="394"/>
      <c r="BB2739" s="394"/>
      <c r="BC2739" s="394"/>
      <c r="BD2739" s="381"/>
      <c r="BE2739" s="408"/>
      <c r="BF2739" s="385"/>
      <c r="BG2739" s="475"/>
      <c r="BH2739" s="395"/>
      <c r="BI2739" s="395" t="e">
        <f t="shared" si="1057"/>
        <v>#DIV/0!</v>
      </c>
    </row>
    <row r="2740" spans="1:61" s="358" customFormat="1" ht="19.2" x14ac:dyDescent="0.3">
      <c r="A2740" s="359" t="s">
        <v>4547</v>
      </c>
      <c r="B2740" s="572" t="s">
        <v>4344</v>
      </c>
      <c r="C2740" s="546" t="s">
        <v>3498</v>
      </c>
      <c r="D2740" s="360">
        <v>0.4</v>
      </c>
      <c r="E2740" s="393"/>
      <c r="F2740" s="523"/>
      <c r="G2740" s="393"/>
      <c r="H2740" s="573"/>
      <c r="I2740" s="394"/>
      <c r="J2740" s="394"/>
      <c r="K2740" s="394"/>
      <c r="L2740" s="394"/>
      <c r="M2740" s="394"/>
      <c r="N2740" s="394"/>
      <c r="O2740" s="394"/>
      <c r="P2740" s="394"/>
      <c r="Q2740" s="394"/>
      <c r="R2740" s="381"/>
      <c r="S2740" s="408"/>
      <c r="T2740" s="385"/>
      <c r="U2740" s="475"/>
      <c r="V2740" s="395"/>
      <c r="W2740" s="395"/>
      <c r="X2740" s="393"/>
      <c r="Y2740" s="523">
        <v>1</v>
      </c>
      <c r="Z2740" s="497"/>
      <c r="AA2740" s="573">
        <v>18.5869</v>
      </c>
      <c r="AB2740" s="394">
        <v>16.093689999999999</v>
      </c>
      <c r="AC2740" s="394">
        <v>15.005520000000001</v>
      </c>
      <c r="AD2740" s="394"/>
      <c r="AE2740" s="394"/>
      <c r="AF2740" s="394">
        <v>0</v>
      </c>
      <c r="AG2740" s="394">
        <v>0</v>
      </c>
      <c r="AH2740" s="394">
        <v>0.58123999999999998</v>
      </c>
      <c r="AI2740" s="394">
        <v>15.005520000000001</v>
      </c>
      <c r="AJ2740" s="394"/>
      <c r="AK2740" s="381" t="s">
        <v>167</v>
      </c>
      <c r="AL2740" s="408" t="s">
        <v>175</v>
      </c>
      <c r="AM2740" s="385"/>
      <c r="AN2740" s="475">
        <v>1533</v>
      </c>
      <c r="AO2740" s="395"/>
      <c r="AP2740" s="395">
        <f t="shared" si="1056"/>
        <v>18.5869</v>
      </c>
      <c r="AQ2740" s="393"/>
      <c r="AR2740" s="523"/>
      <c r="AS2740" s="497"/>
      <c r="AT2740" s="573"/>
      <c r="AU2740" s="394"/>
      <c r="AV2740" s="394"/>
      <c r="AW2740" s="394"/>
      <c r="AX2740" s="394"/>
      <c r="AY2740" s="394"/>
      <c r="AZ2740" s="394"/>
      <c r="BA2740" s="394"/>
      <c r="BB2740" s="394"/>
      <c r="BC2740" s="394"/>
      <c r="BD2740" s="381"/>
      <c r="BE2740" s="408"/>
      <c r="BF2740" s="385"/>
      <c r="BG2740" s="475"/>
      <c r="BH2740" s="395"/>
      <c r="BI2740" s="395" t="e">
        <f t="shared" si="1057"/>
        <v>#DIV/0!</v>
      </c>
    </row>
    <row r="2741" spans="1:61" s="358" customFormat="1" ht="19.2" x14ac:dyDescent="0.3">
      <c r="A2741" s="359" t="s">
        <v>4548</v>
      </c>
      <c r="B2741" s="572" t="s">
        <v>4345</v>
      </c>
      <c r="C2741" s="546" t="s">
        <v>3499</v>
      </c>
      <c r="D2741" s="360">
        <v>0.4</v>
      </c>
      <c r="E2741" s="393"/>
      <c r="F2741" s="523"/>
      <c r="G2741" s="393"/>
      <c r="H2741" s="573"/>
      <c r="I2741" s="394"/>
      <c r="J2741" s="394"/>
      <c r="K2741" s="394"/>
      <c r="L2741" s="394"/>
      <c r="M2741" s="394"/>
      <c r="N2741" s="394"/>
      <c r="O2741" s="394"/>
      <c r="P2741" s="394"/>
      <c r="Q2741" s="394"/>
      <c r="R2741" s="381"/>
      <c r="S2741" s="408"/>
      <c r="T2741" s="385"/>
      <c r="U2741" s="475"/>
      <c r="V2741" s="395"/>
      <c r="W2741" s="395"/>
      <c r="X2741" s="393"/>
      <c r="Y2741" s="523">
        <v>1</v>
      </c>
      <c r="Z2741" s="497"/>
      <c r="AA2741" s="573">
        <v>18.5869</v>
      </c>
      <c r="AB2741" s="394">
        <v>16.093689999999999</v>
      </c>
      <c r="AC2741" s="394">
        <v>15.005520000000001</v>
      </c>
      <c r="AD2741" s="394"/>
      <c r="AE2741" s="394"/>
      <c r="AF2741" s="394">
        <v>0</v>
      </c>
      <c r="AG2741" s="394">
        <v>0</v>
      </c>
      <c r="AH2741" s="394">
        <v>0.58123999999999998</v>
      </c>
      <c r="AI2741" s="394">
        <v>15.005520000000001</v>
      </c>
      <c r="AJ2741" s="394"/>
      <c r="AK2741" s="381" t="s">
        <v>167</v>
      </c>
      <c r="AL2741" s="408" t="s">
        <v>175</v>
      </c>
      <c r="AM2741" s="385"/>
      <c r="AN2741" s="475">
        <v>1534</v>
      </c>
      <c r="AO2741" s="395"/>
      <c r="AP2741" s="395">
        <f t="shared" si="1056"/>
        <v>18.5869</v>
      </c>
      <c r="AQ2741" s="393"/>
      <c r="AR2741" s="523"/>
      <c r="AS2741" s="497"/>
      <c r="AT2741" s="573"/>
      <c r="AU2741" s="394"/>
      <c r="AV2741" s="394"/>
      <c r="AW2741" s="394"/>
      <c r="AX2741" s="394"/>
      <c r="AY2741" s="394"/>
      <c r="AZ2741" s="394"/>
      <c r="BA2741" s="394"/>
      <c r="BB2741" s="394"/>
      <c r="BC2741" s="394"/>
      <c r="BD2741" s="381"/>
      <c r="BE2741" s="408"/>
      <c r="BF2741" s="385"/>
      <c r="BG2741" s="475"/>
      <c r="BH2741" s="395"/>
      <c r="BI2741" s="395" t="e">
        <f t="shared" si="1057"/>
        <v>#DIV/0!</v>
      </c>
    </row>
    <row r="2742" spans="1:61" s="358" customFormat="1" ht="19.2" x14ac:dyDescent="0.3">
      <c r="A2742" s="359" t="s">
        <v>4549</v>
      </c>
      <c r="B2742" s="572" t="s">
        <v>4346</v>
      </c>
      <c r="C2742" s="546" t="s">
        <v>3500</v>
      </c>
      <c r="D2742" s="360">
        <v>0.4</v>
      </c>
      <c r="E2742" s="393"/>
      <c r="F2742" s="523"/>
      <c r="G2742" s="393"/>
      <c r="H2742" s="573"/>
      <c r="I2742" s="394"/>
      <c r="J2742" s="394"/>
      <c r="K2742" s="394"/>
      <c r="L2742" s="394"/>
      <c r="M2742" s="394"/>
      <c r="N2742" s="394"/>
      <c r="O2742" s="394"/>
      <c r="P2742" s="394"/>
      <c r="Q2742" s="394"/>
      <c r="R2742" s="381"/>
      <c r="S2742" s="408"/>
      <c r="T2742" s="385"/>
      <c r="U2742" s="475"/>
      <c r="V2742" s="395"/>
      <c r="W2742" s="395"/>
      <c r="X2742" s="393"/>
      <c r="Y2742" s="523">
        <v>1</v>
      </c>
      <c r="Z2742" s="497"/>
      <c r="AA2742" s="573">
        <v>18.408729999999998</v>
      </c>
      <c r="AB2742" s="394">
        <v>15.915520000000001</v>
      </c>
      <c r="AC2742" s="394">
        <v>15.01099</v>
      </c>
      <c r="AD2742" s="394"/>
      <c r="AE2742" s="394"/>
      <c r="AF2742" s="394">
        <v>0</v>
      </c>
      <c r="AG2742" s="394">
        <v>0</v>
      </c>
      <c r="AH2742" s="394">
        <v>0.58123999999999998</v>
      </c>
      <c r="AI2742" s="394">
        <v>15.01099</v>
      </c>
      <c r="AJ2742" s="394"/>
      <c r="AK2742" s="381" t="s">
        <v>167</v>
      </c>
      <c r="AL2742" s="408" t="s">
        <v>175</v>
      </c>
      <c r="AM2742" s="385"/>
      <c r="AN2742" s="475">
        <v>1535</v>
      </c>
      <c r="AO2742" s="395"/>
      <c r="AP2742" s="395">
        <f t="shared" si="1056"/>
        <v>18.408729999999998</v>
      </c>
      <c r="AQ2742" s="393"/>
      <c r="AR2742" s="523"/>
      <c r="AS2742" s="497"/>
      <c r="AT2742" s="573"/>
      <c r="AU2742" s="394"/>
      <c r="AV2742" s="394"/>
      <c r="AW2742" s="394"/>
      <c r="AX2742" s="394"/>
      <c r="AY2742" s="394"/>
      <c r="AZ2742" s="394"/>
      <c r="BA2742" s="394"/>
      <c r="BB2742" s="394"/>
      <c r="BC2742" s="394"/>
      <c r="BD2742" s="381"/>
      <c r="BE2742" s="408"/>
      <c r="BF2742" s="385"/>
      <c r="BG2742" s="475"/>
      <c r="BH2742" s="395"/>
      <c r="BI2742" s="395" t="e">
        <f t="shared" si="1057"/>
        <v>#DIV/0!</v>
      </c>
    </row>
    <row r="2743" spans="1:61" s="358" customFormat="1" ht="19.2" x14ac:dyDescent="0.3">
      <c r="A2743" s="359" t="s">
        <v>4550</v>
      </c>
      <c r="B2743" s="572" t="s">
        <v>2492</v>
      </c>
      <c r="C2743" s="546" t="s">
        <v>2491</v>
      </c>
      <c r="D2743" s="360">
        <v>0.4</v>
      </c>
      <c r="E2743" s="393"/>
      <c r="F2743" s="523"/>
      <c r="G2743" s="393"/>
      <c r="H2743" s="573"/>
      <c r="I2743" s="394"/>
      <c r="J2743" s="394"/>
      <c r="K2743" s="394"/>
      <c r="L2743" s="394"/>
      <c r="M2743" s="394"/>
      <c r="N2743" s="394"/>
      <c r="O2743" s="394"/>
      <c r="P2743" s="394"/>
      <c r="Q2743" s="394"/>
      <c r="R2743" s="381"/>
      <c r="S2743" s="408"/>
      <c r="T2743" s="385"/>
      <c r="U2743" s="475"/>
      <c r="V2743" s="395"/>
      <c r="W2743" s="395"/>
      <c r="X2743" s="393"/>
      <c r="Y2743" s="523">
        <v>1</v>
      </c>
      <c r="Z2743" s="497"/>
      <c r="AA2743" s="573">
        <v>18.408740000000002</v>
      </c>
      <c r="AB2743" s="394">
        <v>15.91553</v>
      </c>
      <c r="AC2743" s="394">
        <v>15.01099</v>
      </c>
      <c r="AD2743" s="394"/>
      <c r="AE2743" s="394"/>
      <c r="AF2743" s="394">
        <v>0</v>
      </c>
      <c r="AG2743" s="394">
        <v>0</v>
      </c>
      <c r="AH2743" s="394">
        <v>0.58123999999999998</v>
      </c>
      <c r="AI2743" s="394">
        <v>15.01099</v>
      </c>
      <c r="AJ2743" s="394"/>
      <c r="AK2743" s="381" t="s">
        <v>167</v>
      </c>
      <c r="AL2743" s="408" t="s">
        <v>175</v>
      </c>
      <c r="AM2743" s="385"/>
      <c r="AN2743" s="475">
        <v>1536</v>
      </c>
      <c r="AO2743" s="395"/>
      <c r="AP2743" s="395">
        <f t="shared" si="1056"/>
        <v>18.408740000000002</v>
      </c>
      <c r="AQ2743" s="393"/>
      <c r="AR2743" s="523"/>
      <c r="AS2743" s="497"/>
      <c r="AT2743" s="573"/>
      <c r="AU2743" s="394"/>
      <c r="AV2743" s="394"/>
      <c r="AW2743" s="394"/>
      <c r="AX2743" s="394"/>
      <c r="AY2743" s="394"/>
      <c r="AZ2743" s="394"/>
      <c r="BA2743" s="394"/>
      <c r="BB2743" s="394"/>
      <c r="BC2743" s="394"/>
      <c r="BD2743" s="381"/>
      <c r="BE2743" s="408"/>
      <c r="BF2743" s="385"/>
      <c r="BG2743" s="475"/>
      <c r="BH2743" s="395"/>
      <c r="BI2743" s="395" t="e">
        <f t="shared" si="1057"/>
        <v>#DIV/0!</v>
      </c>
    </row>
    <row r="2744" spans="1:61" s="358" customFormat="1" ht="19.2" x14ac:dyDescent="0.3">
      <c r="A2744" s="359" t="s">
        <v>4551</v>
      </c>
      <c r="B2744" s="572" t="s">
        <v>4347</v>
      </c>
      <c r="C2744" s="546" t="s">
        <v>3501</v>
      </c>
      <c r="D2744" s="360">
        <v>0.4</v>
      </c>
      <c r="E2744" s="393"/>
      <c r="F2744" s="523"/>
      <c r="G2744" s="393"/>
      <c r="H2744" s="573"/>
      <c r="I2744" s="394"/>
      <c r="J2744" s="394"/>
      <c r="K2744" s="394"/>
      <c r="L2744" s="394"/>
      <c r="M2744" s="394"/>
      <c r="N2744" s="394"/>
      <c r="O2744" s="394"/>
      <c r="P2744" s="394"/>
      <c r="Q2744" s="394"/>
      <c r="R2744" s="381"/>
      <c r="S2744" s="408"/>
      <c r="T2744" s="385"/>
      <c r="U2744" s="475"/>
      <c r="V2744" s="395"/>
      <c r="W2744" s="395"/>
      <c r="X2744" s="393"/>
      <c r="Y2744" s="523">
        <v>1</v>
      </c>
      <c r="Z2744" s="497"/>
      <c r="AA2744" s="573">
        <v>18.408740000000002</v>
      </c>
      <c r="AB2744" s="394">
        <v>15.91553</v>
      </c>
      <c r="AC2744" s="394">
        <v>15.01099</v>
      </c>
      <c r="AD2744" s="394"/>
      <c r="AE2744" s="394"/>
      <c r="AF2744" s="394">
        <v>0</v>
      </c>
      <c r="AG2744" s="394">
        <v>0</v>
      </c>
      <c r="AH2744" s="394">
        <v>0.58123999999999998</v>
      </c>
      <c r="AI2744" s="394">
        <v>15.01099</v>
      </c>
      <c r="AJ2744" s="394"/>
      <c r="AK2744" s="381" t="s">
        <v>167</v>
      </c>
      <c r="AL2744" s="408" t="s">
        <v>175</v>
      </c>
      <c r="AM2744" s="385"/>
      <c r="AN2744" s="475">
        <v>1537</v>
      </c>
      <c r="AO2744" s="395"/>
      <c r="AP2744" s="395">
        <f t="shared" si="1056"/>
        <v>18.408740000000002</v>
      </c>
      <c r="AQ2744" s="393"/>
      <c r="AR2744" s="523"/>
      <c r="AS2744" s="497"/>
      <c r="AT2744" s="573"/>
      <c r="AU2744" s="394"/>
      <c r="AV2744" s="394"/>
      <c r="AW2744" s="394"/>
      <c r="AX2744" s="394"/>
      <c r="AY2744" s="394"/>
      <c r="AZ2744" s="394"/>
      <c r="BA2744" s="394"/>
      <c r="BB2744" s="394"/>
      <c r="BC2744" s="394"/>
      <c r="BD2744" s="381"/>
      <c r="BE2744" s="408"/>
      <c r="BF2744" s="385"/>
      <c r="BG2744" s="475"/>
      <c r="BH2744" s="395"/>
      <c r="BI2744" s="395" t="e">
        <f t="shared" si="1057"/>
        <v>#DIV/0!</v>
      </c>
    </row>
    <row r="2745" spans="1:61" s="358" customFormat="1" ht="19.2" x14ac:dyDescent="0.3">
      <c r="A2745" s="359" t="s">
        <v>4552</v>
      </c>
      <c r="B2745" s="572" t="s">
        <v>4348</v>
      </c>
      <c r="C2745" s="546" t="s">
        <v>3502</v>
      </c>
      <c r="D2745" s="360">
        <v>0.4</v>
      </c>
      <c r="E2745" s="393"/>
      <c r="F2745" s="523"/>
      <c r="G2745" s="393"/>
      <c r="H2745" s="573"/>
      <c r="I2745" s="394"/>
      <c r="J2745" s="394"/>
      <c r="K2745" s="394"/>
      <c r="L2745" s="394"/>
      <c r="M2745" s="394"/>
      <c r="N2745" s="394"/>
      <c r="O2745" s="394"/>
      <c r="P2745" s="394"/>
      <c r="Q2745" s="394"/>
      <c r="R2745" s="381"/>
      <c r="S2745" s="408"/>
      <c r="T2745" s="385"/>
      <c r="U2745" s="475"/>
      <c r="V2745" s="395"/>
      <c r="W2745" s="395"/>
      <c r="X2745" s="393"/>
      <c r="Y2745" s="523">
        <v>1</v>
      </c>
      <c r="Z2745" s="497"/>
      <c r="AA2745" s="573">
        <v>18.586880000000001</v>
      </c>
      <c r="AB2745" s="394">
        <v>16.093669999999999</v>
      </c>
      <c r="AC2745" s="394">
        <v>15.005520000000001</v>
      </c>
      <c r="AD2745" s="394"/>
      <c r="AE2745" s="394"/>
      <c r="AF2745" s="394">
        <v>0</v>
      </c>
      <c r="AG2745" s="394">
        <v>0</v>
      </c>
      <c r="AH2745" s="394">
        <v>0.58123999999999998</v>
      </c>
      <c r="AI2745" s="394">
        <v>15.005520000000001</v>
      </c>
      <c r="AJ2745" s="394"/>
      <c r="AK2745" s="381" t="s">
        <v>167</v>
      </c>
      <c r="AL2745" s="408" t="s">
        <v>175</v>
      </c>
      <c r="AM2745" s="385"/>
      <c r="AN2745" s="475">
        <v>1538</v>
      </c>
      <c r="AO2745" s="395"/>
      <c r="AP2745" s="395">
        <f t="shared" si="1056"/>
        <v>18.586880000000001</v>
      </c>
      <c r="AQ2745" s="393"/>
      <c r="AR2745" s="523"/>
      <c r="AS2745" s="497"/>
      <c r="AT2745" s="573"/>
      <c r="AU2745" s="394"/>
      <c r="AV2745" s="394"/>
      <c r="AW2745" s="394"/>
      <c r="AX2745" s="394"/>
      <c r="AY2745" s="394"/>
      <c r="AZ2745" s="394"/>
      <c r="BA2745" s="394"/>
      <c r="BB2745" s="394"/>
      <c r="BC2745" s="394"/>
      <c r="BD2745" s="381"/>
      <c r="BE2745" s="408"/>
      <c r="BF2745" s="385"/>
      <c r="BG2745" s="475"/>
      <c r="BH2745" s="395"/>
      <c r="BI2745" s="395" t="e">
        <f t="shared" si="1057"/>
        <v>#DIV/0!</v>
      </c>
    </row>
    <row r="2746" spans="1:61" s="358" customFormat="1" ht="19.2" x14ac:dyDescent="0.3">
      <c r="A2746" s="359" t="s">
        <v>4553</v>
      </c>
      <c r="B2746" s="572" t="s">
        <v>4349</v>
      </c>
      <c r="C2746" s="546" t="s">
        <v>3503</v>
      </c>
      <c r="D2746" s="360">
        <v>0.4</v>
      </c>
      <c r="E2746" s="393"/>
      <c r="F2746" s="523"/>
      <c r="G2746" s="393"/>
      <c r="H2746" s="573"/>
      <c r="I2746" s="394"/>
      <c r="J2746" s="394"/>
      <c r="K2746" s="394"/>
      <c r="L2746" s="394"/>
      <c r="M2746" s="394"/>
      <c r="N2746" s="394"/>
      <c r="O2746" s="394"/>
      <c r="P2746" s="394"/>
      <c r="Q2746" s="394"/>
      <c r="R2746" s="381"/>
      <c r="S2746" s="408"/>
      <c r="T2746" s="385"/>
      <c r="U2746" s="475"/>
      <c r="V2746" s="395"/>
      <c r="W2746" s="395"/>
      <c r="X2746" s="393"/>
      <c r="Y2746" s="523">
        <v>1</v>
      </c>
      <c r="Z2746" s="497"/>
      <c r="AA2746" s="573">
        <v>20.10848</v>
      </c>
      <c r="AB2746" s="394">
        <v>16.093679999999999</v>
      </c>
      <c r="AC2746" s="394">
        <v>15.005520000000001</v>
      </c>
      <c r="AD2746" s="394"/>
      <c r="AE2746" s="394"/>
      <c r="AF2746" s="394">
        <v>0</v>
      </c>
      <c r="AG2746" s="394">
        <v>0</v>
      </c>
      <c r="AH2746" s="394">
        <v>0.58123999999999998</v>
      </c>
      <c r="AI2746" s="394">
        <v>15.005520000000001</v>
      </c>
      <c r="AJ2746" s="394"/>
      <c r="AK2746" s="381" t="s">
        <v>167</v>
      </c>
      <c r="AL2746" s="408" t="s">
        <v>175</v>
      </c>
      <c r="AM2746" s="385"/>
      <c r="AN2746" s="475">
        <v>1539</v>
      </c>
      <c r="AO2746" s="395"/>
      <c r="AP2746" s="395">
        <f t="shared" si="1056"/>
        <v>20.10848</v>
      </c>
      <c r="AQ2746" s="393"/>
      <c r="AR2746" s="523"/>
      <c r="AS2746" s="497"/>
      <c r="AT2746" s="573"/>
      <c r="AU2746" s="394"/>
      <c r="AV2746" s="394"/>
      <c r="AW2746" s="394"/>
      <c r="AX2746" s="394"/>
      <c r="AY2746" s="394"/>
      <c r="AZ2746" s="394"/>
      <c r="BA2746" s="394"/>
      <c r="BB2746" s="394"/>
      <c r="BC2746" s="394"/>
      <c r="BD2746" s="381"/>
      <c r="BE2746" s="408"/>
      <c r="BF2746" s="385"/>
      <c r="BG2746" s="475"/>
      <c r="BH2746" s="395"/>
      <c r="BI2746" s="395" t="e">
        <f t="shared" si="1057"/>
        <v>#DIV/0!</v>
      </c>
    </row>
    <row r="2747" spans="1:61" s="358" customFormat="1" ht="19.2" x14ac:dyDescent="0.3">
      <c r="A2747" s="359" t="s">
        <v>4570</v>
      </c>
      <c r="B2747" s="572" t="s">
        <v>4350</v>
      </c>
      <c r="C2747" s="546" t="s">
        <v>3504</v>
      </c>
      <c r="D2747" s="360">
        <v>0.4</v>
      </c>
      <c r="E2747" s="393"/>
      <c r="F2747" s="523"/>
      <c r="G2747" s="393"/>
      <c r="H2747" s="573"/>
      <c r="I2747" s="394"/>
      <c r="J2747" s="394"/>
      <c r="K2747" s="394"/>
      <c r="L2747" s="394"/>
      <c r="M2747" s="394"/>
      <c r="N2747" s="394"/>
      <c r="O2747" s="394"/>
      <c r="P2747" s="394"/>
      <c r="Q2747" s="394"/>
      <c r="R2747" s="381"/>
      <c r="S2747" s="408"/>
      <c r="T2747" s="385"/>
      <c r="U2747" s="475"/>
      <c r="V2747" s="395"/>
      <c r="W2747" s="395"/>
      <c r="X2747" s="393"/>
      <c r="Y2747" s="523">
        <v>1</v>
      </c>
      <c r="Z2747" s="497"/>
      <c r="AA2747" s="573">
        <v>18.408729999999998</v>
      </c>
      <c r="AB2747" s="394">
        <v>15.915520000000001</v>
      </c>
      <c r="AC2747" s="394">
        <v>15.01099</v>
      </c>
      <c r="AD2747" s="394"/>
      <c r="AE2747" s="394"/>
      <c r="AF2747" s="394">
        <v>0</v>
      </c>
      <c r="AG2747" s="394">
        <v>0</v>
      </c>
      <c r="AH2747" s="394">
        <v>0.58123999999999998</v>
      </c>
      <c r="AI2747" s="394">
        <v>15.01099</v>
      </c>
      <c r="AJ2747" s="394"/>
      <c r="AK2747" s="381" t="s">
        <v>167</v>
      </c>
      <c r="AL2747" s="408" t="s">
        <v>175</v>
      </c>
      <c r="AM2747" s="385"/>
      <c r="AN2747" s="475">
        <v>1540</v>
      </c>
      <c r="AO2747" s="395"/>
      <c r="AP2747" s="395">
        <f t="shared" si="1056"/>
        <v>18.408729999999998</v>
      </c>
      <c r="AQ2747" s="393"/>
      <c r="AR2747" s="523"/>
      <c r="AS2747" s="497"/>
      <c r="AT2747" s="573"/>
      <c r="AU2747" s="394"/>
      <c r="AV2747" s="394"/>
      <c r="AW2747" s="394"/>
      <c r="AX2747" s="394"/>
      <c r="AY2747" s="394"/>
      <c r="AZ2747" s="394"/>
      <c r="BA2747" s="394"/>
      <c r="BB2747" s="394"/>
      <c r="BC2747" s="394"/>
      <c r="BD2747" s="381"/>
      <c r="BE2747" s="408"/>
      <c r="BF2747" s="385"/>
      <c r="BG2747" s="475"/>
      <c r="BH2747" s="395"/>
      <c r="BI2747" s="395" t="e">
        <f t="shared" si="1057"/>
        <v>#DIV/0!</v>
      </c>
    </row>
    <row r="2748" spans="1:61" s="358" customFormat="1" ht="19.2" x14ac:dyDescent="0.3">
      <c r="A2748" s="359" t="s">
        <v>4555</v>
      </c>
      <c r="B2748" s="572" t="s">
        <v>2540</v>
      </c>
      <c r="C2748" s="546" t="s">
        <v>2539</v>
      </c>
      <c r="D2748" s="360">
        <v>0.4</v>
      </c>
      <c r="E2748" s="393"/>
      <c r="F2748" s="523"/>
      <c r="G2748" s="393"/>
      <c r="H2748" s="573"/>
      <c r="I2748" s="394"/>
      <c r="J2748" s="394"/>
      <c r="K2748" s="394"/>
      <c r="L2748" s="394"/>
      <c r="M2748" s="394"/>
      <c r="N2748" s="394"/>
      <c r="O2748" s="394"/>
      <c r="P2748" s="394"/>
      <c r="Q2748" s="394"/>
      <c r="R2748" s="381"/>
      <c r="S2748" s="408"/>
      <c r="T2748" s="385"/>
      <c r="U2748" s="475"/>
      <c r="V2748" s="395"/>
      <c r="W2748" s="395"/>
      <c r="X2748" s="393"/>
      <c r="Y2748" s="523">
        <v>1</v>
      </c>
      <c r="Z2748" s="497"/>
      <c r="AA2748" s="573">
        <v>18.5869</v>
      </c>
      <c r="AB2748" s="394">
        <v>16.093689999999999</v>
      </c>
      <c r="AC2748" s="394">
        <v>15.005520000000001</v>
      </c>
      <c r="AD2748" s="394"/>
      <c r="AE2748" s="394"/>
      <c r="AF2748" s="394">
        <v>0</v>
      </c>
      <c r="AG2748" s="394">
        <v>0</v>
      </c>
      <c r="AH2748" s="394">
        <v>0.58123999999999998</v>
      </c>
      <c r="AI2748" s="394">
        <v>15.005520000000001</v>
      </c>
      <c r="AJ2748" s="394"/>
      <c r="AK2748" s="381" t="s">
        <v>167</v>
      </c>
      <c r="AL2748" s="408" t="s">
        <v>175</v>
      </c>
      <c r="AM2748" s="385"/>
      <c r="AN2748" s="475">
        <v>1541</v>
      </c>
      <c r="AO2748" s="395"/>
      <c r="AP2748" s="395">
        <f t="shared" si="1056"/>
        <v>18.5869</v>
      </c>
      <c r="AQ2748" s="393"/>
      <c r="AR2748" s="523"/>
      <c r="AS2748" s="497"/>
      <c r="AT2748" s="573"/>
      <c r="AU2748" s="394"/>
      <c r="AV2748" s="394"/>
      <c r="AW2748" s="394"/>
      <c r="AX2748" s="394"/>
      <c r="AY2748" s="394"/>
      <c r="AZ2748" s="394"/>
      <c r="BA2748" s="394"/>
      <c r="BB2748" s="394"/>
      <c r="BC2748" s="394"/>
      <c r="BD2748" s="381"/>
      <c r="BE2748" s="408"/>
      <c r="BF2748" s="385"/>
      <c r="BG2748" s="475"/>
      <c r="BH2748" s="395"/>
      <c r="BI2748" s="395" t="e">
        <f t="shared" si="1057"/>
        <v>#DIV/0!</v>
      </c>
    </row>
    <row r="2749" spans="1:61" s="358" customFormat="1" ht="19.2" x14ac:dyDescent="0.3">
      <c r="A2749" s="359" t="s">
        <v>4556</v>
      </c>
      <c r="B2749" s="572" t="s">
        <v>4351</v>
      </c>
      <c r="C2749" s="546" t="s">
        <v>3505</v>
      </c>
      <c r="D2749" s="360">
        <v>0.4</v>
      </c>
      <c r="E2749" s="393"/>
      <c r="F2749" s="523"/>
      <c r="G2749" s="393"/>
      <c r="H2749" s="573"/>
      <c r="I2749" s="394"/>
      <c r="J2749" s="394"/>
      <c r="K2749" s="394"/>
      <c r="L2749" s="394"/>
      <c r="M2749" s="394"/>
      <c r="N2749" s="394"/>
      <c r="O2749" s="394"/>
      <c r="P2749" s="394"/>
      <c r="Q2749" s="394"/>
      <c r="R2749" s="381"/>
      <c r="S2749" s="408"/>
      <c r="T2749" s="385"/>
      <c r="U2749" s="475"/>
      <c r="V2749" s="395"/>
      <c r="W2749" s="395"/>
      <c r="X2749" s="393"/>
      <c r="Y2749" s="523">
        <v>1</v>
      </c>
      <c r="Z2749" s="497"/>
      <c r="AA2749" s="573">
        <v>18.408740000000002</v>
      </c>
      <c r="AB2749" s="394">
        <v>15.91553</v>
      </c>
      <c r="AC2749" s="394">
        <v>15.01099</v>
      </c>
      <c r="AD2749" s="394"/>
      <c r="AE2749" s="394"/>
      <c r="AF2749" s="394">
        <v>0</v>
      </c>
      <c r="AG2749" s="394">
        <v>0</v>
      </c>
      <c r="AH2749" s="394">
        <v>0.58123999999999998</v>
      </c>
      <c r="AI2749" s="394">
        <v>15.01099</v>
      </c>
      <c r="AJ2749" s="394"/>
      <c r="AK2749" s="381" t="s">
        <v>167</v>
      </c>
      <c r="AL2749" s="408" t="s">
        <v>175</v>
      </c>
      <c r="AM2749" s="385"/>
      <c r="AN2749" s="475">
        <v>1542</v>
      </c>
      <c r="AO2749" s="395"/>
      <c r="AP2749" s="395">
        <f t="shared" si="1056"/>
        <v>18.408740000000002</v>
      </c>
      <c r="AQ2749" s="393"/>
      <c r="AR2749" s="523"/>
      <c r="AS2749" s="497"/>
      <c r="AT2749" s="573"/>
      <c r="AU2749" s="394"/>
      <c r="AV2749" s="394"/>
      <c r="AW2749" s="394"/>
      <c r="AX2749" s="394"/>
      <c r="AY2749" s="394"/>
      <c r="AZ2749" s="394"/>
      <c r="BA2749" s="394"/>
      <c r="BB2749" s="394"/>
      <c r="BC2749" s="394"/>
      <c r="BD2749" s="381"/>
      <c r="BE2749" s="408"/>
      <c r="BF2749" s="385"/>
      <c r="BG2749" s="475"/>
      <c r="BH2749" s="395"/>
      <c r="BI2749" s="395" t="e">
        <f t="shared" si="1057"/>
        <v>#DIV/0!</v>
      </c>
    </row>
    <row r="2750" spans="1:61" s="358" customFormat="1" ht="19.2" x14ac:dyDescent="0.3">
      <c r="A2750" s="359" t="s">
        <v>4557</v>
      </c>
      <c r="B2750" s="572" t="s">
        <v>2504</v>
      </c>
      <c r="C2750" s="546" t="s">
        <v>2503</v>
      </c>
      <c r="D2750" s="360">
        <v>0.4</v>
      </c>
      <c r="E2750" s="393"/>
      <c r="F2750" s="523"/>
      <c r="G2750" s="393"/>
      <c r="H2750" s="573"/>
      <c r="I2750" s="394"/>
      <c r="J2750" s="394"/>
      <c r="K2750" s="394"/>
      <c r="L2750" s="394"/>
      <c r="M2750" s="394"/>
      <c r="N2750" s="394"/>
      <c r="O2750" s="394"/>
      <c r="P2750" s="394"/>
      <c r="Q2750" s="394"/>
      <c r="R2750" s="381"/>
      <c r="S2750" s="408"/>
      <c r="T2750" s="385"/>
      <c r="U2750" s="475"/>
      <c r="V2750" s="395"/>
      <c r="W2750" s="395"/>
      <c r="X2750" s="393"/>
      <c r="Y2750" s="523">
        <v>1</v>
      </c>
      <c r="Z2750" s="497"/>
      <c r="AA2750" s="573">
        <v>18.408740000000002</v>
      </c>
      <c r="AB2750" s="394">
        <v>15.91553</v>
      </c>
      <c r="AC2750" s="394">
        <v>15.01099</v>
      </c>
      <c r="AD2750" s="394"/>
      <c r="AE2750" s="394"/>
      <c r="AF2750" s="394">
        <v>0</v>
      </c>
      <c r="AG2750" s="394">
        <v>0</v>
      </c>
      <c r="AH2750" s="394">
        <v>0.58123999999999998</v>
      </c>
      <c r="AI2750" s="394">
        <v>15.01099</v>
      </c>
      <c r="AJ2750" s="394"/>
      <c r="AK2750" s="381" t="s">
        <v>167</v>
      </c>
      <c r="AL2750" s="408" t="s">
        <v>175</v>
      </c>
      <c r="AM2750" s="385"/>
      <c r="AN2750" s="475">
        <v>1543</v>
      </c>
      <c r="AO2750" s="395"/>
      <c r="AP2750" s="395">
        <f t="shared" si="1056"/>
        <v>18.408740000000002</v>
      </c>
      <c r="AQ2750" s="393"/>
      <c r="AR2750" s="523"/>
      <c r="AS2750" s="497"/>
      <c r="AT2750" s="573"/>
      <c r="AU2750" s="394"/>
      <c r="AV2750" s="394"/>
      <c r="AW2750" s="394"/>
      <c r="AX2750" s="394"/>
      <c r="AY2750" s="394"/>
      <c r="AZ2750" s="394"/>
      <c r="BA2750" s="394"/>
      <c r="BB2750" s="394"/>
      <c r="BC2750" s="394"/>
      <c r="BD2750" s="381"/>
      <c r="BE2750" s="408"/>
      <c r="BF2750" s="385"/>
      <c r="BG2750" s="475"/>
      <c r="BH2750" s="395"/>
      <c r="BI2750" s="395" t="e">
        <f t="shared" si="1057"/>
        <v>#DIV/0!</v>
      </c>
    </row>
    <row r="2751" spans="1:61" s="358" customFormat="1" ht="19.2" x14ac:dyDescent="0.3">
      <c r="A2751" s="359" t="s">
        <v>4574</v>
      </c>
      <c r="B2751" s="572" t="s">
        <v>2500</v>
      </c>
      <c r="C2751" s="546" t="s">
        <v>2499</v>
      </c>
      <c r="D2751" s="360">
        <v>0.4</v>
      </c>
      <c r="E2751" s="393"/>
      <c r="F2751" s="523"/>
      <c r="G2751" s="393"/>
      <c r="H2751" s="573"/>
      <c r="I2751" s="394"/>
      <c r="J2751" s="394"/>
      <c r="K2751" s="394"/>
      <c r="L2751" s="394"/>
      <c r="M2751" s="394"/>
      <c r="N2751" s="394"/>
      <c r="O2751" s="394"/>
      <c r="P2751" s="394"/>
      <c r="Q2751" s="394"/>
      <c r="R2751" s="381"/>
      <c r="S2751" s="408"/>
      <c r="T2751" s="385"/>
      <c r="U2751" s="475"/>
      <c r="V2751" s="395"/>
      <c r="W2751" s="395"/>
      <c r="X2751" s="393"/>
      <c r="Y2751" s="523">
        <v>1</v>
      </c>
      <c r="Z2751" s="497"/>
      <c r="AA2751" s="573">
        <v>18.408729999999998</v>
      </c>
      <c r="AB2751" s="394">
        <v>15.915520000000001</v>
      </c>
      <c r="AC2751" s="394">
        <v>15.01099</v>
      </c>
      <c r="AD2751" s="394"/>
      <c r="AE2751" s="394"/>
      <c r="AF2751" s="394">
        <v>0</v>
      </c>
      <c r="AG2751" s="394">
        <v>0</v>
      </c>
      <c r="AH2751" s="394">
        <v>0.58123999999999998</v>
      </c>
      <c r="AI2751" s="394">
        <v>15.01099</v>
      </c>
      <c r="AJ2751" s="394"/>
      <c r="AK2751" s="381" t="s">
        <v>167</v>
      </c>
      <c r="AL2751" s="408" t="s">
        <v>175</v>
      </c>
      <c r="AM2751" s="385"/>
      <c r="AN2751" s="475">
        <v>1544</v>
      </c>
      <c r="AO2751" s="395"/>
      <c r="AP2751" s="395">
        <f t="shared" si="1056"/>
        <v>18.408729999999998</v>
      </c>
      <c r="AQ2751" s="393"/>
      <c r="AR2751" s="523"/>
      <c r="AS2751" s="497"/>
      <c r="AT2751" s="573"/>
      <c r="AU2751" s="394"/>
      <c r="AV2751" s="394"/>
      <c r="AW2751" s="394"/>
      <c r="AX2751" s="394"/>
      <c r="AY2751" s="394"/>
      <c r="AZ2751" s="394"/>
      <c r="BA2751" s="394"/>
      <c r="BB2751" s="394"/>
      <c r="BC2751" s="394"/>
      <c r="BD2751" s="381"/>
      <c r="BE2751" s="408"/>
      <c r="BF2751" s="385"/>
      <c r="BG2751" s="475"/>
      <c r="BH2751" s="395"/>
      <c r="BI2751" s="395" t="e">
        <f t="shared" si="1057"/>
        <v>#DIV/0!</v>
      </c>
    </row>
    <row r="2752" spans="1:61" s="358" customFormat="1" ht="19.2" x14ac:dyDescent="0.3">
      <c r="A2752" s="359" t="s">
        <v>4559</v>
      </c>
      <c r="B2752" s="572" t="s">
        <v>4352</v>
      </c>
      <c r="C2752" s="546" t="s">
        <v>3506</v>
      </c>
      <c r="D2752" s="360">
        <v>0.4</v>
      </c>
      <c r="E2752" s="393"/>
      <c r="F2752" s="523"/>
      <c r="G2752" s="393"/>
      <c r="H2752" s="573"/>
      <c r="I2752" s="394"/>
      <c r="J2752" s="394"/>
      <c r="K2752" s="394"/>
      <c r="L2752" s="394"/>
      <c r="M2752" s="394"/>
      <c r="N2752" s="394"/>
      <c r="O2752" s="394"/>
      <c r="P2752" s="394"/>
      <c r="Q2752" s="394"/>
      <c r="R2752" s="381"/>
      <c r="S2752" s="408"/>
      <c r="T2752" s="385"/>
      <c r="U2752" s="475"/>
      <c r="V2752" s="395"/>
      <c r="W2752" s="395"/>
      <c r="X2752" s="393"/>
      <c r="Y2752" s="523">
        <v>1</v>
      </c>
      <c r="Z2752" s="497"/>
      <c r="AA2752" s="573">
        <v>18.5869</v>
      </c>
      <c r="AB2752" s="394">
        <v>16.093689999999999</v>
      </c>
      <c r="AC2752" s="394">
        <v>15.005520000000001</v>
      </c>
      <c r="AD2752" s="394"/>
      <c r="AE2752" s="394"/>
      <c r="AF2752" s="394">
        <v>0</v>
      </c>
      <c r="AG2752" s="394">
        <v>0</v>
      </c>
      <c r="AH2752" s="394">
        <v>0.58123999999999998</v>
      </c>
      <c r="AI2752" s="394">
        <v>15.005520000000001</v>
      </c>
      <c r="AJ2752" s="394"/>
      <c r="AK2752" s="381" t="s">
        <v>167</v>
      </c>
      <c r="AL2752" s="408" t="s">
        <v>175</v>
      </c>
      <c r="AM2752" s="385"/>
      <c r="AN2752" s="475">
        <v>1545</v>
      </c>
      <c r="AO2752" s="395"/>
      <c r="AP2752" s="395">
        <f t="shared" si="1056"/>
        <v>18.5869</v>
      </c>
      <c r="AQ2752" s="393"/>
      <c r="AR2752" s="523"/>
      <c r="AS2752" s="497"/>
      <c r="AT2752" s="573"/>
      <c r="AU2752" s="394"/>
      <c r="AV2752" s="394"/>
      <c r="AW2752" s="394"/>
      <c r="AX2752" s="394"/>
      <c r="AY2752" s="394"/>
      <c r="AZ2752" s="394"/>
      <c r="BA2752" s="394"/>
      <c r="BB2752" s="394"/>
      <c r="BC2752" s="394"/>
      <c r="BD2752" s="381"/>
      <c r="BE2752" s="408"/>
      <c r="BF2752" s="385"/>
      <c r="BG2752" s="475"/>
      <c r="BH2752" s="395"/>
      <c r="BI2752" s="395" t="e">
        <f t="shared" si="1057"/>
        <v>#DIV/0!</v>
      </c>
    </row>
    <row r="2753" spans="1:61" s="358" customFormat="1" ht="19.2" x14ac:dyDescent="0.3">
      <c r="A2753" s="359" t="s">
        <v>4560</v>
      </c>
      <c r="B2753" s="572" t="s">
        <v>4353</v>
      </c>
      <c r="C2753" s="546" t="s">
        <v>3507</v>
      </c>
      <c r="D2753" s="360">
        <v>0.4</v>
      </c>
      <c r="E2753" s="393"/>
      <c r="F2753" s="523"/>
      <c r="G2753" s="393"/>
      <c r="H2753" s="573"/>
      <c r="I2753" s="394"/>
      <c r="J2753" s="394"/>
      <c r="K2753" s="394"/>
      <c r="L2753" s="394"/>
      <c r="M2753" s="394"/>
      <c r="N2753" s="394"/>
      <c r="O2753" s="394"/>
      <c r="P2753" s="394"/>
      <c r="Q2753" s="394"/>
      <c r="R2753" s="381"/>
      <c r="S2753" s="408"/>
      <c r="T2753" s="385"/>
      <c r="U2753" s="475"/>
      <c r="V2753" s="395"/>
      <c r="W2753" s="395"/>
      <c r="X2753" s="393"/>
      <c r="Y2753" s="523">
        <v>1</v>
      </c>
      <c r="Z2753" s="497"/>
      <c r="AA2753" s="573">
        <v>18.586880000000001</v>
      </c>
      <c r="AB2753" s="394">
        <v>16.093669999999999</v>
      </c>
      <c r="AC2753" s="394">
        <v>15.005520000000001</v>
      </c>
      <c r="AD2753" s="394"/>
      <c r="AE2753" s="394"/>
      <c r="AF2753" s="394">
        <v>0</v>
      </c>
      <c r="AG2753" s="394">
        <v>0</v>
      </c>
      <c r="AH2753" s="394">
        <v>0.58123999999999998</v>
      </c>
      <c r="AI2753" s="394">
        <v>15.005520000000001</v>
      </c>
      <c r="AJ2753" s="394"/>
      <c r="AK2753" s="381" t="s">
        <v>167</v>
      </c>
      <c r="AL2753" s="408" t="s">
        <v>175</v>
      </c>
      <c r="AM2753" s="385"/>
      <c r="AN2753" s="475">
        <v>1546</v>
      </c>
      <c r="AO2753" s="395"/>
      <c r="AP2753" s="395">
        <f t="shared" si="1056"/>
        <v>18.586880000000001</v>
      </c>
      <c r="AQ2753" s="393"/>
      <c r="AR2753" s="523"/>
      <c r="AS2753" s="497"/>
      <c r="AT2753" s="573"/>
      <c r="AU2753" s="394"/>
      <c r="AV2753" s="394"/>
      <c r="AW2753" s="394"/>
      <c r="AX2753" s="394"/>
      <c r="AY2753" s="394"/>
      <c r="AZ2753" s="394"/>
      <c r="BA2753" s="394"/>
      <c r="BB2753" s="394"/>
      <c r="BC2753" s="394"/>
      <c r="BD2753" s="381"/>
      <c r="BE2753" s="408"/>
      <c r="BF2753" s="385"/>
      <c r="BG2753" s="475"/>
      <c r="BH2753" s="395"/>
      <c r="BI2753" s="395" t="e">
        <f t="shared" si="1057"/>
        <v>#DIV/0!</v>
      </c>
    </row>
    <row r="2754" spans="1:61" s="358" customFormat="1" ht="19.2" x14ac:dyDescent="0.3">
      <c r="A2754" s="359" t="s">
        <v>4545</v>
      </c>
      <c r="B2754" s="572" t="s">
        <v>4354</v>
      </c>
      <c r="C2754" s="546" t="s">
        <v>3508</v>
      </c>
      <c r="D2754" s="360">
        <v>0.4</v>
      </c>
      <c r="E2754" s="393"/>
      <c r="F2754" s="523"/>
      <c r="G2754" s="393"/>
      <c r="H2754" s="573"/>
      <c r="I2754" s="394"/>
      <c r="J2754" s="394"/>
      <c r="K2754" s="394"/>
      <c r="L2754" s="394"/>
      <c r="M2754" s="394"/>
      <c r="N2754" s="394"/>
      <c r="O2754" s="394"/>
      <c r="P2754" s="394"/>
      <c r="Q2754" s="394"/>
      <c r="R2754" s="381"/>
      <c r="S2754" s="408"/>
      <c r="T2754" s="385"/>
      <c r="U2754" s="475"/>
      <c r="V2754" s="395"/>
      <c r="W2754" s="395"/>
      <c r="X2754" s="393"/>
      <c r="Y2754" s="523">
        <v>1</v>
      </c>
      <c r="Z2754" s="497"/>
      <c r="AA2754" s="573">
        <v>18.408740000000002</v>
      </c>
      <c r="AB2754" s="394">
        <v>15.91553</v>
      </c>
      <c r="AC2754" s="394">
        <v>15.01099</v>
      </c>
      <c r="AD2754" s="394"/>
      <c r="AE2754" s="394"/>
      <c r="AF2754" s="394">
        <v>0</v>
      </c>
      <c r="AG2754" s="394">
        <v>0</v>
      </c>
      <c r="AH2754" s="394">
        <v>0.58123999999999998</v>
      </c>
      <c r="AI2754" s="394">
        <v>15.01099</v>
      </c>
      <c r="AJ2754" s="394"/>
      <c r="AK2754" s="381" t="s">
        <v>167</v>
      </c>
      <c r="AL2754" s="408" t="s">
        <v>175</v>
      </c>
      <c r="AM2754" s="385"/>
      <c r="AN2754" s="475">
        <v>1547</v>
      </c>
      <c r="AO2754" s="395"/>
      <c r="AP2754" s="395">
        <f t="shared" si="1056"/>
        <v>18.408740000000002</v>
      </c>
      <c r="AQ2754" s="393"/>
      <c r="AR2754" s="523"/>
      <c r="AS2754" s="497"/>
      <c r="AT2754" s="573"/>
      <c r="AU2754" s="394"/>
      <c r="AV2754" s="394"/>
      <c r="AW2754" s="394"/>
      <c r="AX2754" s="394"/>
      <c r="AY2754" s="394"/>
      <c r="AZ2754" s="394"/>
      <c r="BA2754" s="394"/>
      <c r="BB2754" s="394"/>
      <c r="BC2754" s="394"/>
      <c r="BD2754" s="381"/>
      <c r="BE2754" s="408"/>
      <c r="BF2754" s="385"/>
      <c r="BG2754" s="475"/>
      <c r="BH2754" s="395"/>
      <c r="BI2754" s="395" t="e">
        <f t="shared" si="1057"/>
        <v>#DIV/0!</v>
      </c>
    </row>
    <row r="2755" spans="1:61" s="358" customFormat="1" ht="19.2" x14ac:dyDescent="0.3">
      <c r="A2755" s="359" t="s">
        <v>4562</v>
      </c>
      <c r="B2755" s="572" t="s">
        <v>1770</v>
      </c>
      <c r="C2755" s="546" t="s">
        <v>3509</v>
      </c>
      <c r="D2755" s="360">
        <v>0.4</v>
      </c>
      <c r="E2755" s="393"/>
      <c r="F2755" s="523"/>
      <c r="G2755" s="393"/>
      <c r="H2755" s="573"/>
      <c r="I2755" s="394"/>
      <c r="J2755" s="394"/>
      <c r="K2755" s="394"/>
      <c r="L2755" s="394"/>
      <c r="M2755" s="394"/>
      <c r="N2755" s="394"/>
      <c r="O2755" s="394"/>
      <c r="P2755" s="394"/>
      <c r="Q2755" s="394"/>
      <c r="R2755" s="381"/>
      <c r="S2755" s="408"/>
      <c r="T2755" s="385"/>
      <c r="U2755" s="475"/>
      <c r="V2755" s="395"/>
      <c r="W2755" s="395"/>
      <c r="X2755" s="393"/>
      <c r="Y2755" s="523">
        <v>1</v>
      </c>
      <c r="Z2755" s="497"/>
      <c r="AA2755" s="573">
        <v>18.5869</v>
      </c>
      <c r="AB2755" s="394">
        <v>16.093689999999999</v>
      </c>
      <c r="AC2755" s="394">
        <v>15.005520000000001</v>
      </c>
      <c r="AD2755" s="394"/>
      <c r="AE2755" s="394"/>
      <c r="AF2755" s="394">
        <v>0</v>
      </c>
      <c r="AG2755" s="394">
        <v>0</v>
      </c>
      <c r="AH2755" s="394">
        <v>0.58123999999999998</v>
      </c>
      <c r="AI2755" s="394">
        <v>15.005520000000001</v>
      </c>
      <c r="AJ2755" s="394"/>
      <c r="AK2755" s="381" t="s">
        <v>167</v>
      </c>
      <c r="AL2755" s="408" t="s">
        <v>175</v>
      </c>
      <c r="AM2755" s="385"/>
      <c r="AN2755" s="475">
        <v>1548</v>
      </c>
      <c r="AO2755" s="395"/>
      <c r="AP2755" s="395">
        <f t="shared" si="1056"/>
        <v>18.5869</v>
      </c>
      <c r="AQ2755" s="393"/>
      <c r="AR2755" s="523"/>
      <c r="AS2755" s="497"/>
      <c r="AT2755" s="573"/>
      <c r="AU2755" s="394"/>
      <c r="AV2755" s="394"/>
      <c r="AW2755" s="394"/>
      <c r="AX2755" s="394"/>
      <c r="AY2755" s="394"/>
      <c r="AZ2755" s="394"/>
      <c r="BA2755" s="394"/>
      <c r="BB2755" s="394"/>
      <c r="BC2755" s="394"/>
      <c r="BD2755" s="381"/>
      <c r="BE2755" s="408"/>
      <c r="BF2755" s="385"/>
      <c r="BG2755" s="475"/>
      <c r="BH2755" s="395"/>
      <c r="BI2755" s="395" t="e">
        <f t="shared" si="1057"/>
        <v>#DIV/0!</v>
      </c>
    </row>
    <row r="2756" spans="1:61" s="358" customFormat="1" ht="19.2" x14ac:dyDescent="0.3">
      <c r="A2756" s="359" t="s">
        <v>4563</v>
      </c>
      <c r="B2756" s="572" t="s">
        <v>4355</v>
      </c>
      <c r="C2756" s="546" t="s">
        <v>3510</v>
      </c>
      <c r="D2756" s="360">
        <v>0.4</v>
      </c>
      <c r="E2756" s="393"/>
      <c r="F2756" s="523"/>
      <c r="G2756" s="393"/>
      <c r="H2756" s="573"/>
      <c r="I2756" s="394"/>
      <c r="J2756" s="394"/>
      <c r="K2756" s="394"/>
      <c r="L2756" s="394"/>
      <c r="M2756" s="394"/>
      <c r="N2756" s="394"/>
      <c r="O2756" s="394"/>
      <c r="P2756" s="394"/>
      <c r="Q2756" s="394"/>
      <c r="R2756" s="381"/>
      <c r="S2756" s="408"/>
      <c r="T2756" s="385"/>
      <c r="U2756" s="475"/>
      <c r="V2756" s="395"/>
      <c r="W2756" s="395"/>
      <c r="X2756" s="393"/>
      <c r="Y2756" s="523">
        <v>1</v>
      </c>
      <c r="Z2756" s="497"/>
      <c r="AA2756" s="573">
        <v>18.408729999999998</v>
      </c>
      <c r="AB2756" s="394">
        <v>15.915520000000001</v>
      </c>
      <c r="AC2756" s="394">
        <v>15.01099</v>
      </c>
      <c r="AD2756" s="394"/>
      <c r="AE2756" s="394"/>
      <c r="AF2756" s="394">
        <v>0</v>
      </c>
      <c r="AG2756" s="394">
        <v>0</v>
      </c>
      <c r="AH2756" s="394">
        <v>0.58123999999999998</v>
      </c>
      <c r="AI2756" s="394">
        <v>15.01099</v>
      </c>
      <c r="AJ2756" s="394"/>
      <c r="AK2756" s="381" t="s">
        <v>167</v>
      </c>
      <c r="AL2756" s="408" t="s">
        <v>175</v>
      </c>
      <c r="AM2756" s="385"/>
      <c r="AN2756" s="475">
        <v>1549</v>
      </c>
      <c r="AO2756" s="395"/>
      <c r="AP2756" s="395">
        <f t="shared" si="1056"/>
        <v>18.408729999999998</v>
      </c>
      <c r="AQ2756" s="393"/>
      <c r="AR2756" s="523"/>
      <c r="AS2756" s="497"/>
      <c r="AT2756" s="573"/>
      <c r="AU2756" s="394"/>
      <c r="AV2756" s="394"/>
      <c r="AW2756" s="394"/>
      <c r="AX2756" s="394"/>
      <c r="AY2756" s="394"/>
      <c r="AZ2756" s="394"/>
      <c r="BA2756" s="394"/>
      <c r="BB2756" s="394"/>
      <c r="BC2756" s="394"/>
      <c r="BD2756" s="381"/>
      <c r="BE2756" s="408"/>
      <c r="BF2756" s="385"/>
      <c r="BG2756" s="475"/>
      <c r="BH2756" s="395"/>
      <c r="BI2756" s="395" t="e">
        <f t="shared" si="1057"/>
        <v>#DIV/0!</v>
      </c>
    </row>
    <row r="2757" spans="1:61" s="358" customFormat="1" ht="19.2" x14ac:dyDescent="0.3">
      <c r="A2757" s="359" t="s">
        <v>4564</v>
      </c>
      <c r="B2757" s="572" t="s">
        <v>4356</v>
      </c>
      <c r="C2757" s="546" t="s">
        <v>3511</v>
      </c>
      <c r="D2757" s="360">
        <v>0.4</v>
      </c>
      <c r="E2757" s="393"/>
      <c r="F2757" s="523"/>
      <c r="G2757" s="393"/>
      <c r="H2757" s="573"/>
      <c r="I2757" s="394"/>
      <c r="J2757" s="394"/>
      <c r="K2757" s="394"/>
      <c r="L2757" s="394"/>
      <c r="M2757" s="394"/>
      <c r="N2757" s="394"/>
      <c r="O2757" s="394"/>
      <c r="P2757" s="394"/>
      <c r="Q2757" s="394"/>
      <c r="R2757" s="381"/>
      <c r="S2757" s="408"/>
      <c r="T2757" s="385"/>
      <c r="U2757" s="475"/>
      <c r="V2757" s="395"/>
      <c r="W2757" s="395"/>
      <c r="X2757" s="393"/>
      <c r="Y2757" s="523">
        <v>1</v>
      </c>
      <c r="Z2757" s="497"/>
      <c r="AA2757" s="573">
        <v>18.58689</v>
      </c>
      <c r="AB2757" s="394">
        <v>16.093679999999999</v>
      </c>
      <c r="AC2757" s="394">
        <v>15.005520000000001</v>
      </c>
      <c r="AD2757" s="394"/>
      <c r="AE2757" s="394"/>
      <c r="AF2757" s="394">
        <v>0</v>
      </c>
      <c r="AG2757" s="394">
        <v>0</v>
      </c>
      <c r="AH2757" s="394">
        <v>0.58123999999999998</v>
      </c>
      <c r="AI2757" s="394">
        <v>15.005520000000001</v>
      </c>
      <c r="AJ2757" s="394"/>
      <c r="AK2757" s="381" t="s">
        <v>167</v>
      </c>
      <c r="AL2757" s="408" t="s">
        <v>175</v>
      </c>
      <c r="AM2757" s="385"/>
      <c r="AN2757" s="475">
        <v>1550</v>
      </c>
      <c r="AO2757" s="395"/>
      <c r="AP2757" s="395">
        <f t="shared" si="1056"/>
        <v>18.58689</v>
      </c>
      <c r="AQ2757" s="393"/>
      <c r="AR2757" s="523"/>
      <c r="AS2757" s="497"/>
      <c r="AT2757" s="573"/>
      <c r="AU2757" s="394"/>
      <c r="AV2757" s="394"/>
      <c r="AW2757" s="394"/>
      <c r="AX2757" s="394"/>
      <c r="AY2757" s="394"/>
      <c r="AZ2757" s="394"/>
      <c r="BA2757" s="394"/>
      <c r="BB2757" s="394"/>
      <c r="BC2757" s="394"/>
      <c r="BD2757" s="381"/>
      <c r="BE2757" s="408"/>
      <c r="BF2757" s="385"/>
      <c r="BG2757" s="475"/>
      <c r="BH2757" s="395"/>
      <c r="BI2757" s="395" t="e">
        <f t="shared" si="1057"/>
        <v>#DIV/0!</v>
      </c>
    </row>
    <row r="2758" spans="1:61" s="358" customFormat="1" ht="19.2" x14ac:dyDescent="0.3">
      <c r="A2758" s="359" t="s">
        <v>4565</v>
      </c>
      <c r="B2758" s="572" t="s">
        <v>4357</v>
      </c>
      <c r="C2758" s="546" t="s">
        <v>3512</v>
      </c>
      <c r="D2758" s="360">
        <v>0.4</v>
      </c>
      <c r="E2758" s="393"/>
      <c r="F2758" s="523"/>
      <c r="G2758" s="393"/>
      <c r="H2758" s="573"/>
      <c r="I2758" s="394"/>
      <c r="J2758" s="394"/>
      <c r="K2758" s="394"/>
      <c r="L2758" s="394"/>
      <c r="M2758" s="394"/>
      <c r="N2758" s="394"/>
      <c r="O2758" s="394"/>
      <c r="P2758" s="394"/>
      <c r="Q2758" s="394"/>
      <c r="R2758" s="381"/>
      <c r="S2758" s="408"/>
      <c r="T2758" s="385"/>
      <c r="U2758" s="475"/>
      <c r="V2758" s="395"/>
      <c r="W2758" s="395"/>
      <c r="X2758" s="393"/>
      <c r="Y2758" s="523">
        <v>1</v>
      </c>
      <c r="Z2758" s="497"/>
      <c r="AA2758" s="573">
        <v>18.408740000000002</v>
      </c>
      <c r="AB2758" s="394">
        <v>15.91553</v>
      </c>
      <c r="AC2758" s="394">
        <v>15.01099</v>
      </c>
      <c r="AD2758" s="394"/>
      <c r="AE2758" s="394"/>
      <c r="AF2758" s="394">
        <v>0</v>
      </c>
      <c r="AG2758" s="394">
        <v>0</v>
      </c>
      <c r="AH2758" s="394">
        <v>0.58123999999999998</v>
      </c>
      <c r="AI2758" s="394">
        <v>15.01099</v>
      </c>
      <c r="AJ2758" s="394"/>
      <c r="AK2758" s="381" t="s">
        <v>167</v>
      </c>
      <c r="AL2758" s="408" t="s">
        <v>175</v>
      </c>
      <c r="AM2758" s="385"/>
      <c r="AN2758" s="475">
        <v>1551</v>
      </c>
      <c r="AO2758" s="395"/>
      <c r="AP2758" s="395">
        <f t="shared" ref="AP2758:AP3337" si="1058">AA2758/Y2758</f>
        <v>18.408740000000002</v>
      </c>
      <c r="AQ2758" s="393"/>
      <c r="AR2758" s="523"/>
      <c r="AS2758" s="497"/>
      <c r="AT2758" s="573"/>
      <c r="AU2758" s="394"/>
      <c r="AV2758" s="394"/>
      <c r="AW2758" s="394"/>
      <c r="AX2758" s="394"/>
      <c r="AY2758" s="394"/>
      <c r="AZ2758" s="394"/>
      <c r="BA2758" s="394"/>
      <c r="BB2758" s="394"/>
      <c r="BC2758" s="394"/>
      <c r="BD2758" s="381"/>
      <c r="BE2758" s="408"/>
      <c r="BF2758" s="385"/>
      <c r="BG2758" s="475"/>
      <c r="BH2758" s="395"/>
      <c r="BI2758" s="395" t="e">
        <f t="shared" si="1057"/>
        <v>#DIV/0!</v>
      </c>
    </row>
    <row r="2759" spans="1:61" s="358" customFormat="1" ht="19.2" x14ac:dyDescent="0.3">
      <c r="A2759" s="359" t="s">
        <v>4566</v>
      </c>
      <c r="B2759" s="572" t="s">
        <v>1557</v>
      </c>
      <c r="C2759" s="546" t="s">
        <v>2519</v>
      </c>
      <c r="D2759" s="360">
        <v>0.4</v>
      </c>
      <c r="E2759" s="393"/>
      <c r="F2759" s="523"/>
      <c r="G2759" s="393"/>
      <c r="H2759" s="573"/>
      <c r="I2759" s="394"/>
      <c r="J2759" s="394"/>
      <c r="K2759" s="394"/>
      <c r="L2759" s="394"/>
      <c r="M2759" s="394"/>
      <c r="N2759" s="394"/>
      <c r="O2759" s="394"/>
      <c r="P2759" s="394"/>
      <c r="Q2759" s="394"/>
      <c r="R2759" s="381"/>
      <c r="S2759" s="408"/>
      <c r="T2759" s="385"/>
      <c r="U2759" s="475"/>
      <c r="V2759" s="395"/>
      <c r="W2759" s="395"/>
      <c r="X2759" s="393"/>
      <c r="Y2759" s="523">
        <v>1</v>
      </c>
      <c r="Z2759" s="497"/>
      <c r="AA2759" s="573">
        <v>20.10848</v>
      </c>
      <c r="AB2759" s="394">
        <v>16.093679999999999</v>
      </c>
      <c r="AC2759" s="394">
        <v>15.005520000000001</v>
      </c>
      <c r="AD2759" s="394"/>
      <c r="AE2759" s="394"/>
      <c r="AF2759" s="394">
        <v>0</v>
      </c>
      <c r="AG2759" s="394">
        <v>0</v>
      </c>
      <c r="AH2759" s="394">
        <v>1.52159</v>
      </c>
      <c r="AI2759" s="394">
        <v>15.005520000000001</v>
      </c>
      <c r="AJ2759" s="394"/>
      <c r="AK2759" s="381" t="s">
        <v>167</v>
      </c>
      <c r="AL2759" s="408" t="s">
        <v>175</v>
      </c>
      <c r="AM2759" s="385"/>
      <c r="AN2759" s="475">
        <v>1552</v>
      </c>
      <c r="AO2759" s="395"/>
      <c r="AP2759" s="395">
        <f t="shared" si="1058"/>
        <v>20.10848</v>
      </c>
      <c r="AQ2759" s="393"/>
      <c r="AR2759" s="523"/>
      <c r="AS2759" s="497"/>
      <c r="AT2759" s="573"/>
      <c r="AU2759" s="394"/>
      <c r="AV2759" s="394"/>
      <c r="AW2759" s="394"/>
      <c r="AX2759" s="394"/>
      <c r="AY2759" s="394"/>
      <c r="AZ2759" s="394"/>
      <c r="BA2759" s="394"/>
      <c r="BB2759" s="394"/>
      <c r="BC2759" s="394"/>
      <c r="BD2759" s="381"/>
      <c r="BE2759" s="408"/>
      <c r="BF2759" s="385"/>
      <c r="BG2759" s="475"/>
      <c r="BH2759" s="395"/>
      <c r="BI2759" s="395" t="e">
        <f t="shared" si="1057"/>
        <v>#DIV/0!</v>
      </c>
    </row>
    <row r="2760" spans="1:61" s="358" customFormat="1" ht="19.2" x14ac:dyDescent="0.3">
      <c r="A2760" s="359" t="s">
        <v>4567</v>
      </c>
      <c r="B2760" s="572" t="s">
        <v>4358</v>
      </c>
      <c r="C2760" s="546" t="s">
        <v>3513</v>
      </c>
      <c r="D2760" s="360">
        <v>0.4</v>
      </c>
      <c r="E2760" s="393"/>
      <c r="F2760" s="523"/>
      <c r="G2760" s="393"/>
      <c r="H2760" s="573"/>
      <c r="I2760" s="394"/>
      <c r="J2760" s="394"/>
      <c r="K2760" s="394"/>
      <c r="L2760" s="394"/>
      <c r="M2760" s="394"/>
      <c r="N2760" s="394"/>
      <c r="O2760" s="394"/>
      <c r="P2760" s="394"/>
      <c r="Q2760" s="394"/>
      <c r="R2760" s="381"/>
      <c r="S2760" s="408"/>
      <c r="T2760" s="385"/>
      <c r="U2760" s="475"/>
      <c r="V2760" s="395"/>
      <c r="W2760" s="395"/>
      <c r="X2760" s="393"/>
      <c r="Y2760" s="523">
        <v>1</v>
      </c>
      <c r="Z2760" s="497"/>
      <c r="AA2760" s="573">
        <v>18.408740000000002</v>
      </c>
      <c r="AB2760" s="394">
        <v>15.91553</v>
      </c>
      <c r="AC2760" s="394">
        <v>15.01099</v>
      </c>
      <c r="AD2760" s="394"/>
      <c r="AE2760" s="394"/>
      <c r="AF2760" s="394">
        <v>0</v>
      </c>
      <c r="AG2760" s="394">
        <v>0</v>
      </c>
      <c r="AH2760" s="394">
        <v>0.58123999999999998</v>
      </c>
      <c r="AI2760" s="394">
        <v>15.01099</v>
      </c>
      <c r="AJ2760" s="394"/>
      <c r="AK2760" s="381" t="s">
        <v>167</v>
      </c>
      <c r="AL2760" s="408" t="s">
        <v>175</v>
      </c>
      <c r="AM2760" s="385"/>
      <c r="AN2760" s="475">
        <v>1553</v>
      </c>
      <c r="AO2760" s="395"/>
      <c r="AP2760" s="395">
        <f t="shared" si="1058"/>
        <v>18.408740000000002</v>
      </c>
      <c r="AQ2760" s="393"/>
      <c r="AR2760" s="523"/>
      <c r="AS2760" s="497"/>
      <c r="AT2760" s="573"/>
      <c r="AU2760" s="394"/>
      <c r="AV2760" s="394"/>
      <c r="AW2760" s="394"/>
      <c r="AX2760" s="394"/>
      <c r="AY2760" s="394"/>
      <c r="AZ2760" s="394"/>
      <c r="BA2760" s="394"/>
      <c r="BB2760" s="394"/>
      <c r="BC2760" s="394"/>
      <c r="BD2760" s="381"/>
      <c r="BE2760" s="408"/>
      <c r="BF2760" s="385"/>
      <c r="BG2760" s="475"/>
      <c r="BH2760" s="395"/>
      <c r="BI2760" s="395" t="e">
        <f t="shared" si="1057"/>
        <v>#DIV/0!</v>
      </c>
    </row>
    <row r="2761" spans="1:61" s="358" customFormat="1" ht="19.2" x14ac:dyDescent="0.3">
      <c r="A2761" s="359" t="s">
        <v>4568</v>
      </c>
      <c r="B2761" s="572" t="s">
        <v>4359</v>
      </c>
      <c r="C2761" s="546" t="s">
        <v>3514</v>
      </c>
      <c r="D2761" s="360">
        <v>0.4</v>
      </c>
      <c r="E2761" s="393"/>
      <c r="F2761" s="523"/>
      <c r="G2761" s="393"/>
      <c r="H2761" s="573"/>
      <c r="I2761" s="394"/>
      <c r="J2761" s="394"/>
      <c r="K2761" s="394"/>
      <c r="L2761" s="394"/>
      <c r="M2761" s="394"/>
      <c r="N2761" s="394"/>
      <c r="O2761" s="394"/>
      <c r="P2761" s="394"/>
      <c r="Q2761" s="394"/>
      <c r="R2761" s="381"/>
      <c r="S2761" s="408"/>
      <c r="T2761" s="385"/>
      <c r="U2761" s="475"/>
      <c r="V2761" s="395"/>
      <c r="W2761" s="395"/>
      <c r="X2761" s="393"/>
      <c r="Y2761" s="523">
        <v>1</v>
      </c>
      <c r="Z2761" s="497"/>
      <c r="AA2761" s="573">
        <v>18.408729999999998</v>
      </c>
      <c r="AB2761" s="394">
        <v>15.915520000000001</v>
      </c>
      <c r="AC2761" s="394">
        <v>15.01099</v>
      </c>
      <c r="AD2761" s="394"/>
      <c r="AE2761" s="394"/>
      <c r="AF2761" s="394">
        <v>0</v>
      </c>
      <c r="AG2761" s="394">
        <v>0</v>
      </c>
      <c r="AH2761" s="394">
        <v>0.58123999999999998</v>
      </c>
      <c r="AI2761" s="394">
        <v>15.01099</v>
      </c>
      <c r="AJ2761" s="394"/>
      <c r="AK2761" s="381" t="s">
        <v>167</v>
      </c>
      <c r="AL2761" s="408" t="s">
        <v>175</v>
      </c>
      <c r="AM2761" s="385"/>
      <c r="AN2761" s="475">
        <v>1554</v>
      </c>
      <c r="AO2761" s="395"/>
      <c r="AP2761" s="395">
        <f t="shared" si="1058"/>
        <v>18.408729999999998</v>
      </c>
      <c r="AQ2761" s="393"/>
      <c r="AR2761" s="523"/>
      <c r="AS2761" s="497"/>
      <c r="AT2761" s="573"/>
      <c r="AU2761" s="394"/>
      <c r="AV2761" s="394"/>
      <c r="AW2761" s="394"/>
      <c r="AX2761" s="394"/>
      <c r="AY2761" s="394"/>
      <c r="AZ2761" s="394"/>
      <c r="BA2761" s="394"/>
      <c r="BB2761" s="394"/>
      <c r="BC2761" s="394"/>
      <c r="BD2761" s="381"/>
      <c r="BE2761" s="408"/>
      <c r="BF2761" s="385"/>
      <c r="BG2761" s="475"/>
      <c r="BH2761" s="395"/>
      <c r="BI2761" s="395" t="e">
        <f t="shared" si="1057"/>
        <v>#DIV/0!</v>
      </c>
    </row>
    <row r="2762" spans="1:61" s="358" customFormat="1" ht="19.2" x14ac:dyDescent="0.3">
      <c r="A2762" s="359" t="s">
        <v>4569</v>
      </c>
      <c r="B2762" s="572" t="s">
        <v>4360</v>
      </c>
      <c r="C2762" s="546" t="s">
        <v>3515</v>
      </c>
      <c r="D2762" s="360">
        <v>0.4</v>
      </c>
      <c r="E2762" s="393"/>
      <c r="F2762" s="523"/>
      <c r="G2762" s="393"/>
      <c r="H2762" s="573"/>
      <c r="I2762" s="394"/>
      <c r="J2762" s="394"/>
      <c r="K2762" s="394"/>
      <c r="L2762" s="394"/>
      <c r="M2762" s="394"/>
      <c r="N2762" s="394"/>
      <c r="O2762" s="394"/>
      <c r="P2762" s="394"/>
      <c r="Q2762" s="394"/>
      <c r="R2762" s="381"/>
      <c r="S2762" s="408"/>
      <c r="T2762" s="385"/>
      <c r="U2762" s="475"/>
      <c r="V2762" s="395"/>
      <c r="W2762" s="395"/>
      <c r="X2762" s="393"/>
      <c r="Y2762" s="523">
        <v>1</v>
      </c>
      <c r="Z2762" s="497"/>
      <c r="AA2762" s="573">
        <v>18.408740000000002</v>
      </c>
      <c r="AB2762" s="394">
        <v>15.91553</v>
      </c>
      <c r="AC2762" s="394">
        <v>15.01099</v>
      </c>
      <c r="AD2762" s="394"/>
      <c r="AE2762" s="394"/>
      <c r="AF2762" s="394">
        <v>0</v>
      </c>
      <c r="AG2762" s="394">
        <v>0</v>
      </c>
      <c r="AH2762" s="394">
        <v>0.58123999999999998</v>
      </c>
      <c r="AI2762" s="394">
        <v>15.01099</v>
      </c>
      <c r="AJ2762" s="394"/>
      <c r="AK2762" s="381" t="s">
        <v>167</v>
      </c>
      <c r="AL2762" s="408" t="s">
        <v>175</v>
      </c>
      <c r="AM2762" s="385"/>
      <c r="AN2762" s="475">
        <v>1555</v>
      </c>
      <c r="AO2762" s="395"/>
      <c r="AP2762" s="395">
        <f t="shared" si="1058"/>
        <v>18.408740000000002</v>
      </c>
      <c r="AQ2762" s="393"/>
      <c r="AR2762" s="523"/>
      <c r="AS2762" s="497"/>
      <c r="AT2762" s="573"/>
      <c r="AU2762" s="394"/>
      <c r="AV2762" s="394"/>
      <c r="AW2762" s="394"/>
      <c r="AX2762" s="394"/>
      <c r="AY2762" s="394"/>
      <c r="AZ2762" s="394"/>
      <c r="BA2762" s="394"/>
      <c r="BB2762" s="394"/>
      <c r="BC2762" s="394"/>
      <c r="BD2762" s="381"/>
      <c r="BE2762" s="408"/>
      <c r="BF2762" s="385"/>
      <c r="BG2762" s="475"/>
      <c r="BH2762" s="395"/>
      <c r="BI2762" s="395" t="e">
        <f t="shared" si="1057"/>
        <v>#DIV/0!</v>
      </c>
    </row>
    <row r="2763" spans="1:61" s="358" customFormat="1" ht="19.2" x14ac:dyDescent="0.3">
      <c r="A2763" s="359" t="s">
        <v>4586</v>
      </c>
      <c r="B2763" s="572" t="s">
        <v>4361</v>
      </c>
      <c r="C2763" s="546" t="s">
        <v>3516</v>
      </c>
      <c r="D2763" s="360">
        <v>0.4</v>
      </c>
      <c r="E2763" s="393"/>
      <c r="F2763" s="523"/>
      <c r="G2763" s="393"/>
      <c r="H2763" s="573"/>
      <c r="I2763" s="394"/>
      <c r="J2763" s="394"/>
      <c r="K2763" s="394"/>
      <c r="L2763" s="394"/>
      <c r="M2763" s="394"/>
      <c r="N2763" s="394"/>
      <c r="O2763" s="394"/>
      <c r="P2763" s="394"/>
      <c r="Q2763" s="394"/>
      <c r="R2763" s="381"/>
      <c r="S2763" s="408"/>
      <c r="T2763" s="385"/>
      <c r="U2763" s="475"/>
      <c r="V2763" s="395"/>
      <c r="W2763" s="395"/>
      <c r="X2763" s="393"/>
      <c r="Y2763" s="523">
        <v>1</v>
      </c>
      <c r="Z2763" s="497"/>
      <c r="AA2763" s="573">
        <v>18.408740000000002</v>
      </c>
      <c r="AB2763" s="394">
        <v>15.91553</v>
      </c>
      <c r="AC2763" s="394">
        <v>15.01099</v>
      </c>
      <c r="AD2763" s="394"/>
      <c r="AE2763" s="394"/>
      <c r="AF2763" s="394">
        <v>0</v>
      </c>
      <c r="AG2763" s="394">
        <v>0</v>
      </c>
      <c r="AH2763" s="394">
        <v>0.58123999999999998</v>
      </c>
      <c r="AI2763" s="394">
        <v>15.01099</v>
      </c>
      <c r="AJ2763" s="394"/>
      <c r="AK2763" s="381" t="s">
        <v>167</v>
      </c>
      <c r="AL2763" s="408" t="s">
        <v>175</v>
      </c>
      <c r="AM2763" s="385"/>
      <c r="AN2763" s="475">
        <v>1556</v>
      </c>
      <c r="AO2763" s="395"/>
      <c r="AP2763" s="395">
        <f t="shared" si="1058"/>
        <v>18.408740000000002</v>
      </c>
      <c r="AQ2763" s="393"/>
      <c r="AR2763" s="523"/>
      <c r="AS2763" s="497"/>
      <c r="AT2763" s="573"/>
      <c r="AU2763" s="394"/>
      <c r="AV2763" s="394"/>
      <c r="AW2763" s="394"/>
      <c r="AX2763" s="394"/>
      <c r="AY2763" s="394"/>
      <c r="AZ2763" s="394"/>
      <c r="BA2763" s="394"/>
      <c r="BB2763" s="394"/>
      <c r="BC2763" s="394"/>
      <c r="BD2763" s="381"/>
      <c r="BE2763" s="408"/>
      <c r="BF2763" s="385"/>
      <c r="BG2763" s="475"/>
      <c r="BH2763" s="395"/>
      <c r="BI2763" s="395" t="e">
        <f t="shared" si="1057"/>
        <v>#DIV/0!</v>
      </c>
    </row>
    <row r="2764" spans="1:61" s="358" customFormat="1" ht="19.2" x14ac:dyDescent="0.3">
      <c r="A2764" s="359" t="s">
        <v>4571</v>
      </c>
      <c r="B2764" s="572" t="s">
        <v>2533</v>
      </c>
      <c r="C2764" s="546" t="s">
        <v>2532</v>
      </c>
      <c r="D2764" s="360">
        <v>0.4</v>
      </c>
      <c r="E2764" s="393"/>
      <c r="F2764" s="523"/>
      <c r="G2764" s="393"/>
      <c r="H2764" s="573"/>
      <c r="I2764" s="394"/>
      <c r="J2764" s="394"/>
      <c r="K2764" s="394"/>
      <c r="L2764" s="394"/>
      <c r="M2764" s="394"/>
      <c r="N2764" s="394"/>
      <c r="O2764" s="394"/>
      <c r="P2764" s="394"/>
      <c r="Q2764" s="394"/>
      <c r="R2764" s="381"/>
      <c r="S2764" s="408"/>
      <c r="T2764" s="385"/>
      <c r="U2764" s="475"/>
      <c r="V2764" s="395"/>
      <c r="W2764" s="395"/>
      <c r="X2764" s="393"/>
      <c r="Y2764" s="523">
        <v>1</v>
      </c>
      <c r="Z2764" s="497"/>
      <c r="AA2764" s="573">
        <v>18.408740000000002</v>
      </c>
      <c r="AB2764" s="394">
        <v>15.91553</v>
      </c>
      <c r="AC2764" s="394">
        <v>15.01099</v>
      </c>
      <c r="AD2764" s="394"/>
      <c r="AE2764" s="394"/>
      <c r="AF2764" s="394">
        <v>0</v>
      </c>
      <c r="AG2764" s="394">
        <v>0</v>
      </c>
      <c r="AH2764" s="394">
        <v>0.58123999999999998</v>
      </c>
      <c r="AI2764" s="394">
        <v>15.01099</v>
      </c>
      <c r="AJ2764" s="394"/>
      <c r="AK2764" s="381" t="s">
        <v>167</v>
      </c>
      <c r="AL2764" s="408" t="s">
        <v>175</v>
      </c>
      <c r="AM2764" s="385"/>
      <c r="AN2764" s="475">
        <v>1557</v>
      </c>
      <c r="AO2764" s="395"/>
      <c r="AP2764" s="395">
        <f t="shared" si="1058"/>
        <v>18.408740000000002</v>
      </c>
      <c r="AQ2764" s="393"/>
      <c r="AR2764" s="523"/>
      <c r="AS2764" s="497"/>
      <c r="AT2764" s="573"/>
      <c r="AU2764" s="394"/>
      <c r="AV2764" s="394"/>
      <c r="AW2764" s="394"/>
      <c r="AX2764" s="394"/>
      <c r="AY2764" s="394"/>
      <c r="AZ2764" s="394"/>
      <c r="BA2764" s="394"/>
      <c r="BB2764" s="394"/>
      <c r="BC2764" s="394"/>
      <c r="BD2764" s="381"/>
      <c r="BE2764" s="408"/>
      <c r="BF2764" s="385"/>
      <c r="BG2764" s="475"/>
      <c r="BH2764" s="395"/>
      <c r="BI2764" s="395" t="e">
        <f t="shared" si="1057"/>
        <v>#DIV/0!</v>
      </c>
    </row>
    <row r="2765" spans="1:61" s="358" customFormat="1" ht="19.2" x14ac:dyDescent="0.3">
      <c r="A2765" s="359" t="s">
        <v>4572</v>
      </c>
      <c r="B2765" s="572" t="s">
        <v>4362</v>
      </c>
      <c r="C2765" s="546" t="s">
        <v>3517</v>
      </c>
      <c r="D2765" s="360">
        <v>0.4</v>
      </c>
      <c r="E2765" s="393"/>
      <c r="F2765" s="523"/>
      <c r="G2765" s="393"/>
      <c r="H2765" s="573"/>
      <c r="I2765" s="394"/>
      <c r="J2765" s="394"/>
      <c r="K2765" s="394"/>
      <c r="L2765" s="394"/>
      <c r="M2765" s="394"/>
      <c r="N2765" s="394"/>
      <c r="O2765" s="394"/>
      <c r="P2765" s="394"/>
      <c r="Q2765" s="394"/>
      <c r="R2765" s="381"/>
      <c r="S2765" s="408"/>
      <c r="T2765" s="385"/>
      <c r="U2765" s="475"/>
      <c r="V2765" s="395"/>
      <c r="W2765" s="395"/>
      <c r="X2765" s="393"/>
      <c r="Y2765" s="523">
        <v>1</v>
      </c>
      <c r="Z2765" s="497"/>
      <c r="AA2765" s="573">
        <v>18.408740000000002</v>
      </c>
      <c r="AB2765" s="394">
        <v>15.91553</v>
      </c>
      <c r="AC2765" s="394">
        <v>15.01099</v>
      </c>
      <c r="AD2765" s="394"/>
      <c r="AE2765" s="394"/>
      <c r="AF2765" s="394">
        <v>0</v>
      </c>
      <c r="AG2765" s="394">
        <v>0</v>
      </c>
      <c r="AH2765" s="394">
        <v>0.58123999999999998</v>
      </c>
      <c r="AI2765" s="394">
        <v>15.01099</v>
      </c>
      <c r="AJ2765" s="394"/>
      <c r="AK2765" s="381" t="s">
        <v>167</v>
      </c>
      <c r="AL2765" s="408" t="s">
        <v>175</v>
      </c>
      <c r="AM2765" s="385"/>
      <c r="AN2765" s="475">
        <v>1558</v>
      </c>
      <c r="AO2765" s="395"/>
      <c r="AP2765" s="395">
        <f t="shared" si="1058"/>
        <v>18.408740000000002</v>
      </c>
      <c r="AQ2765" s="393"/>
      <c r="AR2765" s="523"/>
      <c r="AS2765" s="497"/>
      <c r="AT2765" s="573"/>
      <c r="AU2765" s="394"/>
      <c r="AV2765" s="394"/>
      <c r="AW2765" s="394"/>
      <c r="AX2765" s="394"/>
      <c r="AY2765" s="394"/>
      <c r="AZ2765" s="394"/>
      <c r="BA2765" s="394"/>
      <c r="BB2765" s="394"/>
      <c r="BC2765" s="394"/>
      <c r="BD2765" s="381"/>
      <c r="BE2765" s="408"/>
      <c r="BF2765" s="385"/>
      <c r="BG2765" s="475"/>
      <c r="BH2765" s="395"/>
      <c r="BI2765" s="395" t="e">
        <f t="shared" si="1057"/>
        <v>#DIV/0!</v>
      </c>
    </row>
    <row r="2766" spans="1:61" s="358" customFormat="1" ht="19.2" x14ac:dyDescent="0.3">
      <c r="A2766" s="359" t="s">
        <v>4573</v>
      </c>
      <c r="B2766" s="572" t="s">
        <v>4363</v>
      </c>
      <c r="C2766" s="546" t="s">
        <v>3518</v>
      </c>
      <c r="D2766" s="360">
        <v>0.4</v>
      </c>
      <c r="E2766" s="393"/>
      <c r="F2766" s="523"/>
      <c r="G2766" s="393"/>
      <c r="H2766" s="573"/>
      <c r="I2766" s="394"/>
      <c r="J2766" s="394"/>
      <c r="K2766" s="394"/>
      <c r="L2766" s="394"/>
      <c r="M2766" s="394"/>
      <c r="N2766" s="394"/>
      <c r="O2766" s="394"/>
      <c r="P2766" s="394"/>
      <c r="Q2766" s="394"/>
      <c r="R2766" s="381"/>
      <c r="S2766" s="408"/>
      <c r="T2766" s="385"/>
      <c r="U2766" s="475"/>
      <c r="V2766" s="395"/>
      <c r="W2766" s="395"/>
      <c r="X2766" s="393"/>
      <c r="Y2766" s="523">
        <v>1</v>
      </c>
      <c r="Z2766" s="497"/>
      <c r="AA2766" s="573">
        <v>18.408740000000002</v>
      </c>
      <c r="AB2766" s="394">
        <v>15.91553</v>
      </c>
      <c r="AC2766" s="394">
        <v>15.01099</v>
      </c>
      <c r="AD2766" s="394"/>
      <c r="AE2766" s="394"/>
      <c r="AF2766" s="394">
        <v>0</v>
      </c>
      <c r="AG2766" s="394">
        <v>0</v>
      </c>
      <c r="AH2766" s="394">
        <v>0.58123999999999998</v>
      </c>
      <c r="AI2766" s="394">
        <v>15.01099</v>
      </c>
      <c r="AJ2766" s="394"/>
      <c r="AK2766" s="381" t="s">
        <v>167</v>
      </c>
      <c r="AL2766" s="408" t="s">
        <v>175</v>
      </c>
      <c r="AM2766" s="385"/>
      <c r="AN2766" s="475">
        <v>1559</v>
      </c>
      <c r="AO2766" s="395"/>
      <c r="AP2766" s="395">
        <f t="shared" si="1058"/>
        <v>18.408740000000002</v>
      </c>
      <c r="AQ2766" s="393"/>
      <c r="AR2766" s="523"/>
      <c r="AS2766" s="497"/>
      <c r="AT2766" s="573"/>
      <c r="AU2766" s="394"/>
      <c r="AV2766" s="394"/>
      <c r="AW2766" s="394"/>
      <c r="AX2766" s="394"/>
      <c r="AY2766" s="394"/>
      <c r="AZ2766" s="394"/>
      <c r="BA2766" s="394"/>
      <c r="BB2766" s="394"/>
      <c r="BC2766" s="394"/>
      <c r="BD2766" s="381"/>
      <c r="BE2766" s="408"/>
      <c r="BF2766" s="385"/>
      <c r="BG2766" s="475"/>
      <c r="BH2766" s="395"/>
      <c r="BI2766" s="395" t="e">
        <f t="shared" si="1057"/>
        <v>#DIV/0!</v>
      </c>
    </row>
    <row r="2767" spans="1:61" s="358" customFormat="1" ht="19.2" x14ac:dyDescent="0.3">
      <c r="A2767" s="359" t="s">
        <v>4590</v>
      </c>
      <c r="B2767" s="572" t="s">
        <v>4364</v>
      </c>
      <c r="C2767" s="546" t="s">
        <v>3519</v>
      </c>
      <c r="D2767" s="360">
        <v>0.4</v>
      </c>
      <c r="E2767" s="393"/>
      <c r="F2767" s="523"/>
      <c r="G2767" s="393"/>
      <c r="H2767" s="573"/>
      <c r="I2767" s="394"/>
      <c r="J2767" s="394"/>
      <c r="K2767" s="394"/>
      <c r="L2767" s="394"/>
      <c r="M2767" s="394"/>
      <c r="N2767" s="394"/>
      <c r="O2767" s="394"/>
      <c r="P2767" s="394"/>
      <c r="Q2767" s="394"/>
      <c r="R2767" s="381"/>
      <c r="S2767" s="408"/>
      <c r="T2767" s="385"/>
      <c r="U2767" s="475"/>
      <c r="V2767" s="395"/>
      <c r="W2767" s="395"/>
      <c r="X2767" s="393"/>
      <c r="Y2767" s="523">
        <v>1</v>
      </c>
      <c r="Z2767" s="497"/>
      <c r="AA2767" s="573">
        <v>18.408729999999998</v>
      </c>
      <c r="AB2767" s="394">
        <v>15.915520000000001</v>
      </c>
      <c r="AC2767" s="394">
        <v>15.01099</v>
      </c>
      <c r="AD2767" s="394"/>
      <c r="AE2767" s="394"/>
      <c r="AF2767" s="394">
        <v>0</v>
      </c>
      <c r="AG2767" s="394">
        <v>0</v>
      </c>
      <c r="AH2767" s="394">
        <v>0.58123999999999998</v>
      </c>
      <c r="AI2767" s="394">
        <v>15.01099</v>
      </c>
      <c r="AJ2767" s="394"/>
      <c r="AK2767" s="381" t="s">
        <v>167</v>
      </c>
      <c r="AL2767" s="408" t="s">
        <v>175</v>
      </c>
      <c r="AM2767" s="385"/>
      <c r="AN2767" s="475">
        <v>1560</v>
      </c>
      <c r="AO2767" s="395"/>
      <c r="AP2767" s="395">
        <f t="shared" si="1058"/>
        <v>18.408729999999998</v>
      </c>
      <c r="AQ2767" s="393"/>
      <c r="AR2767" s="523"/>
      <c r="AS2767" s="497"/>
      <c r="AT2767" s="573"/>
      <c r="AU2767" s="394"/>
      <c r="AV2767" s="394"/>
      <c r="AW2767" s="394"/>
      <c r="AX2767" s="394"/>
      <c r="AY2767" s="394"/>
      <c r="AZ2767" s="394"/>
      <c r="BA2767" s="394"/>
      <c r="BB2767" s="394"/>
      <c r="BC2767" s="394"/>
      <c r="BD2767" s="381"/>
      <c r="BE2767" s="408"/>
      <c r="BF2767" s="385"/>
      <c r="BG2767" s="475"/>
      <c r="BH2767" s="395"/>
      <c r="BI2767" s="395" t="e">
        <f t="shared" si="1057"/>
        <v>#DIV/0!</v>
      </c>
    </row>
    <row r="2768" spans="1:61" s="358" customFormat="1" ht="19.2" x14ac:dyDescent="0.3">
      <c r="A2768" s="359" t="s">
        <v>4575</v>
      </c>
      <c r="B2768" s="572" t="s">
        <v>4365</v>
      </c>
      <c r="C2768" s="546" t="s">
        <v>3520</v>
      </c>
      <c r="D2768" s="360">
        <v>0.4</v>
      </c>
      <c r="E2768" s="393"/>
      <c r="F2768" s="523"/>
      <c r="G2768" s="393"/>
      <c r="H2768" s="573"/>
      <c r="I2768" s="394"/>
      <c r="J2768" s="394"/>
      <c r="K2768" s="394"/>
      <c r="L2768" s="394"/>
      <c r="M2768" s="394"/>
      <c r="N2768" s="394"/>
      <c r="O2768" s="394"/>
      <c r="P2768" s="394"/>
      <c r="Q2768" s="394"/>
      <c r="R2768" s="381"/>
      <c r="S2768" s="408"/>
      <c r="T2768" s="385"/>
      <c r="U2768" s="475"/>
      <c r="V2768" s="395"/>
      <c r="W2768" s="395"/>
      <c r="X2768" s="393"/>
      <c r="Y2768" s="523">
        <v>1</v>
      </c>
      <c r="Z2768" s="497"/>
      <c r="AA2768" s="573">
        <v>18.408750000000001</v>
      </c>
      <c r="AB2768" s="394">
        <v>15.91554</v>
      </c>
      <c r="AC2768" s="394">
        <v>15.01099</v>
      </c>
      <c r="AD2768" s="394"/>
      <c r="AE2768" s="394"/>
      <c r="AF2768" s="394">
        <v>0</v>
      </c>
      <c r="AG2768" s="394">
        <v>0</v>
      </c>
      <c r="AH2768" s="394">
        <v>0.58123999999999998</v>
      </c>
      <c r="AI2768" s="394">
        <v>15.01099</v>
      </c>
      <c r="AJ2768" s="394"/>
      <c r="AK2768" s="381" t="s">
        <v>167</v>
      </c>
      <c r="AL2768" s="408" t="s">
        <v>175</v>
      </c>
      <c r="AM2768" s="385"/>
      <c r="AN2768" s="475">
        <v>1561</v>
      </c>
      <c r="AO2768" s="395"/>
      <c r="AP2768" s="395">
        <f t="shared" si="1058"/>
        <v>18.408750000000001</v>
      </c>
      <c r="AQ2768" s="393"/>
      <c r="AR2768" s="523"/>
      <c r="AS2768" s="497"/>
      <c r="AT2768" s="573"/>
      <c r="AU2768" s="394"/>
      <c r="AV2768" s="394"/>
      <c r="AW2768" s="394"/>
      <c r="AX2768" s="394"/>
      <c r="AY2768" s="394"/>
      <c r="AZ2768" s="394"/>
      <c r="BA2768" s="394"/>
      <c r="BB2768" s="394"/>
      <c r="BC2768" s="394"/>
      <c r="BD2768" s="381"/>
      <c r="BE2768" s="408"/>
      <c r="BF2768" s="385"/>
      <c r="BG2768" s="475"/>
      <c r="BH2768" s="395"/>
      <c r="BI2768" s="395" t="e">
        <f t="shared" si="1057"/>
        <v>#DIV/0!</v>
      </c>
    </row>
    <row r="2769" spans="1:61" s="358" customFormat="1" ht="19.2" x14ac:dyDescent="0.3">
      <c r="A2769" s="359" t="s">
        <v>4576</v>
      </c>
      <c r="B2769" s="572" t="s">
        <v>4366</v>
      </c>
      <c r="C2769" s="546" t="s">
        <v>3521</v>
      </c>
      <c r="D2769" s="360">
        <v>0.4</v>
      </c>
      <c r="E2769" s="393"/>
      <c r="F2769" s="523"/>
      <c r="G2769" s="393"/>
      <c r="H2769" s="573"/>
      <c r="I2769" s="394"/>
      <c r="J2769" s="394"/>
      <c r="K2769" s="394"/>
      <c r="L2769" s="394"/>
      <c r="M2769" s="394"/>
      <c r="N2769" s="394"/>
      <c r="O2769" s="394"/>
      <c r="P2769" s="394"/>
      <c r="Q2769" s="394"/>
      <c r="R2769" s="381"/>
      <c r="S2769" s="408"/>
      <c r="T2769" s="385"/>
      <c r="U2769" s="475"/>
      <c r="V2769" s="395"/>
      <c r="W2769" s="395"/>
      <c r="X2769" s="393"/>
      <c r="Y2769" s="523">
        <v>1</v>
      </c>
      <c r="Z2769" s="497"/>
      <c r="AA2769" s="573">
        <v>28.53369</v>
      </c>
      <c r="AB2769" s="394">
        <v>26.060040000000001</v>
      </c>
      <c r="AC2769" s="394">
        <v>26.051359999999999</v>
      </c>
      <c r="AD2769" s="394"/>
      <c r="AE2769" s="394"/>
      <c r="AF2769" s="394">
        <v>0</v>
      </c>
      <c r="AG2769" s="394">
        <v>0</v>
      </c>
      <c r="AH2769" s="394">
        <v>0.57667999999999997</v>
      </c>
      <c r="AI2769" s="394">
        <v>13.025679999999999</v>
      </c>
      <c r="AJ2769" s="394"/>
      <c r="AK2769" s="381" t="s">
        <v>167</v>
      </c>
      <c r="AL2769" s="408" t="s">
        <v>175</v>
      </c>
      <c r="AM2769" s="385"/>
      <c r="AN2769" s="475">
        <v>1562</v>
      </c>
      <c r="AO2769" s="395"/>
      <c r="AP2769" s="395">
        <f t="shared" si="1058"/>
        <v>28.53369</v>
      </c>
      <c r="AQ2769" s="393"/>
      <c r="AR2769" s="523"/>
      <c r="AS2769" s="497"/>
      <c r="AT2769" s="573"/>
      <c r="AU2769" s="394"/>
      <c r="AV2769" s="394"/>
      <c r="AW2769" s="394"/>
      <c r="AX2769" s="394"/>
      <c r="AY2769" s="394"/>
      <c r="AZ2769" s="394"/>
      <c r="BA2769" s="394"/>
      <c r="BB2769" s="394"/>
      <c r="BC2769" s="394"/>
      <c r="BD2769" s="381"/>
      <c r="BE2769" s="408"/>
      <c r="BF2769" s="385"/>
      <c r="BG2769" s="475"/>
      <c r="BH2769" s="395"/>
      <c r="BI2769" s="395" t="e">
        <f t="shared" si="1057"/>
        <v>#DIV/0!</v>
      </c>
    </row>
    <row r="2770" spans="1:61" s="358" customFormat="1" ht="19.2" x14ac:dyDescent="0.3">
      <c r="A2770" s="359" t="s">
        <v>4561</v>
      </c>
      <c r="B2770" s="572" t="s">
        <v>4367</v>
      </c>
      <c r="C2770" s="546" t="s">
        <v>3523</v>
      </c>
      <c r="D2770" s="360">
        <v>0.4</v>
      </c>
      <c r="E2770" s="393"/>
      <c r="F2770" s="523"/>
      <c r="G2770" s="393"/>
      <c r="H2770" s="573"/>
      <c r="I2770" s="394"/>
      <c r="J2770" s="394"/>
      <c r="K2770" s="394"/>
      <c r="L2770" s="394"/>
      <c r="M2770" s="394"/>
      <c r="N2770" s="394"/>
      <c r="O2770" s="394"/>
      <c r="P2770" s="394"/>
      <c r="Q2770" s="394"/>
      <c r="R2770" s="381"/>
      <c r="S2770" s="408"/>
      <c r="T2770" s="385"/>
      <c r="U2770" s="475"/>
      <c r="V2770" s="395"/>
      <c r="W2770" s="395"/>
      <c r="X2770" s="393"/>
      <c r="Y2770" s="523">
        <v>1</v>
      </c>
      <c r="Z2770" s="497"/>
      <c r="AA2770" s="573">
        <v>18.5869</v>
      </c>
      <c r="AB2770" s="394">
        <v>16.093689999999999</v>
      </c>
      <c r="AC2770" s="394">
        <v>15.005520000000001</v>
      </c>
      <c r="AD2770" s="394"/>
      <c r="AE2770" s="394"/>
      <c r="AF2770" s="394">
        <v>0</v>
      </c>
      <c r="AG2770" s="394">
        <v>0</v>
      </c>
      <c r="AH2770" s="394">
        <v>0.58123999999999998</v>
      </c>
      <c r="AI2770" s="394">
        <v>15.005520000000001</v>
      </c>
      <c r="AJ2770" s="394"/>
      <c r="AK2770" s="381" t="s">
        <v>167</v>
      </c>
      <c r="AL2770" s="408" t="s">
        <v>175</v>
      </c>
      <c r="AM2770" s="385"/>
      <c r="AN2770" s="475">
        <v>1563</v>
      </c>
      <c r="AO2770" s="395"/>
      <c r="AP2770" s="395">
        <f t="shared" si="1058"/>
        <v>18.5869</v>
      </c>
      <c r="AQ2770" s="393"/>
      <c r="AR2770" s="523"/>
      <c r="AS2770" s="497"/>
      <c r="AT2770" s="573"/>
      <c r="AU2770" s="394"/>
      <c r="AV2770" s="394"/>
      <c r="AW2770" s="394"/>
      <c r="AX2770" s="394"/>
      <c r="AY2770" s="394"/>
      <c r="AZ2770" s="394"/>
      <c r="BA2770" s="394"/>
      <c r="BB2770" s="394"/>
      <c r="BC2770" s="394"/>
      <c r="BD2770" s="381"/>
      <c r="BE2770" s="408"/>
      <c r="BF2770" s="385"/>
      <c r="BG2770" s="475"/>
      <c r="BH2770" s="395"/>
      <c r="BI2770" s="395" t="e">
        <f t="shared" si="1057"/>
        <v>#DIV/0!</v>
      </c>
    </row>
    <row r="2771" spans="1:61" s="358" customFormat="1" ht="19.2" x14ac:dyDescent="0.3">
      <c r="A2771" s="359" t="s">
        <v>4578</v>
      </c>
      <c r="B2771" s="572" t="s">
        <v>4368</v>
      </c>
      <c r="C2771" s="546" t="s">
        <v>3524</v>
      </c>
      <c r="D2771" s="360">
        <v>0.4</v>
      </c>
      <c r="E2771" s="393"/>
      <c r="F2771" s="523"/>
      <c r="G2771" s="393"/>
      <c r="H2771" s="573"/>
      <c r="I2771" s="394"/>
      <c r="J2771" s="394"/>
      <c r="K2771" s="394"/>
      <c r="L2771" s="394"/>
      <c r="M2771" s="394"/>
      <c r="N2771" s="394"/>
      <c r="O2771" s="394"/>
      <c r="P2771" s="394"/>
      <c r="Q2771" s="394"/>
      <c r="R2771" s="381"/>
      <c r="S2771" s="408"/>
      <c r="T2771" s="385"/>
      <c r="U2771" s="475"/>
      <c r="V2771" s="395"/>
      <c r="W2771" s="395"/>
      <c r="X2771" s="393"/>
      <c r="Y2771" s="523">
        <v>1</v>
      </c>
      <c r="Z2771" s="497"/>
      <c r="AA2771" s="573">
        <v>18.5869</v>
      </c>
      <c r="AB2771" s="394">
        <v>16.093689999999999</v>
      </c>
      <c r="AC2771" s="394">
        <v>15.005520000000001</v>
      </c>
      <c r="AD2771" s="394"/>
      <c r="AE2771" s="394"/>
      <c r="AF2771" s="394">
        <v>0</v>
      </c>
      <c r="AG2771" s="394">
        <v>0</v>
      </c>
      <c r="AH2771" s="394">
        <v>0.58123999999999998</v>
      </c>
      <c r="AI2771" s="394">
        <v>15.005520000000001</v>
      </c>
      <c r="AJ2771" s="394"/>
      <c r="AK2771" s="381" t="s">
        <v>167</v>
      </c>
      <c r="AL2771" s="408" t="s">
        <v>175</v>
      </c>
      <c r="AM2771" s="385"/>
      <c r="AN2771" s="475">
        <v>1564</v>
      </c>
      <c r="AO2771" s="395"/>
      <c r="AP2771" s="395">
        <f t="shared" si="1058"/>
        <v>18.5869</v>
      </c>
      <c r="AQ2771" s="393"/>
      <c r="AR2771" s="523"/>
      <c r="AS2771" s="497"/>
      <c r="AT2771" s="573"/>
      <c r="AU2771" s="394"/>
      <c r="AV2771" s="394"/>
      <c r="AW2771" s="394"/>
      <c r="AX2771" s="394"/>
      <c r="AY2771" s="394"/>
      <c r="AZ2771" s="394"/>
      <c r="BA2771" s="394"/>
      <c r="BB2771" s="394"/>
      <c r="BC2771" s="394"/>
      <c r="BD2771" s="381"/>
      <c r="BE2771" s="408"/>
      <c r="BF2771" s="385"/>
      <c r="BG2771" s="475"/>
      <c r="BH2771" s="395"/>
      <c r="BI2771" s="395" t="e">
        <f t="shared" si="1057"/>
        <v>#DIV/0!</v>
      </c>
    </row>
    <row r="2772" spans="1:61" s="358" customFormat="1" ht="19.2" x14ac:dyDescent="0.3">
      <c r="A2772" s="359" t="s">
        <v>4579</v>
      </c>
      <c r="B2772" s="572" t="s">
        <v>2564</v>
      </c>
      <c r="C2772" s="546" t="s">
        <v>2563</v>
      </c>
      <c r="D2772" s="360">
        <v>0.4</v>
      </c>
      <c r="E2772" s="393"/>
      <c r="F2772" s="523"/>
      <c r="G2772" s="393"/>
      <c r="H2772" s="573"/>
      <c r="I2772" s="394"/>
      <c r="J2772" s="394"/>
      <c r="K2772" s="394"/>
      <c r="L2772" s="394"/>
      <c r="M2772" s="394"/>
      <c r="N2772" s="394"/>
      <c r="O2772" s="394"/>
      <c r="P2772" s="394"/>
      <c r="Q2772" s="394"/>
      <c r="R2772" s="381"/>
      <c r="S2772" s="408"/>
      <c r="T2772" s="385"/>
      <c r="U2772" s="475"/>
      <c r="V2772" s="395"/>
      <c r="W2772" s="395"/>
      <c r="X2772" s="393"/>
      <c r="Y2772" s="523">
        <v>1</v>
      </c>
      <c r="Z2772" s="497"/>
      <c r="AA2772" s="573">
        <v>18.408740000000002</v>
      </c>
      <c r="AB2772" s="394">
        <v>15.91553</v>
      </c>
      <c r="AC2772" s="394">
        <v>15.01099</v>
      </c>
      <c r="AD2772" s="394"/>
      <c r="AE2772" s="394"/>
      <c r="AF2772" s="394">
        <v>0</v>
      </c>
      <c r="AG2772" s="394">
        <v>0</v>
      </c>
      <c r="AH2772" s="394">
        <v>0.58123999999999998</v>
      </c>
      <c r="AI2772" s="394">
        <v>15.01099</v>
      </c>
      <c r="AJ2772" s="394"/>
      <c r="AK2772" s="381" t="s">
        <v>167</v>
      </c>
      <c r="AL2772" s="408" t="s">
        <v>175</v>
      </c>
      <c r="AM2772" s="385"/>
      <c r="AN2772" s="475">
        <v>1565</v>
      </c>
      <c r="AO2772" s="395"/>
      <c r="AP2772" s="395">
        <f t="shared" si="1058"/>
        <v>18.408740000000002</v>
      </c>
      <c r="AQ2772" s="393"/>
      <c r="AR2772" s="523"/>
      <c r="AS2772" s="497"/>
      <c r="AT2772" s="573"/>
      <c r="AU2772" s="394"/>
      <c r="AV2772" s="394"/>
      <c r="AW2772" s="394"/>
      <c r="AX2772" s="394"/>
      <c r="AY2772" s="394"/>
      <c r="AZ2772" s="394"/>
      <c r="BA2772" s="394"/>
      <c r="BB2772" s="394"/>
      <c r="BC2772" s="394"/>
      <c r="BD2772" s="381"/>
      <c r="BE2772" s="408"/>
      <c r="BF2772" s="385"/>
      <c r="BG2772" s="475"/>
      <c r="BH2772" s="395"/>
      <c r="BI2772" s="395" t="e">
        <f t="shared" si="1057"/>
        <v>#DIV/0!</v>
      </c>
    </row>
    <row r="2773" spans="1:61" s="358" customFormat="1" ht="19.2" x14ac:dyDescent="0.3">
      <c r="A2773" s="359" t="s">
        <v>4580</v>
      </c>
      <c r="B2773" s="572" t="s">
        <v>2482</v>
      </c>
      <c r="C2773" s="546" t="s">
        <v>2481</v>
      </c>
      <c r="D2773" s="360">
        <v>0.4</v>
      </c>
      <c r="E2773" s="393"/>
      <c r="F2773" s="523"/>
      <c r="G2773" s="393"/>
      <c r="H2773" s="573"/>
      <c r="I2773" s="394"/>
      <c r="J2773" s="394"/>
      <c r="K2773" s="394"/>
      <c r="L2773" s="394"/>
      <c r="M2773" s="394"/>
      <c r="N2773" s="394"/>
      <c r="O2773" s="394"/>
      <c r="P2773" s="394"/>
      <c r="Q2773" s="394"/>
      <c r="R2773" s="381"/>
      <c r="S2773" s="408"/>
      <c r="T2773" s="385"/>
      <c r="U2773" s="475"/>
      <c r="V2773" s="395"/>
      <c r="W2773" s="395"/>
      <c r="X2773" s="393"/>
      <c r="Y2773" s="523">
        <v>1</v>
      </c>
      <c r="Z2773" s="497"/>
      <c r="AA2773" s="573">
        <v>18.702010000000001</v>
      </c>
      <c r="AB2773" s="394">
        <v>14.457940000000001</v>
      </c>
      <c r="AC2773" s="394">
        <v>12.85937</v>
      </c>
      <c r="AD2773" s="394"/>
      <c r="AE2773" s="394"/>
      <c r="AF2773" s="394">
        <v>0</v>
      </c>
      <c r="AG2773" s="394">
        <v>0</v>
      </c>
      <c r="AH2773" s="394">
        <v>0.98941000000000001</v>
      </c>
      <c r="AI2773" s="394">
        <v>12.85937</v>
      </c>
      <c r="AJ2773" s="394"/>
      <c r="AK2773" s="381" t="s">
        <v>167</v>
      </c>
      <c r="AL2773" s="408" t="s">
        <v>175</v>
      </c>
      <c r="AM2773" s="385"/>
      <c r="AN2773" s="475">
        <v>1566</v>
      </c>
      <c r="AO2773" s="395"/>
      <c r="AP2773" s="395">
        <f t="shared" si="1058"/>
        <v>18.702010000000001</v>
      </c>
      <c r="AQ2773" s="393"/>
      <c r="AR2773" s="523"/>
      <c r="AS2773" s="497"/>
      <c r="AT2773" s="573"/>
      <c r="AU2773" s="394"/>
      <c r="AV2773" s="394"/>
      <c r="AW2773" s="394"/>
      <c r="AX2773" s="394"/>
      <c r="AY2773" s="394"/>
      <c r="AZ2773" s="394"/>
      <c r="BA2773" s="394"/>
      <c r="BB2773" s="394"/>
      <c r="BC2773" s="394"/>
      <c r="BD2773" s="381"/>
      <c r="BE2773" s="408"/>
      <c r="BF2773" s="385"/>
      <c r="BG2773" s="475"/>
      <c r="BH2773" s="395"/>
      <c r="BI2773" s="395" t="e">
        <f t="shared" si="1057"/>
        <v>#DIV/0!</v>
      </c>
    </row>
    <row r="2774" spans="1:61" s="358" customFormat="1" ht="19.2" x14ac:dyDescent="0.3">
      <c r="A2774" s="359" t="s">
        <v>4581</v>
      </c>
      <c r="B2774" s="572" t="s">
        <v>4369</v>
      </c>
      <c r="C2774" s="546" t="s">
        <v>3525</v>
      </c>
      <c r="D2774" s="360">
        <v>0.4</v>
      </c>
      <c r="E2774" s="393"/>
      <c r="F2774" s="523"/>
      <c r="G2774" s="393"/>
      <c r="H2774" s="573"/>
      <c r="I2774" s="394"/>
      <c r="J2774" s="394"/>
      <c r="K2774" s="394"/>
      <c r="L2774" s="394"/>
      <c r="M2774" s="394"/>
      <c r="N2774" s="394"/>
      <c r="O2774" s="394"/>
      <c r="P2774" s="394"/>
      <c r="Q2774" s="394"/>
      <c r="R2774" s="381"/>
      <c r="S2774" s="408"/>
      <c r="T2774" s="385"/>
      <c r="U2774" s="475"/>
      <c r="V2774" s="395"/>
      <c r="W2774" s="395"/>
      <c r="X2774" s="393"/>
      <c r="Y2774" s="523">
        <v>1</v>
      </c>
      <c r="Z2774" s="497"/>
      <c r="AA2774" s="573">
        <v>18.408740000000002</v>
      </c>
      <c r="AB2774" s="394">
        <v>15.91553</v>
      </c>
      <c r="AC2774" s="394">
        <v>15.01099</v>
      </c>
      <c r="AD2774" s="394"/>
      <c r="AE2774" s="394"/>
      <c r="AF2774" s="394">
        <v>0</v>
      </c>
      <c r="AG2774" s="394">
        <v>0</v>
      </c>
      <c r="AH2774" s="394">
        <v>0.58123999999999998</v>
      </c>
      <c r="AI2774" s="394">
        <v>15.01099</v>
      </c>
      <c r="AJ2774" s="394"/>
      <c r="AK2774" s="381" t="s">
        <v>167</v>
      </c>
      <c r="AL2774" s="408" t="s">
        <v>175</v>
      </c>
      <c r="AM2774" s="385"/>
      <c r="AN2774" s="475">
        <v>1567</v>
      </c>
      <c r="AO2774" s="395"/>
      <c r="AP2774" s="395">
        <f t="shared" si="1058"/>
        <v>18.408740000000002</v>
      </c>
      <c r="AQ2774" s="393"/>
      <c r="AR2774" s="523"/>
      <c r="AS2774" s="497"/>
      <c r="AT2774" s="573"/>
      <c r="AU2774" s="394"/>
      <c r="AV2774" s="394"/>
      <c r="AW2774" s="394"/>
      <c r="AX2774" s="394"/>
      <c r="AY2774" s="394"/>
      <c r="AZ2774" s="394"/>
      <c r="BA2774" s="394"/>
      <c r="BB2774" s="394"/>
      <c r="BC2774" s="394"/>
      <c r="BD2774" s="381"/>
      <c r="BE2774" s="408"/>
      <c r="BF2774" s="385"/>
      <c r="BG2774" s="475"/>
      <c r="BH2774" s="395"/>
      <c r="BI2774" s="395" t="e">
        <f t="shared" si="1057"/>
        <v>#DIV/0!</v>
      </c>
    </row>
    <row r="2775" spans="1:61" s="358" customFormat="1" ht="19.2" x14ac:dyDescent="0.3">
      <c r="A2775" s="359" t="s">
        <v>4582</v>
      </c>
      <c r="B2775" s="572" t="s">
        <v>4370</v>
      </c>
      <c r="C2775" s="546" t="s">
        <v>3526</v>
      </c>
      <c r="D2775" s="360">
        <v>0.4</v>
      </c>
      <c r="E2775" s="393"/>
      <c r="F2775" s="523"/>
      <c r="G2775" s="393"/>
      <c r="H2775" s="573"/>
      <c r="I2775" s="394"/>
      <c r="J2775" s="394"/>
      <c r="K2775" s="394"/>
      <c r="L2775" s="394"/>
      <c r="M2775" s="394"/>
      <c r="N2775" s="394"/>
      <c r="O2775" s="394"/>
      <c r="P2775" s="394"/>
      <c r="Q2775" s="394"/>
      <c r="R2775" s="381"/>
      <c r="S2775" s="408"/>
      <c r="T2775" s="385"/>
      <c r="U2775" s="475"/>
      <c r="V2775" s="395"/>
      <c r="W2775" s="395"/>
      <c r="X2775" s="393"/>
      <c r="Y2775" s="523">
        <v>1</v>
      </c>
      <c r="Z2775" s="497"/>
      <c r="AA2775" s="573">
        <v>18.408740000000002</v>
      </c>
      <c r="AB2775" s="394">
        <v>15.91553</v>
      </c>
      <c r="AC2775" s="394">
        <v>15.01099</v>
      </c>
      <c r="AD2775" s="394"/>
      <c r="AE2775" s="394"/>
      <c r="AF2775" s="394">
        <v>0</v>
      </c>
      <c r="AG2775" s="394">
        <v>0</v>
      </c>
      <c r="AH2775" s="394">
        <v>0.58123999999999998</v>
      </c>
      <c r="AI2775" s="394">
        <v>15.01099</v>
      </c>
      <c r="AJ2775" s="394"/>
      <c r="AK2775" s="381" t="s">
        <v>167</v>
      </c>
      <c r="AL2775" s="408" t="s">
        <v>175</v>
      </c>
      <c r="AM2775" s="385"/>
      <c r="AN2775" s="475">
        <v>1568</v>
      </c>
      <c r="AO2775" s="395"/>
      <c r="AP2775" s="395">
        <f t="shared" si="1058"/>
        <v>18.408740000000002</v>
      </c>
      <c r="AQ2775" s="393"/>
      <c r="AR2775" s="523"/>
      <c r="AS2775" s="497"/>
      <c r="AT2775" s="573"/>
      <c r="AU2775" s="394"/>
      <c r="AV2775" s="394"/>
      <c r="AW2775" s="394"/>
      <c r="AX2775" s="394"/>
      <c r="AY2775" s="394"/>
      <c r="AZ2775" s="394"/>
      <c r="BA2775" s="394"/>
      <c r="BB2775" s="394"/>
      <c r="BC2775" s="394"/>
      <c r="BD2775" s="381"/>
      <c r="BE2775" s="408"/>
      <c r="BF2775" s="385"/>
      <c r="BG2775" s="475"/>
      <c r="BH2775" s="395"/>
      <c r="BI2775" s="395" t="e">
        <f t="shared" si="1057"/>
        <v>#DIV/0!</v>
      </c>
    </row>
    <row r="2776" spans="1:61" s="358" customFormat="1" ht="19.2" x14ac:dyDescent="0.3">
      <c r="A2776" s="359" t="s">
        <v>4583</v>
      </c>
      <c r="B2776" s="572" t="s">
        <v>4371</v>
      </c>
      <c r="C2776" s="546" t="s">
        <v>3527</v>
      </c>
      <c r="D2776" s="360">
        <v>0.4</v>
      </c>
      <c r="E2776" s="393"/>
      <c r="F2776" s="523"/>
      <c r="G2776" s="393"/>
      <c r="H2776" s="573"/>
      <c r="I2776" s="394"/>
      <c r="J2776" s="394"/>
      <c r="K2776" s="394"/>
      <c r="L2776" s="394"/>
      <c r="M2776" s="394"/>
      <c r="N2776" s="394"/>
      <c r="O2776" s="394"/>
      <c r="P2776" s="394"/>
      <c r="Q2776" s="394"/>
      <c r="R2776" s="381"/>
      <c r="S2776" s="408"/>
      <c r="T2776" s="385"/>
      <c r="U2776" s="475"/>
      <c r="V2776" s="395"/>
      <c r="W2776" s="395"/>
      <c r="X2776" s="393"/>
      <c r="Y2776" s="523">
        <v>1</v>
      </c>
      <c r="Z2776" s="497"/>
      <c r="AA2776" s="573">
        <v>18.58689</v>
      </c>
      <c r="AB2776" s="394">
        <v>16.093679999999999</v>
      </c>
      <c r="AC2776" s="394">
        <v>15.005520000000001</v>
      </c>
      <c r="AD2776" s="394"/>
      <c r="AE2776" s="394"/>
      <c r="AF2776" s="394">
        <v>0</v>
      </c>
      <c r="AG2776" s="394">
        <v>0</v>
      </c>
      <c r="AH2776" s="394">
        <v>0.58123999999999998</v>
      </c>
      <c r="AI2776" s="394">
        <v>15.005520000000001</v>
      </c>
      <c r="AJ2776" s="394"/>
      <c r="AK2776" s="381" t="s">
        <v>167</v>
      </c>
      <c r="AL2776" s="408" t="s">
        <v>175</v>
      </c>
      <c r="AM2776" s="385"/>
      <c r="AN2776" s="475">
        <v>1569</v>
      </c>
      <c r="AO2776" s="395"/>
      <c r="AP2776" s="395">
        <f t="shared" si="1058"/>
        <v>18.58689</v>
      </c>
      <c r="AQ2776" s="393"/>
      <c r="AR2776" s="523"/>
      <c r="AS2776" s="497"/>
      <c r="AT2776" s="573"/>
      <c r="AU2776" s="394"/>
      <c r="AV2776" s="394"/>
      <c r="AW2776" s="394"/>
      <c r="AX2776" s="394"/>
      <c r="AY2776" s="394"/>
      <c r="AZ2776" s="394"/>
      <c r="BA2776" s="394"/>
      <c r="BB2776" s="394"/>
      <c r="BC2776" s="394"/>
      <c r="BD2776" s="381"/>
      <c r="BE2776" s="408"/>
      <c r="BF2776" s="385"/>
      <c r="BG2776" s="475"/>
      <c r="BH2776" s="395"/>
      <c r="BI2776" s="395" t="e">
        <f t="shared" si="1057"/>
        <v>#DIV/0!</v>
      </c>
    </row>
    <row r="2777" spans="1:61" s="358" customFormat="1" ht="19.2" x14ac:dyDescent="0.3">
      <c r="A2777" s="359" t="s">
        <v>4584</v>
      </c>
      <c r="B2777" s="572" t="s">
        <v>4372</v>
      </c>
      <c r="C2777" s="546" t="s">
        <v>3528</v>
      </c>
      <c r="D2777" s="360">
        <v>0.4</v>
      </c>
      <c r="E2777" s="393"/>
      <c r="F2777" s="523"/>
      <c r="G2777" s="393"/>
      <c r="H2777" s="573"/>
      <c r="I2777" s="394"/>
      <c r="J2777" s="394"/>
      <c r="K2777" s="394"/>
      <c r="L2777" s="394"/>
      <c r="M2777" s="394"/>
      <c r="N2777" s="394"/>
      <c r="O2777" s="394"/>
      <c r="P2777" s="394"/>
      <c r="Q2777" s="394"/>
      <c r="R2777" s="381"/>
      <c r="S2777" s="408"/>
      <c r="T2777" s="385"/>
      <c r="U2777" s="475"/>
      <c r="V2777" s="395"/>
      <c r="W2777" s="395"/>
      <c r="X2777" s="393"/>
      <c r="Y2777" s="523">
        <v>1</v>
      </c>
      <c r="Z2777" s="497"/>
      <c r="AA2777" s="573">
        <v>18.702020000000001</v>
      </c>
      <c r="AB2777" s="394">
        <v>14.45795</v>
      </c>
      <c r="AC2777" s="394">
        <v>12.85937</v>
      </c>
      <c r="AD2777" s="394"/>
      <c r="AE2777" s="394"/>
      <c r="AF2777" s="394">
        <v>0</v>
      </c>
      <c r="AG2777" s="394">
        <v>0</v>
      </c>
      <c r="AH2777" s="394">
        <v>0.98941000000000001</v>
      </c>
      <c r="AI2777" s="394">
        <v>12.85937</v>
      </c>
      <c r="AJ2777" s="394"/>
      <c r="AK2777" s="381" t="s">
        <v>167</v>
      </c>
      <c r="AL2777" s="408" t="s">
        <v>175</v>
      </c>
      <c r="AM2777" s="385"/>
      <c r="AN2777" s="475">
        <v>1570</v>
      </c>
      <c r="AO2777" s="395"/>
      <c r="AP2777" s="395">
        <f t="shared" si="1058"/>
        <v>18.702020000000001</v>
      </c>
      <c r="AQ2777" s="393"/>
      <c r="AR2777" s="523"/>
      <c r="AS2777" s="497"/>
      <c r="AT2777" s="573"/>
      <c r="AU2777" s="394"/>
      <c r="AV2777" s="394"/>
      <c r="AW2777" s="394"/>
      <c r="AX2777" s="394"/>
      <c r="AY2777" s="394"/>
      <c r="AZ2777" s="394"/>
      <c r="BA2777" s="394"/>
      <c r="BB2777" s="394"/>
      <c r="BC2777" s="394"/>
      <c r="BD2777" s="381"/>
      <c r="BE2777" s="408"/>
      <c r="BF2777" s="385"/>
      <c r="BG2777" s="475"/>
      <c r="BH2777" s="395"/>
      <c r="BI2777" s="395" t="e">
        <f t="shared" si="1057"/>
        <v>#DIV/0!</v>
      </c>
    </row>
    <row r="2778" spans="1:61" s="358" customFormat="1" ht="19.2" x14ac:dyDescent="0.3">
      <c r="A2778" s="359" t="s">
        <v>4585</v>
      </c>
      <c r="B2778" s="572" t="s">
        <v>4373</v>
      </c>
      <c r="C2778" s="546" t="s">
        <v>3529</v>
      </c>
      <c r="D2778" s="360">
        <v>0.4</v>
      </c>
      <c r="E2778" s="393"/>
      <c r="F2778" s="523"/>
      <c r="G2778" s="393"/>
      <c r="H2778" s="573"/>
      <c r="I2778" s="394"/>
      <c r="J2778" s="394"/>
      <c r="K2778" s="394"/>
      <c r="L2778" s="394"/>
      <c r="M2778" s="394"/>
      <c r="N2778" s="394"/>
      <c r="O2778" s="394"/>
      <c r="P2778" s="394"/>
      <c r="Q2778" s="394"/>
      <c r="R2778" s="381"/>
      <c r="S2778" s="408"/>
      <c r="T2778" s="385"/>
      <c r="U2778" s="475"/>
      <c r="V2778" s="395"/>
      <c r="W2778" s="395"/>
      <c r="X2778" s="393"/>
      <c r="Y2778" s="523">
        <v>1</v>
      </c>
      <c r="Z2778" s="497"/>
      <c r="AA2778" s="573">
        <v>18.408729999999998</v>
      </c>
      <c r="AB2778" s="394">
        <v>15.915520000000001</v>
      </c>
      <c r="AC2778" s="394">
        <v>15.01099</v>
      </c>
      <c r="AD2778" s="394"/>
      <c r="AE2778" s="394"/>
      <c r="AF2778" s="394">
        <v>0</v>
      </c>
      <c r="AG2778" s="394">
        <v>0</v>
      </c>
      <c r="AH2778" s="394">
        <v>0.58123999999999998</v>
      </c>
      <c r="AI2778" s="394">
        <v>15.01099</v>
      </c>
      <c r="AJ2778" s="394"/>
      <c r="AK2778" s="381" t="s">
        <v>167</v>
      </c>
      <c r="AL2778" s="408" t="s">
        <v>175</v>
      </c>
      <c r="AM2778" s="385"/>
      <c r="AN2778" s="475">
        <v>1571</v>
      </c>
      <c r="AO2778" s="395"/>
      <c r="AP2778" s="395">
        <f t="shared" si="1058"/>
        <v>18.408729999999998</v>
      </c>
      <c r="AQ2778" s="393"/>
      <c r="AR2778" s="523"/>
      <c r="AS2778" s="497"/>
      <c r="AT2778" s="573"/>
      <c r="AU2778" s="394"/>
      <c r="AV2778" s="394"/>
      <c r="AW2778" s="394"/>
      <c r="AX2778" s="394"/>
      <c r="AY2778" s="394"/>
      <c r="AZ2778" s="394"/>
      <c r="BA2778" s="394"/>
      <c r="BB2778" s="394"/>
      <c r="BC2778" s="394"/>
      <c r="BD2778" s="381"/>
      <c r="BE2778" s="408"/>
      <c r="BF2778" s="385"/>
      <c r="BG2778" s="475"/>
      <c r="BH2778" s="395"/>
      <c r="BI2778" s="395" t="e">
        <f t="shared" si="1057"/>
        <v>#DIV/0!</v>
      </c>
    </row>
    <row r="2779" spans="1:61" s="358" customFormat="1" ht="19.2" x14ac:dyDescent="0.3">
      <c r="A2779" s="359" t="s">
        <v>4602</v>
      </c>
      <c r="B2779" s="572" t="s">
        <v>1703</v>
      </c>
      <c r="C2779" s="546" t="s">
        <v>3530</v>
      </c>
      <c r="D2779" s="360">
        <v>0.4</v>
      </c>
      <c r="E2779" s="393"/>
      <c r="F2779" s="523"/>
      <c r="G2779" s="393"/>
      <c r="H2779" s="573"/>
      <c r="I2779" s="394"/>
      <c r="J2779" s="394"/>
      <c r="K2779" s="394"/>
      <c r="L2779" s="394"/>
      <c r="M2779" s="394"/>
      <c r="N2779" s="394"/>
      <c r="O2779" s="394"/>
      <c r="P2779" s="394"/>
      <c r="Q2779" s="394"/>
      <c r="R2779" s="381"/>
      <c r="S2779" s="408"/>
      <c r="T2779" s="385"/>
      <c r="U2779" s="475"/>
      <c r="V2779" s="395"/>
      <c r="W2779" s="395"/>
      <c r="X2779" s="393"/>
      <c r="Y2779" s="523">
        <v>1</v>
      </c>
      <c r="Z2779" s="497"/>
      <c r="AA2779" s="573">
        <v>18.408740000000002</v>
      </c>
      <c r="AB2779" s="394">
        <v>15.91553</v>
      </c>
      <c r="AC2779" s="394">
        <v>15.01099</v>
      </c>
      <c r="AD2779" s="394"/>
      <c r="AE2779" s="394"/>
      <c r="AF2779" s="394">
        <v>0</v>
      </c>
      <c r="AG2779" s="394">
        <v>0</v>
      </c>
      <c r="AH2779" s="394">
        <v>0.58123999999999998</v>
      </c>
      <c r="AI2779" s="394">
        <v>15.01099</v>
      </c>
      <c r="AJ2779" s="394"/>
      <c r="AK2779" s="381" t="s">
        <v>167</v>
      </c>
      <c r="AL2779" s="408" t="s">
        <v>175</v>
      </c>
      <c r="AM2779" s="385"/>
      <c r="AN2779" s="475">
        <v>1572</v>
      </c>
      <c r="AO2779" s="395"/>
      <c r="AP2779" s="395">
        <f t="shared" si="1058"/>
        <v>18.408740000000002</v>
      </c>
      <c r="AQ2779" s="393"/>
      <c r="AR2779" s="523"/>
      <c r="AS2779" s="497"/>
      <c r="AT2779" s="573"/>
      <c r="AU2779" s="394"/>
      <c r="AV2779" s="394"/>
      <c r="AW2779" s="394"/>
      <c r="AX2779" s="394"/>
      <c r="AY2779" s="394"/>
      <c r="AZ2779" s="394"/>
      <c r="BA2779" s="394"/>
      <c r="BB2779" s="394"/>
      <c r="BC2779" s="394"/>
      <c r="BD2779" s="381"/>
      <c r="BE2779" s="408"/>
      <c r="BF2779" s="385"/>
      <c r="BG2779" s="475"/>
      <c r="BH2779" s="395"/>
      <c r="BI2779" s="395" t="e">
        <f t="shared" si="1057"/>
        <v>#DIV/0!</v>
      </c>
    </row>
    <row r="2780" spans="1:61" s="358" customFormat="1" ht="19.2" x14ac:dyDescent="0.3">
      <c r="A2780" s="359" t="s">
        <v>4587</v>
      </c>
      <c r="B2780" s="572" t="s">
        <v>4374</v>
      </c>
      <c r="C2780" s="546" t="s">
        <v>3531</v>
      </c>
      <c r="D2780" s="360">
        <v>0.4</v>
      </c>
      <c r="E2780" s="393"/>
      <c r="F2780" s="523"/>
      <c r="G2780" s="393"/>
      <c r="H2780" s="573"/>
      <c r="I2780" s="394"/>
      <c r="J2780" s="394"/>
      <c r="K2780" s="394"/>
      <c r="L2780" s="394"/>
      <c r="M2780" s="394"/>
      <c r="N2780" s="394"/>
      <c r="O2780" s="394"/>
      <c r="P2780" s="394"/>
      <c r="Q2780" s="394"/>
      <c r="R2780" s="381"/>
      <c r="S2780" s="408"/>
      <c r="T2780" s="385"/>
      <c r="U2780" s="475"/>
      <c r="V2780" s="395"/>
      <c r="W2780" s="395"/>
      <c r="X2780" s="393"/>
      <c r="Y2780" s="523">
        <v>1</v>
      </c>
      <c r="Z2780" s="497"/>
      <c r="AA2780" s="573">
        <v>18.275449999999999</v>
      </c>
      <c r="AB2780" s="394">
        <v>15.78224</v>
      </c>
      <c r="AC2780" s="394">
        <v>15.0055</v>
      </c>
      <c r="AD2780" s="394"/>
      <c r="AE2780" s="394"/>
      <c r="AF2780" s="394">
        <v>0</v>
      </c>
      <c r="AG2780" s="394">
        <v>0</v>
      </c>
      <c r="AH2780" s="394">
        <v>0.58123999999999998</v>
      </c>
      <c r="AI2780" s="394">
        <v>15.0055</v>
      </c>
      <c r="AJ2780" s="394"/>
      <c r="AK2780" s="381" t="s">
        <v>167</v>
      </c>
      <c r="AL2780" s="408" t="s">
        <v>175</v>
      </c>
      <c r="AM2780" s="385"/>
      <c r="AN2780" s="475">
        <v>1573</v>
      </c>
      <c r="AO2780" s="395"/>
      <c r="AP2780" s="395">
        <f t="shared" si="1058"/>
        <v>18.275449999999999</v>
      </c>
      <c r="AQ2780" s="393"/>
      <c r="AR2780" s="523"/>
      <c r="AS2780" s="497"/>
      <c r="AT2780" s="573"/>
      <c r="AU2780" s="394"/>
      <c r="AV2780" s="394"/>
      <c r="AW2780" s="394"/>
      <c r="AX2780" s="394"/>
      <c r="AY2780" s="394"/>
      <c r="AZ2780" s="394"/>
      <c r="BA2780" s="394"/>
      <c r="BB2780" s="394"/>
      <c r="BC2780" s="394"/>
      <c r="BD2780" s="381"/>
      <c r="BE2780" s="408"/>
      <c r="BF2780" s="385"/>
      <c r="BG2780" s="475"/>
      <c r="BH2780" s="395"/>
      <c r="BI2780" s="395" t="e">
        <f t="shared" si="1057"/>
        <v>#DIV/0!</v>
      </c>
    </row>
    <row r="2781" spans="1:61" s="358" customFormat="1" ht="19.2" x14ac:dyDescent="0.3">
      <c r="A2781" s="359" t="s">
        <v>4588</v>
      </c>
      <c r="B2781" s="572" t="s">
        <v>4375</v>
      </c>
      <c r="C2781" s="546" t="s">
        <v>3532</v>
      </c>
      <c r="D2781" s="360">
        <v>0.4</v>
      </c>
      <c r="E2781" s="393"/>
      <c r="F2781" s="523"/>
      <c r="G2781" s="393"/>
      <c r="H2781" s="573"/>
      <c r="I2781" s="394"/>
      <c r="J2781" s="394"/>
      <c r="K2781" s="394"/>
      <c r="L2781" s="394"/>
      <c r="M2781" s="394"/>
      <c r="N2781" s="394"/>
      <c r="O2781" s="394"/>
      <c r="P2781" s="394"/>
      <c r="Q2781" s="394"/>
      <c r="R2781" s="381"/>
      <c r="S2781" s="408"/>
      <c r="T2781" s="385"/>
      <c r="U2781" s="475"/>
      <c r="V2781" s="395"/>
      <c r="W2781" s="395"/>
      <c r="X2781" s="393"/>
      <c r="Y2781" s="523">
        <v>1</v>
      </c>
      <c r="Z2781" s="497"/>
      <c r="AA2781" s="573">
        <v>18.408740000000002</v>
      </c>
      <c r="AB2781" s="394">
        <v>15.91553</v>
      </c>
      <c r="AC2781" s="394">
        <v>15.01099</v>
      </c>
      <c r="AD2781" s="394"/>
      <c r="AE2781" s="394"/>
      <c r="AF2781" s="394">
        <v>0</v>
      </c>
      <c r="AG2781" s="394">
        <v>0</v>
      </c>
      <c r="AH2781" s="394">
        <v>0.58123999999999998</v>
      </c>
      <c r="AI2781" s="394">
        <v>15.01099</v>
      </c>
      <c r="AJ2781" s="394"/>
      <c r="AK2781" s="381" t="s">
        <v>167</v>
      </c>
      <c r="AL2781" s="408" t="s">
        <v>175</v>
      </c>
      <c r="AM2781" s="385"/>
      <c r="AN2781" s="475">
        <v>1574</v>
      </c>
      <c r="AO2781" s="395"/>
      <c r="AP2781" s="395">
        <f t="shared" si="1058"/>
        <v>18.408740000000002</v>
      </c>
      <c r="AQ2781" s="393"/>
      <c r="AR2781" s="523"/>
      <c r="AS2781" s="497"/>
      <c r="AT2781" s="573"/>
      <c r="AU2781" s="394"/>
      <c r="AV2781" s="394"/>
      <c r="AW2781" s="394"/>
      <c r="AX2781" s="394"/>
      <c r="AY2781" s="394"/>
      <c r="AZ2781" s="394"/>
      <c r="BA2781" s="394"/>
      <c r="BB2781" s="394"/>
      <c r="BC2781" s="394"/>
      <c r="BD2781" s="381"/>
      <c r="BE2781" s="408"/>
      <c r="BF2781" s="385"/>
      <c r="BG2781" s="475"/>
      <c r="BH2781" s="395"/>
      <c r="BI2781" s="395" t="e">
        <f t="shared" si="1057"/>
        <v>#DIV/0!</v>
      </c>
    </row>
    <row r="2782" spans="1:61" s="358" customFormat="1" ht="19.2" x14ac:dyDescent="0.3">
      <c r="A2782" s="359" t="s">
        <v>4589</v>
      </c>
      <c r="B2782" s="572" t="s">
        <v>4376</v>
      </c>
      <c r="C2782" s="546" t="s">
        <v>3534</v>
      </c>
      <c r="D2782" s="360">
        <v>0.4</v>
      </c>
      <c r="E2782" s="393"/>
      <c r="F2782" s="523"/>
      <c r="G2782" s="393"/>
      <c r="H2782" s="573"/>
      <c r="I2782" s="394"/>
      <c r="J2782" s="394"/>
      <c r="K2782" s="394"/>
      <c r="L2782" s="394"/>
      <c r="M2782" s="394"/>
      <c r="N2782" s="394"/>
      <c r="O2782" s="394"/>
      <c r="P2782" s="394"/>
      <c r="Q2782" s="394"/>
      <c r="R2782" s="381"/>
      <c r="S2782" s="408"/>
      <c r="T2782" s="385"/>
      <c r="U2782" s="475"/>
      <c r="V2782" s="395"/>
      <c r="W2782" s="395"/>
      <c r="X2782" s="393"/>
      <c r="Y2782" s="523">
        <v>1</v>
      </c>
      <c r="Z2782" s="497"/>
      <c r="AA2782" s="573">
        <v>18.702010000000001</v>
      </c>
      <c r="AB2782" s="394">
        <v>14.457940000000001</v>
      </c>
      <c r="AC2782" s="394">
        <v>12.85937</v>
      </c>
      <c r="AD2782" s="394"/>
      <c r="AE2782" s="394"/>
      <c r="AF2782" s="394">
        <v>0</v>
      </c>
      <c r="AG2782" s="394">
        <v>0</v>
      </c>
      <c r="AH2782" s="394">
        <v>0.98941000000000001</v>
      </c>
      <c r="AI2782" s="394">
        <v>12.85937</v>
      </c>
      <c r="AJ2782" s="394"/>
      <c r="AK2782" s="381" t="s">
        <v>167</v>
      </c>
      <c r="AL2782" s="408" t="s">
        <v>175</v>
      </c>
      <c r="AM2782" s="385"/>
      <c r="AN2782" s="475">
        <v>1575</v>
      </c>
      <c r="AO2782" s="395"/>
      <c r="AP2782" s="395">
        <f t="shared" si="1058"/>
        <v>18.702010000000001</v>
      </c>
      <c r="AQ2782" s="393"/>
      <c r="AR2782" s="523"/>
      <c r="AS2782" s="497"/>
      <c r="AT2782" s="573"/>
      <c r="AU2782" s="394"/>
      <c r="AV2782" s="394"/>
      <c r="AW2782" s="394"/>
      <c r="AX2782" s="394"/>
      <c r="AY2782" s="394"/>
      <c r="AZ2782" s="394"/>
      <c r="BA2782" s="394"/>
      <c r="BB2782" s="394"/>
      <c r="BC2782" s="394"/>
      <c r="BD2782" s="381"/>
      <c r="BE2782" s="408"/>
      <c r="BF2782" s="385"/>
      <c r="BG2782" s="475"/>
      <c r="BH2782" s="395"/>
      <c r="BI2782" s="395" t="e">
        <f t="shared" si="1057"/>
        <v>#DIV/0!</v>
      </c>
    </row>
    <row r="2783" spans="1:61" s="358" customFormat="1" ht="19.2" x14ac:dyDescent="0.3">
      <c r="A2783" s="359" t="s">
        <v>4606</v>
      </c>
      <c r="B2783" s="572" t="s">
        <v>4377</v>
      </c>
      <c r="C2783" s="546" t="s">
        <v>3535</v>
      </c>
      <c r="D2783" s="360">
        <v>0.4</v>
      </c>
      <c r="E2783" s="393"/>
      <c r="F2783" s="523"/>
      <c r="G2783" s="393"/>
      <c r="H2783" s="573"/>
      <c r="I2783" s="394"/>
      <c r="J2783" s="394"/>
      <c r="K2783" s="394"/>
      <c r="L2783" s="394"/>
      <c r="M2783" s="394"/>
      <c r="N2783" s="394"/>
      <c r="O2783" s="394"/>
      <c r="P2783" s="394"/>
      <c r="Q2783" s="394"/>
      <c r="R2783" s="381"/>
      <c r="S2783" s="408"/>
      <c r="T2783" s="385"/>
      <c r="U2783" s="475"/>
      <c r="V2783" s="395"/>
      <c r="W2783" s="395"/>
      <c r="X2783" s="393"/>
      <c r="Y2783" s="523">
        <v>1</v>
      </c>
      <c r="Z2783" s="497"/>
      <c r="AA2783" s="573">
        <v>18.702010000000001</v>
      </c>
      <c r="AB2783" s="394">
        <v>14.457940000000001</v>
      </c>
      <c r="AC2783" s="394">
        <v>12.85937</v>
      </c>
      <c r="AD2783" s="394"/>
      <c r="AE2783" s="394"/>
      <c r="AF2783" s="394">
        <v>0</v>
      </c>
      <c r="AG2783" s="394">
        <v>0</v>
      </c>
      <c r="AH2783" s="394">
        <v>0.98941000000000001</v>
      </c>
      <c r="AI2783" s="394">
        <v>12.85937</v>
      </c>
      <c r="AJ2783" s="394"/>
      <c r="AK2783" s="381" t="s">
        <v>167</v>
      </c>
      <c r="AL2783" s="408" t="s">
        <v>175</v>
      </c>
      <c r="AM2783" s="385"/>
      <c r="AN2783" s="475">
        <v>1576</v>
      </c>
      <c r="AO2783" s="395"/>
      <c r="AP2783" s="395">
        <f t="shared" si="1058"/>
        <v>18.702010000000001</v>
      </c>
      <c r="AQ2783" s="393"/>
      <c r="AR2783" s="523"/>
      <c r="AS2783" s="497"/>
      <c r="AT2783" s="573"/>
      <c r="AU2783" s="394"/>
      <c r="AV2783" s="394"/>
      <c r="AW2783" s="394"/>
      <c r="AX2783" s="394"/>
      <c r="AY2783" s="394"/>
      <c r="AZ2783" s="394"/>
      <c r="BA2783" s="394"/>
      <c r="BB2783" s="394"/>
      <c r="BC2783" s="394"/>
      <c r="BD2783" s="381"/>
      <c r="BE2783" s="408"/>
      <c r="BF2783" s="385"/>
      <c r="BG2783" s="475"/>
      <c r="BH2783" s="395"/>
      <c r="BI2783" s="395" t="e">
        <f t="shared" si="1057"/>
        <v>#DIV/0!</v>
      </c>
    </row>
    <row r="2784" spans="1:61" s="358" customFormat="1" ht="19.2" x14ac:dyDescent="0.3">
      <c r="A2784" s="359" t="s">
        <v>4591</v>
      </c>
      <c r="B2784" s="572" t="s">
        <v>4378</v>
      </c>
      <c r="C2784" s="546" t="s">
        <v>3536</v>
      </c>
      <c r="D2784" s="360">
        <v>0.4</v>
      </c>
      <c r="E2784" s="393"/>
      <c r="F2784" s="523"/>
      <c r="G2784" s="393"/>
      <c r="H2784" s="573"/>
      <c r="I2784" s="394"/>
      <c r="J2784" s="394"/>
      <c r="K2784" s="394"/>
      <c r="L2784" s="394"/>
      <c r="M2784" s="394"/>
      <c r="N2784" s="394"/>
      <c r="O2784" s="394"/>
      <c r="P2784" s="394"/>
      <c r="Q2784" s="394"/>
      <c r="R2784" s="381"/>
      <c r="S2784" s="408"/>
      <c r="T2784" s="385"/>
      <c r="U2784" s="475"/>
      <c r="V2784" s="395"/>
      <c r="W2784" s="395"/>
      <c r="X2784" s="393"/>
      <c r="Y2784" s="523">
        <v>1</v>
      </c>
      <c r="Z2784" s="497"/>
      <c r="AA2784" s="573">
        <v>18.408729999999998</v>
      </c>
      <c r="AB2784" s="394">
        <v>15.915520000000001</v>
      </c>
      <c r="AC2784" s="394">
        <v>15.01099</v>
      </c>
      <c r="AD2784" s="394"/>
      <c r="AE2784" s="394"/>
      <c r="AF2784" s="394">
        <v>0</v>
      </c>
      <c r="AG2784" s="394">
        <v>0</v>
      </c>
      <c r="AH2784" s="394">
        <v>0.58123999999999998</v>
      </c>
      <c r="AI2784" s="394">
        <v>15.01099</v>
      </c>
      <c r="AJ2784" s="394"/>
      <c r="AK2784" s="381" t="s">
        <v>167</v>
      </c>
      <c r="AL2784" s="408" t="s">
        <v>175</v>
      </c>
      <c r="AM2784" s="385"/>
      <c r="AN2784" s="475">
        <v>1577</v>
      </c>
      <c r="AO2784" s="395"/>
      <c r="AP2784" s="395">
        <f t="shared" si="1058"/>
        <v>18.408729999999998</v>
      </c>
      <c r="AQ2784" s="393"/>
      <c r="AR2784" s="523"/>
      <c r="AS2784" s="497"/>
      <c r="AT2784" s="573"/>
      <c r="AU2784" s="394"/>
      <c r="AV2784" s="394"/>
      <c r="AW2784" s="394"/>
      <c r="AX2784" s="394"/>
      <c r="AY2784" s="394"/>
      <c r="AZ2784" s="394"/>
      <c r="BA2784" s="394"/>
      <c r="BB2784" s="394"/>
      <c r="BC2784" s="394"/>
      <c r="BD2784" s="381"/>
      <c r="BE2784" s="408"/>
      <c r="BF2784" s="385"/>
      <c r="BG2784" s="475"/>
      <c r="BH2784" s="395"/>
      <c r="BI2784" s="395" t="e">
        <f t="shared" si="1057"/>
        <v>#DIV/0!</v>
      </c>
    </row>
    <row r="2785" spans="1:61" s="358" customFormat="1" ht="19.2" x14ac:dyDescent="0.3">
      <c r="A2785" s="359" t="s">
        <v>4592</v>
      </c>
      <c r="B2785" s="572" t="s">
        <v>4379</v>
      </c>
      <c r="C2785" s="546" t="s">
        <v>3537</v>
      </c>
      <c r="D2785" s="360">
        <v>0.4</v>
      </c>
      <c r="E2785" s="393"/>
      <c r="F2785" s="523"/>
      <c r="G2785" s="393"/>
      <c r="H2785" s="573"/>
      <c r="I2785" s="394"/>
      <c r="J2785" s="394"/>
      <c r="K2785" s="394"/>
      <c r="L2785" s="394"/>
      <c r="M2785" s="394"/>
      <c r="N2785" s="394"/>
      <c r="O2785" s="394"/>
      <c r="P2785" s="394"/>
      <c r="Q2785" s="394"/>
      <c r="R2785" s="381"/>
      <c r="S2785" s="408"/>
      <c r="T2785" s="385"/>
      <c r="U2785" s="475"/>
      <c r="V2785" s="395"/>
      <c r="W2785" s="395"/>
      <c r="X2785" s="393"/>
      <c r="Y2785" s="523">
        <v>1</v>
      </c>
      <c r="Z2785" s="497"/>
      <c r="AA2785" s="573">
        <v>18.408740000000002</v>
      </c>
      <c r="AB2785" s="394">
        <v>15.91553</v>
      </c>
      <c r="AC2785" s="394">
        <v>15.01099</v>
      </c>
      <c r="AD2785" s="394"/>
      <c r="AE2785" s="394"/>
      <c r="AF2785" s="394">
        <v>0</v>
      </c>
      <c r="AG2785" s="394">
        <v>0</v>
      </c>
      <c r="AH2785" s="394">
        <v>0.58123999999999998</v>
      </c>
      <c r="AI2785" s="394">
        <v>15.01099</v>
      </c>
      <c r="AJ2785" s="394"/>
      <c r="AK2785" s="381" t="s">
        <v>167</v>
      </c>
      <c r="AL2785" s="408" t="s">
        <v>175</v>
      </c>
      <c r="AM2785" s="385"/>
      <c r="AN2785" s="475">
        <v>1578</v>
      </c>
      <c r="AO2785" s="395"/>
      <c r="AP2785" s="395">
        <f t="shared" si="1058"/>
        <v>18.408740000000002</v>
      </c>
      <c r="AQ2785" s="393"/>
      <c r="AR2785" s="523"/>
      <c r="AS2785" s="497"/>
      <c r="AT2785" s="573"/>
      <c r="AU2785" s="394"/>
      <c r="AV2785" s="394"/>
      <c r="AW2785" s="394"/>
      <c r="AX2785" s="394"/>
      <c r="AY2785" s="394"/>
      <c r="AZ2785" s="394"/>
      <c r="BA2785" s="394"/>
      <c r="BB2785" s="394"/>
      <c r="BC2785" s="394"/>
      <c r="BD2785" s="381"/>
      <c r="BE2785" s="408"/>
      <c r="BF2785" s="385"/>
      <c r="BG2785" s="475"/>
      <c r="BH2785" s="395"/>
      <c r="BI2785" s="395" t="e">
        <f t="shared" si="1057"/>
        <v>#DIV/0!</v>
      </c>
    </row>
    <row r="2786" spans="1:61" s="358" customFormat="1" ht="19.2" x14ac:dyDescent="0.3">
      <c r="A2786" s="359" t="s">
        <v>4577</v>
      </c>
      <c r="B2786" s="572" t="s">
        <v>2550</v>
      </c>
      <c r="C2786" s="546" t="s">
        <v>2549</v>
      </c>
      <c r="D2786" s="360">
        <v>0.4</v>
      </c>
      <c r="E2786" s="393"/>
      <c r="F2786" s="523"/>
      <c r="G2786" s="393"/>
      <c r="H2786" s="573"/>
      <c r="I2786" s="394"/>
      <c r="J2786" s="394"/>
      <c r="K2786" s="394"/>
      <c r="L2786" s="394"/>
      <c r="M2786" s="394"/>
      <c r="N2786" s="394"/>
      <c r="O2786" s="394"/>
      <c r="P2786" s="394"/>
      <c r="Q2786" s="394"/>
      <c r="R2786" s="381"/>
      <c r="S2786" s="408"/>
      <c r="T2786" s="385"/>
      <c r="U2786" s="475"/>
      <c r="V2786" s="395"/>
      <c r="W2786" s="395"/>
      <c r="X2786" s="393"/>
      <c r="Y2786" s="523">
        <v>1</v>
      </c>
      <c r="Z2786" s="497"/>
      <c r="AA2786" s="573">
        <v>19.514119999999998</v>
      </c>
      <c r="AB2786" s="394">
        <v>16.050899999999999</v>
      </c>
      <c r="AC2786" s="394">
        <v>15.0055</v>
      </c>
      <c r="AD2786" s="394"/>
      <c r="AE2786" s="394"/>
      <c r="AF2786" s="394">
        <v>0</v>
      </c>
      <c r="AG2786" s="394">
        <v>0</v>
      </c>
      <c r="AH2786" s="394">
        <v>0.97001000000000004</v>
      </c>
      <c r="AI2786" s="394">
        <v>15.0055</v>
      </c>
      <c r="AJ2786" s="394"/>
      <c r="AK2786" s="381" t="s">
        <v>167</v>
      </c>
      <c r="AL2786" s="408" t="s">
        <v>175</v>
      </c>
      <c r="AM2786" s="385"/>
      <c r="AN2786" s="475">
        <v>1579</v>
      </c>
      <c r="AO2786" s="395"/>
      <c r="AP2786" s="395">
        <f t="shared" si="1058"/>
        <v>19.514119999999998</v>
      </c>
      <c r="AQ2786" s="393"/>
      <c r="AR2786" s="523"/>
      <c r="AS2786" s="497"/>
      <c r="AT2786" s="573"/>
      <c r="AU2786" s="394"/>
      <c r="AV2786" s="394"/>
      <c r="AW2786" s="394"/>
      <c r="AX2786" s="394"/>
      <c r="AY2786" s="394"/>
      <c r="AZ2786" s="394"/>
      <c r="BA2786" s="394"/>
      <c r="BB2786" s="394"/>
      <c r="BC2786" s="394"/>
      <c r="BD2786" s="381"/>
      <c r="BE2786" s="408"/>
      <c r="BF2786" s="385"/>
      <c r="BG2786" s="475"/>
      <c r="BH2786" s="395"/>
      <c r="BI2786" s="395" t="e">
        <f t="shared" si="1057"/>
        <v>#DIV/0!</v>
      </c>
    </row>
    <row r="2787" spans="1:61" s="358" customFormat="1" ht="19.2" x14ac:dyDescent="0.3">
      <c r="A2787" s="359" t="s">
        <v>4594</v>
      </c>
      <c r="B2787" s="572" t="s">
        <v>4380</v>
      </c>
      <c r="C2787" s="546" t="s">
        <v>3538</v>
      </c>
      <c r="D2787" s="360">
        <v>0.4</v>
      </c>
      <c r="E2787" s="393"/>
      <c r="F2787" s="523"/>
      <c r="G2787" s="393"/>
      <c r="H2787" s="573"/>
      <c r="I2787" s="394"/>
      <c r="J2787" s="394"/>
      <c r="K2787" s="394"/>
      <c r="L2787" s="394"/>
      <c r="M2787" s="394"/>
      <c r="N2787" s="394"/>
      <c r="O2787" s="394"/>
      <c r="P2787" s="394"/>
      <c r="Q2787" s="394"/>
      <c r="R2787" s="381"/>
      <c r="S2787" s="408"/>
      <c r="T2787" s="385"/>
      <c r="U2787" s="475"/>
      <c r="V2787" s="395"/>
      <c r="W2787" s="395"/>
      <c r="X2787" s="393"/>
      <c r="Y2787" s="523">
        <v>1</v>
      </c>
      <c r="Z2787" s="497"/>
      <c r="AA2787" s="573">
        <v>18.408740000000002</v>
      </c>
      <c r="AB2787" s="394">
        <v>15.91553</v>
      </c>
      <c r="AC2787" s="394">
        <v>15.01099</v>
      </c>
      <c r="AD2787" s="394"/>
      <c r="AE2787" s="394"/>
      <c r="AF2787" s="394">
        <v>0</v>
      </c>
      <c r="AG2787" s="394">
        <v>0</v>
      </c>
      <c r="AH2787" s="394">
        <v>0.58123999999999998</v>
      </c>
      <c r="AI2787" s="394">
        <v>15.01099</v>
      </c>
      <c r="AJ2787" s="394"/>
      <c r="AK2787" s="381" t="s">
        <v>167</v>
      </c>
      <c r="AL2787" s="408" t="s">
        <v>175</v>
      </c>
      <c r="AM2787" s="385"/>
      <c r="AN2787" s="475">
        <v>1580</v>
      </c>
      <c r="AO2787" s="395"/>
      <c r="AP2787" s="395">
        <f t="shared" si="1058"/>
        <v>18.408740000000002</v>
      </c>
      <c r="AQ2787" s="393"/>
      <c r="AR2787" s="523"/>
      <c r="AS2787" s="497"/>
      <c r="AT2787" s="573"/>
      <c r="AU2787" s="394"/>
      <c r="AV2787" s="394"/>
      <c r="AW2787" s="394"/>
      <c r="AX2787" s="394"/>
      <c r="AY2787" s="394"/>
      <c r="AZ2787" s="394"/>
      <c r="BA2787" s="394"/>
      <c r="BB2787" s="394"/>
      <c r="BC2787" s="394"/>
      <c r="BD2787" s="381"/>
      <c r="BE2787" s="408"/>
      <c r="BF2787" s="385"/>
      <c r="BG2787" s="475"/>
      <c r="BH2787" s="395"/>
      <c r="BI2787" s="395" t="e">
        <f t="shared" si="1057"/>
        <v>#DIV/0!</v>
      </c>
    </row>
    <row r="2788" spans="1:61" s="358" customFormat="1" ht="19.2" x14ac:dyDescent="0.3">
      <c r="A2788" s="359" t="s">
        <v>4595</v>
      </c>
      <c r="B2788" s="572" t="s">
        <v>2554</v>
      </c>
      <c r="C2788" s="546" t="s">
        <v>2553</v>
      </c>
      <c r="D2788" s="360">
        <v>0.4</v>
      </c>
      <c r="E2788" s="393"/>
      <c r="F2788" s="523"/>
      <c r="G2788" s="393"/>
      <c r="H2788" s="573"/>
      <c r="I2788" s="394"/>
      <c r="J2788" s="394"/>
      <c r="K2788" s="394"/>
      <c r="L2788" s="394"/>
      <c r="M2788" s="394"/>
      <c r="N2788" s="394"/>
      <c r="O2788" s="394"/>
      <c r="P2788" s="394"/>
      <c r="Q2788" s="394"/>
      <c r="R2788" s="381"/>
      <c r="S2788" s="408"/>
      <c r="T2788" s="385"/>
      <c r="U2788" s="475"/>
      <c r="V2788" s="395"/>
      <c r="W2788" s="395"/>
      <c r="X2788" s="393"/>
      <c r="Y2788" s="523">
        <v>1</v>
      </c>
      <c r="Z2788" s="497"/>
      <c r="AA2788" s="573">
        <v>20.936669999999999</v>
      </c>
      <c r="AB2788" s="394">
        <v>15.91553</v>
      </c>
      <c r="AC2788" s="394">
        <v>15.01099</v>
      </c>
      <c r="AD2788" s="394"/>
      <c r="AE2788" s="394"/>
      <c r="AF2788" s="394">
        <v>0</v>
      </c>
      <c r="AG2788" s="394">
        <v>0</v>
      </c>
      <c r="AH2788" s="394">
        <v>2.52793</v>
      </c>
      <c r="AI2788" s="394">
        <v>15.01099</v>
      </c>
      <c r="AJ2788" s="394"/>
      <c r="AK2788" s="381" t="s">
        <v>167</v>
      </c>
      <c r="AL2788" s="408" t="s">
        <v>175</v>
      </c>
      <c r="AM2788" s="385"/>
      <c r="AN2788" s="475">
        <v>1581</v>
      </c>
      <c r="AO2788" s="395"/>
      <c r="AP2788" s="395">
        <f t="shared" si="1058"/>
        <v>20.936669999999999</v>
      </c>
      <c r="AQ2788" s="393"/>
      <c r="AR2788" s="523"/>
      <c r="AS2788" s="497"/>
      <c r="AT2788" s="573"/>
      <c r="AU2788" s="394"/>
      <c r="AV2788" s="394"/>
      <c r="AW2788" s="394"/>
      <c r="AX2788" s="394"/>
      <c r="AY2788" s="394"/>
      <c r="AZ2788" s="394"/>
      <c r="BA2788" s="394"/>
      <c r="BB2788" s="394"/>
      <c r="BC2788" s="394"/>
      <c r="BD2788" s="381"/>
      <c r="BE2788" s="408"/>
      <c r="BF2788" s="385"/>
      <c r="BG2788" s="475"/>
      <c r="BH2788" s="395"/>
      <c r="BI2788" s="395" t="e">
        <f t="shared" si="1057"/>
        <v>#DIV/0!</v>
      </c>
    </row>
    <row r="2789" spans="1:61" s="358" customFormat="1" ht="19.2" x14ac:dyDescent="0.3">
      <c r="A2789" s="359" t="s">
        <v>4596</v>
      </c>
      <c r="B2789" s="572" t="s">
        <v>4381</v>
      </c>
      <c r="C2789" s="546" t="s">
        <v>3539</v>
      </c>
      <c r="D2789" s="360">
        <v>0.4</v>
      </c>
      <c r="E2789" s="393"/>
      <c r="F2789" s="523"/>
      <c r="G2789" s="393"/>
      <c r="H2789" s="573"/>
      <c r="I2789" s="394"/>
      <c r="J2789" s="394"/>
      <c r="K2789" s="394"/>
      <c r="L2789" s="394"/>
      <c r="M2789" s="394"/>
      <c r="N2789" s="394"/>
      <c r="O2789" s="394"/>
      <c r="P2789" s="394"/>
      <c r="Q2789" s="394"/>
      <c r="R2789" s="381"/>
      <c r="S2789" s="408"/>
      <c r="T2789" s="385"/>
      <c r="U2789" s="475"/>
      <c r="V2789" s="395"/>
      <c r="W2789" s="395"/>
      <c r="X2789" s="393"/>
      <c r="Y2789" s="523">
        <v>1</v>
      </c>
      <c r="Z2789" s="497"/>
      <c r="AA2789" s="573">
        <v>18.702020000000001</v>
      </c>
      <c r="AB2789" s="394">
        <v>14.45795</v>
      </c>
      <c r="AC2789" s="394">
        <v>12.85937</v>
      </c>
      <c r="AD2789" s="394"/>
      <c r="AE2789" s="394"/>
      <c r="AF2789" s="394">
        <v>0</v>
      </c>
      <c r="AG2789" s="394">
        <v>0</v>
      </c>
      <c r="AH2789" s="394">
        <v>0.98941000000000001</v>
      </c>
      <c r="AI2789" s="394">
        <v>12.85937</v>
      </c>
      <c r="AJ2789" s="394"/>
      <c r="AK2789" s="381" t="s">
        <v>167</v>
      </c>
      <c r="AL2789" s="408" t="s">
        <v>175</v>
      </c>
      <c r="AM2789" s="385"/>
      <c r="AN2789" s="475">
        <v>1582</v>
      </c>
      <c r="AO2789" s="395"/>
      <c r="AP2789" s="395">
        <f t="shared" si="1058"/>
        <v>18.702020000000001</v>
      </c>
      <c r="AQ2789" s="393"/>
      <c r="AR2789" s="523"/>
      <c r="AS2789" s="497"/>
      <c r="AT2789" s="573"/>
      <c r="AU2789" s="394"/>
      <c r="AV2789" s="394"/>
      <c r="AW2789" s="394"/>
      <c r="AX2789" s="394"/>
      <c r="AY2789" s="394"/>
      <c r="AZ2789" s="394"/>
      <c r="BA2789" s="394"/>
      <c r="BB2789" s="394"/>
      <c r="BC2789" s="394"/>
      <c r="BD2789" s="381"/>
      <c r="BE2789" s="408"/>
      <c r="BF2789" s="385"/>
      <c r="BG2789" s="475"/>
      <c r="BH2789" s="395"/>
      <c r="BI2789" s="395" t="e">
        <f t="shared" si="1057"/>
        <v>#DIV/0!</v>
      </c>
    </row>
    <row r="2790" spans="1:61" s="358" customFormat="1" ht="19.2" x14ac:dyDescent="0.3">
      <c r="A2790" s="359" t="s">
        <v>4597</v>
      </c>
      <c r="B2790" s="572" t="s">
        <v>4382</v>
      </c>
      <c r="C2790" s="546" t="s">
        <v>3540</v>
      </c>
      <c r="D2790" s="360">
        <v>0.4</v>
      </c>
      <c r="E2790" s="393"/>
      <c r="F2790" s="523"/>
      <c r="G2790" s="393"/>
      <c r="H2790" s="573"/>
      <c r="I2790" s="394"/>
      <c r="J2790" s="394"/>
      <c r="K2790" s="394"/>
      <c r="L2790" s="394"/>
      <c r="M2790" s="394"/>
      <c r="N2790" s="394"/>
      <c r="O2790" s="394"/>
      <c r="P2790" s="394"/>
      <c r="Q2790" s="394"/>
      <c r="R2790" s="381"/>
      <c r="S2790" s="408"/>
      <c r="T2790" s="385"/>
      <c r="U2790" s="475"/>
      <c r="V2790" s="395"/>
      <c r="W2790" s="395"/>
      <c r="X2790" s="393"/>
      <c r="Y2790" s="523">
        <v>1</v>
      </c>
      <c r="Z2790" s="497"/>
      <c r="AA2790" s="573">
        <v>18.408740000000002</v>
      </c>
      <c r="AB2790" s="394">
        <v>15.91553</v>
      </c>
      <c r="AC2790" s="394">
        <v>15.01099</v>
      </c>
      <c r="AD2790" s="394"/>
      <c r="AE2790" s="394"/>
      <c r="AF2790" s="394">
        <v>0</v>
      </c>
      <c r="AG2790" s="394">
        <v>0</v>
      </c>
      <c r="AH2790" s="394">
        <v>0.58123999999999998</v>
      </c>
      <c r="AI2790" s="394">
        <v>15.01099</v>
      </c>
      <c r="AJ2790" s="394"/>
      <c r="AK2790" s="381" t="s">
        <v>167</v>
      </c>
      <c r="AL2790" s="408" t="s">
        <v>175</v>
      </c>
      <c r="AM2790" s="385"/>
      <c r="AN2790" s="475">
        <v>1583</v>
      </c>
      <c r="AO2790" s="395"/>
      <c r="AP2790" s="395">
        <f t="shared" si="1058"/>
        <v>18.408740000000002</v>
      </c>
      <c r="AQ2790" s="393"/>
      <c r="AR2790" s="523"/>
      <c r="AS2790" s="497"/>
      <c r="AT2790" s="573"/>
      <c r="AU2790" s="394"/>
      <c r="AV2790" s="394"/>
      <c r="AW2790" s="394"/>
      <c r="AX2790" s="394"/>
      <c r="AY2790" s="394"/>
      <c r="AZ2790" s="394"/>
      <c r="BA2790" s="394"/>
      <c r="BB2790" s="394"/>
      <c r="BC2790" s="394"/>
      <c r="BD2790" s="381"/>
      <c r="BE2790" s="408"/>
      <c r="BF2790" s="385"/>
      <c r="BG2790" s="475"/>
      <c r="BH2790" s="395"/>
      <c r="BI2790" s="395" t="e">
        <f t="shared" ref="BI2790:BI3361" si="1059">AT2790/AR2790</f>
        <v>#DIV/0!</v>
      </c>
    </row>
    <row r="2791" spans="1:61" s="358" customFormat="1" ht="19.2" x14ac:dyDescent="0.3">
      <c r="A2791" s="359" t="s">
        <v>4598</v>
      </c>
      <c r="B2791" s="572" t="s">
        <v>4383</v>
      </c>
      <c r="C2791" s="546" t="s">
        <v>3541</v>
      </c>
      <c r="D2791" s="360">
        <v>0.4</v>
      </c>
      <c r="E2791" s="393"/>
      <c r="F2791" s="523"/>
      <c r="G2791" s="393"/>
      <c r="H2791" s="573"/>
      <c r="I2791" s="394"/>
      <c r="J2791" s="394"/>
      <c r="K2791" s="394"/>
      <c r="L2791" s="394"/>
      <c r="M2791" s="394"/>
      <c r="N2791" s="394"/>
      <c r="O2791" s="394"/>
      <c r="P2791" s="394"/>
      <c r="Q2791" s="394"/>
      <c r="R2791" s="381"/>
      <c r="S2791" s="408"/>
      <c r="T2791" s="385"/>
      <c r="U2791" s="475"/>
      <c r="V2791" s="395"/>
      <c r="W2791" s="395"/>
      <c r="X2791" s="393"/>
      <c r="Y2791" s="523">
        <v>1</v>
      </c>
      <c r="Z2791" s="497"/>
      <c r="AA2791" s="573">
        <v>18.408740000000002</v>
      </c>
      <c r="AB2791" s="394">
        <v>15.91553</v>
      </c>
      <c r="AC2791" s="394">
        <v>15.01099</v>
      </c>
      <c r="AD2791" s="394"/>
      <c r="AE2791" s="394"/>
      <c r="AF2791" s="394">
        <v>0</v>
      </c>
      <c r="AG2791" s="394">
        <v>0</v>
      </c>
      <c r="AH2791" s="394">
        <v>0.58123999999999998</v>
      </c>
      <c r="AI2791" s="394">
        <v>15.01099</v>
      </c>
      <c r="AJ2791" s="394"/>
      <c r="AK2791" s="381" t="s">
        <v>167</v>
      </c>
      <c r="AL2791" s="408" t="s">
        <v>175</v>
      </c>
      <c r="AM2791" s="385"/>
      <c r="AN2791" s="475">
        <v>1584</v>
      </c>
      <c r="AO2791" s="395"/>
      <c r="AP2791" s="395">
        <f t="shared" si="1058"/>
        <v>18.408740000000002</v>
      </c>
      <c r="AQ2791" s="393"/>
      <c r="AR2791" s="523"/>
      <c r="AS2791" s="497"/>
      <c r="AT2791" s="573"/>
      <c r="AU2791" s="394"/>
      <c r="AV2791" s="394"/>
      <c r="AW2791" s="394"/>
      <c r="AX2791" s="394"/>
      <c r="AY2791" s="394"/>
      <c r="AZ2791" s="394"/>
      <c r="BA2791" s="394"/>
      <c r="BB2791" s="394"/>
      <c r="BC2791" s="394"/>
      <c r="BD2791" s="381"/>
      <c r="BE2791" s="408"/>
      <c r="BF2791" s="385"/>
      <c r="BG2791" s="475"/>
      <c r="BH2791" s="395"/>
      <c r="BI2791" s="395" t="e">
        <f t="shared" si="1059"/>
        <v>#DIV/0!</v>
      </c>
    </row>
    <row r="2792" spans="1:61" s="358" customFormat="1" ht="19.2" x14ac:dyDescent="0.3">
      <c r="A2792" s="359" t="s">
        <v>4599</v>
      </c>
      <c r="B2792" s="572" t="s">
        <v>4384</v>
      </c>
      <c r="C2792" s="546" t="s">
        <v>3543</v>
      </c>
      <c r="D2792" s="360">
        <v>0.4</v>
      </c>
      <c r="E2792" s="393"/>
      <c r="F2792" s="523"/>
      <c r="G2792" s="393"/>
      <c r="H2792" s="573"/>
      <c r="I2792" s="394"/>
      <c r="J2792" s="394"/>
      <c r="K2792" s="394"/>
      <c r="L2792" s="394"/>
      <c r="M2792" s="394"/>
      <c r="N2792" s="394"/>
      <c r="O2792" s="394"/>
      <c r="P2792" s="394"/>
      <c r="Q2792" s="394"/>
      <c r="R2792" s="381"/>
      <c r="S2792" s="408"/>
      <c r="T2792" s="385"/>
      <c r="U2792" s="475"/>
      <c r="V2792" s="395"/>
      <c r="W2792" s="395"/>
      <c r="X2792" s="393"/>
      <c r="Y2792" s="523">
        <v>1</v>
      </c>
      <c r="Z2792" s="497"/>
      <c r="AA2792" s="573">
        <v>18.408740000000002</v>
      </c>
      <c r="AB2792" s="394">
        <v>15.91553</v>
      </c>
      <c r="AC2792" s="394">
        <v>15.01099</v>
      </c>
      <c r="AD2792" s="394"/>
      <c r="AE2792" s="394"/>
      <c r="AF2792" s="394">
        <v>0</v>
      </c>
      <c r="AG2792" s="394">
        <v>0</v>
      </c>
      <c r="AH2792" s="394">
        <v>0.58123999999999998</v>
      </c>
      <c r="AI2792" s="394">
        <v>15.01099</v>
      </c>
      <c r="AJ2792" s="394"/>
      <c r="AK2792" s="381" t="s">
        <v>167</v>
      </c>
      <c r="AL2792" s="408" t="s">
        <v>175</v>
      </c>
      <c r="AM2792" s="385"/>
      <c r="AN2792" s="475">
        <v>1585</v>
      </c>
      <c r="AO2792" s="395"/>
      <c r="AP2792" s="395">
        <f t="shared" si="1058"/>
        <v>18.408740000000002</v>
      </c>
      <c r="AQ2792" s="393"/>
      <c r="AR2792" s="523"/>
      <c r="AS2792" s="497"/>
      <c r="AT2792" s="573"/>
      <c r="AU2792" s="394"/>
      <c r="AV2792" s="394"/>
      <c r="AW2792" s="394"/>
      <c r="AX2792" s="394"/>
      <c r="AY2792" s="394"/>
      <c r="AZ2792" s="394"/>
      <c r="BA2792" s="394"/>
      <c r="BB2792" s="394"/>
      <c r="BC2792" s="394"/>
      <c r="BD2792" s="381"/>
      <c r="BE2792" s="408"/>
      <c r="BF2792" s="385"/>
      <c r="BG2792" s="475"/>
      <c r="BH2792" s="395"/>
      <c r="BI2792" s="395" t="e">
        <f t="shared" si="1059"/>
        <v>#DIV/0!</v>
      </c>
    </row>
    <row r="2793" spans="1:61" s="358" customFormat="1" ht="19.2" x14ac:dyDescent="0.3">
      <c r="A2793" s="359" t="s">
        <v>4600</v>
      </c>
      <c r="B2793" s="572" t="s">
        <v>4384</v>
      </c>
      <c r="C2793" s="546" t="s">
        <v>3544</v>
      </c>
      <c r="D2793" s="360">
        <v>0.4</v>
      </c>
      <c r="E2793" s="393"/>
      <c r="F2793" s="523"/>
      <c r="G2793" s="393"/>
      <c r="H2793" s="573"/>
      <c r="I2793" s="394"/>
      <c r="J2793" s="394"/>
      <c r="K2793" s="394"/>
      <c r="L2793" s="394"/>
      <c r="M2793" s="394"/>
      <c r="N2793" s="394"/>
      <c r="O2793" s="394"/>
      <c r="P2793" s="394"/>
      <c r="Q2793" s="394"/>
      <c r="R2793" s="381"/>
      <c r="S2793" s="408"/>
      <c r="T2793" s="385"/>
      <c r="U2793" s="475"/>
      <c r="V2793" s="395"/>
      <c r="W2793" s="395"/>
      <c r="X2793" s="393"/>
      <c r="Y2793" s="523">
        <v>1</v>
      </c>
      <c r="Z2793" s="497"/>
      <c r="AA2793" s="573">
        <v>18.408740000000002</v>
      </c>
      <c r="AB2793" s="394">
        <v>15.91553</v>
      </c>
      <c r="AC2793" s="394">
        <v>15.01099</v>
      </c>
      <c r="AD2793" s="394"/>
      <c r="AE2793" s="394"/>
      <c r="AF2793" s="394">
        <v>0</v>
      </c>
      <c r="AG2793" s="394">
        <v>0</v>
      </c>
      <c r="AH2793" s="394">
        <v>0.58123999999999998</v>
      </c>
      <c r="AI2793" s="394">
        <v>15.01099</v>
      </c>
      <c r="AJ2793" s="394"/>
      <c r="AK2793" s="381" t="s">
        <v>167</v>
      </c>
      <c r="AL2793" s="408" t="s">
        <v>175</v>
      </c>
      <c r="AM2793" s="385"/>
      <c r="AN2793" s="475">
        <v>1586</v>
      </c>
      <c r="AO2793" s="395"/>
      <c r="AP2793" s="395">
        <f t="shared" si="1058"/>
        <v>18.408740000000002</v>
      </c>
      <c r="AQ2793" s="393"/>
      <c r="AR2793" s="523"/>
      <c r="AS2793" s="497"/>
      <c r="AT2793" s="573"/>
      <c r="AU2793" s="394"/>
      <c r="AV2793" s="394"/>
      <c r="AW2793" s="394"/>
      <c r="AX2793" s="394"/>
      <c r="AY2793" s="394"/>
      <c r="AZ2793" s="394"/>
      <c r="BA2793" s="394"/>
      <c r="BB2793" s="394"/>
      <c r="BC2793" s="394"/>
      <c r="BD2793" s="381"/>
      <c r="BE2793" s="408"/>
      <c r="BF2793" s="385"/>
      <c r="BG2793" s="475"/>
      <c r="BH2793" s="395"/>
      <c r="BI2793" s="395" t="e">
        <f t="shared" si="1059"/>
        <v>#DIV/0!</v>
      </c>
    </row>
    <row r="2794" spans="1:61" s="358" customFormat="1" ht="19.2" x14ac:dyDescent="0.3">
      <c r="A2794" s="359" t="s">
        <v>4601</v>
      </c>
      <c r="B2794" s="572" t="s">
        <v>4385</v>
      </c>
      <c r="C2794" s="546" t="s">
        <v>3545</v>
      </c>
      <c r="D2794" s="360">
        <v>0.4</v>
      </c>
      <c r="E2794" s="393"/>
      <c r="F2794" s="523"/>
      <c r="G2794" s="393"/>
      <c r="H2794" s="573"/>
      <c r="I2794" s="394"/>
      <c r="J2794" s="394"/>
      <c r="K2794" s="394"/>
      <c r="L2794" s="394"/>
      <c r="M2794" s="394"/>
      <c r="N2794" s="394"/>
      <c r="O2794" s="394"/>
      <c r="P2794" s="394"/>
      <c r="Q2794" s="394"/>
      <c r="R2794" s="381"/>
      <c r="S2794" s="408"/>
      <c r="T2794" s="385"/>
      <c r="U2794" s="475"/>
      <c r="V2794" s="395"/>
      <c r="W2794" s="395"/>
      <c r="X2794" s="393"/>
      <c r="Y2794" s="523">
        <v>1</v>
      </c>
      <c r="Z2794" s="497"/>
      <c r="AA2794" s="573">
        <v>18.408740000000002</v>
      </c>
      <c r="AB2794" s="394">
        <v>15.91553</v>
      </c>
      <c r="AC2794" s="394">
        <v>15.01099</v>
      </c>
      <c r="AD2794" s="394"/>
      <c r="AE2794" s="394"/>
      <c r="AF2794" s="394">
        <v>0</v>
      </c>
      <c r="AG2794" s="394">
        <v>0</v>
      </c>
      <c r="AH2794" s="394">
        <v>0.58123999999999998</v>
      </c>
      <c r="AI2794" s="394">
        <v>15.01099</v>
      </c>
      <c r="AJ2794" s="394"/>
      <c r="AK2794" s="381" t="s">
        <v>167</v>
      </c>
      <c r="AL2794" s="408" t="s">
        <v>175</v>
      </c>
      <c r="AM2794" s="385"/>
      <c r="AN2794" s="475">
        <v>1587</v>
      </c>
      <c r="AO2794" s="395"/>
      <c r="AP2794" s="395">
        <f t="shared" si="1058"/>
        <v>18.408740000000002</v>
      </c>
      <c r="AQ2794" s="393"/>
      <c r="AR2794" s="523"/>
      <c r="AS2794" s="497"/>
      <c r="AT2794" s="573"/>
      <c r="AU2794" s="394"/>
      <c r="AV2794" s="394"/>
      <c r="AW2794" s="394"/>
      <c r="AX2794" s="394"/>
      <c r="AY2794" s="394"/>
      <c r="AZ2794" s="394"/>
      <c r="BA2794" s="394"/>
      <c r="BB2794" s="394"/>
      <c r="BC2794" s="394"/>
      <c r="BD2794" s="381"/>
      <c r="BE2794" s="408"/>
      <c r="BF2794" s="385"/>
      <c r="BG2794" s="475"/>
      <c r="BH2794" s="395"/>
      <c r="BI2794" s="395" t="e">
        <f t="shared" si="1059"/>
        <v>#DIV/0!</v>
      </c>
    </row>
    <row r="2795" spans="1:61" s="358" customFormat="1" ht="19.2" x14ac:dyDescent="0.3">
      <c r="A2795" s="359"/>
      <c r="B2795" s="572" t="s">
        <v>4386</v>
      </c>
      <c r="C2795" s="546" t="s">
        <v>3546</v>
      </c>
      <c r="D2795" s="360">
        <v>0.4</v>
      </c>
      <c r="E2795" s="393"/>
      <c r="F2795" s="523"/>
      <c r="G2795" s="393"/>
      <c r="H2795" s="573"/>
      <c r="I2795" s="394"/>
      <c r="J2795" s="394"/>
      <c r="K2795" s="394"/>
      <c r="L2795" s="394"/>
      <c r="M2795" s="394"/>
      <c r="N2795" s="394"/>
      <c r="O2795" s="394"/>
      <c r="P2795" s="394"/>
      <c r="Q2795" s="394"/>
      <c r="R2795" s="381"/>
      <c r="S2795" s="408"/>
      <c r="T2795" s="385"/>
      <c r="U2795" s="475"/>
      <c r="V2795" s="395"/>
      <c r="W2795" s="395"/>
      <c r="X2795" s="393"/>
      <c r="Y2795" s="523">
        <v>1</v>
      </c>
      <c r="Z2795" s="497"/>
      <c r="AA2795" s="573">
        <v>18.408740000000002</v>
      </c>
      <c r="AB2795" s="394">
        <v>15.91553</v>
      </c>
      <c r="AC2795" s="394">
        <v>15.01099</v>
      </c>
      <c r="AD2795" s="394"/>
      <c r="AE2795" s="394"/>
      <c r="AF2795" s="394">
        <v>0</v>
      </c>
      <c r="AG2795" s="394">
        <v>0</v>
      </c>
      <c r="AH2795" s="394">
        <v>0.58123999999999998</v>
      </c>
      <c r="AI2795" s="394">
        <v>15.01099</v>
      </c>
      <c r="AJ2795" s="394"/>
      <c r="AK2795" s="381" t="s">
        <v>167</v>
      </c>
      <c r="AL2795" s="408" t="s">
        <v>175</v>
      </c>
      <c r="AM2795" s="385"/>
      <c r="AN2795" s="475">
        <v>1588</v>
      </c>
      <c r="AO2795" s="395"/>
      <c r="AP2795" s="395">
        <f t="shared" si="1058"/>
        <v>18.408740000000002</v>
      </c>
      <c r="AQ2795" s="393"/>
      <c r="AR2795" s="523"/>
      <c r="AS2795" s="497"/>
      <c r="AT2795" s="573"/>
      <c r="AU2795" s="394"/>
      <c r="AV2795" s="394"/>
      <c r="AW2795" s="394"/>
      <c r="AX2795" s="394"/>
      <c r="AY2795" s="394"/>
      <c r="AZ2795" s="394"/>
      <c r="BA2795" s="394"/>
      <c r="BB2795" s="394"/>
      <c r="BC2795" s="394"/>
      <c r="BD2795" s="381"/>
      <c r="BE2795" s="408"/>
      <c r="BF2795" s="385"/>
      <c r="BG2795" s="475"/>
      <c r="BH2795" s="395"/>
      <c r="BI2795" s="395" t="e">
        <f t="shared" si="1059"/>
        <v>#DIV/0!</v>
      </c>
    </row>
    <row r="2796" spans="1:61" s="358" customFormat="1" ht="19.2" x14ac:dyDescent="0.3">
      <c r="A2796" s="359" t="s">
        <v>4603</v>
      </c>
      <c r="B2796" s="572" t="s">
        <v>4387</v>
      </c>
      <c r="C2796" s="546" t="s">
        <v>3547</v>
      </c>
      <c r="D2796" s="360">
        <v>0.4</v>
      </c>
      <c r="E2796" s="393"/>
      <c r="F2796" s="523"/>
      <c r="G2796" s="393"/>
      <c r="H2796" s="573"/>
      <c r="I2796" s="394"/>
      <c r="J2796" s="394"/>
      <c r="K2796" s="394"/>
      <c r="L2796" s="394"/>
      <c r="M2796" s="394"/>
      <c r="N2796" s="394"/>
      <c r="O2796" s="394"/>
      <c r="P2796" s="394"/>
      <c r="Q2796" s="394"/>
      <c r="R2796" s="381"/>
      <c r="S2796" s="408"/>
      <c r="T2796" s="385"/>
      <c r="U2796" s="475"/>
      <c r="V2796" s="395"/>
      <c r="W2796" s="395"/>
      <c r="X2796" s="393"/>
      <c r="Y2796" s="523">
        <v>1</v>
      </c>
      <c r="Z2796" s="497"/>
      <c r="AA2796" s="573">
        <v>18.408740000000002</v>
      </c>
      <c r="AB2796" s="394">
        <v>15.91553</v>
      </c>
      <c r="AC2796" s="394">
        <v>15.01099</v>
      </c>
      <c r="AD2796" s="394"/>
      <c r="AE2796" s="394"/>
      <c r="AF2796" s="394">
        <v>0</v>
      </c>
      <c r="AG2796" s="394">
        <v>0</v>
      </c>
      <c r="AH2796" s="394">
        <v>0.58123999999999998</v>
      </c>
      <c r="AI2796" s="394">
        <v>15.01099</v>
      </c>
      <c r="AJ2796" s="394"/>
      <c r="AK2796" s="381" t="s">
        <v>167</v>
      </c>
      <c r="AL2796" s="408" t="s">
        <v>175</v>
      </c>
      <c r="AM2796" s="385"/>
      <c r="AN2796" s="475">
        <v>1589</v>
      </c>
      <c r="AO2796" s="395"/>
      <c r="AP2796" s="395">
        <f t="shared" si="1058"/>
        <v>18.408740000000002</v>
      </c>
      <c r="AQ2796" s="393"/>
      <c r="AR2796" s="523"/>
      <c r="AS2796" s="497"/>
      <c r="AT2796" s="573"/>
      <c r="AU2796" s="394"/>
      <c r="AV2796" s="394"/>
      <c r="AW2796" s="394"/>
      <c r="AX2796" s="394"/>
      <c r="AY2796" s="394"/>
      <c r="AZ2796" s="394"/>
      <c r="BA2796" s="394"/>
      <c r="BB2796" s="394"/>
      <c r="BC2796" s="394"/>
      <c r="BD2796" s="381"/>
      <c r="BE2796" s="408"/>
      <c r="BF2796" s="385"/>
      <c r="BG2796" s="475"/>
      <c r="BH2796" s="395"/>
      <c r="BI2796" s="395" t="e">
        <f t="shared" si="1059"/>
        <v>#DIV/0!</v>
      </c>
    </row>
    <row r="2797" spans="1:61" s="358" customFormat="1" ht="19.2" x14ac:dyDescent="0.3">
      <c r="A2797" s="359" t="s">
        <v>4604</v>
      </c>
      <c r="B2797" s="572" t="s">
        <v>4388</v>
      </c>
      <c r="C2797" s="546" t="s">
        <v>3548</v>
      </c>
      <c r="D2797" s="360">
        <v>0.4</v>
      </c>
      <c r="E2797" s="393"/>
      <c r="F2797" s="523"/>
      <c r="G2797" s="393"/>
      <c r="H2797" s="573"/>
      <c r="I2797" s="394"/>
      <c r="J2797" s="394"/>
      <c r="K2797" s="394"/>
      <c r="L2797" s="394"/>
      <c r="M2797" s="394"/>
      <c r="N2797" s="394"/>
      <c r="O2797" s="394"/>
      <c r="P2797" s="394"/>
      <c r="Q2797" s="394"/>
      <c r="R2797" s="381"/>
      <c r="S2797" s="408"/>
      <c r="T2797" s="385"/>
      <c r="U2797" s="475"/>
      <c r="V2797" s="395"/>
      <c r="W2797" s="395"/>
      <c r="X2797" s="393"/>
      <c r="Y2797" s="523">
        <v>1</v>
      </c>
      <c r="Z2797" s="497"/>
      <c r="AA2797" s="573">
        <v>18.5869</v>
      </c>
      <c r="AB2797" s="394">
        <v>16.093689999999999</v>
      </c>
      <c r="AC2797" s="394">
        <v>15.005520000000001</v>
      </c>
      <c r="AD2797" s="394"/>
      <c r="AE2797" s="394"/>
      <c r="AF2797" s="394">
        <v>0</v>
      </c>
      <c r="AG2797" s="394">
        <v>0</v>
      </c>
      <c r="AH2797" s="394">
        <v>0.58123999999999998</v>
      </c>
      <c r="AI2797" s="394">
        <v>15.005520000000001</v>
      </c>
      <c r="AJ2797" s="394"/>
      <c r="AK2797" s="381" t="s">
        <v>167</v>
      </c>
      <c r="AL2797" s="408" t="s">
        <v>175</v>
      </c>
      <c r="AM2797" s="385"/>
      <c r="AN2797" s="475">
        <v>1590</v>
      </c>
      <c r="AO2797" s="395"/>
      <c r="AP2797" s="395">
        <f t="shared" si="1058"/>
        <v>18.5869</v>
      </c>
      <c r="AQ2797" s="393"/>
      <c r="AR2797" s="523"/>
      <c r="AS2797" s="497"/>
      <c r="AT2797" s="573"/>
      <c r="AU2797" s="394"/>
      <c r="AV2797" s="394"/>
      <c r="AW2797" s="394"/>
      <c r="AX2797" s="394"/>
      <c r="AY2797" s="394"/>
      <c r="AZ2797" s="394"/>
      <c r="BA2797" s="394"/>
      <c r="BB2797" s="394"/>
      <c r="BC2797" s="394"/>
      <c r="BD2797" s="381"/>
      <c r="BE2797" s="408"/>
      <c r="BF2797" s="385"/>
      <c r="BG2797" s="475"/>
      <c r="BH2797" s="395"/>
      <c r="BI2797" s="395" t="e">
        <f t="shared" si="1059"/>
        <v>#DIV/0!</v>
      </c>
    </row>
    <row r="2798" spans="1:61" s="358" customFormat="1" ht="19.2" x14ac:dyDescent="0.3">
      <c r="A2798" s="359" t="s">
        <v>4605</v>
      </c>
      <c r="B2798" s="572" t="s">
        <v>4389</v>
      </c>
      <c r="C2798" s="546" t="s">
        <v>3549</v>
      </c>
      <c r="D2798" s="360">
        <v>0.4</v>
      </c>
      <c r="E2798" s="393"/>
      <c r="F2798" s="523"/>
      <c r="G2798" s="393"/>
      <c r="H2798" s="573"/>
      <c r="I2798" s="394"/>
      <c r="J2798" s="394"/>
      <c r="K2798" s="394"/>
      <c r="L2798" s="394"/>
      <c r="M2798" s="394"/>
      <c r="N2798" s="394"/>
      <c r="O2798" s="394"/>
      <c r="P2798" s="394"/>
      <c r="Q2798" s="394"/>
      <c r="R2798" s="381"/>
      <c r="S2798" s="408"/>
      <c r="T2798" s="385"/>
      <c r="U2798" s="475"/>
      <c r="V2798" s="395"/>
      <c r="W2798" s="395"/>
      <c r="X2798" s="393"/>
      <c r="Y2798" s="523">
        <v>1</v>
      </c>
      <c r="Z2798" s="497"/>
      <c r="AA2798" s="573">
        <v>18.408750000000001</v>
      </c>
      <c r="AB2798" s="394">
        <v>15.91554</v>
      </c>
      <c r="AC2798" s="394">
        <v>15.01099</v>
      </c>
      <c r="AD2798" s="394"/>
      <c r="AE2798" s="394"/>
      <c r="AF2798" s="394">
        <v>0</v>
      </c>
      <c r="AG2798" s="394">
        <v>0</v>
      </c>
      <c r="AH2798" s="394">
        <v>0.58123999999999998</v>
      </c>
      <c r="AI2798" s="394">
        <v>15.01099</v>
      </c>
      <c r="AJ2798" s="394"/>
      <c r="AK2798" s="381" t="s">
        <v>167</v>
      </c>
      <c r="AL2798" s="408" t="s">
        <v>175</v>
      </c>
      <c r="AM2798" s="385"/>
      <c r="AN2798" s="475">
        <v>1591</v>
      </c>
      <c r="AO2798" s="395"/>
      <c r="AP2798" s="395">
        <f t="shared" si="1058"/>
        <v>18.408750000000001</v>
      </c>
      <c r="AQ2798" s="393"/>
      <c r="AR2798" s="523"/>
      <c r="AS2798" s="497"/>
      <c r="AT2798" s="573"/>
      <c r="AU2798" s="394"/>
      <c r="AV2798" s="394"/>
      <c r="AW2798" s="394"/>
      <c r="AX2798" s="394"/>
      <c r="AY2798" s="394"/>
      <c r="AZ2798" s="394"/>
      <c r="BA2798" s="394"/>
      <c r="BB2798" s="394"/>
      <c r="BC2798" s="394"/>
      <c r="BD2798" s="381"/>
      <c r="BE2798" s="408"/>
      <c r="BF2798" s="385"/>
      <c r="BG2798" s="475"/>
      <c r="BH2798" s="395"/>
      <c r="BI2798" s="395" t="e">
        <f t="shared" si="1059"/>
        <v>#DIV/0!</v>
      </c>
    </row>
    <row r="2799" spans="1:61" s="358" customFormat="1" ht="19.2" x14ac:dyDescent="0.3">
      <c r="A2799" s="359" t="s">
        <v>184</v>
      </c>
      <c r="B2799" s="572" t="s">
        <v>4390</v>
      </c>
      <c r="C2799" s="546" t="s">
        <v>3550</v>
      </c>
      <c r="D2799" s="360">
        <v>0.4</v>
      </c>
      <c r="E2799" s="393"/>
      <c r="F2799" s="523"/>
      <c r="G2799" s="393"/>
      <c r="H2799" s="573"/>
      <c r="I2799" s="394"/>
      <c r="J2799" s="394"/>
      <c r="K2799" s="394"/>
      <c r="L2799" s="394"/>
      <c r="M2799" s="394"/>
      <c r="N2799" s="394"/>
      <c r="O2799" s="394"/>
      <c r="P2799" s="394"/>
      <c r="Q2799" s="394"/>
      <c r="R2799" s="381"/>
      <c r="S2799" s="408"/>
      <c r="T2799" s="385"/>
      <c r="U2799" s="475"/>
      <c r="V2799" s="395"/>
      <c r="W2799" s="395"/>
      <c r="X2799" s="393"/>
      <c r="Y2799" s="523">
        <v>1</v>
      </c>
      <c r="Z2799" s="497"/>
      <c r="AA2799" s="573">
        <v>18.408740000000002</v>
      </c>
      <c r="AB2799" s="394">
        <v>15.91553</v>
      </c>
      <c r="AC2799" s="394">
        <v>15.01099</v>
      </c>
      <c r="AD2799" s="394"/>
      <c r="AE2799" s="394"/>
      <c r="AF2799" s="394">
        <v>0</v>
      </c>
      <c r="AG2799" s="394">
        <v>0</v>
      </c>
      <c r="AH2799" s="394">
        <v>0.58123999999999998</v>
      </c>
      <c r="AI2799" s="394">
        <v>15.01099</v>
      </c>
      <c r="AJ2799" s="394"/>
      <c r="AK2799" s="381" t="s">
        <v>167</v>
      </c>
      <c r="AL2799" s="408" t="s">
        <v>175</v>
      </c>
      <c r="AM2799" s="385"/>
      <c r="AN2799" s="475">
        <v>1592</v>
      </c>
      <c r="AO2799" s="395"/>
      <c r="AP2799" s="395">
        <f t="shared" si="1058"/>
        <v>18.408740000000002</v>
      </c>
      <c r="AQ2799" s="393"/>
      <c r="AR2799" s="523"/>
      <c r="AS2799" s="497"/>
      <c r="AT2799" s="573"/>
      <c r="AU2799" s="394"/>
      <c r="AV2799" s="394"/>
      <c r="AW2799" s="394"/>
      <c r="AX2799" s="394"/>
      <c r="AY2799" s="394"/>
      <c r="AZ2799" s="394"/>
      <c r="BA2799" s="394"/>
      <c r="BB2799" s="394"/>
      <c r="BC2799" s="394"/>
      <c r="BD2799" s="381"/>
      <c r="BE2799" s="408"/>
      <c r="BF2799" s="385"/>
      <c r="BG2799" s="475"/>
      <c r="BH2799" s="395"/>
      <c r="BI2799" s="395" t="e">
        <f t="shared" si="1059"/>
        <v>#DIV/0!</v>
      </c>
    </row>
    <row r="2800" spans="1:61" s="358" customFormat="1" ht="19.2" x14ac:dyDescent="0.3">
      <c r="A2800" s="359" t="s">
        <v>4607</v>
      </c>
      <c r="B2800" s="572" t="s">
        <v>1363</v>
      </c>
      <c r="C2800" s="546" t="s">
        <v>3551</v>
      </c>
      <c r="D2800" s="360">
        <v>0.4</v>
      </c>
      <c r="E2800" s="393"/>
      <c r="F2800" s="523"/>
      <c r="G2800" s="393"/>
      <c r="H2800" s="573"/>
      <c r="I2800" s="394"/>
      <c r="J2800" s="394"/>
      <c r="K2800" s="394"/>
      <c r="L2800" s="394"/>
      <c r="M2800" s="394"/>
      <c r="N2800" s="394"/>
      <c r="O2800" s="394"/>
      <c r="P2800" s="394"/>
      <c r="Q2800" s="394"/>
      <c r="R2800" s="381"/>
      <c r="S2800" s="408"/>
      <c r="T2800" s="385"/>
      <c r="U2800" s="475"/>
      <c r="V2800" s="395"/>
      <c r="W2800" s="395"/>
      <c r="X2800" s="393"/>
      <c r="Y2800" s="523">
        <v>1</v>
      </c>
      <c r="Z2800" s="497"/>
      <c r="AA2800" s="573">
        <v>18.5869</v>
      </c>
      <c r="AB2800" s="394">
        <v>16.093689999999999</v>
      </c>
      <c r="AC2800" s="394">
        <v>15.005520000000001</v>
      </c>
      <c r="AD2800" s="394"/>
      <c r="AE2800" s="394"/>
      <c r="AF2800" s="394">
        <v>0</v>
      </c>
      <c r="AG2800" s="394">
        <v>0</v>
      </c>
      <c r="AH2800" s="394">
        <v>0.58123999999999998</v>
      </c>
      <c r="AI2800" s="394">
        <v>15.005520000000001</v>
      </c>
      <c r="AJ2800" s="394"/>
      <c r="AK2800" s="381" t="s">
        <v>167</v>
      </c>
      <c r="AL2800" s="408" t="s">
        <v>175</v>
      </c>
      <c r="AM2800" s="385"/>
      <c r="AN2800" s="475">
        <v>1593</v>
      </c>
      <c r="AO2800" s="395"/>
      <c r="AP2800" s="395">
        <f t="shared" si="1058"/>
        <v>18.5869</v>
      </c>
      <c r="AQ2800" s="393"/>
      <c r="AR2800" s="523"/>
      <c r="AS2800" s="497"/>
      <c r="AT2800" s="573"/>
      <c r="AU2800" s="394"/>
      <c r="AV2800" s="394"/>
      <c r="AW2800" s="394"/>
      <c r="AX2800" s="394"/>
      <c r="AY2800" s="394"/>
      <c r="AZ2800" s="394"/>
      <c r="BA2800" s="394"/>
      <c r="BB2800" s="394"/>
      <c r="BC2800" s="394"/>
      <c r="BD2800" s="381"/>
      <c r="BE2800" s="408"/>
      <c r="BF2800" s="385"/>
      <c r="BG2800" s="475"/>
      <c r="BH2800" s="395"/>
      <c r="BI2800" s="395" t="e">
        <f t="shared" si="1059"/>
        <v>#DIV/0!</v>
      </c>
    </row>
    <row r="2801" spans="1:61" s="358" customFormat="1" ht="19.2" x14ac:dyDescent="0.3">
      <c r="A2801" s="359" t="s">
        <v>4608</v>
      </c>
      <c r="B2801" s="572" t="s">
        <v>1363</v>
      </c>
      <c r="C2801" s="546" t="s">
        <v>3552</v>
      </c>
      <c r="D2801" s="360">
        <v>0.4</v>
      </c>
      <c r="E2801" s="393"/>
      <c r="F2801" s="523"/>
      <c r="G2801" s="393"/>
      <c r="H2801" s="573"/>
      <c r="I2801" s="394"/>
      <c r="J2801" s="394"/>
      <c r="K2801" s="394"/>
      <c r="L2801" s="394"/>
      <c r="M2801" s="394"/>
      <c r="N2801" s="394"/>
      <c r="O2801" s="394"/>
      <c r="P2801" s="394"/>
      <c r="Q2801" s="394"/>
      <c r="R2801" s="381"/>
      <c r="S2801" s="408"/>
      <c r="T2801" s="385"/>
      <c r="U2801" s="475"/>
      <c r="V2801" s="395"/>
      <c r="W2801" s="395"/>
      <c r="X2801" s="393"/>
      <c r="Y2801" s="523">
        <v>1</v>
      </c>
      <c r="Z2801" s="497"/>
      <c r="AA2801" s="573">
        <v>18.5869</v>
      </c>
      <c r="AB2801" s="394">
        <v>16.093689999999999</v>
      </c>
      <c r="AC2801" s="394">
        <v>15.005520000000001</v>
      </c>
      <c r="AD2801" s="394"/>
      <c r="AE2801" s="394"/>
      <c r="AF2801" s="394">
        <v>0</v>
      </c>
      <c r="AG2801" s="394">
        <v>0</v>
      </c>
      <c r="AH2801" s="394">
        <v>0.58123999999999998</v>
      </c>
      <c r="AI2801" s="394">
        <v>15.005520000000001</v>
      </c>
      <c r="AJ2801" s="394"/>
      <c r="AK2801" s="381" t="s">
        <v>167</v>
      </c>
      <c r="AL2801" s="408" t="s">
        <v>175</v>
      </c>
      <c r="AM2801" s="385"/>
      <c r="AN2801" s="475">
        <v>1594</v>
      </c>
      <c r="AO2801" s="395"/>
      <c r="AP2801" s="395">
        <f t="shared" si="1058"/>
        <v>18.5869</v>
      </c>
      <c r="AQ2801" s="393"/>
      <c r="AR2801" s="523"/>
      <c r="AS2801" s="497"/>
      <c r="AT2801" s="573"/>
      <c r="AU2801" s="394"/>
      <c r="AV2801" s="394"/>
      <c r="AW2801" s="394"/>
      <c r="AX2801" s="394"/>
      <c r="AY2801" s="394"/>
      <c r="AZ2801" s="394"/>
      <c r="BA2801" s="394"/>
      <c r="BB2801" s="394"/>
      <c r="BC2801" s="394"/>
      <c r="BD2801" s="381"/>
      <c r="BE2801" s="408"/>
      <c r="BF2801" s="385"/>
      <c r="BG2801" s="475"/>
      <c r="BH2801" s="395"/>
      <c r="BI2801" s="395" t="e">
        <f t="shared" si="1059"/>
        <v>#DIV/0!</v>
      </c>
    </row>
    <row r="2802" spans="1:61" s="358" customFormat="1" ht="19.2" x14ac:dyDescent="0.3">
      <c r="A2802" s="359" t="s">
        <v>4593</v>
      </c>
      <c r="B2802" s="572" t="s">
        <v>1363</v>
      </c>
      <c r="C2802" s="546" t="s">
        <v>3553</v>
      </c>
      <c r="D2802" s="360">
        <v>0.4</v>
      </c>
      <c r="E2802" s="393"/>
      <c r="F2802" s="523"/>
      <c r="G2802" s="393"/>
      <c r="H2802" s="573"/>
      <c r="I2802" s="394"/>
      <c r="J2802" s="394"/>
      <c r="K2802" s="394"/>
      <c r="L2802" s="394"/>
      <c r="M2802" s="394"/>
      <c r="N2802" s="394"/>
      <c r="O2802" s="394"/>
      <c r="P2802" s="394"/>
      <c r="Q2802" s="394"/>
      <c r="R2802" s="381"/>
      <c r="S2802" s="408"/>
      <c r="T2802" s="385"/>
      <c r="U2802" s="475"/>
      <c r="V2802" s="395"/>
      <c r="W2802" s="395"/>
      <c r="X2802" s="393"/>
      <c r="Y2802" s="523">
        <v>1</v>
      </c>
      <c r="Z2802" s="497"/>
      <c r="AA2802" s="573">
        <v>18.5869</v>
      </c>
      <c r="AB2802" s="394">
        <v>16.093689999999999</v>
      </c>
      <c r="AC2802" s="394">
        <v>15.005520000000001</v>
      </c>
      <c r="AD2802" s="394"/>
      <c r="AE2802" s="394"/>
      <c r="AF2802" s="394">
        <v>0</v>
      </c>
      <c r="AG2802" s="394">
        <v>0</v>
      </c>
      <c r="AH2802" s="394">
        <v>0.58123999999999998</v>
      </c>
      <c r="AI2802" s="394">
        <v>15.005520000000001</v>
      </c>
      <c r="AJ2802" s="394"/>
      <c r="AK2802" s="381" t="s">
        <v>167</v>
      </c>
      <c r="AL2802" s="408" t="s">
        <v>175</v>
      </c>
      <c r="AM2802" s="385"/>
      <c r="AN2802" s="475">
        <v>1595</v>
      </c>
      <c r="AO2802" s="395"/>
      <c r="AP2802" s="395">
        <f t="shared" si="1058"/>
        <v>18.5869</v>
      </c>
      <c r="AQ2802" s="393"/>
      <c r="AR2802" s="523"/>
      <c r="AS2802" s="497"/>
      <c r="AT2802" s="573"/>
      <c r="AU2802" s="394"/>
      <c r="AV2802" s="394"/>
      <c r="AW2802" s="394"/>
      <c r="AX2802" s="394"/>
      <c r="AY2802" s="394"/>
      <c r="AZ2802" s="394"/>
      <c r="BA2802" s="394"/>
      <c r="BB2802" s="394"/>
      <c r="BC2802" s="394"/>
      <c r="BD2802" s="381"/>
      <c r="BE2802" s="408"/>
      <c r="BF2802" s="385"/>
      <c r="BG2802" s="475"/>
      <c r="BH2802" s="395"/>
      <c r="BI2802" s="395" t="e">
        <f t="shared" si="1059"/>
        <v>#DIV/0!</v>
      </c>
    </row>
    <row r="2803" spans="1:61" s="358" customFormat="1" ht="19.2" x14ac:dyDescent="0.3">
      <c r="A2803" s="359" t="s">
        <v>4609</v>
      </c>
      <c r="B2803" s="572" t="s">
        <v>4391</v>
      </c>
      <c r="C2803" s="546" t="s">
        <v>3554</v>
      </c>
      <c r="D2803" s="360">
        <v>0.4</v>
      </c>
      <c r="E2803" s="393"/>
      <c r="F2803" s="523"/>
      <c r="G2803" s="393"/>
      <c r="H2803" s="573"/>
      <c r="I2803" s="394"/>
      <c r="J2803" s="394"/>
      <c r="K2803" s="394"/>
      <c r="L2803" s="394"/>
      <c r="M2803" s="394"/>
      <c r="N2803" s="394"/>
      <c r="O2803" s="394"/>
      <c r="P2803" s="394"/>
      <c r="Q2803" s="394"/>
      <c r="R2803" s="381"/>
      <c r="S2803" s="408"/>
      <c r="T2803" s="385"/>
      <c r="U2803" s="475"/>
      <c r="V2803" s="395"/>
      <c r="W2803" s="395"/>
      <c r="X2803" s="393"/>
      <c r="Y2803" s="523">
        <v>1</v>
      </c>
      <c r="Z2803" s="497"/>
      <c r="AA2803" s="573">
        <v>18.408740000000002</v>
      </c>
      <c r="AB2803" s="394">
        <v>15.91553</v>
      </c>
      <c r="AC2803" s="394">
        <v>15.01099</v>
      </c>
      <c r="AD2803" s="394"/>
      <c r="AE2803" s="394"/>
      <c r="AF2803" s="394">
        <v>0</v>
      </c>
      <c r="AG2803" s="394">
        <v>0</v>
      </c>
      <c r="AH2803" s="394">
        <v>0.58123999999999998</v>
      </c>
      <c r="AI2803" s="394">
        <v>15.01099</v>
      </c>
      <c r="AJ2803" s="394"/>
      <c r="AK2803" s="381" t="s">
        <v>167</v>
      </c>
      <c r="AL2803" s="408" t="s">
        <v>175</v>
      </c>
      <c r="AM2803" s="385"/>
      <c r="AN2803" s="475">
        <v>1596</v>
      </c>
      <c r="AO2803" s="395"/>
      <c r="AP2803" s="395">
        <f t="shared" si="1058"/>
        <v>18.408740000000002</v>
      </c>
      <c r="AQ2803" s="393"/>
      <c r="AR2803" s="523"/>
      <c r="AS2803" s="497"/>
      <c r="AT2803" s="573"/>
      <c r="AU2803" s="394"/>
      <c r="AV2803" s="394"/>
      <c r="AW2803" s="394"/>
      <c r="AX2803" s="394"/>
      <c r="AY2803" s="394"/>
      <c r="AZ2803" s="394"/>
      <c r="BA2803" s="394"/>
      <c r="BB2803" s="394"/>
      <c r="BC2803" s="394"/>
      <c r="BD2803" s="381"/>
      <c r="BE2803" s="408"/>
      <c r="BF2803" s="385"/>
      <c r="BG2803" s="475"/>
      <c r="BH2803" s="395"/>
      <c r="BI2803" s="395" t="e">
        <f t="shared" si="1059"/>
        <v>#DIV/0!</v>
      </c>
    </row>
    <row r="2804" spans="1:61" s="358" customFormat="1" ht="19.2" x14ac:dyDescent="0.3">
      <c r="A2804" s="359" t="s">
        <v>4610</v>
      </c>
      <c r="B2804" s="572" t="s">
        <v>2312</v>
      </c>
      <c r="C2804" s="546" t="s">
        <v>2311</v>
      </c>
      <c r="D2804" s="360">
        <v>0.4</v>
      </c>
      <c r="E2804" s="393"/>
      <c r="F2804" s="523"/>
      <c r="G2804" s="393"/>
      <c r="H2804" s="573"/>
      <c r="I2804" s="394"/>
      <c r="J2804" s="394"/>
      <c r="K2804" s="394"/>
      <c r="L2804" s="394"/>
      <c r="M2804" s="394"/>
      <c r="N2804" s="394"/>
      <c r="O2804" s="394"/>
      <c r="P2804" s="394"/>
      <c r="Q2804" s="394"/>
      <c r="R2804" s="381"/>
      <c r="S2804" s="408"/>
      <c r="T2804" s="385"/>
      <c r="U2804" s="475"/>
      <c r="V2804" s="395"/>
      <c r="W2804" s="395"/>
      <c r="X2804" s="393"/>
      <c r="Y2804" s="523">
        <v>1</v>
      </c>
      <c r="Z2804" s="497"/>
      <c r="AA2804" s="573">
        <v>17.747630000000001</v>
      </c>
      <c r="AB2804" s="394">
        <v>14.94312</v>
      </c>
      <c r="AC2804" s="394">
        <v>13.33868</v>
      </c>
      <c r="AD2804" s="394"/>
      <c r="AE2804" s="394"/>
      <c r="AF2804" s="394">
        <v>0</v>
      </c>
      <c r="AG2804" s="394">
        <v>0</v>
      </c>
      <c r="AH2804" s="394">
        <v>0.65381</v>
      </c>
      <c r="AI2804" s="394">
        <v>13.33868</v>
      </c>
      <c r="AJ2804" s="394"/>
      <c r="AK2804" s="381" t="s">
        <v>167</v>
      </c>
      <c r="AL2804" s="408" t="s">
        <v>175</v>
      </c>
      <c r="AM2804" s="385"/>
      <c r="AN2804" s="475">
        <v>1597</v>
      </c>
      <c r="AO2804" s="395"/>
      <c r="AP2804" s="395">
        <f t="shared" si="1058"/>
        <v>17.747630000000001</v>
      </c>
      <c r="AQ2804" s="393"/>
      <c r="AR2804" s="523"/>
      <c r="AS2804" s="497"/>
      <c r="AT2804" s="573"/>
      <c r="AU2804" s="394"/>
      <c r="AV2804" s="394"/>
      <c r="AW2804" s="394"/>
      <c r="AX2804" s="394"/>
      <c r="AY2804" s="394"/>
      <c r="AZ2804" s="394"/>
      <c r="BA2804" s="394"/>
      <c r="BB2804" s="394"/>
      <c r="BC2804" s="394"/>
      <c r="BD2804" s="381"/>
      <c r="BE2804" s="408"/>
      <c r="BF2804" s="385"/>
      <c r="BG2804" s="475"/>
      <c r="BH2804" s="395"/>
      <c r="BI2804" s="395" t="e">
        <f t="shared" si="1059"/>
        <v>#DIV/0!</v>
      </c>
    </row>
    <row r="2805" spans="1:61" s="358" customFormat="1" ht="19.2" x14ac:dyDescent="0.3">
      <c r="A2805" s="359" t="s">
        <v>4611</v>
      </c>
      <c r="B2805" s="572" t="s">
        <v>4392</v>
      </c>
      <c r="C2805" s="546" t="s">
        <v>3555</v>
      </c>
      <c r="D2805" s="360">
        <v>0.4</v>
      </c>
      <c r="E2805" s="393"/>
      <c r="F2805" s="523"/>
      <c r="G2805" s="393"/>
      <c r="H2805" s="573"/>
      <c r="I2805" s="394"/>
      <c r="J2805" s="394"/>
      <c r="K2805" s="394"/>
      <c r="L2805" s="394"/>
      <c r="M2805" s="394"/>
      <c r="N2805" s="394"/>
      <c r="O2805" s="394"/>
      <c r="P2805" s="394"/>
      <c r="Q2805" s="394"/>
      <c r="R2805" s="381"/>
      <c r="S2805" s="408"/>
      <c r="T2805" s="385"/>
      <c r="U2805" s="475"/>
      <c r="V2805" s="395"/>
      <c r="W2805" s="395"/>
      <c r="X2805" s="393"/>
      <c r="Y2805" s="523">
        <v>1</v>
      </c>
      <c r="Z2805" s="497"/>
      <c r="AA2805" s="573">
        <v>17.86206</v>
      </c>
      <c r="AB2805" s="394">
        <v>15.36885</v>
      </c>
      <c r="AC2805" s="394">
        <v>14.364570000000001</v>
      </c>
      <c r="AD2805" s="394"/>
      <c r="AE2805" s="394"/>
      <c r="AF2805" s="394">
        <v>0</v>
      </c>
      <c r="AG2805" s="394">
        <v>0</v>
      </c>
      <c r="AH2805" s="394">
        <v>0.58123999999999998</v>
      </c>
      <c r="AI2805" s="394">
        <v>14.364570000000001</v>
      </c>
      <c r="AJ2805" s="394"/>
      <c r="AK2805" s="381" t="s">
        <v>167</v>
      </c>
      <c r="AL2805" s="408" t="s">
        <v>175</v>
      </c>
      <c r="AM2805" s="385"/>
      <c r="AN2805" s="475">
        <v>1598</v>
      </c>
      <c r="AO2805" s="395"/>
      <c r="AP2805" s="395">
        <f t="shared" si="1058"/>
        <v>17.86206</v>
      </c>
      <c r="AQ2805" s="393"/>
      <c r="AR2805" s="523"/>
      <c r="AS2805" s="497"/>
      <c r="AT2805" s="573"/>
      <c r="AU2805" s="394"/>
      <c r="AV2805" s="394"/>
      <c r="AW2805" s="394"/>
      <c r="AX2805" s="394"/>
      <c r="AY2805" s="394"/>
      <c r="AZ2805" s="394"/>
      <c r="BA2805" s="394"/>
      <c r="BB2805" s="394"/>
      <c r="BC2805" s="394"/>
      <c r="BD2805" s="381"/>
      <c r="BE2805" s="408"/>
      <c r="BF2805" s="385"/>
      <c r="BG2805" s="475"/>
      <c r="BH2805" s="395"/>
      <c r="BI2805" s="395" t="e">
        <f t="shared" si="1059"/>
        <v>#DIV/0!</v>
      </c>
    </row>
    <row r="2806" spans="1:61" s="358" customFormat="1" ht="19.2" x14ac:dyDescent="0.3">
      <c r="A2806" s="359" t="s">
        <v>4612</v>
      </c>
      <c r="B2806" s="572" t="s">
        <v>4393</v>
      </c>
      <c r="C2806" s="546" t="s">
        <v>3556</v>
      </c>
      <c r="D2806" s="360">
        <v>0.4</v>
      </c>
      <c r="E2806" s="393"/>
      <c r="F2806" s="523"/>
      <c r="G2806" s="393"/>
      <c r="H2806" s="573"/>
      <c r="I2806" s="394"/>
      <c r="J2806" s="394"/>
      <c r="K2806" s="394"/>
      <c r="L2806" s="394"/>
      <c r="M2806" s="394"/>
      <c r="N2806" s="394"/>
      <c r="O2806" s="394"/>
      <c r="P2806" s="394"/>
      <c r="Q2806" s="394"/>
      <c r="R2806" s="381"/>
      <c r="S2806" s="408"/>
      <c r="T2806" s="385"/>
      <c r="U2806" s="475"/>
      <c r="V2806" s="395"/>
      <c r="W2806" s="395"/>
      <c r="X2806" s="393"/>
      <c r="Y2806" s="523">
        <v>1</v>
      </c>
      <c r="Z2806" s="497"/>
      <c r="AA2806" s="573">
        <v>17.862089999999998</v>
      </c>
      <c r="AB2806" s="394">
        <v>15.368880000000001</v>
      </c>
      <c r="AC2806" s="394">
        <v>14.364570000000001</v>
      </c>
      <c r="AD2806" s="394"/>
      <c r="AE2806" s="394"/>
      <c r="AF2806" s="394">
        <v>0</v>
      </c>
      <c r="AG2806" s="394">
        <v>0</v>
      </c>
      <c r="AH2806" s="394">
        <v>0.58123999999999998</v>
      </c>
      <c r="AI2806" s="394">
        <v>14.364570000000001</v>
      </c>
      <c r="AJ2806" s="394"/>
      <c r="AK2806" s="381" t="s">
        <v>167</v>
      </c>
      <c r="AL2806" s="408" t="s">
        <v>175</v>
      </c>
      <c r="AM2806" s="385"/>
      <c r="AN2806" s="475">
        <v>1599</v>
      </c>
      <c r="AO2806" s="395"/>
      <c r="AP2806" s="395">
        <f t="shared" si="1058"/>
        <v>17.862089999999998</v>
      </c>
      <c r="AQ2806" s="393"/>
      <c r="AR2806" s="523"/>
      <c r="AS2806" s="497"/>
      <c r="AT2806" s="573"/>
      <c r="AU2806" s="394"/>
      <c r="AV2806" s="394"/>
      <c r="AW2806" s="394"/>
      <c r="AX2806" s="394"/>
      <c r="AY2806" s="394"/>
      <c r="AZ2806" s="394"/>
      <c r="BA2806" s="394"/>
      <c r="BB2806" s="394"/>
      <c r="BC2806" s="394"/>
      <c r="BD2806" s="381"/>
      <c r="BE2806" s="408"/>
      <c r="BF2806" s="385"/>
      <c r="BG2806" s="475"/>
      <c r="BH2806" s="395"/>
      <c r="BI2806" s="395" t="e">
        <f t="shared" si="1059"/>
        <v>#DIV/0!</v>
      </c>
    </row>
    <row r="2807" spans="1:61" s="358" customFormat="1" ht="19.2" x14ac:dyDescent="0.3">
      <c r="A2807" s="359" t="s">
        <v>4613</v>
      </c>
      <c r="B2807" s="572" t="s">
        <v>4394</v>
      </c>
      <c r="C2807" s="546" t="s">
        <v>3557</v>
      </c>
      <c r="D2807" s="360">
        <v>0.4</v>
      </c>
      <c r="E2807" s="393"/>
      <c r="F2807" s="523"/>
      <c r="G2807" s="393"/>
      <c r="H2807" s="573"/>
      <c r="I2807" s="394"/>
      <c r="J2807" s="394"/>
      <c r="K2807" s="394"/>
      <c r="L2807" s="394"/>
      <c r="M2807" s="394"/>
      <c r="N2807" s="394"/>
      <c r="O2807" s="394"/>
      <c r="P2807" s="394"/>
      <c r="Q2807" s="394"/>
      <c r="R2807" s="381"/>
      <c r="S2807" s="408"/>
      <c r="T2807" s="385"/>
      <c r="U2807" s="475"/>
      <c r="V2807" s="395"/>
      <c r="W2807" s="395"/>
      <c r="X2807" s="393"/>
      <c r="Y2807" s="523">
        <v>1</v>
      </c>
      <c r="Z2807" s="497"/>
      <c r="AA2807" s="573">
        <v>15.48596</v>
      </c>
      <c r="AB2807" s="394">
        <v>13.571680000000001</v>
      </c>
      <c r="AC2807" s="394">
        <v>12.00836</v>
      </c>
      <c r="AD2807" s="394"/>
      <c r="AE2807" s="394"/>
      <c r="AF2807" s="394">
        <v>0</v>
      </c>
      <c r="AG2807" s="394">
        <v>0</v>
      </c>
      <c r="AH2807" s="394">
        <v>0.44627</v>
      </c>
      <c r="AI2807" s="394">
        <v>12.00836</v>
      </c>
      <c r="AJ2807" s="394"/>
      <c r="AK2807" s="381" t="s">
        <v>167</v>
      </c>
      <c r="AL2807" s="408" t="s">
        <v>175</v>
      </c>
      <c r="AM2807" s="385"/>
      <c r="AN2807" s="475">
        <v>1600</v>
      </c>
      <c r="AO2807" s="395"/>
      <c r="AP2807" s="395">
        <f t="shared" si="1058"/>
        <v>15.48596</v>
      </c>
      <c r="AQ2807" s="393"/>
      <c r="AR2807" s="523"/>
      <c r="AS2807" s="497"/>
      <c r="AT2807" s="573"/>
      <c r="AU2807" s="394"/>
      <c r="AV2807" s="394"/>
      <c r="AW2807" s="394"/>
      <c r="AX2807" s="394"/>
      <c r="AY2807" s="394"/>
      <c r="AZ2807" s="394"/>
      <c r="BA2807" s="394"/>
      <c r="BB2807" s="394"/>
      <c r="BC2807" s="394"/>
      <c r="BD2807" s="381"/>
      <c r="BE2807" s="408"/>
      <c r="BF2807" s="385"/>
      <c r="BG2807" s="475"/>
      <c r="BH2807" s="395"/>
      <c r="BI2807" s="395" t="e">
        <f t="shared" si="1059"/>
        <v>#DIV/0!</v>
      </c>
    </row>
    <row r="2808" spans="1:61" s="358" customFormat="1" ht="19.2" x14ac:dyDescent="0.3">
      <c r="A2808" s="359" t="s">
        <v>178</v>
      </c>
      <c r="B2808" s="602" t="s">
        <v>5016</v>
      </c>
      <c r="C2808" s="548" t="s">
        <v>5015</v>
      </c>
      <c r="D2808" s="360">
        <v>0.4</v>
      </c>
      <c r="E2808" s="528"/>
      <c r="F2808" s="523"/>
      <c r="G2808" s="393"/>
      <c r="H2808" s="394"/>
      <c r="I2808" s="394"/>
      <c r="J2808" s="394"/>
      <c r="K2808" s="394"/>
      <c r="L2808" s="394"/>
      <c r="M2808" s="394"/>
      <c r="N2808" s="394"/>
      <c r="O2808" s="394"/>
      <c r="P2808" s="394"/>
      <c r="Q2808" s="394"/>
      <c r="R2808" s="381"/>
      <c r="S2808" s="408"/>
      <c r="T2808" s="385"/>
      <c r="U2808" s="475"/>
      <c r="V2808" s="395"/>
      <c r="W2808" s="395"/>
      <c r="X2808" s="528"/>
      <c r="Y2808" s="523"/>
      <c r="Z2808" s="393"/>
      <c r="AA2808" s="394"/>
      <c r="AB2808" s="394"/>
      <c r="AC2808" s="394"/>
      <c r="AD2808" s="394"/>
      <c r="AE2808" s="394"/>
      <c r="AF2808" s="394"/>
      <c r="AG2808" s="394"/>
      <c r="AH2808" s="394"/>
      <c r="AI2808" s="394"/>
      <c r="AJ2808" s="394"/>
      <c r="AK2808" s="381"/>
      <c r="AL2808" s="408"/>
      <c r="AM2808" s="385"/>
      <c r="AN2808" s="475"/>
      <c r="AO2808" s="395"/>
      <c r="AP2808" s="395"/>
      <c r="AQ2808" s="528"/>
      <c r="AR2808" s="523">
        <v>1</v>
      </c>
      <c r="AS2808" s="393"/>
      <c r="AT2808" s="600">
        <v>18.99972</v>
      </c>
      <c r="AU2808" s="394">
        <v>16.195209999999999</v>
      </c>
      <c r="AV2808" s="394">
        <v>15.03815</v>
      </c>
      <c r="AW2808" s="394"/>
      <c r="AX2808" s="394"/>
      <c r="AY2808" s="394">
        <v>0</v>
      </c>
      <c r="AZ2808" s="394">
        <v>0</v>
      </c>
      <c r="BA2808" s="394">
        <v>0.65381</v>
      </c>
      <c r="BB2808" s="394">
        <v>15.03815</v>
      </c>
      <c r="BC2808" s="394"/>
      <c r="BD2808" s="381" t="s">
        <v>167</v>
      </c>
      <c r="BE2808" s="408" t="s">
        <v>175</v>
      </c>
      <c r="BF2808" s="385"/>
      <c r="BG2808" s="475">
        <v>758</v>
      </c>
      <c r="BH2808" s="395"/>
      <c r="BI2808" s="395">
        <f t="shared" si="1059"/>
        <v>18.99972</v>
      </c>
    </row>
    <row r="2809" spans="1:61" s="358" customFormat="1" ht="19.2" x14ac:dyDescent="0.3">
      <c r="A2809" s="359" t="s">
        <v>182</v>
      </c>
      <c r="B2809" s="602" t="s">
        <v>5017</v>
      </c>
      <c r="C2809" s="548" t="s">
        <v>5018</v>
      </c>
      <c r="D2809" s="360">
        <v>0.4</v>
      </c>
      <c r="E2809" s="528"/>
      <c r="F2809" s="523"/>
      <c r="G2809" s="393"/>
      <c r="H2809" s="394"/>
      <c r="I2809" s="394"/>
      <c r="J2809" s="394"/>
      <c r="K2809" s="394"/>
      <c r="L2809" s="394"/>
      <c r="M2809" s="394"/>
      <c r="N2809" s="394"/>
      <c r="O2809" s="394"/>
      <c r="P2809" s="394"/>
      <c r="Q2809" s="394"/>
      <c r="R2809" s="381"/>
      <c r="S2809" s="408"/>
      <c r="T2809" s="385"/>
      <c r="U2809" s="475"/>
      <c r="V2809" s="395"/>
      <c r="W2809" s="395"/>
      <c r="X2809" s="528"/>
      <c r="Y2809" s="523"/>
      <c r="Z2809" s="393"/>
      <c r="AA2809" s="394"/>
      <c r="AB2809" s="394"/>
      <c r="AC2809" s="394"/>
      <c r="AD2809" s="394"/>
      <c r="AE2809" s="394"/>
      <c r="AF2809" s="394"/>
      <c r="AG2809" s="394"/>
      <c r="AH2809" s="394"/>
      <c r="AI2809" s="394"/>
      <c r="AJ2809" s="394"/>
      <c r="AK2809" s="381"/>
      <c r="AL2809" s="408"/>
      <c r="AM2809" s="385"/>
      <c r="AN2809" s="475"/>
      <c r="AO2809" s="395"/>
      <c r="AP2809" s="395"/>
      <c r="AQ2809" s="528"/>
      <c r="AR2809" s="523">
        <v>1</v>
      </c>
      <c r="AS2809" s="393"/>
      <c r="AT2809" s="600">
        <v>18.99971</v>
      </c>
      <c r="AU2809" s="394">
        <v>16.1952</v>
      </c>
      <c r="AV2809" s="394">
        <v>15.03815</v>
      </c>
      <c r="AW2809" s="394"/>
      <c r="AX2809" s="394"/>
      <c r="AY2809" s="394">
        <v>0</v>
      </c>
      <c r="AZ2809" s="394">
        <v>0</v>
      </c>
      <c r="BA2809" s="394">
        <v>0.65381</v>
      </c>
      <c r="BB2809" s="394">
        <v>15.03815</v>
      </c>
      <c r="BC2809" s="394"/>
      <c r="BD2809" s="381" t="s">
        <v>167</v>
      </c>
      <c r="BE2809" s="408" t="s">
        <v>175</v>
      </c>
      <c r="BF2809" s="385"/>
      <c r="BG2809" s="475">
        <v>759</v>
      </c>
      <c r="BH2809" s="395"/>
      <c r="BI2809" s="395">
        <f t="shared" ref="BI2809" si="1060">AT2809/AR2809</f>
        <v>18.99971</v>
      </c>
    </row>
    <row r="2810" spans="1:61" s="358" customFormat="1" ht="19.2" x14ac:dyDescent="0.3">
      <c r="A2810" s="359" t="s">
        <v>184</v>
      </c>
      <c r="B2810" s="602" t="s">
        <v>1445</v>
      </c>
      <c r="C2810" s="548" t="s">
        <v>5019</v>
      </c>
      <c r="D2810" s="360">
        <v>0.4</v>
      </c>
      <c r="E2810" s="528"/>
      <c r="F2810" s="523"/>
      <c r="G2810" s="393"/>
      <c r="H2810" s="394"/>
      <c r="I2810" s="394"/>
      <c r="J2810" s="394"/>
      <c r="K2810" s="394"/>
      <c r="L2810" s="394"/>
      <c r="M2810" s="394"/>
      <c r="N2810" s="394"/>
      <c r="O2810" s="394"/>
      <c r="P2810" s="394"/>
      <c r="Q2810" s="394"/>
      <c r="R2810" s="381"/>
      <c r="S2810" s="408"/>
      <c r="T2810" s="385"/>
      <c r="U2810" s="475"/>
      <c r="V2810" s="395"/>
      <c r="W2810" s="395"/>
      <c r="X2810" s="528"/>
      <c r="Y2810" s="523"/>
      <c r="Z2810" s="393"/>
      <c r="AA2810" s="394"/>
      <c r="AB2810" s="394"/>
      <c r="AC2810" s="394"/>
      <c r="AD2810" s="394"/>
      <c r="AE2810" s="394"/>
      <c r="AF2810" s="394"/>
      <c r="AG2810" s="394"/>
      <c r="AH2810" s="394"/>
      <c r="AI2810" s="394"/>
      <c r="AJ2810" s="394"/>
      <c r="AK2810" s="381"/>
      <c r="AL2810" s="408"/>
      <c r="AM2810" s="385"/>
      <c r="AN2810" s="475"/>
      <c r="AO2810" s="395"/>
      <c r="AP2810" s="395"/>
      <c r="AQ2810" s="528"/>
      <c r="AR2810" s="523">
        <v>1</v>
      </c>
      <c r="AS2810" s="393"/>
      <c r="AT2810" s="600">
        <v>18.99972</v>
      </c>
      <c r="AU2810" s="394">
        <v>16.195209999999999</v>
      </c>
      <c r="AV2810" s="394">
        <v>15.03815</v>
      </c>
      <c r="AW2810" s="394"/>
      <c r="AX2810" s="394"/>
      <c r="AY2810" s="394">
        <v>0</v>
      </c>
      <c r="AZ2810" s="394">
        <v>0</v>
      </c>
      <c r="BA2810" s="394">
        <v>0.65381</v>
      </c>
      <c r="BB2810" s="394">
        <v>15.03815</v>
      </c>
      <c r="BC2810" s="394"/>
      <c r="BD2810" s="381" t="s">
        <v>167</v>
      </c>
      <c r="BE2810" s="408" t="s">
        <v>175</v>
      </c>
      <c r="BF2810" s="385"/>
      <c r="BG2810" s="475">
        <v>760</v>
      </c>
      <c r="BH2810" s="395"/>
      <c r="BI2810" s="395">
        <f t="shared" si="1059"/>
        <v>18.99972</v>
      </c>
    </row>
    <row r="2811" spans="1:61" s="358" customFormat="1" ht="19.2" x14ac:dyDescent="0.3">
      <c r="A2811" s="359" t="s">
        <v>186</v>
      </c>
      <c r="B2811" s="602" t="s">
        <v>4049</v>
      </c>
      <c r="C2811" s="548" t="s">
        <v>4667</v>
      </c>
      <c r="D2811" s="360">
        <v>0.4</v>
      </c>
      <c r="E2811" s="528"/>
      <c r="F2811" s="523"/>
      <c r="G2811" s="393"/>
      <c r="H2811" s="394"/>
      <c r="I2811" s="394"/>
      <c r="J2811" s="394"/>
      <c r="K2811" s="394"/>
      <c r="L2811" s="394"/>
      <c r="M2811" s="394"/>
      <c r="N2811" s="394"/>
      <c r="O2811" s="394"/>
      <c r="P2811" s="394"/>
      <c r="Q2811" s="394"/>
      <c r="R2811" s="381"/>
      <c r="S2811" s="408"/>
      <c r="T2811" s="385"/>
      <c r="U2811" s="475"/>
      <c r="V2811" s="395"/>
      <c r="W2811" s="395"/>
      <c r="X2811" s="528"/>
      <c r="Y2811" s="523"/>
      <c r="Z2811" s="393"/>
      <c r="AA2811" s="394"/>
      <c r="AB2811" s="394"/>
      <c r="AC2811" s="394"/>
      <c r="AD2811" s="394"/>
      <c r="AE2811" s="394"/>
      <c r="AF2811" s="394"/>
      <c r="AG2811" s="394"/>
      <c r="AH2811" s="394"/>
      <c r="AI2811" s="394"/>
      <c r="AJ2811" s="394"/>
      <c r="AK2811" s="381"/>
      <c r="AL2811" s="408"/>
      <c r="AM2811" s="385"/>
      <c r="AN2811" s="475"/>
      <c r="AO2811" s="395"/>
      <c r="AP2811" s="395"/>
      <c r="AQ2811" s="528"/>
      <c r="AR2811" s="523">
        <v>1</v>
      </c>
      <c r="AS2811" s="393"/>
      <c r="AT2811" s="600">
        <v>18.99972</v>
      </c>
      <c r="AU2811" s="394">
        <v>16.195209999999999</v>
      </c>
      <c r="AV2811" s="394">
        <v>15.03815</v>
      </c>
      <c r="AW2811" s="394"/>
      <c r="AX2811" s="394"/>
      <c r="AY2811" s="394">
        <v>0</v>
      </c>
      <c r="AZ2811" s="394">
        <v>0</v>
      </c>
      <c r="BA2811" s="394">
        <v>0.65381</v>
      </c>
      <c r="BB2811" s="394">
        <v>15.03815</v>
      </c>
      <c r="BC2811" s="394"/>
      <c r="BD2811" s="381" t="s">
        <v>167</v>
      </c>
      <c r="BE2811" s="408" t="s">
        <v>175</v>
      </c>
      <c r="BF2811" s="385"/>
      <c r="BG2811" s="475">
        <v>761</v>
      </c>
      <c r="BH2811" s="395"/>
      <c r="BI2811" s="395">
        <f t="shared" ref="BI2811" si="1061">AT2811/AR2811</f>
        <v>18.99972</v>
      </c>
    </row>
    <row r="2812" spans="1:61" s="358" customFormat="1" ht="19.2" x14ac:dyDescent="0.3">
      <c r="A2812" s="359" t="s">
        <v>189</v>
      </c>
      <c r="B2812" s="602" t="s">
        <v>5020</v>
      </c>
      <c r="C2812" s="548" t="s">
        <v>5021</v>
      </c>
      <c r="D2812" s="360">
        <v>0.4</v>
      </c>
      <c r="E2812" s="528"/>
      <c r="F2812" s="523"/>
      <c r="G2812" s="393"/>
      <c r="H2812" s="394"/>
      <c r="I2812" s="394"/>
      <c r="J2812" s="394"/>
      <c r="K2812" s="394"/>
      <c r="L2812" s="394"/>
      <c r="M2812" s="394"/>
      <c r="N2812" s="394"/>
      <c r="O2812" s="394"/>
      <c r="P2812" s="394"/>
      <c r="Q2812" s="394"/>
      <c r="R2812" s="381"/>
      <c r="S2812" s="408"/>
      <c r="T2812" s="385"/>
      <c r="U2812" s="475"/>
      <c r="V2812" s="395"/>
      <c r="W2812" s="395"/>
      <c r="X2812" s="528"/>
      <c r="Y2812" s="523"/>
      <c r="Z2812" s="393"/>
      <c r="AA2812" s="394"/>
      <c r="AB2812" s="394"/>
      <c r="AC2812" s="394"/>
      <c r="AD2812" s="394"/>
      <c r="AE2812" s="394"/>
      <c r="AF2812" s="394"/>
      <c r="AG2812" s="394"/>
      <c r="AH2812" s="394"/>
      <c r="AI2812" s="394"/>
      <c r="AJ2812" s="394"/>
      <c r="AK2812" s="381"/>
      <c r="AL2812" s="408"/>
      <c r="AM2812" s="385"/>
      <c r="AN2812" s="475"/>
      <c r="AO2812" s="395"/>
      <c r="AP2812" s="395"/>
      <c r="AQ2812" s="528"/>
      <c r="AR2812" s="523">
        <v>1</v>
      </c>
      <c r="AS2812" s="393"/>
      <c r="AT2812" s="600">
        <v>18.99971</v>
      </c>
      <c r="AU2812" s="394">
        <v>16.1952</v>
      </c>
      <c r="AV2812" s="394">
        <v>15.03815</v>
      </c>
      <c r="AW2812" s="394"/>
      <c r="AX2812" s="394"/>
      <c r="AY2812" s="394">
        <v>0</v>
      </c>
      <c r="AZ2812" s="394">
        <v>0</v>
      </c>
      <c r="BA2812" s="394">
        <v>0.65381</v>
      </c>
      <c r="BB2812" s="394">
        <v>15.03815</v>
      </c>
      <c r="BC2812" s="394"/>
      <c r="BD2812" s="381" t="s">
        <v>167</v>
      </c>
      <c r="BE2812" s="408" t="s">
        <v>175</v>
      </c>
      <c r="BF2812" s="385"/>
      <c r="BG2812" s="475">
        <v>762</v>
      </c>
      <c r="BH2812" s="395"/>
      <c r="BI2812" s="395">
        <f t="shared" si="1059"/>
        <v>18.99971</v>
      </c>
    </row>
    <row r="2813" spans="1:61" s="358" customFormat="1" ht="19.2" x14ac:dyDescent="0.3">
      <c r="A2813" s="359" t="s">
        <v>267</v>
      </c>
      <c r="B2813" s="602" t="s">
        <v>2548</v>
      </c>
      <c r="C2813" s="548" t="s">
        <v>2547</v>
      </c>
      <c r="D2813" s="360">
        <v>0.4</v>
      </c>
      <c r="E2813" s="528"/>
      <c r="F2813" s="523"/>
      <c r="G2813" s="393"/>
      <c r="H2813" s="394"/>
      <c r="I2813" s="394"/>
      <c r="J2813" s="394"/>
      <c r="K2813" s="394"/>
      <c r="L2813" s="394"/>
      <c r="M2813" s="394"/>
      <c r="N2813" s="394"/>
      <c r="O2813" s="394"/>
      <c r="P2813" s="394"/>
      <c r="Q2813" s="394"/>
      <c r="R2813" s="381"/>
      <c r="S2813" s="408"/>
      <c r="T2813" s="385"/>
      <c r="U2813" s="475"/>
      <c r="V2813" s="395"/>
      <c r="W2813" s="395"/>
      <c r="X2813" s="528"/>
      <c r="Y2813" s="523"/>
      <c r="Z2813" s="393"/>
      <c r="AA2813" s="394"/>
      <c r="AB2813" s="394"/>
      <c r="AC2813" s="394"/>
      <c r="AD2813" s="394"/>
      <c r="AE2813" s="394"/>
      <c r="AF2813" s="394"/>
      <c r="AG2813" s="394"/>
      <c r="AH2813" s="394"/>
      <c r="AI2813" s="394"/>
      <c r="AJ2813" s="394"/>
      <c r="AK2813" s="381"/>
      <c r="AL2813" s="408"/>
      <c r="AM2813" s="385"/>
      <c r="AN2813" s="475"/>
      <c r="AO2813" s="395"/>
      <c r="AP2813" s="395"/>
      <c r="AQ2813" s="528"/>
      <c r="AR2813" s="523">
        <v>1</v>
      </c>
      <c r="AS2813" s="393"/>
      <c r="AT2813" s="600">
        <v>18.99972</v>
      </c>
      <c r="AU2813" s="394">
        <v>16.195209999999999</v>
      </c>
      <c r="AV2813" s="394">
        <v>15.03815</v>
      </c>
      <c r="AW2813" s="394"/>
      <c r="AX2813" s="394"/>
      <c r="AY2813" s="394">
        <v>0</v>
      </c>
      <c r="AZ2813" s="394">
        <v>0</v>
      </c>
      <c r="BA2813" s="394">
        <v>0.65381</v>
      </c>
      <c r="BB2813" s="394">
        <v>15.03815</v>
      </c>
      <c r="BC2813" s="394"/>
      <c r="BD2813" s="381" t="s">
        <v>167</v>
      </c>
      <c r="BE2813" s="408" t="s">
        <v>175</v>
      </c>
      <c r="BF2813" s="385"/>
      <c r="BG2813" s="475">
        <v>763</v>
      </c>
      <c r="BH2813" s="395"/>
      <c r="BI2813" s="395">
        <f t="shared" ref="BI2813" si="1062">AT2813/AR2813</f>
        <v>18.99972</v>
      </c>
    </row>
    <row r="2814" spans="1:61" s="358" customFormat="1" ht="19.2" x14ac:dyDescent="0.3">
      <c r="A2814" s="359" t="s">
        <v>268</v>
      </c>
      <c r="B2814" s="602" t="s">
        <v>5022</v>
      </c>
      <c r="C2814" s="548" t="s">
        <v>5023</v>
      </c>
      <c r="D2814" s="360">
        <v>0.4</v>
      </c>
      <c r="E2814" s="528"/>
      <c r="F2814" s="523"/>
      <c r="G2814" s="393"/>
      <c r="H2814" s="394"/>
      <c r="I2814" s="394"/>
      <c r="J2814" s="394"/>
      <c r="K2814" s="394"/>
      <c r="L2814" s="394"/>
      <c r="M2814" s="394"/>
      <c r="N2814" s="394"/>
      <c r="O2814" s="394"/>
      <c r="P2814" s="394"/>
      <c r="Q2814" s="394"/>
      <c r="R2814" s="381"/>
      <c r="S2814" s="408"/>
      <c r="T2814" s="385"/>
      <c r="U2814" s="475"/>
      <c r="V2814" s="395"/>
      <c r="W2814" s="395"/>
      <c r="X2814" s="528"/>
      <c r="Y2814" s="523"/>
      <c r="Z2814" s="393"/>
      <c r="AA2814" s="394"/>
      <c r="AB2814" s="394"/>
      <c r="AC2814" s="394"/>
      <c r="AD2814" s="394"/>
      <c r="AE2814" s="394"/>
      <c r="AF2814" s="394"/>
      <c r="AG2814" s="394"/>
      <c r="AH2814" s="394"/>
      <c r="AI2814" s="394"/>
      <c r="AJ2814" s="394"/>
      <c r="AK2814" s="381"/>
      <c r="AL2814" s="408"/>
      <c r="AM2814" s="385"/>
      <c r="AN2814" s="475"/>
      <c r="AO2814" s="395"/>
      <c r="AP2814" s="395"/>
      <c r="AQ2814" s="528"/>
      <c r="AR2814" s="523">
        <v>1</v>
      </c>
      <c r="AS2814" s="393"/>
      <c r="AT2814" s="600">
        <v>18.99971</v>
      </c>
      <c r="AU2814" s="394">
        <v>16.1952</v>
      </c>
      <c r="AV2814" s="394">
        <v>15.03815</v>
      </c>
      <c r="AW2814" s="394"/>
      <c r="AX2814" s="394"/>
      <c r="AY2814" s="394">
        <v>0</v>
      </c>
      <c r="AZ2814" s="394">
        <v>0</v>
      </c>
      <c r="BA2814" s="394">
        <v>0.65381</v>
      </c>
      <c r="BB2814" s="394">
        <v>15.03815</v>
      </c>
      <c r="BC2814" s="394"/>
      <c r="BD2814" s="381" t="s">
        <v>167</v>
      </c>
      <c r="BE2814" s="408" t="s">
        <v>175</v>
      </c>
      <c r="BF2814" s="385"/>
      <c r="BG2814" s="475">
        <v>764</v>
      </c>
      <c r="BH2814" s="395"/>
      <c r="BI2814" s="395">
        <f t="shared" si="1059"/>
        <v>18.99971</v>
      </c>
    </row>
    <row r="2815" spans="1:61" s="358" customFormat="1" ht="19.2" x14ac:dyDescent="0.3">
      <c r="A2815" s="359" t="s">
        <v>269</v>
      </c>
      <c r="B2815" s="602" t="s">
        <v>4677</v>
      </c>
      <c r="C2815" s="548" t="s">
        <v>4676</v>
      </c>
      <c r="D2815" s="360">
        <v>0.4</v>
      </c>
      <c r="E2815" s="528"/>
      <c r="F2815" s="523"/>
      <c r="G2815" s="393"/>
      <c r="H2815" s="394"/>
      <c r="I2815" s="394"/>
      <c r="J2815" s="394"/>
      <c r="K2815" s="394"/>
      <c r="L2815" s="394"/>
      <c r="M2815" s="394"/>
      <c r="N2815" s="394"/>
      <c r="O2815" s="394"/>
      <c r="P2815" s="394"/>
      <c r="Q2815" s="394"/>
      <c r="R2815" s="381"/>
      <c r="S2815" s="408"/>
      <c r="T2815" s="385"/>
      <c r="U2815" s="475"/>
      <c r="V2815" s="395"/>
      <c r="W2815" s="395"/>
      <c r="X2815" s="528"/>
      <c r="Y2815" s="523"/>
      <c r="Z2815" s="393"/>
      <c r="AA2815" s="394"/>
      <c r="AB2815" s="394"/>
      <c r="AC2815" s="394"/>
      <c r="AD2815" s="394"/>
      <c r="AE2815" s="394"/>
      <c r="AF2815" s="394"/>
      <c r="AG2815" s="394"/>
      <c r="AH2815" s="394"/>
      <c r="AI2815" s="394"/>
      <c r="AJ2815" s="394"/>
      <c r="AK2815" s="381"/>
      <c r="AL2815" s="408"/>
      <c r="AM2815" s="385"/>
      <c r="AN2815" s="475"/>
      <c r="AO2815" s="395"/>
      <c r="AP2815" s="395"/>
      <c r="AQ2815" s="528"/>
      <c r="AR2815" s="523">
        <v>1</v>
      </c>
      <c r="AS2815" s="393"/>
      <c r="AT2815" s="600">
        <v>19.256219999999999</v>
      </c>
      <c r="AU2815" s="394">
        <v>14.700839999999999</v>
      </c>
      <c r="AV2815" s="394">
        <v>13.15042</v>
      </c>
      <c r="AW2815" s="394">
        <v>0.59533999999999998</v>
      </c>
      <c r="AX2815" s="394"/>
      <c r="AY2815" s="394">
        <v>0</v>
      </c>
      <c r="AZ2815" s="394">
        <v>0</v>
      </c>
      <c r="BA2815" s="394">
        <v>1.06199</v>
      </c>
      <c r="BB2815" s="394">
        <v>13.15042</v>
      </c>
      <c r="BC2815" s="394">
        <v>0.59533999999999998</v>
      </c>
      <c r="BD2815" s="381" t="s">
        <v>167</v>
      </c>
      <c r="BE2815" s="408" t="s">
        <v>175</v>
      </c>
      <c r="BF2815" s="385"/>
      <c r="BG2815" s="475">
        <v>765</v>
      </c>
      <c r="BH2815" s="395"/>
      <c r="BI2815" s="395">
        <f t="shared" ref="BI2815" si="1063">AT2815/AR2815</f>
        <v>19.256219999999999</v>
      </c>
    </row>
    <row r="2816" spans="1:61" s="358" customFormat="1" ht="19.2" x14ac:dyDescent="0.3">
      <c r="A2816" s="359" t="s">
        <v>270</v>
      </c>
      <c r="B2816" s="602" t="s">
        <v>5024</v>
      </c>
      <c r="C2816" s="548" t="s">
        <v>5025</v>
      </c>
      <c r="D2816" s="360">
        <v>0.4</v>
      </c>
      <c r="E2816" s="528"/>
      <c r="F2816" s="523"/>
      <c r="G2816" s="393"/>
      <c r="H2816" s="394"/>
      <c r="I2816" s="394"/>
      <c r="J2816" s="394"/>
      <c r="K2816" s="394"/>
      <c r="L2816" s="394"/>
      <c r="M2816" s="394"/>
      <c r="N2816" s="394"/>
      <c r="O2816" s="394"/>
      <c r="P2816" s="394"/>
      <c r="Q2816" s="394"/>
      <c r="R2816" s="381"/>
      <c r="S2816" s="408"/>
      <c r="T2816" s="385"/>
      <c r="U2816" s="475"/>
      <c r="V2816" s="395"/>
      <c r="W2816" s="395"/>
      <c r="X2816" s="528"/>
      <c r="Y2816" s="523"/>
      <c r="Z2816" s="393"/>
      <c r="AA2816" s="394"/>
      <c r="AB2816" s="394"/>
      <c r="AC2816" s="394"/>
      <c r="AD2816" s="394"/>
      <c r="AE2816" s="394"/>
      <c r="AF2816" s="394"/>
      <c r="AG2816" s="394"/>
      <c r="AH2816" s="394"/>
      <c r="AI2816" s="394"/>
      <c r="AJ2816" s="394"/>
      <c r="AK2816" s="381"/>
      <c r="AL2816" s="408"/>
      <c r="AM2816" s="385"/>
      <c r="AN2816" s="475"/>
      <c r="AO2816" s="395"/>
      <c r="AP2816" s="395"/>
      <c r="AQ2816" s="528"/>
      <c r="AR2816" s="523">
        <v>1</v>
      </c>
      <c r="AS2816" s="393"/>
      <c r="AT2816" s="600">
        <v>18.99972</v>
      </c>
      <c r="AU2816" s="394">
        <v>16.195209999999999</v>
      </c>
      <c r="AV2816" s="394">
        <v>15.03815</v>
      </c>
      <c r="AW2816" s="394"/>
      <c r="AX2816" s="394"/>
      <c r="AY2816" s="394">
        <v>0</v>
      </c>
      <c r="AZ2816" s="394">
        <v>0</v>
      </c>
      <c r="BA2816" s="394">
        <v>0.65381</v>
      </c>
      <c r="BB2816" s="394">
        <v>15.03815</v>
      </c>
      <c r="BC2816" s="394"/>
      <c r="BD2816" s="381" t="s">
        <v>167</v>
      </c>
      <c r="BE2816" s="408" t="s">
        <v>175</v>
      </c>
      <c r="BF2816" s="385"/>
      <c r="BG2816" s="475">
        <v>766</v>
      </c>
      <c r="BH2816" s="395"/>
      <c r="BI2816" s="395">
        <f t="shared" si="1059"/>
        <v>18.99972</v>
      </c>
    </row>
    <row r="2817" spans="1:61" s="358" customFormat="1" ht="19.2" x14ac:dyDescent="0.3">
      <c r="A2817" s="359" t="s">
        <v>271</v>
      </c>
      <c r="B2817" s="602" t="s">
        <v>5026</v>
      </c>
      <c r="C2817" s="548" t="s">
        <v>5027</v>
      </c>
      <c r="D2817" s="360">
        <v>0.4</v>
      </c>
      <c r="E2817" s="528"/>
      <c r="F2817" s="523"/>
      <c r="G2817" s="393"/>
      <c r="H2817" s="394"/>
      <c r="I2817" s="394"/>
      <c r="J2817" s="394"/>
      <c r="K2817" s="394"/>
      <c r="L2817" s="394"/>
      <c r="M2817" s="394"/>
      <c r="N2817" s="394"/>
      <c r="O2817" s="394"/>
      <c r="P2817" s="394"/>
      <c r="Q2817" s="394"/>
      <c r="R2817" s="381"/>
      <c r="S2817" s="408"/>
      <c r="T2817" s="385"/>
      <c r="U2817" s="475"/>
      <c r="V2817" s="395"/>
      <c r="W2817" s="395"/>
      <c r="X2817" s="528"/>
      <c r="Y2817" s="523"/>
      <c r="Z2817" s="393"/>
      <c r="AA2817" s="394"/>
      <c r="AB2817" s="394"/>
      <c r="AC2817" s="394"/>
      <c r="AD2817" s="394"/>
      <c r="AE2817" s="394"/>
      <c r="AF2817" s="394"/>
      <c r="AG2817" s="394"/>
      <c r="AH2817" s="394"/>
      <c r="AI2817" s="394"/>
      <c r="AJ2817" s="394"/>
      <c r="AK2817" s="381"/>
      <c r="AL2817" s="408"/>
      <c r="AM2817" s="385"/>
      <c r="AN2817" s="475"/>
      <c r="AO2817" s="395"/>
      <c r="AP2817" s="395"/>
      <c r="AQ2817" s="528"/>
      <c r="AR2817" s="523">
        <v>1</v>
      </c>
      <c r="AS2817" s="393"/>
      <c r="AT2817" s="600">
        <v>18.99971</v>
      </c>
      <c r="AU2817" s="394">
        <v>16.1952</v>
      </c>
      <c r="AV2817" s="394">
        <v>15.03815</v>
      </c>
      <c r="AW2817" s="394"/>
      <c r="AX2817" s="394"/>
      <c r="AY2817" s="394">
        <v>0</v>
      </c>
      <c r="AZ2817" s="394">
        <v>0</v>
      </c>
      <c r="BA2817" s="394">
        <v>0.65381</v>
      </c>
      <c r="BB2817" s="394">
        <v>15.03815</v>
      </c>
      <c r="BC2817" s="394"/>
      <c r="BD2817" s="381" t="s">
        <v>167</v>
      </c>
      <c r="BE2817" s="408" t="s">
        <v>175</v>
      </c>
      <c r="BF2817" s="385"/>
      <c r="BG2817" s="475">
        <v>767</v>
      </c>
      <c r="BH2817" s="395"/>
      <c r="BI2817" s="395">
        <f t="shared" ref="BI2817" si="1064">AT2817/AR2817</f>
        <v>18.99971</v>
      </c>
    </row>
    <row r="2818" spans="1:61" s="358" customFormat="1" ht="19.2" x14ac:dyDescent="0.3">
      <c r="A2818" s="359" t="s">
        <v>272</v>
      </c>
      <c r="B2818" s="602" t="s">
        <v>4683</v>
      </c>
      <c r="C2818" s="548" t="s">
        <v>4682</v>
      </c>
      <c r="D2818" s="360">
        <v>0.4</v>
      </c>
      <c r="E2818" s="528"/>
      <c r="F2818" s="523"/>
      <c r="G2818" s="393"/>
      <c r="H2818" s="394"/>
      <c r="I2818" s="394"/>
      <c r="J2818" s="394"/>
      <c r="K2818" s="394"/>
      <c r="L2818" s="394"/>
      <c r="M2818" s="394"/>
      <c r="N2818" s="394"/>
      <c r="O2818" s="394"/>
      <c r="P2818" s="394"/>
      <c r="Q2818" s="394"/>
      <c r="R2818" s="381"/>
      <c r="S2818" s="408"/>
      <c r="T2818" s="385"/>
      <c r="U2818" s="475"/>
      <c r="V2818" s="395"/>
      <c r="W2818" s="395"/>
      <c r="X2818" s="528"/>
      <c r="Y2818" s="523"/>
      <c r="Z2818" s="393"/>
      <c r="AA2818" s="394"/>
      <c r="AB2818" s="394"/>
      <c r="AC2818" s="394"/>
      <c r="AD2818" s="394"/>
      <c r="AE2818" s="394"/>
      <c r="AF2818" s="394"/>
      <c r="AG2818" s="394"/>
      <c r="AH2818" s="394"/>
      <c r="AI2818" s="394"/>
      <c r="AJ2818" s="394"/>
      <c r="AK2818" s="381"/>
      <c r="AL2818" s="408"/>
      <c r="AM2818" s="385"/>
      <c r="AN2818" s="475"/>
      <c r="AO2818" s="395"/>
      <c r="AP2818" s="395"/>
      <c r="AQ2818" s="528"/>
      <c r="AR2818" s="523">
        <v>1</v>
      </c>
      <c r="AS2818" s="393"/>
      <c r="AT2818" s="600">
        <v>18.99971</v>
      </c>
      <c r="AU2818" s="394">
        <v>16.1952</v>
      </c>
      <c r="AV2818" s="394">
        <v>15.03815</v>
      </c>
      <c r="AW2818" s="394"/>
      <c r="AX2818" s="394"/>
      <c r="AY2818" s="394">
        <v>0</v>
      </c>
      <c r="AZ2818" s="394">
        <v>0</v>
      </c>
      <c r="BA2818" s="394">
        <v>0.65381</v>
      </c>
      <c r="BB2818" s="394">
        <v>15.03815</v>
      </c>
      <c r="BC2818" s="394"/>
      <c r="BD2818" s="381" t="s">
        <v>167</v>
      </c>
      <c r="BE2818" s="408" t="s">
        <v>175</v>
      </c>
      <c r="BF2818" s="385"/>
      <c r="BG2818" s="475">
        <v>768</v>
      </c>
      <c r="BH2818" s="395"/>
      <c r="BI2818" s="395">
        <f t="shared" si="1059"/>
        <v>18.99971</v>
      </c>
    </row>
    <row r="2819" spans="1:61" s="358" customFormat="1" ht="19.2" x14ac:dyDescent="0.3">
      <c r="A2819" s="359" t="s">
        <v>273</v>
      </c>
      <c r="B2819" s="602" t="s">
        <v>5028</v>
      </c>
      <c r="C2819" s="548" t="s">
        <v>5029</v>
      </c>
      <c r="D2819" s="360">
        <v>0.4</v>
      </c>
      <c r="E2819" s="528"/>
      <c r="F2819" s="523"/>
      <c r="G2819" s="393"/>
      <c r="H2819" s="394"/>
      <c r="I2819" s="394"/>
      <c r="J2819" s="394"/>
      <c r="K2819" s="394"/>
      <c r="L2819" s="394"/>
      <c r="M2819" s="394"/>
      <c r="N2819" s="394"/>
      <c r="O2819" s="394"/>
      <c r="P2819" s="394"/>
      <c r="Q2819" s="394"/>
      <c r="R2819" s="381"/>
      <c r="S2819" s="408"/>
      <c r="T2819" s="385"/>
      <c r="U2819" s="475"/>
      <c r="V2819" s="395"/>
      <c r="W2819" s="395"/>
      <c r="X2819" s="528"/>
      <c r="Y2819" s="523"/>
      <c r="Z2819" s="393"/>
      <c r="AA2819" s="394"/>
      <c r="AB2819" s="394"/>
      <c r="AC2819" s="394"/>
      <c r="AD2819" s="394"/>
      <c r="AE2819" s="394"/>
      <c r="AF2819" s="394"/>
      <c r="AG2819" s="394"/>
      <c r="AH2819" s="394"/>
      <c r="AI2819" s="394"/>
      <c r="AJ2819" s="394"/>
      <c r="AK2819" s="381"/>
      <c r="AL2819" s="408"/>
      <c r="AM2819" s="385"/>
      <c r="AN2819" s="475"/>
      <c r="AO2819" s="395"/>
      <c r="AP2819" s="395"/>
      <c r="AQ2819" s="528"/>
      <c r="AR2819" s="523">
        <v>1</v>
      </c>
      <c r="AS2819" s="393"/>
      <c r="AT2819" s="600">
        <v>18.99972</v>
      </c>
      <c r="AU2819" s="394">
        <v>16.195209999999999</v>
      </c>
      <c r="AV2819" s="394">
        <v>15.03815</v>
      </c>
      <c r="AW2819" s="394"/>
      <c r="AX2819" s="394"/>
      <c r="AY2819" s="394">
        <v>0</v>
      </c>
      <c r="AZ2819" s="394">
        <v>0</v>
      </c>
      <c r="BA2819" s="394">
        <v>0.65381</v>
      </c>
      <c r="BB2819" s="394">
        <v>15.03815</v>
      </c>
      <c r="BC2819" s="394"/>
      <c r="BD2819" s="381" t="s">
        <v>167</v>
      </c>
      <c r="BE2819" s="408" t="s">
        <v>175</v>
      </c>
      <c r="BF2819" s="385"/>
      <c r="BG2819" s="475">
        <v>769</v>
      </c>
      <c r="BH2819" s="395"/>
      <c r="BI2819" s="395">
        <f t="shared" ref="BI2819" si="1065">AT2819/AR2819</f>
        <v>18.99972</v>
      </c>
    </row>
    <row r="2820" spans="1:61" s="358" customFormat="1" ht="19.2" x14ac:dyDescent="0.3">
      <c r="A2820" s="359" t="s">
        <v>274</v>
      </c>
      <c r="B2820" s="602" t="s">
        <v>5031</v>
      </c>
      <c r="C2820" s="548" t="s">
        <v>5030</v>
      </c>
      <c r="D2820" s="360">
        <v>0.4</v>
      </c>
      <c r="E2820" s="528"/>
      <c r="F2820" s="523"/>
      <c r="G2820" s="393"/>
      <c r="H2820" s="394"/>
      <c r="I2820" s="394"/>
      <c r="J2820" s="394"/>
      <c r="K2820" s="394"/>
      <c r="L2820" s="394"/>
      <c r="M2820" s="394"/>
      <c r="N2820" s="394"/>
      <c r="O2820" s="394"/>
      <c r="P2820" s="394"/>
      <c r="Q2820" s="394"/>
      <c r="R2820" s="381"/>
      <c r="S2820" s="408"/>
      <c r="T2820" s="385"/>
      <c r="U2820" s="475"/>
      <c r="V2820" s="395"/>
      <c r="W2820" s="395"/>
      <c r="X2820" s="528"/>
      <c r="Y2820" s="523"/>
      <c r="Z2820" s="393"/>
      <c r="AA2820" s="394"/>
      <c r="AB2820" s="394"/>
      <c r="AC2820" s="394"/>
      <c r="AD2820" s="394"/>
      <c r="AE2820" s="394"/>
      <c r="AF2820" s="394"/>
      <c r="AG2820" s="394"/>
      <c r="AH2820" s="394"/>
      <c r="AI2820" s="394"/>
      <c r="AJ2820" s="394"/>
      <c r="AK2820" s="381"/>
      <c r="AL2820" s="408"/>
      <c r="AM2820" s="385"/>
      <c r="AN2820" s="475"/>
      <c r="AO2820" s="395"/>
      <c r="AP2820" s="395"/>
      <c r="AQ2820" s="528"/>
      <c r="AR2820" s="523">
        <v>1</v>
      </c>
      <c r="AS2820" s="393"/>
      <c r="AT2820" s="600">
        <v>17.3264</v>
      </c>
      <c r="AU2820" s="394">
        <v>14.007110000000001</v>
      </c>
      <c r="AV2820" s="394">
        <v>13.15039</v>
      </c>
      <c r="AW2820" s="394"/>
      <c r="AX2820" s="394"/>
      <c r="AY2820" s="394">
        <v>0</v>
      </c>
      <c r="AZ2820" s="394">
        <v>0</v>
      </c>
      <c r="BA2820" s="394">
        <v>0.77381999999999995</v>
      </c>
      <c r="BB2820" s="394">
        <v>13.15039</v>
      </c>
      <c r="BC2820" s="394"/>
      <c r="BD2820" s="381" t="s">
        <v>167</v>
      </c>
      <c r="BE2820" s="408" t="s">
        <v>175</v>
      </c>
      <c r="BF2820" s="385"/>
      <c r="BG2820" s="475">
        <v>770</v>
      </c>
      <c r="BH2820" s="395"/>
      <c r="BI2820" s="395">
        <f t="shared" si="1059"/>
        <v>17.3264</v>
      </c>
    </row>
    <row r="2821" spans="1:61" s="358" customFormat="1" ht="19.2" x14ac:dyDescent="0.3">
      <c r="A2821" s="359" t="s">
        <v>275</v>
      </c>
      <c r="B2821" s="602" t="s">
        <v>5032</v>
      </c>
      <c r="C2821" s="548" t="s">
        <v>5033</v>
      </c>
      <c r="D2821" s="360">
        <v>0.4</v>
      </c>
      <c r="E2821" s="528"/>
      <c r="F2821" s="523"/>
      <c r="G2821" s="393"/>
      <c r="H2821" s="394"/>
      <c r="I2821" s="394"/>
      <c r="J2821" s="394"/>
      <c r="K2821" s="394"/>
      <c r="L2821" s="394"/>
      <c r="M2821" s="394"/>
      <c r="N2821" s="394"/>
      <c r="O2821" s="394"/>
      <c r="P2821" s="394"/>
      <c r="Q2821" s="394"/>
      <c r="R2821" s="381"/>
      <c r="S2821" s="408"/>
      <c r="T2821" s="385"/>
      <c r="U2821" s="475"/>
      <c r="V2821" s="395"/>
      <c r="W2821" s="395"/>
      <c r="X2821" s="528"/>
      <c r="Y2821" s="523"/>
      <c r="Z2821" s="393"/>
      <c r="AA2821" s="394"/>
      <c r="AB2821" s="394"/>
      <c r="AC2821" s="394"/>
      <c r="AD2821" s="394"/>
      <c r="AE2821" s="394"/>
      <c r="AF2821" s="394"/>
      <c r="AG2821" s="394"/>
      <c r="AH2821" s="394"/>
      <c r="AI2821" s="394"/>
      <c r="AJ2821" s="394"/>
      <c r="AK2821" s="381"/>
      <c r="AL2821" s="408"/>
      <c r="AM2821" s="385"/>
      <c r="AN2821" s="475"/>
      <c r="AO2821" s="395"/>
      <c r="AP2821" s="395"/>
      <c r="AQ2821" s="528"/>
      <c r="AR2821" s="523">
        <v>1</v>
      </c>
      <c r="AS2821" s="393"/>
      <c r="AT2821" s="600">
        <v>18.99972</v>
      </c>
      <c r="AU2821" s="394">
        <v>16.195209999999999</v>
      </c>
      <c r="AV2821" s="394">
        <v>15.03815</v>
      </c>
      <c r="AW2821" s="394"/>
      <c r="AX2821" s="394"/>
      <c r="AY2821" s="394">
        <v>0</v>
      </c>
      <c r="AZ2821" s="394">
        <v>0</v>
      </c>
      <c r="BA2821" s="394">
        <v>0.65381</v>
      </c>
      <c r="BB2821" s="394">
        <v>15.03815</v>
      </c>
      <c r="BC2821" s="394"/>
      <c r="BD2821" s="381" t="s">
        <v>167</v>
      </c>
      <c r="BE2821" s="408" t="s">
        <v>175</v>
      </c>
      <c r="BF2821" s="385"/>
      <c r="BG2821" s="475">
        <v>771</v>
      </c>
      <c r="BH2821" s="395"/>
      <c r="BI2821" s="395">
        <f t="shared" ref="BI2821" si="1066">AT2821/AR2821</f>
        <v>18.99972</v>
      </c>
    </row>
    <row r="2822" spans="1:61" s="358" customFormat="1" ht="19.2" x14ac:dyDescent="0.3">
      <c r="A2822" s="359" t="s">
        <v>276</v>
      </c>
      <c r="B2822" s="602" t="s">
        <v>5034</v>
      </c>
      <c r="C2822" s="548" t="s">
        <v>5035</v>
      </c>
      <c r="D2822" s="360">
        <v>0.4</v>
      </c>
      <c r="E2822" s="528"/>
      <c r="F2822" s="523"/>
      <c r="G2822" s="393"/>
      <c r="H2822" s="394"/>
      <c r="I2822" s="394"/>
      <c r="J2822" s="394"/>
      <c r="K2822" s="394"/>
      <c r="L2822" s="394"/>
      <c r="M2822" s="394"/>
      <c r="N2822" s="394"/>
      <c r="O2822" s="394"/>
      <c r="P2822" s="394"/>
      <c r="Q2822" s="394"/>
      <c r="R2822" s="381"/>
      <c r="S2822" s="408"/>
      <c r="T2822" s="385"/>
      <c r="U2822" s="475"/>
      <c r="V2822" s="395"/>
      <c r="W2822" s="395"/>
      <c r="X2822" s="528"/>
      <c r="Y2822" s="523"/>
      <c r="Z2822" s="393"/>
      <c r="AA2822" s="394"/>
      <c r="AB2822" s="394"/>
      <c r="AC2822" s="394"/>
      <c r="AD2822" s="394"/>
      <c r="AE2822" s="394"/>
      <c r="AF2822" s="394"/>
      <c r="AG2822" s="394"/>
      <c r="AH2822" s="394"/>
      <c r="AI2822" s="394"/>
      <c r="AJ2822" s="394"/>
      <c r="AK2822" s="381"/>
      <c r="AL2822" s="408"/>
      <c r="AM2822" s="385"/>
      <c r="AN2822" s="475"/>
      <c r="AO2822" s="395"/>
      <c r="AP2822" s="395"/>
      <c r="AQ2822" s="528"/>
      <c r="AR2822" s="523">
        <v>1</v>
      </c>
      <c r="AS2822" s="393"/>
      <c r="AT2822" s="600">
        <v>18.99972</v>
      </c>
      <c r="AU2822" s="394">
        <v>16.195209999999999</v>
      </c>
      <c r="AV2822" s="394">
        <v>15.03815</v>
      </c>
      <c r="AW2822" s="394"/>
      <c r="AX2822" s="394"/>
      <c r="AY2822" s="394">
        <v>0</v>
      </c>
      <c r="AZ2822" s="394">
        <v>0</v>
      </c>
      <c r="BA2822" s="394">
        <v>0.65381</v>
      </c>
      <c r="BB2822" s="394">
        <v>15.03815</v>
      </c>
      <c r="BC2822" s="394"/>
      <c r="BD2822" s="381" t="s">
        <v>167</v>
      </c>
      <c r="BE2822" s="408" t="s">
        <v>175</v>
      </c>
      <c r="BF2822" s="385"/>
      <c r="BG2822" s="475">
        <v>772</v>
      </c>
      <c r="BH2822" s="395"/>
      <c r="BI2822" s="395">
        <f t="shared" si="1059"/>
        <v>18.99972</v>
      </c>
    </row>
    <row r="2823" spans="1:61" s="358" customFormat="1" ht="19.2" x14ac:dyDescent="0.3">
      <c r="A2823" s="359" t="s">
        <v>277</v>
      </c>
      <c r="B2823" s="602" t="s">
        <v>5036</v>
      </c>
      <c r="C2823" s="548" t="s">
        <v>5037</v>
      </c>
      <c r="D2823" s="360">
        <v>0.4</v>
      </c>
      <c r="E2823" s="528"/>
      <c r="F2823" s="523"/>
      <c r="G2823" s="393"/>
      <c r="H2823" s="394"/>
      <c r="I2823" s="394"/>
      <c r="J2823" s="394"/>
      <c r="K2823" s="394"/>
      <c r="L2823" s="394"/>
      <c r="M2823" s="394"/>
      <c r="N2823" s="394"/>
      <c r="O2823" s="394"/>
      <c r="P2823" s="394"/>
      <c r="Q2823" s="394"/>
      <c r="R2823" s="381"/>
      <c r="S2823" s="408"/>
      <c r="T2823" s="385"/>
      <c r="U2823" s="475"/>
      <c r="V2823" s="395"/>
      <c r="W2823" s="395"/>
      <c r="X2823" s="528"/>
      <c r="Y2823" s="523"/>
      <c r="Z2823" s="393"/>
      <c r="AA2823" s="394"/>
      <c r="AB2823" s="394"/>
      <c r="AC2823" s="394"/>
      <c r="AD2823" s="394"/>
      <c r="AE2823" s="394"/>
      <c r="AF2823" s="394"/>
      <c r="AG2823" s="394"/>
      <c r="AH2823" s="394"/>
      <c r="AI2823" s="394"/>
      <c r="AJ2823" s="394"/>
      <c r="AK2823" s="381"/>
      <c r="AL2823" s="408"/>
      <c r="AM2823" s="385"/>
      <c r="AN2823" s="475"/>
      <c r="AO2823" s="395"/>
      <c r="AP2823" s="395"/>
      <c r="AQ2823" s="528"/>
      <c r="AR2823" s="523">
        <v>1</v>
      </c>
      <c r="AS2823" s="393"/>
      <c r="AT2823" s="600">
        <v>18.99972</v>
      </c>
      <c r="AU2823" s="394">
        <v>16.195209999999999</v>
      </c>
      <c r="AV2823" s="394">
        <v>15.03815</v>
      </c>
      <c r="AW2823" s="394"/>
      <c r="AX2823" s="394"/>
      <c r="AY2823" s="394">
        <v>0</v>
      </c>
      <c r="AZ2823" s="394">
        <v>0</v>
      </c>
      <c r="BA2823" s="394">
        <v>0.65381</v>
      </c>
      <c r="BB2823" s="394">
        <v>15.03815</v>
      </c>
      <c r="BC2823" s="394"/>
      <c r="BD2823" s="381" t="s">
        <v>167</v>
      </c>
      <c r="BE2823" s="408" t="s">
        <v>175</v>
      </c>
      <c r="BF2823" s="385"/>
      <c r="BG2823" s="475">
        <v>773</v>
      </c>
      <c r="BH2823" s="395"/>
      <c r="BI2823" s="395">
        <f t="shared" ref="BI2823" si="1067">AT2823/AR2823</f>
        <v>18.99972</v>
      </c>
    </row>
    <row r="2824" spans="1:61" s="358" customFormat="1" ht="19.2" x14ac:dyDescent="0.3">
      <c r="A2824" s="359" t="s">
        <v>326</v>
      </c>
      <c r="B2824" s="602" t="s">
        <v>5038</v>
      </c>
      <c r="C2824" s="548" t="s">
        <v>5039</v>
      </c>
      <c r="D2824" s="360">
        <v>0.4</v>
      </c>
      <c r="E2824" s="528"/>
      <c r="F2824" s="523"/>
      <c r="G2824" s="393"/>
      <c r="H2824" s="394"/>
      <c r="I2824" s="394"/>
      <c r="J2824" s="394"/>
      <c r="K2824" s="394"/>
      <c r="L2824" s="394"/>
      <c r="M2824" s="394"/>
      <c r="N2824" s="394"/>
      <c r="O2824" s="394"/>
      <c r="P2824" s="394"/>
      <c r="Q2824" s="394"/>
      <c r="R2824" s="381"/>
      <c r="S2824" s="408"/>
      <c r="T2824" s="385"/>
      <c r="U2824" s="475"/>
      <c r="V2824" s="395"/>
      <c r="W2824" s="395"/>
      <c r="X2824" s="528"/>
      <c r="Y2824" s="523"/>
      <c r="Z2824" s="393"/>
      <c r="AA2824" s="394"/>
      <c r="AB2824" s="394"/>
      <c r="AC2824" s="394"/>
      <c r="AD2824" s="394"/>
      <c r="AE2824" s="394"/>
      <c r="AF2824" s="394"/>
      <c r="AG2824" s="394"/>
      <c r="AH2824" s="394"/>
      <c r="AI2824" s="394"/>
      <c r="AJ2824" s="394"/>
      <c r="AK2824" s="381"/>
      <c r="AL2824" s="408"/>
      <c r="AM2824" s="385"/>
      <c r="AN2824" s="475"/>
      <c r="AO2824" s="395"/>
      <c r="AP2824" s="395"/>
      <c r="AQ2824" s="528"/>
      <c r="AR2824" s="523">
        <v>1</v>
      </c>
      <c r="AS2824" s="393"/>
      <c r="AT2824" s="600">
        <v>18.99972</v>
      </c>
      <c r="AU2824" s="394">
        <v>16.195209999999999</v>
      </c>
      <c r="AV2824" s="394">
        <v>15.03815</v>
      </c>
      <c r="AW2824" s="394"/>
      <c r="AX2824" s="394"/>
      <c r="AY2824" s="394">
        <v>0</v>
      </c>
      <c r="AZ2824" s="394">
        <v>0</v>
      </c>
      <c r="BA2824" s="394">
        <v>0.65381</v>
      </c>
      <c r="BB2824" s="394">
        <v>15.03815</v>
      </c>
      <c r="BC2824" s="394"/>
      <c r="BD2824" s="381" t="s">
        <v>167</v>
      </c>
      <c r="BE2824" s="408" t="s">
        <v>175</v>
      </c>
      <c r="BF2824" s="385"/>
      <c r="BG2824" s="475">
        <v>774</v>
      </c>
      <c r="BH2824" s="395"/>
      <c r="BI2824" s="395">
        <f t="shared" si="1059"/>
        <v>18.99972</v>
      </c>
    </row>
    <row r="2825" spans="1:61" s="358" customFormat="1" ht="19.2" x14ac:dyDescent="0.3">
      <c r="A2825" s="359" t="s">
        <v>327</v>
      </c>
      <c r="B2825" s="602" t="s">
        <v>5040</v>
      </c>
      <c r="C2825" s="548" t="s">
        <v>5041</v>
      </c>
      <c r="D2825" s="360">
        <v>0.4</v>
      </c>
      <c r="E2825" s="528"/>
      <c r="F2825" s="523"/>
      <c r="G2825" s="393"/>
      <c r="H2825" s="394"/>
      <c r="I2825" s="394"/>
      <c r="J2825" s="394"/>
      <c r="K2825" s="394"/>
      <c r="L2825" s="394"/>
      <c r="M2825" s="394"/>
      <c r="N2825" s="394"/>
      <c r="O2825" s="394"/>
      <c r="P2825" s="394"/>
      <c r="Q2825" s="394"/>
      <c r="R2825" s="381"/>
      <c r="S2825" s="408"/>
      <c r="T2825" s="385"/>
      <c r="U2825" s="475"/>
      <c r="V2825" s="395"/>
      <c r="W2825" s="395"/>
      <c r="X2825" s="528"/>
      <c r="Y2825" s="523"/>
      <c r="Z2825" s="393"/>
      <c r="AA2825" s="394"/>
      <c r="AB2825" s="394"/>
      <c r="AC2825" s="394"/>
      <c r="AD2825" s="394"/>
      <c r="AE2825" s="394"/>
      <c r="AF2825" s="394"/>
      <c r="AG2825" s="394"/>
      <c r="AH2825" s="394"/>
      <c r="AI2825" s="394"/>
      <c r="AJ2825" s="394"/>
      <c r="AK2825" s="381"/>
      <c r="AL2825" s="408"/>
      <c r="AM2825" s="385"/>
      <c r="AN2825" s="475"/>
      <c r="AO2825" s="395"/>
      <c r="AP2825" s="395"/>
      <c r="AQ2825" s="528"/>
      <c r="AR2825" s="523">
        <v>1</v>
      </c>
      <c r="AS2825" s="393"/>
      <c r="AT2825" s="600">
        <v>18.99971</v>
      </c>
      <c r="AU2825" s="394">
        <v>16.1952</v>
      </c>
      <c r="AV2825" s="394">
        <v>15.03815</v>
      </c>
      <c r="AW2825" s="394"/>
      <c r="AX2825" s="394"/>
      <c r="AY2825" s="394">
        <v>0</v>
      </c>
      <c r="AZ2825" s="394">
        <v>0</v>
      </c>
      <c r="BA2825" s="394">
        <v>0.65381</v>
      </c>
      <c r="BB2825" s="394">
        <v>15.03815</v>
      </c>
      <c r="BC2825" s="394"/>
      <c r="BD2825" s="381" t="s">
        <v>167</v>
      </c>
      <c r="BE2825" s="408" t="s">
        <v>175</v>
      </c>
      <c r="BF2825" s="385"/>
      <c r="BG2825" s="475">
        <v>775</v>
      </c>
      <c r="BH2825" s="395"/>
      <c r="BI2825" s="395">
        <f t="shared" ref="BI2825" si="1068">AT2825/AR2825</f>
        <v>18.99971</v>
      </c>
    </row>
    <row r="2826" spans="1:61" s="358" customFormat="1" ht="19.2" x14ac:dyDescent="0.3">
      <c r="A2826" s="359" t="s">
        <v>328</v>
      </c>
      <c r="B2826" s="602" t="s">
        <v>5042</v>
      </c>
      <c r="C2826" s="548" t="s">
        <v>5043</v>
      </c>
      <c r="D2826" s="360">
        <v>0.4</v>
      </c>
      <c r="E2826" s="528"/>
      <c r="F2826" s="523"/>
      <c r="G2826" s="393"/>
      <c r="H2826" s="394"/>
      <c r="I2826" s="394"/>
      <c r="J2826" s="394"/>
      <c r="K2826" s="394"/>
      <c r="L2826" s="394"/>
      <c r="M2826" s="394"/>
      <c r="N2826" s="394"/>
      <c r="O2826" s="394"/>
      <c r="P2826" s="394"/>
      <c r="Q2826" s="394"/>
      <c r="R2826" s="381"/>
      <c r="S2826" s="408"/>
      <c r="T2826" s="385"/>
      <c r="U2826" s="475"/>
      <c r="V2826" s="395"/>
      <c r="W2826" s="395"/>
      <c r="X2826" s="528"/>
      <c r="Y2826" s="523"/>
      <c r="Z2826" s="393"/>
      <c r="AA2826" s="394"/>
      <c r="AB2826" s="394"/>
      <c r="AC2826" s="394"/>
      <c r="AD2826" s="394"/>
      <c r="AE2826" s="394"/>
      <c r="AF2826" s="394"/>
      <c r="AG2826" s="394"/>
      <c r="AH2826" s="394"/>
      <c r="AI2826" s="394"/>
      <c r="AJ2826" s="394"/>
      <c r="AK2826" s="381"/>
      <c r="AL2826" s="408"/>
      <c r="AM2826" s="385"/>
      <c r="AN2826" s="475"/>
      <c r="AO2826" s="395"/>
      <c r="AP2826" s="395"/>
      <c r="AQ2826" s="528"/>
      <c r="AR2826" s="523">
        <v>1</v>
      </c>
      <c r="AS2826" s="393"/>
      <c r="AT2826" s="600">
        <v>18.99972</v>
      </c>
      <c r="AU2826" s="394">
        <v>16.195209999999999</v>
      </c>
      <c r="AV2826" s="394">
        <v>15.03815</v>
      </c>
      <c r="AW2826" s="394"/>
      <c r="AX2826" s="394"/>
      <c r="AY2826" s="394">
        <v>0</v>
      </c>
      <c r="AZ2826" s="394">
        <v>0</v>
      </c>
      <c r="BA2826" s="394">
        <v>0.65381</v>
      </c>
      <c r="BB2826" s="394">
        <v>15.03815</v>
      </c>
      <c r="BC2826" s="394"/>
      <c r="BD2826" s="381" t="s">
        <v>167</v>
      </c>
      <c r="BE2826" s="408" t="s">
        <v>175</v>
      </c>
      <c r="BF2826" s="385"/>
      <c r="BG2826" s="475">
        <v>776</v>
      </c>
      <c r="BH2826" s="395"/>
      <c r="BI2826" s="395">
        <f t="shared" si="1059"/>
        <v>18.99972</v>
      </c>
    </row>
    <row r="2827" spans="1:61" s="358" customFormat="1" ht="19.2" x14ac:dyDescent="0.3">
      <c r="A2827" s="359" t="s">
        <v>329</v>
      </c>
      <c r="B2827" s="602" t="s">
        <v>4681</v>
      </c>
      <c r="C2827" s="548" t="s">
        <v>4680</v>
      </c>
      <c r="D2827" s="360">
        <v>0.4</v>
      </c>
      <c r="E2827" s="528"/>
      <c r="F2827" s="523"/>
      <c r="G2827" s="393"/>
      <c r="H2827" s="394"/>
      <c r="I2827" s="394"/>
      <c r="J2827" s="394"/>
      <c r="K2827" s="394"/>
      <c r="L2827" s="394"/>
      <c r="M2827" s="394"/>
      <c r="N2827" s="394"/>
      <c r="O2827" s="394"/>
      <c r="P2827" s="394"/>
      <c r="Q2827" s="394"/>
      <c r="R2827" s="381"/>
      <c r="S2827" s="408"/>
      <c r="T2827" s="385"/>
      <c r="U2827" s="475"/>
      <c r="V2827" s="395"/>
      <c r="W2827" s="395"/>
      <c r="X2827" s="528"/>
      <c r="Y2827" s="523"/>
      <c r="Z2827" s="393"/>
      <c r="AA2827" s="394"/>
      <c r="AB2827" s="394"/>
      <c r="AC2827" s="394"/>
      <c r="AD2827" s="394"/>
      <c r="AE2827" s="394"/>
      <c r="AF2827" s="394"/>
      <c r="AG2827" s="394"/>
      <c r="AH2827" s="394"/>
      <c r="AI2827" s="394"/>
      <c r="AJ2827" s="394"/>
      <c r="AK2827" s="381"/>
      <c r="AL2827" s="408"/>
      <c r="AM2827" s="385"/>
      <c r="AN2827" s="475"/>
      <c r="AO2827" s="395"/>
      <c r="AP2827" s="395"/>
      <c r="AQ2827" s="528"/>
      <c r="AR2827" s="523">
        <v>1</v>
      </c>
      <c r="AS2827" s="393"/>
      <c r="AT2827" s="600">
        <v>18.99972</v>
      </c>
      <c r="AU2827" s="394">
        <v>16.195209999999999</v>
      </c>
      <c r="AV2827" s="394">
        <v>15.03815</v>
      </c>
      <c r="AW2827" s="394"/>
      <c r="AX2827" s="394"/>
      <c r="AY2827" s="394">
        <v>0</v>
      </c>
      <c r="AZ2827" s="394">
        <v>0</v>
      </c>
      <c r="BA2827" s="394">
        <v>0.65381</v>
      </c>
      <c r="BB2827" s="394">
        <v>15.03815</v>
      </c>
      <c r="BC2827" s="394"/>
      <c r="BD2827" s="381" t="s">
        <v>167</v>
      </c>
      <c r="BE2827" s="408" t="s">
        <v>175</v>
      </c>
      <c r="BF2827" s="385"/>
      <c r="BG2827" s="475">
        <v>777</v>
      </c>
      <c r="BH2827" s="395"/>
      <c r="BI2827" s="395">
        <f t="shared" ref="BI2827" si="1069">AT2827/AR2827</f>
        <v>18.99972</v>
      </c>
    </row>
    <row r="2828" spans="1:61" s="358" customFormat="1" ht="19.2" x14ac:dyDescent="0.3">
      <c r="A2828" s="359" t="s">
        <v>330</v>
      </c>
      <c r="B2828" s="602" t="s">
        <v>5045</v>
      </c>
      <c r="C2828" s="548" t="s">
        <v>5044</v>
      </c>
      <c r="D2828" s="360">
        <v>0.4</v>
      </c>
      <c r="E2828" s="528"/>
      <c r="F2828" s="523"/>
      <c r="G2828" s="393"/>
      <c r="H2828" s="394"/>
      <c r="I2828" s="394"/>
      <c r="J2828" s="394"/>
      <c r="K2828" s="394"/>
      <c r="L2828" s="394"/>
      <c r="M2828" s="394"/>
      <c r="N2828" s="394"/>
      <c r="O2828" s="394"/>
      <c r="P2828" s="394"/>
      <c r="Q2828" s="394"/>
      <c r="R2828" s="381"/>
      <c r="S2828" s="408"/>
      <c r="T2828" s="385"/>
      <c r="U2828" s="475"/>
      <c r="V2828" s="395"/>
      <c r="W2828" s="395"/>
      <c r="X2828" s="528"/>
      <c r="Y2828" s="523"/>
      <c r="Z2828" s="393"/>
      <c r="AA2828" s="394"/>
      <c r="AB2828" s="394"/>
      <c r="AC2828" s="394"/>
      <c r="AD2828" s="394"/>
      <c r="AE2828" s="394"/>
      <c r="AF2828" s="394"/>
      <c r="AG2828" s="394"/>
      <c r="AH2828" s="394"/>
      <c r="AI2828" s="394"/>
      <c r="AJ2828" s="394"/>
      <c r="AK2828" s="381"/>
      <c r="AL2828" s="408"/>
      <c r="AM2828" s="385"/>
      <c r="AN2828" s="475"/>
      <c r="AO2828" s="395"/>
      <c r="AP2828" s="395"/>
      <c r="AQ2828" s="528"/>
      <c r="AR2828" s="523">
        <v>1</v>
      </c>
      <c r="AS2828" s="393"/>
      <c r="AT2828" s="600">
        <v>18.99972</v>
      </c>
      <c r="AU2828" s="394">
        <v>16.195209999999999</v>
      </c>
      <c r="AV2828" s="394">
        <v>15.03815</v>
      </c>
      <c r="AW2828" s="394"/>
      <c r="AX2828" s="394"/>
      <c r="AY2828" s="394">
        <v>0</v>
      </c>
      <c r="AZ2828" s="394">
        <v>0</v>
      </c>
      <c r="BA2828" s="394">
        <v>0.65381</v>
      </c>
      <c r="BB2828" s="394">
        <v>15.03815</v>
      </c>
      <c r="BC2828" s="394"/>
      <c r="BD2828" s="381" t="s">
        <v>167</v>
      </c>
      <c r="BE2828" s="408" t="s">
        <v>175</v>
      </c>
      <c r="BF2828" s="385"/>
      <c r="BG2828" s="475">
        <v>778</v>
      </c>
      <c r="BH2828" s="395"/>
      <c r="BI2828" s="395">
        <f t="shared" si="1059"/>
        <v>18.99972</v>
      </c>
    </row>
    <row r="2829" spans="1:61" s="358" customFormat="1" ht="19.2" x14ac:dyDescent="0.3">
      <c r="A2829" s="359" t="s">
        <v>331</v>
      </c>
      <c r="B2829" s="602" t="s">
        <v>5046</v>
      </c>
      <c r="C2829" s="548" t="s">
        <v>5047</v>
      </c>
      <c r="D2829" s="360">
        <v>0.4</v>
      </c>
      <c r="E2829" s="528"/>
      <c r="F2829" s="523"/>
      <c r="G2829" s="393"/>
      <c r="H2829" s="394"/>
      <c r="I2829" s="394"/>
      <c r="J2829" s="394"/>
      <c r="K2829" s="394"/>
      <c r="L2829" s="394"/>
      <c r="M2829" s="394"/>
      <c r="N2829" s="394"/>
      <c r="O2829" s="394"/>
      <c r="P2829" s="394"/>
      <c r="Q2829" s="394"/>
      <c r="R2829" s="381"/>
      <c r="S2829" s="408"/>
      <c r="T2829" s="385"/>
      <c r="U2829" s="475"/>
      <c r="V2829" s="395"/>
      <c r="W2829" s="395"/>
      <c r="X2829" s="528"/>
      <c r="Y2829" s="523"/>
      <c r="Z2829" s="393"/>
      <c r="AA2829" s="394"/>
      <c r="AB2829" s="394"/>
      <c r="AC2829" s="394"/>
      <c r="AD2829" s="394"/>
      <c r="AE2829" s="394"/>
      <c r="AF2829" s="394"/>
      <c r="AG2829" s="394"/>
      <c r="AH2829" s="394"/>
      <c r="AI2829" s="394"/>
      <c r="AJ2829" s="394"/>
      <c r="AK2829" s="381"/>
      <c r="AL2829" s="408"/>
      <c r="AM2829" s="385"/>
      <c r="AN2829" s="475"/>
      <c r="AO2829" s="395"/>
      <c r="AP2829" s="395"/>
      <c r="AQ2829" s="528"/>
      <c r="AR2829" s="523">
        <v>1</v>
      </c>
      <c r="AS2829" s="393"/>
      <c r="AT2829" s="600">
        <v>18.995139999999999</v>
      </c>
      <c r="AU2829" s="394">
        <v>16.190629999999999</v>
      </c>
      <c r="AV2829" s="394">
        <v>15.0229</v>
      </c>
      <c r="AW2829" s="394"/>
      <c r="AX2829" s="394"/>
      <c r="AY2829" s="394">
        <v>0</v>
      </c>
      <c r="AZ2829" s="394">
        <v>0</v>
      </c>
      <c r="BA2829" s="394">
        <v>0.65381</v>
      </c>
      <c r="BB2829" s="394">
        <v>15.0229</v>
      </c>
      <c r="BC2829" s="394"/>
      <c r="BD2829" s="381" t="s">
        <v>167</v>
      </c>
      <c r="BE2829" s="408" t="s">
        <v>175</v>
      </c>
      <c r="BF2829" s="385"/>
      <c r="BG2829" s="475">
        <v>779</v>
      </c>
      <c r="BH2829" s="395"/>
      <c r="BI2829" s="395">
        <f t="shared" ref="BI2829" si="1070">AT2829/AR2829</f>
        <v>18.995139999999999</v>
      </c>
    </row>
    <row r="2830" spans="1:61" s="358" customFormat="1" ht="19.2" x14ac:dyDescent="0.3">
      <c r="A2830" s="359" t="s">
        <v>332</v>
      </c>
      <c r="B2830" s="602" t="s">
        <v>5048</v>
      </c>
      <c r="C2830" s="548" t="s">
        <v>5049</v>
      </c>
      <c r="D2830" s="360">
        <v>0.4</v>
      </c>
      <c r="E2830" s="528"/>
      <c r="F2830" s="523"/>
      <c r="G2830" s="393"/>
      <c r="H2830" s="394"/>
      <c r="I2830" s="394"/>
      <c r="J2830" s="394"/>
      <c r="K2830" s="394"/>
      <c r="L2830" s="394"/>
      <c r="M2830" s="394"/>
      <c r="N2830" s="394"/>
      <c r="O2830" s="394"/>
      <c r="P2830" s="394"/>
      <c r="Q2830" s="394"/>
      <c r="R2830" s="381"/>
      <c r="S2830" s="408"/>
      <c r="T2830" s="385"/>
      <c r="U2830" s="475"/>
      <c r="V2830" s="395"/>
      <c r="W2830" s="395"/>
      <c r="X2830" s="528"/>
      <c r="Y2830" s="523"/>
      <c r="Z2830" s="393"/>
      <c r="AA2830" s="394"/>
      <c r="AB2830" s="394"/>
      <c r="AC2830" s="394"/>
      <c r="AD2830" s="394"/>
      <c r="AE2830" s="394"/>
      <c r="AF2830" s="394"/>
      <c r="AG2830" s="394"/>
      <c r="AH2830" s="394"/>
      <c r="AI2830" s="394"/>
      <c r="AJ2830" s="394"/>
      <c r="AK2830" s="381"/>
      <c r="AL2830" s="408"/>
      <c r="AM2830" s="385"/>
      <c r="AN2830" s="475"/>
      <c r="AO2830" s="395"/>
      <c r="AP2830" s="395"/>
      <c r="AQ2830" s="528"/>
      <c r="AR2830" s="523">
        <v>1</v>
      </c>
      <c r="AS2830" s="393"/>
      <c r="AT2830" s="600">
        <v>18.99513</v>
      </c>
      <c r="AU2830" s="394">
        <v>16.190619999999999</v>
      </c>
      <c r="AV2830" s="394">
        <v>15.0229</v>
      </c>
      <c r="AW2830" s="394"/>
      <c r="AX2830" s="394"/>
      <c r="AY2830" s="394">
        <v>0</v>
      </c>
      <c r="AZ2830" s="394">
        <v>0</v>
      </c>
      <c r="BA2830" s="394">
        <v>0.65381</v>
      </c>
      <c r="BB2830" s="394">
        <v>15.0229</v>
      </c>
      <c r="BC2830" s="394"/>
      <c r="BD2830" s="381" t="s">
        <v>167</v>
      </c>
      <c r="BE2830" s="408" t="s">
        <v>175</v>
      </c>
      <c r="BF2830" s="385"/>
      <c r="BG2830" s="475">
        <v>780</v>
      </c>
      <c r="BH2830" s="395"/>
      <c r="BI2830" s="395">
        <f t="shared" si="1059"/>
        <v>18.99513</v>
      </c>
    </row>
    <row r="2831" spans="1:61" s="358" customFormat="1" ht="19.2" x14ac:dyDescent="0.3">
      <c r="A2831" s="359" t="s">
        <v>333</v>
      </c>
      <c r="B2831" s="602" t="s">
        <v>5050</v>
      </c>
      <c r="C2831" s="548" t="s">
        <v>5051</v>
      </c>
      <c r="D2831" s="360">
        <v>0.4</v>
      </c>
      <c r="E2831" s="528"/>
      <c r="F2831" s="523"/>
      <c r="G2831" s="393"/>
      <c r="H2831" s="394"/>
      <c r="I2831" s="394"/>
      <c r="J2831" s="394"/>
      <c r="K2831" s="394"/>
      <c r="L2831" s="394"/>
      <c r="M2831" s="394"/>
      <c r="N2831" s="394"/>
      <c r="O2831" s="394"/>
      <c r="P2831" s="394"/>
      <c r="Q2831" s="394"/>
      <c r="R2831" s="381"/>
      <c r="S2831" s="408"/>
      <c r="T2831" s="385"/>
      <c r="U2831" s="475"/>
      <c r="V2831" s="395"/>
      <c r="W2831" s="395"/>
      <c r="X2831" s="528"/>
      <c r="Y2831" s="523"/>
      <c r="Z2831" s="393"/>
      <c r="AA2831" s="394"/>
      <c r="AB2831" s="394"/>
      <c r="AC2831" s="394"/>
      <c r="AD2831" s="394"/>
      <c r="AE2831" s="394"/>
      <c r="AF2831" s="394"/>
      <c r="AG2831" s="394"/>
      <c r="AH2831" s="394"/>
      <c r="AI2831" s="394"/>
      <c r="AJ2831" s="394"/>
      <c r="AK2831" s="381"/>
      <c r="AL2831" s="408"/>
      <c r="AM2831" s="385"/>
      <c r="AN2831" s="475"/>
      <c r="AO2831" s="395"/>
      <c r="AP2831" s="395"/>
      <c r="AQ2831" s="528"/>
      <c r="AR2831" s="523">
        <v>1</v>
      </c>
      <c r="AS2831" s="393"/>
      <c r="AT2831" s="600">
        <v>18.99513</v>
      </c>
      <c r="AU2831" s="394">
        <v>16.190619999999999</v>
      </c>
      <c r="AV2831" s="394">
        <v>15.0229</v>
      </c>
      <c r="AW2831" s="394"/>
      <c r="AX2831" s="394"/>
      <c r="AY2831" s="394">
        <v>0</v>
      </c>
      <c r="AZ2831" s="394">
        <v>0</v>
      </c>
      <c r="BA2831" s="394">
        <v>0.65381</v>
      </c>
      <c r="BB2831" s="394">
        <v>15.0229</v>
      </c>
      <c r="BC2831" s="394"/>
      <c r="BD2831" s="381" t="s">
        <v>167</v>
      </c>
      <c r="BE2831" s="408" t="s">
        <v>175</v>
      </c>
      <c r="BF2831" s="385"/>
      <c r="BG2831" s="475">
        <v>781</v>
      </c>
      <c r="BH2831" s="395"/>
      <c r="BI2831" s="395">
        <f t="shared" ref="BI2831" si="1071">AT2831/AR2831</f>
        <v>18.99513</v>
      </c>
    </row>
    <row r="2832" spans="1:61" s="358" customFormat="1" ht="19.2" x14ac:dyDescent="0.3">
      <c r="A2832" s="359" t="s">
        <v>334</v>
      </c>
      <c r="B2832" s="602" t="s">
        <v>5052</v>
      </c>
      <c r="C2832" s="548" t="s">
        <v>5053</v>
      </c>
      <c r="D2832" s="360">
        <v>0.4</v>
      </c>
      <c r="E2832" s="528"/>
      <c r="F2832" s="523"/>
      <c r="G2832" s="393"/>
      <c r="H2832" s="394"/>
      <c r="I2832" s="394"/>
      <c r="J2832" s="394"/>
      <c r="K2832" s="394"/>
      <c r="L2832" s="394"/>
      <c r="M2832" s="394"/>
      <c r="N2832" s="394"/>
      <c r="O2832" s="394"/>
      <c r="P2832" s="394"/>
      <c r="Q2832" s="394"/>
      <c r="R2832" s="381"/>
      <c r="S2832" s="408"/>
      <c r="T2832" s="385"/>
      <c r="U2832" s="475"/>
      <c r="V2832" s="395"/>
      <c r="W2832" s="395"/>
      <c r="X2832" s="528"/>
      <c r="Y2832" s="523"/>
      <c r="Z2832" s="393"/>
      <c r="AA2832" s="394"/>
      <c r="AB2832" s="394"/>
      <c r="AC2832" s="394"/>
      <c r="AD2832" s="394"/>
      <c r="AE2832" s="394"/>
      <c r="AF2832" s="394"/>
      <c r="AG2832" s="394"/>
      <c r="AH2832" s="394"/>
      <c r="AI2832" s="394"/>
      <c r="AJ2832" s="394"/>
      <c r="AK2832" s="381"/>
      <c r="AL2832" s="408"/>
      <c r="AM2832" s="385"/>
      <c r="AN2832" s="475"/>
      <c r="AO2832" s="395"/>
      <c r="AP2832" s="395"/>
      <c r="AQ2832" s="528"/>
      <c r="AR2832" s="523">
        <v>1</v>
      </c>
      <c r="AS2832" s="393"/>
      <c r="AT2832" s="600">
        <v>18.99513</v>
      </c>
      <c r="AU2832" s="394">
        <v>16.190619999999999</v>
      </c>
      <c r="AV2832" s="394">
        <v>15.0229</v>
      </c>
      <c r="AW2832" s="394"/>
      <c r="AX2832" s="394"/>
      <c r="AY2832" s="394">
        <v>0</v>
      </c>
      <c r="AZ2832" s="394">
        <v>0</v>
      </c>
      <c r="BA2832" s="394">
        <v>0.65381</v>
      </c>
      <c r="BB2832" s="394">
        <v>15.0229</v>
      </c>
      <c r="BC2832" s="394"/>
      <c r="BD2832" s="381" t="s">
        <v>167</v>
      </c>
      <c r="BE2832" s="408" t="s">
        <v>175</v>
      </c>
      <c r="BF2832" s="385"/>
      <c r="BG2832" s="475">
        <v>782</v>
      </c>
      <c r="BH2832" s="395"/>
      <c r="BI2832" s="395">
        <f t="shared" si="1059"/>
        <v>18.99513</v>
      </c>
    </row>
    <row r="2833" spans="1:61" s="358" customFormat="1" ht="19.2" x14ac:dyDescent="0.3">
      <c r="A2833" s="359" t="s">
        <v>335</v>
      </c>
      <c r="B2833" s="602" t="s">
        <v>5054</v>
      </c>
      <c r="C2833" s="548" t="s">
        <v>5055</v>
      </c>
      <c r="D2833" s="360">
        <v>0.4</v>
      </c>
      <c r="E2833" s="528"/>
      <c r="F2833" s="523"/>
      <c r="G2833" s="393"/>
      <c r="H2833" s="394"/>
      <c r="I2833" s="394"/>
      <c r="J2833" s="394"/>
      <c r="K2833" s="394"/>
      <c r="L2833" s="394"/>
      <c r="M2833" s="394"/>
      <c r="N2833" s="394"/>
      <c r="O2833" s="394"/>
      <c r="P2833" s="394"/>
      <c r="Q2833" s="394"/>
      <c r="R2833" s="381"/>
      <c r="S2833" s="408"/>
      <c r="T2833" s="385"/>
      <c r="U2833" s="475"/>
      <c r="V2833" s="395"/>
      <c r="W2833" s="395"/>
      <c r="X2833" s="528"/>
      <c r="Y2833" s="523"/>
      <c r="Z2833" s="393"/>
      <c r="AA2833" s="394"/>
      <c r="AB2833" s="394"/>
      <c r="AC2833" s="394"/>
      <c r="AD2833" s="394"/>
      <c r="AE2833" s="394"/>
      <c r="AF2833" s="394"/>
      <c r="AG2833" s="394"/>
      <c r="AH2833" s="394"/>
      <c r="AI2833" s="394"/>
      <c r="AJ2833" s="394"/>
      <c r="AK2833" s="381"/>
      <c r="AL2833" s="408"/>
      <c r="AM2833" s="385"/>
      <c r="AN2833" s="475"/>
      <c r="AO2833" s="395"/>
      <c r="AP2833" s="395"/>
      <c r="AQ2833" s="528"/>
      <c r="AR2833" s="523">
        <v>1</v>
      </c>
      <c r="AS2833" s="393"/>
      <c r="AT2833" s="600">
        <v>18.995139999999999</v>
      </c>
      <c r="AU2833" s="394">
        <v>16.190629999999999</v>
      </c>
      <c r="AV2833" s="394">
        <v>15.0229</v>
      </c>
      <c r="AW2833" s="394"/>
      <c r="AX2833" s="394"/>
      <c r="AY2833" s="394">
        <v>0</v>
      </c>
      <c r="AZ2833" s="394">
        <v>0</v>
      </c>
      <c r="BA2833" s="394">
        <v>0.65381</v>
      </c>
      <c r="BB2833" s="394">
        <v>15.0229</v>
      </c>
      <c r="BC2833" s="394"/>
      <c r="BD2833" s="381" t="s">
        <v>167</v>
      </c>
      <c r="BE2833" s="408" t="s">
        <v>175</v>
      </c>
      <c r="BF2833" s="385"/>
      <c r="BG2833" s="475">
        <v>783</v>
      </c>
      <c r="BH2833" s="395"/>
      <c r="BI2833" s="395">
        <f t="shared" ref="BI2833:BI2863" si="1072">AT2833/AR2833</f>
        <v>18.995139999999999</v>
      </c>
    </row>
    <row r="2834" spans="1:61" s="358" customFormat="1" ht="19.2" x14ac:dyDescent="0.3">
      <c r="A2834" s="359" t="s">
        <v>336</v>
      </c>
      <c r="B2834" s="602" t="s">
        <v>5057</v>
      </c>
      <c r="C2834" s="548" t="s">
        <v>5056</v>
      </c>
      <c r="D2834" s="360">
        <v>0.4</v>
      </c>
      <c r="E2834" s="528"/>
      <c r="F2834" s="523"/>
      <c r="G2834" s="393"/>
      <c r="H2834" s="394"/>
      <c r="I2834" s="394"/>
      <c r="J2834" s="394"/>
      <c r="K2834" s="394"/>
      <c r="L2834" s="394"/>
      <c r="M2834" s="394"/>
      <c r="N2834" s="394"/>
      <c r="O2834" s="394"/>
      <c r="P2834" s="394"/>
      <c r="Q2834" s="394"/>
      <c r="R2834" s="381"/>
      <c r="S2834" s="408"/>
      <c r="T2834" s="385"/>
      <c r="U2834" s="475"/>
      <c r="V2834" s="395"/>
      <c r="W2834" s="395"/>
      <c r="X2834" s="528"/>
      <c r="Y2834" s="523"/>
      <c r="Z2834" s="393"/>
      <c r="AA2834" s="394"/>
      <c r="AB2834" s="394"/>
      <c r="AC2834" s="394"/>
      <c r="AD2834" s="394"/>
      <c r="AE2834" s="394"/>
      <c r="AF2834" s="394"/>
      <c r="AG2834" s="394"/>
      <c r="AH2834" s="394"/>
      <c r="AI2834" s="394"/>
      <c r="AJ2834" s="394"/>
      <c r="AK2834" s="381"/>
      <c r="AL2834" s="408"/>
      <c r="AM2834" s="385"/>
      <c r="AN2834" s="475"/>
      <c r="AO2834" s="395"/>
      <c r="AP2834" s="395"/>
      <c r="AQ2834" s="528"/>
      <c r="AR2834" s="523">
        <v>1</v>
      </c>
      <c r="AS2834" s="393"/>
      <c r="AT2834" s="600">
        <v>18.995139999999999</v>
      </c>
      <c r="AU2834" s="394">
        <v>16.190629999999999</v>
      </c>
      <c r="AV2834" s="394">
        <v>15.0229</v>
      </c>
      <c r="AW2834" s="394"/>
      <c r="AX2834" s="394"/>
      <c r="AY2834" s="394">
        <v>0</v>
      </c>
      <c r="AZ2834" s="394">
        <v>0</v>
      </c>
      <c r="BA2834" s="394">
        <v>0.65381</v>
      </c>
      <c r="BB2834" s="394">
        <v>15.0229</v>
      </c>
      <c r="BC2834" s="394"/>
      <c r="BD2834" s="381" t="s">
        <v>167</v>
      </c>
      <c r="BE2834" s="408" t="s">
        <v>175</v>
      </c>
      <c r="BF2834" s="385"/>
      <c r="BG2834" s="475">
        <v>784</v>
      </c>
      <c r="BH2834" s="395"/>
      <c r="BI2834" s="395">
        <f t="shared" si="1072"/>
        <v>18.995139999999999</v>
      </c>
    </row>
    <row r="2835" spans="1:61" s="358" customFormat="1" ht="19.2" x14ac:dyDescent="0.3">
      <c r="A2835" s="359" t="s">
        <v>337</v>
      </c>
      <c r="B2835" s="602" t="s">
        <v>2546</v>
      </c>
      <c r="C2835" s="548" t="s">
        <v>2545</v>
      </c>
      <c r="D2835" s="360">
        <v>0.4</v>
      </c>
      <c r="E2835" s="528"/>
      <c r="F2835" s="523"/>
      <c r="G2835" s="393"/>
      <c r="H2835" s="394"/>
      <c r="I2835" s="394"/>
      <c r="J2835" s="394"/>
      <c r="K2835" s="394"/>
      <c r="L2835" s="394"/>
      <c r="M2835" s="394"/>
      <c r="N2835" s="394"/>
      <c r="O2835" s="394"/>
      <c r="P2835" s="394"/>
      <c r="Q2835" s="394"/>
      <c r="R2835" s="381"/>
      <c r="S2835" s="408"/>
      <c r="T2835" s="385"/>
      <c r="U2835" s="475"/>
      <c r="V2835" s="395"/>
      <c r="W2835" s="395"/>
      <c r="X2835" s="528"/>
      <c r="Y2835" s="523"/>
      <c r="Z2835" s="393"/>
      <c r="AA2835" s="394"/>
      <c r="AB2835" s="394"/>
      <c r="AC2835" s="394"/>
      <c r="AD2835" s="394"/>
      <c r="AE2835" s="394"/>
      <c r="AF2835" s="394"/>
      <c r="AG2835" s="394"/>
      <c r="AH2835" s="394"/>
      <c r="AI2835" s="394"/>
      <c r="AJ2835" s="394"/>
      <c r="AK2835" s="381"/>
      <c r="AL2835" s="408"/>
      <c r="AM2835" s="385"/>
      <c r="AN2835" s="475"/>
      <c r="AO2835" s="395"/>
      <c r="AP2835" s="395"/>
      <c r="AQ2835" s="528"/>
      <c r="AR2835" s="523">
        <v>1</v>
      </c>
      <c r="AS2835" s="393"/>
      <c r="AT2835" s="600">
        <v>18.995139999999999</v>
      </c>
      <c r="AU2835" s="394">
        <v>16.190629999999999</v>
      </c>
      <c r="AV2835" s="394">
        <v>15.0229</v>
      </c>
      <c r="AW2835" s="394"/>
      <c r="AX2835" s="394"/>
      <c r="AY2835" s="394">
        <v>0</v>
      </c>
      <c r="AZ2835" s="394">
        <v>0</v>
      </c>
      <c r="BA2835" s="394">
        <v>0.65381</v>
      </c>
      <c r="BB2835" s="394">
        <v>15.0229</v>
      </c>
      <c r="BC2835" s="394"/>
      <c r="BD2835" s="381" t="s">
        <v>167</v>
      </c>
      <c r="BE2835" s="408" t="s">
        <v>175</v>
      </c>
      <c r="BF2835" s="385"/>
      <c r="BG2835" s="475">
        <v>785</v>
      </c>
      <c r="BH2835" s="395"/>
      <c r="BI2835" s="395">
        <f t="shared" ref="BI2835" si="1073">AT2835/AR2835</f>
        <v>18.995139999999999</v>
      </c>
    </row>
    <row r="2836" spans="1:61" s="358" customFormat="1" ht="19.2" x14ac:dyDescent="0.3">
      <c r="A2836" s="359" t="s">
        <v>338</v>
      </c>
      <c r="B2836" s="602" t="s">
        <v>5058</v>
      </c>
      <c r="C2836" s="548" t="s">
        <v>5059</v>
      </c>
      <c r="D2836" s="360">
        <v>0.4</v>
      </c>
      <c r="E2836" s="528"/>
      <c r="F2836" s="523"/>
      <c r="G2836" s="393"/>
      <c r="H2836" s="394"/>
      <c r="I2836" s="394"/>
      <c r="J2836" s="394"/>
      <c r="K2836" s="394"/>
      <c r="L2836" s="394"/>
      <c r="M2836" s="394"/>
      <c r="N2836" s="394"/>
      <c r="O2836" s="394"/>
      <c r="P2836" s="394"/>
      <c r="Q2836" s="394"/>
      <c r="R2836" s="381"/>
      <c r="S2836" s="408"/>
      <c r="T2836" s="385"/>
      <c r="U2836" s="475"/>
      <c r="V2836" s="395"/>
      <c r="W2836" s="395"/>
      <c r="X2836" s="528"/>
      <c r="Y2836" s="523"/>
      <c r="Z2836" s="393"/>
      <c r="AA2836" s="394"/>
      <c r="AB2836" s="394"/>
      <c r="AC2836" s="394"/>
      <c r="AD2836" s="394"/>
      <c r="AE2836" s="394"/>
      <c r="AF2836" s="394"/>
      <c r="AG2836" s="394"/>
      <c r="AH2836" s="394"/>
      <c r="AI2836" s="394"/>
      <c r="AJ2836" s="394"/>
      <c r="AK2836" s="381"/>
      <c r="AL2836" s="408"/>
      <c r="AM2836" s="385"/>
      <c r="AN2836" s="475"/>
      <c r="AO2836" s="395"/>
      <c r="AP2836" s="395"/>
      <c r="AQ2836" s="528"/>
      <c r="AR2836" s="523">
        <v>1</v>
      </c>
      <c r="AS2836" s="393"/>
      <c r="AT2836" s="600">
        <v>18.99513</v>
      </c>
      <c r="AU2836" s="394">
        <v>16.190619999999999</v>
      </c>
      <c r="AV2836" s="394">
        <v>15.0229</v>
      </c>
      <c r="AW2836" s="394"/>
      <c r="AX2836" s="394"/>
      <c r="AY2836" s="394">
        <v>0</v>
      </c>
      <c r="AZ2836" s="394">
        <v>0</v>
      </c>
      <c r="BA2836" s="394">
        <v>0.65381</v>
      </c>
      <c r="BB2836" s="394">
        <v>15.0229</v>
      </c>
      <c r="BC2836" s="394"/>
      <c r="BD2836" s="381" t="s">
        <v>167</v>
      </c>
      <c r="BE2836" s="408" t="s">
        <v>175</v>
      </c>
      <c r="BF2836" s="385"/>
      <c r="BG2836" s="475">
        <v>786</v>
      </c>
      <c r="BH2836" s="395"/>
      <c r="BI2836" s="395">
        <f t="shared" si="1072"/>
        <v>18.99513</v>
      </c>
    </row>
    <row r="2837" spans="1:61" s="358" customFormat="1" ht="19.2" x14ac:dyDescent="0.3">
      <c r="A2837" s="359" t="s">
        <v>339</v>
      </c>
      <c r="B2837" s="602" t="s">
        <v>2506</v>
      </c>
      <c r="C2837" s="548" t="s">
        <v>2505</v>
      </c>
      <c r="D2837" s="360">
        <v>0.4</v>
      </c>
      <c r="E2837" s="528"/>
      <c r="F2837" s="523"/>
      <c r="G2837" s="393"/>
      <c r="H2837" s="394"/>
      <c r="I2837" s="394"/>
      <c r="J2837" s="394"/>
      <c r="K2837" s="394"/>
      <c r="L2837" s="394"/>
      <c r="M2837" s="394"/>
      <c r="N2837" s="394"/>
      <c r="O2837" s="394"/>
      <c r="P2837" s="394"/>
      <c r="Q2837" s="394"/>
      <c r="R2837" s="381"/>
      <c r="S2837" s="408"/>
      <c r="T2837" s="385"/>
      <c r="U2837" s="475"/>
      <c r="V2837" s="395"/>
      <c r="W2837" s="395"/>
      <c r="X2837" s="528"/>
      <c r="Y2837" s="523"/>
      <c r="Z2837" s="393"/>
      <c r="AA2837" s="394"/>
      <c r="AB2837" s="394"/>
      <c r="AC2837" s="394"/>
      <c r="AD2837" s="394"/>
      <c r="AE2837" s="394"/>
      <c r="AF2837" s="394"/>
      <c r="AG2837" s="394"/>
      <c r="AH2837" s="394"/>
      <c r="AI2837" s="394"/>
      <c r="AJ2837" s="394"/>
      <c r="AK2837" s="381"/>
      <c r="AL2837" s="408"/>
      <c r="AM2837" s="385"/>
      <c r="AN2837" s="475"/>
      <c r="AO2837" s="395"/>
      <c r="AP2837" s="395"/>
      <c r="AQ2837" s="528"/>
      <c r="AR2837" s="523">
        <v>1</v>
      </c>
      <c r="AS2837" s="393"/>
      <c r="AT2837" s="600">
        <v>18.995139999999999</v>
      </c>
      <c r="AU2837" s="394">
        <v>16.190629999999999</v>
      </c>
      <c r="AV2837" s="394">
        <v>15.0229</v>
      </c>
      <c r="AW2837" s="394"/>
      <c r="AX2837" s="394"/>
      <c r="AY2837" s="394">
        <v>0</v>
      </c>
      <c r="AZ2837" s="394">
        <v>0</v>
      </c>
      <c r="BA2837" s="394">
        <v>0.65381</v>
      </c>
      <c r="BB2837" s="394">
        <v>15.0229</v>
      </c>
      <c r="BC2837" s="394"/>
      <c r="BD2837" s="381" t="s">
        <v>167</v>
      </c>
      <c r="BE2837" s="408" t="s">
        <v>175</v>
      </c>
      <c r="BF2837" s="385"/>
      <c r="BG2837" s="475">
        <v>787</v>
      </c>
      <c r="BH2837" s="395"/>
      <c r="BI2837" s="395">
        <f t="shared" ref="BI2837" si="1074">AT2837/AR2837</f>
        <v>18.995139999999999</v>
      </c>
    </row>
    <row r="2838" spans="1:61" s="358" customFormat="1" ht="19.2" x14ac:dyDescent="0.3">
      <c r="A2838" s="359" t="s">
        <v>340</v>
      </c>
      <c r="B2838" s="602" t="s">
        <v>2488</v>
      </c>
      <c r="C2838" s="548" t="s">
        <v>2487</v>
      </c>
      <c r="D2838" s="360">
        <v>0.4</v>
      </c>
      <c r="E2838" s="528"/>
      <c r="F2838" s="523"/>
      <c r="G2838" s="393"/>
      <c r="H2838" s="394"/>
      <c r="I2838" s="394"/>
      <c r="J2838" s="394"/>
      <c r="K2838" s="394"/>
      <c r="L2838" s="394"/>
      <c r="M2838" s="394"/>
      <c r="N2838" s="394"/>
      <c r="O2838" s="394"/>
      <c r="P2838" s="394"/>
      <c r="Q2838" s="394"/>
      <c r="R2838" s="381"/>
      <c r="S2838" s="408"/>
      <c r="T2838" s="385"/>
      <c r="U2838" s="475"/>
      <c r="V2838" s="395"/>
      <c r="W2838" s="395"/>
      <c r="X2838" s="528"/>
      <c r="Y2838" s="523"/>
      <c r="Z2838" s="393"/>
      <c r="AA2838" s="394"/>
      <c r="AB2838" s="394"/>
      <c r="AC2838" s="394"/>
      <c r="AD2838" s="394"/>
      <c r="AE2838" s="394"/>
      <c r="AF2838" s="394"/>
      <c r="AG2838" s="394"/>
      <c r="AH2838" s="394"/>
      <c r="AI2838" s="394"/>
      <c r="AJ2838" s="394"/>
      <c r="AK2838" s="381"/>
      <c r="AL2838" s="408"/>
      <c r="AM2838" s="385"/>
      <c r="AN2838" s="475"/>
      <c r="AO2838" s="395"/>
      <c r="AP2838" s="395"/>
      <c r="AQ2838" s="528"/>
      <c r="AR2838" s="523">
        <v>1</v>
      </c>
      <c r="AS2838" s="393"/>
      <c r="AT2838" s="600">
        <v>18.99513</v>
      </c>
      <c r="AU2838" s="394">
        <v>16.190619999999999</v>
      </c>
      <c r="AV2838" s="394">
        <v>15.0229</v>
      </c>
      <c r="AW2838" s="394"/>
      <c r="AX2838" s="394"/>
      <c r="AY2838" s="394">
        <v>0</v>
      </c>
      <c r="AZ2838" s="394">
        <v>0</v>
      </c>
      <c r="BA2838" s="394">
        <v>0.65381</v>
      </c>
      <c r="BB2838" s="394">
        <v>15.0229</v>
      </c>
      <c r="BC2838" s="394"/>
      <c r="BD2838" s="381" t="s">
        <v>167</v>
      </c>
      <c r="BE2838" s="408" t="s">
        <v>175</v>
      </c>
      <c r="BF2838" s="385"/>
      <c r="BG2838" s="475">
        <v>788</v>
      </c>
      <c r="BH2838" s="395"/>
      <c r="BI2838" s="395">
        <f t="shared" si="1072"/>
        <v>18.99513</v>
      </c>
    </row>
    <row r="2839" spans="1:61" s="358" customFormat="1" ht="19.2" x14ac:dyDescent="0.3">
      <c r="A2839" s="359" t="s">
        <v>341</v>
      </c>
      <c r="B2839" s="602" t="s">
        <v>5060</v>
      </c>
      <c r="C2839" s="548" t="s">
        <v>5061</v>
      </c>
      <c r="D2839" s="360">
        <v>0.4</v>
      </c>
      <c r="E2839" s="528"/>
      <c r="F2839" s="523"/>
      <c r="G2839" s="393"/>
      <c r="H2839" s="394"/>
      <c r="I2839" s="394"/>
      <c r="J2839" s="394"/>
      <c r="K2839" s="394"/>
      <c r="L2839" s="394"/>
      <c r="M2839" s="394"/>
      <c r="N2839" s="394"/>
      <c r="O2839" s="394"/>
      <c r="P2839" s="394"/>
      <c r="Q2839" s="394"/>
      <c r="R2839" s="381"/>
      <c r="S2839" s="408"/>
      <c r="T2839" s="385"/>
      <c r="U2839" s="475"/>
      <c r="V2839" s="395"/>
      <c r="W2839" s="395"/>
      <c r="X2839" s="528"/>
      <c r="Y2839" s="523"/>
      <c r="Z2839" s="393"/>
      <c r="AA2839" s="394"/>
      <c r="AB2839" s="394"/>
      <c r="AC2839" s="394"/>
      <c r="AD2839" s="394"/>
      <c r="AE2839" s="394"/>
      <c r="AF2839" s="394"/>
      <c r="AG2839" s="394"/>
      <c r="AH2839" s="394"/>
      <c r="AI2839" s="394"/>
      <c r="AJ2839" s="394"/>
      <c r="AK2839" s="381"/>
      <c r="AL2839" s="408"/>
      <c r="AM2839" s="385"/>
      <c r="AN2839" s="475"/>
      <c r="AO2839" s="395"/>
      <c r="AP2839" s="395"/>
      <c r="AQ2839" s="528"/>
      <c r="AR2839" s="523">
        <v>1</v>
      </c>
      <c r="AS2839" s="393"/>
      <c r="AT2839" s="600">
        <v>18.995139999999999</v>
      </c>
      <c r="AU2839" s="394">
        <v>16.190629999999999</v>
      </c>
      <c r="AV2839" s="394">
        <v>15.0229</v>
      </c>
      <c r="AW2839" s="394"/>
      <c r="AX2839" s="394"/>
      <c r="AY2839" s="394">
        <v>0</v>
      </c>
      <c r="AZ2839" s="394">
        <v>0</v>
      </c>
      <c r="BA2839" s="394">
        <v>0.65381</v>
      </c>
      <c r="BB2839" s="394">
        <v>15.0229</v>
      </c>
      <c r="BC2839" s="394"/>
      <c r="BD2839" s="381" t="s">
        <v>167</v>
      </c>
      <c r="BE2839" s="408" t="s">
        <v>175</v>
      </c>
      <c r="BF2839" s="385"/>
      <c r="BG2839" s="475">
        <v>789</v>
      </c>
      <c r="BH2839" s="395"/>
      <c r="BI2839" s="395">
        <f t="shared" ref="BI2839" si="1075">AT2839/AR2839</f>
        <v>18.995139999999999</v>
      </c>
    </row>
    <row r="2840" spans="1:61" s="358" customFormat="1" ht="19.2" x14ac:dyDescent="0.3">
      <c r="A2840" s="359" t="s">
        <v>342</v>
      </c>
      <c r="B2840" s="602" t="s">
        <v>294</v>
      </c>
      <c r="C2840" s="548" t="s">
        <v>5062</v>
      </c>
      <c r="D2840" s="360">
        <v>0.4</v>
      </c>
      <c r="E2840" s="528"/>
      <c r="F2840" s="523"/>
      <c r="G2840" s="393"/>
      <c r="H2840" s="394"/>
      <c r="I2840" s="394"/>
      <c r="J2840" s="394"/>
      <c r="K2840" s="394"/>
      <c r="L2840" s="394"/>
      <c r="M2840" s="394"/>
      <c r="N2840" s="394"/>
      <c r="O2840" s="394"/>
      <c r="P2840" s="394"/>
      <c r="Q2840" s="394"/>
      <c r="R2840" s="381"/>
      <c r="S2840" s="408"/>
      <c r="T2840" s="385"/>
      <c r="U2840" s="475"/>
      <c r="V2840" s="395"/>
      <c r="W2840" s="395"/>
      <c r="X2840" s="528"/>
      <c r="Y2840" s="523"/>
      <c r="Z2840" s="393"/>
      <c r="AA2840" s="394"/>
      <c r="AB2840" s="394"/>
      <c r="AC2840" s="394"/>
      <c r="AD2840" s="394"/>
      <c r="AE2840" s="394"/>
      <c r="AF2840" s="394"/>
      <c r="AG2840" s="394"/>
      <c r="AH2840" s="394"/>
      <c r="AI2840" s="394"/>
      <c r="AJ2840" s="394"/>
      <c r="AK2840" s="381"/>
      <c r="AL2840" s="408"/>
      <c r="AM2840" s="385"/>
      <c r="AN2840" s="475"/>
      <c r="AO2840" s="395"/>
      <c r="AP2840" s="395"/>
      <c r="AQ2840" s="528"/>
      <c r="AR2840" s="523">
        <v>1</v>
      </c>
      <c r="AS2840" s="393"/>
      <c r="AT2840" s="600">
        <v>18.99513</v>
      </c>
      <c r="AU2840" s="394">
        <v>16.190619999999999</v>
      </c>
      <c r="AV2840" s="394">
        <v>15.0229</v>
      </c>
      <c r="AW2840" s="394"/>
      <c r="AX2840" s="394"/>
      <c r="AY2840" s="394">
        <v>0</v>
      </c>
      <c r="AZ2840" s="394">
        <v>0</v>
      </c>
      <c r="BA2840" s="394">
        <v>0.65381</v>
      </c>
      <c r="BB2840" s="394">
        <v>15.0229</v>
      </c>
      <c r="BC2840" s="394"/>
      <c r="BD2840" s="381" t="s">
        <v>167</v>
      </c>
      <c r="BE2840" s="408" t="s">
        <v>175</v>
      </c>
      <c r="BF2840" s="385"/>
      <c r="BG2840" s="475">
        <v>790</v>
      </c>
      <c r="BH2840" s="395"/>
      <c r="BI2840" s="395">
        <f t="shared" si="1072"/>
        <v>18.99513</v>
      </c>
    </row>
    <row r="2841" spans="1:61" s="358" customFormat="1" ht="19.2" x14ac:dyDescent="0.3">
      <c r="A2841" s="359" t="s">
        <v>343</v>
      </c>
      <c r="B2841" s="602" t="s">
        <v>5063</v>
      </c>
      <c r="C2841" s="548" t="s">
        <v>5064</v>
      </c>
      <c r="D2841" s="360">
        <v>0.4</v>
      </c>
      <c r="E2841" s="528"/>
      <c r="F2841" s="523"/>
      <c r="G2841" s="393"/>
      <c r="H2841" s="394"/>
      <c r="I2841" s="394"/>
      <c r="J2841" s="394"/>
      <c r="K2841" s="394"/>
      <c r="L2841" s="394"/>
      <c r="M2841" s="394"/>
      <c r="N2841" s="394"/>
      <c r="O2841" s="394"/>
      <c r="P2841" s="394"/>
      <c r="Q2841" s="394"/>
      <c r="R2841" s="381"/>
      <c r="S2841" s="408"/>
      <c r="T2841" s="385"/>
      <c r="U2841" s="475"/>
      <c r="V2841" s="395"/>
      <c r="W2841" s="395"/>
      <c r="X2841" s="528"/>
      <c r="Y2841" s="523"/>
      <c r="Z2841" s="393"/>
      <c r="AA2841" s="394"/>
      <c r="AB2841" s="394"/>
      <c r="AC2841" s="394"/>
      <c r="AD2841" s="394"/>
      <c r="AE2841" s="394"/>
      <c r="AF2841" s="394"/>
      <c r="AG2841" s="394"/>
      <c r="AH2841" s="394"/>
      <c r="AI2841" s="394"/>
      <c r="AJ2841" s="394"/>
      <c r="AK2841" s="381"/>
      <c r="AL2841" s="408"/>
      <c r="AM2841" s="385"/>
      <c r="AN2841" s="475"/>
      <c r="AO2841" s="395"/>
      <c r="AP2841" s="395"/>
      <c r="AQ2841" s="528"/>
      <c r="AR2841" s="523">
        <v>1</v>
      </c>
      <c r="AS2841" s="393"/>
      <c r="AT2841" s="600">
        <v>18.99513</v>
      </c>
      <c r="AU2841" s="394">
        <v>16.190619999999999</v>
      </c>
      <c r="AV2841" s="394">
        <v>15.0229</v>
      </c>
      <c r="AW2841" s="394"/>
      <c r="AX2841" s="394"/>
      <c r="AY2841" s="394">
        <v>0</v>
      </c>
      <c r="AZ2841" s="394">
        <v>0</v>
      </c>
      <c r="BA2841" s="394">
        <v>0.65381</v>
      </c>
      <c r="BB2841" s="394">
        <v>15.0229</v>
      </c>
      <c r="BC2841" s="394"/>
      <c r="BD2841" s="381" t="s">
        <v>167</v>
      </c>
      <c r="BE2841" s="408" t="s">
        <v>175</v>
      </c>
      <c r="BF2841" s="385"/>
      <c r="BG2841" s="475">
        <v>791</v>
      </c>
      <c r="BH2841" s="395"/>
      <c r="BI2841" s="395">
        <f t="shared" ref="BI2841" si="1076">AT2841/AR2841</f>
        <v>18.99513</v>
      </c>
    </row>
    <row r="2842" spans="1:61" s="358" customFormat="1" ht="19.2" x14ac:dyDescent="0.3">
      <c r="A2842" s="359" t="s">
        <v>344</v>
      </c>
      <c r="B2842" s="602" t="s">
        <v>5065</v>
      </c>
      <c r="C2842" s="548" t="s">
        <v>5066</v>
      </c>
      <c r="D2842" s="360">
        <v>0.4</v>
      </c>
      <c r="E2842" s="528"/>
      <c r="F2842" s="523"/>
      <c r="G2842" s="393"/>
      <c r="H2842" s="394"/>
      <c r="I2842" s="394"/>
      <c r="J2842" s="394"/>
      <c r="K2842" s="394"/>
      <c r="L2842" s="394"/>
      <c r="M2842" s="394"/>
      <c r="N2842" s="394"/>
      <c r="O2842" s="394"/>
      <c r="P2842" s="394"/>
      <c r="Q2842" s="394"/>
      <c r="R2842" s="381"/>
      <c r="S2842" s="408"/>
      <c r="T2842" s="385"/>
      <c r="U2842" s="475"/>
      <c r="V2842" s="395"/>
      <c r="W2842" s="395"/>
      <c r="X2842" s="528"/>
      <c r="Y2842" s="523"/>
      <c r="Z2842" s="393"/>
      <c r="AA2842" s="394"/>
      <c r="AB2842" s="394"/>
      <c r="AC2842" s="394"/>
      <c r="AD2842" s="394"/>
      <c r="AE2842" s="394"/>
      <c r="AF2842" s="394"/>
      <c r="AG2842" s="394"/>
      <c r="AH2842" s="394"/>
      <c r="AI2842" s="394"/>
      <c r="AJ2842" s="394"/>
      <c r="AK2842" s="381"/>
      <c r="AL2842" s="408"/>
      <c r="AM2842" s="385"/>
      <c r="AN2842" s="475"/>
      <c r="AO2842" s="395"/>
      <c r="AP2842" s="395"/>
      <c r="AQ2842" s="528"/>
      <c r="AR2842" s="523">
        <v>1</v>
      </c>
      <c r="AS2842" s="393"/>
      <c r="AT2842" s="600">
        <v>18.99513</v>
      </c>
      <c r="AU2842" s="394">
        <v>16.190619999999999</v>
      </c>
      <c r="AV2842" s="394">
        <v>15.0229</v>
      </c>
      <c r="AW2842" s="394"/>
      <c r="AX2842" s="394"/>
      <c r="AY2842" s="394">
        <v>0</v>
      </c>
      <c r="AZ2842" s="394">
        <v>0</v>
      </c>
      <c r="BA2842" s="394">
        <v>0.65381</v>
      </c>
      <c r="BB2842" s="394">
        <v>15.0229</v>
      </c>
      <c r="BC2842" s="394"/>
      <c r="BD2842" s="381" t="s">
        <v>167</v>
      </c>
      <c r="BE2842" s="408" t="s">
        <v>175</v>
      </c>
      <c r="BF2842" s="385"/>
      <c r="BG2842" s="475">
        <v>792</v>
      </c>
      <c r="BH2842" s="395"/>
      <c r="BI2842" s="395">
        <f t="shared" si="1072"/>
        <v>18.99513</v>
      </c>
    </row>
    <row r="2843" spans="1:61" s="358" customFormat="1" ht="19.2" x14ac:dyDescent="0.3">
      <c r="A2843" s="359" t="s">
        <v>345</v>
      </c>
      <c r="B2843" s="602" t="s">
        <v>5067</v>
      </c>
      <c r="C2843" s="548" t="s">
        <v>5068</v>
      </c>
      <c r="D2843" s="360">
        <v>0.4</v>
      </c>
      <c r="E2843" s="528"/>
      <c r="F2843" s="523"/>
      <c r="G2843" s="393"/>
      <c r="H2843" s="394"/>
      <c r="I2843" s="394"/>
      <c r="J2843" s="394"/>
      <c r="K2843" s="394"/>
      <c r="L2843" s="394"/>
      <c r="M2843" s="394"/>
      <c r="N2843" s="394"/>
      <c r="O2843" s="394"/>
      <c r="P2843" s="394"/>
      <c r="Q2843" s="394"/>
      <c r="R2843" s="381"/>
      <c r="S2843" s="408"/>
      <c r="T2843" s="385"/>
      <c r="U2843" s="475"/>
      <c r="V2843" s="395"/>
      <c r="W2843" s="395"/>
      <c r="X2843" s="528"/>
      <c r="Y2843" s="523"/>
      <c r="Z2843" s="393"/>
      <c r="AA2843" s="394"/>
      <c r="AB2843" s="394"/>
      <c r="AC2843" s="394"/>
      <c r="AD2843" s="394"/>
      <c r="AE2843" s="394"/>
      <c r="AF2843" s="394"/>
      <c r="AG2843" s="394"/>
      <c r="AH2843" s="394"/>
      <c r="AI2843" s="394"/>
      <c r="AJ2843" s="394"/>
      <c r="AK2843" s="381"/>
      <c r="AL2843" s="408"/>
      <c r="AM2843" s="385"/>
      <c r="AN2843" s="475"/>
      <c r="AO2843" s="395"/>
      <c r="AP2843" s="395"/>
      <c r="AQ2843" s="528"/>
      <c r="AR2843" s="523">
        <v>1</v>
      </c>
      <c r="AS2843" s="393"/>
      <c r="AT2843" s="600">
        <v>18.99513</v>
      </c>
      <c r="AU2843" s="394">
        <v>16.190619999999999</v>
      </c>
      <c r="AV2843" s="394">
        <v>15.0229</v>
      </c>
      <c r="AW2843" s="394"/>
      <c r="AX2843" s="394"/>
      <c r="AY2843" s="394">
        <v>0</v>
      </c>
      <c r="AZ2843" s="394">
        <v>0</v>
      </c>
      <c r="BA2843" s="394">
        <v>0.65381</v>
      </c>
      <c r="BB2843" s="394">
        <v>15.0229</v>
      </c>
      <c r="BC2843" s="394"/>
      <c r="BD2843" s="381" t="s">
        <v>167</v>
      </c>
      <c r="BE2843" s="408" t="s">
        <v>175</v>
      </c>
      <c r="BF2843" s="385"/>
      <c r="BG2843" s="475">
        <v>793</v>
      </c>
      <c r="BH2843" s="395"/>
      <c r="BI2843" s="395">
        <f t="shared" ref="BI2843:BI2852" si="1077">AT2843/AR2843</f>
        <v>18.99513</v>
      </c>
    </row>
    <row r="2844" spans="1:61" s="358" customFormat="1" ht="19.2" x14ac:dyDescent="0.3">
      <c r="A2844" s="359" t="s">
        <v>346</v>
      </c>
      <c r="B2844" s="602" t="s">
        <v>4641</v>
      </c>
      <c r="C2844" s="548" t="s">
        <v>4638</v>
      </c>
      <c r="D2844" s="360">
        <v>0.4</v>
      </c>
      <c r="E2844" s="528"/>
      <c r="F2844" s="523"/>
      <c r="G2844" s="393"/>
      <c r="H2844" s="394"/>
      <c r="I2844" s="394"/>
      <c r="J2844" s="394"/>
      <c r="K2844" s="394"/>
      <c r="L2844" s="394"/>
      <c r="M2844" s="394"/>
      <c r="N2844" s="394"/>
      <c r="O2844" s="394"/>
      <c r="P2844" s="394"/>
      <c r="Q2844" s="394"/>
      <c r="R2844" s="381"/>
      <c r="S2844" s="408"/>
      <c r="T2844" s="385"/>
      <c r="U2844" s="475"/>
      <c r="V2844" s="395"/>
      <c r="W2844" s="395"/>
      <c r="X2844" s="528"/>
      <c r="Y2844" s="523"/>
      <c r="Z2844" s="393"/>
      <c r="AA2844" s="394"/>
      <c r="AB2844" s="394"/>
      <c r="AC2844" s="394"/>
      <c r="AD2844" s="394"/>
      <c r="AE2844" s="394"/>
      <c r="AF2844" s="394"/>
      <c r="AG2844" s="394"/>
      <c r="AH2844" s="394"/>
      <c r="AI2844" s="394"/>
      <c r="AJ2844" s="394"/>
      <c r="AK2844" s="381"/>
      <c r="AL2844" s="408"/>
      <c r="AM2844" s="385"/>
      <c r="AN2844" s="475"/>
      <c r="AO2844" s="395"/>
      <c r="AP2844" s="395"/>
      <c r="AQ2844" s="528"/>
      <c r="AR2844" s="523">
        <v>1</v>
      </c>
      <c r="AS2844" s="393"/>
      <c r="AT2844" s="600">
        <v>18.995139999999999</v>
      </c>
      <c r="AU2844" s="394">
        <v>16.190629999999999</v>
      </c>
      <c r="AV2844" s="394">
        <v>15.0229</v>
      </c>
      <c r="AW2844" s="394"/>
      <c r="AX2844" s="394"/>
      <c r="AY2844" s="394">
        <v>0</v>
      </c>
      <c r="AZ2844" s="394">
        <v>0</v>
      </c>
      <c r="BA2844" s="394">
        <v>0.65381</v>
      </c>
      <c r="BB2844" s="394">
        <v>15.0229</v>
      </c>
      <c r="BC2844" s="394"/>
      <c r="BD2844" s="381" t="s">
        <v>167</v>
      </c>
      <c r="BE2844" s="408" t="s">
        <v>175</v>
      </c>
      <c r="BF2844" s="385"/>
      <c r="BG2844" s="475">
        <v>794</v>
      </c>
      <c r="BH2844" s="395"/>
      <c r="BI2844" s="395">
        <f t="shared" si="1077"/>
        <v>18.995139999999999</v>
      </c>
    </row>
    <row r="2845" spans="1:61" s="358" customFormat="1" ht="19.2" x14ac:dyDescent="0.3">
      <c r="A2845" s="359" t="s">
        <v>347</v>
      </c>
      <c r="B2845" s="602" t="s">
        <v>5069</v>
      </c>
      <c r="C2845" s="548" t="s">
        <v>5070</v>
      </c>
      <c r="D2845" s="360">
        <v>0.4</v>
      </c>
      <c r="E2845" s="528"/>
      <c r="F2845" s="523"/>
      <c r="G2845" s="393"/>
      <c r="H2845" s="394"/>
      <c r="I2845" s="394"/>
      <c r="J2845" s="394"/>
      <c r="K2845" s="394"/>
      <c r="L2845" s="394"/>
      <c r="M2845" s="394"/>
      <c r="N2845" s="394"/>
      <c r="O2845" s="394"/>
      <c r="P2845" s="394"/>
      <c r="Q2845" s="394"/>
      <c r="R2845" s="381"/>
      <c r="S2845" s="408"/>
      <c r="T2845" s="385"/>
      <c r="U2845" s="475"/>
      <c r="V2845" s="395"/>
      <c r="W2845" s="395"/>
      <c r="X2845" s="528"/>
      <c r="Y2845" s="523"/>
      <c r="Z2845" s="393"/>
      <c r="AA2845" s="394"/>
      <c r="AB2845" s="394"/>
      <c r="AC2845" s="394"/>
      <c r="AD2845" s="394"/>
      <c r="AE2845" s="394"/>
      <c r="AF2845" s="394"/>
      <c r="AG2845" s="394"/>
      <c r="AH2845" s="394"/>
      <c r="AI2845" s="394"/>
      <c r="AJ2845" s="394"/>
      <c r="AK2845" s="381"/>
      <c r="AL2845" s="408"/>
      <c r="AM2845" s="385"/>
      <c r="AN2845" s="475"/>
      <c r="AO2845" s="395"/>
      <c r="AP2845" s="395"/>
      <c r="AQ2845" s="528"/>
      <c r="AR2845" s="523">
        <v>1</v>
      </c>
      <c r="AS2845" s="393"/>
      <c r="AT2845" s="600">
        <v>18.995139999999999</v>
      </c>
      <c r="AU2845" s="394">
        <v>16.190629999999999</v>
      </c>
      <c r="AV2845" s="394">
        <v>15.0229</v>
      </c>
      <c r="AW2845" s="394"/>
      <c r="AX2845" s="394"/>
      <c r="AY2845" s="394">
        <v>0</v>
      </c>
      <c r="AZ2845" s="394">
        <v>0</v>
      </c>
      <c r="BA2845" s="394">
        <v>0.65381</v>
      </c>
      <c r="BB2845" s="394">
        <v>15.0229</v>
      </c>
      <c r="BC2845" s="394"/>
      <c r="BD2845" s="381" t="s">
        <v>167</v>
      </c>
      <c r="BE2845" s="408" t="s">
        <v>175</v>
      </c>
      <c r="BF2845" s="385"/>
      <c r="BG2845" s="475">
        <v>795</v>
      </c>
      <c r="BH2845" s="395"/>
      <c r="BI2845" s="395">
        <f t="shared" ref="BI2845" si="1078">AT2845/AR2845</f>
        <v>18.995139999999999</v>
      </c>
    </row>
    <row r="2846" spans="1:61" s="358" customFormat="1" ht="19.2" x14ac:dyDescent="0.3">
      <c r="A2846" s="359" t="s">
        <v>348</v>
      </c>
      <c r="B2846" s="602" t="s">
        <v>5071</v>
      </c>
      <c r="C2846" s="548" t="s">
        <v>5072</v>
      </c>
      <c r="D2846" s="360">
        <v>0.4</v>
      </c>
      <c r="E2846" s="528"/>
      <c r="F2846" s="523"/>
      <c r="G2846" s="393"/>
      <c r="H2846" s="394"/>
      <c r="I2846" s="394"/>
      <c r="J2846" s="394"/>
      <c r="K2846" s="394"/>
      <c r="L2846" s="394"/>
      <c r="M2846" s="394"/>
      <c r="N2846" s="394"/>
      <c r="O2846" s="394"/>
      <c r="P2846" s="394"/>
      <c r="Q2846" s="394"/>
      <c r="R2846" s="381"/>
      <c r="S2846" s="408"/>
      <c r="T2846" s="385"/>
      <c r="U2846" s="475"/>
      <c r="V2846" s="395"/>
      <c r="W2846" s="395"/>
      <c r="X2846" s="528"/>
      <c r="Y2846" s="523"/>
      <c r="Z2846" s="393"/>
      <c r="AA2846" s="394"/>
      <c r="AB2846" s="394"/>
      <c r="AC2846" s="394"/>
      <c r="AD2846" s="394"/>
      <c r="AE2846" s="394"/>
      <c r="AF2846" s="394"/>
      <c r="AG2846" s="394"/>
      <c r="AH2846" s="394"/>
      <c r="AI2846" s="394"/>
      <c r="AJ2846" s="394"/>
      <c r="AK2846" s="381"/>
      <c r="AL2846" s="408"/>
      <c r="AM2846" s="385"/>
      <c r="AN2846" s="475"/>
      <c r="AO2846" s="395"/>
      <c r="AP2846" s="395"/>
      <c r="AQ2846" s="528"/>
      <c r="AR2846" s="523">
        <v>1</v>
      </c>
      <c r="AS2846" s="393"/>
      <c r="AT2846" s="600">
        <v>18.995139999999999</v>
      </c>
      <c r="AU2846" s="394">
        <v>16.190629999999999</v>
      </c>
      <c r="AV2846" s="394">
        <v>15.0229</v>
      </c>
      <c r="AW2846" s="394"/>
      <c r="AX2846" s="394"/>
      <c r="AY2846" s="394">
        <v>0</v>
      </c>
      <c r="AZ2846" s="394">
        <v>0</v>
      </c>
      <c r="BA2846" s="394">
        <v>0.65381</v>
      </c>
      <c r="BB2846" s="394">
        <v>15.0229</v>
      </c>
      <c r="BC2846" s="394"/>
      <c r="BD2846" s="381" t="s">
        <v>167</v>
      </c>
      <c r="BE2846" s="408" t="s">
        <v>175</v>
      </c>
      <c r="BF2846" s="385"/>
      <c r="BG2846" s="475">
        <v>796</v>
      </c>
      <c r="BH2846" s="395"/>
      <c r="BI2846" s="395">
        <f t="shared" si="1077"/>
        <v>18.995139999999999</v>
      </c>
    </row>
    <row r="2847" spans="1:61" s="358" customFormat="1" ht="19.2" x14ac:dyDescent="0.3">
      <c r="A2847" s="359" t="s">
        <v>349</v>
      </c>
      <c r="B2847" s="602" t="s">
        <v>5073</v>
      </c>
      <c r="C2847" s="548" t="s">
        <v>5074</v>
      </c>
      <c r="D2847" s="360">
        <v>0.4</v>
      </c>
      <c r="E2847" s="528"/>
      <c r="F2847" s="523"/>
      <c r="G2847" s="393"/>
      <c r="H2847" s="394"/>
      <c r="I2847" s="394"/>
      <c r="J2847" s="394"/>
      <c r="K2847" s="394"/>
      <c r="L2847" s="394"/>
      <c r="M2847" s="394"/>
      <c r="N2847" s="394"/>
      <c r="O2847" s="394"/>
      <c r="P2847" s="394"/>
      <c r="Q2847" s="394"/>
      <c r="R2847" s="381"/>
      <c r="S2847" s="408"/>
      <c r="T2847" s="385"/>
      <c r="U2847" s="475"/>
      <c r="V2847" s="395"/>
      <c r="W2847" s="395"/>
      <c r="X2847" s="528"/>
      <c r="Y2847" s="523"/>
      <c r="Z2847" s="393"/>
      <c r="AA2847" s="394"/>
      <c r="AB2847" s="394"/>
      <c r="AC2847" s="394"/>
      <c r="AD2847" s="394"/>
      <c r="AE2847" s="394"/>
      <c r="AF2847" s="394"/>
      <c r="AG2847" s="394"/>
      <c r="AH2847" s="394"/>
      <c r="AI2847" s="394"/>
      <c r="AJ2847" s="394"/>
      <c r="AK2847" s="381"/>
      <c r="AL2847" s="408"/>
      <c r="AM2847" s="385"/>
      <c r="AN2847" s="475"/>
      <c r="AO2847" s="395"/>
      <c r="AP2847" s="395"/>
      <c r="AQ2847" s="528"/>
      <c r="AR2847" s="523">
        <v>1</v>
      </c>
      <c r="AS2847" s="393"/>
      <c r="AT2847" s="600">
        <v>18.99513</v>
      </c>
      <c r="AU2847" s="394">
        <v>16.190619999999999</v>
      </c>
      <c r="AV2847" s="394">
        <v>15.0229</v>
      </c>
      <c r="AW2847" s="394"/>
      <c r="AX2847" s="394"/>
      <c r="AY2847" s="394">
        <v>0</v>
      </c>
      <c r="AZ2847" s="394">
        <v>0</v>
      </c>
      <c r="BA2847" s="394">
        <v>0.65381</v>
      </c>
      <c r="BB2847" s="394">
        <v>15.0229</v>
      </c>
      <c r="BC2847" s="394"/>
      <c r="BD2847" s="381" t="s">
        <v>167</v>
      </c>
      <c r="BE2847" s="408" t="s">
        <v>175</v>
      </c>
      <c r="BF2847" s="385"/>
      <c r="BG2847" s="475">
        <v>797</v>
      </c>
      <c r="BH2847" s="395"/>
      <c r="BI2847" s="395">
        <f t="shared" ref="BI2847" si="1079">AT2847/AR2847</f>
        <v>18.99513</v>
      </c>
    </row>
    <row r="2848" spans="1:61" s="358" customFormat="1" ht="19.2" x14ac:dyDescent="0.3">
      <c r="A2848" s="359" t="s">
        <v>350</v>
      </c>
      <c r="B2848" s="602" t="s">
        <v>5075</v>
      </c>
      <c r="C2848" s="548" t="s">
        <v>5076</v>
      </c>
      <c r="D2848" s="360">
        <v>0.4</v>
      </c>
      <c r="E2848" s="528"/>
      <c r="F2848" s="523"/>
      <c r="G2848" s="393"/>
      <c r="H2848" s="394"/>
      <c r="I2848" s="394"/>
      <c r="J2848" s="394"/>
      <c r="K2848" s="394"/>
      <c r="L2848" s="394"/>
      <c r="M2848" s="394"/>
      <c r="N2848" s="394"/>
      <c r="O2848" s="394"/>
      <c r="P2848" s="394"/>
      <c r="Q2848" s="394"/>
      <c r="R2848" s="381"/>
      <c r="S2848" s="408"/>
      <c r="T2848" s="385"/>
      <c r="U2848" s="475"/>
      <c r="V2848" s="395"/>
      <c r="W2848" s="395"/>
      <c r="X2848" s="528"/>
      <c r="Y2848" s="523"/>
      <c r="Z2848" s="393"/>
      <c r="AA2848" s="394"/>
      <c r="AB2848" s="394"/>
      <c r="AC2848" s="394"/>
      <c r="AD2848" s="394"/>
      <c r="AE2848" s="394"/>
      <c r="AF2848" s="394"/>
      <c r="AG2848" s="394"/>
      <c r="AH2848" s="394"/>
      <c r="AI2848" s="394"/>
      <c r="AJ2848" s="394"/>
      <c r="AK2848" s="381"/>
      <c r="AL2848" s="408"/>
      <c r="AM2848" s="385"/>
      <c r="AN2848" s="475"/>
      <c r="AO2848" s="395"/>
      <c r="AP2848" s="395"/>
      <c r="AQ2848" s="528"/>
      <c r="AR2848" s="523">
        <v>1</v>
      </c>
      <c r="AS2848" s="393"/>
      <c r="AT2848" s="600">
        <v>18.99513</v>
      </c>
      <c r="AU2848" s="394">
        <v>16.190619999999999</v>
      </c>
      <c r="AV2848" s="394">
        <v>15.0229</v>
      </c>
      <c r="AW2848" s="394"/>
      <c r="AX2848" s="394"/>
      <c r="AY2848" s="394">
        <v>0</v>
      </c>
      <c r="AZ2848" s="394">
        <v>0</v>
      </c>
      <c r="BA2848" s="394">
        <v>0.65381</v>
      </c>
      <c r="BB2848" s="394">
        <v>15.0229</v>
      </c>
      <c r="BC2848" s="394"/>
      <c r="BD2848" s="381" t="s">
        <v>167</v>
      </c>
      <c r="BE2848" s="408" t="s">
        <v>175</v>
      </c>
      <c r="BF2848" s="385"/>
      <c r="BG2848" s="475">
        <v>798</v>
      </c>
      <c r="BH2848" s="395"/>
      <c r="BI2848" s="395">
        <f t="shared" si="1077"/>
        <v>18.99513</v>
      </c>
    </row>
    <row r="2849" spans="1:61" s="358" customFormat="1" ht="19.2" x14ac:dyDescent="0.3">
      <c r="A2849" s="359" t="s">
        <v>351</v>
      </c>
      <c r="B2849" s="602" t="s">
        <v>5077</v>
      </c>
      <c r="C2849" s="548" t="s">
        <v>5078</v>
      </c>
      <c r="D2849" s="360">
        <v>0.4</v>
      </c>
      <c r="E2849" s="528"/>
      <c r="F2849" s="523"/>
      <c r="G2849" s="393"/>
      <c r="H2849" s="394"/>
      <c r="I2849" s="394"/>
      <c r="J2849" s="394"/>
      <c r="K2849" s="394"/>
      <c r="L2849" s="394"/>
      <c r="M2849" s="394"/>
      <c r="N2849" s="394"/>
      <c r="O2849" s="394"/>
      <c r="P2849" s="394"/>
      <c r="Q2849" s="394"/>
      <c r="R2849" s="381"/>
      <c r="S2849" s="408"/>
      <c r="T2849" s="385"/>
      <c r="U2849" s="475"/>
      <c r="V2849" s="395"/>
      <c r="W2849" s="395"/>
      <c r="X2849" s="528"/>
      <c r="Y2849" s="523"/>
      <c r="Z2849" s="393"/>
      <c r="AA2849" s="394"/>
      <c r="AB2849" s="394"/>
      <c r="AC2849" s="394"/>
      <c r="AD2849" s="394"/>
      <c r="AE2849" s="394"/>
      <c r="AF2849" s="394"/>
      <c r="AG2849" s="394"/>
      <c r="AH2849" s="394"/>
      <c r="AI2849" s="394"/>
      <c r="AJ2849" s="394"/>
      <c r="AK2849" s="381"/>
      <c r="AL2849" s="408"/>
      <c r="AM2849" s="385"/>
      <c r="AN2849" s="475"/>
      <c r="AO2849" s="395"/>
      <c r="AP2849" s="395"/>
      <c r="AQ2849" s="528"/>
      <c r="AR2849" s="523">
        <v>1</v>
      </c>
      <c r="AS2849" s="393"/>
      <c r="AT2849" s="600">
        <v>18.99513</v>
      </c>
      <c r="AU2849" s="394">
        <v>16.190619999999999</v>
      </c>
      <c r="AV2849" s="394">
        <v>15.0229</v>
      </c>
      <c r="AW2849" s="394"/>
      <c r="AX2849" s="394"/>
      <c r="AY2849" s="394">
        <v>0</v>
      </c>
      <c r="AZ2849" s="394">
        <v>0</v>
      </c>
      <c r="BA2849" s="394">
        <v>0.65381</v>
      </c>
      <c r="BB2849" s="394">
        <v>15.0229</v>
      </c>
      <c r="BC2849" s="394"/>
      <c r="BD2849" s="381" t="s">
        <v>167</v>
      </c>
      <c r="BE2849" s="408" t="s">
        <v>175</v>
      </c>
      <c r="BF2849" s="385"/>
      <c r="BG2849" s="475">
        <v>799</v>
      </c>
      <c r="BH2849" s="395"/>
      <c r="BI2849" s="395">
        <f t="shared" ref="BI2849" si="1080">AT2849/AR2849</f>
        <v>18.99513</v>
      </c>
    </row>
    <row r="2850" spans="1:61" s="358" customFormat="1" ht="19.2" x14ac:dyDescent="0.3">
      <c r="A2850" s="359" t="s">
        <v>352</v>
      </c>
      <c r="B2850" s="602" t="s">
        <v>5079</v>
      </c>
      <c r="C2850" s="548" t="s">
        <v>5080</v>
      </c>
      <c r="D2850" s="360">
        <v>0.4</v>
      </c>
      <c r="E2850" s="528"/>
      <c r="F2850" s="523"/>
      <c r="G2850" s="393"/>
      <c r="H2850" s="394"/>
      <c r="I2850" s="394"/>
      <c r="J2850" s="394"/>
      <c r="K2850" s="394"/>
      <c r="L2850" s="394"/>
      <c r="M2850" s="394"/>
      <c r="N2850" s="394"/>
      <c r="O2850" s="394"/>
      <c r="P2850" s="394"/>
      <c r="Q2850" s="394"/>
      <c r="R2850" s="381"/>
      <c r="S2850" s="408"/>
      <c r="T2850" s="385"/>
      <c r="U2850" s="475"/>
      <c r="V2850" s="395"/>
      <c r="W2850" s="395"/>
      <c r="X2850" s="528"/>
      <c r="Y2850" s="523"/>
      <c r="Z2850" s="393"/>
      <c r="AA2850" s="394"/>
      <c r="AB2850" s="394"/>
      <c r="AC2850" s="394"/>
      <c r="AD2850" s="394"/>
      <c r="AE2850" s="394"/>
      <c r="AF2850" s="394"/>
      <c r="AG2850" s="394"/>
      <c r="AH2850" s="394"/>
      <c r="AI2850" s="394"/>
      <c r="AJ2850" s="394"/>
      <c r="AK2850" s="381"/>
      <c r="AL2850" s="408"/>
      <c r="AM2850" s="385"/>
      <c r="AN2850" s="475"/>
      <c r="AO2850" s="395"/>
      <c r="AP2850" s="395"/>
      <c r="AQ2850" s="528"/>
      <c r="AR2850" s="523">
        <v>1</v>
      </c>
      <c r="AS2850" s="393"/>
      <c r="AT2850" s="600">
        <v>18.99513</v>
      </c>
      <c r="AU2850" s="394">
        <v>16.190619999999999</v>
      </c>
      <c r="AV2850" s="394">
        <v>15.0229</v>
      </c>
      <c r="AW2850" s="394"/>
      <c r="AX2850" s="394"/>
      <c r="AY2850" s="394">
        <v>0</v>
      </c>
      <c r="AZ2850" s="394">
        <v>0</v>
      </c>
      <c r="BA2850" s="394">
        <v>0.65381</v>
      </c>
      <c r="BB2850" s="394">
        <v>15.0229</v>
      </c>
      <c r="BC2850" s="394"/>
      <c r="BD2850" s="381" t="s">
        <v>167</v>
      </c>
      <c r="BE2850" s="408" t="s">
        <v>175</v>
      </c>
      <c r="BF2850" s="385"/>
      <c r="BG2850" s="475">
        <v>800</v>
      </c>
      <c r="BH2850" s="395"/>
      <c r="BI2850" s="395">
        <f t="shared" si="1077"/>
        <v>18.99513</v>
      </c>
    </row>
    <row r="2851" spans="1:61" s="358" customFormat="1" ht="19.2" x14ac:dyDescent="0.3">
      <c r="A2851" s="359" t="s">
        <v>353</v>
      </c>
      <c r="B2851" s="602" t="s">
        <v>5081</v>
      </c>
      <c r="C2851" s="548" t="s">
        <v>5082</v>
      </c>
      <c r="D2851" s="360">
        <v>0.4</v>
      </c>
      <c r="E2851" s="528"/>
      <c r="F2851" s="523"/>
      <c r="G2851" s="393"/>
      <c r="H2851" s="394"/>
      <c r="I2851" s="394"/>
      <c r="J2851" s="394"/>
      <c r="K2851" s="394"/>
      <c r="L2851" s="394"/>
      <c r="M2851" s="394"/>
      <c r="N2851" s="394"/>
      <c r="O2851" s="394"/>
      <c r="P2851" s="394"/>
      <c r="Q2851" s="394"/>
      <c r="R2851" s="381"/>
      <c r="S2851" s="408"/>
      <c r="T2851" s="385"/>
      <c r="U2851" s="475"/>
      <c r="V2851" s="395"/>
      <c r="W2851" s="395"/>
      <c r="X2851" s="528"/>
      <c r="Y2851" s="523"/>
      <c r="Z2851" s="393"/>
      <c r="AA2851" s="394"/>
      <c r="AB2851" s="394"/>
      <c r="AC2851" s="394"/>
      <c r="AD2851" s="394"/>
      <c r="AE2851" s="394"/>
      <c r="AF2851" s="394"/>
      <c r="AG2851" s="394"/>
      <c r="AH2851" s="394"/>
      <c r="AI2851" s="394"/>
      <c r="AJ2851" s="394"/>
      <c r="AK2851" s="381"/>
      <c r="AL2851" s="408"/>
      <c r="AM2851" s="385"/>
      <c r="AN2851" s="475"/>
      <c r="AO2851" s="395"/>
      <c r="AP2851" s="395"/>
      <c r="AQ2851" s="528"/>
      <c r="AR2851" s="523">
        <v>1</v>
      </c>
      <c r="AS2851" s="393"/>
      <c r="AT2851" s="600">
        <v>18.99513</v>
      </c>
      <c r="AU2851" s="394">
        <v>16.190619999999999</v>
      </c>
      <c r="AV2851" s="394">
        <v>15.0229</v>
      </c>
      <c r="AW2851" s="394"/>
      <c r="AX2851" s="394"/>
      <c r="AY2851" s="394">
        <v>0</v>
      </c>
      <c r="AZ2851" s="394">
        <v>0</v>
      </c>
      <c r="BA2851" s="394">
        <v>0.65381</v>
      </c>
      <c r="BB2851" s="394">
        <v>15.0229</v>
      </c>
      <c r="BC2851" s="394"/>
      <c r="BD2851" s="381" t="s">
        <v>167</v>
      </c>
      <c r="BE2851" s="408" t="s">
        <v>175</v>
      </c>
      <c r="BF2851" s="385"/>
      <c r="BG2851" s="475">
        <v>801</v>
      </c>
      <c r="BH2851" s="395"/>
      <c r="BI2851" s="395">
        <f t="shared" ref="BI2851" si="1081">AT2851/AR2851</f>
        <v>18.99513</v>
      </c>
    </row>
    <row r="2852" spans="1:61" s="358" customFormat="1" ht="19.2" x14ac:dyDescent="0.3">
      <c r="A2852" s="359" t="s">
        <v>354</v>
      </c>
      <c r="B2852" s="602" t="s">
        <v>2552</v>
      </c>
      <c r="C2852" s="548" t="s">
        <v>2551</v>
      </c>
      <c r="D2852" s="360">
        <v>0.4</v>
      </c>
      <c r="E2852" s="528"/>
      <c r="F2852" s="523"/>
      <c r="G2852" s="393"/>
      <c r="H2852" s="394"/>
      <c r="I2852" s="394"/>
      <c r="J2852" s="394"/>
      <c r="K2852" s="394"/>
      <c r="L2852" s="394"/>
      <c r="M2852" s="394"/>
      <c r="N2852" s="394"/>
      <c r="O2852" s="394"/>
      <c r="P2852" s="394"/>
      <c r="Q2852" s="394"/>
      <c r="R2852" s="381"/>
      <c r="S2852" s="408"/>
      <c r="T2852" s="385"/>
      <c r="U2852" s="475"/>
      <c r="V2852" s="395"/>
      <c r="W2852" s="395"/>
      <c r="X2852" s="528"/>
      <c r="Y2852" s="523"/>
      <c r="Z2852" s="393"/>
      <c r="AA2852" s="394"/>
      <c r="AB2852" s="394"/>
      <c r="AC2852" s="394"/>
      <c r="AD2852" s="394"/>
      <c r="AE2852" s="394"/>
      <c r="AF2852" s="394"/>
      <c r="AG2852" s="394"/>
      <c r="AH2852" s="394"/>
      <c r="AI2852" s="394"/>
      <c r="AJ2852" s="394"/>
      <c r="AK2852" s="381"/>
      <c r="AL2852" s="408"/>
      <c r="AM2852" s="385"/>
      <c r="AN2852" s="475"/>
      <c r="AO2852" s="395"/>
      <c r="AP2852" s="395"/>
      <c r="AQ2852" s="528"/>
      <c r="AR2852" s="523">
        <v>1</v>
      </c>
      <c r="AS2852" s="393"/>
      <c r="AT2852" s="600">
        <v>18.99513</v>
      </c>
      <c r="AU2852" s="394">
        <v>16.190619999999999</v>
      </c>
      <c r="AV2852" s="394">
        <v>15.0229</v>
      </c>
      <c r="AW2852" s="394"/>
      <c r="AX2852" s="394"/>
      <c r="AY2852" s="394">
        <v>0</v>
      </c>
      <c r="AZ2852" s="394">
        <v>0</v>
      </c>
      <c r="BA2852" s="394">
        <v>0.65381</v>
      </c>
      <c r="BB2852" s="394">
        <v>15.0229</v>
      </c>
      <c r="BC2852" s="394"/>
      <c r="BD2852" s="381" t="s">
        <v>167</v>
      </c>
      <c r="BE2852" s="408" t="s">
        <v>175</v>
      </c>
      <c r="BF2852" s="385"/>
      <c r="BG2852" s="475">
        <v>802</v>
      </c>
      <c r="BH2852" s="395"/>
      <c r="BI2852" s="395">
        <f t="shared" si="1077"/>
        <v>18.99513</v>
      </c>
    </row>
    <row r="2853" spans="1:61" s="358" customFormat="1" ht="19.2" x14ac:dyDescent="0.3">
      <c r="A2853" s="359" t="s">
        <v>355</v>
      </c>
      <c r="B2853" s="602" t="s">
        <v>5083</v>
      </c>
      <c r="C2853" s="548" t="s">
        <v>5084</v>
      </c>
      <c r="D2853" s="360">
        <v>0.4</v>
      </c>
      <c r="E2853" s="528"/>
      <c r="F2853" s="523"/>
      <c r="G2853" s="393"/>
      <c r="H2853" s="394"/>
      <c r="I2853" s="394"/>
      <c r="J2853" s="394"/>
      <c r="K2853" s="394"/>
      <c r="L2853" s="394"/>
      <c r="M2853" s="394"/>
      <c r="N2853" s="394"/>
      <c r="O2853" s="394"/>
      <c r="P2853" s="394"/>
      <c r="Q2853" s="394"/>
      <c r="R2853" s="381"/>
      <c r="S2853" s="408"/>
      <c r="T2853" s="385"/>
      <c r="U2853" s="475"/>
      <c r="V2853" s="395"/>
      <c r="W2853" s="395"/>
      <c r="X2853" s="528"/>
      <c r="Y2853" s="523"/>
      <c r="Z2853" s="393"/>
      <c r="AA2853" s="394"/>
      <c r="AB2853" s="394"/>
      <c r="AC2853" s="394"/>
      <c r="AD2853" s="394"/>
      <c r="AE2853" s="394"/>
      <c r="AF2853" s="394"/>
      <c r="AG2853" s="394"/>
      <c r="AH2853" s="394"/>
      <c r="AI2853" s="394"/>
      <c r="AJ2853" s="394"/>
      <c r="AK2853" s="381"/>
      <c r="AL2853" s="408"/>
      <c r="AM2853" s="385"/>
      <c r="AN2853" s="475"/>
      <c r="AO2853" s="395"/>
      <c r="AP2853" s="395"/>
      <c r="AQ2853" s="528"/>
      <c r="AR2853" s="523">
        <v>1</v>
      </c>
      <c r="AS2853" s="393"/>
      <c r="AT2853" s="600">
        <v>18.99513</v>
      </c>
      <c r="AU2853" s="394">
        <v>16.190619999999999</v>
      </c>
      <c r="AV2853" s="394">
        <v>15.0229</v>
      </c>
      <c r="AW2853" s="394"/>
      <c r="AX2853" s="394"/>
      <c r="AY2853" s="394">
        <v>0</v>
      </c>
      <c r="AZ2853" s="394">
        <v>0</v>
      </c>
      <c r="BA2853" s="394">
        <v>0.65381</v>
      </c>
      <c r="BB2853" s="394">
        <v>15.0229</v>
      </c>
      <c r="BC2853" s="394"/>
      <c r="BD2853" s="381" t="s">
        <v>167</v>
      </c>
      <c r="BE2853" s="408" t="s">
        <v>175</v>
      </c>
      <c r="BF2853" s="385"/>
      <c r="BG2853" s="475">
        <v>803</v>
      </c>
      <c r="BH2853" s="395"/>
      <c r="BI2853" s="395">
        <f t="shared" si="1072"/>
        <v>18.99513</v>
      </c>
    </row>
    <row r="2854" spans="1:61" s="358" customFormat="1" ht="19.2" x14ac:dyDescent="0.3">
      <c r="A2854" s="359" t="s">
        <v>356</v>
      </c>
      <c r="B2854" s="602" t="s">
        <v>1523</v>
      </c>
      <c r="C2854" s="548" t="s">
        <v>5085</v>
      </c>
      <c r="D2854" s="360">
        <v>0.4</v>
      </c>
      <c r="E2854" s="528"/>
      <c r="F2854" s="523"/>
      <c r="G2854" s="393"/>
      <c r="H2854" s="394"/>
      <c r="I2854" s="394"/>
      <c r="J2854" s="394"/>
      <c r="K2854" s="394"/>
      <c r="L2854" s="394"/>
      <c r="M2854" s="394"/>
      <c r="N2854" s="394"/>
      <c r="O2854" s="394"/>
      <c r="P2854" s="394"/>
      <c r="Q2854" s="394"/>
      <c r="R2854" s="381"/>
      <c r="S2854" s="408"/>
      <c r="T2854" s="385"/>
      <c r="U2854" s="475"/>
      <c r="V2854" s="395"/>
      <c r="W2854" s="395"/>
      <c r="X2854" s="528"/>
      <c r="Y2854" s="523"/>
      <c r="Z2854" s="393"/>
      <c r="AA2854" s="394"/>
      <c r="AB2854" s="394"/>
      <c r="AC2854" s="394"/>
      <c r="AD2854" s="394"/>
      <c r="AE2854" s="394"/>
      <c r="AF2854" s="394"/>
      <c r="AG2854" s="394"/>
      <c r="AH2854" s="394"/>
      <c r="AI2854" s="394"/>
      <c r="AJ2854" s="394"/>
      <c r="AK2854" s="381"/>
      <c r="AL2854" s="408"/>
      <c r="AM2854" s="385"/>
      <c r="AN2854" s="475"/>
      <c r="AO2854" s="395"/>
      <c r="AP2854" s="395"/>
      <c r="AQ2854" s="528"/>
      <c r="AR2854" s="523">
        <v>1</v>
      </c>
      <c r="AS2854" s="393"/>
      <c r="AT2854" s="600">
        <v>18.995139999999999</v>
      </c>
      <c r="AU2854" s="394">
        <v>16.190629999999999</v>
      </c>
      <c r="AV2854" s="394">
        <v>15.0229</v>
      </c>
      <c r="AW2854" s="394"/>
      <c r="AX2854" s="394"/>
      <c r="AY2854" s="394">
        <v>0</v>
      </c>
      <c r="AZ2854" s="394">
        <v>0</v>
      </c>
      <c r="BA2854" s="394">
        <v>0.65381</v>
      </c>
      <c r="BB2854" s="394">
        <v>15.0229</v>
      </c>
      <c r="BC2854" s="394"/>
      <c r="BD2854" s="381" t="s">
        <v>167</v>
      </c>
      <c r="BE2854" s="408" t="s">
        <v>175</v>
      </c>
      <c r="BF2854" s="385"/>
      <c r="BG2854" s="475">
        <v>804</v>
      </c>
      <c r="BH2854" s="395"/>
      <c r="BI2854" s="395">
        <f t="shared" ref="BI2854" si="1082">AT2854/AR2854</f>
        <v>18.995139999999999</v>
      </c>
    </row>
    <row r="2855" spans="1:61" s="358" customFormat="1" ht="19.2" x14ac:dyDescent="0.3">
      <c r="A2855" s="359" t="s">
        <v>357</v>
      </c>
      <c r="B2855" s="602" t="s">
        <v>5086</v>
      </c>
      <c r="C2855" s="548" t="s">
        <v>5087</v>
      </c>
      <c r="D2855" s="360">
        <v>0.4</v>
      </c>
      <c r="E2855" s="528"/>
      <c r="F2855" s="523"/>
      <c r="G2855" s="393"/>
      <c r="H2855" s="394"/>
      <c r="I2855" s="394"/>
      <c r="J2855" s="394"/>
      <c r="K2855" s="394"/>
      <c r="L2855" s="394"/>
      <c r="M2855" s="394"/>
      <c r="N2855" s="394"/>
      <c r="O2855" s="394"/>
      <c r="P2855" s="394"/>
      <c r="Q2855" s="394"/>
      <c r="R2855" s="381"/>
      <c r="S2855" s="408"/>
      <c r="T2855" s="385"/>
      <c r="U2855" s="475"/>
      <c r="V2855" s="395"/>
      <c r="W2855" s="395"/>
      <c r="X2855" s="528"/>
      <c r="Y2855" s="523"/>
      <c r="Z2855" s="393"/>
      <c r="AA2855" s="394"/>
      <c r="AB2855" s="394"/>
      <c r="AC2855" s="394"/>
      <c r="AD2855" s="394"/>
      <c r="AE2855" s="394"/>
      <c r="AF2855" s="394"/>
      <c r="AG2855" s="394"/>
      <c r="AH2855" s="394"/>
      <c r="AI2855" s="394"/>
      <c r="AJ2855" s="394"/>
      <c r="AK2855" s="381"/>
      <c r="AL2855" s="408"/>
      <c r="AM2855" s="385"/>
      <c r="AN2855" s="475"/>
      <c r="AO2855" s="395"/>
      <c r="AP2855" s="395"/>
      <c r="AQ2855" s="528"/>
      <c r="AR2855" s="523">
        <v>1</v>
      </c>
      <c r="AS2855" s="393"/>
      <c r="AT2855" s="600">
        <v>18.99513</v>
      </c>
      <c r="AU2855" s="394">
        <v>16.190619999999999</v>
      </c>
      <c r="AV2855" s="394">
        <v>15.0229</v>
      </c>
      <c r="AW2855" s="394"/>
      <c r="AX2855" s="394"/>
      <c r="AY2855" s="394">
        <v>0</v>
      </c>
      <c r="AZ2855" s="394">
        <v>0</v>
      </c>
      <c r="BA2855" s="394">
        <v>0.65381</v>
      </c>
      <c r="BB2855" s="394">
        <v>15.0229</v>
      </c>
      <c r="BC2855" s="394"/>
      <c r="BD2855" s="381" t="s">
        <v>167</v>
      </c>
      <c r="BE2855" s="408" t="s">
        <v>175</v>
      </c>
      <c r="BF2855" s="385"/>
      <c r="BG2855" s="475">
        <v>805</v>
      </c>
      <c r="BH2855" s="395"/>
      <c r="BI2855" s="395">
        <f t="shared" si="1072"/>
        <v>18.99513</v>
      </c>
    </row>
    <row r="2856" spans="1:61" s="358" customFormat="1" ht="19.2" x14ac:dyDescent="0.3">
      <c r="A2856" s="359" t="s">
        <v>358</v>
      </c>
      <c r="B2856" s="602" t="s">
        <v>5088</v>
      </c>
      <c r="C2856" s="548" t="s">
        <v>5089</v>
      </c>
      <c r="D2856" s="360">
        <v>0.4</v>
      </c>
      <c r="E2856" s="528"/>
      <c r="F2856" s="523"/>
      <c r="G2856" s="393"/>
      <c r="H2856" s="394"/>
      <c r="I2856" s="394"/>
      <c r="J2856" s="394"/>
      <c r="K2856" s="394"/>
      <c r="L2856" s="394"/>
      <c r="M2856" s="394"/>
      <c r="N2856" s="394"/>
      <c r="O2856" s="394"/>
      <c r="P2856" s="394"/>
      <c r="Q2856" s="394"/>
      <c r="R2856" s="381"/>
      <c r="S2856" s="408"/>
      <c r="T2856" s="385"/>
      <c r="U2856" s="475"/>
      <c r="V2856" s="395"/>
      <c r="W2856" s="395"/>
      <c r="X2856" s="528"/>
      <c r="Y2856" s="523"/>
      <c r="Z2856" s="393"/>
      <c r="AA2856" s="394"/>
      <c r="AB2856" s="394"/>
      <c r="AC2856" s="394"/>
      <c r="AD2856" s="394"/>
      <c r="AE2856" s="394"/>
      <c r="AF2856" s="394"/>
      <c r="AG2856" s="394"/>
      <c r="AH2856" s="394"/>
      <c r="AI2856" s="394"/>
      <c r="AJ2856" s="394"/>
      <c r="AK2856" s="381"/>
      <c r="AL2856" s="408"/>
      <c r="AM2856" s="385"/>
      <c r="AN2856" s="475"/>
      <c r="AO2856" s="395"/>
      <c r="AP2856" s="395"/>
      <c r="AQ2856" s="528"/>
      <c r="AR2856" s="523">
        <v>1</v>
      </c>
      <c r="AS2856" s="393"/>
      <c r="AT2856" s="600">
        <v>18.99513</v>
      </c>
      <c r="AU2856" s="394">
        <v>16.190619999999999</v>
      </c>
      <c r="AV2856" s="394">
        <v>15.0229</v>
      </c>
      <c r="AW2856" s="394"/>
      <c r="AX2856" s="394"/>
      <c r="AY2856" s="394">
        <v>0</v>
      </c>
      <c r="AZ2856" s="394">
        <v>0</v>
      </c>
      <c r="BA2856" s="394">
        <v>0.65381</v>
      </c>
      <c r="BB2856" s="394">
        <v>15.0229</v>
      </c>
      <c r="BC2856" s="394"/>
      <c r="BD2856" s="381" t="s">
        <v>167</v>
      </c>
      <c r="BE2856" s="408" t="s">
        <v>175</v>
      </c>
      <c r="BF2856" s="385"/>
      <c r="BG2856" s="475">
        <v>806</v>
      </c>
      <c r="BH2856" s="395"/>
      <c r="BI2856" s="395">
        <f t="shared" ref="BI2856" si="1083">AT2856/AR2856</f>
        <v>18.99513</v>
      </c>
    </row>
    <row r="2857" spans="1:61" s="358" customFormat="1" ht="19.2" x14ac:dyDescent="0.3">
      <c r="A2857" s="359" t="s">
        <v>359</v>
      </c>
      <c r="B2857" s="602" t="s">
        <v>5090</v>
      </c>
      <c r="C2857" s="548" t="s">
        <v>5091</v>
      </c>
      <c r="D2857" s="360">
        <v>0.4</v>
      </c>
      <c r="E2857" s="528"/>
      <c r="F2857" s="523"/>
      <c r="G2857" s="393"/>
      <c r="H2857" s="394"/>
      <c r="I2857" s="394"/>
      <c r="J2857" s="394"/>
      <c r="K2857" s="394"/>
      <c r="L2857" s="394"/>
      <c r="M2857" s="394"/>
      <c r="N2857" s="394"/>
      <c r="O2857" s="394"/>
      <c r="P2857" s="394"/>
      <c r="Q2857" s="394"/>
      <c r="R2857" s="381"/>
      <c r="S2857" s="408"/>
      <c r="T2857" s="385"/>
      <c r="U2857" s="475"/>
      <c r="V2857" s="395"/>
      <c r="W2857" s="395"/>
      <c r="X2857" s="528"/>
      <c r="Y2857" s="523"/>
      <c r="Z2857" s="393"/>
      <c r="AA2857" s="394"/>
      <c r="AB2857" s="394"/>
      <c r="AC2857" s="394"/>
      <c r="AD2857" s="394"/>
      <c r="AE2857" s="394"/>
      <c r="AF2857" s="394"/>
      <c r="AG2857" s="394"/>
      <c r="AH2857" s="394"/>
      <c r="AI2857" s="394"/>
      <c r="AJ2857" s="394"/>
      <c r="AK2857" s="381"/>
      <c r="AL2857" s="408"/>
      <c r="AM2857" s="385"/>
      <c r="AN2857" s="475"/>
      <c r="AO2857" s="395"/>
      <c r="AP2857" s="395"/>
      <c r="AQ2857" s="528"/>
      <c r="AR2857" s="523">
        <v>1</v>
      </c>
      <c r="AS2857" s="393"/>
      <c r="AT2857" s="600">
        <v>18.99513</v>
      </c>
      <c r="AU2857" s="394">
        <v>16.190619999999999</v>
      </c>
      <c r="AV2857" s="394">
        <v>15.0229</v>
      </c>
      <c r="AW2857" s="394"/>
      <c r="AX2857" s="394"/>
      <c r="AY2857" s="394">
        <v>0</v>
      </c>
      <c r="AZ2857" s="394">
        <v>0</v>
      </c>
      <c r="BA2857" s="394">
        <v>0.65381</v>
      </c>
      <c r="BB2857" s="394">
        <v>15.0229</v>
      </c>
      <c r="BC2857" s="394"/>
      <c r="BD2857" s="381" t="s">
        <v>167</v>
      </c>
      <c r="BE2857" s="408" t="s">
        <v>175</v>
      </c>
      <c r="BF2857" s="385"/>
      <c r="BG2857" s="475">
        <v>807</v>
      </c>
      <c r="BH2857" s="395"/>
      <c r="BI2857" s="395">
        <f t="shared" si="1072"/>
        <v>18.99513</v>
      </c>
    </row>
    <row r="2858" spans="1:61" s="358" customFormat="1" ht="19.2" x14ac:dyDescent="0.3">
      <c r="A2858" s="359" t="s">
        <v>360</v>
      </c>
      <c r="B2858" s="602" t="s">
        <v>5092</v>
      </c>
      <c r="C2858" s="548" t="s">
        <v>5093</v>
      </c>
      <c r="D2858" s="360">
        <v>0.4</v>
      </c>
      <c r="E2858" s="528"/>
      <c r="F2858" s="523"/>
      <c r="G2858" s="393"/>
      <c r="H2858" s="394"/>
      <c r="I2858" s="394"/>
      <c r="J2858" s="394"/>
      <c r="K2858" s="394"/>
      <c r="L2858" s="394"/>
      <c r="M2858" s="394"/>
      <c r="N2858" s="394"/>
      <c r="O2858" s="394"/>
      <c r="P2858" s="394"/>
      <c r="Q2858" s="394"/>
      <c r="R2858" s="381"/>
      <c r="S2858" s="408"/>
      <c r="T2858" s="385"/>
      <c r="U2858" s="475"/>
      <c r="V2858" s="395"/>
      <c r="W2858" s="395"/>
      <c r="X2858" s="528"/>
      <c r="Y2858" s="523"/>
      <c r="Z2858" s="393"/>
      <c r="AA2858" s="394"/>
      <c r="AB2858" s="394"/>
      <c r="AC2858" s="394"/>
      <c r="AD2858" s="394"/>
      <c r="AE2858" s="394"/>
      <c r="AF2858" s="394"/>
      <c r="AG2858" s="394"/>
      <c r="AH2858" s="394"/>
      <c r="AI2858" s="394"/>
      <c r="AJ2858" s="394"/>
      <c r="AK2858" s="381"/>
      <c r="AL2858" s="408"/>
      <c r="AM2858" s="385"/>
      <c r="AN2858" s="475"/>
      <c r="AO2858" s="395"/>
      <c r="AP2858" s="395"/>
      <c r="AQ2858" s="528"/>
      <c r="AR2858" s="523">
        <v>1</v>
      </c>
      <c r="AS2858" s="393"/>
      <c r="AT2858" s="600">
        <v>18.99513</v>
      </c>
      <c r="AU2858" s="394">
        <v>16.190619999999999</v>
      </c>
      <c r="AV2858" s="394">
        <v>15.0229</v>
      </c>
      <c r="AW2858" s="394"/>
      <c r="AX2858" s="394"/>
      <c r="AY2858" s="394">
        <v>0</v>
      </c>
      <c r="AZ2858" s="394">
        <v>0</v>
      </c>
      <c r="BA2858" s="394">
        <v>0.65381</v>
      </c>
      <c r="BB2858" s="394">
        <v>15.0229</v>
      </c>
      <c r="BC2858" s="394"/>
      <c r="BD2858" s="381" t="s">
        <v>167</v>
      </c>
      <c r="BE2858" s="408" t="s">
        <v>175</v>
      </c>
      <c r="BF2858" s="385"/>
      <c r="BG2858" s="475">
        <v>808</v>
      </c>
      <c r="BH2858" s="395"/>
      <c r="BI2858" s="395">
        <f t="shared" ref="BI2858" si="1084">AT2858/AR2858</f>
        <v>18.99513</v>
      </c>
    </row>
    <row r="2859" spans="1:61" s="358" customFormat="1" ht="19.2" x14ac:dyDescent="0.3">
      <c r="A2859" s="359" t="s">
        <v>361</v>
      </c>
      <c r="B2859" s="602" t="s">
        <v>5094</v>
      </c>
      <c r="C2859" s="548" t="s">
        <v>5095</v>
      </c>
      <c r="D2859" s="360">
        <v>0.4</v>
      </c>
      <c r="E2859" s="528"/>
      <c r="F2859" s="523"/>
      <c r="G2859" s="393"/>
      <c r="H2859" s="394"/>
      <c r="I2859" s="394"/>
      <c r="J2859" s="394"/>
      <c r="K2859" s="394"/>
      <c r="L2859" s="394"/>
      <c r="M2859" s="394"/>
      <c r="N2859" s="394"/>
      <c r="O2859" s="394"/>
      <c r="P2859" s="394"/>
      <c r="Q2859" s="394"/>
      <c r="R2859" s="381"/>
      <c r="S2859" s="408"/>
      <c r="T2859" s="385"/>
      <c r="U2859" s="475"/>
      <c r="V2859" s="395"/>
      <c r="W2859" s="395"/>
      <c r="X2859" s="528"/>
      <c r="Y2859" s="523"/>
      <c r="Z2859" s="393"/>
      <c r="AA2859" s="394"/>
      <c r="AB2859" s="394"/>
      <c r="AC2859" s="394"/>
      <c r="AD2859" s="394"/>
      <c r="AE2859" s="394"/>
      <c r="AF2859" s="394"/>
      <c r="AG2859" s="394"/>
      <c r="AH2859" s="394"/>
      <c r="AI2859" s="394"/>
      <c r="AJ2859" s="394"/>
      <c r="AK2859" s="381"/>
      <c r="AL2859" s="408"/>
      <c r="AM2859" s="385"/>
      <c r="AN2859" s="475"/>
      <c r="AO2859" s="395"/>
      <c r="AP2859" s="395"/>
      <c r="AQ2859" s="528"/>
      <c r="AR2859" s="523">
        <v>1</v>
      </c>
      <c r="AS2859" s="393"/>
      <c r="AT2859" s="600">
        <v>18.995139999999999</v>
      </c>
      <c r="AU2859" s="394">
        <v>16.190629999999999</v>
      </c>
      <c r="AV2859" s="394">
        <v>15.0229</v>
      </c>
      <c r="AW2859" s="394"/>
      <c r="AX2859" s="394"/>
      <c r="AY2859" s="394">
        <v>0</v>
      </c>
      <c r="AZ2859" s="394">
        <v>0</v>
      </c>
      <c r="BA2859" s="394">
        <v>0.65381</v>
      </c>
      <c r="BB2859" s="394">
        <v>15.0229</v>
      </c>
      <c r="BC2859" s="394"/>
      <c r="BD2859" s="381" t="s">
        <v>167</v>
      </c>
      <c r="BE2859" s="408" t="s">
        <v>175</v>
      </c>
      <c r="BF2859" s="385"/>
      <c r="BG2859" s="475">
        <v>809</v>
      </c>
      <c r="BH2859" s="395"/>
      <c r="BI2859" s="395">
        <f t="shared" si="1072"/>
        <v>18.995139999999999</v>
      </c>
    </row>
    <row r="2860" spans="1:61" s="358" customFormat="1" ht="19.2" x14ac:dyDescent="0.3">
      <c r="A2860" s="359" t="s">
        <v>362</v>
      </c>
      <c r="B2860" s="602" t="s">
        <v>5096</v>
      </c>
      <c r="C2860" s="548" t="s">
        <v>5097</v>
      </c>
      <c r="D2860" s="360">
        <v>0.4</v>
      </c>
      <c r="E2860" s="528"/>
      <c r="F2860" s="523"/>
      <c r="G2860" s="393"/>
      <c r="H2860" s="394"/>
      <c r="I2860" s="394"/>
      <c r="J2860" s="394"/>
      <c r="K2860" s="394"/>
      <c r="L2860" s="394"/>
      <c r="M2860" s="394"/>
      <c r="N2860" s="394"/>
      <c r="O2860" s="394"/>
      <c r="P2860" s="394"/>
      <c r="Q2860" s="394"/>
      <c r="R2860" s="381"/>
      <c r="S2860" s="408"/>
      <c r="T2860" s="385"/>
      <c r="U2860" s="475"/>
      <c r="V2860" s="395"/>
      <c r="W2860" s="395"/>
      <c r="X2860" s="528"/>
      <c r="Y2860" s="523"/>
      <c r="Z2860" s="393"/>
      <c r="AA2860" s="394"/>
      <c r="AB2860" s="394"/>
      <c r="AC2860" s="394"/>
      <c r="AD2860" s="394"/>
      <c r="AE2860" s="394"/>
      <c r="AF2860" s="394"/>
      <c r="AG2860" s="394"/>
      <c r="AH2860" s="394"/>
      <c r="AI2860" s="394"/>
      <c r="AJ2860" s="394"/>
      <c r="AK2860" s="381"/>
      <c r="AL2860" s="408"/>
      <c r="AM2860" s="385"/>
      <c r="AN2860" s="475"/>
      <c r="AO2860" s="395"/>
      <c r="AP2860" s="395"/>
      <c r="AQ2860" s="528"/>
      <c r="AR2860" s="523">
        <v>1</v>
      </c>
      <c r="AS2860" s="393"/>
      <c r="AT2860" s="600">
        <v>18.965820000000001</v>
      </c>
      <c r="AU2860" s="394">
        <v>14.410439999999999</v>
      </c>
      <c r="AV2860" s="394">
        <v>13.108840000000001</v>
      </c>
      <c r="AW2860" s="394"/>
      <c r="AX2860" s="394"/>
      <c r="AY2860" s="394">
        <v>0</v>
      </c>
      <c r="AZ2860" s="394">
        <v>0</v>
      </c>
      <c r="BA2860" s="394">
        <v>1.06199</v>
      </c>
      <c r="BB2860" s="394">
        <v>13.108840000000001</v>
      </c>
      <c r="BC2860" s="394"/>
      <c r="BD2860" s="381" t="s">
        <v>167</v>
      </c>
      <c r="BE2860" s="408" t="s">
        <v>175</v>
      </c>
      <c r="BF2860" s="385"/>
      <c r="BG2860" s="475">
        <v>810</v>
      </c>
      <c r="BH2860" s="395"/>
      <c r="BI2860" s="395">
        <f t="shared" ref="BI2860" si="1085">AT2860/AR2860</f>
        <v>18.965820000000001</v>
      </c>
    </row>
    <row r="2861" spans="1:61" s="358" customFormat="1" ht="19.2" x14ac:dyDescent="0.3">
      <c r="A2861" s="359" t="s">
        <v>363</v>
      </c>
      <c r="B2861" s="602" t="s">
        <v>5098</v>
      </c>
      <c r="C2861" s="548" t="s">
        <v>5099</v>
      </c>
      <c r="D2861" s="360">
        <v>0.4</v>
      </c>
      <c r="E2861" s="528"/>
      <c r="F2861" s="523"/>
      <c r="G2861" s="393"/>
      <c r="H2861" s="394"/>
      <c r="I2861" s="394"/>
      <c r="J2861" s="394"/>
      <c r="K2861" s="394"/>
      <c r="L2861" s="394"/>
      <c r="M2861" s="394"/>
      <c r="N2861" s="394"/>
      <c r="O2861" s="394"/>
      <c r="P2861" s="394"/>
      <c r="Q2861" s="394"/>
      <c r="R2861" s="381"/>
      <c r="S2861" s="408"/>
      <c r="T2861" s="385"/>
      <c r="U2861" s="475"/>
      <c r="V2861" s="395"/>
      <c r="W2861" s="395"/>
      <c r="X2861" s="528"/>
      <c r="Y2861" s="523"/>
      <c r="Z2861" s="393"/>
      <c r="AA2861" s="394"/>
      <c r="AB2861" s="394"/>
      <c r="AC2861" s="394"/>
      <c r="AD2861" s="394"/>
      <c r="AE2861" s="394"/>
      <c r="AF2861" s="394"/>
      <c r="AG2861" s="394"/>
      <c r="AH2861" s="394"/>
      <c r="AI2861" s="394"/>
      <c r="AJ2861" s="394"/>
      <c r="AK2861" s="381"/>
      <c r="AL2861" s="408"/>
      <c r="AM2861" s="385"/>
      <c r="AN2861" s="475"/>
      <c r="AO2861" s="395"/>
      <c r="AP2861" s="395"/>
      <c r="AQ2861" s="528"/>
      <c r="AR2861" s="523">
        <v>1</v>
      </c>
      <c r="AS2861" s="393"/>
      <c r="AT2861" s="600">
        <v>18.99513</v>
      </c>
      <c r="AU2861" s="394">
        <v>16.190619999999999</v>
      </c>
      <c r="AV2861" s="394">
        <v>15.0229</v>
      </c>
      <c r="AW2861" s="394"/>
      <c r="AX2861" s="394"/>
      <c r="AY2861" s="394">
        <v>0</v>
      </c>
      <c r="AZ2861" s="394">
        <v>0</v>
      </c>
      <c r="BA2861" s="394">
        <v>0.65381</v>
      </c>
      <c r="BB2861" s="394">
        <v>15.0229</v>
      </c>
      <c r="BC2861" s="394"/>
      <c r="BD2861" s="381" t="s">
        <v>167</v>
      </c>
      <c r="BE2861" s="408" t="s">
        <v>175</v>
      </c>
      <c r="BF2861" s="385"/>
      <c r="BG2861" s="475">
        <v>811</v>
      </c>
      <c r="BH2861" s="395"/>
      <c r="BI2861" s="395">
        <f t="shared" si="1072"/>
        <v>18.99513</v>
      </c>
    </row>
    <row r="2862" spans="1:61" s="358" customFormat="1" ht="19.2" x14ac:dyDescent="0.3">
      <c r="A2862" s="359" t="s">
        <v>364</v>
      </c>
      <c r="B2862" s="602" t="s">
        <v>2279</v>
      </c>
      <c r="C2862" s="548" t="s">
        <v>5100</v>
      </c>
      <c r="D2862" s="360">
        <v>0.4</v>
      </c>
      <c r="E2862" s="528"/>
      <c r="F2862" s="523"/>
      <c r="G2862" s="393"/>
      <c r="H2862" s="394"/>
      <c r="I2862" s="394"/>
      <c r="J2862" s="394"/>
      <c r="K2862" s="394"/>
      <c r="L2862" s="394"/>
      <c r="M2862" s="394"/>
      <c r="N2862" s="394"/>
      <c r="O2862" s="394"/>
      <c r="P2862" s="394"/>
      <c r="Q2862" s="394"/>
      <c r="R2862" s="381"/>
      <c r="S2862" s="408"/>
      <c r="T2862" s="385"/>
      <c r="U2862" s="475"/>
      <c r="V2862" s="395"/>
      <c r="W2862" s="395"/>
      <c r="X2862" s="528"/>
      <c r="Y2862" s="523"/>
      <c r="Z2862" s="393"/>
      <c r="AA2862" s="394"/>
      <c r="AB2862" s="394"/>
      <c r="AC2862" s="394"/>
      <c r="AD2862" s="394"/>
      <c r="AE2862" s="394"/>
      <c r="AF2862" s="394"/>
      <c r="AG2862" s="394"/>
      <c r="AH2862" s="394"/>
      <c r="AI2862" s="394"/>
      <c r="AJ2862" s="394"/>
      <c r="AK2862" s="381"/>
      <c r="AL2862" s="408"/>
      <c r="AM2862" s="385"/>
      <c r="AN2862" s="475"/>
      <c r="AO2862" s="395"/>
      <c r="AP2862" s="395"/>
      <c r="AQ2862" s="528"/>
      <c r="AR2862" s="523">
        <v>1</v>
      </c>
      <c r="AS2862" s="393"/>
      <c r="AT2862" s="600">
        <v>18.99513</v>
      </c>
      <c r="AU2862" s="394">
        <v>16.190619999999999</v>
      </c>
      <c r="AV2862" s="394">
        <v>15.0229</v>
      </c>
      <c r="AW2862" s="394"/>
      <c r="AX2862" s="394"/>
      <c r="AY2862" s="394">
        <v>0</v>
      </c>
      <c r="AZ2862" s="394">
        <v>0</v>
      </c>
      <c r="BA2862" s="394">
        <v>0.65381</v>
      </c>
      <c r="BB2862" s="394">
        <v>15.0229</v>
      </c>
      <c r="BC2862" s="394"/>
      <c r="BD2862" s="381" t="s">
        <v>167</v>
      </c>
      <c r="BE2862" s="408" t="s">
        <v>175</v>
      </c>
      <c r="BF2862" s="385"/>
      <c r="BG2862" s="475">
        <v>812</v>
      </c>
      <c r="BH2862" s="395"/>
      <c r="BI2862" s="395">
        <f t="shared" si="1072"/>
        <v>18.99513</v>
      </c>
    </row>
    <row r="2863" spans="1:61" s="358" customFormat="1" ht="19.2" x14ac:dyDescent="0.3">
      <c r="A2863" s="359" t="s">
        <v>365</v>
      </c>
      <c r="B2863" s="602" t="s">
        <v>2279</v>
      </c>
      <c r="C2863" s="548" t="s">
        <v>5101</v>
      </c>
      <c r="D2863" s="360">
        <v>0.4</v>
      </c>
      <c r="E2863" s="528"/>
      <c r="F2863" s="523"/>
      <c r="G2863" s="393"/>
      <c r="H2863" s="394"/>
      <c r="I2863" s="394"/>
      <c r="J2863" s="394"/>
      <c r="K2863" s="394"/>
      <c r="L2863" s="394"/>
      <c r="M2863" s="394"/>
      <c r="N2863" s="394"/>
      <c r="O2863" s="394"/>
      <c r="P2863" s="394"/>
      <c r="Q2863" s="394"/>
      <c r="R2863" s="381"/>
      <c r="S2863" s="408"/>
      <c r="T2863" s="385"/>
      <c r="U2863" s="475"/>
      <c r="V2863" s="395"/>
      <c r="W2863" s="395"/>
      <c r="X2863" s="528"/>
      <c r="Y2863" s="523"/>
      <c r="Z2863" s="393"/>
      <c r="AA2863" s="394"/>
      <c r="AB2863" s="394"/>
      <c r="AC2863" s="394"/>
      <c r="AD2863" s="394"/>
      <c r="AE2863" s="394"/>
      <c r="AF2863" s="394"/>
      <c r="AG2863" s="394"/>
      <c r="AH2863" s="394"/>
      <c r="AI2863" s="394"/>
      <c r="AJ2863" s="394"/>
      <c r="AK2863" s="381"/>
      <c r="AL2863" s="408"/>
      <c r="AM2863" s="385"/>
      <c r="AN2863" s="475"/>
      <c r="AO2863" s="395"/>
      <c r="AP2863" s="395"/>
      <c r="AQ2863" s="528"/>
      <c r="AR2863" s="523">
        <v>1</v>
      </c>
      <c r="AS2863" s="393"/>
      <c r="AT2863" s="600">
        <v>18.99513</v>
      </c>
      <c r="AU2863" s="394">
        <v>16.190619999999999</v>
      </c>
      <c r="AV2863" s="394">
        <v>15.0229</v>
      </c>
      <c r="AW2863" s="394"/>
      <c r="AX2863" s="394"/>
      <c r="AY2863" s="394">
        <v>0</v>
      </c>
      <c r="AZ2863" s="394">
        <v>0</v>
      </c>
      <c r="BA2863" s="394">
        <v>0.65381</v>
      </c>
      <c r="BB2863" s="394">
        <v>15.0229</v>
      </c>
      <c r="BC2863" s="394"/>
      <c r="BD2863" s="381" t="s">
        <v>167</v>
      </c>
      <c r="BE2863" s="408" t="s">
        <v>175</v>
      </c>
      <c r="BF2863" s="385"/>
      <c r="BG2863" s="475">
        <v>813</v>
      </c>
      <c r="BH2863" s="395"/>
      <c r="BI2863" s="395">
        <f t="shared" si="1072"/>
        <v>18.99513</v>
      </c>
    </row>
    <row r="2864" spans="1:61" s="358" customFormat="1" ht="19.2" x14ac:dyDescent="0.3">
      <c r="A2864" s="359" t="s">
        <v>366</v>
      </c>
      <c r="B2864" s="602" t="s">
        <v>5196</v>
      </c>
      <c r="C2864" s="548" t="s">
        <v>5197</v>
      </c>
      <c r="D2864" s="360">
        <v>0.4</v>
      </c>
      <c r="E2864" s="528"/>
      <c r="F2864" s="523"/>
      <c r="G2864" s="393"/>
      <c r="H2864" s="394"/>
      <c r="I2864" s="394"/>
      <c r="J2864" s="394"/>
      <c r="K2864" s="394"/>
      <c r="L2864" s="394"/>
      <c r="M2864" s="394"/>
      <c r="N2864" s="394"/>
      <c r="O2864" s="394"/>
      <c r="P2864" s="394"/>
      <c r="Q2864" s="394"/>
      <c r="R2864" s="381"/>
      <c r="S2864" s="408"/>
      <c r="T2864" s="385"/>
      <c r="U2864" s="475"/>
      <c r="V2864" s="395"/>
      <c r="W2864" s="395"/>
      <c r="X2864" s="528"/>
      <c r="Y2864" s="523"/>
      <c r="Z2864" s="393"/>
      <c r="AA2864" s="394"/>
      <c r="AB2864" s="394"/>
      <c r="AC2864" s="394"/>
      <c r="AD2864" s="394"/>
      <c r="AE2864" s="394"/>
      <c r="AF2864" s="394"/>
      <c r="AG2864" s="394"/>
      <c r="AH2864" s="394"/>
      <c r="AI2864" s="394"/>
      <c r="AJ2864" s="394"/>
      <c r="AK2864" s="381"/>
      <c r="AL2864" s="408"/>
      <c r="AM2864" s="385"/>
      <c r="AN2864" s="475"/>
      <c r="AO2864" s="395"/>
      <c r="AP2864" s="395"/>
      <c r="AQ2864" s="528"/>
      <c r="AR2864" s="523">
        <v>1</v>
      </c>
      <c r="AS2864" s="393"/>
      <c r="AT2864" s="600">
        <v>19.010649999999998</v>
      </c>
      <c r="AU2864" s="394">
        <v>16.206140000000001</v>
      </c>
      <c r="AV2864" s="394">
        <v>15.15868</v>
      </c>
      <c r="AW2864" s="394"/>
      <c r="AX2864" s="394"/>
      <c r="AY2864" s="394">
        <v>0</v>
      </c>
      <c r="AZ2864" s="394">
        <v>0</v>
      </c>
      <c r="BA2864" s="394">
        <v>0.65381</v>
      </c>
      <c r="BB2864" s="394">
        <v>15.15868</v>
      </c>
      <c r="BC2864" s="394"/>
      <c r="BD2864" s="381" t="s">
        <v>167</v>
      </c>
      <c r="BE2864" s="408" t="s">
        <v>175</v>
      </c>
      <c r="BF2864" s="385"/>
      <c r="BG2864" s="475">
        <v>814</v>
      </c>
      <c r="BH2864" s="395"/>
      <c r="BI2864" s="395">
        <f t="shared" ref="BI2864" si="1086">AT2864/AR2864</f>
        <v>19.010649999999998</v>
      </c>
    </row>
    <row r="2865" spans="1:61" s="358" customFormat="1" ht="19.2" x14ac:dyDescent="0.3">
      <c r="A2865" s="359" t="s">
        <v>367</v>
      </c>
      <c r="B2865" s="602" t="s">
        <v>5198</v>
      </c>
      <c r="C2865" s="548" t="s">
        <v>5199</v>
      </c>
      <c r="D2865" s="360">
        <v>0.4</v>
      </c>
      <c r="E2865" s="528"/>
      <c r="F2865" s="523"/>
      <c r="G2865" s="393"/>
      <c r="H2865" s="394"/>
      <c r="I2865" s="394"/>
      <c r="J2865" s="394"/>
      <c r="K2865" s="394"/>
      <c r="L2865" s="394"/>
      <c r="M2865" s="394"/>
      <c r="N2865" s="394"/>
      <c r="O2865" s="394"/>
      <c r="P2865" s="394"/>
      <c r="Q2865" s="394"/>
      <c r="R2865" s="381"/>
      <c r="S2865" s="408"/>
      <c r="T2865" s="385"/>
      <c r="U2865" s="475"/>
      <c r="V2865" s="395"/>
      <c r="W2865" s="395"/>
      <c r="X2865" s="528"/>
      <c r="Y2865" s="523"/>
      <c r="Z2865" s="393"/>
      <c r="AA2865" s="394"/>
      <c r="AB2865" s="394"/>
      <c r="AC2865" s="394"/>
      <c r="AD2865" s="394"/>
      <c r="AE2865" s="394"/>
      <c r="AF2865" s="394"/>
      <c r="AG2865" s="394"/>
      <c r="AH2865" s="394"/>
      <c r="AI2865" s="394"/>
      <c r="AJ2865" s="394"/>
      <c r="AK2865" s="381"/>
      <c r="AL2865" s="408"/>
      <c r="AM2865" s="385"/>
      <c r="AN2865" s="475"/>
      <c r="AO2865" s="395"/>
      <c r="AP2865" s="395"/>
      <c r="AQ2865" s="528"/>
      <c r="AR2865" s="523">
        <v>1</v>
      </c>
      <c r="AS2865" s="393"/>
      <c r="AT2865" s="600">
        <v>19.010649999999998</v>
      </c>
      <c r="AU2865" s="394">
        <v>16.206140000000001</v>
      </c>
      <c r="AV2865" s="394">
        <v>15.15868</v>
      </c>
      <c r="AW2865" s="394"/>
      <c r="AX2865" s="394"/>
      <c r="AY2865" s="394">
        <v>0</v>
      </c>
      <c r="AZ2865" s="394">
        <v>0</v>
      </c>
      <c r="BA2865" s="394">
        <v>0.65381</v>
      </c>
      <c r="BB2865" s="394">
        <v>15.15868</v>
      </c>
      <c r="BC2865" s="394"/>
      <c r="BD2865" s="381" t="s">
        <v>167</v>
      </c>
      <c r="BE2865" s="408" t="s">
        <v>175</v>
      </c>
      <c r="BF2865" s="385"/>
      <c r="BG2865" s="475">
        <v>815</v>
      </c>
      <c r="BH2865" s="395"/>
      <c r="BI2865" s="395">
        <f t="shared" si="1059"/>
        <v>19.010649999999998</v>
      </c>
    </row>
    <row r="2866" spans="1:61" s="358" customFormat="1" ht="19.2" x14ac:dyDescent="0.3">
      <c r="A2866" s="359" t="s">
        <v>368</v>
      </c>
      <c r="B2866" s="602" t="s">
        <v>5200</v>
      </c>
      <c r="C2866" s="548" t="s">
        <v>5201</v>
      </c>
      <c r="D2866" s="360">
        <v>0.4</v>
      </c>
      <c r="E2866" s="528"/>
      <c r="F2866" s="523"/>
      <c r="G2866" s="393"/>
      <c r="H2866" s="394"/>
      <c r="I2866" s="394"/>
      <c r="J2866" s="394"/>
      <c r="K2866" s="394"/>
      <c r="L2866" s="394"/>
      <c r="M2866" s="394"/>
      <c r="N2866" s="394"/>
      <c r="O2866" s="394"/>
      <c r="P2866" s="394"/>
      <c r="Q2866" s="394"/>
      <c r="R2866" s="381"/>
      <c r="S2866" s="408"/>
      <c r="T2866" s="385"/>
      <c r="U2866" s="475"/>
      <c r="V2866" s="395"/>
      <c r="W2866" s="395"/>
      <c r="X2866" s="528"/>
      <c r="Y2866" s="523"/>
      <c r="Z2866" s="393"/>
      <c r="AA2866" s="394"/>
      <c r="AB2866" s="394"/>
      <c r="AC2866" s="394"/>
      <c r="AD2866" s="394"/>
      <c r="AE2866" s="394"/>
      <c r="AF2866" s="394"/>
      <c r="AG2866" s="394"/>
      <c r="AH2866" s="394"/>
      <c r="AI2866" s="394"/>
      <c r="AJ2866" s="394"/>
      <c r="AK2866" s="381"/>
      <c r="AL2866" s="408"/>
      <c r="AM2866" s="385"/>
      <c r="AN2866" s="475"/>
      <c r="AO2866" s="395"/>
      <c r="AP2866" s="395"/>
      <c r="AQ2866" s="528"/>
      <c r="AR2866" s="523">
        <v>1</v>
      </c>
      <c r="AS2866" s="393"/>
      <c r="AT2866" s="600">
        <v>19.010649999999998</v>
      </c>
      <c r="AU2866" s="394">
        <v>16.206140000000001</v>
      </c>
      <c r="AV2866" s="394">
        <v>15.15868</v>
      </c>
      <c r="AW2866" s="394"/>
      <c r="AX2866" s="394"/>
      <c r="AY2866" s="394">
        <v>0</v>
      </c>
      <c r="AZ2866" s="394">
        <v>0</v>
      </c>
      <c r="BA2866" s="394">
        <v>0.65381</v>
      </c>
      <c r="BB2866" s="394">
        <v>15.15868</v>
      </c>
      <c r="BC2866" s="394"/>
      <c r="BD2866" s="381" t="s">
        <v>167</v>
      </c>
      <c r="BE2866" s="408" t="s">
        <v>175</v>
      </c>
      <c r="BF2866" s="385"/>
      <c r="BG2866" s="475">
        <v>816</v>
      </c>
      <c r="BH2866" s="395"/>
      <c r="BI2866" s="395">
        <f t="shared" ref="BI2866" si="1087">AT2866/AR2866</f>
        <v>19.010649999999998</v>
      </c>
    </row>
    <row r="2867" spans="1:61" s="358" customFormat="1" ht="19.2" x14ac:dyDescent="0.3">
      <c r="A2867" s="359" t="s">
        <v>369</v>
      </c>
      <c r="B2867" s="602" t="s">
        <v>5200</v>
      </c>
      <c r="C2867" s="548" t="s">
        <v>5202</v>
      </c>
      <c r="D2867" s="360">
        <v>0.4</v>
      </c>
      <c r="E2867" s="528"/>
      <c r="F2867" s="523"/>
      <c r="G2867" s="393"/>
      <c r="H2867" s="394"/>
      <c r="I2867" s="394"/>
      <c r="J2867" s="394"/>
      <c r="K2867" s="394"/>
      <c r="L2867" s="394"/>
      <c r="M2867" s="394"/>
      <c r="N2867" s="394"/>
      <c r="O2867" s="394"/>
      <c r="P2867" s="394"/>
      <c r="Q2867" s="394"/>
      <c r="R2867" s="381"/>
      <c r="S2867" s="408"/>
      <c r="T2867" s="385"/>
      <c r="U2867" s="475"/>
      <c r="V2867" s="395"/>
      <c r="W2867" s="395"/>
      <c r="X2867" s="528"/>
      <c r="Y2867" s="523"/>
      <c r="Z2867" s="393"/>
      <c r="AA2867" s="394"/>
      <c r="AB2867" s="394"/>
      <c r="AC2867" s="394"/>
      <c r="AD2867" s="394"/>
      <c r="AE2867" s="394"/>
      <c r="AF2867" s="394"/>
      <c r="AG2867" s="394"/>
      <c r="AH2867" s="394"/>
      <c r="AI2867" s="394"/>
      <c r="AJ2867" s="394"/>
      <c r="AK2867" s="381"/>
      <c r="AL2867" s="408"/>
      <c r="AM2867" s="385"/>
      <c r="AN2867" s="475"/>
      <c r="AO2867" s="395"/>
      <c r="AP2867" s="395"/>
      <c r="AQ2867" s="528"/>
      <c r="AR2867" s="523">
        <v>1</v>
      </c>
      <c r="AS2867" s="393"/>
      <c r="AT2867" s="600">
        <v>19.010639999999999</v>
      </c>
      <c r="AU2867" s="394">
        <v>16.206130000000002</v>
      </c>
      <c r="AV2867" s="394">
        <v>15.15868</v>
      </c>
      <c r="AW2867" s="394"/>
      <c r="AX2867" s="394"/>
      <c r="AY2867" s="394">
        <v>0</v>
      </c>
      <c r="AZ2867" s="394">
        <v>0</v>
      </c>
      <c r="BA2867" s="394">
        <v>0.65381</v>
      </c>
      <c r="BB2867" s="394">
        <v>15.15868</v>
      </c>
      <c r="BC2867" s="394"/>
      <c r="BD2867" s="381" t="s">
        <v>167</v>
      </c>
      <c r="BE2867" s="408" t="s">
        <v>175</v>
      </c>
      <c r="BF2867" s="385"/>
      <c r="BG2867" s="475">
        <v>817</v>
      </c>
      <c r="BH2867" s="395"/>
      <c r="BI2867" s="395">
        <f t="shared" si="1059"/>
        <v>19.010639999999999</v>
      </c>
    </row>
    <row r="2868" spans="1:61" s="358" customFormat="1" ht="19.2" x14ac:dyDescent="0.3">
      <c r="A2868" s="359" t="s">
        <v>370</v>
      </c>
      <c r="B2868" s="602" t="s">
        <v>5203</v>
      </c>
      <c r="C2868" s="548" t="s">
        <v>5204</v>
      </c>
      <c r="D2868" s="360">
        <v>0.4</v>
      </c>
      <c r="E2868" s="528"/>
      <c r="F2868" s="523"/>
      <c r="G2868" s="393"/>
      <c r="H2868" s="394"/>
      <c r="I2868" s="394"/>
      <c r="J2868" s="394"/>
      <c r="K2868" s="394"/>
      <c r="L2868" s="394"/>
      <c r="M2868" s="394"/>
      <c r="N2868" s="394"/>
      <c r="O2868" s="394"/>
      <c r="P2868" s="394"/>
      <c r="Q2868" s="394"/>
      <c r="R2868" s="381"/>
      <c r="S2868" s="408"/>
      <c r="T2868" s="385"/>
      <c r="U2868" s="475"/>
      <c r="V2868" s="395"/>
      <c r="W2868" s="395"/>
      <c r="X2868" s="528"/>
      <c r="Y2868" s="523"/>
      <c r="Z2868" s="393"/>
      <c r="AA2868" s="394"/>
      <c r="AB2868" s="394"/>
      <c r="AC2868" s="394"/>
      <c r="AD2868" s="394"/>
      <c r="AE2868" s="394"/>
      <c r="AF2868" s="394"/>
      <c r="AG2868" s="394"/>
      <c r="AH2868" s="394"/>
      <c r="AI2868" s="394"/>
      <c r="AJ2868" s="394"/>
      <c r="AK2868" s="381"/>
      <c r="AL2868" s="408"/>
      <c r="AM2868" s="385"/>
      <c r="AN2868" s="475"/>
      <c r="AO2868" s="395"/>
      <c r="AP2868" s="395"/>
      <c r="AQ2868" s="528"/>
      <c r="AR2868" s="523">
        <v>1</v>
      </c>
      <c r="AS2868" s="393"/>
      <c r="AT2868" s="600">
        <v>19.010660000000001</v>
      </c>
      <c r="AU2868" s="394">
        <v>16.206150000000001</v>
      </c>
      <c r="AV2868" s="394">
        <v>15.15868</v>
      </c>
      <c r="AW2868" s="394"/>
      <c r="AX2868" s="394"/>
      <c r="AY2868" s="394">
        <v>0</v>
      </c>
      <c r="AZ2868" s="394">
        <v>0</v>
      </c>
      <c r="BA2868" s="394">
        <v>0.65381</v>
      </c>
      <c r="BB2868" s="394">
        <v>15.15868</v>
      </c>
      <c r="BC2868" s="394"/>
      <c r="BD2868" s="381" t="s">
        <v>167</v>
      </c>
      <c r="BE2868" s="408" t="s">
        <v>175</v>
      </c>
      <c r="BF2868" s="385"/>
      <c r="BG2868" s="475">
        <v>818</v>
      </c>
      <c r="BH2868" s="395"/>
      <c r="BI2868" s="395">
        <f t="shared" ref="BI2868" si="1088">AT2868/AR2868</f>
        <v>19.010660000000001</v>
      </c>
    </row>
    <row r="2869" spans="1:61" s="358" customFormat="1" ht="19.2" x14ac:dyDescent="0.3">
      <c r="A2869" s="359" t="s">
        <v>371</v>
      </c>
      <c r="B2869" s="602" t="s">
        <v>1445</v>
      </c>
      <c r="C2869" s="548" t="s">
        <v>5205</v>
      </c>
      <c r="D2869" s="360">
        <v>0.4</v>
      </c>
      <c r="E2869" s="528"/>
      <c r="F2869" s="523"/>
      <c r="G2869" s="393"/>
      <c r="H2869" s="394"/>
      <c r="I2869" s="394"/>
      <c r="J2869" s="394"/>
      <c r="K2869" s="394"/>
      <c r="L2869" s="394"/>
      <c r="M2869" s="394"/>
      <c r="N2869" s="394"/>
      <c r="O2869" s="394"/>
      <c r="P2869" s="394"/>
      <c r="Q2869" s="394"/>
      <c r="R2869" s="381"/>
      <c r="S2869" s="408"/>
      <c r="T2869" s="385"/>
      <c r="U2869" s="475"/>
      <c r="V2869" s="395"/>
      <c r="W2869" s="395"/>
      <c r="X2869" s="528"/>
      <c r="Y2869" s="523"/>
      <c r="Z2869" s="393"/>
      <c r="AA2869" s="394"/>
      <c r="AB2869" s="394"/>
      <c r="AC2869" s="394"/>
      <c r="AD2869" s="394"/>
      <c r="AE2869" s="394"/>
      <c r="AF2869" s="394"/>
      <c r="AG2869" s="394"/>
      <c r="AH2869" s="394"/>
      <c r="AI2869" s="394"/>
      <c r="AJ2869" s="394"/>
      <c r="AK2869" s="381"/>
      <c r="AL2869" s="408"/>
      <c r="AM2869" s="385"/>
      <c r="AN2869" s="475"/>
      <c r="AO2869" s="395"/>
      <c r="AP2869" s="395"/>
      <c r="AQ2869" s="528"/>
      <c r="AR2869" s="523">
        <v>1</v>
      </c>
      <c r="AS2869" s="393"/>
      <c r="AT2869" s="600">
        <v>19.010649999999998</v>
      </c>
      <c r="AU2869" s="394">
        <v>16.206140000000001</v>
      </c>
      <c r="AV2869" s="394">
        <v>15.15868</v>
      </c>
      <c r="AW2869" s="394"/>
      <c r="AX2869" s="394"/>
      <c r="AY2869" s="394">
        <v>0</v>
      </c>
      <c r="AZ2869" s="394">
        <v>0</v>
      </c>
      <c r="BA2869" s="394">
        <v>0.65381</v>
      </c>
      <c r="BB2869" s="394">
        <v>15.15868</v>
      </c>
      <c r="BC2869" s="394"/>
      <c r="BD2869" s="381" t="s">
        <v>167</v>
      </c>
      <c r="BE2869" s="408" t="s">
        <v>175</v>
      </c>
      <c r="BF2869" s="385"/>
      <c r="BG2869" s="475">
        <v>819</v>
      </c>
      <c r="BH2869" s="395"/>
      <c r="BI2869" s="395">
        <f t="shared" si="1059"/>
        <v>19.010649999999998</v>
      </c>
    </row>
    <row r="2870" spans="1:61" s="358" customFormat="1" ht="19.2" x14ac:dyDescent="0.3">
      <c r="A2870" s="359" t="s">
        <v>372</v>
      </c>
      <c r="B2870" s="602" t="s">
        <v>1849</v>
      </c>
      <c r="C2870" s="548" t="s">
        <v>5206</v>
      </c>
      <c r="D2870" s="360">
        <v>0.4</v>
      </c>
      <c r="E2870" s="528"/>
      <c r="F2870" s="523"/>
      <c r="G2870" s="393"/>
      <c r="H2870" s="394"/>
      <c r="I2870" s="394"/>
      <c r="J2870" s="394"/>
      <c r="K2870" s="394"/>
      <c r="L2870" s="394"/>
      <c r="M2870" s="394"/>
      <c r="N2870" s="394"/>
      <c r="O2870" s="394"/>
      <c r="P2870" s="394"/>
      <c r="Q2870" s="394"/>
      <c r="R2870" s="381"/>
      <c r="S2870" s="408"/>
      <c r="T2870" s="385"/>
      <c r="U2870" s="475"/>
      <c r="V2870" s="395"/>
      <c r="W2870" s="395"/>
      <c r="X2870" s="528"/>
      <c r="Y2870" s="523"/>
      <c r="Z2870" s="393"/>
      <c r="AA2870" s="394"/>
      <c r="AB2870" s="394"/>
      <c r="AC2870" s="394"/>
      <c r="AD2870" s="394"/>
      <c r="AE2870" s="394"/>
      <c r="AF2870" s="394"/>
      <c r="AG2870" s="394"/>
      <c r="AH2870" s="394"/>
      <c r="AI2870" s="394"/>
      <c r="AJ2870" s="394"/>
      <c r="AK2870" s="381"/>
      <c r="AL2870" s="408"/>
      <c r="AM2870" s="385"/>
      <c r="AN2870" s="475"/>
      <c r="AO2870" s="395"/>
      <c r="AP2870" s="395"/>
      <c r="AQ2870" s="528"/>
      <c r="AR2870" s="523">
        <v>1</v>
      </c>
      <c r="AS2870" s="393"/>
      <c r="AT2870" s="600">
        <v>19.010639999999999</v>
      </c>
      <c r="AU2870" s="394">
        <v>16.206130000000002</v>
      </c>
      <c r="AV2870" s="394">
        <v>15.15868</v>
      </c>
      <c r="AW2870" s="394"/>
      <c r="AX2870" s="394"/>
      <c r="AY2870" s="394">
        <v>0</v>
      </c>
      <c r="AZ2870" s="394">
        <v>0</v>
      </c>
      <c r="BA2870" s="394">
        <v>0.65381</v>
      </c>
      <c r="BB2870" s="394">
        <v>15.15868</v>
      </c>
      <c r="BC2870" s="394"/>
      <c r="BD2870" s="381" t="s">
        <v>167</v>
      </c>
      <c r="BE2870" s="408" t="s">
        <v>175</v>
      </c>
      <c r="BF2870" s="385"/>
      <c r="BG2870" s="475">
        <v>820</v>
      </c>
      <c r="BH2870" s="395"/>
      <c r="BI2870" s="395">
        <f t="shared" ref="BI2870" si="1089">AT2870/AR2870</f>
        <v>19.010639999999999</v>
      </c>
    </row>
    <row r="2871" spans="1:61" s="358" customFormat="1" ht="19.2" x14ac:dyDescent="0.3">
      <c r="A2871" s="359" t="s">
        <v>373</v>
      </c>
      <c r="B2871" s="602" t="s">
        <v>5207</v>
      </c>
      <c r="C2871" s="548" t="s">
        <v>5208</v>
      </c>
      <c r="D2871" s="360">
        <v>0.4</v>
      </c>
      <c r="E2871" s="528"/>
      <c r="F2871" s="523"/>
      <c r="G2871" s="393"/>
      <c r="H2871" s="394"/>
      <c r="I2871" s="394"/>
      <c r="J2871" s="394"/>
      <c r="K2871" s="394"/>
      <c r="L2871" s="394"/>
      <c r="M2871" s="394"/>
      <c r="N2871" s="394"/>
      <c r="O2871" s="394"/>
      <c r="P2871" s="394"/>
      <c r="Q2871" s="394"/>
      <c r="R2871" s="381"/>
      <c r="S2871" s="408"/>
      <c r="T2871" s="385"/>
      <c r="U2871" s="475"/>
      <c r="V2871" s="395"/>
      <c r="W2871" s="395"/>
      <c r="X2871" s="528"/>
      <c r="Y2871" s="523"/>
      <c r="Z2871" s="393"/>
      <c r="AA2871" s="394"/>
      <c r="AB2871" s="394"/>
      <c r="AC2871" s="394"/>
      <c r="AD2871" s="394"/>
      <c r="AE2871" s="394"/>
      <c r="AF2871" s="394"/>
      <c r="AG2871" s="394"/>
      <c r="AH2871" s="394"/>
      <c r="AI2871" s="394"/>
      <c r="AJ2871" s="394"/>
      <c r="AK2871" s="381"/>
      <c r="AL2871" s="408"/>
      <c r="AM2871" s="385"/>
      <c r="AN2871" s="475"/>
      <c r="AO2871" s="395"/>
      <c r="AP2871" s="395"/>
      <c r="AQ2871" s="528"/>
      <c r="AR2871" s="523">
        <v>1</v>
      </c>
      <c r="AS2871" s="393"/>
      <c r="AT2871" s="600">
        <v>19.010660000000001</v>
      </c>
      <c r="AU2871" s="394">
        <v>16.206150000000001</v>
      </c>
      <c r="AV2871" s="394">
        <v>15.15868</v>
      </c>
      <c r="AW2871" s="394"/>
      <c r="AX2871" s="394"/>
      <c r="AY2871" s="394">
        <v>0</v>
      </c>
      <c r="AZ2871" s="394">
        <v>0</v>
      </c>
      <c r="BA2871" s="394">
        <v>0.65381</v>
      </c>
      <c r="BB2871" s="394">
        <v>15.15868</v>
      </c>
      <c r="BC2871" s="394"/>
      <c r="BD2871" s="381" t="s">
        <v>167</v>
      </c>
      <c r="BE2871" s="408" t="s">
        <v>175</v>
      </c>
      <c r="BF2871" s="385"/>
      <c r="BG2871" s="475">
        <v>821</v>
      </c>
      <c r="BH2871" s="395"/>
      <c r="BI2871" s="395">
        <f t="shared" si="1059"/>
        <v>19.010660000000001</v>
      </c>
    </row>
    <row r="2872" spans="1:61" s="358" customFormat="1" ht="19.2" x14ac:dyDescent="0.3">
      <c r="A2872" s="359" t="s">
        <v>374</v>
      </c>
      <c r="B2872" s="602" t="s">
        <v>5209</v>
      </c>
      <c r="C2872" s="548" t="s">
        <v>5210</v>
      </c>
      <c r="D2872" s="360">
        <v>0.4</v>
      </c>
      <c r="E2872" s="528"/>
      <c r="F2872" s="523"/>
      <c r="G2872" s="393"/>
      <c r="H2872" s="394"/>
      <c r="I2872" s="394"/>
      <c r="J2872" s="394"/>
      <c r="K2872" s="394"/>
      <c r="L2872" s="394"/>
      <c r="M2872" s="394"/>
      <c r="N2872" s="394"/>
      <c r="O2872" s="394"/>
      <c r="P2872" s="394"/>
      <c r="Q2872" s="394"/>
      <c r="R2872" s="381"/>
      <c r="S2872" s="408"/>
      <c r="T2872" s="385"/>
      <c r="U2872" s="475"/>
      <c r="V2872" s="395"/>
      <c r="W2872" s="395"/>
      <c r="X2872" s="528"/>
      <c r="Y2872" s="523"/>
      <c r="Z2872" s="393"/>
      <c r="AA2872" s="394"/>
      <c r="AB2872" s="394"/>
      <c r="AC2872" s="394"/>
      <c r="AD2872" s="394"/>
      <c r="AE2872" s="394"/>
      <c r="AF2872" s="394"/>
      <c r="AG2872" s="394"/>
      <c r="AH2872" s="394"/>
      <c r="AI2872" s="394"/>
      <c r="AJ2872" s="394"/>
      <c r="AK2872" s="381"/>
      <c r="AL2872" s="408"/>
      <c r="AM2872" s="385"/>
      <c r="AN2872" s="475"/>
      <c r="AO2872" s="395"/>
      <c r="AP2872" s="395"/>
      <c r="AQ2872" s="528"/>
      <c r="AR2872" s="523">
        <v>1</v>
      </c>
      <c r="AS2872" s="393"/>
      <c r="AT2872" s="600">
        <v>19.010639999999999</v>
      </c>
      <c r="AU2872" s="394">
        <v>16.206130000000002</v>
      </c>
      <c r="AV2872" s="394">
        <v>15.15868</v>
      </c>
      <c r="AW2872" s="394"/>
      <c r="AX2872" s="394"/>
      <c r="AY2872" s="394">
        <v>0</v>
      </c>
      <c r="AZ2872" s="394">
        <v>0</v>
      </c>
      <c r="BA2872" s="394">
        <v>0.65381</v>
      </c>
      <c r="BB2872" s="394">
        <v>15.15868</v>
      </c>
      <c r="BC2872" s="394"/>
      <c r="BD2872" s="381" t="s">
        <v>167</v>
      </c>
      <c r="BE2872" s="408" t="s">
        <v>175</v>
      </c>
      <c r="BF2872" s="385"/>
      <c r="BG2872" s="475">
        <v>822</v>
      </c>
      <c r="BH2872" s="395"/>
      <c r="BI2872" s="395">
        <f t="shared" ref="BI2872" si="1090">AT2872/AR2872</f>
        <v>19.010639999999999</v>
      </c>
    </row>
    <row r="2873" spans="1:61" s="358" customFormat="1" ht="19.2" x14ac:dyDescent="0.3">
      <c r="A2873" s="359" t="s">
        <v>375</v>
      </c>
      <c r="B2873" s="602" t="s">
        <v>5211</v>
      </c>
      <c r="C2873" s="548" t="s">
        <v>5212</v>
      </c>
      <c r="D2873" s="360">
        <v>0.4</v>
      </c>
      <c r="E2873" s="528"/>
      <c r="F2873" s="523"/>
      <c r="G2873" s="393"/>
      <c r="H2873" s="394"/>
      <c r="I2873" s="394"/>
      <c r="J2873" s="394"/>
      <c r="K2873" s="394"/>
      <c r="L2873" s="394"/>
      <c r="M2873" s="394"/>
      <c r="N2873" s="394"/>
      <c r="O2873" s="394"/>
      <c r="P2873" s="394"/>
      <c r="Q2873" s="394"/>
      <c r="R2873" s="381"/>
      <c r="S2873" s="408"/>
      <c r="T2873" s="385"/>
      <c r="U2873" s="475"/>
      <c r="V2873" s="395"/>
      <c r="W2873" s="395"/>
      <c r="X2873" s="528"/>
      <c r="Y2873" s="523"/>
      <c r="Z2873" s="393"/>
      <c r="AA2873" s="394"/>
      <c r="AB2873" s="394"/>
      <c r="AC2873" s="394"/>
      <c r="AD2873" s="394"/>
      <c r="AE2873" s="394"/>
      <c r="AF2873" s="394"/>
      <c r="AG2873" s="394"/>
      <c r="AH2873" s="394"/>
      <c r="AI2873" s="394"/>
      <c r="AJ2873" s="394"/>
      <c r="AK2873" s="381"/>
      <c r="AL2873" s="408"/>
      <c r="AM2873" s="385"/>
      <c r="AN2873" s="475"/>
      <c r="AO2873" s="395"/>
      <c r="AP2873" s="395"/>
      <c r="AQ2873" s="528"/>
      <c r="AR2873" s="523">
        <v>1</v>
      </c>
      <c r="AS2873" s="393"/>
      <c r="AT2873" s="600">
        <v>19.010649999999998</v>
      </c>
      <c r="AU2873" s="394">
        <v>16.206140000000001</v>
      </c>
      <c r="AV2873" s="394">
        <v>15.15868</v>
      </c>
      <c r="AW2873" s="394"/>
      <c r="AX2873" s="394"/>
      <c r="AY2873" s="394">
        <v>0</v>
      </c>
      <c r="AZ2873" s="394">
        <v>0</v>
      </c>
      <c r="BA2873" s="394">
        <v>0.65381</v>
      </c>
      <c r="BB2873" s="394">
        <v>15.15868</v>
      </c>
      <c r="BC2873" s="394"/>
      <c r="BD2873" s="381" t="s">
        <v>167</v>
      </c>
      <c r="BE2873" s="408" t="s">
        <v>175</v>
      </c>
      <c r="BF2873" s="385"/>
      <c r="BG2873" s="475">
        <v>823</v>
      </c>
      <c r="BH2873" s="395"/>
      <c r="BI2873" s="395">
        <f t="shared" si="1059"/>
        <v>19.010649999999998</v>
      </c>
    </row>
    <row r="2874" spans="1:61" s="358" customFormat="1" ht="19.2" x14ac:dyDescent="0.3">
      <c r="A2874" s="359" t="s">
        <v>376</v>
      </c>
      <c r="B2874" s="602" t="s">
        <v>5213</v>
      </c>
      <c r="C2874" s="548" t="s">
        <v>5214</v>
      </c>
      <c r="D2874" s="360">
        <v>0.4</v>
      </c>
      <c r="E2874" s="528"/>
      <c r="F2874" s="523"/>
      <c r="G2874" s="393"/>
      <c r="H2874" s="394"/>
      <c r="I2874" s="394"/>
      <c r="J2874" s="394"/>
      <c r="K2874" s="394"/>
      <c r="L2874" s="394"/>
      <c r="M2874" s="394"/>
      <c r="N2874" s="394"/>
      <c r="O2874" s="394"/>
      <c r="P2874" s="394"/>
      <c r="Q2874" s="394"/>
      <c r="R2874" s="381"/>
      <c r="S2874" s="408"/>
      <c r="T2874" s="385"/>
      <c r="U2874" s="475"/>
      <c r="V2874" s="395"/>
      <c r="W2874" s="395"/>
      <c r="X2874" s="528"/>
      <c r="Y2874" s="523"/>
      <c r="Z2874" s="393"/>
      <c r="AA2874" s="394"/>
      <c r="AB2874" s="394"/>
      <c r="AC2874" s="394"/>
      <c r="AD2874" s="394"/>
      <c r="AE2874" s="394"/>
      <c r="AF2874" s="394"/>
      <c r="AG2874" s="394"/>
      <c r="AH2874" s="394"/>
      <c r="AI2874" s="394"/>
      <c r="AJ2874" s="394"/>
      <c r="AK2874" s="381"/>
      <c r="AL2874" s="408"/>
      <c r="AM2874" s="385"/>
      <c r="AN2874" s="475"/>
      <c r="AO2874" s="395"/>
      <c r="AP2874" s="395"/>
      <c r="AQ2874" s="528"/>
      <c r="AR2874" s="523">
        <v>1</v>
      </c>
      <c r="AS2874" s="393"/>
      <c r="AT2874" s="600">
        <v>19.010660000000001</v>
      </c>
      <c r="AU2874" s="394">
        <v>16.206150000000001</v>
      </c>
      <c r="AV2874" s="394">
        <v>15.15868</v>
      </c>
      <c r="AW2874" s="394"/>
      <c r="AX2874" s="394"/>
      <c r="AY2874" s="394">
        <v>0</v>
      </c>
      <c r="AZ2874" s="394">
        <v>0</v>
      </c>
      <c r="BA2874" s="394">
        <v>0.65381</v>
      </c>
      <c r="BB2874" s="394">
        <v>15.15868</v>
      </c>
      <c r="BC2874" s="394"/>
      <c r="BD2874" s="381" t="s">
        <v>167</v>
      </c>
      <c r="BE2874" s="408" t="s">
        <v>175</v>
      </c>
      <c r="BF2874" s="385"/>
      <c r="BG2874" s="475">
        <v>824</v>
      </c>
      <c r="BH2874" s="395"/>
      <c r="BI2874" s="395">
        <f t="shared" ref="BI2874" si="1091">AT2874/AR2874</f>
        <v>19.010660000000001</v>
      </c>
    </row>
    <row r="2875" spans="1:61" s="358" customFormat="1" ht="19.2" x14ac:dyDescent="0.3">
      <c r="A2875" s="359" t="s">
        <v>377</v>
      </c>
      <c r="B2875" s="602" t="s">
        <v>4642</v>
      </c>
      <c r="C2875" s="548" t="s">
        <v>4639</v>
      </c>
      <c r="D2875" s="360">
        <v>0.4</v>
      </c>
      <c r="E2875" s="528"/>
      <c r="F2875" s="523"/>
      <c r="G2875" s="393"/>
      <c r="H2875" s="394"/>
      <c r="I2875" s="394"/>
      <c r="J2875" s="394"/>
      <c r="K2875" s="394"/>
      <c r="L2875" s="394"/>
      <c r="M2875" s="394"/>
      <c r="N2875" s="394"/>
      <c r="O2875" s="394"/>
      <c r="P2875" s="394"/>
      <c r="Q2875" s="394"/>
      <c r="R2875" s="381"/>
      <c r="S2875" s="408"/>
      <c r="T2875" s="385"/>
      <c r="U2875" s="475"/>
      <c r="V2875" s="395"/>
      <c r="W2875" s="395"/>
      <c r="X2875" s="528"/>
      <c r="Y2875" s="523"/>
      <c r="Z2875" s="393"/>
      <c r="AA2875" s="394"/>
      <c r="AB2875" s="394"/>
      <c r="AC2875" s="394"/>
      <c r="AD2875" s="394"/>
      <c r="AE2875" s="394"/>
      <c r="AF2875" s="394"/>
      <c r="AG2875" s="394"/>
      <c r="AH2875" s="394"/>
      <c r="AI2875" s="394"/>
      <c r="AJ2875" s="394"/>
      <c r="AK2875" s="381"/>
      <c r="AL2875" s="408"/>
      <c r="AM2875" s="385"/>
      <c r="AN2875" s="475"/>
      <c r="AO2875" s="395"/>
      <c r="AP2875" s="395"/>
      <c r="AQ2875" s="528"/>
      <c r="AR2875" s="523">
        <v>1</v>
      </c>
      <c r="AS2875" s="393"/>
      <c r="AT2875" s="600">
        <v>19.010649999999998</v>
      </c>
      <c r="AU2875" s="394">
        <v>16.206140000000001</v>
      </c>
      <c r="AV2875" s="394">
        <v>15.15868</v>
      </c>
      <c r="AW2875" s="394"/>
      <c r="AX2875" s="394"/>
      <c r="AY2875" s="394">
        <v>0</v>
      </c>
      <c r="AZ2875" s="394">
        <v>0</v>
      </c>
      <c r="BA2875" s="394">
        <v>0.65381</v>
      </c>
      <c r="BB2875" s="394">
        <v>15.15868</v>
      </c>
      <c r="BC2875" s="394"/>
      <c r="BD2875" s="381" t="s">
        <v>167</v>
      </c>
      <c r="BE2875" s="408" t="s">
        <v>175</v>
      </c>
      <c r="BF2875" s="385"/>
      <c r="BG2875" s="475">
        <v>825</v>
      </c>
      <c r="BH2875" s="395"/>
      <c r="BI2875" s="395">
        <f t="shared" si="1059"/>
        <v>19.010649999999998</v>
      </c>
    </row>
    <row r="2876" spans="1:61" s="358" customFormat="1" ht="19.2" x14ac:dyDescent="0.3">
      <c r="A2876" s="359" t="s">
        <v>378</v>
      </c>
      <c r="B2876" s="602" t="s">
        <v>4675</v>
      </c>
      <c r="C2876" s="548" t="s">
        <v>4674</v>
      </c>
      <c r="D2876" s="360">
        <v>0.4</v>
      </c>
      <c r="E2876" s="528"/>
      <c r="F2876" s="523"/>
      <c r="G2876" s="393"/>
      <c r="H2876" s="394"/>
      <c r="I2876" s="394"/>
      <c r="J2876" s="394"/>
      <c r="K2876" s="394"/>
      <c r="L2876" s="394"/>
      <c r="M2876" s="394"/>
      <c r="N2876" s="394"/>
      <c r="O2876" s="394"/>
      <c r="P2876" s="394"/>
      <c r="Q2876" s="394"/>
      <c r="R2876" s="381"/>
      <c r="S2876" s="408"/>
      <c r="T2876" s="385"/>
      <c r="U2876" s="475"/>
      <c r="V2876" s="395"/>
      <c r="W2876" s="395"/>
      <c r="X2876" s="528"/>
      <c r="Y2876" s="523"/>
      <c r="Z2876" s="393"/>
      <c r="AA2876" s="394"/>
      <c r="AB2876" s="394"/>
      <c r="AC2876" s="394"/>
      <c r="AD2876" s="394"/>
      <c r="AE2876" s="394"/>
      <c r="AF2876" s="394"/>
      <c r="AG2876" s="394"/>
      <c r="AH2876" s="394"/>
      <c r="AI2876" s="394"/>
      <c r="AJ2876" s="394"/>
      <c r="AK2876" s="381"/>
      <c r="AL2876" s="408"/>
      <c r="AM2876" s="385"/>
      <c r="AN2876" s="475"/>
      <c r="AO2876" s="395"/>
      <c r="AP2876" s="395"/>
      <c r="AQ2876" s="528"/>
      <c r="AR2876" s="523">
        <v>1</v>
      </c>
      <c r="AS2876" s="393"/>
      <c r="AT2876" s="600">
        <v>19.010660000000001</v>
      </c>
      <c r="AU2876" s="394">
        <v>16.206150000000001</v>
      </c>
      <c r="AV2876" s="394">
        <v>15.15868</v>
      </c>
      <c r="AW2876" s="394"/>
      <c r="AX2876" s="394"/>
      <c r="AY2876" s="394">
        <v>0</v>
      </c>
      <c r="AZ2876" s="394">
        <v>0</v>
      </c>
      <c r="BA2876" s="394">
        <v>0.65381</v>
      </c>
      <c r="BB2876" s="394">
        <v>15.15868</v>
      </c>
      <c r="BC2876" s="394"/>
      <c r="BD2876" s="381" t="s">
        <v>167</v>
      </c>
      <c r="BE2876" s="408" t="s">
        <v>175</v>
      </c>
      <c r="BF2876" s="385"/>
      <c r="BG2876" s="475">
        <v>826</v>
      </c>
      <c r="BH2876" s="395"/>
      <c r="BI2876" s="395">
        <f t="shared" ref="BI2876" si="1092">AT2876/AR2876</f>
        <v>19.010660000000001</v>
      </c>
    </row>
    <row r="2877" spans="1:61" s="358" customFormat="1" ht="19.2" x14ac:dyDescent="0.3">
      <c r="A2877" s="359" t="s">
        <v>379</v>
      </c>
      <c r="B2877" s="602" t="s">
        <v>4695</v>
      </c>
      <c r="C2877" s="548" t="s">
        <v>4696</v>
      </c>
      <c r="D2877" s="360">
        <v>0.4</v>
      </c>
      <c r="E2877" s="528"/>
      <c r="F2877" s="523"/>
      <c r="G2877" s="393"/>
      <c r="H2877" s="394"/>
      <c r="I2877" s="394"/>
      <c r="J2877" s="394"/>
      <c r="K2877" s="394"/>
      <c r="L2877" s="394"/>
      <c r="M2877" s="394"/>
      <c r="N2877" s="394"/>
      <c r="O2877" s="394"/>
      <c r="P2877" s="394"/>
      <c r="Q2877" s="394"/>
      <c r="R2877" s="381"/>
      <c r="S2877" s="408"/>
      <c r="T2877" s="385"/>
      <c r="U2877" s="475"/>
      <c r="V2877" s="395"/>
      <c r="W2877" s="395"/>
      <c r="X2877" s="528"/>
      <c r="Y2877" s="523"/>
      <c r="Z2877" s="393"/>
      <c r="AA2877" s="394"/>
      <c r="AB2877" s="394"/>
      <c r="AC2877" s="394"/>
      <c r="AD2877" s="394"/>
      <c r="AE2877" s="394"/>
      <c r="AF2877" s="394"/>
      <c r="AG2877" s="394"/>
      <c r="AH2877" s="394"/>
      <c r="AI2877" s="394"/>
      <c r="AJ2877" s="394"/>
      <c r="AK2877" s="381"/>
      <c r="AL2877" s="408"/>
      <c r="AM2877" s="385"/>
      <c r="AN2877" s="475"/>
      <c r="AO2877" s="395"/>
      <c r="AP2877" s="395"/>
      <c r="AQ2877" s="528"/>
      <c r="AR2877" s="523">
        <v>1</v>
      </c>
      <c r="AS2877" s="393"/>
      <c r="AT2877" s="600">
        <v>19.010649999999998</v>
      </c>
      <c r="AU2877" s="394">
        <v>16.206140000000001</v>
      </c>
      <c r="AV2877" s="394">
        <v>15.15868</v>
      </c>
      <c r="AW2877" s="394"/>
      <c r="AX2877" s="394"/>
      <c r="AY2877" s="394">
        <v>0</v>
      </c>
      <c r="AZ2877" s="394">
        <v>0</v>
      </c>
      <c r="BA2877" s="394">
        <v>0.65381</v>
      </c>
      <c r="BB2877" s="394">
        <v>15.15868</v>
      </c>
      <c r="BC2877" s="394"/>
      <c r="BD2877" s="381" t="s">
        <v>167</v>
      </c>
      <c r="BE2877" s="408" t="s">
        <v>175</v>
      </c>
      <c r="BF2877" s="385"/>
      <c r="BG2877" s="475">
        <v>827</v>
      </c>
      <c r="BH2877" s="395"/>
      <c r="BI2877" s="395">
        <f t="shared" si="1059"/>
        <v>19.010649999999998</v>
      </c>
    </row>
    <row r="2878" spans="1:61" s="358" customFormat="1" ht="19.2" x14ac:dyDescent="0.3">
      <c r="A2878" s="359" t="s">
        <v>380</v>
      </c>
      <c r="B2878" s="602" t="s">
        <v>551</v>
      </c>
      <c r="C2878" s="548" t="s">
        <v>416</v>
      </c>
      <c r="D2878" s="360">
        <v>0.4</v>
      </c>
      <c r="E2878" s="528"/>
      <c r="F2878" s="523"/>
      <c r="G2878" s="393"/>
      <c r="H2878" s="394"/>
      <c r="I2878" s="394"/>
      <c r="J2878" s="394"/>
      <c r="K2878" s="394"/>
      <c r="L2878" s="394"/>
      <c r="M2878" s="394"/>
      <c r="N2878" s="394"/>
      <c r="O2878" s="394"/>
      <c r="P2878" s="394"/>
      <c r="Q2878" s="394"/>
      <c r="R2878" s="381"/>
      <c r="S2878" s="408"/>
      <c r="T2878" s="385"/>
      <c r="U2878" s="475"/>
      <c r="V2878" s="395"/>
      <c r="W2878" s="395"/>
      <c r="X2878" s="528"/>
      <c r="Y2878" s="523"/>
      <c r="Z2878" s="393"/>
      <c r="AA2878" s="394"/>
      <c r="AB2878" s="394"/>
      <c r="AC2878" s="394"/>
      <c r="AD2878" s="394"/>
      <c r="AE2878" s="394"/>
      <c r="AF2878" s="394"/>
      <c r="AG2878" s="394"/>
      <c r="AH2878" s="394"/>
      <c r="AI2878" s="394"/>
      <c r="AJ2878" s="394"/>
      <c r="AK2878" s="381"/>
      <c r="AL2878" s="408"/>
      <c r="AM2878" s="385"/>
      <c r="AN2878" s="475"/>
      <c r="AO2878" s="395"/>
      <c r="AP2878" s="395"/>
      <c r="AQ2878" s="528"/>
      <c r="AR2878" s="523">
        <v>1</v>
      </c>
      <c r="AS2878" s="393"/>
      <c r="AT2878" s="600">
        <v>19.010649999999998</v>
      </c>
      <c r="AU2878" s="394">
        <v>16.206140000000001</v>
      </c>
      <c r="AV2878" s="394">
        <v>15.15868</v>
      </c>
      <c r="AW2878" s="394"/>
      <c r="AX2878" s="394"/>
      <c r="AY2878" s="394">
        <v>0</v>
      </c>
      <c r="AZ2878" s="394">
        <v>0</v>
      </c>
      <c r="BA2878" s="394">
        <v>0.65381</v>
      </c>
      <c r="BB2878" s="394">
        <v>15.15868</v>
      </c>
      <c r="BC2878" s="394"/>
      <c r="BD2878" s="381" t="s">
        <v>167</v>
      </c>
      <c r="BE2878" s="408" t="s">
        <v>175</v>
      </c>
      <c r="BF2878" s="385"/>
      <c r="BG2878" s="475">
        <v>828</v>
      </c>
      <c r="BH2878" s="395"/>
      <c r="BI2878" s="395">
        <f t="shared" ref="BI2878" si="1093">AT2878/AR2878</f>
        <v>19.010649999999998</v>
      </c>
    </row>
    <row r="2879" spans="1:61" s="358" customFormat="1" ht="19.2" x14ac:dyDescent="0.3">
      <c r="A2879" s="359" t="s">
        <v>381</v>
      </c>
      <c r="B2879" s="602" t="s">
        <v>551</v>
      </c>
      <c r="C2879" s="548" t="s">
        <v>415</v>
      </c>
      <c r="D2879" s="360">
        <v>0.4</v>
      </c>
      <c r="E2879" s="528"/>
      <c r="F2879" s="523"/>
      <c r="G2879" s="393"/>
      <c r="H2879" s="394"/>
      <c r="I2879" s="394"/>
      <c r="J2879" s="394"/>
      <c r="K2879" s="394"/>
      <c r="L2879" s="394"/>
      <c r="M2879" s="394"/>
      <c r="N2879" s="394"/>
      <c r="O2879" s="394"/>
      <c r="P2879" s="394"/>
      <c r="Q2879" s="394"/>
      <c r="R2879" s="381"/>
      <c r="S2879" s="408"/>
      <c r="T2879" s="385"/>
      <c r="U2879" s="475"/>
      <c r="V2879" s="395"/>
      <c r="W2879" s="395"/>
      <c r="X2879" s="528"/>
      <c r="Y2879" s="523"/>
      <c r="Z2879" s="393"/>
      <c r="AA2879" s="394"/>
      <c r="AB2879" s="394"/>
      <c r="AC2879" s="394"/>
      <c r="AD2879" s="394"/>
      <c r="AE2879" s="394"/>
      <c r="AF2879" s="394"/>
      <c r="AG2879" s="394"/>
      <c r="AH2879" s="394"/>
      <c r="AI2879" s="394"/>
      <c r="AJ2879" s="394"/>
      <c r="AK2879" s="381"/>
      <c r="AL2879" s="408"/>
      <c r="AM2879" s="385"/>
      <c r="AN2879" s="475"/>
      <c r="AO2879" s="395"/>
      <c r="AP2879" s="395"/>
      <c r="AQ2879" s="528"/>
      <c r="AR2879" s="523">
        <v>1</v>
      </c>
      <c r="AS2879" s="393"/>
      <c r="AT2879" s="600">
        <v>19.010660000000001</v>
      </c>
      <c r="AU2879" s="394">
        <v>16.206150000000001</v>
      </c>
      <c r="AV2879" s="394">
        <v>15.15868</v>
      </c>
      <c r="AW2879" s="394"/>
      <c r="AX2879" s="394"/>
      <c r="AY2879" s="394">
        <v>0</v>
      </c>
      <c r="AZ2879" s="394">
        <v>0</v>
      </c>
      <c r="BA2879" s="394">
        <v>0.65381</v>
      </c>
      <c r="BB2879" s="394">
        <v>15.15868</v>
      </c>
      <c r="BC2879" s="394"/>
      <c r="BD2879" s="381" t="s">
        <v>167</v>
      </c>
      <c r="BE2879" s="408" t="s">
        <v>175</v>
      </c>
      <c r="BF2879" s="385"/>
      <c r="BG2879" s="475">
        <v>829</v>
      </c>
      <c r="BH2879" s="395"/>
      <c r="BI2879" s="395">
        <f t="shared" si="1059"/>
        <v>19.010660000000001</v>
      </c>
    </row>
    <row r="2880" spans="1:61" s="358" customFormat="1" ht="19.2" x14ac:dyDescent="0.3">
      <c r="A2880" s="359" t="s">
        <v>382</v>
      </c>
      <c r="B2880" s="602" t="s">
        <v>4267</v>
      </c>
      <c r="C2880" s="548" t="s">
        <v>5215</v>
      </c>
      <c r="D2880" s="360">
        <v>0.4</v>
      </c>
      <c r="E2880" s="528"/>
      <c r="F2880" s="523"/>
      <c r="G2880" s="393"/>
      <c r="H2880" s="394"/>
      <c r="I2880" s="394"/>
      <c r="J2880" s="394"/>
      <c r="K2880" s="394"/>
      <c r="L2880" s="394"/>
      <c r="M2880" s="394"/>
      <c r="N2880" s="394"/>
      <c r="O2880" s="394"/>
      <c r="P2880" s="394"/>
      <c r="Q2880" s="394"/>
      <c r="R2880" s="381"/>
      <c r="S2880" s="408"/>
      <c r="T2880" s="385"/>
      <c r="U2880" s="475"/>
      <c r="V2880" s="395"/>
      <c r="W2880" s="395"/>
      <c r="X2880" s="528"/>
      <c r="Y2880" s="523"/>
      <c r="Z2880" s="393"/>
      <c r="AA2880" s="394"/>
      <c r="AB2880" s="394"/>
      <c r="AC2880" s="394"/>
      <c r="AD2880" s="394"/>
      <c r="AE2880" s="394"/>
      <c r="AF2880" s="394"/>
      <c r="AG2880" s="394"/>
      <c r="AH2880" s="394"/>
      <c r="AI2880" s="394"/>
      <c r="AJ2880" s="394"/>
      <c r="AK2880" s="381"/>
      <c r="AL2880" s="408"/>
      <c r="AM2880" s="385"/>
      <c r="AN2880" s="475"/>
      <c r="AO2880" s="395"/>
      <c r="AP2880" s="395"/>
      <c r="AQ2880" s="528"/>
      <c r="AR2880" s="523">
        <v>1</v>
      </c>
      <c r="AS2880" s="393"/>
      <c r="AT2880" s="600">
        <v>19.010649999999998</v>
      </c>
      <c r="AU2880" s="394">
        <v>16.206140000000001</v>
      </c>
      <c r="AV2880" s="394">
        <v>15.15868</v>
      </c>
      <c r="AW2880" s="394"/>
      <c r="AX2880" s="394"/>
      <c r="AY2880" s="394">
        <v>0</v>
      </c>
      <c r="AZ2880" s="394">
        <v>0</v>
      </c>
      <c r="BA2880" s="394">
        <v>0.65381</v>
      </c>
      <c r="BB2880" s="394">
        <v>15.15868</v>
      </c>
      <c r="BC2880" s="394"/>
      <c r="BD2880" s="381" t="s">
        <v>167</v>
      </c>
      <c r="BE2880" s="408" t="s">
        <v>175</v>
      </c>
      <c r="BF2880" s="385"/>
      <c r="BG2880" s="475">
        <v>830</v>
      </c>
      <c r="BH2880" s="395"/>
      <c r="BI2880" s="395">
        <f t="shared" ref="BI2880" si="1094">AT2880/AR2880</f>
        <v>19.010649999999998</v>
      </c>
    </row>
    <row r="2881" spans="1:61" s="358" customFormat="1" ht="19.2" x14ac:dyDescent="0.3">
      <c r="A2881" s="359" t="s">
        <v>383</v>
      </c>
      <c r="B2881" s="602" t="s">
        <v>5216</v>
      </c>
      <c r="C2881" s="548" t="s">
        <v>5217</v>
      </c>
      <c r="D2881" s="360">
        <v>0.4</v>
      </c>
      <c r="E2881" s="528"/>
      <c r="F2881" s="523"/>
      <c r="G2881" s="393"/>
      <c r="H2881" s="394"/>
      <c r="I2881" s="394"/>
      <c r="J2881" s="394"/>
      <c r="K2881" s="394"/>
      <c r="L2881" s="394"/>
      <c r="M2881" s="394"/>
      <c r="N2881" s="394"/>
      <c r="O2881" s="394"/>
      <c r="P2881" s="394"/>
      <c r="Q2881" s="394"/>
      <c r="R2881" s="381"/>
      <c r="S2881" s="408"/>
      <c r="T2881" s="385"/>
      <c r="U2881" s="475"/>
      <c r="V2881" s="395"/>
      <c r="W2881" s="395"/>
      <c r="X2881" s="528"/>
      <c r="Y2881" s="523"/>
      <c r="Z2881" s="393"/>
      <c r="AA2881" s="394"/>
      <c r="AB2881" s="394"/>
      <c r="AC2881" s="394"/>
      <c r="AD2881" s="394"/>
      <c r="AE2881" s="394"/>
      <c r="AF2881" s="394"/>
      <c r="AG2881" s="394"/>
      <c r="AH2881" s="394"/>
      <c r="AI2881" s="394"/>
      <c r="AJ2881" s="394"/>
      <c r="AK2881" s="381"/>
      <c r="AL2881" s="408"/>
      <c r="AM2881" s="385"/>
      <c r="AN2881" s="475"/>
      <c r="AO2881" s="395"/>
      <c r="AP2881" s="395"/>
      <c r="AQ2881" s="528"/>
      <c r="AR2881" s="523">
        <v>1</v>
      </c>
      <c r="AS2881" s="393"/>
      <c r="AT2881" s="600">
        <v>19.010660000000001</v>
      </c>
      <c r="AU2881" s="394">
        <v>16.206150000000001</v>
      </c>
      <c r="AV2881" s="394">
        <v>15.15868</v>
      </c>
      <c r="AW2881" s="394"/>
      <c r="AX2881" s="394"/>
      <c r="AY2881" s="394">
        <v>0</v>
      </c>
      <c r="AZ2881" s="394">
        <v>0</v>
      </c>
      <c r="BA2881" s="394">
        <v>0.65381</v>
      </c>
      <c r="BB2881" s="394">
        <v>15.15868</v>
      </c>
      <c r="BC2881" s="394"/>
      <c r="BD2881" s="381" t="s">
        <v>167</v>
      </c>
      <c r="BE2881" s="408" t="s">
        <v>175</v>
      </c>
      <c r="BF2881" s="385"/>
      <c r="BG2881" s="475">
        <v>831</v>
      </c>
      <c r="BH2881" s="395"/>
      <c r="BI2881" s="395">
        <f t="shared" si="1059"/>
        <v>19.010660000000001</v>
      </c>
    </row>
    <row r="2882" spans="1:61" s="358" customFormat="1" ht="19.2" x14ac:dyDescent="0.3">
      <c r="A2882" s="359" t="s">
        <v>384</v>
      </c>
      <c r="B2882" s="602" t="s">
        <v>4671</v>
      </c>
      <c r="C2882" s="548" t="s">
        <v>4670</v>
      </c>
      <c r="D2882" s="360">
        <v>0.4</v>
      </c>
      <c r="E2882" s="528"/>
      <c r="F2882" s="523"/>
      <c r="G2882" s="393"/>
      <c r="H2882" s="394"/>
      <c r="I2882" s="394"/>
      <c r="J2882" s="394"/>
      <c r="K2882" s="394"/>
      <c r="L2882" s="394"/>
      <c r="M2882" s="394"/>
      <c r="N2882" s="394"/>
      <c r="O2882" s="394"/>
      <c r="P2882" s="394"/>
      <c r="Q2882" s="394"/>
      <c r="R2882" s="381"/>
      <c r="S2882" s="408"/>
      <c r="T2882" s="385"/>
      <c r="U2882" s="475"/>
      <c r="V2882" s="395"/>
      <c r="W2882" s="395"/>
      <c r="X2882" s="528"/>
      <c r="Y2882" s="523"/>
      <c r="Z2882" s="393"/>
      <c r="AA2882" s="394"/>
      <c r="AB2882" s="394"/>
      <c r="AC2882" s="394"/>
      <c r="AD2882" s="394"/>
      <c r="AE2882" s="394"/>
      <c r="AF2882" s="394"/>
      <c r="AG2882" s="394"/>
      <c r="AH2882" s="394"/>
      <c r="AI2882" s="394"/>
      <c r="AJ2882" s="394"/>
      <c r="AK2882" s="381"/>
      <c r="AL2882" s="408"/>
      <c r="AM2882" s="385"/>
      <c r="AN2882" s="475"/>
      <c r="AO2882" s="395"/>
      <c r="AP2882" s="395"/>
      <c r="AQ2882" s="528"/>
      <c r="AR2882" s="523">
        <v>1</v>
      </c>
      <c r="AS2882" s="393"/>
      <c r="AT2882" s="600">
        <v>19.010649999999998</v>
      </c>
      <c r="AU2882" s="394">
        <v>16.206140000000001</v>
      </c>
      <c r="AV2882" s="394">
        <v>15.15868</v>
      </c>
      <c r="AW2882" s="394"/>
      <c r="AX2882" s="394"/>
      <c r="AY2882" s="394">
        <v>0</v>
      </c>
      <c r="AZ2882" s="394">
        <v>0</v>
      </c>
      <c r="BA2882" s="394">
        <v>0.65381</v>
      </c>
      <c r="BB2882" s="394">
        <v>15.15868</v>
      </c>
      <c r="BC2882" s="394"/>
      <c r="BD2882" s="381" t="s">
        <v>167</v>
      </c>
      <c r="BE2882" s="408" t="s">
        <v>175</v>
      </c>
      <c r="BF2882" s="385"/>
      <c r="BG2882" s="475">
        <v>832</v>
      </c>
      <c r="BH2882" s="395"/>
      <c r="BI2882" s="395">
        <f t="shared" ref="BI2882" si="1095">AT2882/AR2882</f>
        <v>19.010649999999998</v>
      </c>
    </row>
    <row r="2883" spans="1:61" s="358" customFormat="1" ht="19.2" x14ac:dyDescent="0.3">
      <c r="A2883" s="359" t="s">
        <v>385</v>
      </c>
      <c r="B2883" s="602" t="s">
        <v>4673</v>
      </c>
      <c r="C2883" s="548" t="s">
        <v>4672</v>
      </c>
      <c r="D2883" s="360">
        <v>0.4</v>
      </c>
      <c r="E2883" s="528"/>
      <c r="F2883" s="523"/>
      <c r="G2883" s="393"/>
      <c r="H2883" s="394"/>
      <c r="I2883" s="394"/>
      <c r="J2883" s="394"/>
      <c r="K2883" s="394"/>
      <c r="L2883" s="394"/>
      <c r="M2883" s="394"/>
      <c r="N2883" s="394"/>
      <c r="O2883" s="394"/>
      <c r="P2883" s="394"/>
      <c r="Q2883" s="394"/>
      <c r="R2883" s="381"/>
      <c r="S2883" s="408"/>
      <c r="T2883" s="385"/>
      <c r="U2883" s="475"/>
      <c r="V2883" s="395"/>
      <c r="W2883" s="395"/>
      <c r="X2883" s="528"/>
      <c r="Y2883" s="523"/>
      <c r="Z2883" s="393"/>
      <c r="AA2883" s="394"/>
      <c r="AB2883" s="394"/>
      <c r="AC2883" s="394"/>
      <c r="AD2883" s="394"/>
      <c r="AE2883" s="394"/>
      <c r="AF2883" s="394"/>
      <c r="AG2883" s="394"/>
      <c r="AH2883" s="394"/>
      <c r="AI2883" s="394"/>
      <c r="AJ2883" s="394"/>
      <c r="AK2883" s="381"/>
      <c r="AL2883" s="408"/>
      <c r="AM2883" s="385"/>
      <c r="AN2883" s="475"/>
      <c r="AO2883" s="395"/>
      <c r="AP2883" s="395"/>
      <c r="AQ2883" s="528"/>
      <c r="AR2883" s="523">
        <v>1</v>
      </c>
      <c r="AS2883" s="393"/>
      <c r="AT2883" s="600">
        <v>19.010649999999998</v>
      </c>
      <c r="AU2883" s="394">
        <v>16.206140000000001</v>
      </c>
      <c r="AV2883" s="394">
        <v>15.15868</v>
      </c>
      <c r="AW2883" s="394"/>
      <c r="AX2883" s="394"/>
      <c r="AY2883" s="394">
        <v>0</v>
      </c>
      <c r="AZ2883" s="394">
        <v>0</v>
      </c>
      <c r="BA2883" s="394">
        <v>0.65381</v>
      </c>
      <c r="BB2883" s="394">
        <v>15.15868</v>
      </c>
      <c r="BC2883" s="394"/>
      <c r="BD2883" s="381" t="s">
        <v>167</v>
      </c>
      <c r="BE2883" s="408" t="s">
        <v>175</v>
      </c>
      <c r="BF2883" s="385"/>
      <c r="BG2883" s="475">
        <v>833</v>
      </c>
      <c r="BH2883" s="395"/>
      <c r="BI2883" s="395">
        <f t="shared" si="1059"/>
        <v>19.010649999999998</v>
      </c>
    </row>
    <row r="2884" spans="1:61" s="358" customFormat="1" ht="19.2" x14ac:dyDescent="0.3">
      <c r="A2884" s="359" t="s">
        <v>386</v>
      </c>
      <c r="B2884" s="602" t="s">
        <v>5218</v>
      </c>
      <c r="C2884" s="548" t="s">
        <v>5219</v>
      </c>
      <c r="D2884" s="360">
        <v>0.4</v>
      </c>
      <c r="E2884" s="528"/>
      <c r="F2884" s="523"/>
      <c r="G2884" s="393"/>
      <c r="H2884" s="394"/>
      <c r="I2884" s="394"/>
      <c r="J2884" s="394"/>
      <c r="K2884" s="394"/>
      <c r="L2884" s="394"/>
      <c r="M2884" s="394"/>
      <c r="N2884" s="394"/>
      <c r="O2884" s="394"/>
      <c r="P2884" s="394"/>
      <c r="Q2884" s="394"/>
      <c r="R2884" s="381"/>
      <c r="S2884" s="408"/>
      <c r="T2884" s="385"/>
      <c r="U2884" s="475"/>
      <c r="V2884" s="395"/>
      <c r="W2884" s="395"/>
      <c r="X2884" s="528"/>
      <c r="Y2884" s="523"/>
      <c r="Z2884" s="393"/>
      <c r="AA2884" s="394"/>
      <c r="AB2884" s="394"/>
      <c r="AC2884" s="394"/>
      <c r="AD2884" s="394"/>
      <c r="AE2884" s="394"/>
      <c r="AF2884" s="394"/>
      <c r="AG2884" s="394"/>
      <c r="AH2884" s="394"/>
      <c r="AI2884" s="394"/>
      <c r="AJ2884" s="394"/>
      <c r="AK2884" s="381"/>
      <c r="AL2884" s="408"/>
      <c r="AM2884" s="385"/>
      <c r="AN2884" s="475"/>
      <c r="AO2884" s="395"/>
      <c r="AP2884" s="395"/>
      <c r="AQ2884" s="528"/>
      <c r="AR2884" s="523">
        <v>1</v>
      </c>
      <c r="AS2884" s="393"/>
      <c r="AT2884" s="600">
        <v>19.010649999999998</v>
      </c>
      <c r="AU2884" s="394">
        <v>16.206140000000001</v>
      </c>
      <c r="AV2884" s="394">
        <v>15.15868</v>
      </c>
      <c r="AW2884" s="394"/>
      <c r="AX2884" s="394"/>
      <c r="AY2884" s="394">
        <v>0</v>
      </c>
      <c r="AZ2884" s="394">
        <v>0</v>
      </c>
      <c r="BA2884" s="394">
        <v>0.65381</v>
      </c>
      <c r="BB2884" s="394">
        <v>15.15868</v>
      </c>
      <c r="BC2884" s="394"/>
      <c r="BD2884" s="381" t="s">
        <v>167</v>
      </c>
      <c r="BE2884" s="408" t="s">
        <v>175</v>
      </c>
      <c r="BF2884" s="385"/>
      <c r="BG2884" s="475">
        <v>834</v>
      </c>
      <c r="BH2884" s="395"/>
      <c r="BI2884" s="395">
        <f t="shared" ref="BI2884" si="1096">AT2884/AR2884</f>
        <v>19.010649999999998</v>
      </c>
    </row>
    <row r="2885" spans="1:61" s="358" customFormat="1" ht="28.8" x14ac:dyDescent="0.3">
      <c r="A2885" s="359" t="s">
        <v>387</v>
      </c>
      <c r="B2885" s="602" t="s">
        <v>4979</v>
      </c>
      <c r="C2885" s="548" t="s">
        <v>5220</v>
      </c>
      <c r="D2885" s="360">
        <v>0.4</v>
      </c>
      <c r="E2885" s="528"/>
      <c r="F2885" s="523"/>
      <c r="G2885" s="393"/>
      <c r="H2885" s="394"/>
      <c r="I2885" s="394"/>
      <c r="J2885" s="394"/>
      <c r="K2885" s="394"/>
      <c r="L2885" s="394"/>
      <c r="M2885" s="394"/>
      <c r="N2885" s="394"/>
      <c r="O2885" s="394"/>
      <c r="P2885" s="394"/>
      <c r="Q2885" s="394"/>
      <c r="R2885" s="381"/>
      <c r="S2885" s="408"/>
      <c r="T2885" s="385"/>
      <c r="U2885" s="475"/>
      <c r="V2885" s="395"/>
      <c r="W2885" s="395"/>
      <c r="X2885" s="528"/>
      <c r="Y2885" s="523"/>
      <c r="Z2885" s="393"/>
      <c r="AA2885" s="394"/>
      <c r="AB2885" s="394"/>
      <c r="AC2885" s="394"/>
      <c r="AD2885" s="394"/>
      <c r="AE2885" s="394"/>
      <c r="AF2885" s="394"/>
      <c r="AG2885" s="394"/>
      <c r="AH2885" s="394"/>
      <c r="AI2885" s="394"/>
      <c r="AJ2885" s="394"/>
      <c r="AK2885" s="381"/>
      <c r="AL2885" s="408"/>
      <c r="AM2885" s="385"/>
      <c r="AN2885" s="475"/>
      <c r="AO2885" s="395"/>
      <c r="AP2885" s="395"/>
      <c r="AQ2885" s="528"/>
      <c r="AR2885" s="523">
        <v>1</v>
      </c>
      <c r="AS2885" s="393"/>
      <c r="AT2885" s="600">
        <v>12.43066</v>
      </c>
      <c r="AU2885" s="394">
        <v>10.304410000000001</v>
      </c>
      <c r="AV2885" s="394">
        <v>10.085319999999999</v>
      </c>
      <c r="AW2885" s="394"/>
      <c r="AX2885" s="394"/>
      <c r="AY2885" s="394">
        <v>0</v>
      </c>
      <c r="AZ2885" s="394">
        <v>0</v>
      </c>
      <c r="BA2885" s="394">
        <v>0.49569000000000002</v>
      </c>
      <c r="BB2885" s="394">
        <v>10.085319999999999</v>
      </c>
      <c r="BC2885" s="394"/>
      <c r="BD2885" s="381" t="s">
        <v>167</v>
      </c>
      <c r="BE2885" s="408" t="s">
        <v>175</v>
      </c>
      <c r="BF2885" s="385"/>
      <c r="BG2885" s="475">
        <v>835</v>
      </c>
      <c r="BH2885" s="395"/>
      <c r="BI2885" s="395">
        <f t="shared" si="1059"/>
        <v>12.43066</v>
      </c>
    </row>
    <row r="2886" spans="1:61" s="358" customFormat="1" ht="19.2" x14ac:dyDescent="0.3">
      <c r="A2886" s="359" t="s">
        <v>388</v>
      </c>
      <c r="B2886" s="602" t="s">
        <v>4658</v>
      </c>
      <c r="C2886" s="548" t="s">
        <v>4657</v>
      </c>
      <c r="D2886" s="360">
        <v>0.4</v>
      </c>
      <c r="E2886" s="528"/>
      <c r="F2886" s="523"/>
      <c r="G2886" s="393"/>
      <c r="H2886" s="394"/>
      <c r="I2886" s="394"/>
      <c r="J2886" s="394"/>
      <c r="K2886" s="394"/>
      <c r="L2886" s="394"/>
      <c r="M2886" s="394"/>
      <c r="N2886" s="394"/>
      <c r="O2886" s="394"/>
      <c r="P2886" s="394"/>
      <c r="Q2886" s="394"/>
      <c r="R2886" s="381"/>
      <c r="S2886" s="408"/>
      <c r="T2886" s="385"/>
      <c r="U2886" s="475"/>
      <c r="V2886" s="395"/>
      <c r="W2886" s="395"/>
      <c r="X2886" s="528"/>
      <c r="Y2886" s="523"/>
      <c r="Z2886" s="393"/>
      <c r="AA2886" s="394"/>
      <c r="AB2886" s="394"/>
      <c r="AC2886" s="394"/>
      <c r="AD2886" s="394"/>
      <c r="AE2886" s="394"/>
      <c r="AF2886" s="394"/>
      <c r="AG2886" s="394"/>
      <c r="AH2886" s="394"/>
      <c r="AI2886" s="394"/>
      <c r="AJ2886" s="394"/>
      <c r="AK2886" s="381"/>
      <c r="AL2886" s="408"/>
      <c r="AM2886" s="385"/>
      <c r="AN2886" s="475"/>
      <c r="AO2886" s="395"/>
      <c r="AP2886" s="395"/>
      <c r="AQ2886" s="528"/>
      <c r="AR2886" s="523">
        <v>1</v>
      </c>
      <c r="AS2886" s="393"/>
      <c r="AT2886" s="600">
        <v>19.010649999999998</v>
      </c>
      <c r="AU2886" s="394">
        <v>16.206140000000001</v>
      </c>
      <c r="AV2886" s="394">
        <v>15.15868</v>
      </c>
      <c r="AW2886" s="394"/>
      <c r="AX2886" s="394"/>
      <c r="AY2886" s="394">
        <v>0</v>
      </c>
      <c r="AZ2886" s="394">
        <v>0</v>
      </c>
      <c r="BA2886" s="394">
        <v>0.65381</v>
      </c>
      <c r="BB2886" s="394">
        <v>15.15868</v>
      </c>
      <c r="BC2886" s="394"/>
      <c r="BD2886" s="381" t="s">
        <v>167</v>
      </c>
      <c r="BE2886" s="408" t="s">
        <v>175</v>
      </c>
      <c r="BF2886" s="385"/>
      <c r="BG2886" s="475">
        <v>836</v>
      </c>
      <c r="BH2886" s="395"/>
      <c r="BI2886" s="395">
        <f t="shared" ref="BI2886" si="1097">AT2886/AR2886</f>
        <v>19.010649999999998</v>
      </c>
    </row>
    <row r="2887" spans="1:61" s="358" customFormat="1" ht="19.2" x14ac:dyDescent="0.3">
      <c r="A2887" s="359" t="s">
        <v>389</v>
      </c>
      <c r="B2887" s="602" t="s">
        <v>5221</v>
      </c>
      <c r="C2887" s="548" t="s">
        <v>5222</v>
      </c>
      <c r="D2887" s="360">
        <v>0.4</v>
      </c>
      <c r="E2887" s="528"/>
      <c r="F2887" s="523"/>
      <c r="G2887" s="393"/>
      <c r="H2887" s="394"/>
      <c r="I2887" s="394"/>
      <c r="J2887" s="394"/>
      <c r="K2887" s="394"/>
      <c r="L2887" s="394"/>
      <c r="M2887" s="394"/>
      <c r="N2887" s="394"/>
      <c r="O2887" s="394"/>
      <c r="P2887" s="394"/>
      <c r="Q2887" s="394"/>
      <c r="R2887" s="381"/>
      <c r="S2887" s="408"/>
      <c r="T2887" s="385"/>
      <c r="U2887" s="475"/>
      <c r="V2887" s="395"/>
      <c r="W2887" s="395"/>
      <c r="X2887" s="528"/>
      <c r="Y2887" s="523"/>
      <c r="Z2887" s="393"/>
      <c r="AA2887" s="394"/>
      <c r="AB2887" s="394"/>
      <c r="AC2887" s="394"/>
      <c r="AD2887" s="394"/>
      <c r="AE2887" s="394"/>
      <c r="AF2887" s="394"/>
      <c r="AG2887" s="394"/>
      <c r="AH2887" s="394"/>
      <c r="AI2887" s="394"/>
      <c r="AJ2887" s="394"/>
      <c r="AK2887" s="381"/>
      <c r="AL2887" s="408"/>
      <c r="AM2887" s="385"/>
      <c r="AN2887" s="475"/>
      <c r="AO2887" s="395"/>
      <c r="AP2887" s="395"/>
      <c r="AQ2887" s="528"/>
      <c r="AR2887" s="523">
        <v>1</v>
      </c>
      <c r="AS2887" s="393"/>
      <c r="AT2887" s="600">
        <v>19.010649999999998</v>
      </c>
      <c r="AU2887" s="394">
        <v>16.206140000000001</v>
      </c>
      <c r="AV2887" s="394">
        <v>15.15868</v>
      </c>
      <c r="AW2887" s="394"/>
      <c r="AX2887" s="394"/>
      <c r="AY2887" s="394">
        <v>0</v>
      </c>
      <c r="AZ2887" s="394">
        <v>0</v>
      </c>
      <c r="BA2887" s="394">
        <v>0.65381</v>
      </c>
      <c r="BB2887" s="394">
        <v>15.15868</v>
      </c>
      <c r="BC2887" s="394"/>
      <c r="BD2887" s="381" t="s">
        <v>167</v>
      </c>
      <c r="BE2887" s="408" t="s">
        <v>175</v>
      </c>
      <c r="BF2887" s="385"/>
      <c r="BG2887" s="475">
        <v>837</v>
      </c>
      <c r="BH2887" s="395"/>
      <c r="BI2887" s="395">
        <f t="shared" si="1059"/>
        <v>19.010649999999998</v>
      </c>
    </row>
    <row r="2888" spans="1:61" s="358" customFormat="1" ht="19.2" x14ac:dyDescent="0.3">
      <c r="A2888" s="359" t="s">
        <v>390</v>
      </c>
      <c r="B2888" s="602" t="s">
        <v>5223</v>
      </c>
      <c r="C2888" s="548" t="s">
        <v>4684</v>
      </c>
      <c r="D2888" s="360">
        <v>0.4</v>
      </c>
      <c r="E2888" s="528"/>
      <c r="F2888" s="523"/>
      <c r="G2888" s="393"/>
      <c r="H2888" s="394"/>
      <c r="I2888" s="394"/>
      <c r="J2888" s="394"/>
      <c r="K2888" s="394"/>
      <c r="L2888" s="394"/>
      <c r="M2888" s="394"/>
      <c r="N2888" s="394"/>
      <c r="O2888" s="394"/>
      <c r="P2888" s="394"/>
      <c r="Q2888" s="394"/>
      <c r="R2888" s="381"/>
      <c r="S2888" s="408"/>
      <c r="T2888" s="385"/>
      <c r="U2888" s="475"/>
      <c r="V2888" s="395"/>
      <c r="W2888" s="395"/>
      <c r="X2888" s="528"/>
      <c r="Y2888" s="523"/>
      <c r="Z2888" s="393"/>
      <c r="AA2888" s="394"/>
      <c r="AB2888" s="394"/>
      <c r="AC2888" s="394"/>
      <c r="AD2888" s="394"/>
      <c r="AE2888" s="394"/>
      <c r="AF2888" s="394"/>
      <c r="AG2888" s="394"/>
      <c r="AH2888" s="394"/>
      <c r="AI2888" s="394"/>
      <c r="AJ2888" s="394"/>
      <c r="AK2888" s="381"/>
      <c r="AL2888" s="408"/>
      <c r="AM2888" s="385"/>
      <c r="AN2888" s="475"/>
      <c r="AO2888" s="395"/>
      <c r="AP2888" s="395"/>
      <c r="AQ2888" s="528"/>
      <c r="AR2888" s="523">
        <v>1</v>
      </c>
      <c r="AS2888" s="393"/>
      <c r="AT2888" s="600">
        <v>19.010649999999998</v>
      </c>
      <c r="AU2888" s="394">
        <v>16.206140000000001</v>
      </c>
      <c r="AV2888" s="394">
        <v>15.15868</v>
      </c>
      <c r="AW2888" s="394"/>
      <c r="AX2888" s="394"/>
      <c r="AY2888" s="394">
        <v>0</v>
      </c>
      <c r="AZ2888" s="394">
        <v>0</v>
      </c>
      <c r="BA2888" s="394">
        <v>0.65381</v>
      </c>
      <c r="BB2888" s="394">
        <v>15.15868</v>
      </c>
      <c r="BC2888" s="394"/>
      <c r="BD2888" s="381" t="s">
        <v>167</v>
      </c>
      <c r="BE2888" s="408" t="s">
        <v>175</v>
      </c>
      <c r="BF2888" s="385"/>
      <c r="BG2888" s="475">
        <v>838</v>
      </c>
      <c r="BH2888" s="395"/>
      <c r="BI2888" s="395">
        <f t="shared" ref="BI2888" si="1098">AT2888/AR2888</f>
        <v>19.010649999999998</v>
      </c>
    </row>
    <row r="2889" spans="1:61" s="358" customFormat="1" ht="19.2" x14ac:dyDescent="0.3">
      <c r="A2889" s="359" t="s">
        <v>391</v>
      </c>
      <c r="B2889" s="602" t="s">
        <v>5224</v>
      </c>
      <c r="C2889" s="548" t="s">
        <v>5225</v>
      </c>
      <c r="D2889" s="360">
        <v>0.4</v>
      </c>
      <c r="E2889" s="528"/>
      <c r="F2889" s="523"/>
      <c r="G2889" s="393"/>
      <c r="H2889" s="394"/>
      <c r="I2889" s="394"/>
      <c r="J2889" s="394"/>
      <c r="K2889" s="394"/>
      <c r="L2889" s="394"/>
      <c r="M2889" s="394"/>
      <c r="N2889" s="394"/>
      <c r="O2889" s="394"/>
      <c r="P2889" s="394"/>
      <c r="Q2889" s="394"/>
      <c r="R2889" s="381"/>
      <c r="S2889" s="408"/>
      <c r="T2889" s="385"/>
      <c r="U2889" s="475"/>
      <c r="V2889" s="395"/>
      <c r="W2889" s="395"/>
      <c r="X2889" s="528"/>
      <c r="Y2889" s="523"/>
      <c r="Z2889" s="393"/>
      <c r="AA2889" s="394"/>
      <c r="AB2889" s="394"/>
      <c r="AC2889" s="394"/>
      <c r="AD2889" s="394"/>
      <c r="AE2889" s="394"/>
      <c r="AF2889" s="394"/>
      <c r="AG2889" s="394"/>
      <c r="AH2889" s="394"/>
      <c r="AI2889" s="394"/>
      <c r="AJ2889" s="394"/>
      <c r="AK2889" s="381"/>
      <c r="AL2889" s="408"/>
      <c r="AM2889" s="385"/>
      <c r="AN2889" s="475"/>
      <c r="AO2889" s="395"/>
      <c r="AP2889" s="395"/>
      <c r="AQ2889" s="528"/>
      <c r="AR2889" s="523">
        <v>1</v>
      </c>
      <c r="AS2889" s="393"/>
      <c r="AT2889" s="600">
        <v>19.010649999999998</v>
      </c>
      <c r="AU2889" s="394">
        <v>16.206140000000001</v>
      </c>
      <c r="AV2889" s="394">
        <v>15.15868</v>
      </c>
      <c r="AW2889" s="394"/>
      <c r="AX2889" s="394"/>
      <c r="AY2889" s="394">
        <v>0</v>
      </c>
      <c r="AZ2889" s="394">
        <v>0</v>
      </c>
      <c r="BA2889" s="394">
        <v>0.65381</v>
      </c>
      <c r="BB2889" s="394">
        <v>15.15868</v>
      </c>
      <c r="BC2889" s="394"/>
      <c r="BD2889" s="381" t="s">
        <v>167</v>
      </c>
      <c r="BE2889" s="408" t="s">
        <v>175</v>
      </c>
      <c r="BF2889" s="385"/>
      <c r="BG2889" s="475">
        <v>839</v>
      </c>
      <c r="BH2889" s="395"/>
      <c r="BI2889" s="395">
        <f t="shared" si="1059"/>
        <v>19.010649999999998</v>
      </c>
    </row>
    <row r="2890" spans="1:61" s="358" customFormat="1" ht="19.2" x14ac:dyDescent="0.3">
      <c r="A2890" s="359" t="s">
        <v>392</v>
      </c>
      <c r="B2890" s="602" t="s">
        <v>4708</v>
      </c>
      <c r="C2890" s="548" t="s">
        <v>4707</v>
      </c>
      <c r="D2890" s="360">
        <v>0.4</v>
      </c>
      <c r="E2890" s="528"/>
      <c r="F2890" s="523"/>
      <c r="G2890" s="393"/>
      <c r="H2890" s="394"/>
      <c r="I2890" s="394"/>
      <c r="J2890" s="394"/>
      <c r="K2890" s="394"/>
      <c r="L2890" s="394"/>
      <c r="M2890" s="394"/>
      <c r="N2890" s="394"/>
      <c r="O2890" s="394"/>
      <c r="P2890" s="394"/>
      <c r="Q2890" s="394"/>
      <c r="R2890" s="381"/>
      <c r="S2890" s="408"/>
      <c r="T2890" s="385"/>
      <c r="U2890" s="475"/>
      <c r="V2890" s="395"/>
      <c r="W2890" s="395"/>
      <c r="X2890" s="528"/>
      <c r="Y2890" s="523"/>
      <c r="Z2890" s="393"/>
      <c r="AA2890" s="394"/>
      <c r="AB2890" s="394"/>
      <c r="AC2890" s="394"/>
      <c r="AD2890" s="394"/>
      <c r="AE2890" s="394"/>
      <c r="AF2890" s="394"/>
      <c r="AG2890" s="394"/>
      <c r="AH2890" s="394"/>
      <c r="AI2890" s="394"/>
      <c r="AJ2890" s="394"/>
      <c r="AK2890" s="381"/>
      <c r="AL2890" s="408"/>
      <c r="AM2890" s="385"/>
      <c r="AN2890" s="475"/>
      <c r="AO2890" s="395"/>
      <c r="AP2890" s="395"/>
      <c r="AQ2890" s="528"/>
      <c r="AR2890" s="523">
        <v>1</v>
      </c>
      <c r="AS2890" s="393"/>
      <c r="AT2890" s="600">
        <v>19.010660000000001</v>
      </c>
      <c r="AU2890" s="394">
        <v>16.206150000000001</v>
      </c>
      <c r="AV2890" s="394">
        <v>15.15868</v>
      </c>
      <c r="AW2890" s="394"/>
      <c r="AX2890" s="394"/>
      <c r="AY2890" s="394">
        <v>0</v>
      </c>
      <c r="AZ2890" s="394">
        <v>0</v>
      </c>
      <c r="BA2890" s="394">
        <v>0.65381</v>
      </c>
      <c r="BB2890" s="394">
        <v>15.15868</v>
      </c>
      <c r="BC2890" s="394"/>
      <c r="BD2890" s="381" t="s">
        <v>167</v>
      </c>
      <c r="BE2890" s="408" t="s">
        <v>175</v>
      </c>
      <c r="BF2890" s="385"/>
      <c r="BG2890" s="475">
        <v>840</v>
      </c>
      <c r="BH2890" s="395"/>
      <c r="BI2890" s="395">
        <f t="shared" ref="BI2890:BI2925" si="1099">AT2890/AR2890</f>
        <v>19.010660000000001</v>
      </c>
    </row>
    <row r="2891" spans="1:61" s="358" customFormat="1" ht="19.2" x14ac:dyDescent="0.3">
      <c r="A2891" s="359" t="s">
        <v>393</v>
      </c>
      <c r="B2891" s="602" t="s">
        <v>5226</v>
      </c>
      <c r="C2891" s="548" t="s">
        <v>5227</v>
      </c>
      <c r="D2891" s="360">
        <v>0.4</v>
      </c>
      <c r="E2891" s="528"/>
      <c r="F2891" s="523"/>
      <c r="G2891" s="393"/>
      <c r="H2891" s="394"/>
      <c r="I2891" s="394"/>
      <c r="J2891" s="394"/>
      <c r="K2891" s="394"/>
      <c r="L2891" s="394"/>
      <c r="M2891" s="394"/>
      <c r="N2891" s="394"/>
      <c r="O2891" s="394"/>
      <c r="P2891" s="394"/>
      <c r="Q2891" s="394"/>
      <c r="R2891" s="381"/>
      <c r="S2891" s="408"/>
      <c r="T2891" s="385"/>
      <c r="U2891" s="475"/>
      <c r="V2891" s="395"/>
      <c r="W2891" s="395"/>
      <c r="X2891" s="528"/>
      <c r="Y2891" s="523"/>
      <c r="Z2891" s="393"/>
      <c r="AA2891" s="394"/>
      <c r="AB2891" s="394"/>
      <c r="AC2891" s="394"/>
      <c r="AD2891" s="394"/>
      <c r="AE2891" s="394"/>
      <c r="AF2891" s="394"/>
      <c r="AG2891" s="394"/>
      <c r="AH2891" s="394"/>
      <c r="AI2891" s="394"/>
      <c r="AJ2891" s="394"/>
      <c r="AK2891" s="381"/>
      <c r="AL2891" s="408"/>
      <c r="AM2891" s="385"/>
      <c r="AN2891" s="475"/>
      <c r="AO2891" s="395"/>
      <c r="AP2891" s="395"/>
      <c r="AQ2891" s="528"/>
      <c r="AR2891" s="523">
        <v>1</v>
      </c>
      <c r="AS2891" s="393"/>
      <c r="AT2891" s="600">
        <v>19.010660000000001</v>
      </c>
      <c r="AU2891" s="394">
        <v>16.206150000000001</v>
      </c>
      <c r="AV2891" s="394">
        <v>15.15868</v>
      </c>
      <c r="AW2891" s="394"/>
      <c r="AX2891" s="394"/>
      <c r="AY2891" s="394">
        <v>0</v>
      </c>
      <c r="AZ2891" s="394">
        <v>0</v>
      </c>
      <c r="BA2891" s="394">
        <v>0.65381</v>
      </c>
      <c r="BB2891" s="394">
        <v>15.15868</v>
      </c>
      <c r="BC2891" s="394"/>
      <c r="BD2891" s="381" t="s">
        <v>167</v>
      </c>
      <c r="BE2891" s="408" t="s">
        <v>175</v>
      </c>
      <c r="BF2891" s="385"/>
      <c r="BG2891" s="475">
        <v>841</v>
      </c>
      <c r="BH2891" s="395"/>
      <c r="BI2891" s="395">
        <f t="shared" si="1099"/>
        <v>19.010660000000001</v>
      </c>
    </row>
    <row r="2892" spans="1:61" s="358" customFormat="1" ht="19.2" x14ac:dyDescent="0.3">
      <c r="A2892" s="359" t="s">
        <v>394</v>
      </c>
      <c r="B2892" s="602" t="s">
        <v>4691</v>
      </c>
      <c r="C2892" s="548" t="s">
        <v>4690</v>
      </c>
      <c r="D2892" s="360">
        <v>0.4</v>
      </c>
      <c r="E2892" s="528"/>
      <c r="F2892" s="523"/>
      <c r="G2892" s="393"/>
      <c r="H2892" s="394"/>
      <c r="I2892" s="394"/>
      <c r="J2892" s="394"/>
      <c r="K2892" s="394"/>
      <c r="L2892" s="394"/>
      <c r="M2892" s="394"/>
      <c r="N2892" s="394"/>
      <c r="O2892" s="394"/>
      <c r="P2892" s="394"/>
      <c r="Q2892" s="394"/>
      <c r="R2892" s="381"/>
      <c r="S2892" s="408"/>
      <c r="T2892" s="385"/>
      <c r="U2892" s="475"/>
      <c r="V2892" s="395"/>
      <c r="W2892" s="395"/>
      <c r="X2892" s="528"/>
      <c r="Y2892" s="523"/>
      <c r="Z2892" s="393"/>
      <c r="AA2892" s="394"/>
      <c r="AB2892" s="394"/>
      <c r="AC2892" s="394"/>
      <c r="AD2892" s="394"/>
      <c r="AE2892" s="394"/>
      <c r="AF2892" s="394"/>
      <c r="AG2892" s="394"/>
      <c r="AH2892" s="394"/>
      <c r="AI2892" s="394"/>
      <c r="AJ2892" s="394"/>
      <c r="AK2892" s="381"/>
      <c r="AL2892" s="408"/>
      <c r="AM2892" s="385"/>
      <c r="AN2892" s="475"/>
      <c r="AO2892" s="395"/>
      <c r="AP2892" s="395"/>
      <c r="AQ2892" s="528"/>
      <c r="AR2892" s="523">
        <v>1</v>
      </c>
      <c r="AS2892" s="393"/>
      <c r="AT2892" s="600">
        <v>19.010649999999998</v>
      </c>
      <c r="AU2892" s="394">
        <v>16.206140000000001</v>
      </c>
      <c r="AV2892" s="394">
        <v>15.15868</v>
      </c>
      <c r="AW2892" s="394"/>
      <c r="AX2892" s="394"/>
      <c r="AY2892" s="394">
        <v>0</v>
      </c>
      <c r="AZ2892" s="394">
        <v>0</v>
      </c>
      <c r="BA2892" s="394">
        <v>0.65381</v>
      </c>
      <c r="BB2892" s="394">
        <v>15.15868</v>
      </c>
      <c r="BC2892" s="394"/>
      <c r="BD2892" s="381" t="s">
        <v>167</v>
      </c>
      <c r="BE2892" s="408" t="s">
        <v>175</v>
      </c>
      <c r="BF2892" s="385"/>
      <c r="BG2892" s="475">
        <v>842</v>
      </c>
      <c r="BH2892" s="395"/>
      <c r="BI2892" s="395">
        <f t="shared" ref="BI2892" si="1100">AT2892/AR2892</f>
        <v>19.010649999999998</v>
      </c>
    </row>
    <row r="2893" spans="1:61" s="358" customFormat="1" ht="19.2" x14ac:dyDescent="0.3">
      <c r="A2893" s="359" t="s">
        <v>395</v>
      </c>
      <c r="B2893" s="602" t="s">
        <v>5228</v>
      </c>
      <c r="C2893" s="548" t="s">
        <v>5229</v>
      </c>
      <c r="D2893" s="360">
        <v>0.4</v>
      </c>
      <c r="E2893" s="528"/>
      <c r="F2893" s="523"/>
      <c r="G2893" s="393"/>
      <c r="H2893" s="394"/>
      <c r="I2893" s="394"/>
      <c r="J2893" s="394"/>
      <c r="K2893" s="394"/>
      <c r="L2893" s="394"/>
      <c r="M2893" s="394"/>
      <c r="N2893" s="394"/>
      <c r="O2893" s="394"/>
      <c r="P2893" s="394"/>
      <c r="Q2893" s="394"/>
      <c r="R2893" s="381"/>
      <c r="S2893" s="408"/>
      <c r="T2893" s="385"/>
      <c r="U2893" s="475"/>
      <c r="V2893" s="395"/>
      <c r="W2893" s="395"/>
      <c r="X2893" s="528"/>
      <c r="Y2893" s="523"/>
      <c r="Z2893" s="393"/>
      <c r="AA2893" s="394"/>
      <c r="AB2893" s="394"/>
      <c r="AC2893" s="394"/>
      <c r="AD2893" s="394"/>
      <c r="AE2893" s="394"/>
      <c r="AF2893" s="394"/>
      <c r="AG2893" s="394"/>
      <c r="AH2893" s="394"/>
      <c r="AI2893" s="394"/>
      <c r="AJ2893" s="394"/>
      <c r="AK2893" s="381"/>
      <c r="AL2893" s="408"/>
      <c r="AM2893" s="385"/>
      <c r="AN2893" s="475"/>
      <c r="AO2893" s="395"/>
      <c r="AP2893" s="395"/>
      <c r="AQ2893" s="528"/>
      <c r="AR2893" s="523">
        <v>1</v>
      </c>
      <c r="AS2893" s="393"/>
      <c r="AT2893" s="600">
        <v>19.010660000000001</v>
      </c>
      <c r="AU2893" s="394">
        <v>16.206150000000001</v>
      </c>
      <c r="AV2893" s="394">
        <v>15.15868</v>
      </c>
      <c r="AW2893" s="394"/>
      <c r="AX2893" s="394"/>
      <c r="AY2893" s="394">
        <v>0</v>
      </c>
      <c r="AZ2893" s="394">
        <v>0</v>
      </c>
      <c r="BA2893" s="394">
        <v>0.65381</v>
      </c>
      <c r="BB2893" s="394">
        <v>15.15868</v>
      </c>
      <c r="BC2893" s="394"/>
      <c r="BD2893" s="381" t="s">
        <v>167</v>
      </c>
      <c r="BE2893" s="408" t="s">
        <v>175</v>
      </c>
      <c r="BF2893" s="385"/>
      <c r="BG2893" s="475">
        <v>843</v>
      </c>
      <c r="BH2893" s="395"/>
      <c r="BI2893" s="395">
        <f t="shared" si="1099"/>
        <v>19.010660000000001</v>
      </c>
    </row>
    <row r="2894" spans="1:61" s="358" customFormat="1" ht="19.2" x14ac:dyDescent="0.3">
      <c r="A2894" s="359" t="s">
        <v>396</v>
      </c>
      <c r="B2894" s="602" t="s">
        <v>5230</v>
      </c>
      <c r="C2894" s="548" t="s">
        <v>5231</v>
      </c>
      <c r="D2894" s="360">
        <v>0.4</v>
      </c>
      <c r="E2894" s="528"/>
      <c r="F2894" s="523"/>
      <c r="G2894" s="393"/>
      <c r="H2894" s="394"/>
      <c r="I2894" s="394"/>
      <c r="J2894" s="394"/>
      <c r="K2894" s="394"/>
      <c r="L2894" s="394"/>
      <c r="M2894" s="394"/>
      <c r="N2894" s="394"/>
      <c r="O2894" s="394"/>
      <c r="P2894" s="394"/>
      <c r="Q2894" s="394"/>
      <c r="R2894" s="381"/>
      <c r="S2894" s="408"/>
      <c r="T2894" s="385"/>
      <c r="U2894" s="475"/>
      <c r="V2894" s="395"/>
      <c r="W2894" s="395"/>
      <c r="X2894" s="528"/>
      <c r="Y2894" s="523"/>
      <c r="Z2894" s="393"/>
      <c r="AA2894" s="394"/>
      <c r="AB2894" s="394"/>
      <c r="AC2894" s="394"/>
      <c r="AD2894" s="394"/>
      <c r="AE2894" s="394"/>
      <c r="AF2894" s="394"/>
      <c r="AG2894" s="394"/>
      <c r="AH2894" s="394"/>
      <c r="AI2894" s="394"/>
      <c r="AJ2894" s="394"/>
      <c r="AK2894" s="381"/>
      <c r="AL2894" s="408"/>
      <c r="AM2894" s="385"/>
      <c r="AN2894" s="475"/>
      <c r="AO2894" s="395"/>
      <c r="AP2894" s="395"/>
      <c r="AQ2894" s="528"/>
      <c r="AR2894" s="523">
        <v>1</v>
      </c>
      <c r="AS2894" s="393"/>
      <c r="AT2894" s="600">
        <v>19.010649999999998</v>
      </c>
      <c r="AU2894" s="394">
        <v>16.206140000000001</v>
      </c>
      <c r="AV2894" s="394">
        <v>15.15868</v>
      </c>
      <c r="AW2894" s="394"/>
      <c r="AX2894" s="394"/>
      <c r="AY2894" s="394">
        <v>0</v>
      </c>
      <c r="AZ2894" s="394">
        <v>0</v>
      </c>
      <c r="BA2894" s="394">
        <v>0.65381</v>
      </c>
      <c r="BB2894" s="394">
        <v>15.15868</v>
      </c>
      <c r="BC2894" s="394"/>
      <c r="BD2894" s="381" t="s">
        <v>167</v>
      </c>
      <c r="BE2894" s="408" t="s">
        <v>175</v>
      </c>
      <c r="BF2894" s="385"/>
      <c r="BG2894" s="475">
        <v>844</v>
      </c>
      <c r="BH2894" s="395"/>
      <c r="BI2894" s="395">
        <f t="shared" ref="BI2894" si="1101">AT2894/AR2894</f>
        <v>19.010649999999998</v>
      </c>
    </row>
    <row r="2895" spans="1:61" s="358" customFormat="1" ht="19.2" x14ac:dyDescent="0.3">
      <c r="A2895" s="359" t="s">
        <v>397</v>
      </c>
      <c r="B2895" s="602" t="s">
        <v>2588</v>
      </c>
      <c r="C2895" s="548" t="s">
        <v>2587</v>
      </c>
      <c r="D2895" s="360">
        <v>0.4</v>
      </c>
      <c r="E2895" s="528"/>
      <c r="F2895" s="523"/>
      <c r="G2895" s="393"/>
      <c r="H2895" s="394"/>
      <c r="I2895" s="394"/>
      <c r="J2895" s="394"/>
      <c r="K2895" s="394"/>
      <c r="L2895" s="394"/>
      <c r="M2895" s="394"/>
      <c r="N2895" s="394"/>
      <c r="O2895" s="394"/>
      <c r="P2895" s="394"/>
      <c r="Q2895" s="394"/>
      <c r="R2895" s="381"/>
      <c r="S2895" s="408"/>
      <c r="T2895" s="385"/>
      <c r="U2895" s="475"/>
      <c r="V2895" s="395"/>
      <c r="W2895" s="395"/>
      <c r="X2895" s="528"/>
      <c r="Y2895" s="523"/>
      <c r="Z2895" s="393"/>
      <c r="AA2895" s="394"/>
      <c r="AB2895" s="394"/>
      <c r="AC2895" s="394"/>
      <c r="AD2895" s="394"/>
      <c r="AE2895" s="394"/>
      <c r="AF2895" s="394"/>
      <c r="AG2895" s="394"/>
      <c r="AH2895" s="394"/>
      <c r="AI2895" s="394"/>
      <c r="AJ2895" s="394"/>
      <c r="AK2895" s="381"/>
      <c r="AL2895" s="408"/>
      <c r="AM2895" s="385"/>
      <c r="AN2895" s="475"/>
      <c r="AO2895" s="395"/>
      <c r="AP2895" s="395"/>
      <c r="AQ2895" s="528"/>
      <c r="AR2895" s="523">
        <v>1</v>
      </c>
      <c r="AS2895" s="393"/>
      <c r="AT2895" s="600">
        <v>19.010649999999998</v>
      </c>
      <c r="AU2895" s="394">
        <v>16.206140000000001</v>
      </c>
      <c r="AV2895" s="394">
        <v>15.15868</v>
      </c>
      <c r="AW2895" s="394"/>
      <c r="AX2895" s="394"/>
      <c r="AY2895" s="394">
        <v>0</v>
      </c>
      <c r="AZ2895" s="394">
        <v>0</v>
      </c>
      <c r="BA2895" s="394">
        <v>0.65381</v>
      </c>
      <c r="BB2895" s="394">
        <v>15.15868</v>
      </c>
      <c r="BC2895" s="394"/>
      <c r="BD2895" s="381" t="s">
        <v>167</v>
      </c>
      <c r="BE2895" s="408" t="s">
        <v>175</v>
      </c>
      <c r="BF2895" s="385"/>
      <c r="BG2895" s="475">
        <v>845</v>
      </c>
      <c r="BH2895" s="395"/>
      <c r="BI2895" s="395">
        <f t="shared" si="1099"/>
        <v>19.010649999999998</v>
      </c>
    </row>
    <row r="2896" spans="1:61" s="358" customFormat="1" ht="19.2" x14ac:dyDescent="0.3">
      <c r="A2896" s="359" t="s">
        <v>398</v>
      </c>
      <c r="B2896" s="602" t="s">
        <v>5232</v>
      </c>
      <c r="C2896" s="548" t="s">
        <v>5233</v>
      </c>
      <c r="D2896" s="360">
        <v>0.4</v>
      </c>
      <c r="E2896" s="528"/>
      <c r="F2896" s="523"/>
      <c r="G2896" s="393"/>
      <c r="H2896" s="394"/>
      <c r="I2896" s="394"/>
      <c r="J2896" s="394"/>
      <c r="K2896" s="394"/>
      <c r="L2896" s="394"/>
      <c r="M2896" s="394"/>
      <c r="N2896" s="394"/>
      <c r="O2896" s="394"/>
      <c r="P2896" s="394"/>
      <c r="Q2896" s="394"/>
      <c r="R2896" s="381"/>
      <c r="S2896" s="408"/>
      <c r="T2896" s="385"/>
      <c r="U2896" s="475"/>
      <c r="V2896" s="395"/>
      <c r="W2896" s="395"/>
      <c r="X2896" s="528"/>
      <c r="Y2896" s="523"/>
      <c r="Z2896" s="393"/>
      <c r="AA2896" s="394"/>
      <c r="AB2896" s="394"/>
      <c r="AC2896" s="394"/>
      <c r="AD2896" s="394"/>
      <c r="AE2896" s="394"/>
      <c r="AF2896" s="394"/>
      <c r="AG2896" s="394"/>
      <c r="AH2896" s="394"/>
      <c r="AI2896" s="394"/>
      <c r="AJ2896" s="394"/>
      <c r="AK2896" s="381"/>
      <c r="AL2896" s="408"/>
      <c r="AM2896" s="385"/>
      <c r="AN2896" s="475"/>
      <c r="AO2896" s="395"/>
      <c r="AP2896" s="395"/>
      <c r="AQ2896" s="528"/>
      <c r="AR2896" s="523">
        <v>1</v>
      </c>
      <c r="AS2896" s="393"/>
      <c r="AT2896" s="600">
        <v>19.010649999999998</v>
      </c>
      <c r="AU2896" s="394">
        <v>16.206140000000001</v>
      </c>
      <c r="AV2896" s="394">
        <v>15.15868</v>
      </c>
      <c r="AW2896" s="394"/>
      <c r="AX2896" s="394"/>
      <c r="AY2896" s="394">
        <v>0</v>
      </c>
      <c r="AZ2896" s="394">
        <v>0</v>
      </c>
      <c r="BA2896" s="394">
        <v>0.65381</v>
      </c>
      <c r="BB2896" s="394">
        <v>15.15868</v>
      </c>
      <c r="BC2896" s="394"/>
      <c r="BD2896" s="381" t="s">
        <v>167</v>
      </c>
      <c r="BE2896" s="408" t="s">
        <v>175</v>
      </c>
      <c r="BF2896" s="385"/>
      <c r="BG2896" s="475">
        <v>846</v>
      </c>
      <c r="BH2896" s="395"/>
      <c r="BI2896" s="395">
        <f t="shared" ref="BI2896" si="1102">AT2896/AR2896</f>
        <v>19.010649999999998</v>
      </c>
    </row>
    <row r="2897" spans="1:61" s="358" customFormat="1" ht="19.2" x14ac:dyDescent="0.3">
      <c r="A2897" s="359" t="s">
        <v>399</v>
      </c>
      <c r="B2897" s="602" t="s">
        <v>5234</v>
      </c>
      <c r="C2897" s="548" t="s">
        <v>5235</v>
      </c>
      <c r="D2897" s="360">
        <v>0.4</v>
      </c>
      <c r="E2897" s="528"/>
      <c r="F2897" s="523"/>
      <c r="G2897" s="393"/>
      <c r="H2897" s="394"/>
      <c r="I2897" s="394"/>
      <c r="J2897" s="394"/>
      <c r="K2897" s="394"/>
      <c r="L2897" s="394"/>
      <c r="M2897" s="394"/>
      <c r="N2897" s="394"/>
      <c r="O2897" s="394"/>
      <c r="P2897" s="394"/>
      <c r="Q2897" s="394"/>
      <c r="R2897" s="381"/>
      <c r="S2897" s="408"/>
      <c r="T2897" s="385"/>
      <c r="U2897" s="475"/>
      <c r="V2897" s="395"/>
      <c r="W2897" s="395"/>
      <c r="X2897" s="528"/>
      <c r="Y2897" s="523"/>
      <c r="Z2897" s="393"/>
      <c r="AA2897" s="394"/>
      <c r="AB2897" s="394"/>
      <c r="AC2897" s="394"/>
      <c r="AD2897" s="394"/>
      <c r="AE2897" s="394"/>
      <c r="AF2897" s="394"/>
      <c r="AG2897" s="394"/>
      <c r="AH2897" s="394"/>
      <c r="AI2897" s="394"/>
      <c r="AJ2897" s="394"/>
      <c r="AK2897" s="381"/>
      <c r="AL2897" s="408"/>
      <c r="AM2897" s="385"/>
      <c r="AN2897" s="475"/>
      <c r="AO2897" s="395"/>
      <c r="AP2897" s="395"/>
      <c r="AQ2897" s="528"/>
      <c r="AR2897" s="523">
        <v>1</v>
      </c>
      <c r="AS2897" s="393"/>
      <c r="AT2897" s="600">
        <v>19.010649999999998</v>
      </c>
      <c r="AU2897" s="394">
        <v>16.206140000000001</v>
      </c>
      <c r="AV2897" s="394">
        <v>15.15868</v>
      </c>
      <c r="AW2897" s="394"/>
      <c r="AX2897" s="394"/>
      <c r="AY2897" s="394">
        <v>0</v>
      </c>
      <c r="AZ2897" s="394">
        <v>0</v>
      </c>
      <c r="BA2897" s="394">
        <v>0.65381</v>
      </c>
      <c r="BB2897" s="394">
        <v>15.15868</v>
      </c>
      <c r="BC2897" s="394"/>
      <c r="BD2897" s="381" t="s">
        <v>167</v>
      </c>
      <c r="BE2897" s="408" t="s">
        <v>175</v>
      </c>
      <c r="BF2897" s="385"/>
      <c r="BG2897" s="475">
        <v>847</v>
      </c>
      <c r="BH2897" s="395"/>
      <c r="BI2897" s="395">
        <f t="shared" si="1099"/>
        <v>19.010649999999998</v>
      </c>
    </row>
    <row r="2898" spans="1:61" s="358" customFormat="1" ht="19.2" x14ac:dyDescent="0.3">
      <c r="A2898" s="359" t="s">
        <v>400</v>
      </c>
      <c r="B2898" s="602" t="s">
        <v>5236</v>
      </c>
      <c r="C2898" s="548" t="s">
        <v>5237</v>
      </c>
      <c r="D2898" s="360">
        <v>0.4</v>
      </c>
      <c r="E2898" s="528"/>
      <c r="F2898" s="523"/>
      <c r="G2898" s="393"/>
      <c r="H2898" s="394"/>
      <c r="I2898" s="394"/>
      <c r="J2898" s="394"/>
      <c r="K2898" s="394"/>
      <c r="L2898" s="394"/>
      <c r="M2898" s="394"/>
      <c r="N2898" s="394"/>
      <c r="O2898" s="394"/>
      <c r="P2898" s="394"/>
      <c r="Q2898" s="394"/>
      <c r="R2898" s="381"/>
      <c r="S2898" s="408"/>
      <c r="T2898" s="385"/>
      <c r="U2898" s="475"/>
      <c r="V2898" s="395"/>
      <c r="W2898" s="395"/>
      <c r="X2898" s="528"/>
      <c r="Y2898" s="523"/>
      <c r="Z2898" s="393"/>
      <c r="AA2898" s="394"/>
      <c r="AB2898" s="394"/>
      <c r="AC2898" s="394"/>
      <c r="AD2898" s="394"/>
      <c r="AE2898" s="394"/>
      <c r="AF2898" s="394"/>
      <c r="AG2898" s="394"/>
      <c r="AH2898" s="394"/>
      <c r="AI2898" s="394"/>
      <c r="AJ2898" s="394"/>
      <c r="AK2898" s="381"/>
      <c r="AL2898" s="408"/>
      <c r="AM2898" s="385"/>
      <c r="AN2898" s="475"/>
      <c r="AO2898" s="395"/>
      <c r="AP2898" s="395"/>
      <c r="AQ2898" s="528"/>
      <c r="AR2898" s="523">
        <v>1</v>
      </c>
      <c r="AS2898" s="393"/>
      <c r="AT2898" s="600">
        <v>19.010649999999998</v>
      </c>
      <c r="AU2898" s="394">
        <v>16.206140000000001</v>
      </c>
      <c r="AV2898" s="394">
        <v>15.15868</v>
      </c>
      <c r="AW2898" s="394"/>
      <c r="AX2898" s="394"/>
      <c r="AY2898" s="394">
        <v>0</v>
      </c>
      <c r="AZ2898" s="394">
        <v>0</v>
      </c>
      <c r="BA2898" s="394">
        <v>0.65381</v>
      </c>
      <c r="BB2898" s="394">
        <v>15.15868</v>
      </c>
      <c r="BC2898" s="394"/>
      <c r="BD2898" s="381" t="s">
        <v>167</v>
      </c>
      <c r="BE2898" s="408" t="s">
        <v>175</v>
      </c>
      <c r="BF2898" s="385"/>
      <c r="BG2898" s="475">
        <v>848</v>
      </c>
      <c r="BH2898" s="395"/>
      <c r="BI2898" s="395">
        <f t="shared" ref="BI2898" si="1103">AT2898/AR2898</f>
        <v>19.010649999999998</v>
      </c>
    </row>
    <row r="2899" spans="1:61" s="358" customFormat="1" ht="19.2" x14ac:dyDescent="0.3">
      <c r="A2899" s="359" t="s">
        <v>401</v>
      </c>
      <c r="B2899" s="602" t="s">
        <v>1455</v>
      </c>
      <c r="C2899" s="548" t="s">
        <v>5238</v>
      </c>
      <c r="D2899" s="360">
        <v>0.4</v>
      </c>
      <c r="E2899" s="528"/>
      <c r="F2899" s="523"/>
      <c r="G2899" s="393"/>
      <c r="H2899" s="394"/>
      <c r="I2899" s="394"/>
      <c r="J2899" s="394"/>
      <c r="K2899" s="394"/>
      <c r="L2899" s="394"/>
      <c r="M2899" s="394"/>
      <c r="N2899" s="394"/>
      <c r="O2899" s="394"/>
      <c r="P2899" s="394"/>
      <c r="Q2899" s="394"/>
      <c r="R2899" s="381"/>
      <c r="S2899" s="408"/>
      <c r="T2899" s="385"/>
      <c r="U2899" s="475"/>
      <c r="V2899" s="395"/>
      <c r="W2899" s="395"/>
      <c r="X2899" s="528"/>
      <c r="Y2899" s="523"/>
      <c r="Z2899" s="393"/>
      <c r="AA2899" s="394"/>
      <c r="AB2899" s="394"/>
      <c r="AC2899" s="394"/>
      <c r="AD2899" s="394"/>
      <c r="AE2899" s="394"/>
      <c r="AF2899" s="394"/>
      <c r="AG2899" s="394"/>
      <c r="AH2899" s="394"/>
      <c r="AI2899" s="394"/>
      <c r="AJ2899" s="394"/>
      <c r="AK2899" s="381"/>
      <c r="AL2899" s="408"/>
      <c r="AM2899" s="385"/>
      <c r="AN2899" s="475"/>
      <c r="AO2899" s="395"/>
      <c r="AP2899" s="395"/>
      <c r="AQ2899" s="528"/>
      <c r="AR2899" s="523">
        <v>1</v>
      </c>
      <c r="AS2899" s="393"/>
      <c r="AT2899" s="600">
        <v>19.010649999999998</v>
      </c>
      <c r="AU2899" s="394">
        <v>16.206140000000001</v>
      </c>
      <c r="AV2899" s="394">
        <v>15.15868</v>
      </c>
      <c r="AW2899" s="394"/>
      <c r="AX2899" s="394"/>
      <c r="AY2899" s="394">
        <v>0</v>
      </c>
      <c r="AZ2899" s="394">
        <v>0</v>
      </c>
      <c r="BA2899" s="394">
        <v>0.65381</v>
      </c>
      <c r="BB2899" s="394">
        <v>15.15868</v>
      </c>
      <c r="BC2899" s="394"/>
      <c r="BD2899" s="381" t="s">
        <v>167</v>
      </c>
      <c r="BE2899" s="408" t="s">
        <v>175</v>
      </c>
      <c r="BF2899" s="385"/>
      <c r="BG2899" s="475">
        <v>849</v>
      </c>
      <c r="BH2899" s="395"/>
      <c r="BI2899" s="395">
        <f t="shared" si="1099"/>
        <v>19.010649999999998</v>
      </c>
    </row>
    <row r="2900" spans="1:61" s="358" customFormat="1" ht="19.2" x14ac:dyDescent="0.3">
      <c r="A2900" s="359" t="s">
        <v>402</v>
      </c>
      <c r="B2900" s="602" t="s">
        <v>5239</v>
      </c>
      <c r="C2900" s="548" t="s">
        <v>5240</v>
      </c>
      <c r="D2900" s="360">
        <v>0.4</v>
      </c>
      <c r="E2900" s="528"/>
      <c r="F2900" s="523"/>
      <c r="G2900" s="393"/>
      <c r="H2900" s="394"/>
      <c r="I2900" s="394"/>
      <c r="J2900" s="394"/>
      <c r="K2900" s="394"/>
      <c r="L2900" s="394"/>
      <c r="M2900" s="394"/>
      <c r="N2900" s="394"/>
      <c r="O2900" s="394"/>
      <c r="P2900" s="394"/>
      <c r="Q2900" s="394"/>
      <c r="R2900" s="381"/>
      <c r="S2900" s="408"/>
      <c r="T2900" s="385"/>
      <c r="U2900" s="475"/>
      <c r="V2900" s="395"/>
      <c r="W2900" s="395"/>
      <c r="X2900" s="528"/>
      <c r="Y2900" s="523"/>
      <c r="Z2900" s="393"/>
      <c r="AA2900" s="394"/>
      <c r="AB2900" s="394"/>
      <c r="AC2900" s="394"/>
      <c r="AD2900" s="394"/>
      <c r="AE2900" s="394"/>
      <c r="AF2900" s="394"/>
      <c r="AG2900" s="394"/>
      <c r="AH2900" s="394"/>
      <c r="AI2900" s="394"/>
      <c r="AJ2900" s="394"/>
      <c r="AK2900" s="381"/>
      <c r="AL2900" s="408"/>
      <c r="AM2900" s="385"/>
      <c r="AN2900" s="475"/>
      <c r="AO2900" s="395"/>
      <c r="AP2900" s="395"/>
      <c r="AQ2900" s="528"/>
      <c r="AR2900" s="523">
        <v>1</v>
      </c>
      <c r="AS2900" s="393"/>
      <c r="AT2900" s="600">
        <v>19.010660000000001</v>
      </c>
      <c r="AU2900" s="394">
        <v>16.206150000000001</v>
      </c>
      <c r="AV2900" s="394">
        <v>15.15868</v>
      </c>
      <c r="AW2900" s="394"/>
      <c r="AX2900" s="394"/>
      <c r="AY2900" s="394">
        <v>0</v>
      </c>
      <c r="AZ2900" s="394">
        <v>0</v>
      </c>
      <c r="BA2900" s="394">
        <v>0.65381</v>
      </c>
      <c r="BB2900" s="394">
        <v>15.15868</v>
      </c>
      <c r="BC2900" s="394"/>
      <c r="BD2900" s="381" t="s">
        <v>167</v>
      </c>
      <c r="BE2900" s="408" t="s">
        <v>175</v>
      </c>
      <c r="BF2900" s="385"/>
      <c r="BG2900" s="475">
        <v>850</v>
      </c>
      <c r="BH2900" s="395"/>
      <c r="BI2900" s="395">
        <f t="shared" ref="BI2900" si="1104">AT2900/AR2900</f>
        <v>19.010660000000001</v>
      </c>
    </row>
    <row r="2901" spans="1:61" s="358" customFormat="1" ht="19.2" x14ac:dyDescent="0.3">
      <c r="A2901" s="359" t="s">
        <v>403</v>
      </c>
      <c r="B2901" s="602" t="s">
        <v>5241</v>
      </c>
      <c r="C2901" s="548" t="s">
        <v>5242</v>
      </c>
      <c r="D2901" s="360">
        <v>0.4</v>
      </c>
      <c r="E2901" s="528"/>
      <c r="F2901" s="523"/>
      <c r="G2901" s="393"/>
      <c r="H2901" s="394"/>
      <c r="I2901" s="394"/>
      <c r="J2901" s="394"/>
      <c r="K2901" s="394"/>
      <c r="L2901" s="394"/>
      <c r="M2901" s="394"/>
      <c r="N2901" s="394"/>
      <c r="O2901" s="394"/>
      <c r="P2901" s="394"/>
      <c r="Q2901" s="394"/>
      <c r="R2901" s="381"/>
      <c r="S2901" s="408"/>
      <c r="T2901" s="385"/>
      <c r="U2901" s="475"/>
      <c r="V2901" s="395"/>
      <c r="W2901" s="395"/>
      <c r="X2901" s="528"/>
      <c r="Y2901" s="523"/>
      <c r="Z2901" s="393"/>
      <c r="AA2901" s="394"/>
      <c r="AB2901" s="394"/>
      <c r="AC2901" s="394"/>
      <c r="AD2901" s="394"/>
      <c r="AE2901" s="394"/>
      <c r="AF2901" s="394"/>
      <c r="AG2901" s="394"/>
      <c r="AH2901" s="394"/>
      <c r="AI2901" s="394"/>
      <c r="AJ2901" s="394"/>
      <c r="AK2901" s="381"/>
      <c r="AL2901" s="408"/>
      <c r="AM2901" s="385"/>
      <c r="AN2901" s="475"/>
      <c r="AO2901" s="395"/>
      <c r="AP2901" s="395"/>
      <c r="AQ2901" s="528"/>
      <c r="AR2901" s="523">
        <v>1</v>
      </c>
      <c r="AS2901" s="393"/>
      <c r="AT2901" s="600">
        <v>19.010649999999998</v>
      </c>
      <c r="AU2901" s="394">
        <v>16.206140000000001</v>
      </c>
      <c r="AV2901" s="394">
        <v>15.15868</v>
      </c>
      <c r="AW2901" s="394"/>
      <c r="AX2901" s="394"/>
      <c r="AY2901" s="394">
        <v>0</v>
      </c>
      <c r="AZ2901" s="394">
        <v>0</v>
      </c>
      <c r="BA2901" s="394">
        <v>0.65381</v>
      </c>
      <c r="BB2901" s="394">
        <v>15.15868</v>
      </c>
      <c r="BC2901" s="394"/>
      <c r="BD2901" s="381" t="s">
        <v>167</v>
      </c>
      <c r="BE2901" s="408" t="s">
        <v>175</v>
      </c>
      <c r="BF2901" s="385"/>
      <c r="BG2901" s="475">
        <v>851</v>
      </c>
      <c r="BH2901" s="395"/>
      <c r="BI2901" s="395">
        <f t="shared" si="1099"/>
        <v>19.010649999999998</v>
      </c>
    </row>
    <row r="2902" spans="1:61" s="358" customFormat="1" ht="19.2" x14ac:dyDescent="0.3">
      <c r="A2902" s="359" t="s">
        <v>404</v>
      </c>
      <c r="B2902" s="602" t="s">
        <v>5243</v>
      </c>
      <c r="C2902" s="548" t="s">
        <v>5244</v>
      </c>
      <c r="D2902" s="360">
        <v>0.4</v>
      </c>
      <c r="E2902" s="528"/>
      <c r="F2902" s="523"/>
      <c r="G2902" s="393"/>
      <c r="H2902" s="394"/>
      <c r="I2902" s="394"/>
      <c r="J2902" s="394"/>
      <c r="K2902" s="394"/>
      <c r="L2902" s="394"/>
      <c r="M2902" s="394"/>
      <c r="N2902" s="394"/>
      <c r="O2902" s="394"/>
      <c r="P2902" s="394"/>
      <c r="Q2902" s="394"/>
      <c r="R2902" s="381"/>
      <c r="S2902" s="408"/>
      <c r="T2902" s="385"/>
      <c r="U2902" s="475"/>
      <c r="V2902" s="395"/>
      <c r="W2902" s="395"/>
      <c r="X2902" s="528"/>
      <c r="Y2902" s="523"/>
      <c r="Z2902" s="393"/>
      <c r="AA2902" s="394"/>
      <c r="AB2902" s="394"/>
      <c r="AC2902" s="394"/>
      <c r="AD2902" s="394"/>
      <c r="AE2902" s="394"/>
      <c r="AF2902" s="394"/>
      <c r="AG2902" s="394"/>
      <c r="AH2902" s="394"/>
      <c r="AI2902" s="394"/>
      <c r="AJ2902" s="394"/>
      <c r="AK2902" s="381"/>
      <c r="AL2902" s="408"/>
      <c r="AM2902" s="385"/>
      <c r="AN2902" s="475"/>
      <c r="AO2902" s="395"/>
      <c r="AP2902" s="395"/>
      <c r="AQ2902" s="528"/>
      <c r="AR2902" s="523">
        <v>1</v>
      </c>
      <c r="AS2902" s="393"/>
      <c r="AT2902" s="600">
        <v>19.010649999999998</v>
      </c>
      <c r="AU2902" s="394">
        <v>16.206140000000001</v>
      </c>
      <c r="AV2902" s="394">
        <v>15.15868</v>
      </c>
      <c r="AW2902" s="394"/>
      <c r="AX2902" s="394"/>
      <c r="AY2902" s="394">
        <v>0</v>
      </c>
      <c r="AZ2902" s="394">
        <v>0</v>
      </c>
      <c r="BA2902" s="394">
        <v>0.65381</v>
      </c>
      <c r="BB2902" s="394">
        <v>15.15868</v>
      </c>
      <c r="BC2902" s="394"/>
      <c r="BD2902" s="381" t="s">
        <v>167</v>
      </c>
      <c r="BE2902" s="408" t="s">
        <v>175</v>
      </c>
      <c r="BF2902" s="385"/>
      <c r="BG2902" s="475">
        <v>852</v>
      </c>
      <c r="BH2902" s="395"/>
      <c r="BI2902" s="395">
        <f t="shared" ref="BI2902" si="1105">AT2902/AR2902</f>
        <v>19.010649999999998</v>
      </c>
    </row>
    <row r="2903" spans="1:61" s="358" customFormat="1" ht="19.2" x14ac:dyDescent="0.3">
      <c r="A2903" s="359" t="s">
        <v>405</v>
      </c>
      <c r="B2903" s="602" t="s">
        <v>5245</v>
      </c>
      <c r="C2903" s="548" t="s">
        <v>5246</v>
      </c>
      <c r="D2903" s="360">
        <v>0.4</v>
      </c>
      <c r="E2903" s="528"/>
      <c r="F2903" s="523"/>
      <c r="G2903" s="393"/>
      <c r="H2903" s="394"/>
      <c r="I2903" s="394"/>
      <c r="J2903" s="394"/>
      <c r="K2903" s="394"/>
      <c r="L2903" s="394"/>
      <c r="M2903" s="394"/>
      <c r="N2903" s="394"/>
      <c r="O2903" s="394"/>
      <c r="P2903" s="394"/>
      <c r="Q2903" s="394"/>
      <c r="R2903" s="381"/>
      <c r="S2903" s="408"/>
      <c r="T2903" s="385"/>
      <c r="U2903" s="475"/>
      <c r="V2903" s="395"/>
      <c r="W2903" s="395"/>
      <c r="X2903" s="528"/>
      <c r="Y2903" s="523"/>
      <c r="Z2903" s="393"/>
      <c r="AA2903" s="394"/>
      <c r="AB2903" s="394"/>
      <c r="AC2903" s="394"/>
      <c r="AD2903" s="394"/>
      <c r="AE2903" s="394"/>
      <c r="AF2903" s="394"/>
      <c r="AG2903" s="394"/>
      <c r="AH2903" s="394"/>
      <c r="AI2903" s="394"/>
      <c r="AJ2903" s="394"/>
      <c r="AK2903" s="381"/>
      <c r="AL2903" s="408"/>
      <c r="AM2903" s="385"/>
      <c r="AN2903" s="475"/>
      <c r="AO2903" s="395"/>
      <c r="AP2903" s="395"/>
      <c r="AQ2903" s="528"/>
      <c r="AR2903" s="523">
        <v>1</v>
      </c>
      <c r="AS2903" s="393"/>
      <c r="AT2903" s="600">
        <v>19.010660000000001</v>
      </c>
      <c r="AU2903" s="394">
        <v>16.206150000000001</v>
      </c>
      <c r="AV2903" s="394">
        <v>15.15868</v>
      </c>
      <c r="AW2903" s="394"/>
      <c r="AX2903" s="394"/>
      <c r="AY2903" s="394">
        <v>0</v>
      </c>
      <c r="AZ2903" s="394">
        <v>0</v>
      </c>
      <c r="BA2903" s="394">
        <v>0.65381</v>
      </c>
      <c r="BB2903" s="394">
        <v>15.15868</v>
      </c>
      <c r="BC2903" s="394"/>
      <c r="BD2903" s="381" t="s">
        <v>167</v>
      </c>
      <c r="BE2903" s="408" t="s">
        <v>175</v>
      </c>
      <c r="BF2903" s="385"/>
      <c r="BG2903" s="475">
        <v>853</v>
      </c>
      <c r="BH2903" s="395"/>
      <c r="BI2903" s="395">
        <f t="shared" si="1099"/>
        <v>19.010660000000001</v>
      </c>
    </row>
    <row r="2904" spans="1:61" s="358" customFormat="1" ht="19.2" x14ac:dyDescent="0.3">
      <c r="A2904" s="359" t="s">
        <v>406</v>
      </c>
      <c r="B2904" s="602" t="s">
        <v>5247</v>
      </c>
      <c r="C2904" s="548" t="s">
        <v>5248</v>
      </c>
      <c r="D2904" s="360">
        <v>0.4</v>
      </c>
      <c r="E2904" s="528"/>
      <c r="F2904" s="523"/>
      <c r="G2904" s="393"/>
      <c r="H2904" s="394"/>
      <c r="I2904" s="394"/>
      <c r="J2904" s="394"/>
      <c r="K2904" s="394"/>
      <c r="L2904" s="394"/>
      <c r="M2904" s="394"/>
      <c r="N2904" s="394"/>
      <c r="O2904" s="394"/>
      <c r="P2904" s="394"/>
      <c r="Q2904" s="394"/>
      <c r="R2904" s="381"/>
      <c r="S2904" s="408"/>
      <c r="T2904" s="385"/>
      <c r="U2904" s="475"/>
      <c r="V2904" s="395"/>
      <c r="W2904" s="395"/>
      <c r="X2904" s="528"/>
      <c r="Y2904" s="523"/>
      <c r="Z2904" s="393"/>
      <c r="AA2904" s="394"/>
      <c r="AB2904" s="394"/>
      <c r="AC2904" s="394"/>
      <c r="AD2904" s="394"/>
      <c r="AE2904" s="394"/>
      <c r="AF2904" s="394"/>
      <c r="AG2904" s="394"/>
      <c r="AH2904" s="394"/>
      <c r="AI2904" s="394"/>
      <c r="AJ2904" s="394"/>
      <c r="AK2904" s="381"/>
      <c r="AL2904" s="408"/>
      <c r="AM2904" s="385"/>
      <c r="AN2904" s="475"/>
      <c r="AO2904" s="395"/>
      <c r="AP2904" s="395"/>
      <c r="AQ2904" s="528"/>
      <c r="AR2904" s="523">
        <v>1</v>
      </c>
      <c r="AS2904" s="393"/>
      <c r="AT2904" s="600">
        <v>19.010649999999998</v>
      </c>
      <c r="AU2904" s="394">
        <v>16.206140000000001</v>
      </c>
      <c r="AV2904" s="394">
        <v>15.15868</v>
      </c>
      <c r="AW2904" s="394"/>
      <c r="AX2904" s="394"/>
      <c r="AY2904" s="394">
        <v>0</v>
      </c>
      <c r="AZ2904" s="394">
        <v>0</v>
      </c>
      <c r="BA2904" s="394">
        <v>0.65381</v>
      </c>
      <c r="BB2904" s="394">
        <v>15.15868</v>
      </c>
      <c r="BC2904" s="394"/>
      <c r="BD2904" s="381" t="s">
        <v>167</v>
      </c>
      <c r="BE2904" s="408" t="s">
        <v>175</v>
      </c>
      <c r="BF2904" s="385"/>
      <c r="BG2904" s="475">
        <v>854</v>
      </c>
      <c r="BH2904" s="395"/>
      <c r="BI2904" s="395">
        <f t="shared" ref="BI2904" si="1106">AT2904/AR2904</f>
        <v>19.010649999999998</v>
      </c>
    </row>
    <row r="2905" spans="1:61" s="358" customFormat="1" ht="19.2" x14ac:dyDescent="0.3">
      <c r="A2905" s="359" t="s">
        <v>407</v>
      </c>
      <c r="B2905" s="602" t="s">
        <v>5249</v>
      </c>
      <c r="C2905" s="548" t="s">
        <v>5250</v>
      </c>
      <c r="D2905" s="360">
        <v>0.4</v>
      </c>
      <c r="E2905" s="528"/>
      <c r="F2905" s="523"/>
      <c r="G2905" s="393"/>
      <c r="H2905" s="394"/>
      <c r="I2905" s="394"/>
      <c r="J2905" s="394"/>
      <c r="K2905" s="394"/>
      <c r="L2905" s="394"/>
      <c r="M2905" s="394"/>
      <c r="N2905" s="394"/>
      <c r="O2905" s="394"/>
      <c r="P2905" s="394"/>
      <c r="Q2905" s="394"/>
      <c r="R2905" s="381"/>
      <c r="S2905" s="408"/>
      <c r="T2905" s="385"/>
      <c r="U2905" s="475"/>
      <c r="V2905" s="395"/>
      <c r="W2905" s="395"/>
      <c r="X2905" s="528"/>
      <c r="Y2905" s="523"/>
      <c r="Z2905" s="393"/>
      <c r="AA2905" s="394"/>
      <c r="AB2905" s="394"/>
      <c r="AC2905" s="394"/>
      <c r="AD2905" s="394"/>
      <c r="AE2905" s="394"/>
      <c r="AF2905" s="394"/>
      <c r="AG2905" s="394"/>
      <c r="AH2905" s="394"/>
      <c r="AI2905" s="394"/>
      <c r="AJ2905" s="394"/>
      <c r="AK2905" s="381"/>
      <c r="AL2905" s="408"/>
      <c r="AM2905" s="385"/>
      <c r="AN2905" s="475"/>
      <c r="AO2905" s="395"/>
      <c r="AP2905" s="395"/>
      <c r="AQ2905" s="528"/>
      <c r="AR2905" s="523">
        <v>1</v>
      </c>
      <c r="AS2905" s="393"/>
      <c r="AT2905" s="600">
        <v>19.010660000000001</v>
      </c>
      <c r="AU2905" s="394">
        <v>16.206150000000001</v>
      </c>
      <c r="AV2905" s="394">
        <v>15.15868</v>
      </c>
      <c r="AW2905" s="394"/>
      <c r="AX2905" s="394"/>
      <c r="AY2905" s="394">
        <v>0</v>
      </c>
      <c r="AZ2905" s="394">
        <v>0</v>
      </c>
      <c r="BA2905" s="394">
        <v>0.65381</v>
      </c>
      <c r="BB2905" s="394">
        <v>15.15868</v>
      </c>
      <c r="BC2905" s="394"/>
      <c r="BD2905" s="381" t="s">
        <v>167</v>
      </c>
      <c r="BE2905" s="408" t="s">
        <v>175</v>
      </c>
      <c r="BF2905" s="385"/>
      <c r="BG2905" s="475">
        <v>855</v>
      </c>
      <c r="BH2905" s="395"/>
      <c r="BI2905" s="395">
        <f t="shared" si="1099"/>
        <v>19.010660000000001</v>
      </c>
    </row>
    <row r="2906" spans="1:61" s="358" customFormat="1" ht="19.2" x14ac:dyDescent="0.3">
      <c r="A2906" s="359" t="s">
        <v>408</v>
      </c>
      <c r="B2906" s="602" t="s">
        <v>5283</v>
      </c>
      <c r="C2906" s="609" t="s">
        <v>5284</v>
      </c>
      <c r="D2906" s="360">
        <v>0.4</v>
      </c>
      <c r="E2906" s="528"/>
      <c r="F2906" s="523"/>
      <c r="G2906" s="393"/>
      <c r="H2906" s="394"/>
      <c r="I2906" s="394"/>
      <c r="J2906" s="394"/>
      <c r="K2906" s="394"/>
      <c r="L2906" s="394"/>
      <c r="M2906" s="394"/>
      <c r="N2906" s="394"/>
      <c r="O2906" s="394"/>
      <c r="P2906" s="394"/>
      <c r="Q2906" s="394"/>
      <c r="R2906" s="381"/>
      <c r="S2906" s="408"/>
      <c r="T2906" s="385"/>
      <c r="U2906" s="475"/>
      <c r="V2906" s="395"/>
      <c r="W2906" s="395"/>
      <c r="X2906" s="528"/>
      <c r="Y2906" s="523"/>
      <c r="Z2906" s="393"/>
      <c r="AA2906" s="394"/>
      <c r="AB2906" s="394"/>
      <c r="AC2906" s="394"/>
      <c r="AD2906" s="394"/>
      <c r="AE2906" s="394"/>
      <c r="AF2906" s="394"/>
      <c r="AG2906" s="394"/>
      <c r="AH2906" s="394"/>
      <c r="AI2906" s="394"/>
      <c r="AJ2906" s="394"/>
      <c r="AK2906" s="381"/>
      <c r="AL2906" s="408"/>
      <c r="AM2906" s="385"/>
      <c r="AN2906" s="475"/>
      <c r="AO2906" s="395"/>
      <c r="AP2906" s="395"/>
      <c r="AQ2906" s="528"/>
      <c r="AR2906" s="523">
        <v>1</v>
      </c>
      <c r="AS2906" s="393"/>
      <c r="AT2906" s="600">
        <v>19.550619999999999</v>
      </c>
      <c r="AU2906" s="394">
        <v>16.29964</v>
      </c>
      <c r="AV2906" s="394">
        <v>15.147410000000001</v>
      </c>
      <c r="AW2906" s="394"/>
      <c r="AX2906" s="394"/>
      <c r="AY2906" s="394">
        <v>0</v>
      </c>
      <c r="AZ2906" s="394">
        <v>0</v>
      </c>
      <c r="BA2906" s="394">
        <v>0.75790000000000002</v>
      </c>
      <c r="BB2906" s="394">
        <v>15.147410000000001</v>
      </c>
      <c r="BC2906" s="394"/>
      <c r="BD2906" s="381" t="s">
        <v>167</v>
      </c>
      <c r="BE2906" s="408" t="s">
        <v>175</v>
      </c>
      <c r="BF2906" s="385"/>
      <c r="BG2906" s="475">
        <v>856</v>
      </c>
      <c r="BH2906" s="395"/>
      <c r="BI2906" s="395">
        <f t="shared" ref="BI2906:BI2918" si="1107">AT2906/AR2906</f>
        <v>19.550619999999999</v>
      </c>
    </row>
    <row r="2907" spans="1:61" s="358" customFormat="1" ht="19.2" x14ac:dyDescent="0.3">
      <c r="A2907" s="359" t="s">
        <v>1858</v>
      </c>
      <c r="B2907" s="602" t="s">
        <v>3834</v>
      </c>
      <c r="C2907" s="609" t="s">
        <v>5285</v>
      </c>
      <c r="D2907" s="360">
        <v>0.4</v>
      </c>
      <c r="E2907" s="528"/>
      <c r="F2907" s="523"/>
      <c r="G2907" s="393"/>
      <c r="H2907" s="394"/>
      <c r="I2907" s="394"/>
      <c r="J2907" s="394"/>
      <c r="K2907" s="394"/>
      <c r="L2907" s="394"/>
      <c r="M2907" s="394"/>
      <c r="N2907" s="394"/>
      <c r="O2907" s="394"/>
      <c r="P2907" s="394"/>
      <c r="Q2907" s="394"/>
      <c r="R2907" s="381"/>
      <c r="S2907" s="408"/>
      <c r="T2907" s="385"/>
      <c r="U2907" s="475"/>
      <c r="V2907" s="395"/>
      <c r="W2907" s="395"/>
      <c r="X2907" s="528"/>
      <c r="Y2907" s="523"/>
      <c r="Z2907" s="393"/>
      <c r="AA2907" s="394"/>
      <c r="AB2907" s="394"/>
      <c r="AC2907" s="394"/>
      <c r="AD2907" s="394"/>
      <c r="AE2907" s="394"/>
      <c r="AF2907" s="394"/>
      <c r="AG2907" s="394"/>
      <c r="AH2907" s="394"/>
      <c r="AI2907" s="394"/>
      <c r="AJ2907" s="394"/>
      <c r="AK2907" s="381"/>
      <c r="AL2907" s="408"/>
      <c r="AM2907" s="385"/>
      <c r="AN2907" s="475"/>
      <c r="AO2907" s="395"/>
      <c r="AP2907" s="395"/>
      <c r="AQ2907" s="528"/>
      <c r="AR2907" s="523">
        <v>1</v>
      </c>
      <c r="AS2907" s="393"/>
      <c r="AT2907" s="600">
        <v>19.500399999999999</v>
      </c>
      <c r="AU2907" s="394">
        <v>16.249420000000001</v>
      </c>
      <c r="AV2907" s="394">
        <v>15.147410000000001</v>
      </c>
      <c r="AW2907" s="394"/>
      <c r="AX2907" s="394"/>
      <c r="AY2907" s="394">
        <v>0</v>
      </c>
      <c r="AZ2907" s="394">
        <v>0</v>
      </c>
      <c r="BA2907" s="394">
        <v>0.75790000000000002</v>
      </c>
      <c r="BB2907" s="394">
        <v>15.147410000000001</v>
      </c>
      <c r="BC2907" s="394"/>
      <c r="BD2907" s="381" t="s">
        <v>167</v>
      </c>
      <c r="BE2907" s="408" t="s">
        <v>175</v>
      </c>
      <c r="BF2907" s="385"/>
      <c r="BG2907" s="475">
        <v>857</v>
      </c>
      <c r="BH2907" s="395"/>
      <c r="BI2907" s="395">
        <f t="shared" ref="BI2907" si="1108">AT2907/AR2907</f>
        <v>19.500399999999999</v>
      </c>
    </row>
    <row r="2908" spans="1:61" s="358" customFormat="1" ht="19.2" x14ac:dyDescent="0.3">
      <c r="A2908" s="359" t="s">
        <v>1859</v>
      </c>
      <c r="B2908" s="602" t="s">
        <v>5286</v>
      </c>
      <c r="C2908" s="548" t="s">
        <v>5287</v>
      </c>
      <c r="D2908" s="360">
        <v>0.4</v>
      </c>
      <c r="E2908" s="528"/>
      <c r="F2908" s="523"/>
      <c r="G2908" s="393"/>
      <c r="H2908" s="394"/>
      <c r="I2908" s="394"/>
      <c r="J2908" s="394"/>
      <c r="K2908" s="394"/>
      <c r="L2908" s="394"/>
      <c r="M2908" s="394"/>
      <c r="N2908" s="394"/>
      <c r="O2908" s="394"/>
      <c r="P2908" s="394"/>
      <c r="Q2908" s="394"/>
      <c r="R2908" s="381"/>
      <c r="S2908" s="408"/>
      <c r="T2908" s="385"/>
      <c r="U2908" s="475"/>
      <c r="V2908" s="395"/>
      <c r="W2908" s="395"/>
      <c r="X2908" s="528"/>
      <c r="Y2908" s="523"/>
      <c r="Z2908" s="393"/>
      <c r="AA2908" s="394"/>
      <c r="AB2908" s="394"/>
      <c r="AC2908" s="394"/>
      <c r="AD2908" s="394"/>
      <c r="AE2908" s="394"/>
      <c r="AF2908" s="394"/>
      <c r="AG2908" s="394"/>
      <c r="AH2908" s="394"/>
      <c r="AI2908" s="394"/>
      <c r="AJ2908" s="394"/>
      <c r="AK2908" s="381"/>
      <c r="AL2908" s="408"/>
      <c r="AM2908" s="385"/>
      <c r="AN2908" s="475"/>
      <c r="AO2908" s="395"/>
      <c r="AP2908" s="395"/>
      <c r="AQ2908" s="528"/>
      <c r="AR2908" s="523">
        <v>1</v>
      </c>
      <c r="AS2908" s="393"/>
      <c r="AT2908" s="600">
        <v>19.550609999999999</v>
      </c>
      <c r="AU2908" s="394">
        <v>16.299630000000001</v>
      </c>
      <c r="AV2908" s="394">
        <v>15.147410000000001</v>
      </c>
      <c r="AW2908" s="394"/>
      <c r="AX2908" s="394"/>
      <c r="AY2908" s="394">
        <v>0</v>
      </c>
      <c r="AZ2908" s="394">
        <v>0</v>
      </c>
      <c r="BA2908" s="394">
        <v>0.75790000000000002</v>
      </c>
      <c r="BB2908" s="394">
        <v>15.147410000000001</v>
      </c>
      <c r="BC2908" s="394"/>
      <c r="BD2908" s="381" t="s">
        <v>167</v>
      </c>
      <c r="BE2908" s="408" t="s">
        <v>175</v>
      </c>
      <c r="BF2908" s="385"/>
      <c r="BG2908" s="475">
        <v>858</v>
      </c>
      <c r="BH2908" s="395"/>
      <c r="BI2908" s="395">
        <f t="shared" si="1107"/>
        <v>19.550609999999999</v>
      </c>
    </row>
    <row r="2909" spans="1:61" s="358" customFormat="1" ht="19.2" x14ac:dyDescent="0.3">
      <c r="A2909" s="359" t="s">
        <v>1860</v>
      </c>
      <c r="B2909" s="602" t="s">
        <v>5288</v>
      </c>
      <c r="C2909" s="548" t="s">
        <v>5289</v>
      </c>
      <c r="D2909" s="360">
        <v>0.4</v>
      </c>
      <c r="E2909" s="528"/>
      <c r="F2909" s="523"/>
      <c r="G2909" s="393"/>
      <c r="H2909" s="394"/>
      <c r="I2909" s="394"/>
      <c r="J2909" s="394"/>
      <c r="K2909" s="394"/>
      <c r="L2909" s="394"/>
      <c r="M2909" s="394"/>
      <c r="N2909" s="394"/>
      <c r="O2909" s="394"/>
      <c r="P2909" s="394"/>
      <c r="Q2909" s="394"/>
      <c r="R2909" s="381"/>
      <c r="S2909" s="408"/>
      <c r="T2909" s="385"/>
      <c r="U2909" s="475"/>
      <c r="V2909" s="395"/>
      <c r="W2909" s="395"/>
      <c r="X2909" s="528"/>
      <c r="Y2909" s="523"/>
      <c r="Z2909" s="393"/>
      <c r="AA2909" s="394"/>
      <c r="AB2909" s="394"/>
      <c r="AC2909" s="394"/>
      <c r="AD2909" s="394"/>
      <c r="AE2909" s="394"/>
      <c r="AF2909" s="394"/>
      <c r="AG2909" s="394"/>
      <c r="AH2909" s="394"/>
      <c r="AI2909" s="394"/>
      <c r="AJ2909" s="394"/>
      <c r="AK2909" s="381"/>
      <c r="AL2909" s="408"/>
      <c r="AM2909" s="385"/>
      <c r="AN2909" s="475"/>
      <c r="AO2909" s="395"/>
      <c r="AP2909" s="395"/>
      <c r="AQ2909" s="528"/>
      <c r="AR2909" s="523">
        <v>1</v>
      </c>
      <c r="AS2909" s="393"/>
      <c r="AT2909" s="600">
        <v>19.550619999999999</v>
      </c>
      <c r="AU2909" s="394">
        <v>16.29964</v>
      </c>
      <c r="AV2909" s="394">
        <v>15.147410000000001</v>
      </c>
      <c r="AW2909" s="394"/>
      <c r="AX2909" s="394"/>
      <c r="AY2909" s="394">
        <v>0</v>
      </c>
      <c r="AZ2909" s="394">
        <v>0</v>
      </c>
      <c r="BA2909" s="394">
        <v>0.75790000000000002</v>
      </c>
      <c r="BB2909" s="394">
        <v>15.147410000000001</v>
      </c>
      <c r="BC2909" s="394"/>
      <c r="BD2909" s="381" t="s">
        <v>167</v>
      </c>
      <c r="BE2909" s="408" t="s">
        <v>175</v>
      </c>
      <c r="BF2909" s="385"/>
      <c r="BG2909" s="475">
        <v>859</v>
      </c>
      <c r="BH2909" s="395"/>
      <c r="BI2909" s="395">
        <f t="shared" ref="BI2909" si="1109">AT2909/AR2909</f>
        <v>19.550619999999999</v>
      </c>
    </row>
    <row r="2910" spans="1:61" s="358" customFormat="1" ht="19.2" x14ac:dyDescent="0.3">
      <c r="A2910" s="359" t="s">
        <v>1861</v>
      </c>
      <c r="B2910" s="602" t="s">
        <v>5290</v>
      </c>
      <c r="C2910" s="548" t="s">
        <v>5291</v>
      </c>
      <c r="D2910" s="360">
        <v>0.4</v>
      </c>
      <c r="E2910" s="528"/>
      <c r="F2910" s="523"/>
      <c r="G2910" s="393"/>
      <c r="H2910" s="394"/>
      <c r="I2910" s="394"/>
      <c r="J2910" s="394"/>
      <c r="K2910" s="394"/>
      <c r="L2910" s="394"/>
      <c r="M2910" s="394"/>
      <c r="N2910" s="394"/>
      <c r="O2910" s="394"/>
      <c r="P2910" s="394"/>
      <c r="Q2910" s="394"/>
      <c r="R2910" s="381"/>
      <c r="S2910" s="408"/>
      <c r="T2910" s="385"/>
      <c r="U2910" s="475"/>
      <c r="V2910" s="395"/>
      <c r="W2910" s="395"/>
      <c r="X2910" s="528"/>
      <c r="Y2910" s="523"/>
      <c r="Z2910" s="393"/>
      <c r="AA2910" s="394"/>
      <c r="AB2910" s="394"/>
      <c r="AC2910" s="394"/>
      <c r="AD2910" s="394"/>
      <c r="AE2910" s="394"/>
      <c r="AF2910" s="394"/>
      <c r="AG2910" s="394"/>
      <c r="AH2910" s="394"/>
      <c r="AI2910" s="394"/>
      <c r="AJ2910" s="394"/>
      <c r="AK2910" s="381"/>
      <c r="AL2910" s="408"/>
      <c r="AM2910" s="385"/>
      <c r="AN2910" s="475"/>
      <c r="AO2910" s="395"/>
      <c r="AP2910" s="395"/>
      <c r="AQ2910" s="528"/>
      <c r="AR2910" s="523">
        <v>1</v>
      </c>
      <c r="AS2910" s="393"/>
      <c r="AT2910" s="600">
        <v>19.500389999999999</v>
      </c>
      <c r="AU2910" s="394">
        <v>16.249410000000001</v>
      </c>
      <c r="AV2910" s="394">
        <v>15.147410000000001</v>
      </c>
      <c r="AW2910" s="394"/>
      <c r="AX2910" s="394"/>
      <c r="AY2910" s="394">
        <v>0</v>
      </c>
      <c r="AZ2910" s="394">
        <v>0</v>
      </c>
      <c r="BA2910" s="394">
        <v>0.75790000000000002</v>
      </c>
      <c r="BB2910" s="394">
        <v>15.147410000000001</v>
      </c>
      <c r="BC2910" s="394"/>
      <c r="BD2910" s="381" t="s">
        <v>167</v>
      </c>
      <c r="BE2910" s="408" t="s">
        <v>175</v>
      </c>
      <c r="BF2910" s="385"/>
      <c r="BG2910" s="475">
        <v>860</v>
      </c>
      <c r="BH2910" s="395"/>
      <c r="BI2910" s="395">
        <f t="shared" si="1107"/>
        <v>19.500389999999999</v>
      </c>
    </row>
    <row r="2911" spans="1:61" s="358" customFormat="1" ht="19.2" x14ac:dyDescent="0.3">
      <c r="A2911" s="359" t="s">
        <v>1862</v>
      </c>
      <c r="B2911" s="602" t="s">
        <v>5292</v>
      </c>
      <c r="C2911" s="548" t="s">
        <v>5293</v>
      </c>
      <c r="D2911" s="360">
        <v>0.4</v>
      </c>
      <c r="E2911" s="528"/>
      <c r="F2911" s="523"/>
      <c r="G2911" s="393"/>
      <c r="H2911" s="394"/>
      <c r="I2911" s="394"/>
      <c r="J2911" s="394"/>
      <c r="K2911" s="394"/>
      <c r="L2911" s="394"/>
      <c r="M2911" s="394"/>
      <c r="N2911" s="394"/>
      <c r="O2911" s="394"/>
      <c r="P2911" s="394"/>
      <c r="Q2911" s="394"/>
      <c r="R2911" s="381"/>
      <c r="S2911" s="408"/>
      <c r="T2911" s="385"/>
      <c r="U2911" s="475"/>
      <c r="V2911" s="395"/>
      <c r="W2911" s="395"/>
      <c r="X2911" s="528"/>
      <c r="Y2911" s="523"/>
      <c r="Z2911" s="393"/>
      <c r="AA2911" s="394"/>
      <c r="AB2911" s="394"/>
      <c r="AC2911" s="394"/>
      <c r="AD2911" s="394"/>
      <c r="AE2911" s="394"/>
      <c r="AF2911" s="394"/>
      <c r="AG2911" s="394"/>
      <c r="AH2911" s="394"/>
      <c r="AI2911" s="394"/>
      <c r="AJ2911" s="394"/>
      <c r="AK2911" s="381"/>
      <c r="AL2911" s="408"/>
      <c r="AM2911" s="385"/>
      <c r="AN2911" s="475"/>
      <c r="AO2911" s="395"/>
      <c r="AP2911" s="395"/>
      <c r="AQ2911" s="528"/>
      <c r="AR2911" s="523">
        <v>1</v>
      </c>
      <c r="AS2911" s="393"/>
      <c r="AT2911" s="600">
        <v>19.500399999999999</v>
      </c>
      <c r="AU2911" s="394">
        <v>16.249420000000001</v>
      </c>
      <c r="AV2911" s="394">
        <v>15.147410000000001</v>
      </c>
      <c r="AW2911" s="394"/>
      <c r="AX2911" s="394"/>
      <c r="AY2911" s="394">
        <v>0</v>
      </c>
      <c r="AZ2911" s="394">
        <v>0</v>
      </c>
      <c r="BA2911" s="394">
        <v>0.75790000000000002</v>
      </c>
      <c r="BB2911" s="394">
        <v>15.147410000000001</v>
      </c>
      <c r="BC2911" s="394"/>
      <c r="BD2911" s="381" t="s">
        <v>167</v>
      </c>
      <c r="BE2911" s="408" t="s">
        <v>175</v>
      </c>
      <c r="BF2911" s="385"/>
      <c r="BG2911" s="475">
        <v>861</v>
      </c>
      <c r="BH2911" s="395"/>
      <c r="BI2911" s="395">
        <f t="shared" ref="BI2911" si="1110">AT2911/AR2911</f>
        <v>19.500399999999999</v>
      </c>
    </row>
    <row r="2912" spans="1:61" s="358" customFormat="1" ht="19.2" x14ac:dyDescent="0.3">
      <c r="A2912" s="359" t="s">
        <v>1863</v>
      </c>
      <c r="B2912" s="602" t="s">
        <v>5294</v>
      </c>
      <c r="C2912" s="548" t="s">
        <v>5295</v>
      </c>
      <c r="D2912" s="360">
        <v>0.4</v>
      </c>
      <c r="E2912" s="528"/>
      <c r="F2912" s="523"/>
      <c r="G2912" s="393"/>
      <c r="H2912" s="394"/>
      <c r="I2912" s="394"/>
      <c r="J2912" s="394"/>
      <c r="K2912" s="394"/>
      <c r="L2912" s="394"/>
      <c r="M2912" s="394"/>
      <c r="N2912" s="394"/>
      <c r="O2912" s="394"/>
      <c r="P2912" s="394"/>
      <c r="Q2912" s="394"/>
      <c r="R2912" s="381"/>
      <c r="S2912" s="408"/>
      <c r="T2912" s="385"/>
      <c r="U2912" s="475"/>
      <c r="V2912" s="395"/>
      <c r="W2912" s="395"/>
      <c r="X2912" s="528"/>
      <c r="Y2912" s="523"/>
      <c r="Z2912" s="393"/>
      <c r="AA2912" s="394"/>
      <c r="AB2912" s="394"/>
      <c r="AC2912" s="394"/>
      <c r="AD2912" s="394"/>
      <c r="AE2912" s="394"/>
      <c r="AF2912" s="394"/>
      <c r="AG2912" s="394"/>
      <c r="AH2912" s="394"/>
      <c r="AI2912" s="394"/>
      <c r="AJ2912" s="394"/>
      <c r="AK2912" s="381"/>
      <c r="AL2912" s="408"/>
      <c r="AM2912" s="385"/>
      <c r="AN2912" s="475"/>
      <c r="AO2912" s="395"/>
      <c r="AP2912" s="395"/>
      <c r="AQ2912" s="528"/>
      <c r="AR2912" s="523">
        <v>1</v>
      </c>
      <c r="AS2912" s="393"/>
      <c r="AT2912" s="600">
        <v>19.550609999999999</v>
      </c>
      <c r="AU2912" s="394">
        <v>16.299630000000001</v>
      </c>
      <c r="AV2912" s="394">
        <v>15.147410000000001</v>
      </c>
      <c r="AW2912" s="394"/>
      <c r="AX2912" s="394"/>
      <c r="AY2912" s="394">
        <v>0</v>
      </c>
      <c r="AZ2912" s="394">
        <v>0</v>
      </c>
      <c r="BA2912" s="394">
        <v>0.75790000000000002</v>
      </c>
      <c r="BB2912" s="394">
        <v>15.147410000000001</v>
      </c>
      <c r="BC2912" s="394"/>
      <c r="BD2912" s="381" t="s">
        <v>167</v>
      </c>
      <c r="BE2912" s="408" t="s">
        <v>175</v>
      </c>
      <c r="BF2912" s="385"/>
      <c r="BG2912" s="475">
        <v>862</v>
      </c>
      <c r="BH2912" s="395"/>
      <c r="BI2912" s="395">
        <f t="shared" si="1107"/>
        <v>19.550609999999999</v>
      </c>
    </row>
    <row r="2913" spans="1:61" s="358" customFormat="1" ht="19.2" x14ac:dyDescent="0.3">
      <c r="A2913" s="359" t="s">
        <v>1864</v>
      </c>
      <c r="B2913" s="602" t="s">
        <v>5296</v>
      </c>
      <c r="C2913" s="548" t="s">
        <v>5297</v>
      </c>
      <c r="D2913" s="360">
        <v>0.4</v>
      </c>
      <c r="E2913" s="528"/>
      <c r="F2913" s="523"/>
      <c r="G2913" s="393"/>
      <c r="H2913" s="394"/>
      <c r="I2913" s="394"/>
      <c r="J2913" s="394"/>
      <c r="K2913" s="394"/>
      <c r="L2913" s="394"/>
      <c r="M2913" s="394"/>
      <c r="N2913" s="394"/>
      <c r="O2913" s="394"/>
      <c r="P2913" s="394"/>
      <c r="Q2913" s="394"/>
      <c r="R2913" s="381"/>
      <c r="S2913" s="408"/>
      <c r="T2913" s="385"/>
      <c r="U2913" s="475"/>
      <c r="V2913" s="395"/>
      <c r="W2913" s="395"/>
      <c r="X2913" s="528"/>
      <c r="Y2913" s="523"/>
      <c r="Z2913" s="393"/>
      <c r="AA2913" s="394"/>
      <c r="AB2913" s="394"/>
      <c r="AC2913" s="394"/>
      <c r="AD2913" s="394"/>
      <c r="AE2913" s="394"/>
      <c r="AF2913" s="394"/>
      <c r="AG2913" s="394"/>
      <c r="AH2913" s="394"/>
      <c r="AI2913" s="394"/>
      <c r="AJ2913" s="394"/>
      <c r="AK2913" s="381"/>
      <c r="AL2913" s="408"/>
      <c r="AM2913" s="385"/>
      <c r="AN2913" s="475"/>
      <c r="AO2913" s="395"/>
      <c r="AP2913" s="395"/>
      <c r="AQ2913" s="528"/>
      <c r="AR2913" s="523">
        <v>1</v>
      </c>
      <c r="AS2913" s="393"/>
      <c r="AT2913" s="600">
        <v>19.550609999999999</v>
      </c>
      <c r="AU2913" s="394">
        <v>16.299630000000001</v>
      </c>
      <c r="AV2913" s="394">
        <v>15.147410000000001</v>
      </c>
      <c r="AW2913" s="394"/>
      <c r="AX2913" s="394"/>
      <c r="AY2913" s="394">
        <v>0</v>
      </c>
      <c r="AZ2913" s="394">
        <v>0</v>
      </c>
      <c r="BA2913" s="394">
        <v>0.75790000000000002</v>
      </c>
      <c r="BB2913" s="394">
        <v>15.147410000000001</v>
      </c>
      <c r="BC2913" s="394"/>
      <c r="BD2913" s="381" t="s">
        <v>167</v>
      </c>
      <c r="BE2913" s="408" t="s">
        <v>175</v>
      </c>
      <c r="BF2913" s="385"/>
      <c r="BG2913" s="475">
        <v>863</v>
      </c>
      <c r="BH2913" s="395"/>
      <c r="BI2913" s="395">
        <f t="shared" ref="BI2913" si="1111">AT2913/AR2913</f>
        <v>19.550609999999999</v>
      </c>
    </row>
    <row r="2914" spans="1:61" s="358" customFormat="1" ht="19.2" x14ac:dyDescent="0.3">
      <c r="A2914" s="359" t="s">
        <v>1865</v>
      </c>
      <c r="B2914" s="602" t="s">
        <v>5298</v>
      </c>
      <c r="C2914" s="548" t="s">
        <v>5299</v>
      </c>
      <c r="D2914" s="360">
        <v>0.4</v>
      </c>
      <c r="E2914" s="528"/>
      <c r="F2914" s="523"/>
      <c r="G2914" s="393"/>
      <c r="H2914" s="394"/>
      <c r="I2914" s="394"/>
      <c r="J2914" s="394"/>
      <c r="K2914" s="394"/>
      <c r="L2914" s="394"/>
      <c r="M2914" s="394"/>
      <c r="N2914" s="394"/>
      <c r="O2914" s="394"/>
      <c r="P2914" s="394"/>
      <c r="Q2914" s="394"/>
      <c r="R2914" s="381"/>
      <c r="S2914" s="408"/>
      <c r="T2914" s="385"/>
      <c r="U2914" s="475"/>
      <c r="V2914" s="395"/>
      <c r="W2914" s="395"/>
      <c r="X2914" s="528"/>
      <c r="Y2914" s="523"/>
      <c r="Z2914" s="393"/>
      <c r="AA2914" s="394"/>
      <c r="AB2914" s="394"/>
      <c r="AC2914" s="394"/>
      <c r="AD2914" s="394"/>
      <c r="AE2914" s="394"/>
      <c r="AF2914" s="394"/>
      <c r="AG2914" s="394"/>
      <c r="AH2914" s="394"/>
      <c r="AI2914" s="394"/>
      <c r="AJ2914" s="394"/>
      <c r="AK2914" s="381"/>
      <c r="AL2914" s="408"/>
      <c r="AM2914" s="385"/>
      <c r="AN2914" s="475"/>
      <c r="AO2914" s="395"/>
      <c r="AP2914" s="395"/>
      <c r="AQ2914" s="528"/>
      <c r="AR2914" s="523">
        <v>1</v>
      </c>
      <c r="AS2914" s="393"/>
      <c r="AT2914" s="600">
        <v>19.550609999999999</v>
      </c>
      <c r="AU2914" s="394">
        <v>16.299630000000001</v>
      </c>
      <c r="AV2914" s="394">
        <v>15.147410000000001</v>
      </c>
      <c r="AW2914" s="394"/>
      <c r="AX2914" s="394"/>
      <c r="AY2914" s="394">
        <v>0</v>
      </c>
      <c r="AZ2914" s="394">
        <v>0</v>
      </c>
      <c r="BA2914" s="394">
        <v>0.75790000000000002</v>
      </c>
      <c r="BB2914" s="394">
        <v>15.147410000000001</v>
      </c>
      <c r="BC2914" s="394"/>
      <c r="BD2914" s="381" t="s">
        <v>167</v>
      </c>
      <c r="BE2914" s="408" t="s">
        <v>175</v>
      </c>
      <c r="BF2914" s="385"/>
      <c r="BG2914" s="475">
        <v>864</v>
      </c>
      <c r="BH2914" s="395"/>
      <c r="BI2914" s="395">
        <f t="shared" si="1107"/>
        <v>19.550609999999999</v>
      </c>
    </row>
    <row r="2915" spans="1:61" s="358" customFormat="1" ht="19.2" x14ac:dyDescent="0.3">
      <c r="A2915" s="359" t="s">
        <v>1866</v>
      </c>
      <c r="B2915" s="602" t="s">
        <v>5300</v>
      </c>
      <c r="C2915" s="548" t="s">
        <v>5301</v>
      </c>
      <c r="D2915" s="360">
        <v>0.4</v>
      </c>
      <c r="E2915" s="528"/>
      <c r="F2915" s="523"/>
      <c r="G2915" s="393"/>
      <c r="H2915" s="394"/>
      <c r="I2915" s="394"/>
      <c r="J2915" s="394"/>
      <c r="K2915" s="394"/>
      <c r="L2915" s="394"/>
      <c r="M2915" s="394"/>
      <c r="N2915" s="394"/>
      <c r="O2915" s="394"/>
      <c r="P2915" s="394"/>
      <c r="Q2915" s="394"/>
      <c r="R2915" s="381"/>
      <c r="S2915" s="408"/>
      <c r="T2915" s="385"/>
      <c r="U2915" s="475"/>
      <c r="V2915" s="395"/>
      <c r="W2915" s="395"/>
      <c r="X2915" s="528"/>
      <c r="Y2915" s="523"/>
      <c r="Z2915" s="393"/>
      <c r="AA2915" s="394"/>
      <c r="AB2915" s="394"/>
      <c r="AC2915" s="394"/>
      <c r="AD2915" s="394"/>
      <c r="AE2915" s="394"/>
      <c r="AF2915" s="394"/>
      <c r="AG2915" s="394"/>
      <c r="AH2915" s="394"/>
      <c r="AI2915" s="394"/>
      <c r="AJ2915" s="394"/>
      <c r="AK2915" s="381"/>
      <c r="AL2915" s="408"/>
      <c r="AM2915" s="385"/>
      <c r="AN2915" s="475"/>
      <c r="AO2915" s="395"/>
      <c r="AP2915" s="395"/>
      <c r="AQ2915" s="528"/>
      <c r="AR2915" s="523">
        <v>1</v>
      </c>
      <c r="AS2915" s="393"/>
      <c r="AT2915" s="600">
        <v>19.550609999999999</v>
      </c>
      <c r="AU2915" s="394">
        <v>16.299630000000001</v>
      </c>
      <c r="AV2915" s="394">
        <v>15.147410000000001</v>
      </c>
      <c r="AW2915" s="394"/>
      <c r="AX2915" s="394"/>
      <c r="AY2915" s="394">
        <v>0</v>
      </c>
      <c r="AZ2915" s="394">
        <v>0</v>
      </c>
      <c r="BA2915" s="394">
        <v>0.75790000000000002</v>
      </c>
      <c r="BB2915" s="394">
        <v>15.147410000000001</v>
      </c>
      <c r="BC2915" s="394"/>
      <c r="BD2915" s="381" t="s">
        <v>167</v>
      </c>
      <c r="BE2915" s="408" t="s">
        <v>175</v>
      </c>
      <c r="BF2915" s="385"/>
      <c r="BG2915" s="475">
        <v>865</v>
      </c>
      <c r="BH2915" s="395"/>
      <c r="BI2915" s="395">
        <f t="shared" ref="BI2915" si="1112">AT2915/AR2915</f>
        <v>19.550609999999999</v>
      </c>
    </row>
    <row r="2916" spans="1:61" s="358" customFormat="1" ht="19.2" x14ac:dyDescent="0.3">
      <c r="A2916" s="359" t="s">
        <v>1867</v>
      </c>
      <c r="B2916" s="602" t="s">
        <v>5302</v>
      </c>
      <c r="C2916" s="548" t="s">
        <v>5303</v>
      </c>
      <c r="D2916" s="360">
        <v>0.4</v>
      </c>
      <c r="E2916" s="528"/>
      <c r="F2916" s="523"/>
      <c r="G2916" s="393"/>
      <c r="H2916" s="394"/>
      <c r="I2916" s="394"/>
      <c r="J2916" s="394"/>
      <c r="K2916" s="394"/>
      <c r="L2916" s="394"/>
      <c r="M2916" s="394"/>
      <c r="N2916" s="394"/>
      <c r="O2916" s="394"/>
      <c r="P2916" s="394"/>
      <c r="Q2916" s="394"/>
      <c r="R2916" s="381"/>
      <c r="S2916" s="408"/>
      <c r="T2916" s="385"/>
      <c r="U2916" s="475"/>
      <c r="V2916" s="395"/>
      <c r="W2916" s="395"/>
      <c r="X2916" s="528"/>
      <c r="Y2916" s="523"/>
      <c r="Z2916" s="393"/>
      <c r="AA2916" s="394"/>
      <c r="AB2916" s="394"/>
      <c r="AC2916" s="394"/>
      <c r="AD2916" s="394"/>
      <c r="AE2916" s="394"/>
      <c r="AF2916" s="394"/>
      <c r="AG2916" s="394"/>
      <c r="AH2916" s="394"/>
      <c r="AI2916" s="394"/>
      <c r="AJ2916" s="394"/>
      <c r="AK2916" s="381"/>
      <c r="AL2916" s="408"/>
      <c r="AM2916" s="385"/>
      <c r="AN2916" s="475"/>
      <c r="AO2916" s="395"/>
      <c r="AP2916" s="395"/>
      <c r="AQ2916" s="528"/>
      <c r="AR2916" s="523">
        <v>1</v>
      </c>
      <c r="AS2916" s="393"/>
      <c r="AT2916" s="600">
        <v>19.500389999999999</v>
      </c>
      <c r="AU2916" s="394">
        <v>16.249410000000001</v>
      </c>
      <c r="AV2916" s="394">
        <v>15.147410000000001</v>
      </c>
      <c r="AW2916" s="394"/>
      <c r="AX2916" s="394"/>
      <c r="AY2916" s="394">
        <v>0</v>
      </c>
      <c r="AZ2916" s="394">
        <v>0</v>
      </c>
      <c r="BA2916" s="394">
        <v>0.75790000000000002</v>
      </c>
      <c r="BB2916" s="394">
        <v>15.147410000000001</v>
      </c>
      <c r="BC2916" s="394"/>
      <c r="BD2916" s="381" t="s">
        <v>167</v>
      </c>
      <c r="BE2916" s="408" t="s">
        <v>175</v>
      </c>
      <c r="BF2916" s="385"/>
      <c r="BG2916" s="475">
        <v>866</v>
      </c>
      <c r="BH2916" s="395"/>
      <c r="BI2916" s="395">
        <f t="shared" si="1107"/>
        <v>19.500389999999999</v>
      </c>
    </row>
    <row r="2917" spans="1:61" s="358" customFormat="1" ht="19.2" x14ac:dyDescent="0.3">
      <c r="A2917" s="359" t="s">
        <v>1868</v>
      </c>
      <c r="B2917" s="602" t="s">
        <v>3780</v>
      </c>
      <c r="C2917" s="548" t="s">
        <v>5304</v>
      </c>
      <c r="D2917" s="360">
        <v>0.4</v>
      </c>
      <c r="E2917" s="528"/>
      <c r="F2917" s="523"/>
      <c r="G2917" s="393"/>
      <c r="H2917" s="394"/>
      <c r="I2917" s="394"/>
      <c r="J2917" s="394"/>
      <c r="K2917" s="394"/>
      <c r="L2917" s="394"/>
      <c r="M2917" s="394"/>
      <c r="N2917" s="394"/>
      <c r="O2917" s="394"/>
      <c r="P2917" s="394"/>
      <c r="Q2917" s="394"/>
      <c r="R2917" s="381"/>
      <c r="S2917" s="408"/>
      <c r="T2917" s="385"/>
      <c r="U2917" s="475"/>
      <c r="V2917" s="395"/>
      <c r="W2917" s="395"/>
      <c r="X2917" s="528"/>
      <c r="Y2917" s="523"/>
      <c r="Z2917" s="393"/>
      <c r="AA2917" s="394"/>
      <c r="AB2917" s="394"/>
      <c r="AC2917" s="394"/>
      <c r="AD2917" s="394"/>
      <c r="AE2917" s="394"/>
      <c r="AF2917" s="394"/>
      <c r="AG2917" s="394"/>
      <c r="AH2917" s="394"/>
      <c r="AI2917" s="394"/>
      <c r="AJ2917" s="394"/>
      <c r="AK2917" s="381"/>
      <c r="AL2917" s="408"/>
      <c r="AM2917" s="385"/>
      <c r="AN2917" s="475"/>
      <c r="AO2917" s="395"/>
      <c r="AP2917" s="395"/>
      <c r="AQ2917" s="528"/>
      <c r="AR2917" s="523">
        <v>1</v>
      </c>
      <c r="AS2917" s="393"/>
      <c r="AT2917" s="600">
        <v>19.550609999999999</v>
      </c>
      <c r="AU2917" s="394">
        <v>16.299630000000001</v>
      </c>
      <c r="AV2917" s="394">
        <v>15.147410000000001</v>
      </c>
      <c r="AW2917" s="394"/>
      <c r="AX2917" s="394"/>
      <c r="AY2917" s="394">
        <v>0</v>
      </c>
      <c r="AZ2917" s="394">
        <v>0</v>
      </c>
      <c r="BA2917" s="394">
        <v>0.75790000000000002</v>
      </c>
      <c r="BB2917" s="394">
        <v>15.147410000000001</v>
      </c>
      <c r="BC2917" s="394"/>
      <c r="BD2917" s="381" t="s">
        <v>167</v>
      </c>
      <c r="BE2917" s="408" t="s">
        <v>175</v>
      </c>
      <c r="BF2917" s="385"/>
      <c r="BG2917" s="475">
        <v>867</v>
      </c>
      <c r="BH2917" s="395"/>
      <c r="BI2917" s="395">
        <f t="shared" ref="BI2917" si="1113">AT2917/AR2917</f>
        <v>19.550609999999999</v>
      </c>
    </row>
    <row r="2918" spans="1:61" s="358" customFormat="1" ht="19.2" x14ac:dyDescent="0.3">
      <c r="A2918" s="359" t="s">
        <v>1869</v>
      </c>
      <c r="B2918" s="602" t="s">
        <v>5305</v>
      </c>
      <c r="C2918" s="548" t="s">
        <v>5306</v>
      </c>
      <c r="D2918" s="360">
        <v>0.4</v>
      </c>
      <c r="E2918" s="528"/>
      <c r="F2918" s="523"/>
      <c r="G2918" s="393"/>
      <c r="H2918" s="394"/>
      <c r="I2918" s="394"/>
      <c r="J2918" s="394"/>
      <c r="K2918" s="394"/>
      <c r="L2918" s="394"/>
      <c r="M2918" s="394"/>
      <c r="N2918" s="394"/>
      <c r="O2918" s="394"/>
      <c r="P2918" s="394"/>
      <c r="Q2918" s="394"/>
      <c r="R2918" s="381"/>
      <c r="S2918" s="408"/>
      <c r="T2918" s="385"/>
      <c r="U2918" s="475"/>
      <c r="V2918" s="395"/>
      <c r="W2918" s="395"/>
      <c r="X2918" s="528"/>
      <c r="Y2918" s="523"/>
      <c r="Z2918" s="393"/>
      <c r="AA2918" s="394"/>
      <c r="AB2918" s="394"/>
      <c r="AC2918" s="394"/>
      <c r="AD2918" s="394"/>
      <c r="AE2918" s="394"/>
      <c r="AF2918" s="394"/>
      <c r="AG2918" s="394"/>
      <c r="AH2918" s="394"/>
      <c r="AI2918" s="394"/>
      <c r="AJ2918" s="394"/>
      <c r="AK2918" s="381"/>
      <c r="AL2918" s="408"/>
      <c r="AM2918" s="385"/>
      <c r="AN2918" s="475"/>
      <c r="AO2918" s="395"/>
      <c r="AP2918" s="395"/>
      <c r="AQ2918" s="528"/>
      <c r="AR2918" s="523">
        <v>1</v>
      </c>
      <c r="AS2918" s="393"/>
      <c r="AT2918" s="600">
        <v>19.550609999999999</v>
      </c>
      <c r="AU2918" s="394">
        <v>16.299630000000001</v>
      </c>
      <c r="AV2918" s="394">
        <v>15.147410000000001</v>
      </c>
      <c r="AW2918" s="394"/>
      <c r="AX2918" s="394"/>
      <c r="AY2918" s="394">
        <v>0</v>
      </c>
      <c r="AZ2918" s="394">
        <v>0</v>
      </c>
      <c r="BA2918" s="394">
        <v>0.75790000000000002</v>
      </c>
      <c r="BB2918" s="394">
        <v>15.147410000000001</v>
      </c>
      <c r="BC2918" s="394"/>
      <c r="BD2918" s="381" t="s">
        <v>167</v>
      </c>
      <c r="BE2918" s="408" t="s">
        <v>175</v>
      </c>
      <c r="BF2918" s="385"/>
      <c r="BG2918" s="475">
        <v>868</v>
      </c>
      <c r="BH2918" s="395"/>
      <c r="BI2918" s="395">
        <f t="shared" si="1107"/>
        <v>19.550609999999999</v>
      </c>
    </row>
    <row r="2919" spans="1:61" s="358" customFormat="1" ht="19.2" x14ac:dyDescent="0.3">
      <c r="A2919" s="359" t="s">
        <v>1870</v>
      </c>
      <c r="B2919" s="602" t="s">
        <v>5307</v>
      </c>
      <c r="C2919" s="548" t="s">
        <v>5308</v>
      </c>
      <c r="D2919" s="360">
        <v>0.4</v>
      </c>
      <c r="E2919" s="528"/>
      <c r="F2919" s="523"/>
      <c r="G2919" s="393"/>
      <c r="H2919" s="394"/>
      <c r="I2919" s="394"/>
      <c r="J2919" s="394"/>
      <c r="K2919" s="394"/>
      <c r="L2919" s="394"/>
      <c r="M2919" s="394"/>
      <c r="N2919" s="394"/>
      <c r="O2919" s="394"/>
      <c r="P2919" s="394"/>
      <c r="Q2919" s="394"/>
      <c r="R2919" s="381"/>
      <c r="S2919" s="408"/>
      <c r="T2919" s="385"/>
      <c r="U2919" s="475"/>
      <c r="V2919" s="395"/>
      <c r="W2919" s="395"/>
      <c r="X2919" s="528"/>
      <c r="Y2919" s="523"/>
      <c r="Z2919" s="393"/>
      <c r="AA2919" s="394"/>
      <c r="AB2919" s="394"/>
      <c r="AC2919" s="394"/>
      <c r="AD2919" s="394"/>
      <c r="AE2919" s="394"/>
      <c r="AF2919" s="394"/>
      <c r="AG2919" s="394"/>
      <c r="AH2919" s="394"/>
      <c r="AI2919" s="394"/>
      <c r="AJ2919" s="394"/>
      <c r="AK2919" s="381"/>
      <c r="AL2919" s="408"/>
      <c r="AM2919" s="385"/>
      <c r="AN2919" s="475"/>
      <c r="AO2919" s="395"/>
      <c r="AP2919" s="395"/>
      <c r="AQ2919" s="528"/>
      <c r="AR2919" s="523">
        <v>1</v>
      </c>
      <c r="AS2919" s="393"/>
      <c r="AT2919" s="600">
        <v>19.550609999999999</v>
      </c>
      <c r="AU2919" s="394">
        <v>16.299630000000001</v>
      </c>
      <c r="AV2919" s="394">
        <v>15.147410000000001</v>
      </c>
      <c r="AW2919" s="394"/>
      <c r="AX2919" s="394"/>
      <c r="AY2919" s="394">
        <v>0</v>
      </c>
      <c r="AZ2919" s="394">
        <v>0</v>
      </c>
      <c r="BA2919" s="394">
        <v>0.75790000000000002</v>
      </c>
      <c r="BB2919" s="394">
        <v>15.147410000000001</v>
      </c>
      <c r="BC2919" s="394"/>
      <c r="BD2919" s="381" t="s">
        <v>167</v>
      </c>
      <c r="BE2919" s="408" t="s">
        <v>175</v>
      </c>
      <c r="BF2919" s="385"/>
      <c r="BG2919" s="475">
        <v>869</v>
      </c>
      <c r="BH2919" s="395"/>
      <c r="BI2919" s="395">
        <f t="shared" si="1099"/>
        <v>19.550609999999999</v>
      </c>
    </row>
    <row r="2920" spans="1:61" s="358" customFormat="1" ht="19.2" x14ac:dyDescent="0.3">
      <c r="A2920" s="359" t="s">
        <v>1871</v>
      </c>
      <c r="B2920" s="602" t="s">
        <v>1657</v>
      </c>
      <c r="C2920" s="548" t="s">
        <v>5309</v>
      </c>
      <c r="D2920" s="360">
        <v>0.4</v>
      </c>
      <c r="E2920" s="528"/>
      <c r="F2920" s="523"/>
      <c r="G2920" s="393"/>
      <c r="H2920" s="394"/>
      <c r="I2920" s="394"/>
      <c r="J2920" s="394"/>
      <c r="K2920" s="394"/>
      <c r="L2920" s="394"/>
      <c r="M2920" s="394"/>
      <c r="N2920" s="394"/>
      <c r="O2920" s="394"/>
      <c r="P2920" s="394"/>
      <c r="Q2920" s="394"/>
      <c r="R2920" s="381"/>
      <c r="S2920" s="408"/>
      <c r="T2920" s="385"/>
      <c r="U2920" s="475"/>
      <c r="V2920" s="395"/>
      <c r="W2920" s="395"/>
      <c r="X2920" s="528"/>
      <c r="Y2920" s="523"/>
      <c r="Z2920" s="393"/>
      <c r="AA2920" s="394"/>
      <c r="AB2920" s="394"/>
      <c r="AC2920" s="394"/>
      <c r="AD2920" s="394"/>
      <c r="AE2920" s="394"/>
      <c r="AF2920" s="394"/>
      <c r="AG2920" s="394"/>
      <c r="AH2920" s="394"/>
      <c r="AI2920" s="394"/>
      <c r="AJ2920" s="394"/>
      <c r="AK2920" s="381"/>
      <c r="AL2920" s="408"/>
      <c r="AM2920" s="385"/>
      <c r="AN2920" s="475"/>
      <c r="AO2920" s="395"/>
      <c r="AP2920" s="395"/>
      <c r="AQ2920" s="528"/>
      <c r="AR2920" s="523">
        <v>1</v>
      </c>
      <c r="AS2920" s="393"/>
      <c r="AT2920" s="600">
        <v>19.550619999999999</v>
      </c>
      <c r="AU2920" s="394">
        <v>16.29964</v>
      </c>
      <c r="AV2920" s="394">
        <v>15.147410000000001</v>
      </c>
      <c r="AW2920" s="394"/>
      <c r="AX2920" s="394"/>
      <c r="AY2920" s="394">
        <v>0</v>
      </c>
      <c r="AZ2920" s="394">
        <v>0</v>
      </c>
      <c r="BA2920" s="394">
        <v>0.75790000000000002</v>
      </c>
      <c r="BB2920" s="394">
        <v>15.147410000000001</v>
      </c>
      <c r="BC2920" s="394"/>
      <c r="BD2920" s="381" t="s">
        <v>167</v>
      </c>
      <c r="BE2920" s="408" t="s">
        <v>175</v>
      </c>
      <c r="BF2920" s="385"/>
      <c r="BG2920" s="475">
        <v>870</v>
      </c>
      <c r="BH2920" s="395"/>
      <c r="BI2920" s="395">
        <f t="shared" ref="BI2920" si="1114">AT2920/AR2920</f>
        <v>19.550619999999999</v>
      </c>
    </row>
    <row r="2921" spans="1:61" s="358" customFormat="1" ht="19.2" x14ac:dyDescent="0.3">
      <c r="A2921" s="359" t="s">
        <v>1872</v>
      </c>
      <c r="B2921" s="602" t="s">
        <v>5310</v>
      </c>
      <c r="C2921" s="548" t="s">
        <v>5311</v>
      </c>
      <c r="D2921" s="360">
        <v>0.4</v>
      </c>
      <c r="E2921" s="528"/>
      <c r="F2921" s="523"/>
      <c r="G2921" s="393"/>
      <c r="H2921" s="394"/>
      <c r="I2921" s="394"/>
      <c r="J2921" s="394"/>
      <c r="K2921" s="394"/>
      <c r="L2921" s="394"/>
      <c r="M2921" s="394"/>
      <c r="N2921" s="394"/>
      <c r="O2921" s="394"/>
      <c r="P2921" s="394"/>
      <c r="Q2921" s="394"/>
      <c r="R2921" s="381"/>
      <c r="S2921" s="408"/>
      <c r="T2921" s="385"/>
      <c r="U2921" s="475"/>
      <c r="V2921" s="395"/>
      <c r="W2921" s="395"/>
      <c r="X2921" s="528"/>
      <c r="Y2921" s="523"/>
      <c r="Z2921" s="393"/>
      <c r="AA2921" s="394"/>
      <c r="AB2921" s="394"/>
      <c r="AC2921" s="394"/>
      <c r="AD2921" s="394"/>
      <c r="AE2921" s="394"/>
      <c r="AF2921" s="394"/>
      <c r="AG2921" s="394"/>
      <c r="AH2921" s="394"/>
      <c r="AI2921" s="394"/>
      <c r="AJ2921" s="394"/>
      <c r="AK2921" s="381"/>
      <c r="AL2921" s="408"/>
      <c r="AM2921" s="385"/>
      <c r="AN2921" s="475"/>
      <c r="AO2921" s="395"/>
      <c r="AP2921" s="395"/>
      <c r="AQ2921" s="528"/>
      <c r="AR2921" s="523">
        <v>1</v>
      </c>
      <c r="AS2921" s="393"/>
      <c r="AT2921" s="600">
        <v>19.550609999999999</v>
      </c>
      <c r="AU2921" s="394">
        <v>16.299630000000001</v>
      </c>
      <c r="AV2921" s="394">
        <v>15.147410000000001</v>
      </c>
      <c r="AW2921" s="394"/>
      <c r="AX2921" s="394"/>
      <c r="AY2921" s="394">
        <v>0</v>
      </c>
      <c r="AZ2921" s="394">
        <v>0</v>
      </c>
      <c r="BA2921" s="394">
        <v>0.75790000000000002</v>
      </c>
      <c r="BB2921" s="394">
        <v>15.147410000000001</v>
      </c>
      <c r="BC2921" s="394"/>
      <c r="BD2921" s="381" t="s">
        <v>167</v>
      </c>
      <c r="BE2921" s="408" t="s">
        <v>175</v>
      </c>
      <c r="BF2921" s="385"/>
      <c r="BG2921" s="475">
        <v>871</v>
      </c>
      <c r="BH2921" s="395"/>
      <c r="BI2921" s="395">
        <f t="shared" si="1099"/>
        <v>19.550609999999999</v>
      </c>
    </row>
    <row r="2922" spans="1:61" s="358" customFormat="1" ht="19.2" x14ac:dyDescent="0.3">
      <c r="A2922" s="359" t="s">
        <v>1873</v>
      </c>
      <c r="B2922" s="602" t="s">
        <v>5312</v>
      </c>
      <c r="C2922" s="548" t="s">
        <v>5313</v>
      </c>
      <c r="D2922" s="360">
        <v>0.4</v>
      </c>
      <c r="E2922" s="528"/>
      <c r="F2922" s="523"/>
      <c r="G2922" s="393"/>
      <c r="H2922" s="394"/>
      <c r="I2922" s="394"/>
      <c r="J2922" s="394"/>
      <c r="K2922" s="394"/>
      <c r="L2922" s="394"/>
      <c r="M2922" s="394"/>
      <c r="N2922" s="394"/>
      <c r="O2922" s="394"/>
      <c r="P2922" s="394"/>
      <c r="Q2922" s="394"/>
      <c r="R2922" s="381"/>
      <c r="S2922" s="408"/>
      <c r="T2922" s="385"/>
      <c r="U2922" s="475"/>
      <c r="V2922" s="395"/>
      <c r="W2922" s="395"/>
      <c r="X2922" s="528"/>
      <c r="Y2922" s="523"/>
      <c r="Z2922" s="393"/>
      <c r="AA2922" s="394"/>
      <c r="AB2922" s="394"/>
      <c r="AC2922" s="394"/>
      <c r="AD2922" s="394"/>
      <c r="AE2922" s="394"/>
      <c r="AF2922" s="394"/>
      <c r="AG2922" s="394"/>
      <c r="AH2922" s="394"/>
      <c r="AI2922" s="394"/>
      <c r="AJ2922" s="394"/>
      <c r="AK2922" s="381"/>
      <c r="AL2922" s="408"/>
      <c r="AM2922" s="385"/>
      <c r="AN2922" s="475"/>
      <c r="AO2922" s="395"/>
      <c r="AP2922" s="395"/>
      <c r="AQ2922" s="528"/>
      <c r="AR2922" s="523">
        <v>1</v>
      </c>
      <c r="AS2922" s="393"/>
      <c r="AT2922" s="600">
        <v>19.550609999999999</v>
      </c>
      <c r="AU2922" s="394">
        <v>16.299630000000001</v>
      </c>
      <c r="AV2922" s="394">
        <v>15.147410000000001</v>
      </c>
      <c r="AW2922" s="394"/>
      <c r="AX2922" s="394"/>
      <c r="AY2922" s="394">
        <v>0</v>
      </c>
      <c r="AZ2922" s="394">
        <v>0</v>
      </c>
      <c r="BA2922" s="394">
        <v>0.75790000000000002</v>
      </c>
      <c r="BB2922" s="394">
        <v>15.147410000000001</v>
      </c>
      <c r="BC2922" s="394"/>
      <c r="BD2922" s="381" t="s">
        <v>167</v>
      </c>
      <c r="BE2922" s="408" t="s">
        <v>175</v>
      </c>
      <c r="BF2922" s="385"/>
      <c r="BG2922" s="475">
        <v>872</v>
      </c>
      <c r="BH2922" s="395"/>
      <c r="BI2922" s="395">
        <f t="shared" ref="BI2922" si="1115">AT2922/AR2922</f>
        <v>19.550609999999999</v>
      </c>
    </row>
    <row r="2923" spans="1:61" s="358" customFormat="1" ht="19.2" x14ac:dyDescent="0.3">
      <c r="A2923" s="359" t="s">
        <v>1874</v>
      </c>
      <c r="B2923" s="602" t="s">
        <v>2279</v>
      </c>
      <c r="C2923" s="548" t="s">
        <v>5314</v>
      </c>
      <c r="D2923" s="360">
        <v>0.4</v>
      </c>
      <c r="E2923" s="528"/>
      <c r="F2923" s="523"/>
      <c r="G2923" s="393"/>
      <c r="H2923" s="394"/>
      <c r="I2923" s="394"/>
      <c r="J2923" s="394"/>
      <c r="K2923" s="394"/>
      <c r="L2923" s="394"/>
      <c r="M2923" s="394"/>
      <c r="N2923" s="394"/>
      <c r="O2923" s="394"/>
      <c r="P2923" s="394"/>
      <c r="Q2923" s="394"/>
      <c r="R2923" s="381"/>
      <c r="S2923" s="408"/>
      <c r="T2923" s="385"/>
      <c r="U2923" s="475"/>
      <c r="V2923" s="395"/>
      <c r="W2923" s="395"/>
      <c r="X2923" s="528"/>
      <c r="Y2923" s="523"/>
      <c r="Z2923" s="393"/>
      <c r="AA2923" s="394"/>
      <c r="AB2923" s="394"/>
      <c r="AC2923" s="394"/>
      <c r="AD2923" s="394"/>
      <c r="AE2923" s="394"/>
      <c r="AF2923" s="394"/>
      <c r="AG2923" s="394"/>
      <c r="AH2923" s="394"/>
      <c r="AI2923" s="394"/>
      <c r="AJ2923" s="394"/>
      <c r="AK2923" s="381"/>
      <c r="AL2923" s="408"/>
      <c r="AM2923" s="385"/>
      <c r="AN2923" s="475"/>
      <c r="AO2923" s="395"/>
      <c r="AP2923" s="395"/>
      <c r="AQ2923" s="528"/>
      <c r="AR2923" s="523">
        <v>1</v>
      </c>
      <c r="AS2923" s="393"/>
      <c r="AT2923" s="600">
        <v>19.500389999999999</v>
      </c>
      <c r="AU2923" s="394">
        <v>16.249410000000001</v>
      </c>
      <c r="AV2923" s="394">
        <v>15.147410000000001</v>
      </c>
      <c r="AW2923" s="394"/>
      <c r="AX2923" s="394"/>
      <c r="AY2923" s="394">
        <v>0</v>
      </c>
      <c r="AZ2923" s="394">
        <v>0</v>
      </c>
      <c r="BA2923" s="394">
        <v>0.75790000000000002</v>
      </c>
      <c r="BB2923" s="394">
        <v>15.147410000000001</v>
      </c>
      <c r="BC2923" s="394"/>
      <c r="BD2923" s="381" t="s">
        <v>167</v>
      </c>
      <c r="BE2923" s="408" t="s">
        <v>175</v>
      </c>
      <c r="BF2923" s="385"/>
      <c r="BG2923" s="475">
        <v>873</v>
      </c>
      <c r="BH2923" s="395"/>
      <c r="BI2923" s="395">
        <f t="shared" si="1099"/>
        <v>19.500389999999999</v>
      </c>
    </row>
    <row r="2924" spans="1:61" s="358" customFormat="1" ht="19.2" x14ac:dyDescent="0.3">
      <c r="A2924" s="359" t="s">
        <v>1875</v>
      </c>
      <c r="B2924" s="602" t="s">
        <v>1363</v>
      </c>
      <c r="C2924" s="548" t="s">
        <v>5315</v>
      </c>
      <c r="D2924" s="360">
        <v>0.4</v>
      </c>
      <c r="E2924" s="528"/>
      <c r="F2924" s="523"/>
      <c r="G2924" s="393"/>
      <c r="H2924" s="394"/>
      <c r="I2924" s="394"/>
      <c r="J2924" s="394"/>
      <c r="K2924" s="394"/>
      <c r="L2924" s="394"/>
      <c r="M2924" s="394"/>
      <c r="N2924" s="394"/>
      <c r="O2924" s="394"/>
      <c r="P2924" s="394"/>
      <c r="Q2924" s="394"/>
      <c r="R2924" s="381"/>
      <c r="S2924" s="408"/>
      <c r="T2924" s="385"/>
      <c r="U2924" s="475"/>
      <c r="V2924" s="395"/>
      <c r="W2924" s="395"/>
      <c r="X2924" s="528"/>
      <c r="Y2924" s="523"/>
      <c r="Z2924" s="393"/>
      <c r="AA2924" s="394"/>
      <c r="AB2924" s="394"/>
      <c r="AC2924" s="394"/>
      <c r="AD2924" s="394"/>
      <c r="AE2924" s="394"/>
      <c r="AF2924" s="394"/>
      <c r="AG2924" s="394"/>
      <c r="AH2924" s="394"/>
      <c r="AI2924" s="394"/>
      <c r="AJ2924" s="394"/>
      <c r="AK2924" s="381"/>
      <c r="AL2924" s="408"/>
      <c r="AM2924" s="385"/>
      <c r="AN2924" s="475"/>
      <c r="AO2924" s="395"/>
      <c r="AP2924" s="395"/>
      <c r="AQ2924" s="528"/>
      <c r="AR2924" s="523">
        <v>1</v>
      </c>
      <c r="AS2924" s="393"/>
      <c r="AT2924" s="600">
        <v>20.21658</v>
      </c>
      <c r="AU2924" s="394">
        <v>14.93737</v>
      </c>
      <c r="AV2924" s="394">
        <v>13.231389999999999</v>
      </c>
      <c r="AW2924" s="394"/>
      <c r="AX2924" s="394"/>
      <c r="AY2924" s="394">
        <v>0</v>
      </c>
      <c r="AZ2924" s="394">
        <v>0</v>
      </c>
      <c r="BA2924" s="394">
        <v>1.2307399999999999</v>
      </c>
      <c r="BB2924" s="394">
        <v>13.231389999999999</v>
      </c>
      <c r="BC2924" s="394"/>
      <c r="BD2924" s="381" t="s">
        <v>167</v>
      </c>
      <c r="BE2924" s="408" t="s">
        <v>175</v>
      </c>
      <c r="BF2924" s="385"/>
      <c r="BG2924" s="475">
        <v>874</v>
      </c>
      <c r="BH2924" s="395"/>
      <c r="BI2924" s="395">
        <f t="shared" ref="BI2924" si="1116">AT2924/AR2924</f>
        <v>20.21658</v>
      </c>
    </row>
    <row r="2925" spans="1:61" s="358" customFormat="1" ht="19.2" x14ac:dyDescent="0.3">
      <c r="A2925" s="359" t="s">
        <v>1876</v>
      </c>
      <c r="B2925" s="602" t="s">
        <v>5316</v>
      </c>
      <c r="C2925" s="548" t="s">
        <v>5317</v>
      </c>
      <c r="D2925" s="360">
        <v>0.4</v>
      </c>
      <c r="E2925" s="528"/>
      <c r="F2925" s="523"/>
      <c r="G2925" s="393"/>
      <c r="H2925" s="394"/>
      <c r="I2925" s="394"/>
      <c r="J2925" s="394"/>
      <c r="K2925" s="394"/>
      <c r="L2925" s="394"/>
      <c r="M2925" s="394"/>
      <c r="N2925" s="394"/>
      <c r="O2925" s="394"/>
      <c r="P2925" s="394"/>
      <c r="Q2925" s="394"/>
      <c r="R2925" s="381"/>
      <c r="S2925" s="408"/>
      <c r="T2925" s="385"/>
      <c r="U2925" s="475"/>
      <c r="V2925" s="395"/>
      <c r="W2925" s="395"/>
      <c r="X2925" s="528"/>
      <c r="Y2925" s="523"/>
      <c r="Z2925" s="393"/>
      <c r="AA2925" s="394"/>
      <c r="AB2925" s="394"/>
      <c r="AC2925" s="394"/>
      <c r="AD2925" s="394"/>
      <c r="AE2925" s="394"/>
      <c r="AF2925" s="394"/>
      <c r="AG2925" s="394"/>
      <c r="AH2925" s="394"/>
      <c r="AI2925" s="394"/>
      <c r="AJ2925" s="394"/>
      <c r="AK2925" s="381"/>
      <c r="AL2925" s="408"/>
      <c r="AM2925" s="385"/>
      <c r="AN2925" s="475"/>
      <c r="AO2925" s="395"/>
      <c r="AP2925" s="395"/>
      <c r="AQ2925" s="528"/>
      <c r="AR2925" s="523">
        <v>1</v>
      </c>
      <c r="AS2925" s="393"/>
      <c r="AT2925" s="600">
        <v>19.550609999999999</v>
      </c>
      <c r="AU2925" s="394">
        <v>16.299630000000001</v>
      </c>
      <c r="AV2925" s="394">
        <v>15.147410000000001</v>
      </c>
      <c r="AW2925" s="394"/>
      <c r="AX2925" s="394"/>
      <c r="AY2925" s="394">
        <v>0</v>
      </c>
      <c r="AZ2925" s="394">
        <v>0</v>
      </c>
      <c r="BA2925" s="394">
        <v>0.75790000000000002</v>
      </c>
      <c r="BB2925" s="394">
        <v>15.147410000000001</v>
      </c>
      <c r="BC2925" s="394"/>
      <c r="BD2925" s="381" t="s">
        <v>167</v>
      </c>
      <c r="BE2925" s="408" t="s">
        <v>175</v>
      </c>
      <c r="BF2925" s="385"/>
      <c r="BG2925" s="475">
        <v>875</v>
      </c>
      <c r="BH2925" s="395"/>
      <c r="BI2925" s="395">
        <f t="shared" si="1099"/>
        <v>19.550609999999999</v>
      </c>
    </row>
    <row r="2926" spans="1:61" s="358" customFormat="1" ht="19.2" x14ac:dyDescent="0.3">
      <c r="A2926" s="359" t="s">
        <v>1877</v>
      </c>
      <c r="B2926" s="602" t="s">
        <v>5318</v>
      </c>
      <c r="C2926" s="548" t="s">
        <v>5319</v>
      </c>
      <c r="D2926" s="360">
        <v>0.4</v>
      </c>
      <c r="E2926" s="528"/>
      <c r="F2926" s="523"/>
      <c r="G2926" s="393"/>
      <c r="H2926" s="394"/>
      <c r="I2926" s="394"/>
      <c r="J2926" s="394"/>
      <c r="K2926" s="394"/>
      <c r="L2926" s="394"/>
      <c r="M2926" s="394"/>
      <c r="N2926" s="394"/>
      <c r="O2926" s="394"/>
      <c r="P2926" s="394"/>
      <c r="Q2926" s="394"/>
      <c r="R2926" s="381"/>
      <c r="S2926" s="408"/>
      <c r="T2926" s="385"/>
      <c r="U2926" s="475"/>
      <c r="V2926" s="395"/>
      <c r="W2926" s="395"/>
      <c r="X2926" s="528"/>
      <c r="Y2926" s="523"/>
      <c r="Z2926" s="393"/>
      <c r="AA2926" s="394"/>
      <c r="AB2926" s="394"/>
      <c r="AC2926" s="394"/>
      <c r="AD2926" s="394"/>
      <c r="AE2926" s="394"/>
      <c r="AF2926" s="394"/>
      <c r="AG2926" s="394"/>
      <c r="AH2926" s="394"/>
      <c r="AI2926" s="394"/>
      <c r="AJ2926" s="394"/>
      <c r="AK2926" s="381"/>
      <c r="AL2926" s="408"/>
      <c r="AM2926" s="385"/>
      <c r="AN2926" s="475"/>
      <c r="AO2926" s="395"/>
      <c r="AP2926" s="395"/>
      <c r="AQ2926" s="528"/>
      <c r="AR2926" s="523">
        <v>1</v>
      </c>
      <c r="AS2926" s="393"/>
      <c r="AT2926" s="600">
        <v>19.500389999999999</v>
      </c>
      <c r="AU2926" s="394">
        <v>16.249410000000001</v>
      </c>
      <c r="AV2926" s="394">
        <v>15.147410000000001</v>
      </c>
      <c r="AW2926" s="394"/>
      <c r="AX2926" s="394"/>
      <c r="AY2926" s="394">
        <v>0</v>
      </c>
      <c r="AZ2926" s="394">
        <v>0</v>
      </c>
      <c r="BA2926" s="394">
        <v>0.75790000000000002</v>
      </c>
      <c r="BB2926" s="394">
        <v>15.147410000000001</v>
      </c>
      <c r="BC2926" s="394"/>
      <c r="BD2926" s="381" t="s">
        <v>167</v>
      </c>
      <c r="BE2926" s="408" t="s">
        <v>175</v>
      </c>
      <c r="BF2926" s="385"/>
      <c r="BG2926" s="475">
        <v>876</v>
      </c>
      <c r="BH2926" s="395"/>
      <c r="BI2926" s="395">
        <f t="shared" si="1059"/>
        <v>19.500389999999999</v>
      </c>
    </row>
    <row r="2927" spans="1:61" s="358" customFormat="1" ht="19.2" x14ac:dyDescent="0.3">
      <c r="A2927" s="359" t="s">
        <v>1878</v>
      </c>
      <c r="B2927" s="602" t="s">
        <v>5320</v>
      </c>
      <c r="C2927" s="548" t="s">
        <v>5321</v>
      </c>
      <c r="D2927" s="360">
        <v>0.4</v>
      </c>
      <c r="E2927" s="528"/>
      <c r="F2927" s="523"/>
      <c r="G2927" s="393"/>
      <c r="H2927" s="394"/>
      <c r="I2927" s="394"/>
      <c r="J2927" s="394"/>
      <c r="K2927" s="394"/>
      <c r="L2927" s="394"/>
      <c r="M2927" s="394"/>
      <c r="N2927" s="394"/>
      <c r="O2927" s="394"/>
      <c r="P2927" s="394"/>
      <c r="Q2927" s="394"/>
      <c r="R2927" s="381"/>
      <c r="S2927" s="408"/>
      <c r="T2927" s="385"/>
      <c r="U2927" s="475"/>
      <c r="V2927" s="395"/>
      <c r="W2927" s="395"/>
      <c r="X2927" s="528"/>
      <c r="Y2927" s="523"/>
      <c r="Z2927" s="393"/>
      <c r="AA2927" s="394"/>
      <c r="AB2927" s="394"/>
      <c r="AC2927" s="394"/>
      <c r="AD2927" s="394"/>
      <c r="AE2927" s="394"/>
      <c r="AF2927" s="394"/>
      <c r="AG2927" s="394"/>
      <c r="AH2927" s="394"/>
      <c r="AI2927" s="394"/>
      <c r="AJ2927" s="394"/>
      <c r="AK2927" s="381"/>
      <c r="AL2927" s="408"/>
      <c r="AM2927" s="385"/>
      <c r="AN2927" s="475"/>
      <c r="AO2927" s="395"/>
      <c r="AP2927" s="395"/>
      <c r="AQ2927" s="528"/>
      <c r="AR2927" s="523">
        <v>1</v>
      </c>
      <c r="AS2927" s="393"/>
      <c r="AT2927" s="600">
        <v>19.550609999999999</v>
      </c>
      <c r="AU2927" s="394">
        <v>16.299630000000001</v>
      </c>
      <c r="AV2927" s="394">
        <v>15.147410000000001</v>
      </c>
      <c r="AW2927" s="394"/>
      <c r="AX2927" s="394"/>
      <c r="AY2927" s="394">
        <v>0</v>
      </c>
      <c r="AZ2927" s="394">
        <v>0</v>
      </c>
      <c r="BA2927" s="394">
        <v>0.75790000000000002</v>
      </c>
      <c r="BB2927" s="394">
        <v>15.147410000000001</v>
      </c>
      <c r="BC2927" s="394"/>
      <c r="BD2927" s="381" t="s">
        <v>167</v>
      </c>
      <c r="BE2927" s="408" t="s">
        <v>175</v>
      </c>
      <c r="BF2927" s="385"/>
      <c r="BG2927" s="475">
        <v>877</v>
      </c>
      <c r="BH2927" s="395"/>
      <c r="BI2927" s="395">
        <f t="shared" si="1059"/>
        <v>19.550609999999999</v>
      </c>
    </row>
    <row r="2928" spans="1:61" s="358" customFormat="1" ht="19.2" x14ac:dyDescent="0.3">
      <c r="A2928" s="359" t="s">
        <v>1879</v>
      </c>
      <c r="B2928" s="602" t="s">
        <v>5322</v>
      </c>
      <c r="C2928" s="548" t="s">
        <v>5323</v>
      </c>
      <c r="D2928" s="360">
        <v>0.4</v>
      </c>
      <c r="E2928" s="528"/>
      <c r="F2928" s="523"/>
      <c r="G2928" s="393"/>
      <c r="H2928" s="394"/>
      <c r="I2928" s="394"/>
      <c r="J2928" s="394"/>
      <c r="K2928" s="394"/>
      <c r="L2928" s="394"/>
      <c r="M2928" s="394"/>
      <c r="N2928" s="394"/>
      <c r="O2928" s="394"/>
      <c r="P2928" s="394"/>
      <c r="Q2928" s="394"/>
      <c r="R2928" s="381"/>
      <c r="S2928" s="408"/>
      <c r="T2928" s="385"/>
      <c r="U2928" s="475"/>
      <c r="V2928" s="395"/>
      <c r="W2928" s="395"/>
      <c r="X2928" s="528"/>
      <c r="Y2928" s="523"/>
      <c r="Z2928" s="393"/>
      <c r="AA2928" s="394"/>
      <c r="AB2928" s="394"/>
      <c r="AC2928" s="394"/>
      <c r="AD2928" s="394"/>
      <c r="AE2928" s="394"/>
      <c r="AF2928" s="394"/>
      <c r="AG2928" s="394"/>
      <c r="AH2928" s="394"/>
      <c r="AI2928" s="394"/>
      <c r="AJ2928" s="394"/>
      <c r="AK2928" s="381"/>
      <c r="AL2928" s="408"/>
      <c r="AM2928" s="385"/>
      <c r="AN2928" s="475"/>
      <c r="AO2928" s="395"/>
      <c r="AP2928" s="395"/>
      <c r="AQ2928" s="528"/>
      <c r="AR2928" s="523">
        <v>1</v>
      </c>
      <c r="AS2928" s="393"/>
      <c r="AT2928" s="600">
        <v>19.550609999999999</v>
      </c>
      <c r="AU2928" s="394">
        <v>16.299630000000001</v>
      </c>
      <c r="AV2928" s="394">
        <v>15.147410000000001</v>
      </c>
      <c r="AW2928" s="394"/>
      <c r="AX2928" s="394"/>
      <c r="AY2928" s="394">
        <v>0</v>
      </c>
      <c r="AZ2928" s="394">
        <v>0</v>
      </c>
      <c r="BA2928" s="394">
        <v>0.75790000000000002</v>
      </c>
      <c r="BB2928" s="394">
        <v>15.147410000000001</v>
      </c>
      <c r="BC2928" s="394"/>
      <c r="BD2928" s="381" t="s">
        <v>167</v>
      </c>
      <c r="BE2928" s="408" t="s">
        <v>175</v>
      </c>
      <c r="BF2928" s="385"/>
      <c r="BG2928" s="475">
        <v>878</v>
      </c>
      <c r="BH2928" s="395"/>
      <c r="BI2928" s="395">
        <f t="shared" ref="BI2928" si="1117">AT2928/AR2928</f>
        <v>19.550609999999999</v>
      </c>
    </row>
    <row r="2929" spans="1:61" s="358" customFormat="1" ht="19.2" x14ac:dyDescent="0.3">
      <c r="A2929" s="359" t="s">
        <v>1880</v>
      </c>
      <c r="B2929" s="602" t="s">
        <v>5322</v>
      </c>
      <c r="C2929" s="548" t="s">
        <v>5324</v>
      </c>
      <c r="D2929" s="360">
        <v>0.4</v>
      </c>
      <c r="E2929" s="528"/>
      <c r="F2929" s="523"/>
      <c r="G2929" s="393"/>
      <c r="H2929" s="394"/>
      <c r="I2929" s="394"/>
      <c r="J2929" s="394"/>
      <c r="K2929" s="394"/>
      <c r="L2929" s="394"/>
      <c r="M2929" s="394"/>
      <c r="N2929" s="394"/>
      <c r="O2929" s="394"/>
      <c r="P2929" s="394"/>
      <c r="Q2929" s="394"/>
      <c r="R2929" s="381"/>
      <c r="S2929" s="408"/>
      <c r="T2929" s="385"/>
      <c r="U2929" s="475"/>
      <c r="V2929" s="395"/>
      <c r="W2929" s="395"/>
      <c r="X2929" s="528"/>
      <c r="Y2929" s="523"/>
      <c r="Z2929" s="393"/>
      <c r="AA2929" s="394"/>
      <c r="AB2929" s="394"/>
      <c r="AC2929" s="394"/>
      <c r="AD2929" s="394"/>
      <c r="AE2929" s="394"/>
      <c r="AF2929" s="394"/>
      <c r="AG2929" s="394"/>
      <c r="AH2929" s="394"/>
      <c r="AI2929" s="394"/>
      <c r="AJ2929" s="394"/>
      <c r="AK2929" s="381"/>
      <c r="AL2929" s="408"/>
      <c r="AM2929" s="385"/>
      <c r="AN2929" s="475"/>
      <c r="AO2929" s="395"/>
      <c r="AP2929" s="395"/>
      <c r="AQ2929" s="528"/>
      <c r="AR2929" s="523">
        <v>1</v>
      </c>
      <c r="AS2929" s="393"/>
      <c r="AT2929" s="600">
        <v>19.550609999999999</v>
      </c>
      <c r="AU2929" s="394">
        <v>16.299630000000001</v>
      </c>
      <c r="AV2929" s="394">
        <v>15.147410000000001</v>
      </c>
      <c r="AW2929" s="394"/>
      <c r="AX2929" s="394"/>
      <c r="AY2929" s="394">
        <v>0</v>
      </c>
      <c r="AZ2929" s="394">
        <v>0</v>
      </c>
      <c r="BA2929" s="394">
        <v>0.75790000000000002</v>
      </c>
      <c r="BB2929" s="394">
        <v>15.147410000000001</v>
      </c>
      <c r="BC2929" s="394"/>
      <c r="BD2929" s="381" t="s">
        <v>167</v>
      </c>
      <c r="BE2929" s="408" t="s">
        <v>175</v>
      </c>
      <c r="BF2929" s="385"/>
      <c r="BG2929" s="475">
        <v>879</v>
      </c>
      <c r="BH2929" s="395"/>
      <c r="BI2929" s="395">
        <f t="shared" si="1059"/>
        <v>19.550609999999999</v>
      </c>
    </row>
    <row r="2930" spans="1:61" s="358" customFormat="1" ht="19.2" x14ac:dyDescent="0.3">
      <c r="A2930" s="359" t="s">
        <v>1881</v>
      </c>
      <c r="B2930" s="602" t="s">
        <v>1363</v>
      </c>
      <c r="C2930" s="548" t="s">
        <v>5325</v>
      </c>
      <c r="D2930" s="360">
        <v>0.4</v>
      </c>
      <c r="E2930" s="528"/>
      <c r="F2930" s="523"/>
      <c r="G2930" s="393"/>
      <c r="H2930" s="394"/>
      <c r="I2930" s="394"/>
      <c r="J2930" s="394"/>
      <c r="K2930" s="394"/>
      <c r="L2930" s="394"/>
      <c r="M2930" s="394"/>
      <c r="N2930" s="394"/>
      <c r="O2930" s="394"/>
      <c r="P2930" s="394"/>
      <c r="Q2930" s="394"/>
      <c r="R2930" s="381"/>
      <c r="S2930" s="408"/>
      <c r="T2930" s="385"/>
      <c r="U2930" s="475"/>
      <c r="V2930" s="395"/>
      <c r="W2930" s="395"/>
      <c r="X2930" s="528"/>
      <c r="Y2930" s="523"/>
      <c r="Z2930" s="393"/>
      <c r="AA2930" s="394"/>
      <c r="AB2930" s="394"/>
      <c r="AC2930" s="394"/>
      <c r="AD2930" s="394"/>
      <c r="AE2930" s="394"/>
      <c r="AF2930" s="394"/>
      <c r="AG2930" s="394"/>
      <c r="AH2930" s="394"/>
      <c r="AI2930" s="394"/>
      <c r="AJ2930" s="394"/>
      <c r="AK2930" s="381"/>
      <c r="AL2930" s="408"/>
      <c r="AM2930" s="385"/>
      <c r="AN2930" s="475"/>
      <c r="AO2930" s="395"/>
      <c r="AP2930" s="395"/>
      <c r="AQ2930" s="528"/>
      <c r="AR2930" s="523">
        <v>1</v>
      </c>
      <c r="AS2930" s="393"/>
      <c r="AT2930" s="600">
        <v>19.550609999999999</v>
      </c>
      <c r="AU2930" s="394">
        <v>16.299630000000001</v>
      </c>
      <c r="AV2930" s="394">
        <v>15.147410000000001</v>
      </c>
      <c r="AW2930" s="394"/>
      <c r="AX2930" s="394"/>
      <c r="AY2930" s="394">
        <v>0</v>
      </c>
      <c r="AZ2930" s="394">
        <v>0</v>
      </c>
      <c r="BA2930" s="394">
        <v>0.75790000000000002</v>
      </c>
      <c r="BB2930" s="394">
        <v>15.147410000000001</v>
      </c>
      <c r="BC2930" s="394"/>
      <c r="BD2930" s="381" t="s">
        <v>167</v>
      </c>
      <c r="BE2930" s="408" t="s">
        <v>175</v>
      </c>
      <c r="BF2930" s="385"/>
      <c r="BG2930" s="475">
        <v>880</v>
      </c>
      <c r="BH2930" s="395"/>
      <c r="BI2930" s="395">
        <f t="shared" ref="BI2930" si="1118">AT2930/AR2930</f>
        <v>19.550609999999999</v>
      </c>
    </row>
    <row r="2931" spans="1:61" s="358" customFormat="1" ht="19.2" x14ac:dyDescent="0.3">
      <c r="A2931" s="359" t="s">
        <v>1882</v>
      </c>
      <c r="B2931" s="602" t="s">
        <v>1363</v>
      </c>
      <c r="C2931" s="548" t="s">
        <v>5326</v>
      </c>
      <c r="D2931" s="360">
        <v>0.4</v>
      </c>
      <c r="E2931" s="528"/>
      <c r="F2931" s="523"/>
      <c r="G2931" s="393"/>
      <c r="H2931" s="394"/>
      <c r="I2931" s="394"/>
      <c r="J2931" s="394"/>
      <c r="K2931" s="394"/>
      <c r="L2931" s="394"/>
      <c r="M2931" s="394"/>
      <c r="N2931" s="394"/>
      <c r="O2931" s="394"/>
      <c r="P2931" s="394"/>
      <c r="Q2931" s="394"/>
      <c r="R2931" s="381"/>
      <c r="S2931" s="408"/>
      <c r="T2931" s="385"/>
      <c r="U2931" s="475"/>
      <c r="V2931" s="395"/>
      <c r="W2931" s="395"/>
      <c r="X2931" s="528"/>
      <c r="Y2931" s="523"/>
      <c r="Z2931" s="393"/>
      <c r="AA2931" s="394"/>
      <c r="AB2931" s="394"/>
      <c r="AC2931" s="394"/>
      <c r="AD2931" s="394"/>
      <c r="AE2931" s="394"/>
      <c r="AF2931" s="394"/>
      <c r="AG2931" s="394"/>
      <c r="AH2931" s="394"/>
      <c r="AI2931" s="394"/>
      <c r="AJ2931" s="394"/>
      <c r="AK2931" s="381"/>
      <c r="AL2931" s="408"/>
      <c r="AM2931" s="385"/>
      <c r="AN2931" s="475"/>
      <c r="AO2931" s="395"/>
      <c r="AP2931" s="395"/>
      <c r="AQ2931" s="528"/>
      <c r="AR2931" s="523">
        <v>1</v>
      </c>
      <c r="AS2931" s="393"/>
      <c r="AT2931" s="600">
        <v>19.550609999999999</v>
      </c>
      <c r="AU2931" s="394">
        <v>16.299630000000001</v>
      </c>
      <c r="AV2931" s="394">
        <v>15.147410000000001</v>
      </c>
      <c r="AW2931" s="394"/>
      <c r="AX2931" s="394"/>
      <c r="AY2931" s="394">
        <v>0</v>
      </c>
      <c r="AZ2931" s="394">
        <v>0</v>
      </c>
      <c r="BA2931" s="394">
        <v>0.75790000000000002</v>
      </c>
      <c r="BB2931" s="394">
        <v>15.147410000000001</v>
      </c>
      <c r="BC2931" s="394"/>
      <c r="BD2931" s="381" t="s">
        <v>167</v>
      </c>
      <c r="BE2931" s="408" t="s">
        <v>175</v>
      </c>
      <c r="BF2931" s="385"/>
      <c r="BG2931" s="475">
        <v>881</v>
      </c>
      <c r="BH2931" s="395"/>
      <c r="BI2931" s="395">
        <f t="shared" si="1059"/>
        <v>19.550609999999999</v>
      </c>
    </row>
    <row r="2932" spans="1:61" s="358" customFormat="1" ht="19.2" x14ac:dyDescent="0.3">
      <c r="A2932" s="359" t="s">
        <v>1883</v>
      </c>
      <c r="B2932" s="602" t="s">
        <v>1363</v>
      </c>
      <c r="C2932" s="548" t="s">
        <v>5327</v>
      </c>
      <c r="D2932" s="360">
        <v>0.4</v>
      </c>
      <c r="E2932" s="528"/>
      <c r="F2932" s="523"/>
      <c r="G2932" s="393"/>
      <c r="H2932" s="394"/>
      <c r="I2932" s="394"/>
      <c r="J2932" s="394"/>
      <c r="K2932" s="394"/>
      <c r="L2932" s="394"/>
      <c r="M2932" s="394"/>
      <c r="N2932" s="394"/>
      <c r="O2932" s="394"/>
      <c r="P2932" s="394"/>
      <c r="Q2932" s="394"/>
      <c r="R2932" s="381"/>
      <c r="S2932" s="408"/>
      <c r="T2932" s="385"/>
      <c r="U2932" s="475"/>
      <c r="V2932" s="395"/>
      <c r="W2932" s="395"/>
      <c r="X2932" s="528"/>
      <c r="Y2932" s="523"/>
      <c r="Z2932" s="393"/>
      <c r="AA2932" s="394"/>
      <c r="AB2932" s="394"/>
      <c r="AC2932" s="394"/>
      <c r="AD2932" s="394"/>
      <c r="AE2932" s="394"/>
      <c r="AF2932" s="394"/>
      <c r="AG2932" s="394"/>
      <c r="AH2932" s="394"/>
      <c r="AI2932" s="394"/>
      <c r="AJ2932" s="394"/>
      <c r="AK2932" s="381"/>
      <c r="AL2932" s="408"/>
      <c r="AM2932" s="385"/>
      <c r="AN2932" s="475"/>
      <c r="AO2932" s="395"/>
      <c r="AP2932" s="395"/>
      <c r="AQ2932" s="528"/>
      <c r="AR2932" s="523">
        <v>1</v>
      </c>
      <c r="AS2932" s="393"/>
      <c r="AT2932" s="600">
        <v>19.550609999999999</v>
      </c>
      <c r="AU2932" s="394">
        <v>16.299630000000001</v>
      </c>
      <c r="AV2932" s="394">
        <v>15.147410000000001</v>
      </c>
      <c r="AW2932" s="394"/>
      <c r="AX2932" s="394"/>
      <c r="AY2932" s="394">
        <v>0</v>
      </c>
      <c r="AZ2932" s="394">
        <v>0</v>
      </c>
      <c r="BA2932" s="394">
        <v>0.75790000000000002</v>
      </c>
      <c r="BB2932" s="394">
        <v>15.147410000000001</v>
      </c>
      <c r="BC2932" s="394"/>
      <c r="BD2932" s="381" t="s">
        <v>167</v>
      </c>
      <c r="BE2932" s="408" t="s">
        <v>175</v>
      </c>
      <c r="BF2932" s="385"/>
      <c r="BG2932" s="475">
        <v>882</v>
      </c>
      <c r="BH2932" s="395"/>
      <c r="BI2932" s="395">
        <f t="shared" ref="BI2932" si="1119">AT2932/AR2932</f>
        <v>19.550609999999999</v>
      </c>
    </row>
    <row r="2933" spans="1:61" s="358" customFormat="1" ht="19.2" x14ac:dyDescent="0.3">
      <c r="A2933" s="359" t="s">
        <v>1884</v>
      </c>
      <c r="B2933" s="602" t="s">
        <v>4129</v>
      </c>
      <c r="C2933" s="548" t="s">
        <v>5328</v>
      </c>
      <c r="D2933" s="360">
        <v>0.4</v>
      </c>
      <c r="E2933" s="528"/>
      <c r="F2933" s="523"/>
      <c r="G2933" s="393"/>
      <c r="H2933" s="394"/>
      <c r="I2933" s="394"/>
      <c r="J2933" s="394"/>
      <c r="K2933" s="394"/>
      <c r="L2933" s="394"/>
      <c r="M2933" s="394"/>
      <c r="N2933" s="394"/>
      <c r="O2933" s="394"/>
      <c r="P2933" s="394"/>
      <c r="Q2933" s="394"/>
      <c r="R2933" s="381"/>
      <c r="S2933" s="408"/>
      <c r="T2933" s="385"/>
      <c r="U2933" s="475"/>
      <c r="V2933" s="395"/>
      <c r="W2933" s="395"/>
      <c r="X2933" s="528"/>
      <c r="Y2933" s="523"/>
      <c r="Z2933" s="393"/>
      <c r="AA2933" s="394"/>
      <c r="AB2933" s="394"/>
      <c r="AC2933" s="394"/>
      <c r="AD2933" s="394"/>
      <c r="AE2933" s="394"/>
      <c r="AF2933" s="394"/>
      <c r="AG2933" s="394"/>
      <c r="AH2933" s="394"/>
      <c r="AI2933" s="394"/>
      <c r="AJ2933" s="394"/>
      <c r="AK2933" s="381"/>
      <c r="AL2933" s="408"/>
      <c r="AM2933" s="385"/>
      <c r="AN2933" s="475"/>
      <c r="AO2933" s="395"/>
      <c r="AP2933" s="395"/>
      <c r="AQ2933" s="528"/>
      <c r="AR2933" s="523">
        <v>1</v>
      </c>
      <c r="AS2933" s="393"/>
      <c r="AT2933" s="600">
        <v>19.550619999999999</v>
      </c>
      <c r="AU2933" s="394">
        <v>16.29964</v>
      </c>
      <c r="AV2933" s="394">
        <v>15.147410000000001</v>
      </c>
      <c r="AW2933" s="394"/>
      <c r="AX2933" s="394"/>
      <c r="AY2933" s="394">
        <v>0</v>
      </c>
      <c r="AZ2933" s="394">
        <v>0</v>
      </c>
      <c r="BA2933" s="394">
        <v>0.75790000000000002</v>
      </c>
      <c r="BB2933" s="394">
        <v>15.147410000000001</v>
      </c>
      <c r="BC2933" s="394"/>
      <c r="BD2933" s="381" t="s">
        <v>167</v>
      </c>
      <c r="BE2933" s="408" t="s">
        <v>175</v>
      </c>
      <c r="BF2933" s="385"/>
      <c r="BG2933" s="475">
        <v>883</v>
      </c>
      <c r="BH2933" s="395"/>
      <c r="BI2933" s="395">
        <f t="shared" si="1059"/>
        <v>19.550619999999999</v>
      </c>
    </row>
    <row r="2934" spans="1:61" s="358" customFormat="1" ht="19.2" x14ac:dyDescent="0.3">
      <c r="A2934" s="359" t="s">
        <v>1885</v>
      </c>
      <c r="B2934" s="602" t="s">
        <v>4129</v>
      </c>
      <c r="C2934" s="548" t="s">
        <v>5329</v>
      </c>
      <c r="D2934" s="360">
        <v>0.4</v>
      </c>
      <c r="E2934" s="528"/>
      <c r="F2934" s="523"/>
      <c r="G2934" s="393"/>
      <c r="H2934" s="394"/>
      <c r="I2934" s="394"/>
      <c r="J2934" s="394"/>
      <c r="K2934" s="394"/>
      <c r="L2934" s="394"/>
      <c r="M2934" s="394"/>
      <c r="N2934" s="394"/>
      <c r="O2934" s="394"/>
      <c r="P2934" s="394"/>
      <c r="Q2934" s="394"/>
      <c r="R2934" s="381"/>
      <c r="S2934" s="408"/>
      <c r="T2934" s="385"/>
      <c r="U2934" s="475"/>
      <c r="V2934" s="395"/>
      <c r="W2934" s="395"/>
      <c r="X2934" s="528"/>
      <c r="Y2934" s="523"/>
      <c r="Z2934" s="393"/>
      <c r="AA2934" s="394"/>
      <c r="AB2934" s="394"/>
      <c r="AC2934" s="394"/>
      <c r="AD2934" s="394"/>
      <c r="AE2934" s="394"/>
      <c r="AF2934" s="394"/>
      <c r="AG2934" s="394"/>
      <c r="AH2934" s="394"/>
      <c r="AI2934" s="394"/>
      <c r="AJ2934" s="394"/>
      <c r="AK2934" s="381"/>
      <c r="AL2934" s="408"/>
      <c r="AM2934" s="385"/>
      <c r="AN2934" s="475"/>
      <c r="AO2934" s="395"/>
      <c r="AP2934" s="395"/>
      <c r="AQ2934" s="528"/>
      <c r="AR2934" s="523">
        <v>1</v>
      </c>
      <c r="AS2934" s="393"/>
      <c r="AT2934" s="600">
        <v>19.550619999999999</v>
      </c>
      <c r="AU2934" s="394">
        <v>16.29964</v>
      </c>
      <c r="AV2934" s="394">
        <v>15.147410000000001</v>
      </c>
      <c r="AW2934" s="394"/>
      <c r="AX2934" s="394"/>
      <c r="AY2934" s="394">
        <v>0</v>
      </c>
      <c r="AZ2934" s="394">
        <v>0</v>
      </c>
      <c r="BA2934" s="394">
        <v>0.75790000000000002</v>
      </c>
      <c r="BB2934" s="394">
        <v>15.147410000000001</v>
      </c>
      <c r="BC2934" s="394"/>
      <c r="BD2934" s="381" t="s">
        <v>167</v>
      </c>
      <c r="BE2934" s="408" t="s">
        <v>175</v>
      </c>
      <c r="BF2934" s="385"/>
      <c r="BG2934" s="475">
        <v>884</v>
      </c>
      <c r="BH2934" s="395"/>
      <c r="BI2934" s="395">
        <f t="shared" ref="BI2934" si="1120">AT2934/AR2934</f>
        <v>19.550619999999999</v>
      </c>
    </row>
    <row r="2935" spans="1:61" s="358" customFormat="1" ht="19.2" x14ac:dyDescent="0.3">
      <c r="A2935" s="359" t="s">
        <v>1886</v>
      </c>
      <c r="B2935" s="602" t="s">
        <v>5330</v>
      </c>
      <c r="C2935" s="548" t="s">
        <v>5331</v>
      </c>
      <c r="D2935" s="360">
        <v>0.4</v>
      </c>
      <c r="E2935" s="528"/>
      <c r="F2935" s="523"/>
      <c r="G2935" s="393"/>
      <c r="H2935" s="394"/>
      <c r="I2935" s="394"/>
      <c r="J2935" s="394"/>
      <c r="K2935" s="394"/>
      <c r="L2935" s="394"/>
      <c r="M2935" s="394"/>
      <c r="N2935" s="394"/>
      <c r="O2935" s="394"/>
      <c r="P2935" s="394"/>
      <c r="Q2935" s="394"/>
      <c r="R2935" s="381"/>
      <c r="S2935" s="408"/>
      <c r="T2935" s="385"/>
      <c r="U2935" s="475"/>
      <c r="V2935" s="395"/>
      <c r="W2935" s="395"/>
      <c r="X2935" s="528"/>
      <c r="Y2935" s="523"/>
      <c r="Z2935" s="393"/>
      <c r="AA2935" s="394"/>
      <c r="AB2935" s="394"/>
      <c r="AC2935" s="394"/>
      <c r="AD2935" s="394"/>
      <c r="AE2935" s="394"/>
      <c r="AF2935" s="394"/>
      <c r="AG2935" s="394"/>
      <c r="AH2935" s="394"/>
      <c r="AI2935" s="394"/>
      <c r="AJ2935" s="394"/>
      <c r="AK2935" s="381"/>
      <c r="AL2935" s="408"/>
      <c r="AM2935" s="385"/>
      <c r="AN2935" s="475"/>
      <c r="AO2935" s="395"/>
      <c r="AP2935" s="395"/>
      <c r="AQ2935" s="528"/>
      <c r="AR2935" s="523">
        <v>1</v>
      </c>
      <c r="AS2935" s="393"/>
      <c r="AT2935" s="600">
        <v>19.500389999999999</v>
      </c>
      <c r="AU2935" s="394">
        <v>16.249410000000001</v>
      </c>
      <c r="AV2935" s="394">
        <v>15.147410000000001</v>
      </c>
      <c r="AW2935" s="394"/>
      <c r="AX2935" s="394"/>
      <c r="AY2935" s="394">
        <v>0</v>
      </c>
      <c r="AZ2935" s="394">
        <v>0</v>
      </c>
      <c r="BA2935" s="394">
        <v>0.75790000000000002</v>
      </c>
      <c r="BB2935" s="394">
        <v>15.147410000000001</v>
      </c>
      <c r="BC2935" s="394"/>
      <c r="BD2935" s="381" t="s">
        <v>167</v>
      </c>
      <c r="BE2935" s="408" t="s">
        <v>175</v>
      </c>
      <c r="BF2935" s="385"/>
      <c r="BG2935" s="475">
        <v>885</v>
      </c>
      <c r="BH2935" s="395"/>
      <c r="BI2935" s="395">
        <f t="shared" si="1059"/>
        <v>19.500389999999999</v>
      </c>
    </row>
    <row r="2936" spans="1:61" s="358" customFormat="1" ht="19.2" x14ac:dyDescent="0.3">
      <c r="A2936" s="359" t="s">
        <v>1887</v>
      </c>
      <c r="B2936" s="602" t="s">
        <v>5333</v>
      </c>
      <c r="C2936" s="548" t="s">
        <v>5332</v>
      </c>
      <c r="D2936" s="360">
        <v>0.4</v>
      </c>
      <c r="E2936" s="528"/>
      <c r="F2936" s="523"/>
      <c r="G2936" s="393"/>
      <c r="H2936" s="394"/>
      <c r="I2936" s="394"/>
      <c r="J2936" s="394"/>
      <c r="K2936" s="394"/>
      <c r="L2936" s="394"/>
      <c r="M2936" s="394"/>
      <c r="N2936" s="394"/>
      <c r="O2936" s="394"/>
      <c r="P2936" s="394"/>
      <c r="Q2936" s="394"/>
      <c r="R2936" s="381"/>
      <c r="S2936" s="408"/>
      <c r="T2936" s="385"/>
      <c r="U2936" s="475"/>
      <c r="V2936" s="395"/>
      <c r="W2936" s="395"/>
      <c r="X2936" s="528"/>
      <c r="Y2936" s="523"/>
      <c r="Z2936" s="393"/>
      <c r="AA2936" s="394"/>
      <c r="AB2936" s="394"/>
      <c r="AC2936" s="394"/>
      <c r="AD2936" s="394"/>
      <c r="AE2936" s="394"/>
      <c r="AF2936" s="394"/>
      <c r="AG2936" s="394"/>
      <c r="AH2936" s="394"/>
      <c r="AI2936" s="394"/>
      <c r="AJ2936" s="394"/>
      <c r="AK2936" s="381"/>
      <c r="AL2936" s="408"/>
      <c r="AM2936" s="385"/>
      <c r="AN2936" s="475"/>
      <c r="AO2936" s="395"/>
      <c r="AP2936" s="395"/>
      <c r="AQ2936" s="528"/>
      <c r="AR2936" s="523">
        <v>1</v>
      </c>
      <c r="AS2936" s="393"/>
      <c r="AT2936" s="600">
        <v>19.500389999999999</v>
      </c>
      <c r="AU2936" s="394">
        <v>16.249410000000001</v>
      </c>
      <c r="AV2936" s="394">
        <v>15.147410000000001</v>
      </c>
      <c r="AW2936" s="394"/>
      <c r="AX2936" s="394"/>
      <c r="AY2936" s="394">
        <v>0</v>
      </c>
      <c r="AZ2936" s="394">
        <v>0</v>
      </c>
      <c r="BA2936" s="394">
        <v>0.75790000000000002</v>
      </c>
      <c r="BB2936" s="394">
        <v>15.147410000000001</v>
      </c>
      <c r="BC2936" s="394"/>
      <c r="BD2936" s="381" t="s">
        <v>167</v>
      </c>
      <c r="BE2936" s="408" t="s">
        <v>175</v>
      </c>
      <c r="BF2936" s="385"/>
      <c r="BG2936" s="475">
        <v>886</v>
      </c>
      <c r="BH2936" s="395"/>
      <c r="BI2936" s="395">
        <f t="shared" ref="BI2936" si="1121">AT2936/AR2936</f>
        <v>19.500389999999999</v>
      </c>
    </row>
    <row r="2937" spans="1:61" s="358" customFormat="1" ht="19.2" x14ac:dyDescent="0.3">
      <c r="A2937" s="359" t="s">
        <v>1888</v>
      </c>
      <c r="B2937" s="602" t="s">
        <v>5334</v>
      </c>
      <c r="C2937" s="548" t="s">
        <v>5335</v>
      </c>
      <c r="D2937" s="360">
        <v>0.4</v>
      </c>
      <c r="E2937" s="528"/>
      <c r="F2937" s="523"/>
      <c r="G2937" s="393"/>
      <c r="H2937" s="394"/>
      <c r="I2937" s="394"/>
      <c r="J2937" s="394"/>
      <c r="K2937" s="394"/>
      <c r="L2937" s="394"/>
      <c r="M2937" s="394"/>
      <c r="N2937" s="394"/>
      <c r="O2937" s="394"/>
      <c r="P2937" s="394"/>
      <c r="Q2937" s="394"/>
      <c r="R2937" s="381"/>
      <c r="S2937" s="408"/>
      <c r="T2937" s="385"/>
      <c r="U2937" s="475"/>
      <c r="V2937" s="395"/>
      <c r="W2937" s="395"/>
      <c r="X2937" s="528"/>
      <c r="Y2937" s="523"/>
      <c r="Z2937" s="393"/>
      <c r="AA2937" s="394"/>
      <c r="AB2937" s="394"/>
      <c r="AC2937" s="394"/>
      <c r="AD2937" s="394"/>
      <c r="AE2937" s="394"/>
      <c r="AF2937" s="394"/>
      <c r="AG2937" s="394"/>
      <c r="AH2937" s="394"/>
      <c r="AI2937" s="394"/>
      <c r="AJ2937" s="394"/>
      <c r="AK2937" s="381"/>
      <c r="AL2937" s="408"/>
      <c r="AM2937" s="385"/>
      <c r="AN2937" s="475"/>
      <c r="AO2937" s="395"/>
      <c r="AP2937" s="395"/>
      <c r="AQ2937" s="528"/>
      <c r="AR2937" s="523">
        <v>1</v>
      </c>
      <c r="AS2937" s="393"/>
      <c r="AT2937" s="600">
        <v>19.500409999999999</v>
      </c>
      <c r="AU2937" s="394">
        <v>16.24943</v>
      </c>
      <c r="AV2937" s="394">
        <v>15.147410000000001</v>
      </c>
      <c r="AW2937" s="394"/>
      <c r="AX2937" s="394"/>
      <c r="AY2937" s="394">
        <v>0</v>
      </c>
      <c r="AZ2937" s="394">
        <v>0</v>
      </c>
      <c r="BA2937" s="394">
        <v>0.75790000000000002</v>
      </c>
      <c r="BB2937" s="394">
        <v>15.147410000000001</v>
      </c>
      <c r="BC2937" s="394"/>
      <c r="BD2937" s="381" t="s">
        <v>167</v>
      </c>
      <c r="BE2937" s="408" t="s">
        <v>175</v>
      </c>
      <c r="BF2937" s="385"/>
      <c r="BG2937" s="475">
        <v>887</v>
      </c>
      <c r="BH2937" s="395"/>
      <c r="BI2937" s="395">
        <f t="shared" si="1059"/>
        <v>19.500409999999999</v>
      </c>
    </row>
    <row r="2938" spans="1:61" s="358" customFormat="1" ht="19.2" x14ac:dyDescent="0.3">
      <c r="A2938" s="359" t="s">
        <v>1889</v>
      </c>
      <c r="B2938" s="602" t="s">
        <v>4738</v>
      </c>
      <c r="C2938" s="548" t="s">
        <v>4737</v>
      </c>
      <c r="D2938" s="360">
        <v>0.4</v>
      </c>
      <c r="E2938" s="528"/>
      <c r="F2938" s="523"/>
      <c r="G2938" s="393"/>
      <c r="H2938" s="394"/>
      <c r="I2938" s="394"/>
      <c r="J2938" s="394"/>
      <c r="K2938" s="394"/>
      <c r="L2938" s="394"/>
      <c r="M2938" s="394"/>
      <c r="N2938" s="394"/>
      <c r="O2938" s="394"/>
      <c r="P2938" s="394"/>
      <c r="Q2938" s="394"/>
      <c r="R2938" s="381"/>
      <c r="S2938" s="408"/>
      <c r="T2938" s="385"/>
      <c r="U2938" s="475"/>
      <c r="V2938" s="395"/>
      <c r="W2938" s="395"/>
      <c r="X2938" s="528"/>
      <c r="Y2938" s="523"/>
      <c r="Z2938" s="393"/>
      <c r="AA2938" s="394"/>
      <c r="AB2938" s="394"/>
      <c r="AC2938" s="394"/>
      <c r="AD2938" s="394"/>
      <c r="AE2938" s="394"/>
      <c r="AF2938" s="394"/>
      <c r="AG2938" s="394"/>
      <c r="AH2938" s="394"/>
      <c r="AI2938" s="394"/>
      <c r="AJ2938" s="394"/>
      <c r="AK2938" s="381"/>
      <c r="AL2938" s="408"/>
      <c r="AM2938" s="385"/>
      <c r="AN2938" s="475"/>
      <c r="AO2938" s="395"/>
      <c r="AP2938" s="395"/>
      <c r="AQ2938" s="528"/>
      <c r="AR2938" s="523">
        <v>1</v>
      </c>
      <c r="AS2938" s="393"/>
      <c r="AT2938" s="600">
        <v>20.047910000000002</v>
      </c>
      <c r="AU2938" s="394">
        <v>16.249420000000001</v>
      </c>
      <c r="AV2938" s="394">
        <v>15.147410000000001</v>
      </c>
      <c r="AW2938" s="394"/>
      <c r="AX2938" s="394"/>
      <c r="AY2938" s="394">
        <v>0</v>
      </c>
      <c r="AZ2938" s="394">
        <v>0</v>
      </c>
      <c r="BA2938" s="394">
        <v>0.54751000000000005</v>
      </c>
      <c r="BB2938" s="394">
        <v>15.147410000000001</v>
      </c>
      <c r="BC2938" s="394"/>
      <c r="BD2938" s="381" t="s">
        <v>167</v>
      </c>
      <c r="BE2938" s="408" t="s">
        <v>175</v>
      </c>
      <c r="BF2938" s="385"/>
      <c r="BG2938" s="475">
        <v>888</v>
      </c>
      <c r="BH2938" s="395"/>
      <c r="BI2938" s="395">
        <f t="shared" ref="BI2938" si="1122">AT2938/AR2938</f>
        <v>20.047910000000002</v>
      </c>
    </row>
    <row r="2939" spans="1:61" s="358" customFormat="1" ht="19.2" x14ac:dyDescent="0.3">
      <c r="A2939" s="359" t="s">
        <v>1890</v>
      </c>
      <c r="B2939" s="602" t="s">
        <v>5336</v>
      </c>
      <c r="C2939" s="548" t="s">
        <v>5337</v>
      </c>
      <c r="D2939" s="360">
        <v>0.4</v>
      </c>
      <c r="E2939" s="528"/>
      <c r="F2939" s="523"/>
      <c r="G2939" s="393"/>
      <c r="H2939" s="394"/>
      <c r="I2939" s="394"/>
      <c r="J2939" s="394"/>
      <c r="K2939" s="394"/>
      <c r="L2939" s="394"/>
      <c r="M2939" s="394"/>
      <c r="N2939" s="394"/>
      <c r="O2939" s="394"/>
      <c r="P2939" s="394"/>
      <c r="Q2939" s="394"/>
      <c r="R2939" s="381"/>
      <c r="S2939" s="408"/>
      <c r="T2939" s="385"/>
      <c r="U2939" s="475"/>
      <c r="V2939" s="395"/>
      <c r="W2939" s="395"/>
      <c r="X2939" s="528"/>
      <c r="Y2939" s="523"/>
      <c r="Z2939" s="393"/>
      <c r="AA2939" s="394"/>
      <c r="AB2939" s="394"/>
      <c r="AC2939" s="394"/>
      <c r="AD2939" s="394"/>
      <c r="AE2939" s="394"/>
      <c r="AF2939" s="394"/>
      <c r="AG2939" s="394"/>
      <c r="AH2939" s="394"/>
      <c r="AI2939" s="394"/>
      <c r="AJ2939" s="394"/>
      <c r="AK2939" s="381"/>
      <c r="AL2939" s="408"/>
      <c r="AM2939" s="385"/>
      <c r="AN2939" s="475"/>
      <c r="AO2939" s="395"/>
      <c r="AP2939" s="395"/>
      <c r="AQ2939" s="528"/>
      <c r="AR2939" s="523">
        <v>1</v>
      </c>
      <c r="AS2939" s="393"/>
      <c r="AT2939" s="600">
        <v>19.550609999999999</v>
      </c>
      <c r="AU2939" s="394">
        <v>16.299630000000001</v>
      </c>
      <c r="AV2939" s="394">
        <v>15.147410000000001</v>
      </c>
      <c r="AW2939" s="394"/>
      <c r="AX2939" s="394"/>
      <c r="AY2939" s="394">
        <v>0</v>
      </c>
      <c r="AZ2939" s="394">
        <v>0</v>
      </c>
      <c r="BA2939" s="394">
        <v>0.75790000000000002</v>
      </c>
      <c r="BB2939" s="394">
        <v>15.147410000000001</v>
      </c>
      <c r="BC2939" s="394"/>
      <c r="BD2939" s="381" t="s">
        <v>167</v>
      </c>
      <c r="BE2939" s="408" t="s">
        <v>175</v>
      </c>
      <c r="BF2939" s="385"/>
      <c r="BG2939" s="475">
        <v>889</v>
      </c>
      <c r="BH2939" s="395"/>
      <c r="BI2939" s="395">
        <f t="shared" si="1059"/>
        <v>19.550609999999999</v>
      </c>
    </row>
    <row r="2940" spans="1:61" s="358" customFormat="1" ht="19.2" x14ac:dyDescent="0.3">
      <c r="A2940" s="359" t="s">
        <v>1891</v>
      </c>
      <c r="B2940" s="602" t="s">
        <v>5338</v>
      </c>
      <c r="C2940" s="548" t="s">
        <v>5339</v>
      </c>
      <c r="D2940" s="360">
        <v>0.4</v>
      </c>
      <c r="E2940" s="528"/>
      <c r="F2940" s="523"/>
      <c r="G2940" s="393"/>
      <c r="H2940" s="394"/>
      <c r="I2940" s="394"/>
      <c r="J2940" s="394"/>
      <c r="K2940" s="394"/>
      <c r="L2940" s="394"/>
      <c r="M2940" s="394"/>
      <c r="N2940" s="394"/>
      <c r="O2940" s="394"/>
      <c r="P2940" s="394"/>
      <c r="Q2940" s="394"/>
      <c r="R2940" s="381"/>
      <c r="S2940" s="408"/>
      <c r="T2940" s="385"/>
      <c r="U2940" s="475"/>
      <c r="V2940" s="395"/>
      <c r="W2940" s="395"/>
      <c r="X2940" s="528"/>
      <c r="Y2940" s="523"/>
      <c r="Z2940" s="393"/>
      <c r="AA2940" s="394"/>
      <c r="AB2940" s="394"/>
      <c r="AC2940" s="394"/>
      <c r="AD2940" s="394"/>
      <c r="AE2940" s="394"/>
      <c r="AF2940" s="394"/>
      <c r="AG2940" s="394"/>
      <c r="AH2940" s="394"/>
      <c r="AI2940" s="394"/>
      <c r="AJ2940" s="394"/>
      <c r="AK2940" s="381"/>
      <c r="AL2940" s="408"/>
      <c r="AM2940" s="385"/>
      <c r="AN2940" s="475"/>
      <c r="AO2940" s="395"/>
      <c r="AP2940" s="395"/>
      <c r="AQ2940" s="528"/>
      <c r="AR2940" s="523">
        <v>1</v>
      </c>
      <c r="AS2940" s="393"/>
      <c r="AT2940" s="600">
        <v>19.550609999999999</v>
      </c>
      <c r="AU2940" s="394">
        <v>16.299630000000001</v>
      </c>
      <c r="AV2940" s="394">
        <v>15.147410000000001</v>
      </c>
      <c r="AW2940" s="394"/>
      <c r="AX2940" s="394"/>
      <c r="AY2940" s="394">
        <v>0</v>
      </c>
      <c r="AZ2940" s="394">
        <v>0</v>
      </c>
      <c r="BA2940" s="394">
        <v>0.75790000000000002</v>
      </c>
      <c r="BB2940" s="394">
        <v>15.147410000000001</v>
      </c>
      <c r="BC2940" s="394"/>
      <c r="BD2940" s="381" t="s">
        <v>167</v>
      </c>
      <c r="BE2940" s="408" t="s">
        <v>175</v>
      </c>
      <c r="BF2940" s="385"/>
      <c r="BG2940" s="475">
        <v>890</v>
      </c>
      <c r="BH2940" s="395"/>
      <c r="BI2940" s="395">
        <f t="shared" ref="BI2940:BI2970" si="1123">AT2940/AR2940</f>
        <v>19.550609999999999</v>
      </c>
    </row>
    <row r="2941" spans="1:61" s="358" customFormat="1" ht="19.2" x14ac:dyDescent="0.3">
      <c r="A2941" s="359" t="s">
        <v>1892</v>
      </c>
      <c r="B2941" s="602" t="s">
        <v>5340</v>
      </c>
      <c r="C2941" s="548" t="s">
        <v>5341</v>
      </c>
      <c r="D2941" s="360">
        <v>0.4</v>
      </c>
      <c r="E2941" s="528"/>
      <c r="F2941" s="523"/>
      <c r="G2941" s="393"/>
      <c r="H2941" s="394"/>
      <c r="I2941" s="394"/>
      <c r="J2941" s="394"/>
      <c r="K2941" s="394"/>
      <c r="L2941" s="394"/>
      <c r="M2941" s="394"/>
      <c r="N2941" s="394"/>
      <c r="O2941" s="394"/>
      <c r="P2941" s="394"/>
      <c r="Q2941" s="394"/>
      <c r="R2941" s="381"/>
      <c r="S2941" s="408"/>
      <c r="T2941" s="385"/>
      <c r="U2941" s="475"/>
      <c r="V2941" s="395"/>
      <c r="W2941" s="395"/>
      <c r="X2941" s="528"/>
      <c r="Y2941" s="523"/>
      <c r="Z2941" s="393"/>
      <c r="AA2941" s="394"/>
      <c r="AB2941" s="394"/>
      <c r="AC2941" s="394"/>
      <c r="AD2941" s="394"/>
      <c r="AE2941" s="394"/>
      <c r="AF2941" s="394"/>
      <c r="AG2941" s="394"/>
      <c r="AH2941" s="394"/>
      <c r="AI2941" s="394"/>
      <c r="AJ2941" s="394"/>
      <c r="AK2941" s="381"/>
      <c r="AL2941" s="408"/>
      <c r="AM2941" s="385"/>
      <c r="AN2941" s="475"/>
      <c r="AO2941" s="395"/>
      <c r="AP2941" s="395"/>
      <c r="AQ2941" s="528"/>
      <c r="AR2941" s="523">
        <v>1</v>
      </c>
      <c r="AS2941" s="393"/>
      <c r="AT2941" s="600">
        <v>19.500389999999999</v>
      </c>
      <c r="AU2941" s="394">
        <v>16.249410000000001</v>
      </c>
      <c r="AV2941" s="394">
        <v>15.147410000000001</v>
      </c>
      <c r="AW2941" s="394"/>
      <c r="AX2941" s="394"/>
      <c r="AY2941" s="394">
        <v>0</v>
      </c>
      <c r="AZ2941" s="394">
        <v>0</v>
      </c>
      <c r="BA2941" s="394">
        <v>0.75790000000000002</v>
      </c>
      <c r="BB2941" s="394">
        <v>15.147410000000001</v>
      </c>
      <c r="BC2941" s="394"/>
      <c r="BD2941" s="381" t="s">
        <v>167</v>
      </c>
      <c r="BE2941" s="408" t="s">
        <v>175</v>
      </c>
      <c r="BF2941" s="385"/>
      <c r="BG2941" s="475">
        <v>891</v>
      </c>
      <c r="BH2941" s="395"/>
      <c r="BI2941" s="395">
        <f t="shared" ref="BI2941" si="1124">AT2941/AR2941</f>
        <v>19.500389999999999</v>
      </c>
    </row>
    <row r="2942" spans="1:61" s="358" customFormat="1" ht="19.2" x14ac:dyDescent="0.3">
      <c r="A2942" s="359" t="s">
        <v>1893</v>
      </c>
      <c r="B2942" s="602" t="s">
        <v>5342</v>
      </c>
      <c r="C2942" s="548" t="s">
        <v>5343</v>
      </c>
      <c r="D2942" s="360">
        <v>0.4</v>
      </c>
      <c r="E2942" s="528"/>
      <c r="F2942" s="523"/>
      <c r="G2942" s="393"/>
      <c r="H2942" s="394"/>
      <c r="I2942" s="394"/>
      <c r="J2942" s="394"/>
      <c r="K2942" s="394"/>
      <c r="L2942" s="394"/>
      <c r="M2942" s="394"/>
      <c r="N2942" s="394"/>
      <c r="O2942" s="394"/>
      <c r="P2942" s="394"/>
      <c r="Q2942" s="394"/>
      <c r="R2942" s="381"/>
      <c r="S2942" s="408"/>
      <c r="T2942" s="385"/>
      <c r="U2942" s="475"/>
      <c r="V2942" s="395"/>
      <c r="W2942" s="395"/>
      <c r="X2942" s="528"/>
      <c r="Y2942" s="523"/>
      <c r="Z2942" s="393"/>
      <c r="AA2942" s="394"/>
      <c r="AB2942" s="394"/>
      <c r="AC2942" s="394"/>
      <c r="AD2942" s="394"/>
      <c r="AE2942" s="394"/>
      <c r="AF2942" s="394"/>
      <c r="AG2942" s="394"/>
      <c r="AH2942" s="394"/>
      <c r="AI2942" s="394"/>
      <c r="AJ2942" s="394"/>
      <c r="AK2942" s="381"/>
      <c r="AL2942" s="408"/>
      <c r="AM2942" s="385"/>
      <c r="AN2942" s="475"/>
      <c r="AO2942" s="395"/>
      <c r="AP2942" s="395"/>
      <c r="AQ2942" s="528"/>
      <c r="AR2942" s="523">
        <v>1</v>
      </c>
      <c r="AS2942" s="393"/>
      <c r="AT2942" s="600">
        <v>19.550609999999999</v>
      </c>
      <c r="AU2942" s="394">
        <v>16.299630000000001</v>
      </c>
      <c r="AV2942" s="394">
        <v>15.147410000000001</v>
      </c>
      <c r="AW2942" s="394"/>
      <c r="AX2942" s="394"/>
      <c r="AY2942" s="394">
        <v>0</v>
      </c>
      <c r="AZ2942" s="394">
        <v>0</v>
      </c>
      <c r="BA2942" s="394">
        <v>0.75790000000000002</v>
      </c>
      <c r="BB2942" s="394">
        <v>15.147410000000001</v>
      </c>
      <c r="BC2942" s="394"/>
      <c r="BD2942" s="381" t="s">
        <v>167</v>
      </c>
      <c r="BE2942" s="408" t="s">
        <v>175</v>
      </c>
      <c r="BF2942" s="385"/>
      <c r="BG2942" s="475">
        <v>892</v>
      </c>
      <c r="BH2942" s="395"/>
      <c r="BI2942" s="395">
        <f t="shared" si="1123"/>
        <v>19.550609999999999</v>
      </c>
    </row>
    <row r="2943" spans="1:61" s="358" customFormat="1" ht="19.2" x14ac:dyDescent="0.3">
      <c r="A2943" s="359" t="s">
        <v>1894</v>
      </c>
      <c r="B2943" s="602" t="s">
        <v>5344</v>
      </c>
      <c r="C2943" s="548" t="s">
        <v>5345</v>
      </c>
      <c r="D2943" s="360">
        <v>0.4</v>
      </c>
      <c r="E2943" s="528"/>
      <c r="F2943" s="523"/>
      <c r="G2943" s="393"/>
      <c r="H2943" s="394"/>
      <c r="I2943" s="394"/>
      <c r="J2943" s="394"/>
      <c r="K2943" s="394"/>
      <c r="L2943" s="394"/>
      <c r="M2943" s="394"/>
      <c r="N2943" s="394"/>
      <c r="O2943" s="394"/>
      <c r="P2943" s="394"/>
      <c r="Q2943" s="394"/>
      <c r="R2943" s="381"/>
      <c r="S2943" s="408"/>
      <c r="T2943" s="385"/>
      <c r="U2943" s="475"/>
      <c r="V2943" s="395"/>
      <c r="W2943" s="395"/>
      <c r="X2943" s="528"/>
      <c r="Y2943" s="523"/>
      <c r="Z2943" s="393"/>
      <c r="AA2943" s="394"/>
      <c r="AB2943" s="394"/>
      <c r="AC2943" s="394"/>
      <c r="AD2943" s="394"/>
      <c r="AE2943" s="394"/>
      <c r="AF2943" s="394"/>
      <c r="AG2943" s="394"/>
      <c r="AH2943" s="394"/>
      <c r="AI2943" s="394"/>
      <c r="AJ2943" s="394"/>
      <c r="AK2943" s="381"/>
      <c r="AL2943" s="408"/>
      <c r="AM2943" s="385"/>
      <c r="AN2943" s="475"/>
      <c r="AO2943" s="395"/>
      <c r="AP2943" s="395"/>
      <c r="AQ2943" s="528"/>
      <c r="AR2943" s="523">
        <v>1</v>
      </c>
      <c r="AS2943" s="393"/>
      <c r="AT2943" s="600">
        <v>19.500389999999999</v>
      </c>
      <c r="AU2943" s="394">
        <v>16.249410000000001</v>
      </c>
      <c r="AV2943" s="394">
        <v>15.147410000000001</v>
      </c>
      <c r="AW2943" s="394"/>
      <c r="AX2943" s="394"/>
      <c r="AY2943" s="394">
        <v>0</v>
      </c>
      <c r="AZ2943" s="394">
        <v>0</v>
      </c>
      <c r="BA2943" s="394">
        <v>0.75790000000000002</v>
      </c>
      <c r="BB2943" s="394">
        <v>15.147410000000001</v>
      </c>
      <c r="BC2943" s="394"/>
      <c r="BD2943" s="381" t="s">
        <v>167</v>
      </c>
      <c r="BE2943" s="408" t="s">
        <v>175</v>
      </c>
      <c r="BF2943" s="385"/>
      <c r="BG2943" s="475">
        <v>893</v>
      </c>
      <c r="BH2943" s="395"/>
      <c r="BI2943" s="395">
        <f t="shared" ref="BI2943" si="1125">AT2943/AR2943</f>
        <v>19.500389999999999</v>
      </c>
    </row>
    <row r="2944" spans="1:61" s="358" customFormat="1" ht="19.2" x14ac:dyDescent="0.3">
      <c r="A2944" s="359" t="s">
        <v>1895</v>
      </c>
      <c r="B2944" s="602" t="s">
        <v>5346</v>
      </c>
      <c r="C2944" s="548" t="s">
        <v>5347</v>
      </c>
      <c r="D2944" s="360">
        <v>0.4</v>
      </c>
      <c r="E2944" s="528"/>
      <c r="F2944" s="523"/>
      <c r="G2944" s="393"/>
      <c r="H2944" s="394"/>
      <c r="I2944" s="394"/>
      <c r="J2944" s="394"/>
      <c r="K2944" s="394"/>
      <c r="L2944" s="394"/>
      <c r="M2944" s="394"/>
      <c r="N2944" s="394"/>
      <c r="O2944" s="394"/>
      <c r="P2944" s="394"/>
      <c r="Q2944" s="394"/>
      <c r="R2944" s="381"/>
      <c r="S2944" s="408"/>
      <c r="T2944" s="385"/>
      <c r="U2944" s="475"/>
      <c r="V2944" s="395"/>
      <c r="W2944" s="395"/>
      <c r="X2944" s="528"/>
      <c r="Y2944" s="523"/>
      <c r="Z2944" s="393"/>
      <c r="AA2944" s="394"/>
      <c r="AB2944" s="394"/>
      <c r="AC2944" s="394"/>
      <c r="AD2944" s="394"/>
      <c r="AE2944" s="394"/>
      <c r="AF2944" s="394"/>
      <c r="AG2944" s="394"/>
      <c r="AH2944" s="394"/>
      <c r="AI2944" s="394"/>
      <c r="AJ2944" s="394"/>
      <c r="AK2944" s="381"/>
      <c r="AL2944" s="408"/>
      <c r="AM2944" s="385"/>
      <c r="AN2944" s="475"/>
      <c r="AO2944" s="395"/>
      <c r="AP2944" s="395"/>
      <c r="AQ2944" s="528"/>
      <c r="AR2944" s="523">
        <v>1</v>
      </c>
      <c r="AS2944" s="393"/>
      <c r="AT2944" s="600">
        <v>19.500389999999999</v>
      </c>
      <c r="AU2944" s="394">
        <v>16.249410000000001</v>
      </c>
      <c r="AV2944" s="394">
        <v>15.147410000000001</v>
      </c>
      <c r="AW2944" s="394"/>
      <c r="AX2944" s="394"/>
      <c r="AY2944" s="394">
        <v>0</v>
      </c>
      <c r="AZ2944" s="394">
        <v>0</v>
      </c>
      <c r="BA2944" s="394">
        <v>0.75790000000000002</v>
      </c>
      <c r="BB2944" s="394">
        <v>15.147410000000001</v>
      </c>
      <c r="BC2944" s="394"/>
      <c r="BD2944" s="381" t="s">
        <v>167</v>
      </c>
      <c r="BE2944" s="408" t="s">
        <v>175</v>
      </c>
      <c r="BF2944" s="385"/>
      <c r="BG2944" s="475">
        <v>894</v>
      </c>
      <c r="BH2944" s="395"/>
      <c r="BI2944" s="395">
        <f t="shared" si="1123"/>
        <v>19.500389999999999</v>
      </c>
    </row>
    <row r="2945" spans="1:61" s="358" customFormat="1" ht="19.2" x14ac:dyDescent="0.3">
      <c r="A2945" s="359" t="s">
        <v>1896</v>
      </c>
      <c r="B2945" s="602" t="s">
        <v>5348</v>
      </c>
      <c r="C2945" s="548" t="s">
        <v>5349</v>
      </c>
      <c r="D2945" s="360">
        <v>0.4</v>
      </c>
      <c r="E2945" s="528"/>
      <c r="F2945" s="523"/>
      <c r="G2945" s="393"/>
      <c r="H2945" s="394"/>
      <c r="I2945" s="394"/>
      <c r="J2945" s="394"/>
      <c r="K2945" s="394"/>
      <c r="L2945" s="394"/>
      <c r="M2945" s="394"/>
      <c r="N2945" s="394"/>
      <c r="O2945" s="394"/>
      <c r="P2945" s="394"/>
      <c r="Q2945" s="394"/>
      <c r="R2945" s="381"/>
      <c r="S2945" s="408"/>
      <c r="T2945" s="385"/>
      <c r="U2945" s="475"/>
      <c r="V2945" s="395"/>
      <c r="W2945" s="395"/>
      <c r="X2945" s="528"/>
      <c r="Y2945" s="523"/>
      <c r="Z2945" s="393"/>
      <c r="AA2945" s="394"/>
      <c r="AB2945" s="394"/>
      <c r="AC2945" s="394"/>
      <c r="AD2945" s="394"/>
      <c r="AE2945" s="394"/>
      <c r="AF2945" s="394"/>
      <c r="AG2945" s="394"/>
      <c r="AH2945" s="394"/>
      <c r="AI2945" s="394"/>
      <c r="AJ2945" s="394"/>
      <c r="AK2945" s="381"/>
      <c r="AL2945" s="408"/>
      <c r="AM2945" s="385"/>
      <c r="AN2945" s="475"/>
      <c r="AO2945" s="395"/>
      <c r="AP2945" s="395"/>
      <c r="AQ2945" s="528"/>
      <c r="AR2945" s="523">
        <v>1</v>
      </c>
      <c r="AS2945" s="393"/>
      <c r="AT2945" s="600">
        <v>19.500389999999999</v>
      </c>
      <c r="AU2945" s="394">
        <v>16.249410000000001</v>
      </c>
      <c r="AV2945" s="394">
        <v>15.147410000000001</v>
      </c>
      <c r="AW2945" s="394"/>
      <c r="AX2945" s="394"/>
      <c r="AY2945" s="394">
        <v>0</v>
      </c>
      <c r="AZ2945" s="394">
        <v>0</v>
      </c>
      <c r="BA2945" s="394">
        <v>0.75790000000000002</v>
      </c>
      <c r="BB2945" s="394">
        <v>15.147410000000001</v>
      </c>
      <c r="BC2945" s="394"/>
      <c r="BD2945" s="381" t="s">
        <v>167</v>
      </c>
      <c r="BE2945" s="408" t="s">
        <v>175</v>
      </c>
      <c r="BF2945" s="385"/>
      <c r="BG2945" s="475">
        <v>895</v>
      </c>
      <c r="BH2945" s="395"/>
      <c r="BI2945" s="395">
        <f t="shared" ref="BI2945" si="1126">AT2945/AR2945</f>
        <v>19.500389999999999</v>
      </c>
    </row>
    <row r="2946" spans="1:61" s="358" customFormat="1" ht="19.2" x14ac:dyDescent="0.3">
      <c r="A2946" s="359" t="s">
        <v>1897</v>
      </c>
      <c r="B2946" s="602" t="s">
        <v>5350</v>
      </c>
      <c r="C2946" s="548" t="s">
        <v>5351</v>
      </c>
      <c r="D2946" s="360">
        <v>0.4</v>
      </c>
      <c r="E2946" s="528"/>
      <c r="F2946" s="523"/>
      <c r="G2946" s="393"/>
      <c r="H2946" s="394"/>
      <c r="I2946" s="394"/>
      <c r="J2946" s="394"/>
      <c r="K2946" s="394"/>
      <c r="L2946" s="394"/>
      <c r="M2946" s="394"/>
      <c r="N2946" s="394"/>
      <c r="O2946" s="394"/>
      <c r="P2946" s="394"/>
      <c r="Q2946" s="394"/>
      <c r="R2946" s="381"/>
      <c r="S2946" s="408"/>
      <c r="T2946" s="385"/>
      <c r="U2946" s="475"/>
      <c r="V2946" s="395"/>
      <c r="W2946" s="395"/>
      <c r="X2946" s="528"/>
      <c r="Y2946" s="523"/>
      <c r="Z2946" s="393"/>
      <c r="AA2946" s="394"/>
      <c r="AB2946" s="394"/>
      <c r="AC2946" s="394"/>
      <c r="AD2946" s="394"/>
      <c r="AE2946" s="394"/>
      <c r="AF2946" s="394"/>
      <c r="AG2946" s="394"/>
      <c r="AH2946" s="394"/>
      <c r="AI2946" s="394"/>
      <c r="AJ2946" s="394"/>
      <c r="AK2946" s="381"/>
      <c r="AL2946" s="408"/>
      <c r="AM2946" s="385"/>
      <c r="AN2946" s="475"/>
      <c r="AO2946" s="395"/>
      <c r="AP2946" s="395"/>
      <c r="AQ2946" s="528"/>
      <c r="AR2946" s="523">
        <v>1</v>
      </c>
      <c r="AS2946" s="393"/>
      <c r="AT2946" s="600">
        <v>19.550609999999999</v>
      </c>
      <c r="AU2946" s="394">
        <v>16.299630000000001</v>
      </c>
      <c r="AV2946" s="394">
        <v>15.147410000000001</v>
      </c>
      <c r="AW2946" s="394"/>
      <c r="AX2946" s="394"/>
      <c r="AY2946" s="394">
        <v>0</v>
      </c>
      <c r="AZ2946" s="394">
        <v>0</v>
      </c>
      <c r="BA2946" s="394">
        <v>0.75790000000000002</v>
      </c>
      <c r="BB2946" s="394">
        <v>15.147410000000001</v>
      </c>
      <c r="BC2946" s="394"/>
      <c r="BD2946" s="381" t="s">
        <v>167</v>
      </c>
      <c r="BE2946" s="408" t="s">
        <v>175</v>
      </c>
      <c r="BF2946" s="385"/>
      <c r="BG2946" s="475">
        <v>896</v>
      </c>
      <c r="BH2946" s="395"/>
      <c r="BI2946" s="395">
        <f t="shared" si="1123"/>
        <v>19.550609999999999</v>
      </c>
    </row>
    <row r="2947" spans="1:61" s="358" customFormat="1" ht="19.2" x14ac:dyDescent="0.3">
      <c r="A2947" s="359" t="s">
        <v>1898</v>
      </c>
      <c r="B2947" s="602" t="s">
        <v>5352</v>
      </c>
      <c r="C2947" s="548" t="s">
        <v>5353</v>
      </c>
      <c r="D2947" s="360">
        <v>0.4</v>
      </c>
      <c r="E2947" s="528"/>
      <c r="F2947" s="523"/>
      <c r="G2947" s="393"/>
      <c r="H2947" s="394"/>
      <c r="I2947" s="394"/>
      <c r="J2947" s="394"/>
      <c r="K2947" s="394"/>
      <c r="L2947" s="394"/>
      <c r="M2947" s="394"/>
      <c r="N2947" s="394"/>
      <c r="O2947" s="394"/>
      <c r="P2947" s="394"/>
      <c r="Q2947" s="394"/>
      <c r="R2947" s="381"/>
      <c r="S2947" s="408"/>
      <c r="T2947" s="385"/>
      <c r="U2947" s="475"/>
      <c r="V2947" s="395"/>
      <c r="W2947" s="395"/>
      <c r="X2947" s="528"/>
      <c r="Y2947" s="523"/>
      <c r="Z2947" s="393"/>
      <c r="AA2947" s="394"/>
      <c r="AB2947" s="394"/>
      <c r="AC2947" s="394"/>
      <c r="AD2947" s="394"/>
      <c r="AE2947" s="394"/>
      <c r="AF2947" s="394"/>
      <c r="AG2947" s="394"/>
      <c r="AH2947" s="394"/>
      <c r="AI2947" s="394"/>
      <c r="AJ2947" s="394"/>
      <c r="AK2947" s="381"/>
      <c r="AL2947" s="408"/>
      <c r="AM2947" s="385"/>
      <c r="AN2947" s="475"/>
      <c r="AO2947" s="395"/>
      <c r="AP2947" s="395"/>
      <c r="AQ2947" s="528"/>
      <c r="AR2947" s="523">
        <v>1</v>
      </c>
      <c r="AS2947" s="393"/>
      <c r="AT2947" s="600">
        <v>19.500389999999999</v>
      </c>
      <c r="AU2947" s="394">
        <v>16.249410000000001</v>
      </c>
      <c r="AV2947" s="394">
        <v>15.147410000000001</v>
      </c>
      <c r="AW2947" s="394"/>
      <c r="AX2947" s="394"/>
      <c r="AY2947" s="394">
        <v>0</v>
      </c>
      <c r="AZ2947" s="394">
        <v>0</v>
      </c>
      <c r="BA2947" s="394">
        <v>0.75790000000000002</v>
      </c>
      <c r="BB2947" s="394">
        <v>15.147410000000001</v>
      </c>
      <c r="BC2947" s="394"/>
      <c r="BD2947" s="381" t="s">
        <v>167</v>
      </c>
      <c r="BE2947" s="408" t="s">
        <v>175</v>
      </c>
      <c r="BF2947" s="385"/>
      <c r="BG2947" s="475">
        <v>897</v>
      </c>
      <c r="BH2947" s="395"/>
      <c r="BI2947" s="395">
        <f t="shared" ref="BI2947" si="1127">AT2947/AR2947</f>
        <v>19.500389999999999</v>
      </c>
    </row>
    <row r="2948" spans="1:61" s="358" customFormat="1" ht="19.2" x14ac:dyDescent="0.3">
      <c r="A2948" s="359" t="s">
        <v>1899</v>
      </c>
      <c r="B2948" s="602" t="s">
        <v>5354</v>
      </c>
      <c r="C2948" s="548" t="s">
        <v>5355</v>
      </c>
      <c r="D2948" s="360">
        <v>0.4</v>
      </c>
      <c r="E2948" s="528"/>
      <c r="F2948" s="523"/>
      <c r="G2948" s="393"/>
      <c r="H2948" s="394"/>
      <c r="I2948" s="394"/>
      <c r="J2948" s="394"/>
      <c r="K2948" s="394"/>
      <c r="L2948" s="394"/>
      <c r="M2948" s="394"/>
      <c r="N2948" s="394"/>
      <c r="O2948" s="394"/>
      <c r="P2948" s="394"/>
      <c r="Q2948" s="394"/>
      <c r="R2948" s="381"/>
      <c r="S2948" s="408"/>
      <c r="T2948" s="385"/>
      <c r="U2948" s="475"/>
      <c r="V2948" s="395"/>
      <c r="W2948" s="395"/>
      <c r="X2948" s="528"/>
      <c r="Y2948" s="523"/>
      <c r="Z2948" s="393"/>
      <c r="AA2948" s="394"/>
      <c r="AB2948" s="394"/>
      <c r="AC2948" s="394"/>
      <c r="AD2948" s="394"/>
      <c r="AE2948" s="394"/>
      <c r="AF2948" s="394"/>
      <c r="AG2948" s="394"/>
      <c r="AH2948" s="394"/>
      <c r="AI2948" s="394"/>
      <c r="AJ2948" s="394"/>
      <c r="AK2948" s="381"/>
      <c r="AL2948" s="408"/>
      <c r="AM2948" s="385"/>
      <c r="AN2948" s="475"/>
      <c r="AO2948" s="395"/>
      <c r="AP2948" s="395"/>
      <c r="AQ2948" s="528"/>
      <c r="AR2948" s="523">
        <v>1</v>
      </c>
      <c r="AS2948" s="393"/>
      <c r="AT2948" s="600">
        <v>19.550619999999999</v>
      </c>
      <c r="AU2948" s="394">
        <v>16.29964</v>
      </c>
      <c r="AV2948" s="394">
        <v>15.147410000000001</v>
      </c>
      <c r="AW2948" s="394"/>
      <c r="AX2948" s="394"/>
      <c r="AY2948" s="394">
        <v>0</v>
      </c>
      <c r="AZ2948" s="394">
        <v>0</v>
      </c>
      <c r="BA2948" s="394">
        <v>0.75790000000000002</v>
      </c>
      <c r="BB2948" s="394">
        <v>15.147410000000001</v>
      </c>
      <c r="BC2948" s="394"/>
      <c r="BD2948" s="381" t="s">
        <v>167</v>
      </c>
      <c r="BE2948" s="408" t="s">
        <v>175</v>
      </c>
      <c r="BF2948" s="385"/>
      <c r="BG2948" s="475">
        <v>898</v>
      </c>
      <c r="BH2948" s="395"/>
      <c r="BI2948" s="395">
        <f t="shared" si="1123"/>
        <v>19.550619999999999</v>
      </c>
    </row>
    <row r="2949" spans="1:61" s="358" customFormat="1" ht="19.2" x14ac:dyDescent="0.3">
      <c r="A2949" s="359" t="s">
        <v>1900</v>
      </c>
      <c r="B2949" s="602" t="s">
        <v>4740</v>
      </c>
      <c r="C2949" s="548" t="s">
        <v>4739</v>
      </c>
      <c r="D2949" s="360">
        <v>0.4</v>
      </c>
      <c r="E2949" s="528"/>
      <c r="F2949" s="523"/>
      <c r="G2949" s="393"/>
      <c r="H2949" s="394"/>
      <c r="I2949" s="394"/>
      <c r="J2949" s="394"/>
      <c r="K2949" s="394"/>
      <c r="L2949" s="394"/>
      <c r="M2949" s="394"/>
      <c r="N2949" s="394"/>
      <c r="O2949" s="394"/>
      <c r="P2949" s="394"/>
      <c r="Q2949" s="394"/>
      <c r="R2949" s="381"/>
      <c r="S2949" s="408"/>
      <c r="T2949" s="385"/>
      <c r="U2949" s="475"/>
      <c r="V2949" s="395"/>
      <c r="W2949" s="395"/>
      <c r="X2949" s="528"/>
      <c r="Y2949" s="523"/>
      <c r="Z2949" s="393"/>
      <c r="AA2949" s="394"/>
      <c r="AB2949" s="394"/>
      <c r="AC2949" s="394"/>
      <c r="AD2949" s="394"/>
      <c r="AE2949" s="394"/>
      <c r="AF2949" s="394"/>
      <c r="AG2949" s="394"/>
      <c r="AH2949" s="394"/>
      <c r="AI2949" s="394"/>
      <c r="AJ2949" s="394"/>
      <c r="AK2949" s="381"/>
      <c r="AL2949" s="408"/>
      <c r="AM2949" s="385"/>
      <c r="AN2949" s="475"/>
      <c r="AO2949" s="395"/>
      <c r="AP2949" s="395"/>
      <c r="AQ2949" s="528"/>
      <c r="AR2949" s="523">
        <v>1</v>
      </c>
      <c r="AS2949" s="393"/>
      <c r="AT2949" s="600">
        <v>19.500389999999999</v>
      </c>
      <c r="AU2949" s="394">
        <v>16.249410000000001</v>
      </c>
      <c r="AV2949" s="394">
        <v>15.147410000000001</v>
      </c>
      <c r="AW2949" s="394"/>
      <c r="AX2949" s="394"/>
      <c r="AY2949" s="394">
        <v>0</v>
      </c>
      <c r="AZ2949" s="394">
        <v>0</v>
      </c>
      <c r="BA2949" s="394">
        <v>0.75790000000000002</v>
      </c>
      <c r="BB2949" s="394">
        <v>15.147410000000001</v>
      </c>
      <c r="BC2949" s="394"/>
      <c r="BD2949" s="381" t="s">
        <v>167</v>
      </c>
      <c r="BE2949" s="408" t="s">
        <v>175</v>
      </c>
      <c r="BF2949" s="385"/>
      <c r="BG2949" s="475">
        <v>899</v>
      </c>
      <c r="BH2949" s="395"/>
      <c r="BI2949" s="395">
        <f t="shared" ref="BI2949" si="1128">AT2949/AR2949</f>
        <v>19.500389999999999</v>
      </c>
    </row>
    <row r="2950" spans="1:61" s="358" customFormat="1" ht="19.2" x14ac:dyDescent="0.3">
      <c r="A2950" s="359" t="s">
        <v>1901</v>
      </c>
      <c r="B2950" s="602" t="s">
        <v>5356</v>
      </c>
      <c r="C2950" s="548" t="s">
        <v>5357</v>
      </c>
      <c r="D2950" s="360">
        <v>0.4</v>
      </c>
      <c r="E2950" s="528"/>
      <c r="F2950" s="523"/>
      <c r="G2950" s="393"/>
      <c r="H2950" s="394"/>
      <c r="I2950" s="394"/>
      <c r="J2950" s="394"/>
      <c r="K2950" s="394"/>
      <c r="L2950" s="394"/>
      <c r="M2950" s="394"/>
      <c r="N2950" s="394"/>
      <c r="O2950" s="394"/>
      <c r="P2950" s="394"/>
      <c r="Q2950" s="394"/>
      <c r="R2950" s="381"/>
      <c r="S2950" s="408"/>
      <c r="T2950" s="385"/>
      <c r="U2950" s="475"/>
      <c r="V2950" s="395"/>
      <c r="W2950" s="395"/>
      <c r="X2950" s="528"/>
      <c r="Y2950" s="523"/>
      <c r="Z2950" s="393"/>
      <c r="AA2950" s="394"/>
      <c r="AB2950" s="394"/>
      <c r="AC2950" s="394"/>
      <c r="AD2950" s="394"/>
      <c r="AE2950" s="394"/>
      <c r="AF2950" s="394"/>
      <c r="AG2950" s="394"/>
      <c r="AH2950" s="394"/>
      <c r="AI2950" s="394"/>
      <c r="AJ2950" s="394"/>
      <c r="AK2950" s="381"/>
      <c r="AL2950" s="408"/>
      <c r="AM2950" s="385"/>
      <c r="AN2950" s="475"/>
      <c r="AO2950" s="395"/>
      <c r="AP2950" s="395"/>
      <c r="AQ2950" s="528"/>
      <c r="AR2950" s="523">
        <v>1</v>
      </c>
      <c r="AS2950" s="393"/>
      <c r="AT2950" s="600">
        <v>19.550619999999999</v>
      </c>
      <c r="AU2950" s="394">
        <v>16.29964</v>
      </c>
      <c r="AV2950" s="394">
        <v>15.147410000000001</v>
      </c>
      <c r="AW2950" s="394"/>
      <c r="AX2950" s="394"/>
      <c r="AY2950" s="394">
        <v>0</v>
      </c>
      <c r="AZ2950" s="394">
        <v>0</v>
      </c>
      <c r="BA2950" s="394">
        <v>0.75790000000000002</v>
      </c>
      <c r="BB2950" s="394">
        <v>15.147410000000001</v>
      </c>
      <c r="BC2950" s="394"/>
      <c r="BD2950" s="381" t="s">
        <v>167</v>
      </c>
      <c r="BE2950" s="408" t="s">
        <v>175</v>
      </c>
      <c r="BF2950" s="385"/>
      <c r="BG2950" s="475">
        <v>900</v>
      </c>
      <c r="BH2950" s="395"/>
      <c r="BI2950" s="395">
        <f t="shared" si="1123"/>
        <v>19.550619999999999</v>
      </c>
    </row>
    <row r="2951" spans="1:61" s="358" customFormat="1" ht="19.2" x14ac:dyDescent="0.3">
      <c r="A2951" s="359" t="s">
        <v>1902</v>
      </c>
      <c r="B2951" s="602" t="s">
        <v>5358</v>
      </c>
      <c r="C2951" s="548" t="s">
        <v>5359</v>
      </c>
      <c r="D2951" s="360">
        <v>0.4</v>
      </c>
      <c r="E2951" s="528"/>
      <c r="F2951" s="523"/>
      <c r="G2951" s="393"/>
      <c r="H2951" s="394"/>
      <c r="I2951" s="394"/>
      <c r="J2951" s="394"/>
      <c r="K2951" s="394"/>
      <c r="L2951" s="394"/>
      <c r="M2951" s="394"/>
      <c r="N2951" s="394"/>
      <c r="O2951" s="394"/>
      <c r="P2951" s="394"/>
      <c r="Q2951" s="394"/>
      <c r="R2951" s="381"/>
      <c r="S2951" s="408"/>
      <c r="T2951" s="385"/>
      <c r="U2951" s="475"/>
      <c r="V2951" s="395"/>
      <c r="W2951" s="395"/>
      <c r="X2951" s="528"/>
      <c r="Y2951" s="523"/>
      <c r="Z2951" s="393"/>
      <c r="AA2951" s="394"/>
      <c r="AB2951" s="394"/>
      <c r="AC2951" s="394"/>
      <c r="AD2951" s="394"/>
      <c r="AE2951" s="394"/>
      <c r="AF2951" s="394"/>
      <c r="AG2951" s="394"/>
      <c r="AH2951" s="394"/>
      <c r="AI2951" s="394"/>
      <c r="AJ2951" s="394"/>
      <c r="AK2951" s="381"/>
      <c r="AL2951" s="408"/>
      <c r="AM2951" s="385"/>
      <c r="AN2951" s="475"/>
      <c r="AO2951" s="395"/>
      <c r="AP2951" s="395"/>
      <c r="AQ2951" s="528"/>
      <c r="AR2951" s="523">
        <v>1</v>
      </c>
      <c r="AS2951" s="393"/>
      <c r="AT2951" s="600">
        <v>19.550609999999999</v>
      </c>
      <c r="AU2951" s="394">
        <v>16.299630000000001</v>
      </c>
      <c r="AV2951" s="394">
        <v>15.147410000000001</v>
      </c>
      <c r="AW2951" s="394"/>
      <c r="AX2951" s="394"/>
      <c r="AY2951" s="394">
        <v>0</v>
      </c>
      <c r="AZ2951" s="394">
        <v>0</v>
      </c>
      <c r="BA2951" s="394">
        <v>0.75790000000000002</v>
      </c>
      <c r="BB2951" s="394">
        <v>15.147410000000001</v>
      </c>
      <c r="BC2951" s="394"/>
      <c r="BD2951" s="381" t="s">
        <v>167</v>
      </c>
      <c r="BE2951" s="408" t="s">
        <v>175</v>
      </c>
      <c r="BF2951" s="385"/>
      <c r="BG2951" s="475">
        <v>901</v>
      </c>
      <c r="BH2951" s="395"/>
      <c r="BI2951" s="395">
        <f t="shared" ref="BI2951" si="1129">AT2951/AR2951</f>
        <v>19.550609999999999</v>
      </c>
    </row>
    <row r="2952" spans="1:61" s="358" customFormat="1" ht="19.2" x14ac:dyDescent="0.3">
      <c r="A2952" s="359" t="s">
        <v>1903</v>
      </c>
      <c r="B2952" s="602" t="s">
        <v>5360</v>
      </c>
      <c r="C2952" s="548" t="s">
        <v>5361</v>
      </c>
      <c r="D2952" s="360">
        <v>0.4</v>
      </c>
      <c r="E2952" s="528"/>
      <c r="F2952" s="523"/>
      <c r="G2952" s="393"/>
      <c r="H2952" s="394"/>
      <c r="I2952" s="394"/>
      <c r="J2952" s="394"/>
      <c r="K2952" s="394"/>
      <c r="L2952" s="394"/>
      <c r="M2952" s="394"/>
      <c r="N2952" s="394"/>
      <c r="O2952" s="394"/>
      <c r="P2952" s="394"/>
      <c r="Q2952" s="394"/>
      <c r="R2952" s="381"/>
      <c r="S2952" s="408"/>
      <c r="T2952" s="385"/>
      <c r="U2952" s="475"/>
      <c r="V2952" s="395"/>
      <c r="W2952" s="395"/>
      <c r="X2952" s="528"/>
      <c r="Y2952" s="523"/>
      <c r="Z2952" s="393"/>
      <c r="AA2952" s="394"/>
      <c r="AB2952" s="394"/>
      <c r="AC2952" s="394"/>
      <c r="AD2952" s="394"/>
      <c r="AE2952" s="394"/>
      <c r="AF2952" s="394"/>
      <c r="AG2952" s="394"/>
      <c r="AH2952" s="394"/>
      <c r="AI2952" s="394"/>
      <c r="AJ2952" s="394"/>
      <c r="AK2952" s="381"/>
      <c r="AL2952" s="408"/>
      <c r="AM2952" s="385"/>
      <c r="AN2952" s="475"/>
      <c r="AO2952" s="395"/>
      <c r="AP2952" s="395"/>
      <c r="AQ2952" s="528"/>
      <c r="AR2952" s="523">
        <v>1</v>
      </c>
      <c r="AS2952" s="393"/>
      <c r="AT2952" s="600">
        <v>19.500389999999999</v>
      </c>
      <c r="AU2952" s="394">
        <v>16.249410000000001</v>
      </c>
      <c r="AV2952" s="394">
        <v>15.147410000000001</v>
      </c>
      <c r="AW2952" s="394"/>
      <c r="AX2952" s="394"/>
      <c r="AY2952" s="394">
        <v>0</v>
      </c>
      <c r="AZ2952" s="394">
        <v>0</v>
      </c>
      <c r="BA2952" s="394">
        <v>0.75790000000000002</v>
      </c>
      <c r="BB2952" s="394">
        <v>15.147410000000001</v>
      </c>
      <c r="BC2952" s="394"/>
      <c r="BD2952" s="381" t="s">
        <v>167</v>
      </c>
      <c r="BE2952" s="408" t="s">
        <v>175</v>
      </c>
      <c r="BF2952" s="385"/>
      <c r="BG2952" s="475">
        <v>902</v>
      </c>
      <c r="BH2952" s="395"/>
      <c r="BI2952" s="395">
        <f t="shared" si="1123"/>
        <v>19.500389999999999</v>
      </c>
    </row>
    <row r="2953" spans="1:61" s="358" customFormat="1" ht="19.2" x14ac:dyDescent="0.3">
      <c r="A2953" s="359" t="s">
        <v>1904</v>
      </c>
      <c r="B2953" s="602" t="s">
        <v>5362</v>
      </c>
      <c r="C2953" s="548" t="s">
        <v>5363</v>
      </c>
      <c r="D2953" s="360">
        <v>0.4</v>
      </c>
      <c r="E2953" s="528"/>
      <c r="F2953" s="523"/>
      <c r="G2953" s="393"/>
      <c r="H2953" s="394"/>
      <c r="I2953" s="394"/>
      <c r="J2953" s="394"/>
      <c r="K2953" s="394"/>
      <c r="L2953" s="394"/>
      <c r="M2953" s="394"/>
      <c r="N2953" s="394"/>
      <c r="O2953" s="394"/>
      <c r="P2953" s="394"/>
      <c r="Q2953" s="394"/>
      <c r="R2953" s="381"/>
      <c r="S2953" s="408"/>
      <c r="T2953" s="385"/>
      <c r="U2953" s="475"/>
      <c r="V2953" s="395"/>
      <c r="W2953" s="395"/>
      <c r="X2953" s="528"/>
      <c r="Y2953" s="523"/>
      <c r="Z2953" s="393"/>
      <c r="AA2953" s="394"/>
      <c r="AB2953" s="394"/>
      <c r="AC2953" s="394"/>
      <c r="AD2953" s="394"/>
      <c r="AE2953" s="394"/>
      <c r="AF2953" s="394"/>
      <c r="AG2953" s="394"/>
      <c r="AH2953" s="394"/>
      <c r="AI2953" s="394"/>
      <c r="AJ2953" s="394"/>
      <c r="AK2953" s="381"/>
      <c r="AL2953" s="408"/>
      <c r="AM2953" s="385"/>
      <c r="AN2953" s="475"/>
      <c r="AO2953" s="395"/>
      <c r="AP2953" s="395"/>
      <c r="AQ2953" s="528"/>
      <c r="AR2953" s="523">
        <v>1</v>
      </c>
      <c r="AS2953" s="393"/>
      <c r="AT2953" s="600">
        <v>19.500389999999999</v>
      </c>
      <c r="AU2953" s="394">
        <v>16.249410000000001</v>
      </c>
      <c r="AV2953" s="394">
        <v>15.147410000000001</v>
      </c>
      <c r="AW2953" s="394"/>
      <c r="AX2953" s="394"/>
      <c r="AY2953" s="394">
        <v>0</v>
      </c>
      <c r="AZ2953" s="394">
        <v>0</v>
      </c>
      <c r="BA2953" s="394">
        <v>0.75790000000000002</v>
      </c>
      <c r="BB2953" s="394">
        <v>15.147410000000001</v>
      </c>
      <c r="BC2953" s="394"/>
      <c r="BD2953" s="381" t="s">
        <v>167</v>
      </c>
      <c r="BE2953" s="408" t="s">
        <v>175</v>
      </c>
      <c r="BF2953" s="385"/>
      <c r="BG2953" s="475">
        <v>903</v>
      </c>
      <c r="BH2953" s="395"/>
      <c r="BI2953" s="395">
        <f t="shared" ref="BI2953" si="1130">AT2953/AR2953</f>
        <v>19.500389999999999</v>
      </c>
    </row>
    <row r="2954" spans="1:61" s="358" customFormat="1" ht="19.2" x14ac:dyDescent="0.3">
      <c r="A2954" s="359" t="s">
        <v>1905</v>
      </c>
      <c r="B2954" s="602" t="s">
        <v>1462</v>
      </c>
      <c r="C2954" s="548" t="s">
        <v>4767</v>
      </c>
      <c r="D2954" s="360">
        <v>0.4</v>
      </c>
      <c r="E2954" s="528"/>
      <c r="F2954" s="523"/>
      <c r="G2954" s="393"/>
      <c r="H2954" s="394"/>
      <c r="I2954" s="394"/>
      <c r="J2954" s="394"/>
      <c r="K2954" s="394"/>
      <c r="L2954" s="394"/>
      <c r="M2954" s="394"/>
      <c r="N2954" s="394"/>
      <c r="O2954" s="394"/>
      <c r="P2954" s="394"/>
      <c r="Q2954" s="394"/>
      <c r="R2954" s="381"/>
      <c r="S2954" s="408"/>
      <c r="T2954" s="385"/>
      <c r="U2954" s="475"/>
      <c r="V2954" s="395"/>
      <c r="W2954" s="395"/>
      <c r="X2954" s="528"/>
      <c r="Y2954" s="523"/>
      <c r="Z2954" s="393"/>
      <c r="AA2954" s="394"/>
      <c r="AB2954" s="394"/>
      <c r="AC2954" s="394"/>
      <c r="AD2954" s="394"/>
      <c r="AE2954" s="394"/>
      <c r="AF2954" s="394"/>
      <c r="AG2954" s="394"/>
      <c r="AH2954" s="394"/>
      <c r="AI2954" s="394"/>
      <c r="AJ2954" s="394"/>
      <c r="AK2954" s="381"/>
      <c r="AL2954" s="408"/>
      <c r="AM2954" s="385"/>
      <c r="AN2954" s="475"/>
      <c r="AO2954" s="395"/>
      <c r="AP2954" s="395"/>
      <c r="AQ2954" s="528"/>
      <c r="AR2954" s="523">
        <v>1</v>
      </c>
      <c r="AS2954" s="393"/>
      <c r="AT2954" s="600">
        <v>19.573530000000002</v>
      </c>
      <c r="AU2954" s="394">
        <v>16.32255</v>
      </c>
      <c r="AV2954" s="394">
        <v>15.241820000000001</v>
      </c>
      <c r="AW2954" s="394"/>
      <c r="AX2954" s="394"/>
      <c r="AY2954" s="394">
        <v>0</v>
      </c>
      <c r="AZ2954" s="394">
        <v>0</v>
      </c>
      <c r="BA2954" s="394">
        <v>0.75790000000000002</v>
      </c>
      <c r="BB2954" s="394">
        <v>15.241820000000001</v>
      </c>
      <c r="BC2954" s="394"/>
      <c r="BD2954" s="381" t="s">
        <v>167</v>
      </c>
      <c r="BE2954" s="408" t="s">
        <v>175</v>
      </c>
      <c r="BF2954" s="385"/>
      <c r="BG2954" s="475">
        <v>904</v>
      </c>
      <c r="BH2954" s="395"/>
      <c r="BI2954" s="395">
        <f t="shared" si="1123"/>
        <v>19.573530000000002</v>
      </c>
    </row>
    <row r="2955" spans="1:61" s="358" customFormat="1" ht="19.2" x14ac:dyDescent="0.3">
      <c r="A2955" s="359" t="s">
        <v>1906</v>
      </c>
      <c r="B2955" s="602" t="s">
        <v>5395</v>
      </c>
      <c r="C2955" s="548" t="s">
        <v>5396</v>
      </c>
      <c r="D2955" s="360">
        <v>0.4</v>
      </c>
      <c r="E2955" s="528"/>
      <c r="F2955" s="523"/>
      <c r="G2955" s="393"/>
      <c r="H2955" s="394"/>
      <c r="I2955" s="394"/>
      <c r="J2955" s="394"/>
      <c r="K2955" s="394"/>
      <c r="L2955" s="394"/>
      <c r="M2955" s="394"/>
      <c r="N2955" s="394"/>
      <c r="O2955" s="394"/>
      <c r="P2955" s="394"/>
      <c r="Q2955" s="394"/>
      <c r="R2955" s="381"/>
      <c r="S2955" s="408"/>
      <c r="T2955" s="385"/>
      <c r="U2955" s="475"/>
      <c r="V2955" s="395"/>
      <c r="W2955" s="395"/>
      <c r="X2955" s="528"/>
      <c r="Y2955" s="523"/>
      <c r="Z2955" s="393"/>
      <c r="AA2955" s="394"/>
      <c r="AB2955" s="394"/>
      <c r="AC2955" s="394"/>
      <c r="AD2955" s="394"/>
      <c r="AE2955" s="394"/>
      <c r="AF2955" s="394"/>
      <c r="AG2955" s="394"/>
      <c r="AH2955" s="394"/>
      <c r="AI2955" s="394"/>
      <c r="AJ2955" s="394"/>
      <c r="AK2955" s="381"/>
      <c r="AL2955" s="408"/>
      <c r="AM2955" s="385"/>
      <c r="AN2955" s="475"/>
      <c r="AO2955" s="395"/>
      <c r="AP2955" s="395"/>
      <c r="AQ2955" s="528"/>
      <c r="AR2955" s="523">
        <v>1</v>
      </c>
      <c r="AS2955" s="393"/>
      <c r="AT2955" s="600">
        <v>20.236640000000001</v>
      </c>
      <c r="AU2955" s="394">
        <v>16.985659999999999</v>
      </c>
      <c r="AV2955" s="394">
        <v>15.2418</v>
      </c>
      <c r="AW2955" s="394"/>
      <c r="AX2955" s="394"/>
      <c r="AY2955" s="394">
        <v>0</v>
      </c>
      <c r="AZ2955" s="394">
        <v>0</v>
      </c>
      <c r="BA2955" s="394">
        <v>0.75790000000000002</v>
      </c>
      <c r="BB2955" s="394">
        <v>15.2418</v>
      </c>
      <c r="BC2955" s="394"/>
      <c r="BD2955" s="381" t="s">
        <v>167</v>
      </c>
      <c r="BE2955" s="408" t="s">
        <v>175</v>
      </c>
      <c r="BF2955" s="385"/>
      <c r="BG2955" s="475">
        <v>905</v>
      </c>
      <c r="BH2955" s="395"/>
      <c r="BI2955" s="395">
        <f t="shared" ref="BI2955" si="1131">AT2955/AR2955</f>
        <v>20.236640000000001</v>
      </c>
    </row>
    <row r="2956" spans="1:61" s="358" customFormat="1" ht="19.2" x14ac:dyDescent="0.3">
      <c r="A2956" s="359" t="s">
        <v>1907</v>
      </c>
      <c r="B2956" s="602" t="s">
        <v>5397</v>
      </c>
      <c r="C2956" s="548" t="s">
        <v>5398</v>
      </c>
      <c r="D2956" s="360">
        <v>0.4</v>
      </c>
      <c r="E2956" s="528"/>
      <c r="F2956" s="523"/>
      <c r="G2956" s="393"/>
      <c r="H2956" s="394"/>
      <c r="I2956" s="394"/>
      <c r="J2956" s="394"/>
      <c r="K2956" s="394"/>
      <c r="L2956" s="394"/>
      <c r="M2956" s="394"/>
      <c r="N2956" s="394"/>
      <c r="O2956" s="394"/>
      <c r="P2956" s="394"/>
      <c r="Q2956" s="394"/>
      <c r="R2956" s="381"/>
      <c r="S2956" s="408"/>
      <c r="T2956" s="385"/>
      <c r="U2956" s="475"/>
      <c r="V2956" s="395"/>
      <c r="W2956" s="395"/>
      <c r="X2956" s="528"/>
      <c r="Y2956" s="523"/>
      <c r="Z2956" s="393"/>
      <c r="AA2956" s="394"/>
      <c r="AB2956" s="394"/>
      <c r="AC2956" s="394"/>
      <c r="AD2956" s="394"/>
      <c r="AE2956" s="394"/>
      <c r="AF2956" s="394"/>
      <c r="AG2956" s="394"/>
      <c r="AH2956" s="394"/>
      <c r="AI2956" s="394"/>
      <c r="AJ2956" s="394"/>
      <c r="AK2956" s="381"/>
      <c r="AL2956" s="408"/>
      <c r="AM2956" s="385"/>
      <c r="AN2956" s="475"/>
      <c r="AO2956" s="395"/>
      <c r="AP2956" s="395"/>
      <c r="AQ2956" s="528"/>
      <c r="AR2956" s="523">
        <v>1</v>
      </c>
      <c r="AS2956" s="393"/>
      <c r="AT2956" s="600">
        <v>19.573519999999998</v>
      </c>
      <c r="AU2956" s="394">
        <v>16.32254</v>
      </c>
      <c r="AV2956" s="394">
        <v>15.241820000000001</v>
      </c>
      <c r="AW2956" s="394"/>
      <c r="AX2956" s="394"/>
      <c r="AY2956" s="394">
        <v>0</v>
      </c>
      <c r="AZ2956" s="394">
        <v>0</v>
      </c>
      <c r="BA2956" s="394">
        <v>0.75790000000000002</v>
      </c>
      <c r="BB2956" s="394">
        <v>15.241820000000001</v>
      </c>
      <c r="BC2956" s="394"/>
      <c r="BD2956" s="381" t="s">
        <v>167</v>
      </c>
      <c r="BE2956" s="408" t="s">
        <v>175</v>
      </c>
      <c r="BF2956" s="385"/>
      <c r="BG2956" s="475">
        <v>906</v>
      </c>
      <c r="BH2956" s="395"/>
      <c r="BI2956" s="395">
        <f t="shared" si="1123"/>
        <v>19.573519999999998</v>
      </c>
    </row>
    <row r="2957" spans="1:61" s="358" customFormat="1" ht="19.2" x14ac:dyDescent="0.3">
      <c r="A2957" s="359" t="s">
        <v>1908</v>
      </c>
      <c r="B2957" s="602" t="s">
        <v>4653</v>
      </c>
      <c r="C2957" s="548" t="s">
        <v>4654</v>
      </c>
      <c r="D2957" s="360">
        <v>0.4</v>
      </c>
      <c r="E2957" s="528"/>
      <c r="F2957" s="523"/>
      <c r="G2957" s="393"/>
      <c r="H2957" s="394"/>
      <c r="I2957" s="394"/>
      <c r="J2957" s="394"/>
      <c r="K2957" s="394"/>
      <c r="L2957" s="394"/>
      <c r="M2957" s="394"/>
      <c r="N2957" s="394"/>
      <c r="O2957" s="394"/>
      <c r="P2957" s="394"/>
      <c r="Q2957" s="394"/>
      <c r="R2957" s="381"/>
      <c r="S2957" s="408"/>
      <c r="T2957" s="385"/>
      <c r="U2957" s="475"/>
      <c r="V2957" s="395"/>
      <c r="W2957" s="395"/>
      <c r="X2957" s="528"/>
      <c r="Y2957" s="523"/>
      <c r="Z2957" s="393"/>
      <c r="AA2957" s="394"/>
      <c r="AB2957" s="394"/>
      <c r="AC2957" s="394"/>
      <c r="AD2957" s="394"/>
      <c r="AE2957" s="394"/>
      <c r="AF2957" s="394"/>
      <c r="AG2957" s="394"/>
      <c r="AH2957" s="394"/>
      <c r="AI2957" s="394"/>
      <c r="AJ2957" s="394"/>
      <c r="AK2957" s="381"/>
      <c r="AL2957" s="408"/>
      <c r="AM2957" s="385"/>
      <c r="AN2957" s="475"/>
      <c r="AO2957" s="395"/>
      <c r="AP2957" s="395"/>
      <c r="AQ2957" s="528"/>
      <c r="AR2957" s="523">
        <v>1</v>
      </c>
      <c r="AS2957" s="393"/>
      <c r="AT2957" s="600">
        <v>19.573540000000001</v>
      </c>
      <c r="AU2957" s="394">
        <v>16.322559999999999</v>
      </c>
      <c r="AV2957" s="394">
        <v>15.241820000000001</v>
      </c>
      <c r="AW2957" s="394"/>
      <c r="AX2957" s="394"/>
      <c r="AY2957" s="394">
        <v>0</v>
      </c>
      <c r="AZ2957" s="394">
        <v>0</v>
      </c>
      <c r="BA2957" s="394">
        <v>0.75790000000000002</v>
      </c>
      <c r="BB2957" s="394">
        <v>15.241820000000001</v>
      </c>
      <c r="BC2957" s="394"/>
      <c r="BD2957" s="381" t="s">
        <v>167</v>
      </c>
      <c r="BE2957" s="408" t="s">
        <v>175</v>
      </c>
      <c r="BF2957" s="385"/>
      <c r="BG2957" s="475">
        <v>907</v>
      </c>
      <c r="BH2957" s="395"/>
      <c r="BI2957" s="395">
        <f t="shared" ref="BI2957" si="1132">AT2957/AR2957</f>
        <v>19.573540000000001</v>
      </c>
    </row>
    <row r="2958" spans="1:61" s="358" customFormat="1" ht="19.2" x14ac:dyDescent="0.3">
      <c r="A2958" s="359" t="s">
        <v>1909</v>
      </c>
      <c r="B2958" s="602" t="s">
        <v>4725</v>
      </c>
      <c r="C2958" s="548" t="s">
        <v>4724</v>
      </c>
      <c r="D2958" s="360">
        <v>0.4</v>
      </c>
      <c r="E2958" s="528"/>
      <c r="F2958" s="523"/>
      <c r="G2958" s="393"/>
      <c r="H2958" s="394"/>
      <c r="I2958" s="394"/>
      <c r="J2958" s="394"/>
      <c r="K2958" s="394"/>
      <c r="L2958" s="394"/>
      <c r="M2958" s="394"/>
      <c r="N2958" s="394"/>
      <c r="O2958" s="394"/>
      <c r="P2958" s="394"/>
      <c r="Q2958" s="394"/>
      <c r="R2958" s="381"/>
      <c r="S2958" s="408"/>
      <c r="T2958" s="385"/>
      <c r="U2958" s="475"/>
      <c r="V2958" s="395"/>
      <c r="W2958" s="395"/>
      <c r="X2958" s="528"/>
      <c r="Y2958" s="523"/>
      <c r="Z2958" s="393"/>
      <c r="AA2958" s="394"/>
      <c r="AB2958" s="394"/>
      <c r="AC2958" s="394"/>
      <c r="AD2958" s="394"/>
      <c r="AE2958" s="394"/>
      <c r="AF2958" s="394"/>
      <c r="AG2958" s="394"/>
      <c r="AH2958" s="394"/>
      <c r="AI2958" s="394"/>
      <c r="AJ2958" s="394"/>
      <c r="AK2958" s="381"/>
      <c r="AL2958" s="408"/>
      <c r="AM2958" s="385"/>
      <c r="AN2958" s="475"/>
      <c r="AO2958" s="395"/>
      <c r="AP2958" s="395"/>
      <c r="AQ2958" s="528"/>
      <c r="AR2958" s="523">
        <v>1</v>
      </c>
      <c r="AS2958" s="393"/>
      <c r="AT2958" s="600">
        <v>19.573530000000002</v>
      </c>
      <c r="AU2958" s="394">
        <v>16.32255</v>
      </c>
      <c r="AV2958" s="394">
        <v>15.241820000000001</v>
      </c>
      <c r="AW2958" s="394"/>
      <c r="AX2958" s="394"/>
      <c r="AY2958" s="394">
        <v>0</v>
      </c>
      <c r="AZ2958" s="394">
        <v>0</v>
      </c>
      <c r="BA2958" s="394">
        <v>0.75790000000000002</v>
      </c>
      <c r="BB2958" s="394">
        <v>15.241820000000001</v>
      </c>
      <c r="BC2958" s="394"/>
      <c r="BD2958" s="381" t="s">
        <v>167</v>
      </c>
      <c r="BE2958" s="408" t="s">
        <v>175</v>
      </c>
      <c r="BF2958" s="385"/>
      <c r="BG2958" s="475">
        <v>908</v>
      </c>
      <c r="BH2958" s="395"/>
      <c r="BI2958" s="395">
        <f t="shared" si="1123"/>
        <v>19.573530000000002</v>
      </c>
    </row>
    <row r="2959" spans="1:61" s="358" customFormat="1" ht="19.2" x14ac:dyDescent="0.3">
      <c r="A2959" s="359" t="s">
        <v>1910</v>
      </c>
      <c r="B2959" s="602" t="s">
        <v>5399</v>
      </c>
      <c r="C2959" s="548" t="s">
        <v>5400</v>
      </c>
      <c r="D2959" s="360">
        <v>0.4</v>
      </c>
      <c r="E2959" s="528"/>
      <c r="F2959" s="523"/>
      <c r="G2959" s="393"/>
      <c r="H2959" s="394"/>
      <c r="I2959" s="394"/>
      <c r="J2959" s="394"/>
      <c r="K2959" s="394"/>
      <c r="L2959" s="394"/>
      <c r="M2959" s="394"/>
      <c r="N2959" s="394"/>
      <c r="O2959" s="394"/>
      <c r="P2959" s="394"/>
      <c r="Q2959" s="394"/>
      <c r="R2959" s="381"/>
      <c r="S2959" s="408"/>
      <c r="T2959" s="385"/>
      <c r="U2959" s="475"/>
      <c r="V2959" s="395"/>
      <c r="W2959" s="395"/>
      <c r="X2959" s="528"/>
      <c r="Y2959" s="523"/>
      <c r="Z2959" s="393"/>
      <c r="AA2959" s="394"/>
      <c r="AB2959" s="394"/>
      <c r="AC2959" s="394"/>
      <c r="AD2959" s="394"/>
      <c r="AE2959" s="394"/>
      <c r="AF2959" s="394"/>
      <c r="AG2959" s="394"/>
      <c r="AH2959" s="394"/>
      <c r="AI2959" s="394"/>
      <c r="AJ2959" s="394"/>
      <c r="AK2959" s="381"/>
      <c r="AL2959" s="408"/>
      <c r="AM2959" s="385"/>
      <c r="AN2959" s="475"/>
      <c r="AO2959" s="395"/>
      <c r="AP2959" s="395"/>
      <c r="AQ2959" s="528"/>
      <c r="AR2959" s="523">
        <v>1</v>
      </c>
      <c r="AS2959" s="393"/>
      <c r="AT2959" s="600">
        <v>19.573530000000002</v>
      </c>
      <c r="AU2959" s="394">
        <v>16.32255</v>
      </c>
      <c r="AV2959" s="394">
        <v>15.241820000000001</v>
      </c>
      <c r="AW2959" s="394"/>
      <c r="AX2959" s="394"/>
      <c r="AY2959" s="394">
        <v>0</v>
      </c>
      <c r="AZ2959" s="394">
        <v>0</v>
      </c>
      <c r="BA2959" s="394">
        <v>0.75790000000000002</v>
      </c>
      <c r="BB2959" s="394">
        <v>15.241820000000001</v>
      </c>
      <c r="BC2959" s="394"/>
      <c r="BD2959" s="381" t="s">
        <v>167</v>
      </c>
      <c r="BE2959" s="408" t="s">
        <v>175</v>
      </c>
      <c r="BF2959" s="385"/>
      <c r="BG2959" s="475">
        <v>909</v>
      </c>
      <c r="BH2959" s="395"/>
      <c r="BI2959" s="395">
        <f t="shared" ref="BI2959" si="1133">AT2959/AR2959</f>
        <v>19.573530000000002</v>
      </c>
    </row>
    <row r="2960" spans="1:61" s="358" customFormat="1" ht="19.2" x14ac:dyDescent="0.3">
      <c r="A2960" s="359" t="s">
        <v>1911</v>
      </c>
      <c r="B2960" s="602" t="s">
        <v>5401</v>
      </c>
      <c r="C2960" s="548" t="s">
        <v>5402</v>
      </c>
      <c r="D2960" s="360">
        <v>0.4</v>
      </c>
      <c r="E2960" s="528"/>
      <c r="F2960" s="523"/>
      <c r="G2960" s="393"/>
      <c r="H2960" s="394"/>
      <c r="I2960" s="394"/>
      <c r="J2960" s="394"/>
      <c r="K2960" s="394"/>
      <c r="L2960" s="394"/>
      <c r="M2960" s="394"/>
      <c r="N2960" s="394"/>
      <c r="O2960" s="394"/>
      <c r="P2960" s="394"/>
      <c r="Q2960" s="394"/>
      <c r="R2960" s="381"/>
      <c r="S2960" s="408"/>
      <c r="T2960" s="385"/>
      <c r="U2960" s="475"/>
      <c r="V2960" s="395"/>
      <c r="W2960" s="395"/>
      <c r="X2960" s="528"/>
      <c r="Y2960" s="523"/>
      <c r="Z2960" s="393"/>
      <c r="AA2960" s="394"/>
      <c r="AB2960" s="394"/>
      <c r="AC2960" s="394"/>
      <c r="AD2960" s="394"/>
      <c r="AE2960" s="394"/>
      <c r="AF2960" s="394"/>
      <c r="AG2960" s="394"/>
      <c r="AH2960" s="394"/>
      <c r="AI2960" s="394"/>
      <c r="AJ2960" s="394"/>
      <c r="AK2960" s="381"/>
      <c r="AL2960" s="408"/>
      <c r="AM2960" s="385"/>
      <c r="AN2960" s="475"/>
      <c r="AO2960" s="395"/>
      <c r="AP2960" s="395"/>
      <c r="AQ2960" s="528"/>
      <c r="AR2960" s="523">
        <v>1</v>
      </c>
      <c r="AS2960" s="393"/>
      <c r="AT2960" s="600">
        <v>19.573530000000002</v>
      </c>
      <c r="AU2960" s="394">
        <v>16.32255</v>
      </c>
      <c r="AV2960" s="394">
        <v>15.241820000000001</v>
      </c>
      <c r="AW2960" s="394"/>
      <c r="AX2960" s="394"/>
      <c r="AY2960" s="394">
        <v>0</v>
      </c>
      <c r="AZ2960" s="394">
        <v>0</v>
      </c>
      <c r="BA2960" s="394">
        <v>0.75790000000000002</v>
      </c>
      <c r="BB2960" s="394">
        <v>15.241820000000001</v>
      </c>
      <c r="BC2960" s="394"/>
      <c r="BD2960" s="381" t="s">
        <v>167</v>
      </c>
      <c r="BE2960" s="408" t="s">
        <v>175</v>
      </c>
      <c r="BF2960" s="385"/>
      <c r="BG2960" s="475">
        <v>910</v>
      </c>
      <c r="BH2960" s="395"/>
      <c r="BI2960" s="395">
        <f t="shared" si="1123"/>
        <v>19.573530000000002</v>
      </c>
    </row>
    <row r="2961" spans="1:61" s="358" customFormat="1" ht="19.2" x14ac:dyDescent="0.3">
      <c r="A2961" s="359" t="s">
        <v>1912</v>
      </c>
      <c r="B2961" s="602" t="s">
        <v>5403</v>
      </c>
      <c r="C2961" s="548" t="s">
        <v>5404</v>
      </c>
      <c r="D2961" s="360">
        <v>0.4</v>
      </c>
      <c r="E2961" s="528"/>
      <c r="F2961" s="523"/>
      <c r="G2961" s="393"/>
      <c r="H2961" s="394"/>
      <c r="I2961" s="394"/>
      <c r="J2961" s="394"/>
      <c r="K2961" s="394"/>
      <c r="L2961" s="394"/>
      <c r="M2961" s="394"/>
      <c r="N2961" s="394"/>
      <c r="O2961" s="394"/>
      <c r="P2961" s="394"/>
      <c r="Q2961" s="394"/>
      <c r="R2961" s="381"/>
      <c r="S2961" s="408"/>
      <c r="T2961" s="385"/>
      <c r="U2961" s="475"/>
      <c r="V2961" s="395"/>
      <c r="W2961" s="395"/>
      <c r="X2961" s="528"/>
      <c r="Y2961" s="523"/>
      <c r="Z2961" s="393"/>
      <c r="AA2961" s="394"/>
      <c r="AB2961" s="394"/>
      <c r="AC2961" s="394"/>
      <c r="AD2961" s="394"/>
      <c r="AE2961" s="394"/>
      <c r="AF2961" s="394"/>
      <c r="AG2961" s="394"/>
      <c r="AH2961" s="394"/>
      <c r="AI2961" s="394"/>
      <c r="AJ2961" s="394"/>
      <c r="AK2961" s="381"/>
      <c r="AL2961" s="408"/>
      <c r="AM2961" s="385"/>
      <c r="AN2961" s="475"/>
      <c r="AO2961" s="395"/>
      <c r="AP2961" s="395"/>
      <c r="AQ2961" s="528"/>
      <c r="AR2961" s="523">
        <v>1</v>
      </c>
      <c r="AS2961" s="393"/>
      <c r="AT2961" s="600">
        <v>19.573519999999998</v>
      </c>
      <c r="AU2961" s="394">
        <v>16.32254</v>
      </c>
      <c r="AV2961" s="394">
        <v>15.241820000000001</v>
      </c>
      <c r="AW2961" s="394"/>
      <c r="AX2961" s="394"/>
      <c r="AY2961" s="394">
        <v>0</v>
      </c>
      <c r="AZ2961" s="394">
        <v>0</v>
      </c>
      <c r="BA2961" s="394">
        <v>0.75790000000000002</v>
      </c>
      <c r="BB2961" s="394">
        <v>15.241820000000001</v>
      </c>
      <c r="BC2961" s="394"/>
      <c r="BD2961" s="381" t="s">
        <v>167</v>
      </c>
      <c r="BE2961" s="408" t="s">
        <v>175</v>
      </c>
      <c r="BF2961" s="385"/>
      <c r="BG2961" s="475">
        <v>911</v>
      </c>
      <c r="BH2961" s="395"/>
      <c r="BI2961" s="395">
        <f t="shared" ref="BI2961" si="1134">AT2961/AR2961</f>
        <v>19.573519999999998</v>
      </c>
    </row>
    <row r="2962" spans="1:61" s="358" customFormat="1" ht="19.2" x14ac:dyDescent="0.3">
      <c r="A2962" s="359" t="s">
        <v>1913</v>
      </c>
      <c r="B2962" s="602" t="s">
        <v>5405</v>
      </c>
      <c r="C2962" s="548" t="s">
        <v>5406</v>
      </c>
      <c r="D2962" s="360">
        <v>0.4</v>
      </c>
      <c r="E2962" s="528"/>
      <c r="F2962" s="523"/>
      <c r="G2962" s="393"/>
      <c r="H2962" s="394"/>
      <c r="I2962" s="394"/>
      <c r="J2962" s="394"/>
      <c r="K2962" s="394"/>
      <c r="L2962" s="394"/>
      <c r="M2962" s="394"/>
      <c r="N2962" s="394"/>
      <c r="O2962" s="394"/>
      <c r="P2962" s="394"/>
      <c r="Q2962" s="394"/>
      <c r="R2962" s="381"/>
      <c r="S2962" s="408"/>
      <c r="T2962" s="385"/>
      <c r="U2962" s="475"/>
      <c r="V2962" s="395"/>
      <c r="W2962" s="395"/>
      <c r="X2962" s="528"/>
      <c r="Y2962" s="523"/>
      <c r="Z2962" s="393"/>
      <c r="AA2962" s="394"/>
      <c r="AB2962" s="394"/>
      <c r="AC2962" s="394"/>
      <c r="AD2962" s="394"/>
      <c r="AE2962" s="394"/>
      <c r="AF2962" s="394"/>
      <c r="AG2962" s="394"/>
      <c r="AH2962" s="394"/>
      <c r="AI2962" s="394"/>
      <c r="AJ2962" s="394"/>
      <c r="AK2962" s="381"/>
      <c r="AL2962" s="408"/>
      <c r="AM2962" s="385"/>
      <c r="AN2962" s="475"/>
      <c r="AO2962" s="395"/>
      <c r="AP2962" s="395"/>
      <c r="AQ2962" s="528"/>
      <c r="AR2962" s="523">
        <v>1</v>
      </c>
      <c r="AS2962" s="393"/>
      <c r="AT2962" s="600">
        <v>20.236640000000001</v>
      </c>
      <c r="AU2962" s="394">
        <v>16.985659999999999</v>
      </c>
      <c r="AV2962" s="394">
        <v>15.2418</v>
      </c>
      <c r="AW2962" s="394"/>
      <c r="AX2962" s="394"/>
      <c r="AY2962" s="394">
        <v>0</v>
      </c>
      <c r="AZ2962" s="394">
        <v>0</v>
      </c>
      <c r="BA2962" s="394">
        <v>0.75790000000000002</v>
      </c>
      <c r="BB2962" s="394">
        <v>15.2418</v>
      </c>
      <c r="BC2962" s="394"/>
      <c r="BD2962" s="381" t="s">
        <v>167</v>
      </c>
      <c r="BE2962" s="408" t="s">
        <v>175</v>
      </c>
      <c r="BF2962" s="385"/>
      <c r="BG2962" s="475">
        <v>912</v>
      </c>
      <c r="BH2962" s="395"/>
      <c r="BI2962" s="395">
        <f t="shared" si="1123"/>
        <v>20.236640000000001</v>
      </c>
    </row>
    <row r="2963" spans="1:61" s="358" customFormat="1" ht="19.2" x14ac:dyDescent="0.3">
      <c r="A2963" s="359" t="s">
        <v>1914</v>
      </c>
      <c r="B2963" s="602" t="s">
        <v>5407</v>
      </c>
      <c r="C2963" s="548" t="s">
        <v>5408</v>
      </c>
      <c r="D2963" s="360">
        <v>0.4</v>
      </c>
      <c r="E2963" s="528"/>
      <c r="F2963" s="523"/>
      <c r="G2963" s="393"/>
      <c r="H2963" s="394"/>
      <c r="I2963" s="394"/>
      <c r="J2963" s="394"/>
      <c r="K2963" s="394"/>
      <c r="L2963" s="394"/>
      <c r="M2963" s="394"/>
      <c r="N2963" s="394"/>
      <c r="O2963" s="394"/>
      <c r="P2963" s="394"/>
      <c r="Q2963" s="394"/>
      <c r="R2963" s="381"/>
      <c r="S2963" s="408"/>
      <c r="T2963" s="385"/>
      <c r="U2963" s="475"/>
      <c r="V2963" s="395"/>
      <c r="W2963" s="395"/>
      <c r="X2963" s="528"/>
      <c r="Y2963" s="523"/>
      <c r="Z2963" s="393"/>
      <c r="AA2963" s="394"/>
      <c r="AB2963" s="394"/>
      <c r="AC2963" s="394"/>
      <c r="AD2963" s="394"/>
      <c r="AE2963" s="394"/>
      <c r="AF2963" s="394"/>
      <c r="AG2963" s="394"/>
      <c r="AH2963" s="394"/>
      <c r="AI2963" s="394"/>
      <c r="AJ2963" s="394"/>
      <c r="AK2963" s="381"/>
      <c r="AL2963" s="408"/>
      <c r="AM2963" s="385"/>
      <c r="AN2963" s="475"/>
      <c r="AO2963" s="395"/>
      <c r="AP2963" s="395"/>
      <c r="AQ2963" s="528"/>
      <c r="AR2963" s="523">
        <v>1</v>
      </c>
      <c r="AS2963" s="393"/>
      <c r="AT2963" s="600">
        <v>19.573540000000001</v>
      </c>
      <c r="AU2963" s="394">
        <v>16.322559999999999</v>
      </c>
      <c r="AV2963" s="394">
        <v>15.241820000000001</v>
      </c>
      <c r="AW2963" s="394"/>
      <c r="AX2963" s="394"/>
      <c r="AY2963" s="394">
        <v>0</v>
      </c>
      <c r="AZ2963" s="394">
        <v>0</v>
      </c>
      <c r="BA2963" s="394">
        <v>0.75790000000000002</v>
      </c>
      <c r="BB2963" s="394">
        <v>15.241820000000001</v>
      </c>
      <c r="BC2963" s="394"/>
      <c r="BD2963" s="381" t="s">
        <v>167</v>
      </c>
      <c r="BE2963" s="408" t="s">
        <v>175</v>
      </c>
      <c r="BF2963" s="385"/>
      <c r="BG2963" s="475">
        <v>913</v>
      </c>
      <c r="BH2963" s="395"/>
      <c r="BI2963" s="395">
        <f t="shared" ref="BI2963" si="1135">AT2963/AR2963</f>
        <v>19.573540000000001</v>
      </c>
    </row>
    <row r="2964" spans="1:61" s="358" customFormat="1" ht="19.2" x14ac:dyDescent="0.3">
      <c r="A2964" s="359" t="s">
        <v>1915</v>
      </c>
      <c r="B2964" s="602" t="s">
        <v>5409</v>
      </c>
      <c r="C2964" s="548" t="s">
        <v>5410</v>
      </c>
      <c r="D2964" s="360">
        <v>0.4</v>
      </c>
      <c r="E2964" s="528"/>
      <c r="F2964" s="523"/>
      <c r="G2964" s="393"/>
      <c r="H2964" s="394"/>
      <c r="I2964" s="394"/>
      <c r="J2964" s="394"/>
      <c r="K2964" s="394"/>
      <c r="L2964" s="394"/>
      <c r="M2964" s="394"/>
      <c r="N2964" s="394"/>
      <c r="O2964" s="394"/>
      <c r="P2964" s="394"/>
      <c r="Q2964" s="394"/>
      <c r="R2964" s="381"/>
      <c r="S2964" s="408"/>
      <c r="T2964" s="385"/>
      <c r="U2964" s="475"/>
      <c r="V2964" s="395"/>
      <c r="W2964" s="395"/>
      <c r="X2964" s="528"/>
      <c r="Y2964" s="523"/>
      <c r="Z2964" s="393"/>
      <c r="AA2964" s="394"/>
      <c r="AB2964" s="394"/>
      <c r="AC2964" s="394"/>
      <c r="AD2964" s="394"/>
      <c r="AE2964" s="394"/>
      <c r="AF2964" s="394"/>
      <c r="AG2964" s="394"/>
      <c r="AH2964" s="394"/>
      <c r="AI2964" s="394"/>
      <c r="AJ2964" s="394"/>
      <c r="AK2964" s="381"/>
      <c r="AL2964" s="408"/>
      <c r="AM2964" s="385"/>
      <c r="AN2964" s="475"/>
      <c r="AO2964" s="395"/>
      <c r="AP2964" s="395"/>
      <c r="AQ2964" s="528"/>
      <c r="AR2964" s="523">
        <v>1</v>
      </c>
      <c r="AS2964" s="393"/>
      <c r="AT2964" s="600">
        <v>19.573540000000001</v>
      </c>
      <c r="AU2964" s="394">
        <v>16.322559999999999</v>
      </c>
      <c r="AV2964" s="394">
        <v>15.241820000000001</v>
      </c>
      <c r="AW2964" s="394"/>
      <c r="AX2964" s="394"/>
      <c r="AY2964" s="394">
        <v>0</v>
      </c>
      <c r="AZ2964" s="394">
        <v>0</v>
      </c>
      <c r="BA2964" s="394">
        <v>0.75790000000000002</v>
      </c>
      <c r="BB2964" s="394">
        <v>15.241820000000001</v>
      </c>
      <c r="BC2964" s="394"/>
      <c r="BD2964" s="381" t="s">
        <v>167</v>
      </c>
      <c r="BE2964" s="408" t="s">
        <v>175</v>
      </c>
      <c r="BF2964" s="385"/>
      <c r="BG2964" s="475">
        <v>914</v>
      </c>
      <c r="BH2964" s="395"/>
      <c r="BI2964" s="395">
        <f t="shared" si="1123"/>
        <v>19.573540000000001</v>
      </c>
    </row>
    <row r="2965" spans="1:61" s="358" customFormat="1" ht="19.2" x14ac:dyDescent="0.3">
      <c r="A2965" s="359" t="s">
        <v>1916</v>
      </c>
      <c r="B2965" s="602" t="s">
        <v>5409</v>
      </c>
      <c r="C2965" s="548" t="s">
        <v>5411</v>
      </c>
      <c r="D2965" s="360">
        <v>0.4</v>
      </c>
      <c r="E2965" s="528"/>
      <c r="F2965" s="523"/>
      <c r="G2965" s="393"/>
      <c r="H2965" s="394"/>
      <c r="I2965" s="394"/>
      <c r="J2965" s="394"/>
      <c r="K2965" s="394"/>
      <c r="L2965" s="394"/>
      <c r="M2965" s="394"/>
      <c r="N2965" s="394"/>
      <c r="O2965" s="394"/>
      <c r="P2965" s="394"/>
      <c r="Q2965" s="394"/>
      <c r="R2965" s="381"/>
      <c r="S2965" s="408"/>
      <c r="T2965" s="385"/>
      <c r="U2965" s="475"/>
      <c r="V2965" s="395"/>
      <c r="W2965" s="395"/>
      <c r="X2965" s="528"/>
      <c r="Y2965" s="523"/>
      <c r="Z2965" s="393"/>
      <c r="AA2965" s="394"/>
      <c r="AB2965" s="394"/>
      <c r="AC2965" s="394"/>
      <c r="AD2965" s="394"/>
      <c r="AE2965" s="394"/>
      <c r="AF2965" s="394"/>
      <c r="AG2965" s="394"/>
      <c r="AH2965" s="394"/>
      <c r="AI2965" s="394"/>
      <c r="AJ2965" s="394"/>
      <c r="AK2965" s="381"/>
      <c r="AL2965" s="408"/>
      <c r="AM2965" s="385"/>
      <c r="AN2965" s="475"/>
      <c r="AO2965" s="395"/>
      <c r="AP2965" s="395"/>
      <c r="AQ2965" s="528"/>
      <c r="AR2965" s="523">
        <v>1</v>
      </c>
      <c r="AS2965" s="393"/>
      <c r="AT2965" s="600">
        <v>19.573530000000002</v>
      </c>
      <c r="AU2965" s="394">
        <v>16.32255</v>
      </c>
      <c r="AV2965" s="394">
        <v>15.241820000000001</v>
      </c>
      <c r="AW2965" s="394"/>
      <c r="AX2965" s="394"/>
      <c r="AY2965" s="394">
        <v>0</v>
      </c>
      <c r="AZ2965" s="394">
        <v>0</v>
      </c>
      <c r="BA2965" s="394">
        <v>0.75790000000000002</v>
      </c>
      <c r="BB2965" s="394">
        <v>15.241820000000001</v>
      </c>
      <c r="BC2965" s="394"/>
      <c r="BD2965" s="381" t="s">
        <v>167</v>
      </c>
      <c r="BE2965" s="408" t="s">
        <v>175</v>
      </c>
      <c r="BF2965" s="385"/>
      <c r="BG2965" s="475">
        <v>915</v>
      </c>
      <c r="BH2965" s="395"/>
      <c r="BI2965" s="395">
        <f t="shared" ref="BI2965" si="1136">AT2965/AR2965</f>
        <v>19.573530000000002</v>
      </c>
    </row>
    <row r="2966" spans="1:61" s="358" customFormat="1" ht="19.2" x14ac:dyDescent="0.3">
      <c r="A2966" s="359" t="s">
        <v>1917</v>
      </c>
      <c r="B2966" s="602" t="s">
        <v>1738</v>
      </c>
      <c r="C2966" s="548" t="s">
        <v>5412</v>
      </c>
      <c r="D2966" s="360">
        <v>0.4</v>
      </c>
      <c r="E2966" s="528"/>
      <c r="F2966" s="523"/>
      <c r="G2966" s="393"/>
      <c r="H2966" s="394"/>
      <c r="I2966" s="394"/>
      <c r="J2966" s="394"/>
      <c r="K2966" s="394"/>
      <c r="L2966" s="394"/>
      <c r="M2966" s="394"/>
      <c r="N2966" s="394"/>
      <c r="O2966" s="394"/>
      <c r="P2966" s="394"/>
      <c r="Q2966" s="394"/>
      <c r="R2966" s="381"/>
      <c r="S2966" s="408"/>
      <c r="T2966" s="385"/>
      <c r="U2966" s="475"/>
      <c r="V2966" s="395"/>
      <c r="W2966" s="395"/>
      <c r="X2966" s="528"/>
      <c r="Y2966" s="523"/>
      <c r="Z2966" s="393"/>
      <c r="AA2966" s="394"/>
      <c r="AB2966" s="394"/>
      <c r="AC2966" s="394"/>
      <c r="AD2966" s="394"/>
      <c r="AE2966" s="394"/>
      <c r="AF2966" s="394"/>
      <c r="AG2966" s="394"/>
      <c r="AH2966" s="394"/>
      <c r="AI2966" s="394"/>
      <c r="AJ2966" s="394"/>
      <c r="AK2966" s="381"/>
      <c r="AL2966" s="408"/>
      <c r="AM2966" s="385"/>
      <c r="AN2966" s="475"/>
      <c r="AO2966" s="395"/>
      <c r="AP2966" s="395"/>
      <c r="AQ2966" s="528"/>
      <c r="AR2966" s="523">
        <v>1</v>
      </c>
      <c r="AS2966" s="393"/>
      <c r="AT2966" s="600">
        <v>19.573530000000002</v>
      </c>
      <c r="AU2966" s="394">
        <v>16.32255</v>
      </c>
      <c r="AV2966" s="394">
        <v>15.241820000000001</v>
      </c>
      <c r="AW2966" s="394"/>
      <c r="AX2966" s="394"/>
      <c r="AY2966" s="394">
        <v>0</v>
      </c>
      <c r="AZ2966" s="394">
        <v>0</v>
      </c>
      <c r="BA2966" s="394">
        <v>0.75790000000000002</v>
      </c>
      <c r="BB2966" s="394">
        <v>15.241820000000001</v>
      </c>
      <c r="BC2966" s="394"/>
      <c r="BD2966" s="381" t="s">
        <v>167</v>
      </c>
      <c r="BE2966" s="408" t="s">
        <v>175</v>
      </c>
      <c r="BF2966" s="385"/>
      <c r="BG2966" s="475">
        <v>916</v>
      </c>
      <c r="BH2966" s="395"/>
      <c r="BI2966" s="395">
        <f t="shared" si="1123"/>
        <v>19.573530000000002</v>
      </c>
    </row>
    <row r="2967" spans="1:61" s="358" customFormat="1" ht="19.2" x14ac:dyDescent="0.3">
      <c r="A2967" s="359" t="s">
        <v>1918</v>
      </c>
      <c r="B2967" s="602" t="s">
        <v>5413</v>
      </c>
      <c r="C2967" s="548" t="s">
        <v>5414</v>
      </c>
      <c r="D2967" s="360">
        <v>0.4</v>
      </c>
      <c r="E2967" s="528"/>
      <c r="F2967" s="523"/>
      <c r="G2967" s="393"/>
      <c r="H2967" s="394"/>
      <c r="I2967" s="394"/>
      <c r="J2967" s="394"/>
      <c r="K2967" s="394"/>
      <c r="L2967" s="394"/>
      <c r="M2967" s="394"/>
      <c r="N2967" s="394"/>
      <c r="O2967" s="394"/>
      <c r="P2967" s="394"/>
      <c r="Q2967" s="394"/>
      <c r="R2967" s="381"/>
      <c r="S2967" s="408"/>
      <c r="T2967" s="385"/>
      <c r="U2967" s="475"/>
      <c r="V2967" s="395"/>
      <c r="W2967" s="395"/>
      <c r="X2967" s="528"/>
      <c r="Y2967" s="523"/>
      <c r="Z2967" s="393"/>
      <c r="AA2967" s="394"/>
      <c r="AB2967" s="394"/>
      <c r="AC2967" s="394"/>
      <c r="AD2967" s="394"/>
      <c r="AE2967" s="394"/>
      <c r="AF2967" s="394"/>
      <c r="AG2967" s="394"/>
      <c r="AH2967" s="394"/>
      <c r="AI2967" s="394"/>
      <c r="AJ2967" s="394"/>
      <c r="AK2967" s="381"/>
      <c r="AL2967" s="408"/>
      <c r="AM2967" s="385"/>
      <c r="AN2967" s="475"/>
      <c r="AO2967" s="395"/>
      <c r="AP2967" s="395"/>
      <c r="AQ2967" s="528"/>
      <c r="AR2967" s="523">
        <v>1</v>
      </c>
      <c r="AS2967" s="393"/>
      <c r="AT2967" s="600">
        <v>19.573540000000001</v>
      </c>
      <c r="AU2967" s="394">
        <v>16.322559999999999</v>
      </c>
      <c r="AV2967" s="394">
        <v>15.241820000000001</v>
      </c>
      <c r="AW2967" s="394"/>
      <c r="AX2967" s="394"/>
      <c r="AY2967" s="394">
        <v>0</v>
      </c>
      <c r="AZ2967" s="394">
        <v>0</v>
      </c>
      <c r="BA2967" s="394">
        <v>0.75790000000000002</v>
      </c>
      <c r="BB2967" s="394">
        <v>15.241820000000001</v>
      </c>
      <c r="BC2967" s="394"/>
      <c r="BD2967" s="381" t="s">
        <v>167</v>
      </c>
      <c r="BE2967" s="408" t="s">
        <v>175</v>
      </c>
      <c r="BF2967" s="385"/>
      <c r="BG2967" s="475">
        <v>917</v>
      </c>
      <c r="BH2967" s="395"/>
      <c r="BI2967" s="395">
        <f t="shared" ref="BI2967" si="1137">AT2967/AR2967</f>
        <v>19.573540000000001</v>
      </c>
    </row>
    <row r="2968" spans="1:61" s="358" customFormat="1" ht="19.2" x14ac:dyDescent="0.3">
      <c r="A2968" s="359" t="s">
        <v>1919</v>
      </c>
      <c r="B2968" s="602" t="s">
        <v>5415</v>
      </c>
      <c r="C2968" s="548" t="s">
        <v>6340</v>
      </c>
      <c r="D2968" s="360">
        <v>0.4</v>
      </c>
      <c r="E2968" s="528"/>
      <c r="F2968" s="523"/>
      <c r="G2968" s="393"/>
      <c r="H2968" s="394"/>
      <c r="I2968" s="394"/>
      <c r="J2968" s="394"/>
      <c r="K2968" s="394"/>
      <c r="L2968" s="394"/>
      <c r="M2968" s="394"/>
      <c r="N2968" s="394"/>
      <c r="O2968" s="394"/>
      <c r="P2968" s="394"/>
      <c r="Q2968" s="394"/>
      <c r="R2968" s="381"/>
      <c r="S2968" s="408"/>
      <c r="T2968" s="385"/>
      <c r="U2968" s="475"/>
      <c r="V2968" s="395"/>
      <c r="W2968" s="395"/>
      <c r="X2968" s="528"/>
      <c r="Y2968" s="523"/>
      <c r="Z2968" s="393"/>
      <c r="AA2968" s="394"/>
      <c r="AB2968" s="394"/>
      <c r="AC2968" s="394"/>
      <c r="AD2968" s="394"/>
      <c r="AE2968" s="394"/>
      <c r="AF2968" s="394"/>
      <c r="AG2968" s="394"/>
      <c r="AH2968" s="394"/>
      <c r="AI2968" s="394"/>
      <c r="AJ2968" s="394"/>
      <c r="AK2968" s="381"/>
      <c r="AL2968" s="408"/>
      <c r="AM2968" s="385"/>
      <c r="AN2968" s="475"/>
      <c r="AO2968" s="395"/>
      <c r="AP2968" s="395"/>
      <c r="AQ2968" s="528"/>
      <c r="AR2968" s="523">
        <v>1</v>
      </c>
      <c r="AS2968" s="393"/>
      <c r="AT2968" s="600">
        <v>20.236630000000002</v>
      </c>
      <c r="AU2968" s="394">
        <v>16.98565</v>
      </c>
      <c r="AV2968" s="394">
        <v>15.2418</v>
      </c>
      <c r="AW2968" s="394"/>
      <c r="AX2968" s="394"/>
      <c r="AY2968" s="394">
        <v>0</v>
      </c>
      <c r="AZ2968" s="394">
        <v>0</v>
      </c>
      <c r="BA2968" s="394">
        <v>0.75790000000000002</v>
      </c>
      <c r="BB2968" s="394">
        <v>15.2418</v>
      </c>
      <c r="BC2968" s="394"/>
      <c r="BD2968" s="381" t="s">
        <v>167</v>
      </c>
      <c r="BE2968" s="408" t="s">
        <v>175</v>
      </c>
      <c r="BF2968" s="385"/>
      <c r="BG2968" s="475">
        <v>918</v>
      </c>
      <c r="BH2968" s="395"/>
      <c r="BI2968" s="395">
        <f t="shared" si="1123"/>
        <v>20.236630000000002</v>
      </c>
    </row>
    <row r="2969" spans="1:61" s="358" customFormat="1" ht="19.2" x14ac:dyDescent="0.3">
      <c r="A2969" s="359" t="s">
        <v>1920</v>
      </c>
      <c r="B2969" s="602" t="s">
        <v>5416</v>
      </c>
      <c r="C2969" s="548" t="s">
        <v>5417</v>
      </c>
      <c r="D2969" s="360">
        <v>0.4</v>
      </c>
      <c r="E2969" s="528"/>
      <c r="F2969" s="523"/>
      <c r="G2969" s="393"/>
      <c r="H2969" s="394"/>
      <c r="I2969" s="394"/>
      <c r="J2969" s="394"/>
      <c r="K2969" s="394"/>
      <c r="L2969" s="394"/>
      <c r="M2969" s="394"/>
      <c r="N2969" s="394"/>
      <c r="O2969" s="394"/>
      <c r="P2969" s="394"/>
      <c r="Q2969" s="394"/>
      <c r="R2969" s="381"/>
      <c r="S2969" s="408"/>
      <c r="T2969" s="385"/>
      <c r="U2969" s="475"/>
      <c r="V2969" s="395"/>
      <c r="W2969" s="395"/>
      <c r="X2969" s="528"/>
      <c r="Y2969" s="523"/>
      <c r="Z2969" s="393"/>
      <c r="AA2969" s="394"/>
      <c r="AB2969" s="394"/>
      <c r="AC2969" s="394"/>
      <c r="AD2969" s="394"/>
      <c r="AE2969" s="394"/>
      <c r="AF2969" s="394"/>
      <c r="AG2969" s="394"/>
      <c r="AH2969" s="394"/>
      <c r="AI2969" s="394"/>
      <c r="AJ2969" s="394"/>
      <c r="AK2969" s="381"/>
      <c r="AL2969" s="408"/>
      <c r="AM2969" s="385"/>
      <c r="AN2969" s="475"/>
      <c r="AO2969" s="395"/>
      <c r="AP2969" s="395"/>
      <c r="AQ2969" s="528"/>
      <c r="AR2969" s="523">
        <v>1</v>
      </c>
      <c r="AS2969" s="393"/>
      <c r="AT2969" s="600">
        <v>19.573519999999998</v>
      </c>
      <c r="AU2969" s="394">
        <v>16.32254</v>
      </c>
      <c r="AV2969" s="394">
        <v>15.241820000000001</v>
      </c>
      <c r="AW2969" s="394"/>
      <c r="AX2969" s="394"/>
      <c r="AY2969" s="394">
        <v>0</v>
      </c>
      <c r="AZ2969" s="394">
        <v>0</v>
      </c>
      <c r="BA2969" s="394">
        <v>0.75790000000000002</v>
      </c>
      <c r="BB2969" s="394">
        <v>15.241820000000001</v>
      </c>
      <c r="BC2969" s="394"/>
      <c r="BD2969" s="381" t="s">
        <v>167</v>
      </c>
      <c r="BE2969" s="408" t="s">
        <v>175</v>
      </c>
      <c r="BF2969" s="385"/>
      <c r="BG2969" s="475">
        <v>919</v>
      </c>
      <c r="BH2969" s="395"/>
      <c r="BI2969" s="395">
        <f t="shared" ref="BI2969" si="1138">AT2969/AR2969</f>
        <v>19.573519999999998</v>
      </c>
    </row>
    <row r="2970" spans="1:61" s="358" customFormat="1" ht="19.2" x14ac:dyDescent="0.3">
      <c r="A2970" s="359" t="s">
        <v>1921</v>
      </c>
      <c r="B2970" s="602" t="s">
        <v>4762</v>
      </c>
      <c r="C2970" s="548" t="s">
        <v>4761</v>
      </c>
      <c r="D2970" s="360">
        <v>0.4</v>
      </c>
      <c r="E2970" s="528"/>
      <c r="F2970" s="523"/>
      <c r="G2970" s="393"/>
      <c r="H2970" s="394"/>
      <c r="I2970" s="394"/>
      <c r="J2970" s="394"/>
      <c r="K2970" s="394"/>
      <c r="L2970" s="394"/>
      <c r="M2970" s="394"/>
      <c r="N2970" s="394"/>
      <c r="O2970" s="394"/>
      <c r="P2970" s="394"/>
      <c r="Q2970" s="394"/>
      <c r="R2970" s="381"/>
      <c r="S2970" s="408"/>
      <c r="T2970" s="385"/>
      <c r="U2970" s="475"/>
      <c r="V2970" s="395"/>
      <c r="W2970" s="395"/>
      <c r="X2970" s="528"/>
      <c r="Y2970" s="523"/>
      <c r="Z2970" s="393"/>
      <c r="AA2970" s="394"/>
      <c r="AB2970" s="394"/>
      <c r="AC2970" s="394"/>
      <c r="AD2970" s="394"/>
      <c r="AE2970" s="394"/>
      <c r="AF2970" s="394"/>
      <c r="AG2970" s="394"/>
      <c r="AH2970" s="394"/>
      <c r="AI2970" s="394"/>
      <c r="AJ2970" s="394"/>
      <c r="AK2970" s="381"/>
      <c r="AL2970" s="408"/>
      <c r="AM2970" s="385"/>
      <c r="AN2970" s="475"/>
      <c r="AO2970" s="395"/>
      <c r="AP2970" s="395"/>
      <c r="AQ2970" s="528"/>
      <c r="AR2970" s="523">
        <v>1</v>
      </c>
      <c r="AS2970" s="393"/>
      <c r="AT2970" s="600">
        <v>19.573540000000001</v>
      </c>
      <c r="AU2970" s="394">
        <v>16.322559999999999</v>
      </c>
      <c r="AV2970" s="394">
        <v>15.241820000000001</v>
      </c>
      <c r="AW2970" s="394"/>
      <c r="AX2970" s="394"/>
      <c r="AY2970" s="394">
        <v>0</v>
      </c>
      <c r="AZ2970" s="394">
        <v>0</v>
      </c>
      <c r="BA2970" s="394">
        <v>0.75790000000000002</v>
      </c>
      <c r="BB2970" s="394">
        <v>15.241820000000001</v>
      </c>
      <c r="BC2970" s="394"/>
      <c r="BD2970" s="381" t="s">
        <v>167</v>
      </c>
      <c r="BE2970" s="408" t="s">
        <v>175</v>
      </c>
      <c r="BF2970" s="385"/>
      <c r="BG2970" s="475">
        <v>920</v>
      </c>
      <c r="BH2970" s="395"/>
      <c r="BI2970" s="395">
        <f t="shared" si="1123"/>
        <v>19.573540000000001</v>
      </c>
    </row>
    <row r="2971" spans="1:61" s="358" customFormat="1" ht="19.2" x14ac:dyDescent="0.3">
      <c r="A2971" s="359" t="s">
        <v>1922</v>
      </c>
      <c r="B2971" s="602" t="s">
        <v>5418</v>
      </c>
      <c r="C2971" s="548" t="s">
        <v>5419</v>
      </c>
      <c r="D2971" s="360">
        <v>0.4</v>
      </c>
      <c r="E2971" s="528"/>
      <c r="F2971" s="523"/>
      <c r="G2971" s="393"/>
      <c r="H2971" s="394"/>
      <c r="I2971" s="394"/>
      <c r="J2971" s="394"/>
      <c r="K2971" s="394"/>
      <c r="L2971" s="394"/>
      <c r="M2971" s="394"/>
      <c r="N2971" s="394"/>
      <c r="O2971" s="394"/>
      <c r="P2971" s="394"/>
      <c r="Q2971" s="394"/>
      <c r="R2971" s="381"/>
      <c r="S2971" s="408"/>
      <c r="T2971" s="385"/>
      <c r="U2971" s="475"/>
      <c r="V2971" s="395"/>
      <c r="W2971" s="395"/>
      <c r="X2971" s="528"/>
      <c r="Y2971" s="523"/>
      <c r="Z2971" s="393"/>
      <c r="AA2971" s="394"/>
      <c r="AB2971" s="394"/>
      <c r="AC2971" s="394"/>
      <c r="AD2971" s="394"/>
      <c r="AE2971" s="394"/>
      <c r="AF2971" s="394"/>
      <c r="AG2971" s="394"/>
      <c r="AH2971" s="394"/>
      <c r="AI2971" s="394"/>
      <c r="AJ2971" s="394"/>
      <c r="AK2971" s="381"/>
      <c r="AL2971" s="408"/>
      <c r="AM2971" s="385"/>
      <c r="AN2971" s="475"/>
      <c r="AO2971" s="395"/>
      <c r="AP2971" s="395"/>
      <c r="AQ2971" s="528"/>
      <c r="AR2971" s="523">
        <v>1</v>
      </c>
      <c r="AS2971" s="393"/>
      <c r="AT2971" s="600">
        <v>20.236640000000001</v>
      </c>
      <c r="AU2971" s="394">
        <v>16.985659999999999</v>
      </c>
      <c r="AV2971" s="394">
        <v>15.2418</v>
      </c>
      <c r="AW2971" s="394"/>
      <c r="AX2971" s="394"/>
      <c r="AY2971" s="394">
        <v>0</v>
      </c>
      <c r="AZ2971" s="394">
        <v>0</v>
      </c>
      <c r="BA2971" s="394">
        <v>0.75790000000000002</v>
      </c>
      <c r="BB2971" s="394">
        <v>15.2418</v>
      </c>
      <c r="BC2971" s="394"/>
      <c r="BD2971" s="381" t="s">
        <v>167</v>
      </c>
      <c r="BE2971" s="408" t="s">
        <v>175</v>
      </c>
      <c r="BF2971" s="385"/>
      <c r="BG2971" s="475">
        <v>921</v>
      </c>
      <c r="BH2971" s="395"/>
      <c r="BI2971" s="395">
        <f t="shared" si="1059"/>
        <v>20.236640000000001</v>
      </c>
    </row>
    <row r="2972" spans="1:61" s="358" customFormat="1" ht="19.2" x14ac:dyDescent="0.3">
      <c r="A2972" s="359" t="s">
        <v>1923</v>
      </c>
      <c r="B2972" s="602" t="s">
        <v>5420</v>
      </c>
      <c r="C2972" s="548" t="s">
        <v>5421</v>
      </c>
      <c r="D2972" s="360">
        <v>0.4</v>
      </c>
      <c r="E2972" s="528"/>
      <c r="F2972" s="523"/>
      <c r="G2972" s="393"/>
      <c r="H2972" s="394"/>
      <c r="I2972" s="394"/>
      <c r="J2972" s="394"/>
      <c r="K2972" s="394"/>
      <c r="L2972" s="394"/>
      <c r="M2972" s="394"/>
      <c r="N2972" s="394"/>
      <c r="O2972" s="394"/>
      <c r="P2972" s="394"/>
      <c r="Q2972" s="394"/>
      <c r="R2972" s="381"/>
      <c r="S2972" s="408"/>
      <c r="T2972" s="385"/>
      <c r="U2972" s="475"/>
      <c r="V2972" s="395"/>
      <c r="W2972" s="395"/>
      <c r="X2972" s="528"/>
      <c r="Y2972" s="523"/>
      <c r="Z2972" s="393"/>
      <c r="AA2972" s="394"/>
      <c r="AB2972" s="394"/>
      <c r="AC2972" s="394"/>
      <c r="AD2972" s="394"/>
      <c r="AE2972" s="394"/>
      <c r="AF2972" s="394"/>
      <c r="AG2972" s="394"/>
      <c r="AH2972" s="394"/>
      <c r="AI2972" s="394"/>
      <c r="AJ2972" s="394"/>
      <c r="AK2972" s="381"/>
      <c r="AL2972" s="408"/>
      <c r="AM2972" s="385"/>
      <c r="AN2972" s="475"/>
      <c r="AO2972" s="395"/>
      <c r="AP2972" s="395"/>
      <c r="AQ2972" s="528"/>
      <c r="AR2972" s="523">
        <v>1</v>
      </c>
      <c r="AS2972" s="393"/>
      <c r="AT2972" s="600">
        <v>20.236630000000002</v>
      </c>
      <c r="AU2972" s="394">
        <v>16.98565</v>
      </c>
      <c r="AV2972" s="394">
        <v>15.2418</v>
      </c>
      <c r="AW2972" s="394"/>
      <c r="AX2972" s="394"/>
      <c r="AY2972" s="394">
        <v>0</v>
      </c>
      <c r="AZ2972" s="394">
        <v>0</v>
      </c>
      <c r="BA2972" s="394">
        <v>0.75790000000000002</v>
      </c>
      <c r="BB2972" s="394">
        <v>15.2418</v>
      </c>
      <c r="BC2972" s="394"/>
      <c r="BD2972" s="381" t="s">
        <v>167</v>
      </c>
      <c r="BE2972" s="408" t="s">
        <v>175</v>
      </c>
      <c r="BF2972" s="385"/>
      <c r="BG2972" s="475">
        <v>922</v>
      </c>
      <c r="BH2972" s="395"/>
      <c r="BI2972" s="395">
        <f t="shared" ref="BI2972" si="1139">AT2972/AR2972</f>
        <v>20.236630000000002</v>
      </c>
    </row>
    <row r="2973" spans="1:61" s="358" customFormat="1" ht="19.2" x14ac:dyDescent="0.3">
      <c r="A2973" s="359" t="s">
        <v>1924</v>
      </c>
      <c r="B2973" s="602" t="s">
        <v>3941</v>
      </c>
      <c r="C2973" s="548" t="s">
        <v>5422</v>
      </c>
      <c r="D2973" s="360">
        <v>0.4</v>
      </c>
      <c r="E2973" s="528"/>
      <c r="F2973" s="523"/>
      <c r="G2973" s="393"/>
      <c r="H2973" s="394"/>
      <c r="I2973" s="394"/>
      <c r="J2973" s="394"/>
      <c r="K2973" s="394"/>
      <c r="L2973" s="394"/>
      <c r="M2973" s="394"/>
      <c r="N2973" s="394"/>
      <c r="O2973" s="394"/>
      <c r="P2973" s="394"/>
      <c r="Q2973" s="394"/>
      <c r="R2973" s="381"/>
      <c r="S2973" s="408"/>
      <c r="T2973" s="385"/>
      <c r="U2973" s="475"/>
      <c r="V2973" s="395"/>
      <c r="W2973" s="395"/>
      <c r="X2973" s="528"/>
      <c r="Y2973" s="523"/>
      <c r="Z2973" s="393"/>
      <c r="AA2973" s="394"/>
      <c r="AB2973" s="394"/>
      <c r="AC2973" s="394"/>
      <c r="AD2973" s="394"/>
      <c r="AE2973" s="394"/>
      <c r="AF2973" s="394"/>
      <c r="AG2973" s="394"/>
      <c r="AH2973" s="394"/>
      <c r="AI2973" s="394"/>
      <c r="AJ2973" s="394"/>
      <c r="AK2973" s="381"/>
      <c r="AL2973" s="408"/>
      <c r="AM2973" s="385"/>
      <c r="AN2973" s="475"/>
      <c r="AO2973" s="395"/>
      <c r="AP2973" s="395"/>
      <c r="AQ2973" s="528"/>
      <c r="AR2973" s="523">
        <v>1</v>
      </c>
      <c r="AS2973" s="393"/>
      <c r="AT2973" s="600">
        <v>19.573540000000001</v>
      </c>
      <c r="AU2973" s="394">
        <v>16.322559999999999</v>
      </c>
      <c r="AV2973" s="394">
        <v>15.241820000000001</v>
      </c>
      <c r="AW2973" s="394"/>
      <c r="AX2973" s="394"/>
      <c r="AY2973" s="394">
        <v>0</v>
      </c>
      <c r="AZ2973" s="394">
        <v>0</v>
      </c>
      <c r="BA2973" s="394">
        <v>0.75790000000000002</v>
      </c>
      <c r="BB2973" s="394">
        <v>15.241820000000001</v>
      </c>
      <c r="BC2973" s="394"/>
      <c r="BD2973" s="381" t="s">
        <v>167</v>
      </c>
      <c r="BE2973" s="408" t="s">
        <v>175</v>
      </c>
      <c r="BF2973" s="385"/>
      <c r="BG2973" s="475">
        <v>923</v>
      </c>
      <c r="BH2973" s="395"/>
      <c r="BI2973" s="395">
        <f t="shared" si="1059"/>
        <v>19.573540000000001</v>
      </c>
    </row>
    <row r="2974" spans="1:61" s="358" customFormat="1" ht="19.2" x14ac:dyDescent="0.3">
      <c r="A2974" s="359" t="s">
        <v>1925</v>
      </c>
      <c r="B2974" s="602" t="s">
        <v>3941</v>
      </c>
      <c r="C2974" s="548" t="s">
        <v>5423</v>
      </c>
      <c r="D2974" s="360">
        <v>0.4</v>
      </c>
      <c r="E2974" s="528"/>
      <c r="F2974" s="523"/>
      <c r="G2974" s="393"/>
      <c r="H2974" s="394"/>
      <c r="I2974" s="394"/>
      <c r="J2974" s="394"/>
      <c r="K2974" s="394"/>
      <c r="L2974" s="394"/>
      <c r="M2974" s="394"/>
      <c r="N2974" s="394"/>
      <c r="O2974" s="394"/>
      <c r="P2974" s="394"/>
      <c r="Q2974" s="394"/>
      <c r="R2974" s="381"/>
      <c r="S2974" s="408"/>
      <c r="T2974" s="385"/>
      <c r="U2974" s="475"/>
      <c r="V2974" s="395"/>
      <c r="W2974" s="395"/>
      <c r="X2974" s="528"/>
      <c r="Y2974" s="523"/>
      <c r="Z2974" s="393"/>
      <c r="AA2974" s="394"/>
      <c r="AB2974" s="394"/>
      <c r="AC2974" s="394"/>
      <c r="AD2974" s="394"/>
      <c r="AE2974" s="394"/>
      <c r="AF2974" s="394"/>
      <c r="AG2974" s="394"/>
      <c r="AH2974" s="394"/>
      <c r="AI2974" s="394"/>
      <c r="AJ2974" s="394"/>
      <c r="AK2974" s="381"/>
      <c r="AL2974" s="408"/>
      <c r="AM2974" s="385"/>
      <c r="AN2974" s="475"/>
      <c r="AO2974" s="395"/>
      <c r="AP2974" s="395"/>
      <c r="AQ2974" s="528"/>
      <c r="AR2974" s="523">
        <v>1</v>
      </c>
      <c r="AS2974" s="393"/>
      <c r="AT2974" s="600">
        <v>19.573540000000001</v>
      </c>
      <c r="AU2974" s="394">
        <v>16.322559999999999</v>
      </c>
      <c r="AV2974" s="394">
        <v>15.241820000000001</v>
      </c>
      <c r="AW2974" s="394"/>
      <c r="AX2974" s="394"/>
      <c r="AY2974" s="394">
        <v>0</v>
      </c>
      <c r="AZ2974" s="394">
        <v>0</v>
      </c>
      <c r="BA2974" s="394">
        <v>0.75790000000000002</v>
      </c>
      <c r="BB2974" s="394">
        <v>15.241820000000001</v>
      </c>
      <c r="BC2974" s="394"/>
      <c r="BD2974" s="381" t="s">
        <v>167</v>
      </c>
      <c r="BE2974" s="408" t="s">
        <v>175</v>
      </c>
      <c r="BF2974" s="385"/>
      <c r="BG2974" s="475">
        <v>924</v>
      </c>
      <c r="BH2974" s="395"/>
      <c r="BI2974" s="395">
        <f t="shared" ref="BI2974" si="1140">AT2974/AR2974</f>
        <v>19.573540000000001</v>
      </c>
    </row>
    <row r="2975" spans="1:61" s="358" customFormat="1" ht="19.2" x14ac:dyDescent="0.3">
      <c r="A2975" s="359" t="s">
        <v>1926</v>
      </c>
      <c r="B2975" s="602" t="s">
        <v>4715</v>
      </c>
      <c r="C2975" s="548" t="s">
        <v>4714</v>
      </c>
      <c r="D2975" s="360">
        <v>0.4</v>
      </c>
      <c r="E2975" s="528"/>
      <c r="F2975" s="523"/>
      <c r="G2975" s="393"/>
      <c r="H2975" s="394"/>
      <c r="I2975" s="394"/>
      <c r="J2975" s="394"/>
      <c r="K2975" s="394"/>
      <c r="L2975" s="394"/>
      <c r="M2975" s="394"/>
      <c r="N2975" s="394"/>
      <c r="O2975" s="394"/>
      <c r="P2975" s="394"/>
      <c r="Q2975" s="394"/>
      <c r="R2975" s="381"/>
      <c r="S2975" s="408"/>
      <c r="T2975" s="385"/>
      <c r="U2975" s="475"/>
      <c r="V2975" s="395"/>
      <c r="W2975" s="395"/>
      <c r="X2975" s="528"/>
      <c r="Y2975" s="523"/>
      <c r="Z2975" s="393"/>
      <c r="AA2975" s="394"/>
      <c r="AB2975" s="394"/>
      <c r="AC2975" s="394"/>
      <c r="AD2975" s="394"/>
      <c r="AE2975" s="394"/>
      <c r="AF2975" s="394"/>
      <c r="AG2975" s="394"/>
      <c r="AH2975" s="394"/>
      <c r="AI2975" s="394"/>
      <c r="AJ2975" s="394"/>
      <c r="AK2975" s="381"/>
      <c r="AL2975" s="408"/>
      <c r="AM2975" s="385"/>
      <c r="AN2975" s="475"/>
      <c r="AO2975" s="395"/>
      <c r="AP2975" s="395"/>
      <c r="AQ2975" s="528"/>
      <c r="AR2975" s="523">
        <v>1</v>
      </c>
      <c r="AS2975" s="393"/>
      <c r="AT2975" s="600">
        <v>19.573540000000001</v>
      </c>
      <c r="AU2975" s="394">
        <v>16.322559999999999</v>
      </c>
      <c r="AV2975" s="394">
        <v>15.241820000000001</v>
      </c>
      <c r="AW2975" s="394"/>
      <c r="AX2975" s="394"/>
      <c r="AY2975" s="394">
        <v>0</v>
      </c>
      <c r="AZ2975" s="394">
        <v>0</v>
      </c>
      <c r="BA2975" s="394">
        <v>0.75790000000000002</v>
      </c>
      <c r="BB2975" s="394">
        <v>15.241820000000001</v>
      </c>
      <c r="BC2975" s="394"/>
      <c r="BD2975" s="381" t="s">
        <v>167</v>
      </c>
      <c r="BE2975" s="408" t="s">
        <v>175</v>
      </c>
      <c r="BF2975" s="385"/>
      <c r="BG2975" s="475">
        <v>925</v>
      </c>
      <c r="BH2975" s="395"/>
      <c r="BI2975" s="395">
        <f t="shared" si="1059"/>
        <v>19.573540000000001</v>
      </c>
    </row>
    <row r="2976" spans="1:61" s="358" customFormat="1" ht="19.2" x14ac:dyDescent="0.3">
      <c r="A2976" s="359" t="s">
        <v>1927</v>
      </c>
      <c r="B2976" s="602" t="s">
        <v>5424</v>
      </c>
      <c r="C2976" s="548" t="s">
        <v>5425</v>
      </c>
      <c r="D2976" s="360">
        <v>0.4</v>
      </c>
      <c r="E2976" s="528"/>
      <c r="F2976" s="523"/>
      <c r="G2976" s="393"/>
      <c r="H2976" s="394"/>
      <c r="I2976" s="394"/>
      <c r="J2976" s="394"/>
      <c r="K2976" s="394"/>
      <c r="L2976" s="394"/>
      <c r="M2976" s="394"/>
      <c r="N2976" s="394"/>
      <c r="O2976" s="394"/>
      <c r="P2976" s="394"/>
      <c r="Q2976" s="394"/>
      <c r="R2976" s="381"/>
      <c r="S2976" s="408"/>
      <c r="T2976" s="385"/>
      <c r="U2976" s="475"/>
      <c r="V2976" s="395"/>
      <c r="W2976" s="395"/>
      <c r="X2976" s="528"/>
      <c r="Y2976" s="523"/>
      <c r="Z2976" s="393"/>
      <c r="AA2976" s="394"/>
      <c r="AB2976" s="394"/>
      <c r="AC2976" s="394"/>
      <c r="AD2976" s="394"/>
      <c r="AE2976" s="394"/>
      <c r="AF2976" s="394"/>
      <c r="AG2976" s="394"/>
      <c r="AH2976" s="394"/>
      <c r="AI2976" s="394"/>
      <c r="AJ2976" s="394"/>
      <c r="AK2976" s="381"/>
      <c r="AL2976" s="408"/>
      <c r="AM2976" s="385"/>
      <c r="AN2976" s="475"/>
      <c r="AO2976" s="395"/>
      <c r="AP2976" s="395"/>
      <c r="AQ2976" s="528"/>
      <c r="AR2976" s="523">
        <v>1</v>
      </c>
      <c r="AS2976" s="393"/>
      <c r="AT2976" s="600">
        <v>19.573530000000002</v>
      </c>
      <c r="AU2976" s="394">
        <v>16.32255</v>
      </c>
      <c r="AV2976" s="394">
        <v>15.241820000000001</v>
      </c>
      <c r="AW2976" s="394"/>
      <c r="AX2976" s="394"/>
      <c r="AY2976" s="394">
        <v>0</v>
      </c>
      <c r="AZ2976" s="394">
        <v>0</v>
      </c>
      <c r="BA2976" s="394">
        <v>0.75790000000000002</v>
      </c>
      <c r="BB2976" s="394">
        <v>15.241820000000001</v>
      </c>
      <c r="BC2976" s="394"/>
      <c r="BD2976" s="381" t="s">
        <v>167</v>
      </c>
      <c r="BE2976" s="408" t="s">
        <v>175</v>
      </c>
      <c r="BF2976" s="385"/>
      <c r="BG2976" s="475">
        <v>926</v>
      </c>
      <c r="BH2976" s="395"/>
      <c r="BI2976" s="395">
        <f t="shared" ref="BI2976" si="1141">AT2976/AR2976</f>
        <v>19.573530000000002</v>
      </c>
    </row>
    <row r="2977" spans="1:61" s="358" customFormat="1" ht="19.2" x14ac:dyDescent="0.3">
      <c r="A2977" s="359" t="s">
        <v>1928</v>
      </c>
      <c r="B2977" s="602" t="s">
        <v>5426</v>
      </c>
      <c r="C2977" s="548" t="s">
        <v>5427</v>
      </c>
      <c r="D2977" s="360">
        <v>0.4</v>
      </c>
      <c r="E2977" s="528"/>
      <c r="F2977" s="523"/>
      <c r="G2977" s="393"/>
      <c r="H2977" s="394"/>
      <c r="I2977" s="394"/>
      <c r="J2977" s="394"/>
      <c r="K2977" s="394"/>
      <c r="L2977" s="394"/>
      <c r="M2977" s="394"/>
      <c r="N2977" s="394"/>
      <c r="O2977" s="394"/>
      <c r="P2977" s="394"/>
      <c r="Q2977" s="394"/>
      <c r="R2977" s="381"/>
      <c r="S2977" s="408"/>
      <c r="T2977" s="385"/>
      <c r="U2977" s="475"/>
      <c r="V2977" s="395"/>
      <c r="W2977" s="395"/>
      <c r="X2977" s="528"/>
      <c r="Y2977" s="523"/>
      <c r="Z2977" s="393"/>
      <c r="AA2977" s="394"/>
      <c r="AB2977" s="394"/>
      <c r="AC2977" s="394"/>
      <c r="AD2977" s="394"/>
      <c r="AE2977" s="394"/>
      <c r="AF2977" s="394"/>
      <c r="AG2977" s="394"/>
      <c r="AH2977" s="394"/>
      <c r="AI2977" s="394"/>
      <c r="AJ2977" s="394"/>
      <c r="AK2977" s="381"/>
      <c r="AL2977" s="408"/>
      <c r="AM2977" s="385"/>
      <c r="AN2977" s="475"/>
      <c r="AO2977" s="395"/>
      <c r="AP2977" s="395"/>
      <c r="AQ2977" s="528"/>
      <c r="AR2977" s="523">
        <v>1</v>
      </c>
      <c r="AS2977" s="393"/>
      <c r="AT2977" s="600">
        <v>19.573540000000001</v>
      </c>
      <c r="AU2977" s="394">
        <v>16.322559999999999</v>
      </c>
      <c r="AV2977" s="394">
        <v>15.241820000000001</v>
      </c>
      <c r="AW2977" s="394"/>
      <c r="AX2977" s="394"/>
      <c r="AY2977" s="394">
        <v>0</v>
      </c>
      <c r="AZ2977" s="394">
        <v>0</v>
      </c>
      <c r="BA2977" s="394">
        <v>0.75790000000000002</v>
      </c>
      <c r="BB2977" s="394">
        <v>15.241820000000001</v>
      </c>
      <c r="BC2977" s="394"/>
      <c r="BD2977" s="381" t="s">
        <v>167</v>
      </c>
      <c r="BE2977" s="408" t="s">
        <v>175</v>
      </c>
      <c r="BF2977" s="385"/>
      <c r="BG2977" s="475">
        <v>927</v>
      </c>
      <c r="BH2977" s="395"/>
      <c r="BI2977" s="395">
        <f>AT2977/AR2977</f>
        <v>19.573540000000001</v>
      </c>
    </row>
    <row r="2978" spans="1:61" s="358" customFormat="1" ht="19.2" x14ac:dyDescent="0.3">
      <c r="A2978" s="359" t="s">
        <v>1929</v>
      </c>
      <c r="B2978" s="602" t="s">
        <v>1698</v>
      </c>
      <c r="C2978" s="548" t="s">
        <v>5428</v>
      </c>
      <c r="D2978" s="360">
        <v>0.4</v>
      </c>
      <c r="E2978" s="528"/>
      <c r="F2978" s="523"/>
      <c r="G2978" s="393"/>
      <c r="H2978" s="394"/>
      <c r="I2978" s="394"/>
      <c r="J2978" s="394"/>
      <c r="K2978" s="394"/>
      <c r="L2978" s="394"/>
      <c r="M2978" s="394"/>
      <c r="N2978" s="394"/>
      <c r="O2978" s="394"/>
      <c r="P2978" s="394"/>
      <c r="Q2978" s="394"/>
      <c r="R2978" s="381"/>
      <c r="S2978" s="408"/>
      <c r="T2978" s="385"/>
      <c r="U2978" s="475"/>
      <c r="V2978" s="395"/>
      <c r="W2978" s="395"/>
      <c r="X2978" s="528"/>
      <c r="Y2978" s="523"/>
      <c r="Z2978" s="393"/>
      <c r="AA2978" s="394"/>
      <c r="AB2978" s="394"/>
      <c r="AC2978" s="394"/>
      <c r="AD2978" s="394"/>
      <c r="AE2978" s="394"/>
      <c r="AF2978" s="394"/>
      <c r="AG2978" s="394"/>
      <c r="AH2978" s="394"/>
      <c r="AI2978" s="394"/>
      <c r="AJ2978" s="394"/>
      <c r="AK2978" s="381"/>
      <c r="AL2978" s="408"/>
      <c r="AM2978" s="385"/>
      <c r="AN2978" s="475"/>
      <c r="AO2978" s="395"/>
      <c r="AP2978" s="395"/>
      <c r="AQ2978" s="528"/>
      <c r="AR2978" s="523">
        <v>1</v>
      </c>
      <c r="AS2978" s="393"/>
      <c r="AT2978" s="600">
        <v>19.573540000000001</v>
      </c>
      <c r="AU2978" s="394">
        <v>16.322559999999999</v>
      </c>
      <c r="AV2978" s="394">
        <v>15.241820000000001</v>
      </c>
      <c r="AW2978" s="394"/>
      <c r="AX2978" s="394"/>
      <c r="AY2978" s="394">
        <v>0</v>
      </c>
      <c r="AZ2978" s="394">
        <v>0</v>
      </c>
      <c r="BA2978" s="394">
        <v>0.75790000000000002</v>
      </c>
      <c r="BB2978" s="394">
        <v>15.241820000000001</v>
      </c>
      <c r="BC2978" s="394"/>
      <c r="BD2978" s="381" t="s">
        <v>167</v>
      </c>
      <c r="BE2978" s="408" t="s">
        <v>175</v>
      </c>
      <c r="BF2978" s="385"/>
      <c r="BG2978" s="475">
        <v>928</v>
      </c>
      <c r="BH2978" s="395"/>
      <c r="BI2978" s="395">
        <f>AT2978/AR2978</f>
        <v>19.573540000000001</v>
      </c>
    </row>
    <row r="2979" spans="1:61" s="358" customFormat="1" ht="19.2" x14ac:dyDescent="0.3">
      <c r="A2979" s="359" t="s">
        <v>1930</v>
      </c>
      <c r="B2979" s="602" t="s">
        <v>5429</v>
      </c>
      <c r="C2979" s="548" t="s">
        <v>5430</v>
      </c>
      <c r="D2979" s="360">
        <v>0.4</v>
      </c>
      <c r="E2979" s="528"/>
      <c r="F2979" s="523"/>
      <c r="G2979" s="393"/>
      <c r="H2979" s="394"/>
      <c r="I2979" s="394"/>
      <c r="J2979" s="394"/>
      <c r="K2979" s="394"/>
      <c r="L2979" s="394"/>
      <c r="M2979" s="394"/>
      <c r="N2979" s="394"/>
      <c r="O2979" s="394"/>
      <c r="P2979" s="394"/>
      <c r="Q2979" s="394"/>
      <c r="R2979" s="381"/>
      <c r="S2979" s="408"/>
      <c r="T2979" s="385"/>
      <c r="U2979" s="475"/>
      <c r="V2979" s="395"/>
      <c r="W2979" s="395"/>
      <c r="X2979" s="528"/>
      <c r="Y2979" s="523"/>
      <c r="Z2979" s="393"/>
      <c r="AA2979" s="394"/>
      <c r="AB2979" s="394"/>
      <c r="AC2979" s="394"/>
      <c r="AD2979" s="394"/>
      <c r="AE2979" s="394"/>
      <c r="AF2979" s="394"/>
      <c r="AG2979" s="394"/>
      <c r="AH2979" s="394"/>
      <c r="AI2979" s="394"/>
      <c r="AJ2979" s="394"/>
      <c r="AK2979" s="381"/>
      <c r="AL2979" s="408"/>
      <c r="AM2979" s="385"/>
      <c r="AN2979" s="475"/>
      <c r="AO2979" s="395"/>
      <c r="AP2979" s="395"/>
      <c r="AQ2979" s="528"/>
      <c r="AR2979" s="523">
        <v>1</v>
      </c>
      <c r="AS2979" s="393"/>
      <c r="AT2979" s="600">
        <v>19.573540000000001</v>
      </c>
      <c r="AU2979" s="394">
        <v>16.322559999999999</v>
      </c>
      <c r="AV2979" s="394">
        <v>15.241820000000001</v>
      </c>
      <c r="AW2979" s="394"/>
      <c r="AX2979" s="394"/>
      <c r="AY2979" s="394">
        <v>0</v>
      </c>
      <c r="AZ2979" s="394">
        <v>0</v>
      </c>
      <c r="BA2979" s="394">
        <v>0.75790000000000002</v>
      </c>
      <c r="BB2979" s="394">
        <v>15.241820000000001</v>
      </c>
      <c r="BC2979" s="394"/>
      <c r="BD2979" s="381" t="s">
        <v>167</v>
      </c>
      <c r="BE2979" s="408" t="s">
        <v>175</v>
      </c>
      <c r="BF2979" s="385"/>
      <c r="BG2979" s="475">
        <v>929</v>
      </c>
      <c r="BH2979" s="395"/>
      <c r="BI2979" s="395">
        <f t="shared" si="1059"/>
        <v>19.573540000000001</v>
      </c>
    </row>
    <row r="2980" spans="1:61" s="358" customFormat="1" ht="19.2" x14ac:dyDescent="0.3">
      <c r="A2980" s="359" t="s">
        <v>1931</v>
      </c>
      <c r="B2980" s="602" t="s">
        <v>4743</v>
      </c>
      <c r="C2980" s="548" t="s">
        <v>4742</v>
      </c>
      <c r="D2980" s="360">
        <v>0.4</v>
      </c>
      <c r="E2980" s="528"/>
      <c r="F2980" s="523"/>
      <c r="G2980" s="393"/>
      <c r="H2980" s="394"/>
      <c r="I2980" s="394"/>
      <c r="J2980" s="394"/>
      <c r="K2980" s="394"/>
      <c r="L2980" s="394"/>
      <c r="M2980" s="394"/>
      <c r="N2980" s="394"/>
      <c r="O2980" s="394"/>
      <c r="P2980" s="394"/>
      <c r="Q2980" s="394"/>
      <c r="R2980" s="381"/>
      <c r="S2980" s="408"/>
      <c r="T2980" s="385"/>
      <c r="U2980" s="475"/>
      <c r="V2980" s="395"/>
      <c r="W2980" s="395"/>
      <c r="X2980" s="528"/>
      <c r="Y2980" s="523"/>
      <c r="Z2980" s="393"/>
      <c r="AA2980" s="394"/>
      <c r="AB2980" s="394"/>
      <c r="AC2980" s="394"/>
      <c r="AD2980" s="394"/>
      <c r="AE2980" s="394"/>
      <c r="AF2980" s="394"/>
      <c r="AG2980" s="394"/>
      <c r="AH2980" s="394"/>
      <c r="AI2980" s="394"/>
      <c r="AJ2980" s="394"/>
      <c r="AK2980" s="381"/>
      <c r="AL2980" s="408"/>
      <c r="AM2980" s="385"/>
      <c r="AN2980" s="475"/>
      <c r="AO2980" s="395"/>
      <c r="AP2980" s="395"/>
      <c r="AQ2980" s="528"/>
      <c r="AR2980" s="523">
        <v>1</v>
      </c>
      <c r="AS2980" s="393"/>
      <c r="AT2980" s="600">
        <v>19.573540000000001</v>
      </c>
      <c r="AU2980" s="394">
        <v>16.322559999999999</v>
      </c>
      <c r="AV2980" s="394">
        <v>15.241820000000001</v>
      </c>
      <c r="AW2980" s="394"/>
      <c r="AX2980" s="394"/>
      <c r="AY2980" s="394">
        <v>0</v>
      </c>
      <c r="AZ2980" s="394">
        <v>0</v>
      </c>
      <c r="BA2980" s="394">
        <v>0.75790000000000002</v>
      </c>
      <c r="BB2980" s="394">
        <v>15.241820000000001</v>
      </c>
      <c r="BC2980" s="394"/>
      <c r="BD2980" s="381" t="s">
        <v>167</v>
      </c>
      <c r="BE2980" s="408" t="s">
        <v>175</v>
      </c>
      <c r="BF2980" s="385"/>
      <c r="BG2980" s="475">
        <v>930</v>
      </c>
      <c r="BH2980" s="395"/>
      <c r="BI2980" s="395">
        <f t="shared" ref="BI2980" si="1142">AT2980/AR2980</f>
        <v>19.573540000000001</v>
      </c>
    </row>
    <row r="2981" spans="1:61" s="358" customFormat="1" ht="19.2" x14ac:dyDescent="0.3">
      <c r="A2981" s="359" t="s">
        <v>1932</v>
      </c>
      <c r="B2981" s="602" t="s">
        <v>5431</v>
      </c>
      <c r="C2981" s="548" t="s">
        <v>5432</v>
      </c>
      <c r="D2981" s="360">
        <v>0.4</v>
      </c>
      <c r="E2981" s="528"/>
      <c r="F2981" s="523"/>
      <c r="G2981" s="393"/>
      <c r="H2981" s="394"/>
      <c r="I2981" s="394"/>
      <c r="J2981" s="394"/>
      <c r="K2981" s="394"/>
      <c r="L2981" s="394"/>
      <c r="M2981" s="394"/>
      <c r="N2981" s="394"/>
      <c r="O2981" s="394"/>
      <c r="P2981" s="394"/>
      <c r="Q2981" s="394"/>
      <c r="R2981" s="381"/>
      <c r="S2981" s="408"/>
      <c r="T2981" s="385"/>
      <c r="U2981" s="475"/>
      <c r="V2981" s="395"/>
      <c r="W2981" s="395"/>
      <c r="X2981" s="528"/>
      <c r="Y2981" s="523"/>
      <c r="Z2981" s="393"/>
      <c r="AA2981" s="394"/>
      <c r="AB2981" s="394"/>
      <c r="AC2981" s="394"/>
      <c r="AD2981" s="394"/>
      <c r="AE2981" s="394"/>
      <c r="AF2981" s="394"/>
      <c r="AG2981" s="394"/>
      <c r="AH2981" s="394"/>
      <c r="AI2981" s="394"/>
      <c r="AJ2981" s="394"/>
      <c r="AK2981" s="381"/>
      <c r="AL2981" s="408"/>
      <c r="AM2981" s="385"/>
      <c r="AN2981" s="475"/>
      <c r="AO2981" s="395"/>
      <c r="AP2981" s="395"/>
      <c r="AQ2981" s="528"/>
      <c r="AR2981" s="523">
        <v>1</v>
      </c>
      <c r="AS2981" s="393"/>
      <c r="AT2981" s="600">
        <v>19.573530000000002</v>
      </c>
      <c r="AU2981" s="394">
        <v>16.32255</v>
      </c>
      <c r="AV2981" s="394">
        <v>15.241820000000001</v>
      </c>
      <c r="AW2981" s="394"/>
      <c r="AX2981" s="394"/>
      <c r="AY2981" s="394">
        <v>0</v>
      </c>
      <c r="AZ2981" s="394">
        <v>0</v>
      </c>
      <c r="BA2981" s="394">
        <v>0.75790000000000002</v>
      </c>
      <c r="BB2981" s="394">
        <v>15.241820000000001</v>
      </c>
      <c r="BC2981" s="394"/>
      <c r="BD2981" s="381" t="s">
        <v>167</v>
      </c>
      <c r="BE2981" s="408" t="s">
        <v>175</v>
      </c>
      <c r="BF2981" s="385"/>
      <c r="BG2981" s="475">
        <v>931</v>
      </c>
      <c r="BH2981" s="395"/>
      <c r="BI2981" s="395">
        <f t="shared" si="1059"/>
        <v>19.573530000000002</v>
      </c>
    </row>
    <row r="2982" spans="1:61" s="358" customFormat="1" ht="19.2" x14ac:dyDescent="0.3">
      <c r="A2982" s="359" t="s">
        <v>1933</v>
      </c>
      <c r="B2982" s="602" t="s">
        <v>2556</v>
      </c>
      <c r="C2982" s="548" t="s">
        <v>2555</v>
      </c>
      <c r="D2982" s="360">
        <v>0.4</v>
      </c>
      <c r="E2982" s="528"/>
      <c r="F2982" s="523"/>
      <c r="G2982" s="393"/>
      <c r="H2982" s="394"/>
      <c r="I2982" s="394"/>
      <c r="J2982" s="394"/>
      <c r="K2982" s="394"/>
      <c r="L2982" s="394"/>
      <c r="M2982" s="394"/>
      <c r="N2982" s="394"/>
      <c r="O2982" s="394"/>
      <c r="P2982" s="394"/>
      <c r="Q2982" s="394"/>
      <c r="R2982" s="381"/>
      <c r="S2982" s="408"/>
      <c r="T2982" s="385"/>
      <c r="U2982" s="475"/>
      <c r="V2982" s="395"/>
      <c r="W2982" s="395"/>
      <c r="X2982" s="528"/>
      <c r="Y2982" s="523"/>
      <c r="Z2982" s="393"/>
      <c r="AA2982" s="394"/>
      <c r="AB2982" s="394"/>
      <c r="AC2982" s="394"/>
      <c r="AD2982" s="394"/>
      <c r="AE2982" s="394"/>
      <c r="AF2982" s="394"/>
      <c r="AG2982" s="394"/>
      <c r="AH2982" s="394"/>
      <c r="AI2982" s="394"/>
      <c r="AJ2982" s="394"/>
      <c r="AK2982" s="381"/>
      <c r="AL2982" s="408"/>
      <c r="AM2982" s="385"/>
      <c r="AN2982" s="475"/>
      <c r="AO2982" s="395"/>
      <c r="AP2982" s="395"/>
      <c r="AQ2982" s="528"/>
      <c r="AR2982" s="523">
        <v>1</v>
      </c>
      <c r="AS2982" s="393"/>
      <c r="AT2982" s="600">
        <v>19.573540000000001</v>
      </c>
      <c r="AU2982" s="394">
        <v>16.322559999999999</v>
      </c>
      <c r="AV2982" s="394">
        <v>15.241820000000001</v>
      </c>
      <c r="AW2982" s="394"/>
      <c r="AX2982" s="394"/>
      <c r="AY2982" s="394">
        <v>0</v>
      </c>
      <c r="AZ2982" s="394">
        <v>0</v>
      </c>
      <c r="BA2982" s="394">
        <v>0.75790000000000002</v>
      </c>
      <c r="BB2982" s="394">
        <v>15.241820000000001</v>
      </c>
      <c r="BC2982" s="394"/>
      <c r="BD2982" s="381" t="s">
        <v>167</v>
      </c>
      <c r="BE2982" s="408" t="s">
        <v>175</v>
      </c>
      <c r="BF2982" s="385"/>
      <c r="BG2982" s="475">
        <v>932</v>
      </c>
      <c r="BH2982" s="395"/>
      <c r="BI2982" s="395">
        <f t="shared" ref="BI2982:BI3050" si="1143">AT2982/AR2982</f>
        <v>19.573540000000001</v>
      </c>
    </row>
    <row r="2983" spans="1:61" s="358" customFormat="1" ht="19.2" x14ac:dyDescent="0.3">
      <c r="A2983" s="359" t="s">
        <v>1934</v>
      </c>
      <c r="B2983" s="602" t="s">
        <v>5433</v>
      </c>
      <c r="C2983" s="548" t="s">
        <v>5434</v>
      </c>
      <c r="D2983" s="360">
        <v>0.4</v>
      </c>
      <c r="E2983" s="528"/>
      <c r="F2983" s="523"/>
      <c r="G2983" s="393"/>
      <c r="H2983" s="394"/>
      <c r="I2983" s="394"/>
      <c r="J2983" s="394"/>
      <c r="K2983" s="394"/>
      <c r="L2983" s="394"/>
      <c r="M2983" s="394"/>
      <c r="N2983" s="394"/>
      <c r="O2983" s="394"/>
      <c r="P2983" s="394"/>
      <c r="Q2983" s="394"/>
      <c r="R2983" s="381"/>
      <c r="S2983" s="408"/>
      <c r="T2983" s="385"/>
      <c r="U2983" s="475"/>
      <c r="V2983" s="395"/>
      <c r="W2983" s="395"/>
      <c r="X2983" s="528"/>
      <c r="Y2983" s="523"/>
      <c r="Z2983" s="393"/>
      <c r="AA2983" s="394"/>
      <c r="AB2983" s="394"/>
      <c r="AC2983" s="394"/>
      <c r="AD2983" s="394"/>
      <c r="AE2983" s="394"/>
      <c r="AF2983" s="394"/>
      <c r="AG2983" s="394"/>
      <c r="AH2983" s="394"/>
      <c r="AI2983" s="394"/>
      <c r="AJ2983" s="394"/>
      <c r="AK2983" s="381"/>
      <c r="AL2983" s="408"/>
      <c r="AM2983" s="385"/>
      <c r="AN2983" s="475"/>
      <c r="AO2983" s="395"/>
      <c r="AP2983" s="395"/>
      <c r="AQ2983" s="528"/>
      <c r="AR2983" s="523">
        <v>1</v>
      </c>
      <c r="AS2983" s="393"/>
      <c r="AT2983" s="600">
        <v>19.573540000000001</v>
      </c>
      <c r="AU2983" s="394">
        <v>16.322559999999999</v>
      </c>
      <c r="AV2983" s="394">
        <v>15.241820000000001</v>
      </c>
      <c r="AW2983" s="394"/>
      <c r="AX2983" s="394"/>
      <c r="AY2983" s="394">
        <v>0</v>
      </c>
      <c r="AZ2983" s="394">
        <v>0</v>
      </c>
      <c r="BA2983" s="394">
        <v>0.75790000000000002</v>
      </c>
      <c r="BB2983" s="394">
        <v>15.241820000000001</v>
      </c>
      <c r="BC2983" s="394"/>
      <c r="BD2983" s="381" t="s">
        <v>167</v>
      </c>
      <c r="BE2983" s="408" t="s">
        <v>175</v>
      </c>
      <c r="BF2983" s="385"/>
      <c r="BG2983" s="475">
        <v>933</v>
      </c>
      <c r="BH2983" s="395"/>
      <c r="BI2983" s="395">
        <f t="shared" ref="BI2983" si="1144">AT2983/AR2983</f>
        <v>19.573540000000001</v>
      </c>
    </row>
    <row r="2984" spans="1:61" s="358" customFormat="1" ht="19.2" x14ac:dyDescent="0.3">
      <c r="A2984" s="359" t="s">
        <v>1935</v>
      </c>
      <c r="B2984" s="602" t="s">
        <v>5435</v>
      </c>
      <c r="C2984" s="548" t="s">
        <v>5436</v>
      </c>
      <c r="D2984" s="360">
        <v>0.4</v>
      </c>
      <c r="E2984" s="528"/>
      <c r="F2984" s="523"/>
      <c r="G2984" s="393"/>
      <c r="H2984" s="394"/>
      <c r="I2984" s="394"/>
      <c r="J2984" s="394"/>
      <c r="K2984" s="394"/>
      <c r="L2984" s="394"/>
      <c r="M2984" s="394"/>
      <c r="N2984" s="394"/>
      <c r="O2984" s="394"/>
      <c r="P2984" s="394"/>
      <c r="Q2984" s="394"/>
      <c r="R2984" s="381"/>
      <c r="S2984" s="408"/>
      <c r="T2984" s="385"/>
      <c r="U2984" s="475"/>
      <c r="V2984" s="395"/>
      <c r="W2984" s="395"/>
      <c r="X2984" s="528"/>
      <c r="Y2984" s="523"/>
      <c r="Z2984" s="393"/>
      <c r="AA2984" s="394"/>
      <c r="AB2984" s="394"/>
      <c r="AC2984" s="394"/>
      <c r="AD2984" s="394"/>
      <c r="AE2984" s="394"/>
      <c r="AF2984" s="394"/>
      <c r="AG2984" s="394"/>
      <c r="AH2984" s="394"/>
      <c r="AI2984" s="394"/>
      <c r="AJ2984" s="394"/>
      <c r="AK2984" s="381"/>
      <c r="AL2984" s="408"/>
      <c r="AM2984" s="385"/>
      <c r="AN2984" s="475"/>
      <c r="AO2984" s="395"/>
      <c r="AP2984" s="395"/>
      <c r="AQ2984" s="528"/>
      <c r="AR2984" s="523">
        <v>1</v>
      </c>
      <c r="AS2984" s="393"/>
      <c r="AT2984" s="600">
        <v>19.573540000000001</v>
      </c>
      <c r="AU2984" s="394">
        <v>16.322559999999999</v>
      </c>
      <c r="AV2984" s="394">
        <v>15.241820000000001</v>
      </c>
      <c r="AW2984" s="394"/>
      <c r="AX2984" s="394"/>
      <c r="AY2984" s="394">
        <v>0</v>
      </c>
      <c r="AZ2984" s="394">
        <v>0</v>
      </c>
      <c r="BA2984" s="394">
        <v>0.75790000000000002</v>
      </c>
      <c r="BB2984" s="394">
        <v>15.241820000000001</v>
      </c>
      <c r="BC2984" s="394"/>
      <c r="BD2984" s="381" t="s">
        <v>167</v>
      </c>
      <c r="BE2984" s="408" t="s">
        <v>175</v>
      </c>
      <c r="BF2984" s="385"/>
      <c r="BG2984" s="475">
        <v>934</v>
      </c>
      <c r="BH2984" s="395"/>
      <c r="BI2984" s="395">
        <f t="shared" si="1143"/>
        <v>19.573540000000001</v>
      </c>
    </row>
    <row r="2985" spans="1:61" s="358" customFormat="1" ht="19.2" x14ac:dyDescent="0.3">
      <c r="A2985" s="359" t="s">
        <v>1936</v>
      </c>
      <c r="B2985" s="602" t="s">
        <v>5437</v>
      </c>
      <c r="C2985" s="548" t="s">
        <v>5438</v>
      </c>
      <c r="D2985" s="360">
        <v>0.4</v>
      </c>
      <c r="E2985" s="528"/>
      <c r="F2985" s="523"/>
      <c r="G2985" s="393"/>
      <c r="H2985" s="394"/>
      <c r="I2985" s="394"/>
      <c r="J2985" s="394"/>
      <c r="K2985" s="394"/>
      <c r="L2985" s="394"/>
      <c r="M2985" s="394"/>
      <c r="N2985" s="394"/>
      <c r="O2985" s="394"/>
      <c r="P2985" s="394"/>
      <c r="Q2985" s="394"/>
      <c r="R2985" s="381"/>
      <c r="S2985" s="408"/>
      <c r="T2985" s="385"/>
      <c r="U2985" s="475"/>
      <c r="V2985" s="395"/>
      <c r="W2985" s="395"/>
      <c r="X2985" s="528"/>
      <c r="Y2985" s="523"/>
      <c r="Z2985" s="393"/>
      <c r="AA2985" s="394"/>
      <c r="AB2985" s="394"/>
      <c r="AC2985" s="394"/>
      <c r="AD2985" s="394"/>
      <c r="AE2985" s="394"/>
      <c r="AF2985" s="394"/>
      <c r="AG2985" s="394"/>
      <c r="AH2985" s="394"/>
      <c r="AI2985" s="394"/>
      <c r="AJ2985" s="394"/>
      <c r="AK2985" s="381"/>
      <c r="AL2985" s="408"/>
      <c r="AM2985" s="385"/>
      <c r="AN2985" s="475"/>
      <c r="AO2985" s="395"/>
      <c r="AP2985" s="395"/>
      <c r="AQ2985" s="528"/>
      <c r="AR2985" s="523">
        <v>1</v>
      </c>
      <c r="AS2985" s="393"/>
      <c r="AT2985" s="600">
        <v>19.573530000000002</v>
      </c>
      <c r="AU2985" s="394">
        <v>16.32255</v>
      </c>
      <c r="AV2985" s="394">
        <v>15.241820000000001</v>
      </c>
      <c r="AW2985" s="394"/>
      <c r="AX2985" s="394"/>
      <c r="AY2985" s="394">
        <v>0</v>
      </c>
      <c r="AZ2985" s="394">
        <v>0</v>
      </c>
      <c r="BA2985" s="394">
        <v>0.75790000000000002</v>
      </c>
      <c r="BB2985" s="394">
        <v>15.241820000000001</v>
      </c>
      <c r="BC2985" s="394"/>
      <c r="BD2985" s="381" t="s">
        <v>167</v>
      </c>
      <c r="BE2985" s="408" t="s">
        <v>175</v>
      </c>
      <c r="BF2985" s="385"/>
      <c r="BG2985" s="475">
        <v>935</v>
      </c>
      <c r="BH2985" s="395"/>
      <c r="BI2985" s="395">
        <f t="shared" ref="BI2985" si="1145">AT2985/AR2985</f>
        <v>19.573530000000002</v>
      </c>
    </row>
    <row r="2986" spans="1:61" s="358" customFormat="1" ht="19.2" x14ac:dyDescent="0.3">
      <c r="A2986" s="359" t="s">
        <v>1937</v>
      </c>
      <c r="B2986" s="602" t="s">
        <v>5439</v>
      </c>
      <c r="C2986" s="548" t="s">
        <v>5440</v>
      </c>
      <c r="D2986" s="360">
        <v>0.4</v>
      </c>
      <c r="E2986" s="528"/>
      <c r="F2986" s="523"/>
      <c r="G2986" s="393"/>
      <c r="H2986" s="394"/>
      <c r="I2986" s="394"/>
      <c r="J2986" s="394"/>
      <c r="K2986" s="394"/>
      <c r="L2986" s="394"/>
      <c r="M2986" s="394"/>
      <c r="N2986" s="394"/>
      <c r="O2986" s="394"/>
      <c r="P2986" s="394"/>
      <c r="Q2986" s="394"/>
      <c r="R2986" s="381"/>
      <c r="S2986" s="408"/>
      <c r="T2986" s="385"/>
      <c r="U2986" s="475"/>
      <c r="V2986" s="395"/>
      <c r="W2986" s="395"/>
      <c r="X2986" s="528"/>
      <c r="Y2986" s="523"/>
      <c r="Z2986" s="393"/>
      <c r="AA2986" s="394"/>
      <c r="AB2986" s="394"/>
      <c r="AC2986" s="394"/>
      <c r="AD2986" s="394"/>
      <c r="AE2986" s="394"/>
      <c r="AF2986" s="394"/>
      <c r="AG2986" s="394"/>
      <c r="AH2986" s="394"/>
      <c r="AI2986" s="394"/>
      <c r="AJ2986" s="394"/>
      <c r="AK2986" s="381"/>
      <c r="AL2986" s="408"/>
      <c r="AM2986" s="385"/>
      <c r="AN2986" s="475"/>
      <c r="AO2986" s="395"/>
      <c r="AP2986" s="395"/>
      <c r="AQ2986" s="528"/>
      <c r="AR2986" s="523">
        <v>1</v>
      </c>
      <c r="AS2986" s="393"/>
      <c r="AT2986" s="600">
        <v>19.573530000000002</v>
      </c>
      <c r="AU2986" s="394">
        <v>16.32255</v>
      </c>
      <c r="AV2986" s="394">
        <v>15.241820000000001</v>
      </c>
      <c r="AW2986" s="394"/>
      <c r="AX2986" s="394"/>
      <c r="AY2986" s="394">
        <v>0</v>
      </c>
      <c r="AZ2986" s="394">
        <v>0</v>
      </c>
      <c r="BA2986" s="394">
        <v>0.75790000000000002</v>
      </c>
      <c r="BB2986" s="394">
        <v>15.241820000000001</v>
      </c>
      <c r="BC2986" s="394"/>
      <c r="BD2986" s="381" t="s">
        <v>167</v>
      </c>
      <c r="BE2986" s="408" t="s">
        <v>175</v>
      </c>
      <c r="BF2986" s="385"/>
      <c r="BG2986" s="475">
        <v>936</v>
      </c>
      <c r="BH2986" s="395"/>
      <c r="BI2986" s="395">
        <f t="shared" si="1143"/>
        <v>19.573530000000002</v>
      </c>
    </row>
    <row r="2987" spans="1:61" s="358" customFormat="1" ht="19.2" x14ac:dyDescent="0.3">
      <c r="A2987" s="359" t="s">
        <v>1938</v>
      </c>
      <c r="B2987" s="602" t="s">
        <v>5441</v>
      </c>
      <c r="C2987" s="548" t="s">
        <v>5442</v>
      </c>
      <c r="D2987" s="360">
        <v>0.4</v>
      </c>
      <c r="E2987" s="528"/>
      <c r="F2987" s="523"/>
      <c r="G2987" s="393"/>
      <c r="H2987" s="394"/>
      <c r="I2987" s="394"/>
      <c r="J2987" s="394"/>
      <c r="K2987" s="394"/>
      <c r="L2987" s="394"/>
      <c r="M2987" s="394"/>
      <c r="N2987" s="394"/>
      <c r="O2987" s="394"/>
      <c r="P2987" s="394"/>
      <c r="Q2987" s="394"/>
      <c r="R2987" s="381"/>
      <c r="S2987" s="408"/>
      <c r="T2987" s="385"/>
      <c r="U2987" s="475"/>
      <c r="V2987" s="395"/>
      <c r="W2987" s="395"/>
      <c r="X2987" s="528"/>
      <c r="Y2987" s="523"/>
      <c r="Z2987" s="393"/>
      <c r="AA2987" s="394"/>
      <c r="AB2987" s="394"/>
      <c r="AC2987" s="394"/>
      <c r="AD2987" s="394"/>
      <c r="AE2987" s="394"/>
      <c r="AF2987" s="394"/>
      <c r="AG2987" s="394"/>
      <c r="AH2987" s="394"/>
      <c r="AI2987" s="394"/>
      <c r="AJ2987" s="394"/>
      <c r="AK2987" s="381"/>
      <c r="AL2987" s="408"/>
      <c r="AM2987" s="385"/>
      <c r="AN2987" s="475"/>
      <c r="AO2987" s="395"/>
      <c r="AP2987" s="395"/>
      <c r="AQ2987" s="528"/>
      <c r="AR2987" s="523">
        <v>1</v>
      </c>
      <c r="AS2987" s="393"/>
      <c r="AT2987" s="600">
        <v>20.236630000000002</v>
      </c>
      <c r="AU2987" s="394">
        <v>16.98565</v>
      </c>
      <c r="AV2987" s="394">
        <v>15.2418</v>
      </c>
      <c r="AW2987" s="394"/>
      <c r="AX2987" s="394"/>
      <c r="AY2987" s="394">
        <v>0</v>
      </c>
      <c r="AZ2987" s="394">
        <v>0</v>
      </c>
      <c r="BA2987" s="394">
        <v>0.75790000000000002</v>
      </c>
      <c r="BB2987" s="394">
        <v>15.2418</v>
      </c>
      <c r="BC2987" s="394"/>
      <c r="BD2987" s="381" t="s">
        <v>167</v>
      </c>
      <c r="BE2987" s="408" t="s">
        <v>175</v>
      </c>
      <c r="BF2987" s="385"/>
      <c r="BG2987" s="475">
        <v>937</v>
      </c>
      <c r="BH2987" s="395"/>
      <c r="BI2987" s="395">
        <f t="shared" ref="BI2987" si="1146">AT2987/AR2987</f>
        <v>20.236630000000002</v>
      </c>
    </row>
    <row r="2988" spans="1:61" s="358" customFormat="1" ht="19.2" x14ac:dyDescent="0.3">
      <c r="A2988" s="359" t="s">
        <v>1939</v>
      </c>
      <c r="B2988" s="602" t="s">
        <v>4659</v>
      </c>
      <c r="C2988" s="548" t="s">
        <v>4660</v>
      </c>
      <c r="D2988" s="360">
        <v>0.4</v>
      </c>
      <c r="E2988" s="528"/>
      <c r="F2988" s="523"/>
      <c r="G2988" s="393"/>
      <c r="H2988" s="394"/>
      <c r="I2988" s="394"/>
      <c r="J2988" s="394"/>
      <c r="K2988" s="394"/>
      <c r="L2988" s="394"/>
      <c r="M2988" s="394"/>
      <c r="N2988" s="394"/>
      <c r="O2988" s="394"/>
      <c r="P2988" s="394"/>
      <c r="Q2988" s="394"/>
      <c r="R2988" s="381"/>
      <c r="S2988" s="408"/>
      <c r="T2988" s="385"/>
      <c r="U2988" s="475"/>
      <c r="V2988" s="395"/>
      <c r="W2988" s="395"/>
      <c r="X2988" s="528"/>
      <c r="Y2988" s="523"/>
      <c r="Z2988" s="393"/>
      <c r="AA2988" s="394"/>
      <c r="AB2988" s="394"/>
      <c r="AC2988" s="394"/>
      <c r="AD2988" s="394"/>
      <c r="AE2988" s="394"/>
      <c r="AF2988" s="394"/>
      <c r="AG2988" s="394"/>
      <c r="AH2988" s="394"/>
      <c r="AI2988" s="394"/>
      <c r="AJ2988" s="394"/>
      <c r="AK2988" s="381"/>
      <c r="AL2988" s="408"/>
      <c r="AM2988" s="385"/>
      <c r="AN2988" s="475"/>
      <c r="AO2988" s="395"/>
      <c r="AP2988" s="395"/>
      <c r="AQ2988" s="528"/>
      <c r="AR2988" s="523">
        <v>1</v>
      </c>
      <c r="AS2988" s="393"/>
      <c r="AT2988" s="600">
        <v>20.236630000000002</v>
      </c>
      <c r="AU2988" s="394">
        <v>16.98565</v>
      </c>
      <c r="AV2988" s="394">
        <v>15.2418</v>
      </c>
      <c r="AW2988" s="394"/>
      <c r="AX2988" s="394"/>
      <c r="AY2988" s="394">
        <v>0</v>
      </c>
      <c r="AZ2988" s="394">
        <v>0</v>
      </c>
      <c r="BA2988" s="394">
        <v>0.75790000000000002</v>
      </c>
      <c r="BB2988" s="394">
        <v>15.2418</v>
      </c>
      <c r="BC2988" s="394"/>
      <c r="BD2988" s="381" t="s">
        <v>167</v>
      </c>
      <c r="BE2988" s="408" t="s">
        <v>175</v>
      </c>
      <c r="BF2988" s="385"/>
      <c r="BG2988" s="475">
        <v>938</v>
      </c>
      <c r="BH2988" s="395"/>
      <c r="BI2988" s="395">
        <f t="shared" si="1143"/>
        <v>20.236630000000002</v>
      </c>
    </row>
    <row r="2989" spans="1:61" s="358" customFormat="1" ht="19.2" x14ac:dyDescent="0.3">
      <c r="A2989" s="359" t="s">
        <v>1940</v>
      </c>
      <c r="B2989" s="602" t="s">
        <v>5443</v>
      </c>
      <c r="C2989" s="548" t="s">
        <v>5444</v>
      </c>
      <c r="D2989" s="360">
        <v>0.4</v>
      </c>
      <c r="E2989" s="528"/>
      <c r="F2989" s="523"/>
      <c r="G2989" s="393"/>
      <c r="H2989" s="394"/>
      <c r="I2989" s="394"/>
      <c r="J2989" s="394"/>
      <c r="K2989" s="394"/>
      <c r="L2989" s="394"/>
      <c r="M2989" s="394"/>
      <c r="N2989" s="394"/>
      <c r="O2989" s="394"/>
      <c r="P2989" s="394"/>
      <c r="Q2989" s="394"/>
      <c r="R2989" s="381"/>
      <c r="S2989" s="408"/>
      <c r="T2989" s="385"/>
      <c r="U2989" s="475"/>
      <c r="V2989" s="395"/>
      <c r="W2989" s="395"/>
      <c r="X2989" s="528"/>
      <c r="Y2989" s="523"/>
      <c r="Z2989" s="393"/>
      <c r="AA2989" s="394"/>
      <c r="AB2989" s="394"/>
      <c r="AC2989" s="394"/>
      <c r="AD2989" s="394"/>
      <c r="AE2989" s="394"/>
      <c r="AF2989" s="394"/>
      <c r="AG2989" s="394"/>
      <c r="AH2989" s="394"/>
      <c r="AI2989" s="394"/>
      <c r="AJ2989" s="394"/>
      <c r="AK2989" s="381"/>
      <c r="AL2989" s="408"/>
      <c r="AM2989" s="385"/>
      <c r="AN2989" s="475"/>
      <c r="AO2989" s="395"/>
      <c r="AP2989" s="395"/>
      <c r="AQ2989" s="528"/>
      <c r="AR2989" s="523">
        <v>1</v>
      </c>
      <c r="AS2989" s="393"/>
      <c r="AT2989" s="600">
        <v>19.573540000000001</v>
      </c>
      <c r="AU2989" s="394">
        <v>16.322559999999999</v>
      </c>
      <c r="AV2989" s="394">
        <v>15.241820000000001</v>
      </c>
      <c r="AW2989" s="394"/>
      <c r="AX2989" s="394"/>
      <c r="AY2989" s="394">
        <v>0</v>
      </c>
      <c r="AZ2989" s="394">
        <v>0</v>
      </c>
      <c r="BA2989" s="394">
        <v>0.75790000000000002</v>
      </c>
      <c r="BB2989" s="394">
        <v>15.241820000000001</v>
      </c>
      <c r="BC2989" s="394"/>
      <c r="BD2989" s="381" t="s">
        <v>167</v>
      </c>
      <c r="BE2989" s="408" t="s">
        <v>175</v>
      </c>
      <c r="BF2989" s="385"/>
      <c r="BG2989" s="475">
        <v>939</v>
      </c>
      <c r="BH2989" s="395"/>
      <c r="BI2989" s="395">
        <f t="shared" ref="BI2989" si="1147">AT2989/AR2989</f>
        <v>19.573540000000001</v>
      </c>
    </row>
    <row r="2990" spans="1:61" s="358" customFormat="1" ht="19.2" x14ac:dyDescent="0.3">
      <c r="A2990" s="359" t="s">
        <v>1941</v>
      </c>
      <c r="B2990" s="602" t="s">
        <v>5445</v>
      </c>
      <c r="C2990" s="548" t="s">
        <v>5446</v>
      </c>
      <c r="D2990" s="360">
        <v>0.4</v>
      </c>
      <c r="E2990" s="528"/>
      <c r="F2990" s="523"/>
      <c r="G2990" s="393"/>
      <c r="H2990" s="394"/>
      <c r="I2990" s="394"/>
      <c r="J2990" s="394"/>
      <c r="K2990" s="394"/>
      <c r="L2990" s="394"/>
      <c r="M2990" s="394"/>
      <c r="N2990" s="394"/>
      <c r="O2990" s="394"/>
      <c r="P2990" s="394"/>
      <c r="Q2990" s="394"/>
      <c r="R2990" s="381"/>
      <c r="S2990" s="408"/>
      <c r="T2990" s="385"/>
      <c r="U2990" s="475"/>
      <c r="V2990" s="395"/>
      <c r="W2990" s="395"/>
      <c r="X2990" s="528"/>
      <c r="Y2990" s="523"/>
      <c r="Z2990" s="393"/>
      <c r="AA2990" s="394"/>
      <c r="AB2990" s="394"/>
      <c r="AC2990" s="394"/>
      <c r="AD2990" s="394"/>
      <c r="AE2990" s="394"/>
      <c r="AF2990" s="394"/>
      <c r="AG2990" s="394"/>
      <c r="AH2990" s="394"/>
      <c r="AI2990" s="394"/>
      <c r="AJ2990" s="394"/>
      <c r="AK2990" s="381"/>
      <c r="AL2990" s="408"/>
      <c r="AM2990" s="385"/>
      <c r="AN2990" s="475"/>
      <c r="AO2990" s="395"/>
      <c r="AP2990" s="395"/>
      <c r="AQ2990" s="528"/>
      <c r="AR2990" s="523">
        <v>1</v>
      </c>
      <c r="AS2990" s="393"/>
      <c r="AT2990" s="600">
        <v>19.573530000000002</v>
      </c>
      <c r="AU2990" s="394">
        <v>16.32255</v>
      </c>
      <c r="AV2990" s="394">
        <v>15.241820000000001</v>
      </c>
      <c r="AW2990" s="394"/>
      <c r="AX2990" s="394"/>
      <c r="AY2990" s="394">
        <v>0</v>
      </c>
      <c r="AZ2990" s="394">
        <v>0</v>
      </c>
      <c r="BA2990" s="394">
        <v>0.75790000000000002</v>
      </c>
      <c r="BB2990" s="394">
        <v>15.241820000000001</v>
      </c>
      <c r="BC2990" s="394"/>
      <c r="BD2990" s="381" t="s">
        <v>167</v>
      </c>
      <c r="BE2990" s="408" t="s">
        <v>175</v>
      </c>
      <c r="BF2990" s="385"/>
      <c r="BG2990" s="475">
        <v>940</v>
      </c>
      <c r="BH2990" s="395"/>
      <c r="BI2990" s="395">
        <f t="shared" si="1143"/>
        <v>19.573530000000002</v>
      </c>
    </row>
    <row r="2991" spans="1:61" s="358" customFormat="1" ht="19.2" x14ac:dyDescent="0.3">
      <c r="A2991" s="359" t="s">
        <v>1942</v>
      </c>
      <c r="B2991" s="602" t="s">
        <v>5511</v>
      </c>
      <c r="C2991" s="548" t="s">
        <v>5512</v>
      </c>
      <c r="D2991" s="360">
        <v>0.4</v>
      </c>
      <c r="E2991" s="528"/>
      <c r="F2991" s="523"/>
      <c r="G2991" s="393"/>
      <c r="H2991" s="394"/>
      <c r="I2991" s="394"/>
      <c r="J2991" s="394"/>
      <c r="K2991" s="394"/>
      <c r="L2991" s="394"/>
      <c r="M2991" s="394"/>
      <c r="N2991" s="394"/>
      <c r="O2991" s="394"/>
      <c r="P2991" s="394"/>
      <c r="Q2991" s="394"/>
      <c r="R2991" s="381"/>
      <c r="S2991" s="408"/>
      <c r="T2991" s="385"/>
      <c r="U2991" s="475"/>
      <c r="V2991" s="395"/>
      <c r="W2991" s="395"/>
      <c r="X2991" s="528"/>
      <c r="Y2991" s="523"/>
      <c r="Z2991" s="393"/>
      <c r="AA2991" s="394"/>
      <c r="AB2991" s="394"/>
      <c r="AC2991" s="394"/>
      <c r="AD2991" s="394"/>
      <c r="AE2991" s="394"/>
      <c r="AF2991" s="394"/>
      <c r="AG2991" s="394"/>
      <c r="AH2991" s="394"/>
      <c r="AI2991" s="394"/>
      <c r="AJ2991" s="394"/>
      <c r="AK2991" s="381"/>
      <c r="AL2991" s="408"/>
      <c r="AM2991" s="385"/>
      <c r="AN2991" s="475"/>
      <c r="AO2991" s="395"/>
      <c r="AP2991" s="395"/>
      <c r="AQ2991" s="528"/>
      <c r="AR2991" s="523">
        <v>1</v>
      </c>
      <c r="AS2991" s="393"/>
      <c r="AT2991" s="600">
        <v>20.237780000000001</v>
      </c>
      <c r="AU2991" s="394">
        <v>16.986799999999999</v>
      </c>
      <c r="AV2991" s="394">
        <v>15.2742</v>
      </c>
      <c r="AW2991" s="394"/>
      <c r="AX2991" s="394"/>
      <c r="AY2991" s="394">
        <v>0</v>
      </c>
      <c r="AZ2991" s="394">
        <v>0</v>
      </c>
      <c r="BA2991" s="394">
        <v>0.75790000000000002</v>
      </c>
      <c r="BB2991" s="394">
        <v>15.2742</v>
      </c>
      <c r="BC2991" s="394"/>
      <c r="BD2991" s="381" t="s">
        <v>167</v>
      </c>
      <c r="BE2991" s="408" t="s">
        <v>175</v>
      </c>
      <c r="BF2991" s="385"/>
      <c r="BG2991" s="475">
        <v>941</v>
      </c>
      <c r="BH2991" s="395"/>
      <c r="BI2991" s="395">
        <f t="shared" ref="BI2991:BI3034" si="1148">AT2991/AR2991</f>
        <v>20.237780000000001</v>
      </c>
    </row>
    <row r="2992" spans="1:61" s="358" customFormat="1" ht="19.2" x14ac:dyDescent="0.3">
      <c r="A2992" s="359" t="s">
        <v>1943</v>
      </c>
      <c r="B2992" s="602" t="s">
        <v>5513</v>
      </c>
      <c r="C2992" s="548" t="s">
        <v>5514</v>
      </c>
      <c r="D2992" s="360">
        <v>0.4</v>
      </c>
      <c r="E2992" s="528"/>
      <c r="F2992" s="523"/>
      <c r="G2992" s="393"/>
      <c r="H2992" s="394"/>
      <c r="I2992" s="394"/>
      <c r="J2992" s="394"/>
      <c r="K2992" s="394"/>
      <c r="L2992" s="394"/>
      <c r="M2992" s="394"/>
      <c r="N2992" s="394"/>
      <c r="O2992" s="394"/>
      <c r="P2992" s="394"/>
      <c r="Q2992" s="394"/>
      <c r="R2992" s="381"/>
      <c r="S2992" s="408"/>
      <c r="T2992" s="385"/>
      <c r="U2992" s="475"/>
      <c r="V2992" s="395"/>
      <c r="W2992" s="395"/>
      <c r="X2992" s="528"/>
      <c r="Y2992" s="523"/>
      <c r="Z2992" s="393"/>
      <c r="AA2992" s="394"/>
      <c r="AB2992" s="394"/>
      <c r="AC2992" s="394"/>
      <c r="AD2992" s="394"/>
      <c r="AE2992" s="394"/>
      <c r="AF2992" s="394"/>
      <c r="AG2992" s="394"/>
      <c r="AH2992" s="394"/>
      <c r="AI2992" s="394"/>
      <c r="AJ2992" s="394"/>
      <c r="AK2992" s="381"/>
      <c r="AL2992" s="408"/>
      <c r="AM2992" s="385"/>
      <c r="AN2992" s="475"/>
      <c r="AO2992" s="395"/>
      <c r="AP2992" s="395"/>
      <c r="AQ2992" s="528"/>
      <c r="AR2992" s="523">
        <v>1</v>
      </c>
      <c r="AS2992" s="393"/>
      <c r="AT2992" s="600">
        <v>20.237780000000001</v>
      </c>
      <c r="AU2992" s="394">
        <v>16.986799999999999</v>
      </c>
      <c r="AV2992" s="394">
        <v>15.2742</v>
      </c>
      <c r="AW2992" s="394"/>
      <c r="AX2992" s="394"/>
      <c r="AY2992" s="394">
        <v>0</v>
      </c>
      <c r="AZ2992" s="394">
        <v>0</v>
      </c>
      <c r="BA2992" s="394">
        <v>0.75790000000000002</v>
      </c>
      <c r="BB2992" s="394">
        <v>15.2742</v>
      </c>
      <c r="BC2992" s="394"/>
      <c r="BD2992" s="381" t="s">
        <v>167</v>
      </c>
      <c r="BE2992" s="408" t="s">
        <v>175</v>
      </c>
      <c r="BF2992" s="385"/>
      <c r="BG2992" s="475">
        <v>942</v>
      </c>
      <c r="BH2992" s="395"/>
      <c r="BI2992" s="395">
        <f t="shared" ref="BI2992" si="1149">AT2992/AR2992</f>
        <v>20.237780000000001</v>
      </c>
    </row>
    <row r="2993" spans="1:61" s="358" customFormat="1" ht="19.2" x14ac:dyDescent="0.3">
      <c r="A2993" s="359" t="s">
        <v>1944</v>
      </c>
      <c r="B2993" s="602" t="s">
        <v>5515</v>
      </c>
      <c r="C2993" s="548" t="s">
        <v>5516</v>
      </c>
      <c r="D2993" s="360">
        <v>0.4</v>
      </c>
      <c r="E2993" s="528"/>
      <c r="F2993" s="523"/>
      <c r="G2993" s="393"/>
      <c r="H2993" s="394"/>
      <c r="I2993" s="394"/>
      <c r="J2993" s="394"/>
      <c r="K2993" s="394"/>
      <c r="L2993" s="394"/>
      <c r="M2993" s="394"/>
      <c r="N2993" s="394"/>
      <c r="O2993" s="394"/>
      <c r="P2993" s="394"/>
      <c r="Q2993" s="394"/>
      <c r="R2993" s="381"/>
      <c r="S2993" s="408"/>
      <c r="T2993" s="385"/>
      <c r="U2993" s="475"/>
      <c r="V2993" s="395"/>
      <c r="W2993" s="395"/>
      <c r="X2993" s="528"/>
      <c r="Y2993" s="523"/>
      <c r="Z2993" s="393"/>
      <c r="AA2993" s="394"/>
      <c r="AB2993" s="394"/>
      <c r="AC2993" s="394"/>
      <c r="AD2993" s="394"/>
      <c r="AE2993" s="394"/>
      <c r="AF2993" s="394"/>
      <c r="AG2993" s="394"/>
      <c r="AH2993" s="394"/>
      <c r="AI2993" s="394"/>
      <c r="AJ2993" s="394"/>
      <c r="AK2993" s="381"/>
      <c r="AL2993" s="408"/>
      <c r="AM2993" s="385"/>
      <c r="AN2993" s="475"/>
      <c r="AO2993" s="395"/>
      <c r="AP2993" s="395"/>
      <c r="AQ2993" s="528"/>
      <c r="AR2993" s="523">
        <v>1</v>
      </c>
      <c r="AS2993" s="393"/>
      <c r="AT2993" s="600">
        <v>19.5747</v>
      </c>
      <c r="AU2993" s="394">
        <v>16.323720000000002</v>
      </c>
      <c r="AV2993" s="394">
        <v>15.2742</v>
      </c>
      <c r="AW2993" s="394"/>
      <c r="AX2993" s="394"/>
      <c r="AY2993" s="394">
        <v>0</v>
      </c>
      <c r="AZ2993" s="394">
        <v>0</v>
      </c>
      <c r="BA2993" s="394">
        <v>0.75790000000000002</v>
      </c>
      <c r="BB2993" s="394">
        <v>15.2742</v>
      </c>
      <c r="BC2993" s="394"/>
      <c r="BD2993" s="381" t="s">
        <v>167</v>
      </c>
      <c r="BE2993" s="408" t="s">
        <v>175</v>
      </c>
      <c r="BF2993" s="385"/>
      <c r="BG2993" s="475">
        <v>943</v>
      </c>
      <c r="BH2993" s="395"/>
      <c r="BI2993" s="395">
        <f t="shared" si="1148"/>
        <v>19.5747</v>
      </c>
    </row>
    <row r="2994" spans="1:61" s="358" customFormat="1" ht="19.2" x14ac:dyDescent="0.3">
      <c r="A2994" s="359" t="s">
        <v>1945</v>
      </c>
      <c r="B2994" s="602" t="s">
        <v>5517</v>
      </c>
      <c r="C2994" s="548" t="s">
        <v>5518</v>
      </c>
      <c r="D2994" s="360">
        <v>0.4</v>
      </c>
      <c r="E2994" s="528"/>
      <c r="F2994" s="523"/>
      <c r="G2994" s="393"/>
      <c r="H2994" s="394"/>
      <c r="I2994" s="394"/>
      <c r="J2994" s="394"/>
      <c r="K2994" s="394"/>
      <c r="L2994" s="394"/>
      <c r="M2994" s="394"/>
      <c r="N2994" s="394"/>
      <c r="O2994" s="394"/>
      <c r="P2994" s="394"/>
      <c r="Q2994" s="394"/>
      <c r="R2994" s="381"/>
      <c r="S2994" s="408"/>
      <c r="T2994" s="385"/>
      <c r="U2994" s="475"/>
      <c r="V2994" s="395"/>
      <c r="W2994" s="395"/>
      <c r="X2994" s="528"/>
      <c r="Y2994" s="523"/>
      <c r="Z2994" s="393"/>
      <c r="AA2994" s="394"/>
      <c r="AB2994" s="394"/>
      <c r="AC2994" s="394"/>
      <c r="AD2994" s="394"/>
      <c r="AE2994" s="394"/>
      <c r="AF2994" s="394"/>
      <c r="AG2994" s="394"/>
      <c r="AH2994" s="394"/>
      <c r="AI2994" s="394"/>
      <c r="AJ2994" s="394"/>
      <c r="AK2994" s="381"/>
      <c r="AL2994" s="408"/>
      <c r="AM2994" s="385"/>
      <c r="AN2994" s="475"/>
      <c r="AO2994" s="395"/>
      <c r="AP2994" s="395"/>
      <c r="AQ2994" s="528"/>
      <c r="AR2994" s="523">
        <v>1</v>
      </c>
      <c r="AS2994" s="393"/>
      <c r="AT2994" s="600">
        <v>19.574680000000001</v>
      </c>
      <c r="AU2994" s="394">
        <v>16.323699999999999</v>
      </c>
      <c r="AV2994" s="394">
        <v>15.2742</v>
      </c>
      <c r="AW2994" s="394"/>
      <c r="AX2994" s="394"/>
      <c r="AY2994" s="394">
        <v>0</v>
      </c>
      <c r="AZ2994" s="394">
        <v>0</v>
      </c>
      <c r="BA2994" s="394">
        <v>0.75790000000000002</v>
      </c>
      <c r="BB2994" s="394">
        <v>15.2742</v>
      </c>
      <c r="BC2994" s="394"/>
      <c r="BD2994" s="381" t="s">
        <v>167</v>
      </c>
      <c r="BE2994" s="408" t="s">
        <v>175</v>
      </c>
      <c r="BF2994" s="385"/>
      <c r="BG2994" s="475">
        <v>944</v>
      </c>
      <c r="BH2994" s="395"/>
      <c r="BI2994" s="395">
        <f t="shared" ref="BI2994" si="1150">AT2994/AR2994</f>
        <v>19.574680000000001</v>
      </c>
    </row>
    <row r="2995" spans="1:61" s="358" customFormat="1" ht="19.2" x14ac:dyDescent="0.3">
      <c r="A2995" s="359" t="s">
        <v>1946</v>
      </c>
      <c r="B2995" s="602" t="s">
        <v>5395</v>
      </c>
      <c r="C2995" s="548" t="s">
        <v>5396</v>
      </c>
      <c r="D2995" s="360">
        <v>0.4</v>
      </c>
      <c r="E2995" s="528"/>
      <c r="F2995" s="523"/>
      <c r="G2995" s="393"/>
      <c r="H2995" s="394"/>
      <c r="I2995" s="394"/>
      <c r="J2995" s="394"/>
      <c r="K2995" s="394"/>
      <c r="L2995" s="394"/>
      <c r="M2995" s="394"/>
      <c r="N2995" s="394"/>
      <c r="O2995" s="394"/>
      <c r="P2995" s="394"/>
      <c r="Q2995" s="394"/>
      <c r="R2995" s="381"/>
      <c r="S2995" s="408"/>
      <c r="T2995" s="385"/>
      <c r="U2995" s="475"/>
      <c r="V2995" s="395"/>
      <c r="W2995" s="395"/>
      <c r="X2995" s="528"/>
      <c r="Y2995" s="523"/>
      <c r="Z2995" s="393"/>
      <c r="AA2995" s="394"/>
      <c r="AB2995" s="394"/>
      <c r="AC2995" s="394"/>
      <c r="AD2995" s="394"/>
      <c r="AE2995" s="394"/>
      <c r="AF2995" s="394"/>
      <c r="AG2995" s="394"/>
      <c r="AH2995" s="394"/>
      <c r="AI2995" s="394"/>
      <c r="AJ2995" s="394"/>
      <c r="AK2995" s="381"/>
      <c r="AL2995" s="408"/>
      <c r="AM2995" s="385"/>
      <c r="AN2995" s="475"/>
      <c r="AO2995" s="395"/>
      <c r="AP2995" s="395"/>
      <c r="AQ2995" s="528"/>
      <c r="AR2995" s="523">
        <v>1</v>
      </c>
      <c r="AS2995" s="393"/>
      <c r="AT2995" s="600">
        <v>40.473269999999999</v>
      </c>
      <c r="AU2995" s="394">
        <v>33.971319999999999</v>
      </c>
      <c r="AV2995" s="394">
        <v>30.546119999999998</v>
      </c>
      <c r="AW2995" s="394"/>
      <c r="AX2995" s="394"/>
      <c r="AY2995" s="394">
        <v>0</v>
      </c>
      <c r="AZ2995" s="394">
        <v>0</v>
      </c>
      <c r="BA2995" s="394">
        <v>1.51579</v>
      </c>
      <c r="BB2995" s="394">
        <v>15.273059999999999</v>
      </c>
      <c r="BC2995" s="394"/>
      <c r="BD2995" s="381" t="s">
        <v>167</v>
      </c>
      <c r="BE2995" s="408" t="s">
        <v>175</v>
      </c>
      <c r="BF2995" s="385"/>
      <c r="BG2995" s="475">
        <v>945</v>
      </c>
      <c r="BH2995" s="395"/>
      <c r="BI2995" s="395">
        <f t="shared" si="1148"/>
        <v>40.473269999999999</v>
      </c>
    </row>
    <row r="2996" spans="1:61" s="358" customFormat="1" ht="19.2" x14ac:dyDescent="0.3">
      <c r="A2996" s="359" t="s">
        <v>1947</v>
      </c>
      <c r="B2996" s="602" t="s">
        <v>5519</v>
      </c>
      <c r="C2996" s="548" t="s">
        <v>5520</v>
      </c>
      <c r="D2996" s="360">
        <v>0.4</v>
      </c>
      <c r="E2996" s="528"/>
      <c r="F2996" s="523"/>
      <c r="G2996" s="393"/>
      <c r="H2996" s="394"/>
      <c r="I2996" s="394"/>
      <c r="J2996" s="394"/>
      <c r="K2996" s="394"/>
      <c r="L2996" s="394"/>
      <c r="M2996" s="394"/>
      <c r="N2996" s="394"/>
      <c r="O2996" s="394"/>
      <c r="P2996" s="394"/>
      <c r="Q2996" s="394"/>
      <c r="R2996" s="381"/>
      <c r="S2996" s="408"/>
      <c r="T2996" s="385"/>
      <c r="U2996" s="475"/>
      <c r="V2996" s="395"/>
      <c r="W2996" s="395"/>
      <c r="X2996" s="528"/>
      <c r="Y2996" s="523"/>
      <c r="Z2996" s="393"/>
      <c r="AA2996" s="394"/>
      <c r="AB2996" s="394"/>
      <c r="AC2996" s="394"/>
      <c r="AD2996" s="394"/>
      <c r="AE2996" s="394"/>
      <c r="AF2996" s="394"/>
      <c r="AG2996" s="394"/>
      <c r="AH2996" s="394"/>
      <c r="AI2996" s="394"/>
      <c r="AJ2996" s="394"/>
      <c r="AK2996" s="381"/>
      <c r="AL2996" s="408"/>
      <c r="AM2996" s="385"/>
      <c r="AN2996" s="475"/>
      <c r="AO2996" s="395"/>
      <c r="AP2996" s="395"/>
      <c r="AQ2996" s="528"/>
      <c r="AR2996" s="523">
        <v>1</v>
      </c>
      <c r="AS2996" s="393"/>
      <c r="AT2996" s="600">
        <v>19.57469</v>
      </c>
      <c r="AU2996" s="394">
        <v>16.323709999999998</v>
      </c>
      <c r="AV2996" s="394">
        <v>15.2742</v>
      </c>
      <c r="AW2996" s="394"/>
      <c r="AX2996" s="394"/>
      <c r="AY2996" s="394">
        <v>0</v>
      </c>
      <c r="AZ2996" s="394">
        <v>0</v>
      </c>
      <c r="BA2996" s="394">
        <v>0.75790000000000002</v>
      </c>
      <c r="BB2996" s="394">
        <v>15.2742</v>
      </c>
      <c r="BC2996" s="394"/>
      <c r="BD2996" s="381" t="s">
        <v>167</v>
      </c>
      <c r="BE2996" s="408" t="s">
        <v>175</v>
      </c>
      <c r="BF2996" s="385"/>
      <c r="BG2996" s="475">
        <v>946</v>
      </c>
      <c r="BH2996" s="395"/>
      <c r="BI2996" s="395">
        <f t="shared" ref="BI2996" si="1151">AT2996/AR2996</f>
        <v>19.57469</v>
      </c>
    </row>
    <row r="2997" spans="1:61" s="358" customFormat="1" ht="19.2" x14ac:dyDescent="0.3">
      <c r="A2997" s="359" t="s">
        <v>1948</v>
      </c>
      <c r="B2997" s="602" t="s">
        <v>5521</v>
      </c>
      <c r="C2997" s="548" t="s">
        <v>5522</v>
      </c>
      <c r="D2997" s="360">
        <v>0.4</v>
      </c>
      <c r="E2997" s="528"/>
      <c r="F2997" s="523"/>
      <c r="G2997" s="393"/>
      <c r="H2997" s="394"/>
      <c r="I2997" s="394"/>
      <c r="J2997" s="394"/>
      <c r="K2997" s="394"/>
      <c r="L2997" s="394"/>
      <c r="M2997" s="394"/>
      <c r="N2997" s="394"/>
      <c r="O2997" s="394"/>
      <c r="P2997" s="394"/>
      <c r="Q2997" s="394"/>
      <c r="R2997" s="381"/>
      <c r="S2997" s="408"/>
      <c r="T2997" s="385"/>
      <c r="U2997" s="475"/>
      <c r="V2997" s="395"/>
      <c r="W2997" s="395"/>
      <c r="X2997" s="528"/>
      <c r="Y2997" s="523"/>
      <c r="Z2997" s="393"/>
      <c r="AA2997" s="394"/>
      <c r="AB2997" s="394"/>
      <c r="AC2997" s="394"/>
      <c r="AD2997" s="394"/>
      <c r="AE2997" s="394"/>
      <c r="AF2997" s="394"/>
      <c r="AG2997" s="394"/>
      <c r="AH2997" s="394"/>
      <c r="AI2997" s="394"/>
      <c r="AJ2997" s="394"/>
      <c r="AK2997" s="381"/>
      <c r="AL2997" s="408"/>
      <c r="AM2997" s="385"/>
      <c r="AN2997" s="475"/>
      <c r="AO2997" s="395"/>
      <c r="AP2997" s="395"/>
      <c r="AQ2997" s="528"/>
      <c r="AR2997" s="523">
        <v>1</v>
      </c>
      <c r="AS2997" s="393"/>
      <c r="AT2997" s="600">
        <v>20.237780000000001</v>
      </c>
      <c r="AU2997" s="394">
        <v>16.986799999999999</v>
      </c>
      <c r="AV2997" s="394">
        <v>15.2742</v>
      </c>
      <c r="AW2997" s="394"/>
      <c r="AX2997" s="394"/>
      <c r="AY2997" s="394">
        <v>0</v>
      </c>
      <c r="AZ2997" s="394">
        <v>0</v>
      </c>
      <c r="BA2997" s="394">
        <v>0.75790000000000002</v>
      </c>
      <c r="BB2997" s="394">
        <v>15.2742</v>
      </c>
      <c r="BC2997" s="394"/>
      <c r="BD2997" s="381" t="s">
        <v>167</v>
      </c>
      <c r="BE2997" s="408" t="s">
        <v>175</v>
      </c>
      <c r="BF2997" s="385"/>
      <c r="BG2997" s="475">
        <v>947</v>
      </c>
      <c r="BH2997" s="395"/>
      <c r="BI2997" s="395">
        <f t="shared" si="1148"/>
        <v>20.237780000000001</v>
      </c>
    </row>
    <row r="2998" spans="1:61" s="358" customFormat="1" ht="19.2" x14ac:dyDescent="0.3">
      <c r="A2998" s="359" t="s">
        <v>1949</v>
      </c>
      <c r="B2998" s="602" t="s">
        <v>5523</v>
      </c>
      <c r="C2998" s="548" t="s">
        <v>5524</v>
      </c>
      <c r="D2998" s="360">
        <v>0.4</v>
      </c>
      <c r="E2998" s="528"/>
      <c r="F2998" s="523"/>
      <c r="G2998" s="393"/>
      <c r="H2998" s="394"/>
      <c r="I2998" s="394"/>
      <c r="J2998" s="394"/>
      <c r="K2998" s="394"/>
      <c r="L2998" s="394"/>
      <c r="M2998" s="394"/>
      <c r="N2998" s="394"/>
      <c r="O2998" s="394"/>
      <c r="P2998" s="394"/>
      <c r="Q2998" s="394"/>
      <c r="R2998" s="381"/>
      <c r="S2998" s="408"/>
      <c r="T2998" s="385"/>
      <c r="U2998" s="475"/>
      <c r="V2998" s="395"/>
      <c r="W2998" s="395"/>
      <c r="X2998" s="528"/>
      <c r="Y2998" s="523"/>
      <c r="Z2998" s="393"/>
      <c r="AA2998" s="394"/>
      <c r="AB2998" s="394"/>
      <c r="AC2998" s="394"/>
      <c r="AD2998" s="394"/>
      <c r="AE2998" s="394"/>
      <c r="AF2998" s="394"/>
      <c r="AG2998" s="394"/>
      <c r="AH2998" s="394"/>
      <c r="AI2998" s="394"/>
      <c r="AJ2998" s="394"/>
      <c r="AK2998" s="381"/>
      <c r="AL2998" s="408"/>
      <c r="AM2998" s="385"/>
      <c r="AN2998" s="475"/>
      <c r="AO2998" s="395"/>
      <c r="AP2998" s="395"/>
      <c r="AQ2998" s="528"/>
      <c r="AR2998" s="523">
        <v>1</v>
      </c>
      <c r="AS2998" s="393"/>
      <c r="AT2998" s="600">
        <v>19.574680000000001</v>
      </c>
      <c r="AU2998" s="394">
        <v>16.323699999999999</v>
      </c>
      <c r="AV2998" s="394">
        <v>15.2742</v>
      </c>
      <c r="AW2998" s="394"/>
      <c r="AX2998" s="394"/>
      <c r="AY2998" s="394">
        <v>0</v>
      </c>
      <c r="AZ2998" s="394">
        <v>0</v>
      </c>
      <c r="BA2998" s="394">
        <v>0.75790000000000002</v>
      </c>
      <c r="BB2998" s="394">
        <v>15.2742</v>
      </c>
      <c r="BC2998" s="394"/>
      <c r="BD2998" s="381" t="s">
        <v>167</v>
      </c>
      <c r="BE2998" s="408" t="s">
        <v>175</v>
      </c>
      <c r="BF2998" s="385"/>
      <c r="BG2998" s="475">
        <v>948</v>
      </c>
      <c r="BH2998" s="395"/>
      <c r="BI2998" s="395">
        <f t="shared" ref="BI2998" si="1152">AT2998/AR2998</f>
        <v>19.574680000000001</v>
      </c>
    </row>
    <row r="2999" spans="1:61" s="358" customFormat="1" ht="19.2" x14ac:dyDescent="0.3">
      <c r="A2999" s="359" t="s">
        <v>1950</v>
      </c>
      <c r="B2999" s="602" t="s">
        <v>5525</v>
      </c>
      <c r="C2999" s="548" t="s">
        <v>5526</v>
      </c>
      <c r="D2999" s="360">
        <v>0.4</v>
      </c>
      <c r="E2999" s="528"/>
      <c r="F2999" s="523"/>
      <c r="G2999" s="393"/>
      <c r="H2999" s="394"/>
      <c r="I2999" s="394"/>
      <c r="J2999" s="394"/>
      <c r="K2999" s="394"/>
      <c r="L2999" s="394"/>
      <c r="M2999" s="394"/>
      <c r="N2999" s="394"/>
      <c r="O2999" s="394"/>
      <c r="P2999" s="394"/>
      <c r="Q2999" s="394"/>
      <c r="R2999" s="381"/>
      <c r="S2999" s="408"/>
      <c r="T2999" s="385"/>
      <c r="U2999" s="475"/>
      <c r="V2999" s="395"/>
      <c r="W2999" s="395"/>
      <c r="X2999" s="528"/>
      <c r="Y2999" s="523"/>
      <c r="Z2999" s="393"/>
      <c r="AA2999" s="394"/>
      <c r="AB2999" s="394"/>
      <c r="AC2999" s="394"/>
      <c r="AD2999" s="394"/>
      <c r="AE2999" s="394"/>
      <c r="AF2999" s="394"/>
      <c r="AG2999" s="394"/>
      <c r="AH2999" s="394"/>
      <c r="AI2999" s="394"/>
      <c r="AJ2999" s="394"/>
      <c r="AK2999" s="381"/>
      <c r="AL2999" s="408"/>
      <c r="AM2999" s="385"/>
      <c r="AN2999" s="475"/>
      <c r="AO2999" s="395"/>
      <c r="AP2999" s="395"/>
      <c r="AQ2999" s="528"/>
      <c r="AR2999" s="523">
        <v>1</v>
      </c>
      <c r="AS2999" s="393"/>
      <c r="AT2999" s="600">
        <v>20.237780000000001</v>
      </c>
      <c r="AU2999" s="394">
        <v>16.986799999999999</v>
      </c>
      <c r="AV2999" s="394">
        <v>15.2742</v>
      </c>
      <c r="AW2999" s="394"/>
      <c r="AX2999" s="394"/>
      <c r="AY2999" s="394">
        <v>0</v>
      </c>
      <c r="AZ2999" s="394">
        <v>0</v>
      </c>
      <c r="BA2999" s="394">
        <v>0.75790000000000002</v>
      </c>
      <c r="BB2999" s="394">
        <v>15.2742</v>
      </c>
      <c r="BC2999" s="394"/>
      <c r="BD2999" s="381" t="s">
        <v>167</v>
      </c>
      <c r="BE2999" s="408" t="s">
        <v>175</v>
      </c>
      <c r="BF2999" s="385"/>
      <c r="BG2999" s="475">
        <v>949</v>
      </c>
      <c r="BH2999" s="395"/>
      <c r="BI2999" s="395">
        <f t="shared" si="1148"/>
        <v>20.237780000000001</v>
      </c>
    </row>
    <row r="3000" spans="1:61" s="358" customFormat="1" ht="19.2" x14ac:dyDescent="0.3">
      <c r="A3000" s="359" t="s">
        <v>1953</v>
      </c>
      <c r="B3000" s="602" t="s">
        <v>5527</v>
      </c>
      <c r="C3000" s="548" t="s">
        <v>5528</v>
      </c>
      <c r="D3000" s="360">
        <v>0.4</v>
      </c>
      <c r="E3000" s="528"/>
      <c r="F3000" s="523"/>
      <c r="G3000" s="393"/>
      <c r="H3000" s="394"/>
      <c r="I3000" s="394"/>
      <c r="J3000" s="394"/>
      <c r="K3000" s="394"/>
      <c r="L3000" s="394"/>
      <c r="M3000" s="394"/>
      <c r="N3000" s="394"/>
      <c r="O3000" s="394"/>
      <c r="P3000" s="394"/>
      <c r="Q3000" s="394"/>
      <c r="R3000" s="381"/>
      <c r="S3000" s="408"/>
      <c r="T3000" s="385"/>
      <c r="U3000" s="475"/>
      <c r="V3000" s="395"/>
      <c r="W3000" s="395"/>
      <c r="X3000" s="528"/>
      <c r="Y3000" s="523"/>
      <c r="Z3000" s="393"/>
      <c r="AA3000" s="394"/>
      <c r="AB3000" s="394"/>
      <c r="AC3000" s="394"/>
      <c r="AD3000" s="394"/>
      <c r="AE3000" s="394"/>
      <c r="AF3000" s="394"/>
      <c r="AG3000" s="394"/>
      <c r="AH3000" s="394"/>
      <c r="AI3000" s="394"/>
      <c r="AJ3000" s="394"/>
      <c r="AK3000" s="381"/>
      <c r="AL3000" s="408"/>
      <c r="AM3000" s="385"/>
      <c r="AN3000" s="475"/>
      <c r="AO3000" s="395"/>
      <c r="AP3000" s="395"/>
      <c r="AQ3000" s="528"/>
      <c r="AR3000" s="523">
        <v>1</v>
      </c>
      <c r="AS3000" s="393"/>
      <c r="AT3000" s="600">
        <v>20.237780000000001</v>
      </c>
      <c r="AU3000" s="394">
        <v>16.986799999999999</v>
      </c>
      <c r="AV3000" s="394">
        <v>15.2742</v>
      </c>
      <c r="AW3000" s="394"/>
      <c r="AX3000" s="394"/>
      <c r="AY3000" s="394">
        <v>0</v>
      </c>
      <c r="AZ3000" s="394">
        <v>0</v>
      </c>
      <c r="BA3000" s="394">
        <v>0.75790000000000002</v>
      </c>
      <c r="BB3000" s="394">
        <v>15.2742</v>
      </c>
      <c r="BC3000" s="394"/>
      <c r="BD3000" s="381" t="s">
        <v>167</v>
      </c>
      <c r="BE3000" s="408" t="s">
        <v>175</v>
      </c>
      <c r="BF3000" s="385"/>
      <c r="BG3000" s="475">
        <v>950</v>
      </c>
      <c r="BH3000" s="395"/>
      <c r="BI3000" s="395">
        <f t="shared" ref="BI3000" si="1153">AT3000/AR3000</f>
        <v>20.237780000000001</v>
      </c>
    </row>
    <row r="3001" spans="1:61" s="358" customFormat="1" ht="19.2" x14ac:dyDescent="0.3">
      <c r="A3001" s="359" t="s">
        <v>1954</v>
      </c>
      <c r="B3001" s="602" t="s">
        <v>5529</v>
      </c>
      <c r="C3001" s="548" t="s">
        <v>5530</v>
      </c>
      <c r="D3001" s="360">
        <v>0.4</v>
      </c>
      <c r="E3001" s="528"/>
      <c r="F3001" s="523"/>
      <c r="G3001" s="393"/>
      <c r="H3001" s="394"/>
      <c r="I3001" s="394"/>
      <c r="J3001" s="394"/>
      <c r="K3001" s="394"/>
      <c r="L3001" s="394"/>
      <c r="M3001" s="394"/>
      <c r="N3001" s="394"/>
      <c r="O3001" s="394"/>
      <c r="P3001" s="394"/>
      <c r="Q3001" s="394"/>
      <c r="R3001" s="381"/>
      <c r="S3001" s="408"/>
      <c r="T3001" s="385"/>
      <c r="U3001" s="475"/>
      <c r="V3001" s="395"/>
      <c r="W3001" s="395"/>
      <c r="X3001" s="528"/>
      <c r="Y3001" s="523"/>
      <c r="Z3001" s="393"/>
      <c r="AA3001" s="394"/>
      <c r="AB3001" s="394"/>
      <c r="AC3001" s="394"/>
      <c r="AD3001" s="394"/>
      <c r="AE3001" s="394"/>
      <c r="AF3001" s="394"/>
      <c r="AG3001" s="394"/>
      <c r="AH3001" s="394"/>
      <c r="AI3001" s="394"/>
      <c r="AJ3001" s="394"/>
      <c r="AK3001" s="381"/>
      <c r="AL3001" s="408"/>
      <c r="AM3001" s="385"/>
      <c r="AN3001" s="475"/>
      <c r="AO3001" s="395"/>
      <c r="AP3001" s="395"/>
      <c r="AQ3001" s="528"/>
      <c r="AR3001" s="523">
        <v>1</v>
      </c>
      <c r="AS3001" s="393"/>
      <c r="AT3001" s="600">
        <v>15.197979999999999</v>
      </c>
      <c r="AU3001" s="394">
        <v>13.33297</v>
      </c>
      <c r="AV3001" s="394">
        <v>13.33297</v>
      </c>
      <c r="AW3001" s="394"/>
      <c r="AX3001" s="394"/>
      <c r="AY3001" s="394">
        <v>0</v>
      </c>
      <c r="AZ3001" s="394">
        <v>0</v>
      </c>
      <c r="BA3001" s="394">
        <v>0.43479000000000001</v>
      </c>
      <c r="BB3001" s="394">
        <v>13.33297</v>
      </c>
      <c r="BC3001" s="394"/>
      <c r="BD3001" s="381" t="s">
        <v>167</v>
      </c>
      <c r="BE3001" s="408" t="s">
        <v>175</v>
      </c>
      <c r="BF3001" s="385"/>
      <c r="BG3001" s="475">
        <v>951</v>
      </c>
      <c r="BH3001" s="395"/>
      <c r="BI3001" s="395">
        <f t="shared" si="1148"/>
        <v>15.197979999999999</v>
      </c>
    </row>
    <row r="3002" spans="1:61" s="358" customFormat="1" ht="19.2" x14ac:dyDescent="0.3">
      <c r="A3002" s="359" t="s">
        <v>1955</v>
      </c>
      <c r="B3002" s="602" t="s">
        <v>5531</v>
      </c>
      <c r="C3002" s="548" t="s">
        <v>5532</v>
      </c>
      <c r="D3002" s="360">
        <v>0.4</v>
      </c>
      <c r="E3002" s="528"/>
      <c r="F3002" s="523"/>
      <c r="G3002" s="393"/>
      <c r="H3002" s="394"/>
      <c r="I3002" s="394"/>
      <c r="J3002" s="394"/>
      <c r="K3002" s="394"/>
      <c r="L3002" s="394"/>
      <c r="M3002" s="394"/>
      <c r="N3002" s="394"/>
      <c r="O3002" s="394"/>
      <c r="P3002" s="394"/>
      <c r="Q3002" s="394"/>
      <c r="R3002" s="381"/>
      <c r="S3002" s="408"/>
      <c r="T3002" s="385"/>
      <c r="U3002" s="475"/>
      <c r="V3002" s="395"/>
      <c r="W3002" s="395"/>
      <c r="X3002" s="528"/>
      <c r="Y3002" s="523"/>
      <c r="Z3002" s="393"/>
      <c r="AA3002" s="394"/>
      <c r="AB3002" s="394"/>
      <c r="AC3002" s="394"/>
      <c r="AD3002" s="394"/>
      <c r="AE3002" s="394"/>
      <c r="AF3002" s="394"/>
      <c r="AG3002" s="394"/>
      <c r="AH3002" s="394"/>
      <c r="AI3002" s="394"/>
      <c r="AJ3002" s="394"/>
      <c r="AK3002" s="381"/>
      <c r="AL3002" s="408"/>
      <c r="AM3002" s="385"/>
      <c r="AN3002" s="475"/>
      <c r="AO3002" s="395"/>
      <c r="AP3002" s="395"/>
      <c r="AQ3002" s="528"/>
      <c r="AR3002" s="523">
        <v>1</v>
      </c>
      <c r="AS3002" s="393"/>
      <c r="AT3002" s="600">
        <v>20.237780000000001</v>
      </c>
      <c r="AU3002" s="394">
        <v>16.986799999999999</v>
      </c>
      <c r="AV3002" s="394">
        <v>15.2742</v>
      </c>
      <c r="AW3002" s="394"/>
      <c r="AX3002" s="394"/>
      <c r="AY3002" s="394">
        <v>0</v>
      </c>
      <c r="AZ3002" s="394">
        <v>0</v>
      </c>
      <c r="BA3002" s="394">
        <v>0.75790000000000002</v>
      </c>
      <c r="BB3002" s="394">
        <v>15.2742</v>
      </c>
      <c r="BC3002" s="394"/>
      <c r="BD3002" s="381" t="s">
        <v>167</v>
      </c>
      <c r="BE3002" s="408" t="s">
        <v>175</v>
      </c>
      <c r="BF3002" s="385"/>
      <c r="BG3002" s="475">
        <v>952</v>
      </c>
      <c r="BH3002" s="395"/>
      <c r="BI3002" s="395">
        <f t="shared" ref="BI3002" si="1154">AT3002/AR3002</f>
        <v>20.237780000000001</v>
      </c>
    </row>
    <row r="3003" spans="1:61" s="358" customFormat="1" ht="19.2" x14ac:dyDescent="0.3">
      <c r="A3003" s="359" t="s">
        <v>1956</v>
      </c>
      <c r="B3003" s="602" t="s">
        <v>5533</v>
      </c>
      <c r="C3003" s="548" t="s">
        <v>5534</v>
      </c>
      <c r="D3003" s="360">
        <v>0.4</v>
      </c>
      <c r="E3003" s="528"/>
      <c r="F3003" s="523"/>
      <c r="G3003" s="393"/>
      <c r="H3003" s="394"/>
      <c r="I3003" s="394"/>
      <c r="J3003" s="394"/>
      <c r="K3003" s="394"/>
      <c r="L3003" s="394"/>
      <c r="M3003" s="394"/>
      <c r="N3003" s="394"/>
      <c r="O3003" s="394"/>
      <c r="P3003" s="394"/>
      <c r="Q3003" s="394"/>
      <c r="R3003" s="381"/>
      <c r="S3003" s="408"/>
      <c r="T3003" s="385"/>
      <c r="U3003" s="475"/>
      <c r="V3003" s="395"/>
      <c r="W3003" s="395"/>
      <c r="X3003" s="528"/>
      <c r="Y3003" s="523"/>
      <c r="Z3003" s="393"/>
      <c r="AA3003" s="394"/>
      <c r="AB3003" s="394"/>
      <c r="AC3003" s="394"/>
      <c r="AD3003" s="394"/>
      <c r="AE3003" s="394"/>
      <c r="AF3003" s="394"/>
      <c r="AG3003" s="394"/>
      <c r="AH3003" s="394"/>
      <c r="AI3003" s="394"/>
      <c r="AJ3003" s="394"/>
      <c r="AK3003" s="381"/>
      <c r="AL3003" s="408"/>
      <c r="AM3003" s="385"/>
      <c r="AN3003" s="475"/>
      <c r="AO3003" s="395"/>
      <c r="AP3003" s="395"/>
      <c r="AQ3003" s="528"/>
      <c r="AR3003" s="523">
        <v>1</v>
      </c>
      <c r="AS3003" s="393"/>
      <c r="AT3003" s="600">
        <v>19.574680000000001</v>
      </c>
      <c r="AU3003" s="394">
        <v>16.323699999999999</v>
      </c>
      <c r="AV3003" s="394">
        <v>15.2742</v>
      </c>
      <c r="AW3003" s="394"/>
      <c r="AX3003" s="394"/>
      <c r="AY3003" s="394">
        <v>0</v>
      </c>
      <c r="AZ3003" s="394">
        <v>0</v>
      </c>
      <c r="BA3003" s="394">
        <v>0.75790000000000002</v>
      </c>
      <c r="BB3003" s="394">
        <v>15.2742</v>
      </c>
      <c r="BC3003" s="394"/>
      <c r="BD3003" s="381" t="s">
        <v>167</v>
      </c>
      <c r="BE3003" s="408" t="s">
        <v>175</v>
      </c>
      <c r="BF3003" s="385"/>
      <c r="BG3003" s="475">
        <v>953</v>
      </c>
      <c r="BH3003" s="395"/>
      <c r="BI3003" s="395">
        <f t="shared" si="1148"/>
        <v>19.574680000000001</v>
      </c>
    </row>
    <row r="3004" spans="1:61" s="358" customFormat="1" ht="19.2" x14ac:dyDescent="0.3">
      <c r="A3004" s="359" t="s">
        <v>1957</v>
      </c>
      <c r="B3004" s="602" t="s">
        <v>5533</v>
      </c>
      <c r="C3004" s="548" t="s">
        <v>5535</v>
      </c>
      <c r="D3004" s="360">
        <v>0.4</v>
      </c>
      <c r="E3004" s="528"/>
      <c r="F3004" s="523"/>
      <c r="G3004" s="393"/>
      <c r="H3004" s="394"/>
      <c r="I3004" s="394"/>
      <c r="J3004" s="394"/>
      <c r="K3004" s="394"/>
      <c r="L3004" s="394"/>
      <c r="M3004" s="394"/>
      <c r="N3004" s="394"/>
      <c r="O3004" s="394"/>
      <c r="P3004" s="394"/>
      <c r="Q3004" s="394"/>
      <c r="R3004" s="381"/>
      <c r="S3004" s="408"/>
      <c r="T3004" s="385"/>
      <c r="U3004" s="475"/>
      <c r="V3004" s="395"/>
      <c r="W3004" s="395"/>
      <c r="X3004" s="528"/>
      <c r="Y3004" s="523"/>
      <c r="Z3004" s="393"/>
      <c r="AA3004" s="394"/>
      <c r="AB3004" s="394"/>
      <c r="AC3004" s="394"/>
      <c r="AD3004" s="394"/>
      <c r="AE3004" s="394"/>
      <c r="AF3004" s="394"/>
      <c r="AG3004" s="394"/>
      <c r="AH3004" s="394"/>
      <c r="AI3004" s="394"/>
      <c r="AJ3004" s="394"/>
      <c r="AK3004" s="381"/>
      <c r="AL3004" s="408"/>
      <c r="AM3004" s="385"/>
      <c r="AN3004" s="475"/>
      <c r="AO3004" s="395"/>
      <c r="AP3004" s="395"/>
      <c r="AQ3004" s="528"/>
      <c r="AR3004" s="523">
        <v>1</v>
      </c>
      <c r="AS3004" s="393"/>
      <c r="AT3004" s="600">
        <v>20.2378</v>
      </c>
      <c r="AU3004" s="394">
        <v>16.986820000000002</v>
      </c>
      <c r="AV3004" s="394">
        <v>15.2742</v>
      </c>
      <c r="AW3004" s="394"/>
      <c r="AX3004" s="394"/>
      <c r="AY3004" s="394">
        <v>0</v>
      </c>
      <c r="AZ3004" s="394">
        <v>0</v>
      </c>
      <c r="BA3004" s="394">
        <v>0.75790000000000002</v>
      </c>
      <c r="BB3004" s="394">
        <v>15.2742</v>
      </c>
      <c r="BC3004" s="394"/>
      <c r="BD3004" s="381" t="s">
        <v>167</v>
      </c>
      <c r="BE3004" s="408" t="s">
        <v>175</v>
      </c>
      <c r="BF3004" s="385"/>
      <c r="BG3004" s="475">
        <v>954</v>
      </c>
      <c r="BH3004" s="395"/>
      <c r="BI3004" s="395">
        <f t="shared" ref="BI3004" si="1155">AT3004/AR3004</f>
        <v>20.2378</v>
      </c>
    </row>
    <row r="3005" spans="1:61" s="358" customFormat="1" ht="19.2" x14ac:dyDescent="0.3">
      <c r="A3005" s="359" t="s">
        <v>1958</v>
      </c>
      <c r="B3005" s="602" t="s">
        <v>5536</v>
      </c>
      <c r="C3005" s="548" t="s">
        <v>5537</v>
      </c>
      <c r="D3005" s="360">
        <v>0.4</v>
      </c>
      <c r="E3005" s="528"/>
      <c r="F3005" s="523"/>
      <c r="G3005" s="393"/>
      <c r="H3005" s="394"/>
      <c r="I3005" s="394"/>
      <c r="J3005" s="394"/>
      <c r="K3005" s="394"/>
      <c r="L3005" s="394"/>
      <c r="M3005" s="394"/>
      <c r="N3005" s="394"/>
      <c r="O3005" s="394"/>
      <c r="P3005" s="394"/>
      <c r="Q3005" s="394"/>
      <c r="R3005" s="381"/>
      <c r="S3005" s="408"/>
      <c r="T3005" s="385"/>
      <c r="U3005" s="475"/>
      <c r="V3005" s="395"/>
      <c r="W3005" s="395"/>
      <c r="X3005" s="528"/>
      <c r="Y3005" s="523"/>
      <c r="Z3005" s="393"/>
      <c r="AA3005" s="394"/>
      <c r="AB3005" s="394"/>
      <c r="AC3005" s="394"/>
      <c r="AD3005" s="394"/>
      <c r="AE3005" s="394"/>
      <c r="AF3005" s="394"/>
      <c r="AG3005" s="394"/>
      <c r="AH3005" s="394"/>
      <c r="AI3005" s="394"/>
      <c r="AJ3005" s="394"/>
      <c r="AK3005" s="381"/>
      <c r="AL3005" s="408"/>
      <c r="AM3005" s="385"/>
      <c r="AN3005" s="475"/>
      <c r="AO3005" s="395"/>
      <c r="AP3005" s="395"/>
      <c r="AQ3005" s="528"/>
      <c r="AR3005" s="523">
        <v>1</v>
      </c>
      <c r="AS3005" s="393"/>
      <c r="AT3005" s="600">
        <v>19.5747</v>
      </c>
      <c r="AU3005" s="394">
        <v>16.323720000000002</v>
      </c>
      <c r="AV3005" s="394">
        <v>15.2742</v>
      </c>
      <c r="AW3005" s="394"/>
      <c r="AX3005" s="394"/>
      <c r="AY3005" s="394">
        <v>0</v>
      </c>
      <c r="AZ3005" s="394">
        <v>0</v>
      </c>
      <c r="BA3005" s="394">
        <v>0.75790000000000002</v>
      </c>
      <c r="BB3005" s="394">
        <v>15.2742</v>
      </c>
      <c r="BC3005" s="394"/>
      <c r="BD3005" s="381" t="s">
        <v>167</v>
      </c>
      <c r="BE3005" s="408" t="s">
        <v>175</v>
      </c>
      <c r="BF3005" s="385"/>
      <c r="BG3005" s="475">
        <v>955</v>
      </c>
      <c r="BH3005" s="395"/>
      <c r="BI3005" s="395">
        <f t="shared" si="1148"/>
        <v>19.5747</v>
      </c>
    </row>
    <row r="3006" spans="1:61" s="358" customFormat="1" ht="19.2" x14ac:dyDescent="0.3">
      <c r="A3006" s="359" t="s">
        <v>1959</v>
      </c>
      <c r="B3006" s="602" t="s">
        <v>5538</v>
      </c>
      <c r="C3006" s="548" t="s">
        <v>5539</v>
      </c>
      <c r="D3006" s="360">
        <v>0.4</v>
      </c>
      <c r="E3006" s="528"/>
      <c r="F3006" s="523"/>
      <c r="G3006" s="393"/>
      <c r="H3006" s="394"/>
      <c r="I3006" s="394"/>
      <c r="J3006" s="394"/>
      <c r="K3006" s="394"/>
      <c r="L3006" s="394"/>
      <c r="M3006" s="394"/>
      <c r="N3006" s="394"/>
      <c r="O3006" s="394"/>
      <c r="P3006" s="394"/>
      <c r="Q3006" s="394"/>
      <c r="R3006" s="381"/>
      <c r="S3006" s="408"/>
      <c r="T3006" s="385"/>
      <c r="U3006" s="475"/>
      <c r="V3006" s="395"/>
      <c r="W3006" s="395"/>
      <c r="X3006" s="528"/>
      <c r="Y3006" s="523"/>
      <c r="Z3006" s="393"/>
      <c r="AA3006" s="394"/>
      <c r="AB3006" s="394"/>
      <c r="AC3006" s="394"/>
      <c r="AD3006" s="394"/>
      <c r="AE3006" s="394"/>
      <c r="AF3006" s="394"/>
      <c r="AG3006" s="394"/>
      <c r="AH3006" s="394"/>
      <c r="AI3006" s="394"/>
      <c r="AJ3006" s="394"/>
      <c r="AK3006" s="381"/>
      <c r="AL3006" s="408"/>
      <c r="AM3006" s="385"/>
      <c r="AN3006" s="475"/>
      <c r="AO3006" s="395"/>
      <c r="AP3006" s="395"/>
      <c r="AQ3006" s="528"/>
      <c r="AR3006" s="523">
        <v>1</v>
      </c>
      <c r="AS3006" s="393"/>
      <c r="AT3006" s="600">
        <v>20.2378</v>
      </c>
      <c r="AU3006" s="394">
        <v>16.986820000000002</v>
      </c>
      <c r="AV3006" s="394">
        <v>15.2742</v>
      </c>
      <c r="AW3006" s="394"/>
      <c r="AX3006" s="394"/>
      <c r="AY3006" s="394">
        <v>0</v>
      </c>
      <c r="AZ3006" s="394">
        <v>0</v>
      </c>
      <c r="BA3006" s="394">
        <v>0.75790000000000002</v>
      </c>
      <c r="BB3006" s="394">
        <v>15.2742</v>
      </c>
      <c r="BC3006" s="394"/>
      <c r="BD3006" s="381" t="s">
        <v>167</v>
      </c>
      <c r="BE3006" s="408" t="s">
        <v>175</v>
      </c>
      <c r="BF3006" s="385"/>
      <c r="BG3006" s="475">
        <v>956</v>
      </c>
      <c r="BH3006" s="395"/>
      <c r="BI3006" s="395">
        <f t="shared" ref="BI3006" si="1156">AT3006/AR3006</f>
        <v>20.2378</v>
      </c>
    </row>
    <row r="3007" spans="1:61" s="358" customFormat="1" ht="19.2" x14ac:dyDescent="0.3">
      <c r="A3007" s="359" t="s">
        <v>1960</v>
      </c>
      <c r="B3007" s="602" t="s">
        <v>5540</v>
      </c>
      <c r="C3007" s="548" t="s">
        <v>5541</v>
      </c>
      <c r="D3007" s="360">
        <v>0.4</v>
      </c>
      <c r="E3007" s="528"/>
      <c r="F3007" s="523"/>
      <c r="G3007" s="393"/>
      <c r="H3007" s="394"/>
      <c r="I3007" s="394"/>
      <c r="J3007" s="394"/>
      <c r="K3007" s="394"/>
      <c r="L3007" s="394"/>
      <c r="M3007" s="394"/>
      <c r="N3007" s="394"/>
      <c r="O3007" s="394"/>
      <c r="P3007" s="394"/>
      <c r="Q3007" s="394"/>
      <c r="R3007" s="381"/>
      <c r="S3007" s="408"/>
      <c r="T3007" s="385"/>
      <c r="U3007" s="475"/>
      <c r="V3007" s="395"/>
      <c r="W3007" s="395"/>
      <c r="X3007" s="528"/>
      <c r="Y3007" s="523"/>
      <c r="Z3007" s="393"/>
      <c r="AA3007" s="394"/>
      <c r="AB3007" s="394"/>
      <c r="AC3007" s="394"/>
      <c r="AD3007" s="394"/>
      <c r="AE3007" s="394"/>
      <c r="AF3007" s="394"/>
      <c r="AG3007" s="394"/>
      <c r="AH3007" s="394"/>
      <c r="AI3007" s="394"/>
      <c r="AJ3007" s="394"/>
      <c r="AK3007" s="381"/>
      <c r="AL3007" s="408"/>
      <c r="AM3007" s="385"/>
      <c r="AN3007" s="475"/>
      <c r="AO3007" s="395"/>
      <c r="AP3007" s="395"/>
      <c r="AQ3007" s="528"/>
      <c r="AR3007" s="523">
        <v>1</v>
      </c>
      <c r="AS3007" s="393"/>
      <c r="AT3007" s="600">
        <v>20.237780000000001</v>
      </c>
      <c r="AU3007" s="394">
        <v>16.986799999999999</v>
      </c>
      <c r="AV3007" s="394">
        <v>15.2742</v>
      </c>
      <c r="AW3007" s="394"/>
      <c r="AX3007" s="394"/>
      <c r="AY3007" s="394">
        <v>0</v>
      </c>
      <c r="AZ3007" s="394">
        <v>0</v>
      </c>
      <c r="BA3007" s="394">
        <v>0.75790000000000002</v>
      </c>
      <c r="BB3007" s="394">
        <v>15.2742</v>
      </c>
      <c r="BC3007" s="394"/>
      <c r="BD3007" s="381" t="s">
        <v>167</v>
      </c>
      <c r="BE3007" s="408" t="s">
        <v>175</v>
      </c>
      <c r="BF3007" s="385"/>
      <c r="BG3007" s="475">
        <v>957</v>
      </c>
      <c r="BH3007" s="395"/>
      <c r="BI3007" s="395">
        <f t="shared" si="1148"/>
        <v>20.237780000000001</v>
      </c>
    </row>
    <row r="3008" spans="1:61" s="358" customFormat="1" ht="19.2" x14ac:dyDescent="0.3">
      <c r="A3008" s="359" t="s">
        <v>1961</v>
      </c>
      <c r="B3008" s="602" t="s">
        <v>5542</v>
      </c>
      <c r="C3008" s="548" t="s">
        <v>5543</v>
      </c>
      <c r="D3008" s="360">
        <v>0.4</v>
      </c>
      <c r="E3008" s="528"/>
      <c r="F3008" s="523"/>
      <c r="G3008" s="393"/>
      <c r="H3008" s="394"/>
      <c r="I3008" s="394"/>
      <c r="J3008" s="394"/>
      <c r="K3008" s="394"/>
      <c r="L3008" s="394"/>
      <c r="M3008" s="394"/>
      <c r="N3008" s="394"/>
      <c r="O3008" s="394"/>
      <c r="P3008" s="394"/>
      <c r="Q3008" s="394"/>
      <c r="R3008" s="381"/>
      <c r="S3008" s="408"/>
      <c r="T3008" s="385"/>
      <c r="U3008" s="475"/>
      <c r="V3008" s="395"/>
      <c r="W3008" s="395"/>
      <c r="X3008" s="528"/>
      <c r="Y3008" s="523"/>
      <c r="Z3008" s="393"/>
      <c r="AA3008" s="394"/>
      <c r="AB3008" s="394"/>
      <c r="AC3008" s="394"/>
      <c r="AD3008" s="394"/>
      <c r="AE3008" s="394"/>
      <c r="AF3008" s="394"/>
      <c r="AG3008" s="394"/>
      <c r="AH3008" s="394"/>
      <c r="AI3008" s="394"/>
      <c r="AJ3008" s="394"/>
      <c r="AK3008" s="381"/>
      <c r="AL3008" s="408"/>
      <c r="AM3008" s="385"/>
      <c r="AN3008" s="475"/>
      <c r="AO3008" s="395"/>
      <c r="AP3008" s="395"/>
      <c r="AQ3008" s="528"/>
      <c r="AR3008" s="523">
        <v>1</v>
      </c>
      <c r="AS3008" s="393"/>
      <c r="AT3008" s="600">
        <v>19.5747</v>
      </c>
      <c r="AU3008" s="394">
        <v>16.323720000000002</v>
      </c>
      <c r="AV3008" s="394">
        <v>15.2742</v>
      </c>
      <c r="AW3008" s="394"/>
      <c r="AX3008" s="394"/>
      <c r="AY3008" s="394">
        <v>0</v>
      </c>
      <c r="AZ3008" s="394">
        <v>0</v>
      </c>
      <c r="BA3008" s="394">
        <v>0.75790000000000002</v>
      </c>
      <c r="BB3008" s="394">
        <v>15.2742</v>
      </c>
      <c r="BC3008" s="394"/>
      <c r="BD3008" s="381" t="s">
        <v>167</v>
      </c>
      <c r="BE3008" s="408" t="s">
        <v>175</v>
      </c>
      <c r="BF3008" s="385"/>
      <c r="BG3008" s="475">
        <v>958</v>
      </c>
      <c r="BH3008" s="395"/>
      <c r="BI3008" s="395">
        <f t="shared" si="1148"/>
        <v>19.5747</v>
      </c>
    </row>
    <row r="3009" spans="1:61" s="358" customFormat="1" ht="19.2" x14ac:dyDescent="0.3">
      <c r="A3009" s="359" t="s">
        <v>1962</v>
      </c>
      <c r="B3009" s="602" t="s">
        <v>5544</v>
      </c>
      <c r="C3009" s="548" t="s">
        <v>5545</v>
      </c>
      <c r="D3009" s="360">
        <v>0.4</v>
      </c>
      <c r="E3009" s="528"/>
      <c r="F3009" s="523"/>
      <c r="G3009" s="393"/>
      <c r="H3009" s="394"/>
      <c r="I3009" s="394"/>
      <c r="J3009" s="394"/>
      <c r="K3009" s="394"/>
      <c r="L3009" s="394"/>
      <c r="M3009" s="394"/>
      <c r="N3009" s="394"/>
      <c r="O3009" s="394"/>
      <c r="P3009" s="394"/>
      <c r="Q3009" s="394"/>
      <c r="R3009" s="381"/>
      <c r="S3009" s="408"/>
      <c r="T3009" s="385"/>
      <c r="U3009" s="475"/>
      <c r="V3009" s="395"/>
      <c r="W3009" s="395"/>
      <c r="X3009" s="528"/>
      <c r="Y3009" s="523"/>
      <c r="Z3009" s="393"/>
      <c r="AA3009" s="394"/>
      <c r="AB3009" s="394"/>
      <c r="AC3009" s="394"/>
      <c r="AD3009" s="394"/>
      <c r="AE3009" s="394"/>
      <c r="AF3009" s="394"/>
      <c r="AG3009" s="394"/>
      <c r="AH3009" s="394"/>
      <c r="AI3009" s="394"/>
      <c r="AJ3009" s="394"/>
      <c r="AK3009" s="381"/>
      <c r="AL3009" s="408"/>
      <c r="AM3009" s="385"/>
      <c r="AN3009" s="475"/>
      <c r="AO3009" s="395"/>
      <c r="AP3009" s="395"/>
      <c r="AQ3009" s="528"/>
      <c r="AR3009" s="523">
        <v>1</v>
      </c>
      <c r="AS3009" s="393"/>
      <c r="AT3009" s="600">
        <v>19.574680000000001</v>
      </c>
      <c r="AU3009" s="394">
        <v>16.323699999999999</v>
      </c>
      <c r="AV3009" s="394">
        <v>15.2742</v>
      </c>
      <c r="AW3009" s="394"/>
      <c r="AX3009" s="394"/>
      <c r="AY3009" s="394">
        <v>0</v>
      </c>
      <c r="AZ3009" s="394">
        <v>0</v>
      </c>
      <c r="BA3009" s="394">
        <v>0.75790000000000002</v>
      </c>
      <c r="BB3009" s="394">
        <v>15.2742</v>
      </c>
      <c r="BC3009" s="394"/>
      <c r="BD3009" s="381" t="s">
        <v>167</v>
      </c>
      <c r="BE3009" s="408" t="s">
        <v>175</v>
      </c>
      <c r="BF3009" s="385"/>
      <c r="BG3009" s="475">
        <v>959</v>
      </c>
      <c r="BH3009" s="395"/>
      <c r="BI3009" s="395">
        <f t="shared" ref="BI3009" si="1157">AT3009/AR3009</f>
        <v>19.574680000000001</v>
      </c>
    </row>
    <row r="3010" spans="1:61" s="358" customFormat="1" ht="19.2" x14ac:dyDescent="0.3">
      <c r="A3010" s="359" t="s">
        <v>1963</v>
      </c>
      <c r="B3010" s="602" t="s">
        <v>4808</v>
      </c>
      <c r="C3010" s="548" t="s">
        <v>4807</v>
      </c>
      <c r="D3010" s="360">
        <v>0.4</v>
      </c>
      <c r="E3010" s="528"/>
      <c r="F3010" s="523"/>
      <c r="G3010" s="393"/>
      <c r="H3010" s="394"/>
      <c r="I3010" s="394"/>
      <c r="J3010" s="394"/>
      <c r="K3010" s="394"/>
      <c r="L3010" s="394"/>
      <c r="M3010" s="394"/>
      <c r="N3010" s="394"/>
      <c r="O3010" s="394"/>
      <c r="P3010" s="394"/>
      <c r="Q3010" s="394"/>
      <c r="R3010" s="381"/>
      <c r="S3010" s="408"/>
      <c r="T3010" s="385"/>
      <c r="U3010" s="475"/>
      <c r="V3010" s="395"/>
      <c r="W3010" s="395"/>
      <c r="X3010" s="528"/>
      <c r="Y3010" s="523"/>
      <c r="Z3010" s="393"/>
      <c r="AA3010" s="394"/>
      <c r="AB3010" s="394"/>
      <c r="AC3010" s="394"/>
      <c r="AD3010" s="394"/>
      <c r="AE3010" s="394"/>
      <c r="AF3010" s="394"/>
      <c r="AG3010" s="394"/>
      <c r="AH3010" s="394"/>
      <c r="AI3010" s="394"/>
      <c r="AJ3010" s="394"/>
      <c r="AK3010" s="381"/>
      <c r="AL3010" s="408"/>
      <c r="AM3010" s="385"/>
      <c r="AN3010" s="475"/>
      <c r="AO3010" s="395"/>
      <c r="AP3010" s="395"/>
      <c r="AQ3010" s="528"/>
      <c r="AR3010" s="523">
        <v>1</v>
      </c>
      <c r="AS3010" s="393"/>
      <c r="AT3010" s="600">
        <v>19.5747</v>
      </c>
      <c r="AU3010" s="394">
        <v>16.323720000000002</v>
      </c>
      <c r="AV3010" s="394">
        <v>15.2742</v>
      </c>
      <c r="AW3010" s="394"/>
      <c r="AX3010" s="394"/>
      <c r="AY3010" s="394">
        <v>0</v>
      </c>
      <c r="AZ3010" s="394">
        <v>0</v>
      </c>
      <c r="BA3010" s="394">
        <v>0.75790000000000002</v>
      </c>
      <c r="BB3010" s="394">
        <v>15.2742</v>
      </c>
      <c r="BC3010" s="394"/>
      <c r="BD3010" s="381" t="s">
        <v>167</v>
      </c>
      <c r="BE3010" s="408" t="s">
        <v>175</v>
      </c>
      <c r="BF3010" s="385"/>
      <c r="BG3010" s="475">
        <v>960</v>
      </c>
      <c r="BH3010" s="395"/>
      <c r="BI3010" s="395">
        <f t="shared" si="1148"/>
        <v>19.5747</v>
      </c>
    </row>
    <row r="3011" spans="1:61" s="358" customFormat="1" ht="19.2" x14ac:dyDescent="0.3">
      <c r="A3011" s="359" t="s">
        <v>1964</v>
      </c>
      <c r="B3011" s="602" t="s">
        <v>5546</v>
      </c>
      <c r="C3011" s="548" t="s">
        <v>5547</v>
      </c>
      <c r="D3011" s="360">
        <v>0.4</v>
      </c>
      <c r="E3011" s="528"/>
      <c r="F3011" s="523"/>
      <c r="G3011" s="393"/>
      <c r="H3011" s="394"/>
      <c r="I3011" s="394"/>
      <c r="J3011" s="394"/>
      <c r="K3011" s="394"/>
      <c r="L3011" s="394"/>
      <c r="M3011" s="394"/>
      <c r="N3011" s="394"/>
      <c r="O3011" s="394"/>
      <c r="P3011" s="394"/>
      <c r="Q3011" s="394"/>
      <c r="R3011" s="381"/>
      <c r="S3011" s="408"/>
      <c r="T3011" s="385"/>
      <c r="U3011" s="475"/>
      <c r="V3011" s="395"/>
      <c r="W3011" s="395"/>
      <c r="X3011" s="528"/>
      <c r="Y3011" s="523"/>
      <c r="Z3011" s="393"/>
      <c r="AA3011" s="394"/>
      <c r="AB3011" s="394"/>
      <c r="AC3011" s="394"/>
      <c r="AD3011" s="394"/>
      <c r="AE3011" s="394"/>
      <c r="AF3011" s="394"/>
      <c r="AG3011" s="394"/>
      <c r="AH3011" s="394"/>
      <c r="AI3011" s="394"/>
      <c r="AJ3011" s="394"/>
      <c r="AK3011" s="381"/>
      <c r="AL3011" s="408"/>
      <c r="AM3011" s="385"/>
      <c r="AN3011" s="475"/>
      <c r="AO3011" s="395"/>
      <c r="AP3011" s="395"/>
      <c r="AQ3011" s="528"/>
      <c r="AR3011" s="523">
        <v>1</v>
      </c>
      <c r="AS3011" s="393"/>
      <c r="AT3011" s="600">
        <v>19.5747</v>
      </c>
      <c r="AU3011" s="394">
        <v>16.323720000000002</v>
      </c>
      <c r="AV3011" s="394">
        <v>15.2742</v>
      </c>
      <c r="AW3011" s="394"/>
      <c r="AX3011" s="394"/>
      <c r="AY3011" s="394">
        <v>0</v>
      </c>
      <c r="AZ3011" s="394">
        <v>0</v>
      </c>
      <c r="BA3011" s="394">
        <v>0.75790000000000002</v>
      </c>
      <c r="BB3011" s="394">
        <v>15.2742</v>
      </c>
      <c r="BC3011" s="394"/>
      <c r="BD3011" s="381" t="s">
        <v>167</v>
      </c>
      <c r="BE3011" s="408" t="s">
        <v>175</v>
      </c>
      <c r="BF3011" s="385"/>
      <c r="BG3011" s="475">
        <v>961</v>
      </c>
      <c r="BH3011" s="395"/>
      <c r="BI3011" s="395">
        <f t="shared" ref="BI3011" si="1158">AT3011/AR3011</f>
        <v>19.5747</v>
      </c>
    </row>
    <row r="3012" spans="1:61" s="358" customFormat="1" ht="19.2" x14ac:dyDescent="0.3">
      <c r="A3012" s="359" t="s">
        <v>1965</v>
      </c>
      <c r="B3012" s="602" t="s">
        <v>5548</v>
      </c>
      <c r="C3012" s="548" t="s">
        <v>5549</v>
      </c>
      <c r="D3012" s="360">
        <v>0.4</v>
      </c>
      <c r="E3012" s="528"/>
      <c r="F3012" s="523"/>
      <c r="G3012" s="393"/>
      <c r="H3012" s="394"/>
      <c r="I3012" s="394"/>
      <c r="J3012" s="394"/>
      <c r="K3012" s="394"/>
      <c r="L3012" s="394"/>
      <c r="M3012" s="394"/>
      <c r="N3012" s="394"/>
      <c r="O3012" s="394"/>
      <c r="P3012" s="394"/>
      <c r="Q3012" s="394"/>
      <c r="R3012" s="381"/>
      <c r="S3012" s="408"/>
      <c r="T3012" s="385"/>
      <c r="U3012" s="475"/>
      <c r="V3012" s="395"/>
      <c r="W3012" s="395"/>
      <c r="X3012" s="528"/>
      <c r="Y3012" s="523"/>
      <c r="Z3012" s="393"/>
      <c r="AA3012" s="394"/>
      <c r="AB3012" s="394"/>
      <c r="AC3012" s="394"/>
      <c r="AD3012" s="394"/>
      <c r="AE3012" s="394"/>
      <c r="AF3012" s="394"/>
      <c r="AG3012" s="394"/>
      <c r="AH3012" s="394"/>
      <c r="AI3012" s="394"/>
      <c r="AJ3012" s="394"/>
      <c r="AK3012" s="381"/>
      <c r="AL3012" s="408"/>
      <c r="AM3012" s="385"/>
      <c r="AN3012" s="475"/>
      <c r="AO3012" s="395"/>
      <c r="AP3012" s="395"/>
      <c r="AQ3012" s="528"/>
      <c r="AR3012" s="523">
        <v>1</v>
      </c>
      <c r="AS3012" s="393"/>
      <c r="AT3012" s="600">
        <v>19.574680000000001</v>
      </c>
      <c r="AU3012" s="394">
        <v>16.323699999999999</v>
      </c>
      <c r="AV3012" s="394">
        <v>15.2742</v>
      </c>
      <c r="AW3012" s="394"/>
      <c r="AX3012" s="394"/>
      <c r="AY3012" s="394">
        <v>0</v>
      </c>
      <c r="AZ3012" s="394">
        <v>0</v>
      </c>
      <c r="BA3012" s="394">
        <v>0.75790000000000002</v>
      </c>
      <c r="BB3012" s="394">
        <v>15.2742</v>
      </c>
      <c r="BC3012" s="394"/>
      <c r="BD3012" s="381" t="s">
        <v>167</v>
      </c>
      <c r="BE3012" s="408" t="s">
        <v>175</v>
      </c>
      <c r="BF3012" s="385"/>
      <c r="BG3012" s="475">
        <v>962</v>
      </c>
      <c r="BH3012" s="395"/>
      <c r="BI3012" s="395">
        <f t="shared" si="1148"/>
        <v>19.574680000000001</v>
      </c>
    </row>
    <row r="3013" spans="1:61" s="358" customFormat="1" ht="19.2" x14ac:dyDescent="0.3">
      <c r="A3013" s="359" t="s">
        <v>1966</v>
      </c>
      <c r="B3013" s="602" t="s">
        <v>5550</v>
      </c>
      <c r="C3013" s="548" t="s">
        <v>5551</v>
      </c>
      <c r="D3013" s="360">
        <v>0.4</v>
      </c>
      <c r="E3013" s="528"/>
      <c r="F3013" s="523"/>
      <c r="G3013" s="393"/>
      <c r="H3013" s="394"/>
      <c r="I3013" s="394"/>
      <c r="J3013" s="394"/>
      <c r="K3013" s="394"/>
      <c r="L3013" s="394"/>
      <c r="M3013" s="394"/>
      <c r="N3013" s="394"/>
      <c r="O3013" s="394"/>
      <c r="P3013" s="394"/>
      <c r="Q3013" s="394"/>
      <c r="R3013" s="381"/>
      <c r="S3013" s="408"/>
      <c r="T3013" s="385"/>
      <c r="U3013" s="475"/>
      <c r="V3013" s="395"/>
      <c r="W3013" s="395"/>
      <c r="X3013" s="528"/>
      <c r="Y3013" s="523"/>
      <c r="Z3013" s="393"/>
      <c r="AA3013" s="394"/>
      <c r="AB3013" s="394"/>
      <c r="AC3013" s="394"/>
      <c r="AD3013" s="394"/>
      <c r="AE3013" s="394"/>
      <c r="AF3013" s="394"/>
      <c r="AG3013" s="394"/>
      <c r="AH3013" s="394"/>
      <c r="AI3013" s="394"/>
      <c r="AJ3013" s="394"/>
      <c r="AK3013" s="381"/>
      <c r="AL3013" s="408"/>
      <c r="AM3013" s="385"/>
      <c r="AN3013" s="475"/>
      <c r="AO3013" s="395"/>
      <c r="AP3013" s="395"/>
      <c r="AQ3013" s="528"/>
      <c r="AR3013" s="523">
        <v>1</v>
      </c>
      <c r="AS3013" s="393"/>
      <c r="AT3013" s="600">
        <v>20.2378</v>
      </c>
      <c r="AU3013" s="394">
        <v>16.986820000000002</v>
      </c>
      <c r="AV3013" s="394">
        <v>15.2742</v>
      </c>
      <c r="AW3013" s="394"/>
      <c r="AX3013" s="394"/>
      <c r="AY3013" s="394">
        <v>0</v>
      </c>
      <c r="AZ3013" s="394">
        <v>0</v>
      </c>
      <c r="BA3013" s="394">
        <v>0.75790000000000002</v>
      </c>
      <c r="BB3013" s="394">
        <v>15.2742</v>
      </c>
      <c r="BC3013" s="394"/>
      <c r="BD3013" s="381" t="s">
        <v>167</v>
      </c>
      <c r="BE3013" s="408" t="s">
        <v>175</v>
      </c>
      <c r="BF3013" s="385"/>
      <c r="BG3013" s="475">
        <v>963</v>
      </c>
      <c r="BH3013" s="395"/>
      <c r="BI3013" s="395">
        <f t="shared" ref="BI3013" si="1159">AT3013/AR3013</f>
        <v>20.2378</v>
      </c>
    </row>
    <row r="3014" spans="1:61" s="358" customFormat="1" ht="19.2" x14ac:dyDescent="0.3">
      <c r="A3014" s="359" t="s">
        <v>1967</v>
      </c>
      <c r="B3014" s="602" t="s">
        <v>5552</v>
      </c>
      <c r="C3014" s="548" t="s">
        <v>5553</v>
      </c>
      <c r="D3014" s="360">
        <v>0.4</v>
      </c>
      <c r="E3014" s="528"/>
      <c r="F3014" s="523"/>
      <c r="G3014" s="393"/>
      <c r="H3014" s="394"/>
      <c r="I3014" s="394"/>
      <c r="J3014" s="394"/>
      <c r="K3014" s="394"/>
      <c r="L3014" s="394"/>
      <c r="M3014" s="394"/>
      <c r="N3014" s="394"/>
      <c r="O3014" s="394"/>
      <c r="P3014" s="394"/>
      <c r="Q3014" s="394"/>
      <c r="R3014" s="381"/>
      <c r="S3014" s="408"/>
      <c r="T3014" s="385"/>
      <c r="U3014" s="475"/>
      <c r="V3014" s="395"/>
      <c r="W3014" s="395"/>
      <c r="X3014" s="528"/>
      <c r="Y3014" s="523"/>
      <c r="Z3014" s="393"/>
      <c r="AA3014" s="394"/>
      <c r="AB3014" s="394"/>
      <c r="AC3014" s="394"/>
      <c r="AD3014" s="394"/>
      <c r="AE3014" s="394"/>
      <c r="AF3014" s="394"/>
      <c r="AG3014" s="394"/>
      <c r="AH3014" s="394"/>
      <c r="AI3014" s="394"/>
      <c r="AJ3014" s="394"/>
      <c r="AK3014" s="381"/>
      <c r="AL3014" s="408"/>
      <c r="AM3014" s="385"/>
      <c r="AN3014" s="475"/>
      <c r="AO3014" s="395"/>
      <c r="AP3014" s="395"/>
      <c r="AQ3014" s="528"/>
      <c r="AR3014" s="523">
        <v>1</v>
      </c>
      <c r="AS3014" s="393"/>
      <c r="AT3014" s="600">
        <v>20.23781</v>
      </c>
      <c r="AU3014" s="394">
        <v>16.986830000000001</v>
      </c>
      <c r="AV3014" s="394">
        <v>15.2742</v>
      </c>
      <c r="AW3014" s="394"/>
      <c r="AX3014" s="394"/>
      <c r="AY3014" s="394">
        <v>0</v>
      </c>
      <c r="AZ3014" s="394">
        <v>0</v>
      </c>
      <c r="BA3014" s="394">
        <v>0.75790000000000002</v>
      </c>
      <c r="BB3014" s="394">
        <v>15.2742</v>
      </c>
      <c r="BC3014" s="394"/>
      <c r="BD3014" s="381" t="s">
        <v>167</v>
      </c>
      <c r="BE3014" s="408" t="s">
        <v>175</v>
      </c>
      <c r="BF3014" s="385"/>
      <c r="BG3014" s="475">
        <v>964</v>
      </c>
      <c r="BH3014" s="395"/>
      <c r="BI3014" s="395">
        <f t="shared" si="1148"/>
        <v>20.23781</v>
      </c>
    </row>
    <row r="3015" spans="1:61" s="358" customFormat="1" ht="19.2" x14ac:dyDescent="0.3">
      <c r="A3015" s="359" t="s">
        <v>1968</v>
      </c>
      <c r="B3015" s="602" t="s">
        <v>5554</v>
      </c>
      <c r="C3015" s="548" t="s">
        <v>5555</v>
      </c>
      <c r="D3015" s="360">
        <v>0.4</v>
      </c>
      <c r="E3015" s="528"/>
      <c r="F3015" s="523"/>
      <c r="G3015" s="393"/>
      <c r="H3015" s="394"/>
      <c r="I3015" s="394"/>
      <c r="J3015" s="394"/>
      <c r="K3015" s="394"/>
      <c r="L3015" s="394"/>
      <c r="M3015" s="394"/>
      <c r="N3015" s="394"/>
      <c r="O3015" s="394"/>
      <c r="P3015" s="394"/>
      <c r="Q3015" s="394"/>
      <c r="R3015" s="381"/>
      <c r="S3015" s="408"/>
      <c r="T3015" s="385"/>
      <c r="U3015" s="475"/>
      <c r="V3015" s="395"/>
      <c r="W3015" s="395"/>
      <c r="X3015" s="528"/>
      <c r="Y3015" s="523"/>
      <c r="Z3015" s="393"/>
      <c r="AA3015" s="394"/>
      <c r="AB3015" s="394"/>
      <c r="AC3015" s="394"/>
      <c r="AD3015" s="394"/>
      <c r="AE3015" s="394"/>
      <c r="AF3015" s="394"/>
      <c r="AG3015" s="394"/>
      <c r="AH3015" s="394"/>
      <c r="AI3015" s="394"/>
      <c r="AJ3015" s="394"/>
      <c r="AK3015" s="381"/>
      <c r="AL3015" s="408"/>
      <c r="AM3015" s="385"/>
      <c r="AN3015" s="475"/>
      <c r="AO3015" s="395"/>
      <c r="AP3015" s="395"/>
      <c r="AQ3015" s="528"/>
      <c r="AR3015" s="523">
        <v>1</v>
      </c>
      <c r="AS3015" s="393"/>
      <c r="AT3015" s="600">
        <v>20.237780000000001</v>
      </c>
      <c r="AU3015" s="394">
        <v>16.986799999999999</v>
      </c>
      <c r="AV3015" s="394">
        <v>15.2742</v>
      </c>
      <c r="AW3015" s="394"/>
      <c r="AX3015" s="394"/>
      <c r="AY3015" s="394">
        <v>0</v>
      </c>
      <c r="AZ3015" s="394">
        <v>0</v>
      </c>
      <c r="BA3015" s="394">
        <v>0.75790000000000002</v>
      </c>
      <c r="BB3015" s="394">
        <v>15.2742</v>
      </c>
      <c r="BC3015" s="394"/>
      <c r="BD3015" s="381" t="s">
        <v>167</v>
      </c>
      <c r="BE3015" s="408" t="s">
        <v>175</v>
      </c>
      <c r="BF3015" s="385"/>
      <c r="BG3015" s="475">
        <v>965</v>
      </c>
      <c r="BH3015" s="395"/>
      <c r="BI3015" s="395">
        <f t="shared" ref="BI3015" si="1160">AT3015/AR3015</f>
        <v>20.237780000000001</v>
      </c>
    </row>
    <row r="3016" spans="1:61" s="358" customFormat="1" ht="19.2" x14ac:dyDescent="0.3">
      <c r="A3016" s="359" t="s">
        <v>1969</v>
      </c>
      <c r="B3016" s="602" t="s">
        <v>4717</v>
      </c>
      <c r="C3016" s="548" t="s">
        <v>4716</v>
      </c>
      <c r="D3016" s="360">
        <v>0.4</v>
      </c>
      <c r="E3016" s="528"/>
      <c r="F3016" s="523"/>
      <c r="G3016" s="393"/>
      <c r="H3016" s="394"/>
      <c r="I3016" s="394"/>
      <c r="J3016" s="394"/>
      <c r="K3016" s="394"/>
      <c r="L3016" s="394"/>
      <c r="M3016" s="394"/>
      <c r="N3016" s="394"/>
      <c r="O3016" s="394"/>
      <c r="P3016" s="394"/>
      <c r="Q3016" s="394"/>
      <c r="R3016" s="381"/>
      <c r="S3016" s="408"/>
      <c r="T3016" s="385"/>
      <c r="U3016" s="475"/>
      <c r="V3016" s="395"/>
      <c r="W3016" s="395"/>
      <c r="X3016" s="528"/>
      <c r="Y3016" s="523"/>
      <c r="Z3016" s="393"/>
      <c r="AA3016" s="394"/>
      <c r="AB3016" s="394"/>
      <c r="AC3016" s="394"/>
      <c r="AD3016" s="394"/>
      <c r="AE3016" s="394"/>
      <c r="AF3016" s="394"/>
      <c r="AG3016" s="394"/>
      <c r="AH3016" s="394"/>
      <c r="AI3016" s="394"/>
      <c r="AJ3016" s="394"/>
      <c r="AK3016" s="381"/>
      <c r="AL3016" s="408"/>
      <c r="AM3016" s="385"/>
      <c r="AN3016" s="475"/>
      <c r="AO3016" s="395"/>
      <c r="AP3016" s="395"/>
      <c r="AQ3016" s="528"/>
      <c r="AR3016" s="523">
        <v>1</v>
      </c>
      <c r="AS3016" s="393"/>
      <c r="AT3016" s="600">
        <v>19.5747</v>
      </c>
      <c r="AU3016" s="394">
        <v>16.323720000000002</v>
      </c>
      <c r="AV3016" s="394">
        <v>15.2742</v>
      </c>
      <c r="AW3016" s="394"/>
      <c r="AX3016" s="394"/>
      <c r="AY3016" s="394">
        <v>0</v>
      </c>
      <c r="AZ3016" s="394">
        <v>0</v>
      </c>
      <c r="BA3016" s="394">
        <v>0.75790000000000002</v>
      </c>
      <c r="BB3016" s="394">
        <v>15.2742</v>
      </c>
      <c r="BC3016" s="394"/>
      <c r="BD3016" s="381" t="s">
        <v>167</v>
      </c>
      <c r="BE3016" s="408" t="s">
        <v>175</v>
      </c>
      <c r="BF3016" s="385"/>
      <c r="BG3016" s="475">
        <v>966</v>
      </c>
      <c r="BH3016" s="395"/>
      <c r="BI3016" s="395">
        <f t="shared" si="1148"/>
        <v>19.5747</v>
      </c>
    </row>
    <row r="3017" spans="1:61" s="358" customFormat="1" ht="19.2" x14ac:dyDescent="0.3">
      <c r="A3017" s="359" t="s">
        <v>1970</v>
      </c>
      <c r="B3017" s="602" t="s">
        <v>5556</v>
      </c>
      <c r="C3017" s="548" t="s">
        <v>5557</v>
      </c>
      <c r="D3017" s="360">
        <v>0.4</v>
      </c>
      <c r="E3017" s="528"/>
      <c r="F3017" s="523"/>
      <c r="G3017" s="393"/>
      <c r="H3017" s="394"/>
      <c r="I3017" s="394"/>
      <c r="J3017" s="394"/>
      <c r="K3017" s="394"/>
      <c r="L3017" s="394"/>
      <c r="M3017" s="394"/>
      <c r="N3017" s="394"/>
      <c r="O3017" s="394"/>
      <c r="P3017" s="394"/>
      <c r="Q3017" s="394"/>
      <c r="R3017" s="381"/>
      <c r="S3017" s="408"/>
      <c r="T3017" s="385"/>
      <c r="U3017" s="475"/>
      <c r="V3017" s="395"/>
      <c r="W3017" s="395"/>
      <c r="X3017" s="528"/>
      <c r="Y3017" s="523"/>
      <c r="Z3017" s="393"/>
      <c r="AA3017" s="394"/>
      <c r="AB3017" s="394"/>
      <c r="AC3017" s="394"/>
      <c r="AD3017" s="394"/>
      <c r="AE3017" s="394"/>
      <c r="AF3017" s="394"/>
      <c r="AG3017" s="394"/>
      <c r="AH3017" s="394"/>
      <c r="AI3017" s="394"/>
      <c r="AJ3017" s="394"/>
      <c r="AK3017" s="381"/>
      <c r="AL3017" s="408"/>
      <c r="AM3017" s="385"/>
      <c r="AN3017" s="475"/>
      <c r="AO3017" s="395"/>
      <c r="AP3017" s="395"/>
      <c r="AQ3017" s="528"/>
      <c r="AR3017" s="523">
        <v>1</v>
      </c>
      <c r="AS3017" s="393"/>
      <c r="AT3017" s="600">
        <v>20.2378</v>
      </c>
      <c r="AU3017" s="394">
        <v>16.986820000000002</v>
      </c>
      <c r="AV3017" s="394">
        <v>15.2742</v>
      </c>
      <c r="AW3017" s="394"/>
      <c r="AX3017" s="394"/>
      <c r="AY3017" s="394">
        <v>0</v>
      </c>
      <c r="AZ3017" s="394">
        <v>0</v>
      </c>
      <c r="BA3017" s="394">
        <v>0.75790000000000002</v>
      </c>
      <c r="BB3017" s="394">
        <v>15.2742</v>
      </c>
      <c r="BC3017" s="394"/>
      <c r="BD3017" s="381" t="s">
        <v>167</v>
      </c>
      <c r="BE3017" s="408" t="s">
        <v>175</v>
      </c>
      <c r="BF3017" s="385"/>
      <c r="BG3017" s="475">
        <v>967</v>
      </c>
      <c r="BH3017" s="395"/>
      <c r="BI3017" s="395">
        <f t="shared" ref="BI3017" si="1161">AT3017/AR3017</f>
        <v>20.2378</v>
      </c>
    </row>
    <row r="3018" spans="1:61" s="358" customFormat="1" ht="19.2" x14ac:dyDescent="0.3">
      <c r="A3018" s="359" t="s">
        <v>1971</v>
      </c>
      <c r="B3018" s="602" t="s">
        <v>5558</v>
      </c>
      <c r="C3018" s="548" t="s">
        <v>5559</v>
      </c>
      <c r="D3018" s="360">
        <v>0.4</v>
      </c>
      <c r="E3018" s="528"/>
      <c r="F3018" s="523"/>
      <c r="G3018" s="393"/>
      <c r="H3018" s="394"/>
      <c r="I3018" s="394"/>
      <c r="J3018" s="394"/>
      <c r="K3018" s="394"/>
      <c r="L3018" s="394"/>
      <c r="M3018" s="394"/>
      <c r="N3018" s="394"/>
      <c r="O3018" s="394"/>
      <c r="P3018" s="394"/>
      <c r="Q3018" s="394"/>
      <c r="R3018" s="381"/>
      <c r="S3018" s="408"/>
      <c r="T3018" s="385"/>
      <c r="U3018" s="475"/>
      <c r="V3018" s="395"/>
      <c r="W3018" s="395"/>
      <c r="X3018" s="528"/>
      <c r="Y3018" s="523"/>
      <c r="Z3018" s="393"/>
      <c r="AA3018" s="394"/>
      <c r="AB3018" s="394"/>
      <c r="AC3018" s="394"/>
      <c r="AD3018" s="394"/>
      <c r="AE3018" s="394"/>
      <c r="AF3018" s="394"/>
      <c r="AG3018" s="394"/>
      <c r="AH3018" s="394"/>
      <c r="AI3018" s="394"/>
      <c r="AJ3018" s="394"/>
      <c r="AK3018" s="381"/>
      <c r="AL3018" s="408"/>
      <c r="AM3018" s="385"/>
      <c r="AN3018" s="475"/>
      <c r="AO3018" s="395"/>
      <c r="AP3018" s="395"/>
      <c r="AQ3018" s="528"/>
      <c r="AR3018" s="523">
        <v>1</v>
      </c>
      <c r="AS3018" s="393"/>
      <c r="AT3018" s="600">
        <v>20.2378</v>
      </c>
      <c r="AU3018" s="394">
        <v>16.986820000000002</v>
      </c>
      <c r="AV3018" s="394">
        <v>15.2742</v>
      </c>
      <c r="AW3018" s="394"/>
      <c r="AX3018" s="394"/>
      <c r="AY3018" s="394">
        <v>0</v>
      </c>
      <c r="AZ3018" s="394">
        <v>0</v>
      </c>
      <c r="BA3018" s="394">
        <v>0.75790000000000002</v>
      </c>
      <c r="BB3018" s="394">
        <v>15.2742</v>
      </c>
      <c r="BC3018" s="394"/>
      <c r="BD3018" s="381" t="s">
        <v>167</v>
      </c>
      <c r="BE3018" s="408" t="s">
        <v>175</v>
      </c>
      <c r="BF3018" s="385"/>
      <c r="BG3018" s="475">
        <v>968</v>
      </c>
      <c r="BH3018" s="395"/>
      <c r="BI3018" s="395">
        <f t="shared" si="1148"/>
        <v>20.2378</v>
      </c>
    </row>
    <row r="3019" spans="1:61" s="358" customFormat="1" ht="19.2" x14ac:dyDescent="0.3">
      <c r="A3019" s="359" t="s">
        <v>1972</v>
      </c>
      <c r="B3019" s="602" t="s">
        <v>5560</v>
      </c>
      <c r="C3019" s="548" t="s">
        <v>5561</v>
      </c>
      <c r="D3019" s="360">
        <v>0.4</v>
      </c>
      <c r="E3019" s="528"/>
      <c r="F3019" s="523"/>
      <c r="G3019" s="393"/>
      <c r="H3019" s="394"/>
      <c r="I3019" s="394"/>
      <c r="J3019" s="394"/>
      <c r="K3019" s="394"/>
      <c r="L3019" s="394"/>
      <c r="M3019" s="394"/>
      <c r="N3019" s="394"/>
      <c r="O3019" s="394"/>
      <c r="P3019" s="394"/>
      <c r="Q3019" s="394"/>
      <c r="R3019" s="381"/>
      <c r="S3019" s="408"/>
      <c r="T3019" s="385"/>
      <c r="U3019" s="475"/>
      <c r="V3019" s="395"/>
      <c r="W3019" s="395"/>
      <c r="X3019" s="528"/>
      <c r="Y3019" s="523"/>
      <c r="Z3019" s="393"/>
      <c r="AA3019" s="394"/>
      <c r="AB3019" s="394"/>
      <c r="AC3019" s="394"/>
      <c r="AD3019" s="394"/>
      <c r="AE3019" s="394"/>
      <c r="AF3019" s="394"/>
      <c r="AG3019" s="394"/>
      <c r="AH3019" s="394"/>
      <c r="AI3019" s="394"/>
      <c r="AJ3019" s="394"/>
      <c r="AK3019" s="381"/>
      <c r="AL3019" s="408"/>
      <c r="AM3019" s="385"/>
      <c r="AN3019" s="475"/>
      <c r="AO3019" s="395"/>
      <c r="AP3019" s="395"/>
      <c r="AQ3019" s="528"/>
      <c r="AR3019" s="523">
        <v>1</v>
      </c>
      <c r="AS3019" s="393"/>
      <c r="AT3019" s="600">
        <v>19.5747</v>
      </c>
      <c r="AU3019" s="394">
        <v>16.323720000000002</v>
      </c>
      <c r="AV3019" s="394">
        <v>15.2742</v>
      </c>
      <c r="AW3019" s="394"/>
      <c r="AX3019" s="394"/>
      <c r="AY3019" s="394">
        <v>0</v>
      </c>
      <c r="AZ3019" s="394">
        <v>0</v>
      </c>
      <c r="BA3019" s="394">
        <v>0.75790000000000002</v>
      </c>
      <c r="BB3019" s="394">
        <v>15.2742</v>
      </c>
      <c r="BC3019" s="394"/>
      <c r="BD3019" s="381" t="s">
        <v>167</v>
      </c>
      <c r="BE3019" s="408" t="s">
        <v>175</v>
      </c>
      <c r="BF3019" s="385"/>
      <c r="BG3019" s="475">
        <v>969</v>
      </c>
      <c r="BH3019" s="395"/>
      <c r="BI3019" s="395">
        <f t="shared" ref="BI3019" si="1162">AT3019/AR3019</f>
        <v>19.5747</v>
      </c>
    </row>
    <row r="3020" spans="1:61" s="358" customFormat="1" ht="19.2" x14ac:dyDescent="0.3">
      <c r="A3020" s="359" t="s">
        <v>1973</v>
      </c>
      <c r="B3020" s="602" t="s">
        <v>5562</v>
      </c>
      <c r="C3020" s="548" t="s">
        <v>5563</v>
      </c>
      <c r="D3020" s="360">
        <v>0.4</v>
      </c>
      <c r="E3020" s="528"/>
      <c r="F3020" s="523"/>
      <c r="G3020" s="393"/>
      <c r="H3020" s="394"/>
      <c r="I3020" s="394"/>
      <c r="J3020" s="394"/>
      <c r="K3020" s="394"/>
      <c r="L3020" s="394"/>
      <c r="M3020" s="394"/>
      <c r="N3020" s="394"/>
      <c r="O3020" s="394"/>
      <c r="P3020" s="394"/>
      <c r="Q3020" s="394"/>
      <c r="R3020" s="381"/>
      <c r="S3020" s="408"/>
      <c r="T3020" s="385"/>
      <c r="U3020" s="475"/>
      <c r="V3020" s="395"/>
      <c r="W3020" s="395"/>
      <c r="X3020" s="528"/>
      <c r="Y3020" s="523"/>
      <c r="Z3020" s="393"/>
      <c r="AA3020" s="394"/>
      <c r="AB3020" s="394"/>
      <c r="AC3020" s="394"/>
      <c r="AD3020" s="394"/>
      <c r="AE3020" s="394"/>
      <c r="AF3020" s="394"/>
      <c r="AG3020" s="394"/>
      <c r="AH3020" s="394"/>
      <c r="AI3020" s="394"/>
      <c r="AJ3020" s="394"/>
      <c r="AK3020" s="381"/>
      <c r="AL3020" s="408"/>
      <c r="AM3020" s="385"/>
      <c r="AN3020" s="475"/>
      <c r="AO3020" s="395"/>
      <c r="AP3020" s="395"/>
      <c r="AQ3020" s="528"/>
      <c r="AR3020" s="523">
        <v>1</v>
      </c>
      <c r="AS3020" s="393"/>
      <c r="AT3020" s="600">
        <v>20.237780000000001</v>
      </c>
      <c r="AU3020" s="394">
        <v>16.986799999999999</v>
      </c>
      <c r="AV3020" s="394">
        <v>15.2742</v>
      </c>
      <c r="AW3020" s="394"/>
      <c r="AX3020" s="394"/>
      <c r="AY3020" s="394">
        <v>0</v>
      </c>
      <c r="AZ3020" s="394">
        <v>0</v>
      </c>
      <c r="BA3020" s="394">
        <v>0.75790000000000002</v>
      </c>
      <c r="BB3020" s="394">
        <v>15.2742</v>
      </c>
      <c r="BC3020" s="394"/>
      <c r="BD3020" s="381" t="s">
        <v>167</v>
      </c>
      <c r="BE3020" s="408" t="s">
        <v>175</v>
      </c>
      <c r="BF3020" s="385"/>
      <c r="BG3020" s="475">
        <v>970</v>
      </c>
      <c r="BH3020" s="395"/>
      <c r="BI3020" s="395">
        <f t="shared" si="1148"/>
        <v>20.237780000000001</v>
      </c>
    </row>
    <row r="3021" spans="1:61" s="358" customFormat="1" ht="19.2" x14ac:dyDescent="0.3">
      <c r="A3021" s="359" t="s">
        <v>1974</v>
      </c>
      <c r="B3021" s="602" t="s">
        <v>5564</v>
      </c>
      <c r="C3021" s="548" t="s">
        <v>5565</v>
      </c>
      <c r="D3021" s="360">
        <v>0.4</v>
      </c>
      <c r="E3021" s="528"/>
      <c r="F3021" s="523"/>
      <c r="G3021" s="393"/>
      <c r="H3021" s="394"/>
      <c r="I3021" s="394"/>
      <c r="J3021" s="394"/>
      <c r="K3021" s="394"/>
      <c r="L3021" s="394"/>
      <c r="M3021" s="394"/>
      <c r="N3021" s="394"/>
      <c r="O3021" s="394"/>
      <c r="P3021" s="394"/>
      <c r="Q3021" s="394"/>
      <c r="R3021" s="381"/>
      <c r="S3021" s="408"/>
      <c r="T3021" s="385"/>
      <c r="U3021" s="475"/>
      <c r="V3021" s="395"/>
      <c r="W3021" s="395"/>
      <c r="X3021" s="528"/>
      <c r="Y3021" s="523"/>
      <c r="Z3021" s="393"/>
      <c r="AA3021" s="394"/>
      <c r="AB3021" s="394"/>
      <c r="AC3021" s="394"/>
      <c r="AD3021" s="394"/>
      <c r="AE3021" s="394"/>
      <c r="AF3021" s="394"/>
      <c r="AG3021" s="394"/>
      <c r="AH3021" s="394"/>
      <c r="AI3021" s="394"/>
      <c r="AJ3021" s="394"/>
      <c r="AK3021" s="381"/>
      <c r="AL3021" s="408"/>
      <c r="AM3021" s="385"/>
      <c r="AN3021" s="475"/>
      <c r="AO3021" s="395"/>
      <c r="AP3021" s="395"/>
      <c r="AQ3021" s="528"/>
      <c r="AR3021" s="523">
        <v>1</v>
      </c>
      <c r="AS3021" s="393"/>
      <c r="AT3021" s="600">
        <v>15.197990000000001</v>
      </c>
      <c r="AU3021" s="394">
        <v>13.332979999999999</v>
      </c>
      <c r="AV3021" s="394">
        <v>13.33297</v>
      </c>
      <c r="AW3021" s="394"/>
      <c r="AX3021" s="394"/>
      <c r="AY3021" s="394">
        <v>0</v>
      </c>
      <c r="AZ3021" s="394">
        <v>0</v>
      </c>
      <c r="BA3021" s="394">
        <v>0.43479000000000001</v>
      </c>
      <c r="BB3021" s="394">
        <v>13.33297</v>
      </c>
      <c r="BC3021" s="394"/>
      <c r="BD3021" s="381" t="s">
        <v>167</v>
      </c>
      <c r="BE3021" s="408" t="s">
        <v>175</v>
      </c>
      <c r="BF3021" s="385"/>
      <c r="BG3021" s="475">
        <v>971</v>
      </c>
      <c r="BH3021" s="395"/>
      <c r="BI3021" s="395">
        <f t="shared" ref="BI3021" si="1163">AT3021/AR3021</f>
        <v>15.197990000000001</v>
      </c>
    </row>
    <row r="3022" spans="1:61" s="358" customFormat="1" ht="19.2" x14ac:dyDescent="0.3">
      <c r="A3022" s="359" t="s">
        <v>1975</v>
      </c>
      <c r="B3022" s="602" t="s">
        <v>5566</v>
      </c>
      <c r="C3022" s="548" t="s">
        <v>5567</v>
      </c>
      <c r="D3022" s="360">
        <v>0.4</v>
      </c>
      <c r="E3022" s="528"/>
      <c r="F3022" s="523"/>
      <c r="G3022" s="393"/>
      <c r="H3022" s="394"/>
      <c r="I3022" s="394"/>
      <c r="J3022" s="394"/>
      <c r="K3022" s="394"/>
      <c r="L3022" s="394"/>
      <c r="M3022" s="394"/>
      <c r="N3022" s="394"/>
      <c r="O3022" s="394"/>
      <c r="P3022" s="394"/>
      <c r="Q3022" s="394"/>
      <c r="R3022" s="381"/>
      <c r="S3022" s="408"/>
      <c r="T3022" s="385"/>
      <c r="U3022" s="475"/>
      <c r="V3022" s="395"/>
      <c r="W3022" s="395"/>
      <c r="X3022" s="528"/>
      <c r="Y3022" s="523"/>
      <c r="Z3022" s="393"/>
      <c r="AA3022" s="394"/>
      <c r="AB3022" s="394"/>
      <c r="AC3022" s="394"/>
      <c r="AD3022" s="394"/>
      <c r="AE3022" s="394"/>
      <c r="AF3022" s="394"/>
      <c r="AG3022" s="394"/>
      <c r="AH3022" s="394"/>
      <c r="AI3022" s="394"/>
      <c r="AJ3022" s="394"/>
      <c r="AK3022" s="381"/>
      <c r="AL3022" s="408"/>
      <c r="AM3022" s="385"/>
      <c r="AN3022" s="475"/>
      <c r="AO3022" s="395"/>
      <c r="AP3022" s="395"/>
      <c r="AQ3022" s="528"/>
      <c r="AR3022" s="523">
        <v>1</v>
      </c>
      <c r="AS3022" s="393"/>
      <c r="AT3022" s="600">
        <v>19.574680000000001</v>
      </c>
      <c r="AU3022" s="394">
        <v>16.323699999999999</v>
      </c>
      <c r="AV3022" s="394">
        <v>15.2742</v>
      </c>
      <c r="AW3022" s="394"/>
      <c r="AX3022" s="394"/>
      <c r="AY3022" s="394">
        <v>0</v>
      </c>
      <c r="AZ3022" s="394">
        <v>0</v>
      </c>
      <c r="BA3022" s="394">
        <v>0.75790000000000002</v>
      </c>
      <c r="BB3022" s="394">
        <v>15.2742</v>
      </c>
      <c r="BC3022" s="394"/>
      <c r="BD3022" s="381" t="s">
        <v>167</v>
      </c>
      <c r="BE3022" s="408" t="s">
        <v>175</v>
      </c>
      <c r="BF3022" s="385"/>
      <c r="BG3022" s="475">
        <v>972</v>
      </c>
      <c r="BH3022" s="395"/>
      <c r="BI3022" s="395">
        <f t="shared" si="1148"/>
        <v>19.574680000000001</v>
      </c>
    </row>
    <row r="3023" spans="1:61" s="358" customFormat="1" ht="19.2" x14ac:dyDescent="0.3">
      <c r="A3023" s="359" t="s">
        <v>1976</v>
      </c>
      <c r="B3023" s="602" t="s">
        <v>5568</v>
      </c>
      <c r="C3023" s="548" t="s">
        <v>5569</v>
      </c>
      <c r="D3023" s="360">
        <v>0.4</v>
      </c>
      <c r="E3023" s="528"/>
      <c r="F3023" s="523"/>
      <c r="G3023" s="393"/>
      <c r="H3023" s="394"/>
      <c r="I3023" s="394"/>
      <c r="J3023" s="394"/>
      <c r="K3023" s="394"/>
      <c r="L3023" s="394"/>
      <c r="M3023" s="394"/>
      <c r="N3023" s="394"/>
      <c r="O3023" s="394"/>
      <c r="P3023" s="394"/>
      <c r="Q3023" s="394"/>
      <c r="R3023" s="381"/>
      <c r="S3023" s="408"/>
      <c r="T3023" s="385"/>
      <c r="U3023" s="475"/>
      <c r="V3023" s="395"/>
      <c r="W3023" s="395"/>
      <c r="X3023" s="528"/>
      <c r="Y3023" s="523"/>
      <c r="Z3023" s="393"/>
      <c r="AA3023" s="394"/>
      <c r="AB3023" s="394"/>
      <c r="AC3023" s="394"/>
      <c r="AD3023" s="394"/>
      <c r="AE3023" s="394"/>
      <c r="AF3023" s="394"/>
      <c r="AG3023" s="394"/>
      <c r="AH3023" s="394"/>
      <c r="AI3023" s="394"/>
      <c r="AJ3023" s="394"/>
      <c r="AK3023" s="381"/>
      <c r="AL3023" s="408"/>
      <c r="AM3023" s="385"/>
      <c r="AN3023" s="475"/>
      <c r="AO3023" s="395"/>
      <c r="AP3023" s="395"/>
      <c r="AQ3023" s="528"/>
      <c r="AR3023" s="523">
        <v>1</v>
      </c>
      <c r="AS3023" s="393"/>
      <c r="AT3023" s="600">
        <v>15.197990000000001</v>
      </c>
      <c r="AU3023" s="394">
        <v>13.332979999999999</v>
      </c>
      <c r="AV3023" s="394">
        <v>13.33297</v>
      </c>
      <c r="AW3023" s="394"/>
      <c r="AX3023" s="394"/>
      <c r="AY3023" s="394">
        <v>0</v>
      </c>
      <c r="AZ3023" s="394">
        <v>0</v>
      </c>
      <c r="BA3023" s="394">
        <v>0.43479000000000001</v>
      </c>
      <c r="BB3023" s="394">
        <v>13.33297</v>
      </c>
      <c r="BC3023" s="394"/>
      <c r="BD3023" s="381" t="s">
        <v>167</v>
      </c>
      <c r="BE3023" s="408" t="s">
        <v>175</v>
      </c>
      <c r="BF3023" s="385"/>
      <c r="BG3023" s="475">
        <v>973</v>
      </c>
      <c r="BH3023" s="395"/>
      <c r="BI3023" s="395">
        <f t="shared" ref="BI3023" si="1164">AT3023/AR3023</f>
        <v>15.197990000000001</v>
      </c>
    </row>
    <row r="3024" spans="1:61" s="358" customFormat="1" ht="19.2" x14ac:dyDescent="0.3">
      <c r="A3024" s="359" t="s">
        <v>1977</v>
      </c>
      <c r="B3024" s="602" t="s">
        <v>5570</v>
      </c>
      <c r="C3024" s="548" t="s">
        <v>5571</v>
      </c>
      <c r="D3024" s="360">
        <v>0.4</v>
      </c>
      <c r="E3024" s="528"/>
      <c r="F3024" s="523"/>
      <c r="G3024" s="393"/>
      <c r="H3024" s="394"/>
      <c r="I3024" s="394"/>
      <c r="J3024" s="394"/>
      <c r="K3024" s="394"/>
      <c r="L3024" s="394"/>
      <c r="M3024" s="394"/>
      <c r="N3024" s="394"/>
      <c r="O3024" s="394"/>
      <c r="P3024" s="394"/>
      <c r="Q3024" s="394"/>
      <c r="R3024" s="381"/>
      <c r="S3024" s="408"/>
      <c r="T3024" s="385"/>
      <c r="U3024" s="475"/>
      <c r="V3024" s="395"/>
      <c r="W3024" s="395"/>
      <c r="X3024" s="528"/>
      <c r="Y3024" s="523"/>
      <c r="Z3024" s="393"/>
      <c r="AA3024" s="394"/>
      <c r="AB3024" s="394"/>
      <c r="AC3024" s="394"/>
      <c r="AD3024" s="394"/>
      <c r="AE3024" s="394"/>
      <c r="AF3024" s="394"/>
      <c r="AG3024" s="394"/>
      <c r="AH3024" s="394"/>
      <c r="AI3024" s="394"/>
      <c r="AJ3024" s="394"/>
      <c r="AK3024" s="381"/>
      <c r="AL3024" s="408"/>
      <c r="AM3024" s="385"/>
      <c r="AN3024" s="475"/>
      <c r="AO3024" s="395"/>
      <c r="AP3024" s="395"/>
      <c r="AQ3024" s="528"/>
      <c r="AR3024" s="523">
        <v>1</v>
      </c>
      <c r="AS3024" s="393"/>
      <c r="AT3024" s="600">
        <v>20.237780000000001</v>
      </c>
      <c r="AU3024" s="394">
        <v>16.986799999999999</v>
      </c>
      <c r="AV3024" s="394">
        <v>15.2742</v>
      </c>
      <c r="AW3024" s="394"/>
      <c r="AX3024" s="394"/>
      <c r="AY3024" s="394">
        <v>0</v>
      </c>
      <c r="AZ3024" s="394">
        <v>0</v>
      </c>
      <c r="BA3024" s="394">
        <v>0.75790000000000002</v>
      </c>
      <c r="BB3024" s="394">
        <v>15.2742</v>
      </c>
      <c r="BC3024" s="394"/>
      <c r="BD3024" s="381" t="s">
        <v>167</v>
      </c>
      <c r="BE3024" s="408" t="s">
        <v>175</v>
      </c>
      <c r="BF3024" s="385"/>
      <c r="BG3024" s="475">
        <v>974</v>
      </c>
      <c r="BH3024" s="395"/>
      <c r="BI3024" s="395">
        <f t="shared" si="1148"/>
        <v>20.237780000000001</v>
      </c>
    </row>
    <row r="3025" spans="1:61" s="358" customFormat="1" ht="19.2" x14ac:dyDescent="0.3">
      <c r="A3025" s="359" t="s">
        <v>1978</v>
      </c>
      <c r="B3025" s="602" t="s">
        <v>5572</v>
      </c>
      <c r="C3025" s="548" t="s">
        <v>5573</v>
      </c>
      <c r="D3025" s="360">
        <v>0.4</v>
      </c>
      <c r="E3025" s="528"/>
      <c r="F3025" s="523"/>
      <c r="G3025" s="393"/>
      <c r="H3025" s="394"/>
      <c r="I3025" s="394"/>
      <c r="J3025" s="394"/>
      <c r="K3025" s="394"/>
      <c r="L3025" s="394"/>
      <c r="M3025" s="394"/>
      <c r="N3025" s="394"/>
      <c r="O3025" s="394"/>
      <c r="P3025" s="394"/>
      <c r="Q3025" s="394"/>
      <c r="R3025" s="381"/>
      <c r="S3025" s="408"/>
      <c r="T3025" s="385"/>
      <c r="U3025" s="475"/>
      <c r="V3025" s="395"/>
      <c r="W3025" s="395"/>
      <c r="X3025" s="528"/>
      <c r="Y3025" s="523"/>
      <c r="Z3025" s="393"/>
      <c r="AA3025" s="394"/>
      <c r="AB3025" s="394"/>
      <c r="AC3025" s="394"/>
      <c r="AD3025" s="394"/>
      <c r="AE3025" s="394"/>
      <c r="AF3025" s="394"/>
      <c r="AG3025" s="394"/>
      <c r="AH3025" s="394"/>
      <c r="AI3025" s="394"/>
      <c r="AJ3025" s="394"/>
      <c r="AK3025" s="381"/>
      <c r="AL3025" s="408"/>
      <c r="AM3025" s="385"/>
      <c r="AN3025" s="475"/>
      <c r="AO3025" s="395"/>
      <c r="AP3025" s="395"/>
      <c r="AQ3025" s="528"/>
      <c r="AR3025" s="523">
        <v>1</v>
      </c>
      <c r="AS3025" s="393"/>
      <c r="AT3025" s="600">
        <v>19.574670000000001</v>
      </c>
      <c r="AU3025" s="394">
        <v>16.323689999999999</v>
      </c>
      <c r="AV3025" s="394">
        <v>15.2742</v>
      </c>
      <c r="AW3025" s="394"/>
      <c r="AX3025" s="394"/>
      <c r="AY3025" s="394">
        <v>0</v>
      </c>
      <c r="AZ3025" s="394">
        <v>0</v>
      </c>
      <c r="BA3025" s="394">
        <v>0.75790000000000002</v>
      </c>
      <c r="BB3025" s="394">
        <v>15.2742</v>
      </c>
      <c r="BC3025" s="394"/>
      <c r="BD3025" s="381" t="s">
        <v>167</v>
      </c>
      <c r="BE3025" s="408" t="s">
        <v>175</v>
      </c>
      <c r="BF3025" s="385"/>
      <c r="BG3025" s="475">
        <v>975</v>
      </c>
      <c r="BH3025" s="395"/>
      <c r="BI3025" s="395">
        <f t="shared" ref="BI3025" si="1165">AT3025/AR3025</f>
        <v>19.574670000000001</v>
      </c>
    </row>
    <row r="3026" spans="1:61" s="358" customFormat="1" ht="19.2" x14ac:dyDescent="0.3">
      <c r="A3026" s="359" t="s">
        <v>1979</v>
      </c>
      <c r="B3026" s="602" t="s">
        <v>1445</v>
      </c>
      <c r="C3026" s="548" t="s">
        <v>5574</v>
      </c>
      <c r="D3026" s="360">
        <v>0.4</v>
      </c>
      <c r="E3026" s="528"/>
      <c r="F3026" s="523"/>
      <c r="G3026" s="393"/>
      <c r="H3026" s="394"/>
      <c r="I3026" s="394"/>
      <c r="J3026" s="394"/>
      <c r="K3026" s="394"/>
      <c r="L3026" s="394"/>
      <c r="M3026" s="394"/>
      <c r="N3026" s="394"/>
      <c r="O3026" s="394"/>
      <c r="P3026" s="394"/>
      <c r="Q3026" s="394"/>
      <c r="R3026" s="381"/>
      <c r="S3026" s="408"/>
      <c r="T3026" s="385"/>
      <c r="U3026" s="475"/>
      <c r="V3026" s="395"/>
      <c r="W3026" s="395"/>
      <c r="X3026" s="528"/>
      <c r="Y3026" s="523"/>
      <c r="Z3026" s="393"/>
      <c r="AA3026" s="394"/>
      <c r="AB3026" s="394"/>
      <c r="AC3026" s="394"/>
      <c r="AD3026" s="394"/>
      <c r="AE3026" s="394"/>
      <c r="AF3026" s="394"/>
      <c r="AG3026" s="394"/>
      <c r="AH3026" s="394"/>
      <c r="AI3026" s="394"/>
      <c r="AJ3026" s="394"/>
      <c r="AK3026" s="381"/>
      <c r="AL3026" s="408"/>
      <c r="AM3026" s="385"/>
      <c r="AN3026" s="475"/>
      <c r="AO3026" s="395"/>
      <c r="AP3026" s="395"/>
      <c r="AQ3026" s="528"/>
      <c r="AR3026" s="523">
        <v>1</v>
      </c>
      <c r="AS3026" s="393"/>
      <c r="AT3026" s="600">
        <v>19.5747</v>
      </c>
      <c r="AU3026" s="394">
        <v>16.323720000000002</v>
      </c>
      <c r="AV3026" s="394">
        <v>15.2742</v>
      </c>
      <c r="AW3026" s="394"/>
      <c r="AX3026" s="394"/>
      <c r="AY3026" s="394">
        <v>0</v>
      </c>
      <c r="AZ3026" s="394">
        <v>0</v>
      </c>
      <c r="BA3026" s="394">
        <v>0.75790000000000002</v>
      </c>
      <c r="BB3026" s="394">
        <v>15.2742</v>
      </c>
      <c r="BC3026" s="394"/>
      <c r="BD3026" s="381" t="s">
        <v>167</v>
      </c>
      <c r="BE3026" s="408" t="s">
        <v>175</v>
      </c>
      <c r="BF3026" s="385"/>
      <c r="BG3026" s="475">
        <v>976</v>
      </c>
      <c r="BH3026" s="395"/>
      <c r="BI3026" s="395">
        <f t="shared" si="1148"/>
        <v>19.5747</v>
      </c>
    </row>
    <row r="3027" spans="1:61" s="358" customFormat="1" ht="19.2" x14ac:dyDescent="0.3">
      <c r="A3027" s="359" t="s">
        <v>1980</v>
      </c>
      <c r="B3027" s="602" t="s">
        <v>3645</v>
      </c>
      <c r="C3027" s="548" t="s">
        <v>5575</v>
      </c>
      <c r="D3027" s="360">
        <v>0.4</v>
      </c>
      <c r="E3027" s="528"/>
      <c r="F3027" s="523"/>
      <c r="G3027" s="393"/>
      <c r="H3027" s="394"/>
      <c r="I3027" s="394"/>
      <c r="J3027" s="394"/>
      <c r="K3027" s="394"/>
      <c r="L3027" s="394"/>
      <c r="M3027" s="394"/>
      <c r="N3027" s="394"/>
      <c r="O3027" s="394"/>
      <c r="P3027" s="394"/>
      <c r="Q3027" s="394"/>
      <c r="R3027" s="381"/>
      <c r="S3027" s="408"/>
      <c r="T3027" s="385"/>
      <c r="U3027" s="475"/>
      <c r="V3027" s="395"/>
      <c r="W3027" s="395"/>
      <c r="X3027" s="528"/>
      <c r="Y3027" s="523"/>
      <c r="Z3027" s="393"/>
      <c r="AA3027" s="394"/>
      <c r="AB3027" s="394"/>
      <c r="AC3027" s="394"/>
      <c r="AD3027" s="394"/>
      <c r="AE3027" s="394"/>
      <c r="AF3027" s="394"/>
      <c r="AG3027" s="394"/>
      <c r="AH3027" s="394"/>
      <c r="AI3027" s="394"/>
      <c r="AJ3027" s="394"/>
      <c r="AK3027" s="381"/>
      <c r="AL3027" s="408"/>
      <c r="AM3027" s="385"/>
      <c r="AN3027" s="475"/>
      <c r="AO3027" s="395"/>
      <c r="AP3027" s="395"/>
      <c r="AQ3027" s="528"/>
      <c r="AR3027" s="523">
        <v>1</v>
      </c>
      <c r="AS3027" s="393"/>
      <c r="AT3027" s="600">
        <v>19.57469</v>
      </c>
      <c r="AU3027" s="394">
        <v>16.323709999999998</v>
      </c>
      <c r="AV3027" s="394">
        <v>15.2742</v>
      </c>
      <c r="AW3027" s="394"/>
      <c r="AX3027" s="394"/>
      <c r="AY3027" s="394">
        <v>0</v>
      </c>
      <c r="AZ3027" s="394">
        <v>0</v>
      </c>
      <c r="BA3027" s="394">
        <v>0.75790000000000002</v>
      </c>
      <c r="BB3027" s="394">
        <v>15.2742</v>
      </c>
      <c r="BC3027" s="394"/>
      <c r="BD3027" s="381" t="s">
        <v>167</v>
      </c>
      <c r="BE3027" s="408" t="s">
        <v>175</v>
      </c>
      <c r="BF3027" s="385"/>
      <c r="BG3027" s="475">
        <v>977</v>
      </c>
      <c r="BH3027" s="395"/>
      <c r="BI3027" s="395">
        <f t="shared" ref="BI3027" si="1166">AT3027/AR3027</f>
        <v>19.57469</v>
      </c>
    </row>
    <row r="3028" spans="1:61" s="358" customFormat="1" ht="19.2" x14ac:dyDescent="0.3">
      <c r="A3028" s="359" t="s">
        <v>1981</v>
      </c>
      <c r="B3028" s="602" t="s">
        <v>5576</v>
      </c>
      <c r="C3028" s="548" t="s">
        <v>5577</v>
      </c>
      <c r="D3028" s="360">
        <v>0.4</v>
      </c>
      <c r="E3028" s="528"/>
      <c r="F3028" s="523"/>
      <c r="G3028" s="393"/>
      <c r="H3028" s="394"/>
      <c r="I3028" s="394"/>
      <c r="J3028" s="394"/>
      <c r="K3028" s="394"/>
      <c r="L3028" s="394"/>
      <c r="M3028" s="394"/>
      <c r="N3028" s="394"/>
      <c r="O3028" s="394"/>
      <c r="P3028" s="394"/>
      <c r="Q3028" s="394"/>
      <c r="R3028" s="381"/>
      <c r="S3028" s="408"/>
      <c r="T3028" s="385"/>
      <c r="U3028" s="475"/>
      <c r="V3028" s="395"/>
      <c r="W3028" s="395"/>
      <c r="X3028" s="528"/>
      <c r="Y3028" s="523"/>
      <c r="Z3028" s="393"/>
      <c r="AA3028" s="394"/>
      <c r="AB3028" s="394"/>
      <c r="AC3028" s="394"/>
      <c r="AD3028" s="394"/>
      <c r="AE3028" s="394"/>
      <c r="AF3028" s="394"/>
      <c r="AG3028" s="394"/>
      <c r="AH3028" s="394"/>
      <c r="AI3028" s="394"/>
      <c r="AJ3028" s="394"/>
      <c r="AK3028" s="381"/>
      <c r="AL3028" s="408"/>
      <c r="AM3028" s="385"/>
      <c r="AN3028" s="475"/>
      <c r="AO3028" s="395"/>
      <c r="AP3028" s="395"/>
      <c r="AQ3028" s="528"/>
      <c r="AR3028" s="523">
        <v>1</v>
      </c>
      <c r="AS3028" s="393"/>
      <c r="AT3028" s="600">
        <v>19.574680000000001</v>
      </c>
      <c r="AU3028" s="394">
        <v>16.323699999999999</v>
      </c>
      <c r="AV3028" s="394">
        <v>15.2742</v>
      </c>
      <c r="AW3028" s="394"/>
      <c r="AX3028" s="394"/>
      <c r="AY3028" s="394">
        <v>0</v>
      </c>
      <c r="AZ3028" s="394">
        <v>0</v>
      </c>
      <c r="BA3028" s="394">
        <v>0.75790000000000002</v>
      </c>
      <c r="BB3028" s="394">
        <v>15.2742</v>
      </c>
      <c r="BC3028" s="394"/>
      <c r="BD3028" s="381" t="s">
        <v>167</v>
      </c>
      <c r="BE3028" s="408" t="s">
        <v>175</v>
      </c>
      <c r="BF3028" s="385"/>
      <c r="BG3028" s="475">
        <v>978</v>
      </c>
      <c r="BH3028" s="395"/>
      <c r="BI3028" s="395">
        <f t="shared" si="1148"/>
        <v>19.574680000000001</v>
      </c>
    </row>
    <row r="3029" spans="1:61" s="358" customFormat="1" ht="19.2" x14ac:dyDescent="0.3">
      <c r="A3029" s="359" t="s">
        <v>1982</v>
      </c>
      <c r="B3029" s="602" t="s">
        <v>5578</v>
      </c>
      <c r="C3029" s="548" t="s">
        <v>5579</v>
      </c>
      <c r="D3029" s="360">
        <v>0.4</v>
      </c>
      <c r="E3029" s="528"/>
      <c r="F3029" s="523"/>
      <c r="G3029" s="393"/>
      <c r="H3029" s="394"/>
      <c r="I3029" s="394"/>
      <c r="J3029" s="394"/>
      <c r="K3029" s="394"/>
      <c r="L3029" s="394"/>
      <c r="M3029" s="394"/>
      <c r="N3029" s="394"/>
      <c r="O3029" s="394"/>
      <c r="P3029" s="394"/>
      <c r="Q3029" s="394"/>
      <c r="R3029" s="381"/>
      <c r="S3029" s="408"/>
      <c r="T3029" s="385"/>
      <c r="U3029" s="475"/>
      <c r="V3029" s="395"/>
      <c r="W3029" s="395"/>
      <c r="X3029" s="528"/>
      <c r="Y3029" s="523"/>
      <c r="Z3029" s="393"/>
      <c r="AA3029" s="394"/>
      <c r="AB3029" s="394"/>
      <c r="AC3029" s="394"/>
      <c r="AD3029" s="394"/>
      <c r="AE3029" s="394"/>
      <c r="AF3029" s="394"/>
      <c r="AG3029" s="394"/>
      <c r="AH3029" s="394"/>
      <c r="AI3029" s="394"/>
      <c r="AJ3029" s="394"/>
      <c r="AK3029" s="381"/>
      <c r="AL3029" s="408"/>
      <c r="AM3029" s="385"/>
      <c r="AN3029" s="475"/>
      <c r="AO3029" s="395"/>
      <c r="AP3029" s="395"/>
      <c r="AQ3029" s="528"/>
      <c r="AR3029" s="523">
        <v>1</v>
      </c>
      <c r="AS3029" s="393"/>
      <c r="AT3029" s="600">
        <v>20.2378</v>
      </c>
      <c r="AU3029" s="394">
        <v>16.986820000000002</v>
      </c>
      <c r="AV3029" s="394">
        <v>15.2742</v>
      </c>
      <c r="AW3029" s="394"/>
      <c r="AX3029" s="394"/>
      <c r="AY3029" s="394">
        <v>0</v>
      </c>
      <c r="AZ3029" s="394">
        <v>0</v>
      </c>
      <c r="BA3029" s="394">
        <v>0.75790000000000002</v>
      </c>
      <c r="BB3029" s="394">
        <v>15.2742</v>
      </c>
      <c r="BC3029" s="394"/>
      <c r="BD3029" s="381" t="s">
        <v>167</v>
      </c>
      <c r="BE3029" s="408" t="s">
        <v>175</v>
      </c>
      <c r="BF3029" s="385"/>
      <c r="BG3029" s="475">
        <v>979</v>
      </c>
      <c r="BH3029" s="395"/>
      <c r="BI3029" s="395">
        <f t="shared" ref="BI3029" si="1167">AT3029/AR3029</f>
        <v>20.2378</v>
      </c>
    </row>
    <row r="3030" spans="1:61" s="358" customFormat="1" ht="19.2" x14ac:dyDescent="0.3">
      <c r="A3030" s="359" t="s">
        <v>1983</v>
      </c>
      <c r="B3030" s="602" t="s">
        <v>5580</v>
      </c>
      <c r="C3030" s="548" t="s">
        <v>5581</v>
      </c>
      <c r="D3030" s="360">
        <v>0.4</v>
      </c>
      <c r="E3030" s="528"/>
      <c r="F3030" s="523"/>
      <c r="G3030" s="393"/>
      <c r="H3030" s="394"/>
      <c r="I3030" s="394"/>
      <c r="J3030" s="394"/>
      <c r="K3030" s="394"/>
      <c r="L3030" s="394"/>
      <c r="M3030" s="394"/>
      <c r="N3030" s="394"/>
      <c r="O3030" s="394"/>
      <c r="P3030" s="394"/>
      <c r="Q3030" s="394"/>
      <c r="R3030" s="381"/>
      <c r="S3030" s="408"/>
      <c r="T3030" s="385"/>
      <c r="U3030" s="475"/>
      <c r="V3030" s="395"/>
      <c r="W3030" s="395"/>
      <c r="X3030" s="528"/>
      <c r="Y3030" s="523"/>
      <c r="Z3030" s="393"/>
      <c r="AA3030" s="394"/>
      <c r="AB3030" s="394"/>
      <c r="AC3030" s="394"/>
      <c r="AD3030" s="394"/>
      <c r="AE3030" s="394"/>
      <c r="AF3030" s="394"/>
      <c r="AG3030" s="394"/>
      <c r="AH3030" s="394"/>
      <c r="AI3030" s="394"/>
      <c r="AJ3030" s="394"/>
      <c r="AK3030" s="381"/>
      <c r="AL3030" s="408"/>
      <c r="AM3030" s="385"/>
      <c r="AN3030" s="475"/>
      <c r="AO3030" s="395"/>
      <c r="AP3030" s="395"/>
      <c r="AQ3030" s="528"/>
      <c r="AR3030" s="523">
        <v>1</v>
      </c>
      <c r="AS3030" s="393"/>
      <c r="AT3030" s="600">
        <v>19.5747</v>
      </c>
      <c r="AU3030" s="394">
        <v>16.323720000000002</v>
      </c>
      <c r="AV3030" s="394">
        <v>15.2742</v>
      </c>
      <c r="AW3030" s="394"/>
      <c r="AX3030" s="394"/>
      <c r="AY3030" s="394">
        <v>0</v>
      </c>
      <c r="AZ3030" s="394">
        <v>0</v>
      </c>
      <c r="BA3030" s="394">
        <v>0.75790000000000002</v>
      </c>
      <c r="BB3030" s="394">
        <v>15.2742</v>
      </c>
      <c r="BC3030" s="394"/>
      <c r="BD3030" s="381" t="s">
        <v>167</v>
      </c>
      <c r="BE3030" s="408" t="s">
        <v>175</v>
      </c>
      <c r="BF3030" s="385"/>
      <c r="BG3030" s="475">
        <v>980</v>
      </c>
      <c r="BH3030" s="395"/>
      <c r="BI3030" s="395">
        <f t="shared" si="1148"/>
        <v>19.5747</v>
      </c>
    </row>
    <row r="3031" spans="1:61" s="358" customFormat="1" ht="19.2" x14ac:dyDescent="0.3">
      <c r="A3031" s="359" t="s">
        <v>1984</v>
      </c>
      <c r="B3031" s="602" t="s">
        <v>5582</v>
      </c>
      <c r="C3031" s="548" t="s">
        <v>5583</v>
      </c>
      <c r="D3031" s="360">
        <v>0.4</v>
      </c>
      <c r="E3031" s="528"/>
      <c r="F3031" s="523"/>
      <c r="G3031" s="393"/>
      <c r="H3031" s="394"/>
      <c r="I3031" s="394"/>
      <c r="J3031" s="394"/>
      <c r="K3031" s="394"/>
      <c r="L3031" s="394"/>
      <c r="M3031" s="394"/>
      <c r="N3031" s="394"/>
      <c r="O3031" s="394"/>
      <c r="P3031" s="394"/>
      <c r="Q3031" s="394"/>
      <c r="R3031" s="381"/>
      <c r="S3031" s="408"/>
      <c r="T3031" s="385"/>
      <c r="U3031" s="475"/>
      <c r="V3031" s="395"/>
      <c r="W3031" s="395"/>
      <c r="X3031" s="528"/>
      <c r="Y3031" s="523"/>
      <c r="Z3031" s="393"/>
      <c r="AA3031" s="394"/>
      <c r="AB3031" s="394"/>
      <c r="AC3031" s="394"/>
      <c r="AD3031" s="394"/>
      <c r="AE3031" s="394"/>
      <c r="AF3031" s="394"/>
      <c r="AG3031" s="394"/>
      <c r="AH3031" s="394"/>
      <c r="AI3031" s="394"/>
      <c r="AJ3031" s="394"/>
      <c r="AK3031" s="381"/>
      <c r="AL3031" s="408"/>
      <c r="AM3031" s="385"/>
      <c r="AN3031" s="475"/>
      <c r="AO3031" s="395"/>
      <c r="AP3031" s="395"/>
      <c r="AQ3031" s="528"/>
      <c r="AR3031" s="523">
        <v>1</v>
      </c>
      <c r="AS3031" s="393"/>
      <c r="AT3031" s="600">
        <v>19.5747</v>
      </c>
      <c r="AU3031" s="394">
        <v>16.323720000000002</v>
      </c>
      <c r="AV3031" s="394">
        <v>15.2742</v>
      </c>
      <c r="AW3031" s="394"/>
      <c r="AX3031" s="394"/>
      <c r="AY3031" s="394">
        <v>0</v>
      </c>
      <c r="AZ3031" s="394">
        <v>0</v>
      </c>
      <c r="BA3031" s="394">
        <v>0.75790000000000002</v>
      </c>
      <c r="BB3031" s="394">
        <v>15.2742</v>
      </c>
      <c r="BC3031" s="394"/>
      <c r="BD3031" s="381" t="s">
        <v>167</v>
      </c>
      <c r="BE3031" s="408" t="s">
        <v>175</v>
      </c>
      <c r="BF3031" s="385"/>
      <c r="BG3031" s="475">
        <v>981</v>
      </c>
      <c r="BH3031" s="395"/>
      <c r="BI3031" s="395">
        <f t="shared" ref="BI3031" si="1168">AT3031/AR3031</f>
        <v>19.5747</v>
      </c>
    </row>
    <row r="3032" spans="1:61" s="358" customFormat="1" ht="19.2" x14ac:dyDescent="0.3">
      <c r="A3032" s="359" t="s">
        <v>1985</v>
      </c>
      <c r="B3032" s="602" t="s">
        <v>5584</v>
      </c>
      <c r="C3032" s="548" t="s">
        <v>5585</v>
      </c>
      <c r="D3032" s="360">
        <v>0.4</v>
      </c>
      <c r="E3032" s="528"/>
      <c r="F3032" s="523"/>
      <c r="G3032" s="393"/>
      <c r="H3032" s="394"/>
      <c r="I3032" s="394"/>
      <c r="J3032" s="394"/>
      <c r="K3032" s="394"/>
      <c r="L3032" s="394"/>
      <c r="M3032" s="394"/>
      <c r="N3032" s="394"/>
      <c r="O3032" s="394"/>
      <c r="P3032" s="394"/>
      <c r="Q3032" s="394"/>
      <c r="R3032" s="381"/>
      <c r="S3032" s="408"/>
      <c r="T3032" s="385"/>
      <c r="U3032" s="475"/>
      <c r="V3032" s="395"/>
      <c r="W3032" s="395"/>
      <c r="X3032" s="528"/>
      <c r="Y3032" s="523"/>
      <c r="Z3032" s="393"/>
      <c r="AA3032" s="394"/>
      <c r="AB3032" s="394"/>
      <c r="AC3032" s="394"/>
      <c r="AD3032" s="394"/>
      <c r="AE3032" s="394"/>
      <c r="AF3032" s="394"/>
      <c r="AG3032" s="394"/>
      <c r="AH3032" s="394"/>
      <c r="AI3032" s="394"/>
      <c r="AJ3032" s="394"/>
      <c r="AK3032" s="381"/>
      <c r="AL3032" s="408"/>
      <c r="AM3032" s="385"/>
      <c r="AN3032" s="475"/>
      <c r="AO3032" s="395"/>
      <c r="AP3032" s="395"/>
      <c r="AQ3032" s="528"/>
      <c r="AR3032" s="523">
        <v>1</v>
      </c>
      <c r="AS3032" s="393"/>
      <c r="AT3032" s="600">
        <v>20.23781</v>
      </c>
      <c r="AU3032" s="394">
        <v>16.986830000000001</v>
      </c>
      <c r="AV3032" s="394">
        <v>15.2742</v>
      </c>
      <c r="AW3032" s="394"/>
      <c r="AX3032" s="394"/>
      <c r="AY3032" s="394">
        <v>0</v>
      </c>
      <c r="AZ3032" s="394">
        <v>0</v>
      </c>
      <c r="BA3032" s="394">
        <v>0.75790000000000002</v>
      </c>
      <c r="BB3032" s="394">
        <v>15.2742</v>
      </c>
      <c r="BC3032" s="394"/>
      <c r="BD3032" s="381" t="s">
        <v>167</v>
      </c>
      <c r="BE3032" s="408" t="s">
        <v>175</v>
      </c>
      <c r="BF3032" s="385"/>
      <c r="BG3032" s="475">
        <v>982</v>
      </c>
      <c r="BH3032" s="395"/>
      <c r="BI3032" s="395">
        <f t="shared" si="1148"/>
        <v>20.23781</v>
      </c>
    </row>
    <row r="3033" spans="1:61" s="358" customFormat="1" ht="19.2" x14ac:dyDescent="0.3">
      <c r="A3033" s="359" t="s">
        <v>1986</v>
      </c>
      <c r="B3033" s="602" t="s">
        <v>5586</v>
      </c>
      <c r="C3033" s="548" t="s">
        <v>5587</v>
      </c>
      <c r="D3033" s="360">
        <v>0.4</v>
      </c>
      <c r="E3033" s="528"/>
      <c r="F3033" s="523"/>
      <c r="G3033" s="393"/>
      <c r="H3033" s="394"/>
      <c r="I3033" s="394"/>
      <c r="J3033" s="394"/>
      <c r="K3033" s="394"/>
      <c r="L3033" s="394"/>
      <c r="M3033" s="394"/>
      <c r="N3033" s="394"/>
      <c r="O3033" s="394"/>
      <c r="P3033" s="394"/>
      <c r="Q3033" s="394"/>
      <c r="R3033" s="381"/>
      <c r="S3033" s="408"/>
      <c r="T3033" s="385"/>
      <c r="U3033" s="475"/>
      <c r="V3033" s="395"/>
      <c r="W3033" s="395"/>
      <c r="X3033" s="528"/>
      <c r="Y3033" s="523"/>
      <c r="Z3033" s="393"/>
      <c r="AA3033" s="394"/>
      <c r="AB3033" s="394"/>
      <c r="AC3033" s="394"/>
      <c r="AD3033" s="394"/>
      <c r="AE3033" s="394"/>
      <c r="AF3033" s="394"/>
      <c r="AG3033" s="394"/>
      <c r="AH3033" s="394"/>
      <c r="AI3033" s="394"/>
      <c r="AJ3033" s="394"/>
      <c r="AK3033" s="381"/>
      <c r="AL3033" s="408"/>
      <c r="AM3033" s="385"/>
      <c r="AN3033" s="475"/>
      <c r="AO3033" s="395"/>
      <c r="AP3033" s="395"/>
      <c r="AQ3033" s="528"/>
      <c r="AR3033" s="523">
        <v>1</v>
      </c>
      <c r="AS3033" s="393"/>
      <c r="AT3033" s="600">
        <v>20.237780000000001</v>
      </c>
      <c r="AU3033" s="394">
        <v>16.986799999999999</v>
      </c>
      <c r="AV3033" s="394">
        <v>15.2742</v>
      </c>
      <c r="AW3033" s="394"/>
      <c r="AX3033" s="394"/>
      <c r="AY3033" s="394">
        <v>0</v>
      </c>
      <c r="AZ3033" s="394">
        <v>0</v>
      </c>
      <c r="BA3033" s="394">
        <v>0.75790000000000002</v>
      </c>
      <c r="BB3033" s="394">
        <v>15.2742</v>
      </c>
      <c r="BC3033" s="394"/>
      <c r="BD3033" s="381" t="s">
        <v>167</v>
      </c>
      <c r="BE3033" s="408" t="s">
        <v>175</v>
      </c>
      <c r="BF3033" s="385"/>
      <c r="BG3033" s="475">
        <v>983</v>
      </c>
      <c r="BH3033" s="395"/>
      <c r="BI3033" s="395">
        <f t="shared" ref="BI3033" si="1169">AT3033/AR3033</f>
        <v>20.237780000000001</v>
      </c>
    </row>
    <row r="3034" spans="1:61" s="358" customFormat="1" ht="19.2" x14ac:dyDescent="0.3">
      <c r="A3034" s="359" t="s">
        <v>1987</v>
      </c>
      <c r="B3034" s="602" t="s">
        <v>5588</v>
      </c>
      <c r="C3034" s="548" t="s">
        <v>5589</v>
      </c>
      <c r="D3034" s="360">
        <v>0.4</v>
      </c>
      <c r="E3034" s="528"/>
      <c r="F3034" s="523"/>
      <c r="G3034" s="393"/>
      <c r="H3034" s="394"/>
      <c r="I3034" s="394"/>
      <c r="J3034" s="394"/>
      <c r="K3034" s="394"/>
      <c r="L3034" s="394"/>
      <c r="M3034" s="394"/>
      <c r="N3034" s="394"/>
      <c r="O3034" s="394"/>
      <c r="P3034" s="394"/>
      <c r="Q3034" s="394"/>
      <c r="R3034" s="381"/>
      <c r="S3034" s="408"/>
      <c r="T3034" s="385"/>
      <c r="U3034" s="475"/>
      <c r="V3034" s="395"/>
      <c r="W3034" s="395"/>
      <c r="X3034" s="528"/>
      <c r="Y3034" s="523"/>
      <c r="Z3034" s="393"/>
      <c r="AA3034" s="394"/>
      <c r="AB3034" s="394"/>
      <c r="AC3034" s="394"/>
      <c r="AD3034" s="394"/>
      <c r="AE3034" s="394"/>
      <c r="AF3034" s="394"/>
      <c r="AG3034" s="394"/>
      <c r="AH3034" s="394"/>
      <c r="AI3034" s="394"/>
      <c r="AJ3034" s="394"/>
      <c r="AK3034" s="381"/>
      <c r="AL3034" s="408"/>
      <c r="AM3034" s="385"/>
      <c r="AN3034" s="475"/>
      <c r="AO3034" s="395"/>
      <c r="AP3034" s="395"/>
      <c r="AQ3034" s="528"/>
      <c r="AR3034" s="523">
        <v>1</v>
      </c>
      <c r="AS3034" s="393"/>
      <c r="AT3034" s="600">
        <v>20.237780000000001</v>
      </c>
      <c r="AU3034" s="394">
        <v>16.986799999999999</v>
      </c>
      <c r="AV3034" s="394">
        <v>15.2742</v>
      </c>
      <c r="AW3034" s="394"/>
      <c r="AX3034" s="394"/>
      <c r="AY3034" s="394">
        <v>0</v>
      </c>
      <c r="AZ3034" s="394">
        <v>0</v>
      </c>
      <c r="BA3034" s="394">
        <v>0.75790000000000002</v>
      </c>
      <c r="BB3034" s="394">
        <v>15.2742</v>
      </c>
      <c r="BC3034" s="394"/>
      <c r="BD3034" s="381" t="s">
        <v>167</v>
      </c>
      <c r="BE3034" s="408" t="s">
        <v>175</v>
      </c>
      <c r="BF3034" s="385"/>
      <c r="BG3034" s="475">
        <v>984</v>
      </c>
      <c r="BH3034" s="395"/>
      <c r="BI3034" s="395">
        <f t="shared" si="1148"/>
        <v>20.237780000000001</v>
      </c>
    </row>
    <row r="3035" spans="1:61" s="358" customFormat="1" ht="19.2" x14ac:dyDescent="0.3">
      <c r="A3035" s="359" t="s">
        <v>1988</v>
      </c>
      <c r="B3035" s="602" t="s">
        <v>5590</v>
      </c>
      <c r="C3035" s="548" t="s">
        <v>5591</v>
      </c>
      <c r="D3035" s="360">
        <v>0.4</v>
      </c>
      <c r="E3035" s="528"/>
      <c r="F3035" s="523"/>
      <c r="G3035" s="393"/>
      <c r="H3035" s="394"/>
      <c r="I3035" s="394"/>
      <c r="J3035" s="394"/>
      <c r="K3035" s="394"/>
      <c r="L3035" s="394"/>
      <c r="M3035" s="394"/>
      <c r="N3035" s="394"/>
      <c r="O3035" s="394"/>
      <c r="P3035" s="394"/>
      <c r="Q3035" s="394"/>
      <c r="R3035" s="381"/>
      <c r="S3035" s="408"/>
      <c r="T3035" s="385"/>
      <c r="U3035" s="475"/>
      <c r="V3035" s="395"/>
      <c r="W3035" s="395"/>
      <c r="X3035" s="528"/>
      <c r="Y3035" s="523"/>
      <c r="Z3035" s="393"/>
      <c r="AA3035" s="394"/>
      <c r="AB3035" s="394"/>
      <c r="AC3035" s="394"/>
      <c r="AD3035" s="394"/>
      <c r="AE3035" s="394"/>
      <c r="AF3035" s="394"/>
      <c r="AG3035" s="394"/>
      <c r="AH3035" s="394"/>
      <c r="AI3035" s="394"/>
      <c r="AJ3035" s="394"/>
      <c r="AK3035" s="381"/>
      <c r="AL3035" s="408"/>
      <c r="AM3035" s="385"/>
      <c r="AN3035" s="475"/>
      <c r="AO3035" s="395"/>
      <c r="AP3035" s="395"/>
      <c r="AQ3035" s="528"/>
      <c r="AR3035" s="523">
        <v>1</v>
      </c>
      <c r="AS3035" s="393"/>
      <c r="AT3035" s="600">
        <v>20.237780000000001</v>
      </c>
      <c r="AU3035" s="394">
        <v>16.986799999999999</v>
      </c>
      <c r="AV3035" s="394">
        <v>15.2742</v>
      </c>
      <c r="AW3035" s="394"/>
      <c r="AX3035" s="394"/>
      <c r="AY3035" s="394">
        <v>0</v>
      </c>
      <c r="AZ3035" s="394">
        <v>0</v>
      </c>
      <c r="BA3035" s="394">
        <v>0.75790000000000002</v>
      </c>
      <c r="BB3035" s="394">
        <v>15.2742</v>
      </c>
      <c r="BC3035" s="394"/>
      <c r="BD3035" s="381" t="s">
        <v>167</v>
      </c>
      <c r="BE3035" s="408" t="s">
        <v>175</v>
      </c>
      <c r="BF3035" s="385"/>
      <c r="BG3035" s="475">
        <v>985</v>
      </c>
      <c r="BH3035" s="395"/>
      <c r="BI3035" s="395">
        <f t="shared" si="1143"/>
        <v>20.237780000000001</v>
      </c>
    </row>
    <row r="3036" spans="1:61" s="358" customFormat="1" ht="19.2" x14ac:dyDescent="0.3">
      <c r="A3036" s="359" t="s">
        <v>1989</v>
      </c>
      <c r="B3036" s="602" t="s">
        <v>5592</v>
      </c>
      <c r="C3036" s="548" t="s">
        <v>5593</v>
      </c>
      <c r="D3036" s="360">
        <v>0.4</v>
      </c>
      <c r="E3036" s="528"/>
      <c r="F3036" s="523"/>
      <c r="G3036" s="393"/>
      <c r="H3036" s="394"/>
      <c r="I3036" s="394"/>
      <c r="J3036" s="394"/>
      <c r="K3036" s="394"/>
      <c r="L3036" s="394"/>
      <c r="M3036" s="394"/>
      <c r="N3036" s="394"/>
      <c r="O3036" s="394"/>
      <c r="P3036" s="394"/>
      <c r="Q3036" s="394"/>
      <c r="R3036" s="381"/>
      <c r="S3036" s="408"/>
      <c r="T3036" s="385"/>
      <c r="U3036" s="475"/>
      <c r="V3036" s="395"/>
      <c r="W3036" s="395"/>
      <c r="X3036" s="528"/>
      <c r="Y3036" s="523"/>
      <c r="Z3036" s="393"/>
      <c r="AA3036" s="394"/>
      <c r="AB3036" s="394"/>
      <c r="AC3036" s="394"/>
      <c r="AD3036" s="394"/>
      <c r="AE3036" s="394"/>
      <c r="AF3036" s="394"/>
      <c r="AG3036" s="394"/>
      <c r="AH3036" s="394"/>
      <c r="AI3036" s="394"/>
      <c r="AJ3036" s="394"/>
      <c r="AK3036" s="381"/>
      <c r="AL3036" s="408"/>
      <c r="AM3036" s="385"/>
      <c r="AN3036" s="475"/>
      <c r="AO3036" s="395"/>
      <c r="AP3036" s="395"/>
      <c r="AQ3036" s="528"/>
      <c r="AR3036" s="523">
        <v>1</v>
      </c>
      <c r="AS3036" s="393"/>
      <c r="AT3036" s="600">
        <v>20.2378</v>
      </c>
      <c r="AU3036" s="394">
        <v>16.986820000000002</v>
      </c>
      <c r="AV3036" s="394">
        <v>15.2742</v>
      </c>
      <c r="AW3036" s="394"/>
      <c r="AX3036" s="394"/>
      <c r="AY3036" s="394">
        <v>0</v>
      </c>
      <c r="AZ3036" s="394">
        <v>0</v>
      </c>
      <c r="BA3036" s="394">
        <v>0.75790000000000002</v>
      </c>
      <c r="BB3036" s="394">
        <v>15.2742</v>
      </c>
      <c r="BC3036" s="394"/>
      <c r="BD3036" s="381" t="s">
        <v>167</v>
      </c>
      <c r="BE3036" s="408" t="s">
        <v>175</v>
      </c>
      <c r="BF3036" s="385"/>
      <c r="BG3036" s="475">
        <v>986</v>
      </c>
      <c r="BH3036" s="395"/>
      <c r="BI3036" s="395">
        <f t="shared" ref="BI3036" si="1170">AT3036/AR3036</f>
        <v>20.2378</v>
      </c>
    </row>
    <row r="3037" spans="1:61" s="358" customFormat="1" ht="19.2" x14ac:dyDescent="0.3">
      <c r="A3037" s="359" t="s">
        <v>1990</v>
      </c>
      <c r="B3037" s="602" t="s">
        <v>5594</v>
      </c>
      <c r="C3037" s="548" t="s">
        <v>5595</v>
      </c>
      <c r="D3037" s="360">
        <v>0.4</v>
      </c>
      <c r="E3037" s="528"/>
      <c r="F3037" s="523"/>
      <c r="G3037" s="393"/>
      <c r="H3037" s="394"/>
      <c r="I3037" s="394"/>
      <c r="J3037" s="394"/>
      <c r="K3037" s="394"/>
      <c r="L3037" s="394"/>
      <c r="M3037" s="394"/>
      <c r="N3037" s="394"/>
      <c r="O3037" s="394"/>
      <c r="P3037" s="394"/>
      <c r="Q3037" s="394"/>
      <c r="R3037" s="381"/>
      <c r="S3037" s="408"/>
      <c r="T3037" s="385"/>
      <c r="U3037" s="475"/>
      <c r="V3037" s="395"/>
      <c r="W3037" s="395"/>
      <c r="X3037" s="528"/>
      <c r="Y3037" s="523"/>
      <c r="Z3037" s="393"/>
      <c r="AA3037" s="394"/>
      <c r="AB3037" s="394"/>
      <c r="AC3037" s="394"/>
      <c r="AD3037" s="394"/>
      <c r="AE3037" s="394"/>
      <c r="AF3037" s="394"/>
      <c r="AG3037" s="394"/>
      <c r="AH3037" s="394"/>
      <c r="AI3037" s="394"/>
      <c r="AJ3037" s="394"/>
      <c r="AK3037" s="381"/>
      <c r="AL3037" s="408"/>
      <c r="AM3037" s="385"/>
      <c r="AN3037" s="475"/>
      <c r="AO3037" s="395"/>
      <c r="AP3037" s="395"/>
      <c r="AQ3037" s="528"/>
      <c r="AR3037" s="523">
        <v>1</v>
      </c>
      <c r="AS3037" s="393"/>
      <c r="AT3037" s="600">
        <v>20.23781</v>
      </c>
      <c r="AU3037" s="394">
        <v>16.986830000000001</v>
      </c>
      <c r="AV3037" s="394">
        <v>15.2742</v>
      </c>
      <c r="AW3037" s="394"/>
      <c r="AX3037" s="394"/>
      <c r="AY3037" s="394">
        <v>0</v>
      </c>
      <c r="AZ3037" s="394">
        <v>0</v>
      </c>
      <c r="BA3037" s="394">
        <v>0.75790000000000002</v>
      </c>
      <c r="BB3037" s="394">
        <v>15.2742</v>
      </c>
      <c r="BC3037" s="394"/>
      <c r="BD3037" s="381" t="s">
        <v>167</v>
      </c>
      <c r="BE3037" s="408" t="s">
        <v>175</v>
      </c>
      <c r="BF3037" s="385"/>
      <c r="BG3037" s="475">
        <v>987</v>
      </c>
      <c r="BH3037" s="395"/>
      <c r="BI3037" s="395">
        <f t="shared" si="1143"/>
        <v>20.23781</v>
      </c>
    </row>
    <row r="3038" spans="1:61" s="358" customFormat="1" ht="19.2" x14ac:dyDescent="0.3">
      <c r="A3038" s="359" t="s">
        <v>1991</v>
      </c>
      <c r="B3038" s="602" t="s">
        <v>4772</v>
      </c>
      <c r="C3038" s="548" t="s">
        <v>4771</v>
      </c>
      <c r="D3038" s="360">
        <v>0.4</v>
      </c>
      <c r="E3038" s="528"/>
      <c r="F3038" s="523"/>
      <c r="G3038" s="393"/>
      <c r="H3038" s="394"/>
      <c r="I3038" s="394"/>
      <c r="J3038" s="394"/>
      <c r="K3038" s="394"/>
      <c r="L3038" s="394"/>
      <c r="M3038" s="394"/>
      <c r="N3038" s="394"/>
      <c r="O3038" s="394"/>
      <c r="P3038" s="394"/>
      <c r="Q3038" s="394"/>
      <c r="R3038" s="381"/>
      <c r="S3038" s="408"/>
      <c r="T3038" s="385"/>
      <c r="U3038" s="475"/>
      <c r="V3038" s="395"/>
      <c r="W3038" s="395"/>
      <c r="X3038" s="528"/>
      <c r="Y3038" s="523"/>
      <c r="Z3038" s="393"/>
      <c r="AA3038" s="394"/>
      <c r="AB3038" s="394"/>
      <c r="AC3038" s="394"/>
      <c r="AD3038" s="394"/>
      <c r="AE3038" s="394"/>
      <c r="AF3038" s="394"/>
      <c r="AG3038" s="394"/>
      <c r="AH3038" s="394"/>
      <c r="AI3038" s="394"/>
      <c r="AJ3038" s="394"/>
      <c r="AK3038" s="381"/>
      <c r="AL3038" s="408"/>
      <c r="AM3038" s="385"/>
      <c r="AN3038" s="475"/>
      <c r="AO3038" s="395"/>
      <c r="AP3038" s="395"/>
      <c r="AQ3038" s="528"/>
      <c r="AR3038" s="523">
        <v>1</v>
      </c>
      <c r="AS3038" s="393"/>
      <c r="AT3038" s="600">
        <v>20.2378</v>
      </c>
      <c r="AU3038" s="394">
        <v>16.986820000000002</v>
      </c>
      <c r="AV3038" s="394">
        <v>15.2742</v>
      </c>
      <c r="AW3038" s="394"/>
      <c r="AX3038" s="394"/>
      <c r="AY3038" s="394">
        <v>0</v>
      </c>
      <c r="AZ3038" s="394">
        <v>0</v>
      </c>
      <c r="BA3038" s="394">
        <v>0.75790000000000002</v>
      </c>
      <c r="BB3038" s="394">
        <v>15.2742</v>
      </c>
      <c r="BC3038" s="394"/>
      <c r="BD3038" s="381" t="s">
        <v>167</v>
      </c>
      <c r="BE3038" s="408" t="s">
        <v>175</v>
      </c>
      <c r="BF3038" s="385"/>
      <c r="BG3038" s="475">
        <v>988</v>
      </c>
      <c r="BH3038" s="395"/>
      <c r="BI3038" s="395">
        <f t="shared" ref="BI3038" si="1171">AT3038/AR3038</f>
        <v>20.2378</v>
      </c>
    </row>
    <row r="3039" spans="1:61" s="358" customFormat="1" ht="19.2" x14ac:dyDescent="0.3">
      <c r="A3039" s="359" t="s">
        <v>1992</v>
      </c>
      <c r="B3039" s="602" t="s">
        <v>4800</v>
      </c>
      <c r="C3039" s="548" t="s">
        <v>4799</v>
      </c>
      <c r="D3039" s="360">
        <v>0.4</v>
      </c>
      <c r="E3039" s="528"/>
      <c r="F3039" s="523"/>
      <c r="G3039" s="393"/>
      <c r="H3039" s="394"/>
      <c r="I3039" s="394"/>
      <c r="J3039" s="394"/>
      <c r="K3039" s="394"/>
      <c r="L3039" s="394"/>
      <c r="M3039" s="394"/>
      <c r="N3039" s="394"/>
      <c r="O3039" s="394"/>
      <c r="P3039" s="394"/>
      <c r="Q3039" s="394"/>
      <c r="R3039" s="381"/>
      <c r="S3039" s="408"/>
      <c r="T3039" s="385"/>
      <c r="U3039" s="475"/>
      <c r="V3039" s="395"/>
      <c r="W3039" s="395"/>
      <c r="X3039" s="528"/>
      <c r="Y3039" s="523"/>
      <c r="Z3039" s="393"/>
      <c r="AA3039" s="394"/>
      <c r="AB3039" s="394"/>
      <c r="AC3039" s="394"/>
      <c r="AD3039" s="394"/>
      <c r="AE3039" s="394"/>
      <c r="AF3039" s="394"/>
      <c r="AG3039" s="394"/>
      <c r="AH3039" s="394"/>
      <c r="AI3039" s="394"/>
      <c r="AJ3039" s="394"/>
      <c r="AK3039" s="381"/>
      <c r="AL3039" s="408"/>
      <c r="AM3039" s="385"/>
      <c r="AN3039" s="475"/>
      <c r="AO3039" s="395"/>
      <c r="AP3039" s="395"/>
      <c r="AQ3039" s="528"/>
      <c r="AR3039" s="523">
        <v>1</v>
      </c>
      <c r="AS3039" s="393"/>
      <c r="AT3039" s="600">
        <v>19.574680000000001</v>
      </c>
      <c r="AU3039" s="394">
        <v>16.323699999999999</v>
      </c>
      <c r="AV3039" s="394">
        <v>15.2742</v>
      </c>
      <c r="AW3039" s="394"/>
      <c r="AX3039" s="394"/>
      <c r="AY3039" s="394">
        <v>0</v>
      </c>
      <c r="AZ3039" s="394">
        <v>0</v>
      </c>
      <c r="BA3039" s="394">
        <v>0.75790000000000002</v>
      </c>
      <c r="BB3039" s="394">
        <v>15.2742</v>
      </c>
      <c r="BC3039" s="394"/>
      <c r="BD3039" s="381" t="s">
        <v>167</v>
      </c>
      <c r="BE3039" s="408" t="s">
        <v>175</v>
      </c>
      <c r="BF3039" s="385"/>
      <c r="BG3039" s="475">
        <v>989</v>
      </c>
      <c r="BH3039" s="395"/>
      <c r="BI3039" s="395">
        <f t="shared" si="1143"/>
        <v>19.574680000000001</v>
      </c>
    </row>
    <row r="3040" spans="1:61" s="358" customFormat="1" ht="19.2" x14ac:dyDescent="0.3">
      <c r="A3040" s="359" t="s">
        <v>1993</v>
      </c>
      <c r="B3040" s="602" t="s">
        <v>5596</v>
      </c>
      <c r="C3040" s="548" t="s">
        <v>5597</v>
      </c>
      <c r="D3040" s="360">
        <v>0.4</v>
      </c>
      <c r="E3040" s="528"/>
      <c r="F3040" s="523"/>
      <c r="G3040" s="393"/>
      <c r="H3040" s="394"/>
      <c r="I3040" s="394"/>
      <c r="J3040" s="394"/>
      <c r="K3040" s="394"/>
      <c r="L3040" s="394"/>
      <c r="M3040" s="394"/>
      <c r="N3040" s="394"/>
      <c r="O3040" s="394"/>
      <c r="P3040" s="394"/>
      <c r="Q3040" s="394"/>
      <c r="R3040" s="381"/>
      <c r="S3040" s="408"/>
      <c r="T3040" s="385"/>
      <c r="U3040" s="475"/>
      <c r="V3040" s="395"/>
      <c r="W3040" s="395"/>
      <c r="X3040" s="528"/>
      <c r="Y3040" s="523"/>
      <c r="Z3040" s="393"/>
      <c r="AA3040" s="394"/>
      <c r="AB3040" s="394"/>
      <c r="AC3040" s="394"/>
      <c r="AD3040" s="394"/>
      <c r="AE3040" s="394"/>
      <c r="AF3040" s="394"/>
      <c r="AG3040" s="394"/>
      <c r="AH3040" s="394"/>
      <c r="AI3040" s="394"/>
      <c r="AJ3040" s="394"/>
      <c r="AK3040" s="381"/>
      <c r="AL3040" s="408"/>
      <c r="AM3040" s="385"/>
      <c r="AN3040" s="475"/>
      <c r="AO3040" s="395"/>
      <c r="AP3040" s="395"/>
      <c r="AQ3040" s="528"/>
      <c r="AR3040" s="523">
        <v>1</v>
      </c>
      <c r="AS3040" s="393"/>
      <c r="AT3040" s="600">
        <v>20.237780000000001</v>
      </c>
      <c r="AU3040" s="394">
        <v>16.986799999999999</v>
      </c>
      <c r="AV3040" s="394">
        <v>15.2742</v>
      </c>
      <c r="AW3040" s="394"/>
      <c r="AX3040" s="394"/>
      <c r="AY3040" s="394">
        <v>0</v>
      </c>
      <c r="AZ3040" s="394">
        <v>0</v>
      </c>
      <c r="BA3040" s="394">
        <v>0.75790000000000002</v>
      </c>
      <c r="BB3040" s="394">
        <v>15.2742</v>
      </c>
      <c r="BC3040" s="394"/>
      <c r="BD3040" s="381" t="s">
        <v>167</v>
      </c>
      <c r="BE3040" s="408" t="s">
        <v>175</v>
      </c>
      <c r="BF3040" s="385"/>
      <c r="BG3040" s="475">
        <v>990</v>
      </c>
      <c r="BH3040" s="395"/>
      <c r="BI3040" s="395">
        <f t="shared" ref="BI3040:BI3049" si="1172">AT3040/AR3040</f>
        <v>20.237780000000001</v>
      </c>
    </row>
    <row r="3041" spans="1:61" s="358" customFormat="1" ht="19.2" x14ac:dyDescent="0.3">
      <c r="A3041" s="359" t="s">
        <v>1994</v>
      </c>
      <c r="B3041" s="602" t="s">
        <v>4747</v>
      </c>
      <c r="C3041" s="548" t="s">
        <v>4746</v>
      </c>
      <c r="D3041" s="360">
        <v>0.4</v>
      </c>
      <c r="E3041" s="528"/>
      <c r="F3041" s="523"/>
      <c r="G3041" s="393"/>
      <c r="H3041" s="394"/>
      <c r="I3041" s="394"/>
      <c r="J3041" s="394"/>
      <c r="K3041" s="394"/>
      <c r="L3041" s="394"/>
      <c r="M3041" s="394"/>
      <c r="N3041" s="394"/>
      <c r="O3041" s="394"/>
      <c r="P3041" s="394"/>
      <c r="Q3041" s="394"/>
      <c r="R3041" s="381"/>
      <c r="S3041" s="408"/>
      <c r="T3041" s="385"/>
      <c r="U3041" s="475"/>
      <c r="V3041" s="395"/>
      <c r="W3041" s="395"/>
      <c r="X3041" s="528"/>
      <c r="Y3041" s="523"/>
      <c r="Z3041" s="393"/>
      <c r="AA3041" s="394"/>
      <c r="AB3041" s="394"/>
      <c r="AC3041" s="394"/>
      <c r="AD3041" s="394"/>
      <c r="AE3041" s="394"/>
      <c r="AF3041" s="394"/>
      <c r="AG3041" s="394"/>
      <c r="AH3041" s="394"/>
      <c r="AI3041" s="394"/>
      <c r="AJ3041" s="394"/>
      <c r="AK3041" s="381"/>
      <c r="AL3041" s="408"/>
      <c r="AM3041" s="385"/>
      <c r="AN3041" s="475"/>
      <c r="AO3041" s="395"/>
      <c r="AP3041" s="395"/>
      <c r="AQ3041" s="528"/>
      <c r="AR3041" s="523">
        <v>1</v>
      </c>
      <c r="AS3041" s="393"/>
      <c r="AT3041" s="600">
        <v>20.237780000000001</v>
      </c>
      <c r="AU3041" s="394">
        <v>16.986799999999999</v>
      </c>
      <c r="AV3041" s="394">
        <v>15.2742</v>
      </c>
      <c r="AW3041" s="394"/>
      <c r="AX3041" s="394"/>
      <c r="AY3041" s="394">
        <v>0</v>
      </c>
      <c r="AZ3041" s="394">
        <v>0</v>
      </c>
      <c r="BA3041" s="394">
        <v>0.75790000000000002</v>
      </c>
      <c r="BB3041" s="394">
        <v>15.2742</v>
      </c>
      <c r="BC3041" s="394"/>
      <c r="BD3041" s="381" t="s">
        <v>167</v>
      </c>
      <c r="BE3041" s="408" t="s">
        <v>175</v>
      </c>
      <c r="BF3041" s="385"/>
      <c r="BG3041" s="475">
        <v>991</v>
      </c>
      <c r="BH3041" s="395"/>
      <c r="BI3041" s="395">
        <f t="shared" si="1172"/>
        <v>20.237780000000001</v>
      </c>
    </row>
    <row r="3042" spans="1:61" s="358" customFormat="1" ht="19.2" x14ac:dyDescent="0.3">
      <c r="A3042" s="359" t="s">
        <v>1995</v>
      </c>
      <c r="B3042" s="602" t="s">
        <v>5598</v>
      </c>
      <c r="C3042" s="548" t="s">
        <v>5599</v>
      </c>
      <c r="D3042" s="360">
        <v>0.4</v>
      </c>
      <c r="E3042" s="528"/>
      <c r="F3042" s="523"/>
      <c r="G3042" s="393"/>
      <c r="H3042" s="394"/>
      <c r="I3042" s="394"/>
      <c r="J3042" s="394"/>
      <c r="K3042" s="394"/>
      <c r="L3042" s="394"/>
      <c r="M3042" s="394"/>
      <c r="N3042" s="394"/>
      <c r="O3042" s="394"/>
      <c r="P3042" s="394"/>
      <c r="Q3042" s="394"/>
      <c r="R3042" s="381"/>
      <c r="S3042" s="408"/>
      <c r="T3042" s="385"/>
      <c r="U3042" s="475"/>
      <c r="V3042" s="395"/>
      <c r="W3042" s="395"/>
      <c r="X3042" s="528"/>
      <c r="Y3042" s="523"/>
      <c r="Z3042" s="393"/>
      <c r="AA3042" s="394"/>
      <c r="AB3042" s="394"/>
      <c r="AC3042" s="394"/>
      <c r="AD3042" s="394"/>
      <c r="AE3042" s="394"/>
      <c r="AF3042" s="394"/>
      <c r="AG3042" s="394"/>
      <c r="AH3042" s="394"/>
      <c r="AI3042" s="394"/>
      <c r="AJ3042" s="394"/>
      <c r="AK3042" s="381"/>
      <c r="AL3042" s="408"/>
      <c r="AM3042" s="385"/>
      <c r="AN3042" s="475"/>
      <c r="AO3042" s="395"/>
      <c r="AP3042" s="395"/>
      <c r="AQ3042" s="528"/>
      <c r="AR3042" s="523">
        <v>1</v>
      </c>
      <c r="AS3042" s="393"/>
      <c r="AT3042" s="600">
        <v>20.237770000000001</v>
      </c>
      <c r="AU3042" s="394">
        <v>16.986789999999999</v>
      </c>
      <c r="AV3042" s="394">
        <v>15.2742</v>
      </c>
      <c r="AW3042" s="394"/>
      <c r="AX3042" s="394"/>
      <c r="AY3042" s="394">
        <v>0</v>
      </c>
      <c r="AZ3042" s="394">
        <v>0</v>
      </c>
      <c r="BA3042" s="394">
        <v>0.75790000000000002</v>
      </c>
      <c r="BB3042" s="394">
        <v>15.2742</v>
      </c>
      <c r="BC3042" s="394"/>
      <c r="BD3042" s="381" t="s">
        <v>167</v>
      </c>
      <c r="BE3042" s="408" t="s">
        <v>175</v>
      </c>
      <c r="BF3042" s="385"/>
      <c r="BG3042" s="475">
        <v>992</v>
      </c>
      <c r="BH3042" s="395"/>
      <c r="BI3042" s="395">
        <f t="shared" ref="BI3042" si="1173">AT3042/AR3042</f>
        <v>20.237770000000001</v>
      </c>
    </row>
    <row r="3043" spans="1:61" s="358" customFormat="1" ht="19.2" x14ac:dyDescent="0.3">
      <c r="A3043" s="359" t="s">
        <v>1996</v>
      </c>
      <c r="B3043" s="602" t="s">
        <v>4806</v>
      </c>
      <c r="C3043" s="548" t="s">
        <v>4805</v>
      </c>
      <c r="D3043" s="360">
        <v>0.4</v>
      </c>
      <c r="E3043" s="528"/>
      <c r="F3043" s="523"/>
      <c r="G3043" s="393"/>
      <c r="H3043" s="394"/>
      <c r="I3043" s="394"/>
      <c r="J3043" s="394"/>
      <c r="K3043" s="394"/>
      <c r="L3043" s="394"/>
      <c r="M3043" s="394"/>
      <c r="N3043" s="394"/>
      <c r="O3043" s="394"/>
      <c r="P3043" s="394"/>
      <c r="Q3043" s="394"/>
      <c r="R3043" s="381"/>
      <c r="S3043" s="408"/>
      <c r="T3043" s="385"/>
      <c r="U3043" s="475"/>
      <c r="V3043" s="395"/>
      <c r="W3043" s="395"/>
      <c r="X3043" s="528"/>
      <c r="Y3043" s="523"/>
      <c r="Z3043" s="393"/>
      <c r="AA3043" s="394"/>
      <c r="AB3043" s="394"/>
      <c r="AC3043" s="394"/>
      <c r="AD3043" s="394"/>
      <c r="AE3043" s="394"/>
      <c r="AF3043" s="394"/>
      <c r="AG3043" s="394"/>
      <c r="AH3043" s="394"/>
      <c r="AI3043" s="394"/>
      <c r="AJ3043" s="394"/>
      <c r="AK3043" s="381"/>
      <c r="AL3043" s="408"/>
      <c r="AM3043" s="385"/>
      <c r="AN3043" s="475"/>
      <c r="AO3043" s="395"/>
      <c r="AP3043" s="395"/>
      <c r="AQ3043" s="528"/>
      <c r="AR3043" s="523">
        <v>1</v>
      </c>
      <c r="AS3043" s="393"/>
      <c r="AT3043" s="600">
        <v>19.574680000000001</v>
      </c>
      <c r="AU3043" s="394">
        <v>16.323699999999999</v>
      </c>
      <c r="AV3043" s="394">
        <v>15.2742</v>
      </c>
      <c r="AW3043" s="394"/>
      <c r="AX3043" s="394"/>
      <c r="AY3043" s="394">
        <v>0</v>
      </c>
      <c r="AZ3043" s="394">
        <v>0</v>
      </c>
      <c r="BA3043" s="394">
        <v>0.75790000000000002</v>
      </c>
      <c r="BB3043" s="394">
        <v>15.2742</v>
      </c>
      <c r="BC3043" s="394"/>
      <c r="BD3043" s="381" t="s">
        <v>167</v>
      </c>
      <c r="BE3043" s="408" t="s">
        <v>175</v>
      </c>
      <c r="BF3043" s="385"/>
      <c r="BG3043" s="475">
        <v>993</v>
      </c>
      <c r="BH3043" s="395"/>
      <c r="BI3043" s="395">
        <f t="shared" si="1172"/>
        <v>19.574680000000001</v>
      </c>
    </row>
    <row r="3044" spans="1:61" s="358" customFormat="1" ht="19.2" x14ac:dyDescent="0.3">
      <c r="A3044" s="359" t="s">
        <v>1997</v>
      </c>
      <c r="B3044" s="602" t="s">
        <v>5600</v>
      </c>
      <c r="C3044" s="548" t="s">
        <v>5601</v>
      </c>
      <c r="D3044" s="360">
        <v>0.4</v>
      </c>
      <c r="E3044" s="528"/>
      <c r="F3044" s="523"/>
      <c r="G3044" s="393"/>
      <c r="H3044" s="394"/>
      <c r="I3044" s="394"/>
      <c r="J3044" s="394"/>
      <c r="K3044" s="394"/>
      <c r="L3044" s="394"/>
      <c r="M3044" s="394"/>
      <c r="N3044" s="394"/>
      <c r="O3044" s="394"/>
      <c r="P3044" s="394"/>
      <c r="Q3044" s="394"/>
      <c r="R3044" s="381"/>
      <c r="S3044" s="408"/>
      <c r="T3044" s="385"/>
      <c r="U3044" s="475"/>
      <c r="V3044" s="395"/>
      <c r="W3044" s="395"/>
      <c r="X3044" s="528"/>
      <c r="Y3044" s="523"/>
      <c r="Z3044" s="393"/>
      <c r="AA3044" s="394"/>
      <c r="AB3044" s="394"/>
      <c r="AC3044" s="394"/>
      <c r="AD3044" s="394"/>
      <c r="AE3044" s="394"/>
      <c r="AF3044" s="394"/>
      <c r="AG3044" s="394"/>
      <c r="AH3044" s="394"/>
      <c r="AI3044" s="394"/>
      <c r="AJ3044" s="394"/>
      <c r="AK3044" s="381"/>
      <c r="AL3044" s="408"/>
      <c r="AM3044" s="385"/>
      <c r="AN3044" s="475"/>
      <c r="AO3044" s="395"/>
      <c r="AP3044" s="395"/>
      <c r="AQ3044" s="528"/>
      <c r="AR3044" s="523">
        <v>1</v>
      </c>
      <c r="AS3044" s="393"/>
      <c r="AT3044" s="600">
        <v>19.574680000000001</v>
      </c>
      <c r="AU3044" s="394">
        <v>16.323699999999999</v>
      </c>
      <c r="AV3044" s="394">
        <v>15.2742</v>
      </c>
      <c r="AW3044" s="394"/>
      <c r="AX3044" s="394"/>
      <c r="AY3044" s="394">
        <v>0</v>
      </c>
      <c r="AZ3044" s="394">
        <v>0</v>
      </c>
      <c r="BA3044" s="394">
        <v>0.75790000000000002</v>
      </c>
      <c r="BB3044" s="394">
        <v>15.2742</v>
      </c>
      <c r="BC3044" s="394"/>
      <c r="BD3044" s="381" t="s">
        <v>167</v>
      </c>
      <c r="BE3044" s="408" t="s">
        <v>175</v>
      </c>
      <c r="BF3044" s="385"/>
      <c r="BG3044" s="475">
        <v>994</v>
      </c>
      <c r="BH3044" s="395"/>
      <c r="BI3044" s="395">
        <f t="shared" ref="BI3044" si="1174">AT3044/AR3044</f>
        <v>19.574680000000001</v>
      </c>
    </row>
    <row r="3045" spans="1:61" s="358" customFormat="1" ht="19.2" x14ac:dyDescent="0.3">
      <c r="A3045" s="359" t="s">
        <v>1998</v>
      </c>
      <c r="B3045" s="602" t="s">
        <v>4788</v>
      </c>
      <c r="C3045" s="548" t="s">
        <v>4787</v>
      </c>
      <c r="D3045" s="360">
        <v>0.4</v>
      </c>
      <c r="E3045" s="528"/>
      <c r="F3045" s="523"/>
      <c r="G3045" s="393"/>
      <c r="H3045" s="394"/>
      <c r="I3045" s="394"/>
      <c r="J3045" s="394"/>
      <c r="K3045" s="394"/>
      <c r="L3045" s="394"/>
      <c r="M3045" s="394"/>
      <c r="N3045" s="394"/>
      <c r="O3045" s="394"/>
      <c r="P3045" s="394"/>
      <c r="Q3045" s="394"/>
      <c r="R3045" s="381"/>
      <c r="S3045" s="408"/>
      <c r="T3045" s="385"/>
      <c r="U3045" s="475"/>
      <c r="V3045" s="395"/>
      <c r="W3045" s="395"/>
      <c r="X3045" s="528"/>
      <c r="Y3045" s="523"/>
      <c r="Z3045" s="393"/>
      <c r="AA3045" s="394"/>
      <c r="AB3045" s="394"/>
      <c r="AC3045" s="394"/>
      <c r="AD3045" s="394"/>
      <c r="AE3045" s="394"/>
      <c r="AF3045" s="394"/>
      <c r="AG3045" s="394"/>
      <c r="AH3045" s="394"/>
      <c r="AI3045" s="394"/>
      <c r="AJ3045" s="394"/>
      <c r="AK3045" s="381"/>
      <c r="AL3045" s="408"/>
      <c r="AM3045" s="385"/>
      <c r="AN3045" s="475"/>
      <c r="AO3045" s="395"/>
      <c r="AP3045" s="395"/>
      <c r="AQ3045" s="528"/>
      <c r="AR3045" s="523">
        <v>1</v>
      </c>
      <c r="AS3045" s="393"/>
      <c r="AT3045" s="600">
        <v>19.57469</v>
      </c>
      <c r="AU3045" s="394">
        <v>16.323709999999998</v>
      </c>
      <c r="AV3045" s="394">
        <v>15.2742</v>
      </c>
      <c r="AW3045" s="394"/>
      <c r="AX3045" s="394"/>
      <c r="AY3045" s="394">
        <v>0</v>
      </c>
      <c r="AZ3045" s="394">
        <v>0</v>
      </c>
      <c r="BA3045" s="394">
        <v>0.75790000000000002</v>
      </c>
      <c r="BB3045" s="394">
        <v>15.2742</v>
      </c>
      <c r="BC3045" s="394"/>
      <c r="BD3045" s="381" t="s">
        <v>167</v>
      </c>
      <c r="BE3045" s="408" t="s">
        <v>175</v>
      </c>
      <c r="BF3045" s="385"/>
      <c r="BG3045" s="475">
        <v>995</v>
      </c>
      <c r="BH3045" s="395"/>
      <c r="BI3045" s="395">
        <f t="shared" si="1172"/>
        <v>19.57469</v>
      </c>
    </row>
    <row r="3046" spans="1:61" s="358" customFormat="1" ht="19.2" x14ac:dyDescent="0.3">
      <c r="A3046" s="359" t="s">
        <v>1999</v>
      </c>
      <c r="B3046" s="602" t="s">
        <v>5602</v>
      </c>
      <c r="C3046" s="548" t="s">
        <v>5603</v>
      </c>
      <c r="D3046" s="360">
        <v>0.4</v>
      </c>
      <c r="E3046" s="528"/>
      <c r="F3046" s="523"/>
      <c r="G3046" s="393"/>
      <c r="H3046" s="394"/>
      <c r="I3046" s="394"/>
      <c r="J3046" s="394"/>
      <c r="K3046" s="394"/>
      <c r="L3046" s="394"/>
      <c r="M3046" s="394"/>
      <c r="N3046" s="394"/>
      <c r="O3046" s="394"/>
      <c r="P3046" s="394"/>
      <c r="Q3046" s="394"/>
      <c r="R3046" s="381"/>
      <c r="S3046" s="408"/>
      <c r="T3046" s="385"/>
      <c r="U3046" s="475"/>
      <c r="V3046" s="395"/>
      <c r="W3046" s="395"/>
      <c r="X3046" s="528"/>
      <c r="Y3046" s="523"/>
      <c r="Z3046" s="393"/>
      <c r="AA3046" s="394"/>
      <c r="AB3046" s="394"/>
      <c r="AC3046" s="394"/>
      <c r="AD3046" s="394"/>
      <c r="AE3046" s="394"/>
      <c r="AF3046" s="394"/>
      <c r="AG3046" s="394"/>
      <c r="AH3046" s="394"/>
      <c r="AI3046" s="394"/>
      <c r="AJ3046" s="394"/>
      <c r="AK3046" s="381"/>
      <c r="AL3046" s="408"/>
      <c r="AM3046" s="385"/>
      <c r="AN3046" s="475"/>
      <c r="AO3046" s="395"/>
      <c r="AP3046" s="395"/>
      <c r="AQ3046" s="528"/>
      <c r="AR3046" s="523">
        <v>1</v>
      </c>
      <c r="AS3046" s="393"/>
      <c r="AT3046" s="600">
        <v>20.237780000000001</v>
      </c>
      <c r="AU3046" s="394">
        <v>16.986799999999999</v>
      </c>
      <c r="AV3046" s="394">
        <v>15.2742</v>
      </c>
      <c r="AW3046" s="394"/>
      <c r="AX3046" s="394"/>
      <c r="AY3046" s="394">
        <v>0</v>
      </c>
      <c r="AZ3046" s="394">
        <v>0</v>
      </c>
      <c r="BA3046" s="394">
        <v>0.75790000000000002</v>
      </c>
      <c r="BB3046" s="394">
        <v>15.2742</v>
      </c>
      <c r="BC3046" s="394"/>
      <c r="BD3046" s="381" t="s">
        <v>167</v>
      </c>
      <c r="BE3046" s="408" t="s">
        <v>175</v>
      </c>
      <c r="BF3046" s="385"/>
      <c r="BG3046" s="475">
        <v>996</v>
      </c>
      <c r="BH3046" s="395"/>
      <c r="BI3046" s="395">
        <f t="shared" ref="BI3046" si="1175">AT3046/AR3046</f>
        <v>20.237780000000001</v>
      </c>
    </row>
    <row r="3047" spans="1:61" s="358" customFormat="1" ht="19.2" x14ac:dyDescent="0.3">
      <c r="A3047" s="359" t="s">
        <v>2000</v>
      </c>
      <c r="B3047" s="602" t="s">
        <v>5604</v>
      </c>
      <c r="C3047" s="548" t="s">
        <v>5605</v>
      </c>
      <c r="D3047" s="360">
        <v>0.4</v>
      </c>
      <c r="E3047" s="528"/>
      <c r="F3047" s="523"/>
      <c r="G3047" s="393"/>
      <c r="H3047" s="394"/>
      <c r="I3047" s="394"/>
      <c r="J3047" s="394"/>
      <c r="K3047" s="394"/>
      <c r="L3047" s="394"/>
      <c r="M3047" s="394"/>
      <c r="N3047" s="394"/>
      <c r="O3047" s="394"/>
      <c r="P3047" s="394"/>
      <c r="Q3047" s="394"/>
      <c r="R3047" s="381"/>
      <c r="S3047" s="408"/>
      <c r="T3047" s="385"/>
      <c r="U3047" s="475"/>
      <c r="V3047" s="395"/>
      <c r="W3047" s="395"/>
      <c r="X3047" s="528"/>
      <c r="Y3047" s="523"/>
      <c r="Z3047" s="393"/>
      <c r="AA3047" s="394"/>
      <c r="AB3047" s="394"/>
      <c r="AC3047" s="394"/>
      <c r="AD3047" s="394"/>
      <c r="AE3047" s="394"/>
      <c r="AF3047" s="394"/>
      <c r="AG3047" s="394"/>
      <c r="AH3047" s="394"/>
      <c r="AI3047" s="394"/>
      <c r="AJ3047" s="394"/>
      <c r="AK3047" s="381"/>
      <c r="AL3047" s="408"/>
      <c r="AM3047" s="385"/>
      <c r="AN3047" s="475"/>
      <c r="AO3047" s="395"/>
      <c r="AP3047" s="395"/>
      <c r="AQ3047" s="528"/>
      <c r="AR3047" s="523">
        <v>1</v>
      </c>
      <c r="AS3047" s="393"/>
      <c r="AT3047" s="600">
        <v>19.5747</v>
      </c>
      <c r="AU3047" s="394">
        <v>16.323720000000002</v>
      </c>
      <c r="AV3047" s="394">
        <v>15.2742</v>
      </c>
      <c r="AW3047" s="394"/>
      <c r="AX3047" s="394"/>
      <c r="AY3047" s="394">
        <v>0</v>
      </c>
      <c r="AZ3047" s="394">
        <v>0</v>
      </c>
      <c r="BA3047" s="394">
        <v>0.75790000000000002</v>
      </c>
      <c r="BB3047" s="394">
        <v>15.2742</v>
      </c>
      <c r="BC3047" s="394"/>
      <c r="BD3047" s="381" t="s">
        <v>167</v>
      </c>
      <c r="BE3047" s="408" t="s">
        <v>175</v>
      </c>
      <c r="BF3047" s="385"/>
      <c r="BG3047" s="475">
        <v>997</v>
      </c>
      <c r="BH3047" s="395"/>
      <c r="BI3047" s="395">
        <f t="shared" si="1172"/>
        <v>19.5747</v>
      </c>
    </row>
    <row r="3048" spans="1:61" s="358" customFormat="1" ht="19.2" x14ac:dyDescent="0.3">
      <c r="A3048" s="359" t="s">
        <v>2001</v>
      </c>
      <c r="B3048" s="602" t="s">
        <v>4270</v>
      </c>
      <c r="C3048" s="548" t="s">
        <v>4741</v>
      </c>
      <c r="D3048" s="360">
        <v>0.4</v>
      </c>
      <c r="E3048" s="528"/>
      <c r="F3048" s="523"/>
      <c r="G3048" s="393"/>
      <c r="H3048" s="394"/>
      <c r="I3048" s="394"/>
      <c r="J3048" s="394"/>
      <c r="K3048" s="394"/>
      <c r="L3048" s="394"/>
      <c r="M3048" s="394"/>
      <c r="N3048" s="394"/>
      <c r="O3048" s="394"/>
      <c r="P3048" s="394"/>
      <c r="Q3048" s="394"/>
      <c r="R3048" s="381"/>
      <c r="S3048" s="408"/>
      <c r="T3048" s="385"/>
      <c r="U3048" s="475"/>
      <c r="V3048" s="395"/>
      <c r="W3048" s="395"/>
      <c r="X3048" s="528"/>
      <c r="Y3048" s="523"/>
      <c r="Z3048" s="393"/>
      <c r="AA3048" s="394"/>
      <c r="AB3048" s="394"/>
      <c r="AC3048" s="394"/>
      <c r="AD3048" s="394"/>
      <c r="AE3048" s="394"/>
      <c r="AF3048" s="394"/>
      <c r="AG3048" s="394"/>
      <c r="AH3048" s="394"/>
      <c r="AI3048" s="394"/>
      <c r="AJ3048" s="394"/>
      <c r="AK3048" s="381"/>
      <c r="AL3048" s="408"/>
      <c r="AM3048" s="385"/>
      <c r="AN3048" s="475"/>
      <c r="AO3048" s="395"/>
      <c r="AP3048" s="395"/>
      <c r="AQ3048" s="528"/>
      <c r="AR3048" s="523">
        <v>1</v>
      </c>
      <c r="AS3048" s="393"/>
      <c r="AT3048" s="600">
        <v>20.237770000000001</v>
      </c>
      <c r="AU3048" s="394">
        <v>16.986789999999999</v>
      </c>
      <c r="AV3048" s="394">
        <v>15.2742</v>
      </c>
      <c r="AW3048" s="394"/>
      <c r="AX3048" s="394"/>
      <c r="AY3048" s="394">
        <v>0</v>
      </c>
      <c r="AZ3048" s="394">
        <v>0</v>
      </c>
      <c r="BA3048" s="394">
        <v>0.75790000000000002</v>
      </c>
      <c r="BB3048" s="394">
        <v>15.2742</v>
      </c>
      <c r="BC3048" s="394"/>
      <c r="BD3048" s="381" t="s">
        <v>167</v>
      </c>
      <c r="BE3048" s="408" t="s">
        <v>175</v>
      </c>
      <c r="BF3048" s="385"/>
      <c r="BG3048" s="475">
        <v>998</v>
      </c>
      <c r="BH3048" s="395"/>
      <c r="BI3048" s="395">
        <f t="shared" ref="BI3048" si="1176">AT3048/AR3048</f>
        <v>20.237770000000001</v>
      </c>
    </row>
    <row r="3049" spans="1:61" s="358" customFormat="1" ht="19.2" x14ac:dyDescent="0.3">
      <c r="A3049" s="359" t="s">
        <v>2002</v>
      </c>
      <c r="B3049" s="602" t="s">
        <v>4815</v>
      </c>
      <c r="C3049" s="548" t="s">
        <v>4814</v>
      </c>
      <c r="D3049" s="360">
        <v>0.4</v>
      </c>
      <c r="E3049" s="528"/>
      <c r="F3049" s="523"/>
      <c r="G3049" s="393"/>
      <c r="H3049" s="394"/>
      <c r="I3049" s="394"/>
      <c r="J3049" s="394"/>
      <c r="K3049" s="394"/>
      <c r="L3049" s="394"/>
      <c r="M3049" s="394"/>
      <c r="N3049" s="394"/>
      <c r="O3049" s="394"/>
      <c r="P3049" s="394"/>
      <c r="Q3049" s="394"/>
      <c r="R3049" s="381"/>
      <c r="S3049" s="408"/>
      <c r="T3049" s="385"/>
      <c r="U3049" s="475"/>
      <c r="V3049" s="395"/>
      <c r="W3049" s="395"/>
      <c r="X3049" s="528"/>
      <c r="Y3049" s="523"/>
      <c r="Z3049" s="393"/>
      <c r="AA3049" s="394"/>
      <c r="AB3049" s="394"/>
      <c r="AC3049" s="394"/>
      <c r="AD3049" s="394"/>
      <c r="AE3049" s="394"/>
      <c r="AF3049" s="394"/>
      <c r="AG3049" s="394"/>
      <c r="AH3049" s="394"/>
      <c r="AI3049" s="394"/>
      <c r="AJ3049" s="394"/>
      <c r="AK3049" s="381"/>
      <c r="AL3049" s="408"/>
      <c r="AM3049" s="385"/>
      <c r="AN3049" s="475"/>
      <c r="AO3049" s="395"/>
      <c r="AP3049" s="395"/>
      <c r="AQ3049" s="528"/>
      <c r="AR3049" s="523">
        <v>1</v>
      </c>
      <c r="AS3049" s="393"/>
      <c r="AT3049" s="600">
        <v>20.237780000000001</v>
      </c>
      <c r="AU3049" s="394">
        <v>16.986799999999999</v>
      </c>
      <c r="AV3049" s="394">
        <v>15.2742</v>
      </c>
      <c r="AW3049" s="394"/>
      <c r="AX3049" s="394"/>
      <c r="AY3049" s="394">
        <v>0</v>
      </c>
      <c r="AZ3049" s="394">
        <v>0</v>
      </c>
      <c r="BA3049" s="394">
        <v>0.75790000000000002</v>
      </c>
      <c r="BB3049" s="394">
        <v>15.2742</v>
      </c>
      <c r="BC3049" s="394"/>
      <c r="BD3049" s="381" t="s">
        <v>167</v>
      </c>
      <c r="BE3049" s="408" t="s">
        <v>175</v>
      </c>
      <c r="BF3049" s="385"/>
      <c r="BG3049" s="475">
        <v>999</v>
      </c>
      <c r="BH3049" s="395"/>
      <c r="BI3049" s="395">
        <f t="shared" si="1172"/>
        <v>20.237780000000001</v>
      </c>
    </row>
    <row r="3050" spans="1:61" s="358" customFormat="1" ht="19.2" x14ac:dyDescent="0.3">
      <c r="A3050" s="359" t="s">
        <v>2003</v>
      </c>
      <c r="B3050" s="602" t="s">
        <v>5606</v>
      </c>
      <c r="C3050" s="548" t="s">
        <v>5607</v>
      </c>
      <c r="D3050" s="360">
        <v>0.4</v>
      </c>
      <c r="E3050" s="528"/>
      <c r="F3050" s="523"/>
      <c r="G3050" s="393"/>
      <c r="H3050" s="394"/>
      <c r="I3050" s="394"/>
      <c r="J3050" s="394"/>
      <c r="K3050" s="394"/>
      <c r="L3050" s="394"/>
      <c r="M3050" s="394"/>
      <c r="N3050" s="394"/>
      <c r="O3050" s="394"/>
      <c r="P3050" s="394"/>
      <c r="Q3050" s="394"/>
      <c r="R3050" s="381"/>
      <c r="S3050" s="408"/>
      <c r="T3050" s="385"/>
      <c r="U3050" s="475"/>
      <c r="V3050" s="395"/>
      <c r="W3050" s="395"/>
      <c r="X3050" s="528"/>
      <c r="Y3050" s="523"/>
      <c r="Z3050" s="393"/>
      <c r="AA3050" s="394"/>
      <c r="AB3050" s="394"/>
      <c r="AC3050" s="394"/>
      <c r="AD3050" s="394"/>
      <c r="AE3050" s="394"/>
      <c r="AF3050" s="394"/>
      <c r="AG3050" s="394"/>
      <c r="AH3050" s="394"/>
      <c r="AI3050" s="394"/>
      <c r="AJ3050" s="394"/>
      <c r="AK3050" s="381"/>
      <c r="AL3050" s="408"/>
      <c r="AM3050" s="385"/>
      <c r="AN3050" s="475"/>
      <c r="AO3050" s="395"/>
      <c r="AP3050" s="395"/>
      <c r="AQ3050" s="528"/>
      <c r="AR3050" s="523">
        <v>1</v>
      </c>
      <c r="AS3050" s="393"/>
      <c r="AT3050" s="600">
        <v>20.237780000000001</v>
      </c>
      <c r="AU3050" s="394">
        <v>16.986799999999999</v>
      </c>
      <c r="AV3050" s="394">
        <v>15.2742</v>
      </c>
      <c r="AW3050" s="394"/>
      <c r="AX3050" s="394"/>
      <c r="AY3050" s="394">
        <v>0</v>
      </c>
      <c r="AZ3050" s="394">
        <v>0</v>
      </c>
      <c r="BA3050" s="394">
        <v>0.75790000000000002</v>
      </c>
      <c r="BB3050" s="394">
        <v>15.2742</v>
      </c>
      <c r="BC3050" s="394"/>
      <c r="BD3050" s="381" t="s">
        <v>167</v>
      </c>
      <c r="BE3050" s="408" t="s">
        <v>175</v>
      </c>
      <c r="BF3050" s="385"/>
      <c r="BG3050" s="475">
        <v>1000</v>
      </c>
      <c r="BH3050" s="395"/>
      <c r="BI3050" s="395">
        <f t="shared" si="1143"/>
        <v>20.237780000000001</v>
      </c>
    </row>
    <row r="3051" spans="1:61" s="358" customFormat="1" ht="19.2" x14ac:dyDescent="0.3">
      <c r="A3051" s="359" t="s">
        <v>2004</v>
      </c>
      <c r="B3051" s="602" t="s">
        <v>4664</v>
      </c>
      <c r="C3051" s="548" t="s">
        <v>4663</v>
      </c>
      <c r="D3051" s="360">
        <v>0.4</v>
      </c>
      <c r="E3051" s="528"/>
      <c r="F3051" s="523"/>
      <c r="G3051" s="393"/>
      <c r="H3051" s="394"/>
      <c r="I3051" s="394"/>
      <c r="J3051" s="394"/>
      <c r="K3051" s="394"/>
      <c r="L3051" s="394"/>
      <c r="M3051" s="394"/>
      <c r="N3051" s="394"/>
      <c r="O3051" s="394"/>
      <c r="P3051" s="394"/>
      <c r="Q3051" s="394"/>
      <c r="R3051" s="381"/>
      <c r="S3051" s="408"/>
      <c r="T3051" s="385"/>
      <c r="U3051" s="475"/>
      <c r="V3051" s="395"/>
      <c r="W3051" s="395"/>
      <c r="X3051" s="528"/>
      <c r="Y3051" s="523"/>
      <c r="Z3051" s="393"/>
      <c r="AA3051" s="394"/>
      <c r="AB3051" s="394"/>
      <c r="AC3051" s="394"/>
      <c r="AD3051" s="394"/>
      <c r="AE3051" s="394"/>
      <c r="AF3051" s="394"/>
      <c r="AG3051" s="394"/>
      <c r="AH3051" s="394"/>
      <c r="AI3051" s="394"/>
      <c r="AJ3051" s="394"/>
      <c r="AK3051" s="381"/>
      <c r="AL3051" s="408"/>
      <c r="AM3051" s="385"/>
      <c r="AN3051" s="475"/>
      <c r="AO3051" s="395"/>
      <c r="AP3051" s="395"/>
      <c r="AQ3051" s="528"/>
      <c r="AR3051" s="523">
        <v>1</v>
      </c>
      <c r="AS3051" s="393"/>
      <c r="AT3051" s="600">
        <v>19.574850000000001</v>
      </c>
      <c r="AU3051" s="394">
        <v>16.323869999999999</v>
      </c>
      <c r="AV3051" s="394">
        <v>15.27436</v>
      </c>
      <c r="AW3051" s="394"/>
      <c r="AX3051" s="394"/>
      <c r="AY3051" s="394">
        <v>0</v>
      </c>
      <c r="AZ3051" s="394">
        <v>0</v>
      </c>
      <c r="BA3051" s="394">
        <v>0.75790000000000002</v>
      </c>
      <c r="BB3051" s="394">
        <v>15.27436</v>
      </c>
      <c r="BC3051" s="394"/>
      <c r="BD3051" s="381" t="s">
        <v>167</v>
      </c>
      <c r="BE3051" s="408" t="s">
        <v>175</v>
      </c>
      <c r="BF3051" s="385"/>
      <c r="BG3051" s="475">
        <v>1001</v>
      </c>
      <c r="BH3051" s="395"/>
      <c r="BI3051" s="395">
        <f t="shared" si="1059"/>
        <v>19.574850000000001</v>
      </c>
    </row>
    <row r="3052" spans="1:61" s="358" customFormat="1" ht="19.2" x14ac:dyDescent="0.3">
      <c r="A3052" s="359" t="s">
        <v>2005</v>
      </c>
      <c r="B3052" s="602" t="s">
        <v>5690</v>
      </c>
      <c r="C3052" s="548" t="s">
        <v>5691</v>
      </c>
      <c r="D3052" s="360">
        <v>0.4</v>
      </c>
      <c r="E3052" s="528"/>
      <c r="F3052" s="523"/>
      <c r="G3052" s="393"/>
      <c r="H3052" s="394"/>
      <c r="I3052" s="394"/>
      <c r="J3052" s="394"/>
      <c r="K3052" s="394"/>
      <c r="L3052" s="394"/>
      <c r="M3052" s="394"/>
      <c r="N3052" s="394"/>
      <c r="O3052" s="394"/>
      <c r="P3052" s="394"/>
      <c r="Q3052" s="394"/>
      <c r="R3052" s="381"/>
      <c r="S3052" s="408"/>
      <c r="T3052" s="385"/>
      <c r="U3052" s="475"/>
      <c r="V3052" s="395"/>
      <c r="W3052" s="395"/>
      <c r="X3052" s="528"/>
      <c r="Y3052" s="523"/>
      <c r="Z3052" s="393"/>
      <c r="AA3052" s="394"/>
      <c r="AB3052" s="394"/>
      <c r="AC3052" s="394"/>
      <c r="AD3052" s="394"/>
      <c r="AE3052" s="394"/>
      <c r="AF3052" s="394"/>
      <c r="AG3052" s="394"/>
      <c r="AH3052" s="394"/>
      <c r="AI3052" s="394"/>
      <c r="AJ3052" s="394"/>
      <c r="AK3052" s="381"/>
      <c r="AL3052" s="408"/>
      <c r="AM3052" s="385"/>
      <c r="AN3052" s="475"/>
      <c r="AO3052" s="395"/>
      <c r="AP3052" s="395"/>
      <c r="AQ3052" s="528"/>
      <c r="AR3052" s="523">
        <v>1</v>
      </c>
      <c r="AS3052" s="393"/>
      <c r="AT3052" s="600">
        <v>20.237950000000001</v>
      </c>
      <c r="AU3052" s="394">
        <v>16.986969999999999</v>
      </c>
      <c r="AV3052" s="394">
        <v>15.274380000000001</v>
      </c>
      <c r="AW3052" s="394"/>
      <c r="AX3052" s="394"/>
      <c r="AY3052" s="394">
        <v>0</v>
      </c>
      <c r="AZ3052" s="394">
        <v>0</v>
      </c>
      <c r="BA3052" s="394">
        <v>0.75790000000000002</v>
      </c>
      <c r="BB3052" s="394">
        <v>15.274380000000001</v>
      </c>
      <c r="BC3052" s="394"/>
      <c r="BD3052" s="381" t="s">
        <v>167</v>
      </c>
      <c r="BE3052" s="408" t="s">
        <v>175</v>
      </c>
      <c r="BF3052" s="385"/>
      <c r="BG3052" s="475">
        <v>1002</v>
      </c>
      <c r="BH3052" s="395"/>
      <c r="BI3052" s="395">
        <f t="shared" si="1059"/>
        <v>20.237950000000001</v>
      </c>
    </row>
    <row r="3053" spans="1:61" s="358" customFormat="1" ht="19.2" x14ac:dyDescent="0.3">
      <c r="A3053" s="359" t="s">
        <v>2006</v>
      </c>
      <c r="B3053" s="602" t="s">
        <v>5692</v>
      </c>
      <c r="C3053" s="548" t="s">
        <v>5693</v>
      </c>
      <c r="D3053" s="360">
        <v>0.4</v>
      </c>
      <c r="E3053" s="528"/>
      <c r="F3053" s="523"/>
      <c r="G3053" s="393"/>
      <c r="H3053" s="394"/>
      <c r="I3053" s="394"/>
      <c r="J3053" s="394"/>
      <c r="K3053" s="394"/>
      <c r="L3053" s="394"/>
      <c r="M3053" s="394"/>
      <c r="N3053" s="394"/>
      <c r="O3053" s="394"/>
      <c r="P3053" s="394"/>
      <c r="Q3053" s="394"/>
      <c r="R3053" s="381"/>
      <c r="S3053" s="408"/>
      <c r="T3053" s="385"/>
      <c r="U3053" s="475"/>
      <c r="V3053" s="395"/>
      <c r="W3053" s="395"/>
      <c r="X3053" s="528"/>
      <c r="Y3053" s="523"/>
      <c r="Z3053" s="393"/>
      <c r="AA3053" s="394"/>
      <c r="AB3053" s="394"/>
      <c r="AC3053" s="394"/>
      <c r="AD3053" s="394"/>
      <c r="AE3053" s="394"/>
      <c r="AF3053" s="394"/>
      <c r="AG3053" s="394"/>
      <c r="AH3053" s="394"/>
      <c r="AI3053" s="394"/>
      <c r="AJ3053" s="394"/>
      <c r="AK3053" s="381"/>
      <c r="AL3053" s="408"/>
      <c r="AM3053" s="385"/>
      <c r="AN3053" s="475"/>
      <c r="AO3053" s="395"/>
      <c r="AP3053" s="395"/>
      <c r="AQ3053" s="528"/>
      <c r="AR3053" s="523">
        <v>1</v>
      </c>
      <c r="AS3053" s="393"/>
      <c r="AT3053" s="600">
        <v>19.57488</v>
      </c>
      <c r="AU3053" s="394">
        <v>16.323899999999998</v>
      </c>
      <c r="AV3053" s="394">
        <v>15.274380000000001</v>
      </c>
      <c r="AW3053" s="394"/>
      <c r="AX3053" s="394"/>
      <c r="AY3053" s="394">
        <v>0</v>
      </c>
      <c r="AZ3053" s="394">
        <v>0</v>
      </c>
      <c r="BA3053" s="394">
        <v>0.75790000000000002</v>
      </c>
      <c r="BB3053" s="394">
        <v>15.274380000000001</v>
      </c>
      <c r="BC3053" s="394"/>
      <c r="BD3053" s="381" t="s">
        <v>167</v>
      </c>
      <c r="BE3053" s="408" t="s">
        <v>175</v>
      </c>
      <c r="BF3053" s="385"/>
      <c r="BG3053" s="475">
        <v>1003</v>
      </c>
      <c r="BH3053" s="395"/>
      <c r="BI3053" s="395">
        <f t="shared" ref="BI3053" si="1177">AT3053/AR3053</f>
        <v>19.57488</v>
      </c>
    </row>
    <row r="3054" spans="1:61" s="358" customFormat="1" ht="19.2" x14ac:dyDescent="0.3">
      <c r="A3054" s="359" t="s">
        <v>2007</v>
      </c>
      <c r="B3054" s="602" t="s">
        <v>5694</v>
      </c>
      <c r="C3054" s="548" t="s">
        <v>5695</v>
      </c>
      <c r="D3054" s="360">
        <v>0.4</v>
      </c>
      <c r="E3054" s="528"/>
      <c r="F3054" s="523"/>
      <c r="G3054" s="393"/>
      <c r="H3054" s="394"/>
      <c r="I3054" s="394"/>
      <c r="J3054" s="394"/>
      <c r="K3054" s="394"/>
      <c r="L3054" s="394"/>
      <c r="M3054" s="394"/>
      <c r="N3054" s="394"/>
      <c r="O3054" s="394"/>
      <c r="P3054" s="394"/>
      <c r="Q3054" s="394"/>
      <c r="R3054" s="381"/>
      <c r="S3054" s="408"/>
      <c r="T3054" s="385"/>
      <c r="U3054" s="475"/>
      <c r="V3054" s="395"/>
      <c r="W3054" s="395"/>
      <c r="X3054" s="528"/>
      <c r="Y3054" s="523"/>
      <c r="Z3054" s="393"/>
      <c r="AA3054" s="394"/>
      <c r="AB3054" s="394"/>
      <c r="AC3054" s="394"/>
      <c r="AD3054" s="394"/>
      <c r="AE3054" s="394"/>
      <c r="AF3054" s="394"/>
      <c r="AG3054" s="394"/>
      <c r="AH3054" s="394"/>
      <c r="AI3054" s="394"/>
      <c r="AJ3054" s="394"/>
      <c r="AK3054" s="381"/>
      <c r="AL3054" s="408"/>
      <c r="AM3054" s="385"/>
      <c r="AN3054" s="475"/>
      <c r="AO3054" s="395"/>
      <c r="AP3054" s="395"/>
      <c r="AQ3054" s="528"/>
      <c r="AR3054" s="523">
        <v>1</v>
      </c>
      <c r="AS3054" s="393"/>
      <c r="AT3054" s="600">
        <v>20.237950000000001</v>
      </c>
      <c r="AU3054" s="394">
        <v>16.986969999999999</v>
      </c>
      <c r="AV3054" s="394">
        <v>15.274380000000001</v>
      </c>
      <c r="AW3054" s="394"/>
      <c r="AX3054" s="394"/>
      <c r="AY3054" s="394">
        <v>0</v>
      </c>
      <c r="AZ3054" s="394">
        <v>0</v>
      </c>
      <c r="BA3054" s="394">
        <v>0.75790000000000002</v>
      </c>
      <c r="BB3054" s="394">
        <v>15.274380000000001</v>
      </c>
      <c r="BC3054" s="394"/>
      <c r="BD3054" s="381" t="s">
        <v>167</v>
      </c>
      <c r="BE3054" s="408" t="s">
        <v>175</v>
      </c>
      <c r="BF3054" s="385"/>
      <c r="BG3054" s="475">
        <v>1004</v>
      </c>
      <c r="BH3054" s="395"/>
      <c r="BI3054" s="395">
        <f t="shared" si="1059"/>
        <v>20.237950000000001</v>
      </c>
    </row>
    <row r="3055" spans="1:61" s="358" customFormat="1" ht="19.2" x14ac:dyDescent="0.3">
      <c r="A3055" s="359" t="s">
        <v>2008</v>
      </c>
      <c r="B3055" s="602" t="s">
        <v>5696</v>
      </c>
      <c r="C3055" s="548" t="s">
        <v>5697</v>
      </c>
      <c r="D3055" s="360">
        <v>0.4</v>
      </c>
      <c r="E3055" s="528"/>
      <c r="F3055" s="523"/>
      <c r="G3055" s="393"/>
      <c r="H3055" s="394"/>
      <c r="I3055" s="394"/>
      <c r="J3055" s="394"/>
      <c r="K3055" s="394"/>
      <c r="L3055" s="394"/>
      <c r="M3055" s="394"/>
      <c r="N3055" s="394"/>
      <c r="O3055" s="394"/>
      <c r="P3055" s="394"/>
      <c r="Q3055" s="394"/>
      <c r="R3055" s="381"/>
      <c r="S3055" s="408"/>
      <c r="T3055" s="385"/>
      <c r="U3055" s="475"/>
      <c r="V3055" s="395"/>
      <c r="W3055" s="395"/>
      <c r="X3055" s="528"/>
      <c r="Y3055" s="523"/>
      <c r="Z3055" s="393"/>
      <c r="AA3055" s="394"/>
      <c r="AB3055" s="394"/>
      <c r="AC3055" s="394"/>
      <c r="AD3055" s="394"/>
      <c r="AE3055" s="394"/>
      <c r="AF3055" s="394"/>
      <c r="AG3055" s="394"/>
      <c r="AH3055" s="394"/>
      <c r="AI3055" s="394"/>
      <c r="AJ3055" s="394"/>
      <c r="AK3055" s="381"/>
      <c r="AL3055" s="408"/>
      <c r="AM3055" s="385"/>
      <c r="AN3055" s="475"/>
      <c r="AO3055" s="395"/>
      <c r="AP3055" s="395"/>
      <c r="AQ3055" s="528"/>
      <c r="AR3055" s="523">
        <v>1</v>
      </c>
      <c r="AS3055" s="393"/>
      <c r="AT3055" s="600">
        <v>20.237950000000001</v>
      </c>
      <c r="AU3055" s="394">
        <v>16.986969999999999</v>
      </c>
      <c r="AV3055" s="394">
        <v>15.274380000000001</v>
      </c>
      <c r="AW3055" s="394"/>
      <c r="AX3055" s="394"/>
      <c r="AY3055" s="394">
        <v>0</v>
      </c>
      <c r="AZ3055" s="394">
        <v>0</v>
      </c>
      <c r="BA3055" s="394">
        <v>0.75790000000000002</v>
      </c>
      <c r="BB3055" s="394">
        <v>15.274380000000001</v>
      </c>
      <c r="BC3055" s="394"/>
      <c r="BD3055" s="381" t="s">
        <v>167</v>
      </c>
      <c r="BE3055" s="408" t="s">
        <v>175</v>
      </c>
      <c r="BF3055" s="385"/>
      <c r="BG3055" s="475">
        <v>1005</v>
      </c>
      <c r="BH3055" s="395"/>
      <c r="BI3055" s="395">
        <f t="shared" ref="BI3055" si="1178">AT3055/AR3055</f>
        <v>20.237950000000001</v>
      </c>
    </row>
    <row r="3056" spans="1:61" s="358" customFormat="1" ht="19.2" x14ac:dyDescent="0.3">
      <c r="A3056" s="359" t="s">
        <v>2009</v>
      </c>
      <c r="B3056" s="602" t="s">
        <v>5698</v>
      </c>
      <c r="C3056" s="548" t="s">
        <v>5699</v>
      </c>
      <c r="D3056" s="360">
        <v>0.4</v>
      </c>
      <c r="E3056" s="528"/>
      <c r="F3056" s="523"/>
      <c r="G3056" s="393"/>
      <c r="H3056" s="394"/>
      <c r="I3056" s="394"/>
      <c r="J3056" s="394"/>
      <c r="K3056" s="394"/>
      <c r="L3056" s="394"/>
      <c r="M3056" s="394"/>
      <c r="N3056" s="394"/>
      <c r="O3056" s="394"/>
      <c r="P3056" s="394"/>
      <c r="Q3056" s="394"/>
      <c r="R3056" s="381"/>
      <c r="S3056" s="408"/>
      <c r="T3056" s="385"/>
      <c r="U3056" s="475"/>
      <c r="V3056" s="395"/>
      <c r="W3056" s="395"/>
      <c r="X3056" s="528"/>
      <c r="Y3056" s="523"/>
      <c r="Z3056" s="393"/>
      <c r="AA3056" s="394"/>
      <c r="AB3056" s="394"/>
      <c r="AC3056" s="394"/>
      <c r="AD3056" s="394"/>
      <c r="AE3056" s="394"/>
      <c r="AF3056" s="394"/>
      <c r="AG3056" s="394"/>
      <c r="AH3056" s="394"/>
      <c r="AI3056" s="394"/>
      <c r="AJ3056" s="394"/>
      <c r="AK3056" s="381"/>
      <c r="AL3056" s="408"/>
      <c r="AM3056" s="385"/>
      <c r="AN3056" s="475"/>
      <c r="AO3056" s="395"/>
      <c r="AP3056" s="395"/>
      <c r="AQ3056" s="528"/>
      <c r="AR3056" s="523">
        <v>1</v>
      </c>
      <c r="AS3056" s="393"/>
      <c r="AT3056" s="600">
        <v>19.57488</v>
      </c>
      <c r="AU3056" s="394">
        <v>16.323899999999998</v>
      </c>
      <c r="AV3056" s="394">
        <v>15.274380000000001</v>
      </c>
      <c r="AW3056" s="394"/>
      <c r="AX3056" s="394"/>
      <c r="AY3056" s="394">
        <v>0</v>
      </c>
      <c r="AZ3056" s="394">
        <v>0</v>
      </c>
      <c r="BA3056" s="394">
        <v>0.75790000000000002</v>
      </c>
      <c r="BB3056" s="394">
        <v>15.274380000000001</v>
      </c>
      <c r="BC3056" s="394"/>
      <c r="BD3056" s="381" t="s">
        <v>167</v>
      </c>
      <c r="BE3056" s="408" t="s">
        <v>175</v>
      </c>
      <c r="BF3056" s="385"/>
      <c r="BG3056" s="475">
        <v>1006</v>
      </c>
      <c r="BH3056" s="395"/>
      <c r="BI3056" s="395">
        <f t="shared" si="1059"/>
        <v>19.57488</v>
      </c>
    </row>
    <row r="3057" spans="1:61" s="358" customFormat="1" ht="19.2" x14ac:dyDescent="0.3">
      <c r="A3057" s="359" t="s">
        <v>2010</v>
      </c>
      <c r="B3057" s="602" t="s">
        <v>5700</v>
      </c>
      <c r="C3057" s="548" t="s">
        <v>5701</v>
      </c>
      <c r="D3057" s="360">
        <v>0.4</v>
      </c>
      <c r="E3057" s="528"/>
      <c r="F3057" s="523"/>
      <c r="G3057" s="393"/>
      <c r="H3057" s="394"/>
      <c r="I3057" s="394"/>
      <c r="J3057" s="394"/>
      <c r="K3057" s="394"/>
      <c r="L3057" s="394"/>
      <c r="M3057" s="394"/>
      <c r="N3057" s="394"/>
      <c r="O3057" s="394"/>
      <c r="P3057" s="394"/>
      <c r="Q3057" s="394"/>
      <c r="R3057" s="381"/>
      <c r="S3057" s="408"/>
      <c r="T3057" s="385"/>
      <c r="U3057" s="475"/>
      <c r="V3057" s="395"/>
      <c r="W3057" s="395"/>
      <c r="X3057" s="528"/>
      <c r="Y3057" s="523"/>
      <c r="Z3057" s="393"/>
      <c r="AA3057" s="394"/>
      <c r="AB3057" s="394"/>
      <c r="AC3057" s="394"/>
      <c r="AD3057" s="394"/>
      <c r="AE3057" s="394"/>
      <c r="AF3057" s="394"/>
      <c r="AG3057" s="394"/>
      <c r="AH3057" s="394"/>
      <c r="AI3057" s="394"/>
      <c r="AJ3057" s="394"/>
      <c r="AK3057" s="381"/>
      <c r="AL3057" s="408"/>
      <c r="AM3057" s="385"/>
      <c r="AN3057" s="475"/>
      <c r="AO3057" s="395"/>
      <c r="AP3057" s="395"/>
      <c r="AQ3057" s="528"/>
      <c r="AR3057" s="523">
        <v>1</v>
      </c>
      <c r="AS3057" s="393"/>
      <c r="AT3057" s="600">
        <v>20.237950000000001</v>
      </c>
      <c r="AU3057" s="394">
        <v>16.986969999999999</v>
      </c>
      <c r="AV3057" s="394">
        <v>15.274380000000001</v>
      </c>
      <c r="AW3057" s="394"/>
      <c r="AX3057" s="394"/>
      <c r="AY3057" s="394">
        <v>0</v>
      </c>
      <c r="AZ3057" s="394">
        <v>0</v>
      </c>
      <c r="BA3057" s="394">
        <v>0.75790000000000002</v>
      </c>
      <c r="BB3057" s="394">
        <v>15.274380000000001</v>
      </c>
      <c r="BC3057" s="394"/>
      <c r="BD3057" s="381" t="s">
        <v>167</v>
      </c>
      <c r="BE3057" s="408" t="s">
        <v>175</v>
      </c>
      <c r="BF3057" s="385"/>
      <c r="BG3057" s="475">
        <v>1007</v>
      </c>
      <c r="BH3057" s="395"/>
      <c r="BI3057" s="395">
        <f t="shared" ref="BI3057" si="1179">AT3057/AR3057</f>
        <v>20.237950000000001</v>
      </c>
    </row>
    <row r="3058" spans="1:61" s="358" customFormat="1" ht="19.2" x14ac:dyDescent="0.3">
      <c r="A3058" s="359" t="s">
        <v>2011</v>
      </c>
      <c r="B3058" s="602" t="s">
        <v>5702</v>
      </c>
      <c r="C3058" s="548" t="s">
        <v>5703</v>
      </c>
      <c r="D3058" s="360">
        <v>0.4</v>
      </c>
      <c r="E3058" s="528"/>
      <c r="F3058" s="523"/>
      <c r="G3058" s="393"/>
      <c r="H3058" s="394"/>
      <c r="I3058" s="394"/>
      <c r="J3058" s="394"/>
      <c r="K3058" s="394"/>
      <c r="L3058" s="394"/>
      <c r="M3058" s="394"/>
      <c r="N3058" s="394"/>
      <c r="O3058" s="394"/>
      <c r="P3058" s="394"/>
      <c r="Q3058" s="394"/>
      <c r="R3058" s="381"/>
      <c r="S3058" s="408"/>
      <c r="T3058" s="385"/>
      <c r="U3058" s="475"/>
      <c r="V3058" s="395"/>
      <c r="W3058" s="395"/>
      <c r="X3058" s="528"/>
      <c r="Y3058" s="523"/>
      <c r="Z3058" s="393"/>
      <c r="AA3058" s="394"/>
      <c r="AB3058" s="394"/>
      <c r="AC3058" s="394"/>
      <c r="AD3058" s="394"/>
      <c r="AE3058" s="394"/>
      <c r="AF3058" s="394"/>
      <c r="AG3058" s="394"/>
      <c r="AH3058" s="394"/>
      <c r="AI3058" s="394"/>
      <c r="AJ3058" s="394"/>
      <c r="AK3058" s="381"/>
      <c r="AL3058" s="408"/>
      <c r="AM3058" s="385"/>
      <c r="AN3058" s="475"/>
      <c r="AO3058" s="395"/>
      <c r="AP3058" s="395"/>
      <c r="AQ3058" s="528"/>
      <c r="AR3058" s="523">
        <v>1</v>
      </c>
      <c r="AS3058" s="393"/>
      <c r="AT3058" s="600">
        <v>19.574850000000001</v>
      </c>
      <c r="AU3058" s="394">
        <v>16.323869999999999</v>
      </c>
      <c r="AV3058" s="394">
        <v>15.274380000000001</v>
      </c>
      <c r="AW3058" s="394"/>
      <c r="AX3058" s="394"/>
      <c r="AY3058" s="394">
        <v>0</v>
      </c>
      <c r="AZ3058" s="394">
        <v>0</v>
      </c>
      <c r="BA3058" s="394">
        <v>0.75790000000000002</v>
      </c>
      <c r="BB3058" s="394">
        <v>15.274380000000001</v>
      </c>
      <c r="BC3058" s="394"/>
      <c r="BD3058" s="381" t="s">
        <v>167</v>
      </c>
      <c r="BE3058" s="408" t="s">
        <v>175</v>
      </c>
      <c r="BF3058" s="385"/>
      <c r="BG3058" s="475">
        <v>1008</v>
      </c>
      <c r="BH3058" s="395"/>
      <c r="BI3058" s="395">
        <f t="shared" si="1059"/>
        <v>19.574850000000001</v>
      </c>
    </row>
    <row r="3059" spans="1:61" s="358" customFormat="1" ht="19.2" x14ac:dyDescent="0.3">
      <c r="A3059" s="359" t="s">
        <v>2012</v>
      </c>
      <c r="B3059" s="602" t="s">
        <v>4822</v>
      </c>
      <c r="C3059" s="548" t="s">
        <v>4821</v>
      </c>
      <c r="D3059" s="360">
        <v>0.4</v>
      </c>
      <c r="E3059" s="528"/>
      <c r="F3059" s="523"/>
      <c r="G3059" s="393"/>
      <c r="H3059" s="394"/>
      <c r="I3059" s="394"/>
      <c r="J3059" s="394"/>
      <c r="K3059" s="394"/>
      <c r="L3059" s="394"/>
      <c r="M3059" s="394"/>
      <c r="N3059" s="394"/>
      <c r="O3059" s="394"/>
      <c r="P3059" s="394"/>
      <c r="Q3059" s="394"/>
      <c r="R3059" s="381"/>
      <c r="S3059" s="408"/>
      <c r="T3059" s="385"/>
      <c r="U3059" s="475"/>
      <c r="V3059" s="395"/>
      <c r="W3059" s="395"/>
      <c r="X3059" s="528"/>
      <c r="Y3059" s="523"/>
      <c r="Z3059" s="393"/>
      <c r="AA3059" s="394"/>
      <c r="AB3059" s="394"/>
      <c r="AC3059" s="394"/>
      <c r="AD3059" s="394"/>
      <c r="AE3059" s="394"/>
      <c r="AF3059" s="394"/>
      <c r="AG3059" s="394"/>
      <c r="AH3059" s="394"/>
      <c r="AI3059" s="394"/>
      <c r="AJ3059" s="394"/>
      <c r="AK3059" s="381"/>
      <c r="AL3059" s="408"/>
      <c r="AM3059" s="385"/>
      <c r="AN3059" s="475"/>
      <c r="AO3059" s="395"/>
      <c r="AP3059" s="395"/>
      <c r="AQ3059" s="528"/>
      <c r="AR3059" s="523">
        <v>1</v>
      </c>
      <c r="AS3059" s="393"/>
      <c r="AT3059" s="600">
        <v>26.799019999999999</v>
      </c>
      <c r="AU3059" s="394">
        <v>22.673359999999999</v>
      </c>
      <c r="AV3059" s="394">
        <v>15.274380000000001</v>
      </c>
      <c r="AW3059" s="394"/>
      <c r="AX3059" s="394"/>
      <c r="AY3059" s="394">
        <v>0</v>
      </c>
      <c r="AZ3059" s="394">
        <v>0</v>
      </c>
      <c r="BA3059" s="394">
        <v>0.96181000000000005</v>
      </c>
      <c r="BB3059" s="394">
        <v>15.274380000000001</v>
      </c>
      <c r="BC3059" s="394"/>
      <c r="BD3059" s="381" t="s">
        <v>167</v>
      </c>
      <c r="BE3059" s="408" t="s">
        <v>175</v>
      </c>
      <c r="BF3059" s="385"/>
      <c r="BG3059" s="475">
        <v>1009</v>
      </c>
      <c r="BH3059" s="395"/>
      <c r="BI3059" s="395">
        <f t="shared" ref="BI3059" si="1180">AT3059/AR3059</f>
        <v>26.799019999999999</v>
      </c>
    </row>
    <row r="3060" spans="1:61" s="358" customFormat="1" ht="19.2" x14ac:dyDescent="0.3">
      <c r="A3060" s="359" t="s">
        <v>2013</v>
      </c>
      <c r="B3060" s="602" t="s">
        <v>5704</v>
      </c>
      <c r="C3060" s="548" t="s">
        <v>5705</v>
      </c>
      <c r="D3060" s="360">
        <v>0.4</v>
      </c>
      <c r="E3060" s="528"/>
      <c r="F3060" s="523"/>
      <c r="G3060" s="393"/>
      <c r="H3060" s="394"/>
      <c r="I3060" s="394"/>
      <c r="J3060" s="394"/>
      <c r="K3060" s="394"/>
      <c r="L3060" s="394"/>
      <c r="M3060" s="394"/>
      <c r="N3060" s="394"/>
      <c r="O3060" s="394"/>
      <c r="P3060" s="394"/>
      <c r="Q3060" s="394"/>
      <c r="R3060" s="381"/>
      <c r="S3060" s="408"/>
      <c r="T3060" s="385"/>
      <c r="U3060" s="475"/>
      <c r="V3060" s="395"/>
      <c r="W3060" s="395"/>
      <c r="X3060" s="528"/>
      <c r="Y3060" s="523"/>
      <c r="Z3060" s="393"/>
      <c r="AA3060" s="394"/>
      <c r="AB3060" s="394"/>
      <c r="AC3060" s="394"/>
      <c r="AD3060" s="394"/>
      <c r="AE3060" s="394"/>
      <c r="AF3060" s="394"/>
      <c r="AG3060" s="394"/>
      <c r="AH3060" s="394"/>
      <c r="AI3060" s="394"/>
      <c r="AJ3060" s="394"/>
      <c r="AK3060" s="381"/>
      <c r="AL3060" s="408"/>
      <c r="AM3060" s="385"/>
      <c r="AN3060" s="475"/>
      <c r="AO3060" s="395"/>
      <c r="AP3060" s="395"/>
      <c r="AQ3060" s="528"/>
      <c r="AR3060" s="523">
        <v>1</v>
      </c>
      <c r="AS3060" s="393"/>
      <c r="AT3060" s="600">
        <v>19.574860000000001</v>
      </c>
      <c r="AU3060" s="394">
        <v>16.323879999999999</v>
      </c>
      <c r="AV3060" s="394">
        <v>15.274380000000001</v>
      </c>
      <c r="AW3060" s="394"/>
      <c r="AX3060" s="394"/>
      <c r="AY3060" s="394">
        <v>0</v>
      </c>
      <c r="AZ3060" s="394">
        <v>0</v>
      </c>
      <c r="BA3060" s="394">
        <v>0.75790000000000002</v>
      </c>
      <c r="BB3060" s="394">
        <v>15.274380000000001</v>
      </c>
      <c r="BC3060" s="394"/>
      <c r="BD3060" s="381" t="s">
        <v>167</v>
      </c>
      <c r="BE3060" s="408" t="s">
        <v>175</v>
      </c>
      <c r="BF3060" s="385"/>
      <c r="BG3060" s="475">
        <v>1010</v>
      </c>
      <c r="BH3060" s="395"/>
      <c r="BI3060" s="395">
        <f t="shared" si="1059"/>
        <v>19.574860000000001</v>
      </c>
    </row>
    <row r="3061" spans="1:61" s="358" customFormat="1" ht="19.2" x14ac:dyDescent="0.3">
      <c r="A3061" s="359" t="s">
        <v>2014</v>
      </c>
      <c r="B3061" s="602" t="s">
        <v>5706</v>
      </c>
      <c r="C3061" s="548" t="s">
        <v>5707</v>
      </c>
      <c r="D3061" s="360">
        <v>0.4</v>
      </c>
      <c r="E3061" s="528"/>
      <c r="F3061" s="523"/>
      <c r="G3061" s="393"/>
      <c r="H3061" s="394"/>
      <c r="I3061" s="394"/>
      <c r="J3061" s="394"/>
      <c r="K3061" s="394"/>
      <c r="L3061" s="394"/>
      <c r="M3061" s="394"/>
      <c r="N3061" s="394"/>
      <c r="O3061" s="394"/>
      <c r="P3061" s="394"/>
      <c r="Q3061" s="394"/>
      <c r="R3061" s="381"/>
      <c r="S3061" s="408"/>
      <c r="T3061" s="385"/>
      <c r="U3061" s="475"/>
      <c r="V3061" s="395"/>
      <c r="W3061" s="395"/>
      <c r="X3061" s="528"/>
      <c r="Y3061" s="523"/>
      <c r="Z3061" s="393"/>
      <c r="AA3061" s="394"/>
      <c r="AB3061" s="394"/>
      <c r="AC3061" s="394"/>
      <c r="AD3061" s="394"/>
      <c r="AE3061" s="394"/>
      <c r="AF3061" s="394"/>
      <c r="AG3061" s="394"/>
      <c r="AH3061" s="394"/>
      <c r="AI3061" s="394"/>
      <c r="AJ3061" s="394"/>
      <c r="AK3061" s="381"/>
      <c r="AL3061" s="408"/>
      <c r="AM3061" s="385"/>
      <c r="AN3061" s="475"/>
      <c r="AO3061" s="395"/>
      <c r="AP3061" s="395"/>
      <c r="AQ3061" s="528"/>
      <c r="AR3061" s="523">
        <v>1</v>
      </c>
      <c r="AS3061" s="393"/>
      <c r="AT3061" s="600">
        <v>20.23798</v>
      </c>
      <c r="AU3061" s="394">
        <v>16.986999999999998</v>
      </c>
      <c r="AV3061" s="394">
        <v>15.274380000000001</v>
      </c>
      <c r="AW3061" s="394"/>
      <c r="AX3061" s="394"/>
      <c r="AY3061" s="394">
        <v>0</v>
      </c>
      <c r="AZ3061" s="394">
        <v>0</v>
      </c>
      <c r="BA3061" s="394">
        <v>0.75790000000000002</v>
      </c>
      <c r="BB3061" s="394">
        <v>15.274380000000001</v>
      </c>
      <c r="BC3061" s="394"/>
      <c r="BD3061" s="381" t="s">
        <v>167</v>
      </c>
      <c r="BE3061" s="408" t="s">
        <v>175</v>
      </c>
      <c r="BF3061" s="385"/>
      <c r="BG3061" s="475">
        <v>1011</v>
      </c>
      <c r="BH3061" s="395"/>
      <c r="BI3061" s="395">
        <f t="shared" ref="BI3061" si="1181">AT3061/AR3061</f>
        <v>20.23798</v>
      </c>
    </row>
    <row r="3062" spans="1:61" s="358" customFormat="1" ht="19.2" x14ac:dyDescent="0.3">
      <c r="A3062" s="359" t="s">
        <v>2015</v>
      </c>
      <c r="B3062" s="602" t="s">
        <v>5708</v>
      </c>
      <c r="C3062" s="548" t="s">
        <v>5709</v>
      </c>
      <c r="D3062" s="360">
        <v>0.4</v>
      </c>
      <c r="E3062" s="528"/>
      <c r="F3062" s="523"/>
      <c r="G3062" s="393"/>
      <c r="H3062" s="394"/>
      <c r="I3062" s="394"/>
      <c r="J3062" s="394"/>
      <c r="K3062" s="394"/>
      <c r="L3062" s="394"/>
      <c r="M3062" s="394"/>
      <c r="N3062" s="394"/>
      <c r="O3062" s="394"/>
      <c r="P3062" s="394"/>
      <c r="Q3062" s="394"/>
      <c r="R3062" s="381"/>
      <c r="S3062" s="408"/>
      <c r="T3062" s="385"/>
      <c r="U3062" s="475"/>
      <c r="V3062" s="395"/>
      <c r="W3062" s="395"/>
      <c r="X3062" s="528"/>
      <c r="Y3062" s="523"/>
      <c r="Z3062" s="393"/>
      <c r="AA3062" s="394"/>
      <c r="AB3062" s="394"/>
      <c r="AC3062" s="394"/>
      <c r="AD3062" s="394"/>
      <c r="AE3062" s="394"/>
      <c r="AF3062" s="394"/>
      <c r="AG3062" s="394"/>
      <c r="AH3062" s="394"/>
      <c r="AI3062" s="394"/>
      <c r="AJ3062" s="394"/>
      <c r="AK3062" s="381"/>
      <c r="AL3062" s="408"/>
      <c r="AM3062" s="385"/>
      <c r="AN3062" s="475"/>
      <c r="AO3062" s="395"/>
      <c r="AP3062" s="395"/>
      <c r="AQ3062" s="528"/>
      <c r="AR3062" s="523">
        <v>1</v>
      </c>
      <c r="AS3062" s="393"/>
      <c r="AT3062" s="600">
        <v>20.237970000000001</v>
      </c>
      <c r="AU3062" s="394">
        <v>16.986989999999999</v>
      </c>
      <c r="AV3062" s="394">
        <v>15.274380000000001</v>
      </c>
      <c r="AW3062" s="394"/>
      <c r="AX3062" s="394"/>
      <c r="AY3062" s="394">
        <v>0</v>
      </c>
      <c r="AZ3062" s="394">
        <v>0</v>
      </c>
      <c r="BA3062" s="394">
        <v>0.75790000000000002</v>
      </c>
      <c r="BB3062" s="394">
        <v>15.274380000000001</v>
      </c>
      <c r="BC3062" s="394"/>
      <c r="BD3062" s="381" t="s">
        <v>167</v>
      </c>
      <c r="BE3062" s="408" t="s">
        <v>175</v>
      </c>
      <c r="BF3062" s="385"/>
      <c r="BG3062" s="475">
        <v>1012</v>
      </c>
      <c r="BH3062" s="395"/>
      <c r="BI3062" s="395">
        <f t="shared" si="1059"/>
        <v>20.237970000000001</v>
      </c>
    </row>
    <row r="3063" spans="1:61" s="358" customFormat="1" ht="19.2" x14ac:dyDescent="0.3">
      <c r="A3063" s="359" t="s">
        <v>2016</v>
      </c>
      <c r="B3063" s="602" t="s">
        <v>5710</v>
      </c>
      <c r="C3063" s="548" t="s">
        <v>5711</v>
      </c>
      <c r="D3063" s="360">
        <v>0.4</v>
      </c>
      <c r="E3063" s="528"/>
      <c r="F3063" s="523"/>
      <c r="G3063" s="393"/>
      <c r="H3063" s="394"/>
      <c r="I3063" s="394"/>
      <c r="J3063" s="394"/>
      <c r="K3063" s="394"/>
      <c r="L3063" s="394"/>
      <c r="M3063" s="394"/>
      <c r="N3063" s="394"/>
      <c r="O3063" s="394"/>
      <c r="P3063" s="394"/>
      <c r="Q3063" s="394"/>
      <c r="R3063" s="381"/>
      <c r="S3063" s="408"/>
      <c r="T3063" s="385"/>
      <c r="U3063" s="475"/>
      <c r="V3063" s="395"/>
      <c r="W3063" s="395"/>
      <c r="X3063" s="528"/>
      <c r="Y3063" s="523"/>
      <c r="Z3063" s="393"/>
      <c r="AA3063" s="394"/>
      <c r="AB3063" s="394"/>
      <c r="AC3063" s="394"/>
      <c r="AD3063" s="394"/>
      <c r="AE3063" s="394"/>
      <c r="AF3063" s="394"/>
      <c r="AG3063" s="394"/>
      <c r="AH3063" s="394"/>
      <c r="AI3063" s="394"/>
      <c r="AJ3063" s="394"/>
      <c r="AK3063" s="381"/>
      <c r="AL3063" s="408"/>
      <c r="AM3063" s="385"/>
      <c r="AN3063" s="475"/>
      <c r="AO3063" s="395"/>
      <c r="AP3063" s="395"/>
      <c r="AQ3063" s="528"/>
      <c r="AR3063" s="523">
        <v>1</v>
      </c>
      <c r="AS3063" s="393"/>
      <c r="AT3063" s="600">
        <v>20.237950000000001</v>
      </c>
      <c r="AU3063" s="394">
        <v>16.986969999999999</v>
      </c>
      <c r="AV3063" s="394">
        <v>15.274380000000001</v>
      </c>
      <c r="AW3063" s="394"/>
      <c r="AX3063" s="394"/>
      <c r="AY3063" s="394">
        <v>0</v>
      </c>
      <c r="AZ3063" s="394">
        <v>0</v>
      </c>
      <c r="BA3063" s="394">
        <v>0.75790000000000002</v>
      </c>
      <c r="BB3063" s="394">
        <v>15.274380000000001</v>
      </c>
      <c r="BC3063" s="394"/>
      <c r="BD3063" s="381" t="s">
        <v>167</v>
      </c>
      <c r="BE3063" s="408" t="s">
        <v>175</v>
      </c>
      <c r="BF3063" s="385"/>
      <c r="BG3063" s="475">
        <v>1013</v>
      </c>
      <c r="BH3063" s="395"/>
      <c r="BI3063" s="395">
        <f t="shared" ref="BI3063" si="1182">AT3063/AR3063</f>
        <v>20.237950000000001</v>
      </c>
    </row>
    <row r="3064" spans="1:61" s="358" customFormat="1" ht="19.2" x14ac:dyDescent="0.3">
      <c r="A3064" s="359" t="s">
        <v>2017</v>
      </c>
      <c r="B3064" s="602" t="s">
        <v>4827</v>
      </c>
      <c r="C3064" s="548" t="s">
        <v>4826</v>
      </c>
      <c r="D3064" s="360">
        <v>0.4</v>
      </c>
      <c r="E3064" s="528"/>
      <c r="F3064" s="523"/>
      <c r="G3064" s="393"/>
      <c r="H3064" s="394"/>
      <c r="I3064" s="394"/>
      <c r="J3064" s="394"/>
      <c r="K3064" s="394"/>
      <c r="L3064" s="394"/>
      <c r="M3064" s="394"/>
      <c r="N3064" s="394"/>
      <c r="O3064" s="394"/>
      <c r="P3064" s="394"/>
      <c r="Q3064" s="394"/>
      <c r="R3064" s="381"/>
      <c r="S3064" s="408"/>
      <c r="T3064" s="385"/>
      <c r="U3064" s="475"/>
      <c r="V3064" s="395"/>
      <c r="W3064" s="395"/>
      <c r="X3064" s="528"/>
      <c r="Y3064" s="523"/>
      <c r="Z3064" s="393"/>
      <c r="AA3064" s="394"/>
      <c r="AB3064" s="394"/>
      <c r="AC3064" s="394"/>
      <c r="AD3064" s="394"/>
      <c r="AE3064" s="394"/>
      <c r="AF3064" s="394"/>
      <c r="AG3064" s="394"/>
      <c r="AH3064" s="394"/>
      <c r="AI3064" s="394"/>
      <c r="AJ3064" s="394"/>
      <c r="AK3064" s="381"/>
      <c r="AL3064" s="408"/>
      <c r="AM3064" s="385"/>
      <c r="AN3064" s="475"/>
      <c r="AO3064" s="395"/>
      <c r="AP3064" s="395"/>
      <c r="AQ3064" s="528"/>
      <c r="AR3064" s="523">
        <v>1</v>
      </c>
      <c r="AS3064" s="393"/>
      <c r="AT3064" s="600">
        <v>20.237950000000001</v>
      </c>
      <c r="AU3064" s="394">
        <v>16.986969999999999</v>
      </c>
      <c r="AV3064" s="394">
        <v>15.274380000000001</v>
      </c>
      <c r="AW3064" s="394"/>
      <c r="AX3064" s="394"/>
      <c r="AY3064" s="394">
        <v>0</v>
      </c>
      <c r="AZ3064" s="394">
        <v>0</v>
      </c>
      <c r="BA3064" s="394">
        <v>0.75790000000000002</v>
      </c>
      <c r="BB3064" s="394">
        <v>15.274380000000001</v>
      </c>
      <c r="BC3064" s="394"/>
      <c r="BD3064" s="381" t="s">
        <v>167</v>
      </c>
      <c r="BE3064" s="408" t="s">
        <v>175</v>
      </c>
      <c r="BF3064" s="385"/>
      <c r="BG3064" s="475">
        <v>1014</v>
      </c>
      <c r="BH3064" s="395"/>
      <c r="BI3064" s="395">
        <f t="shared" si="1059"/>
        <v>20.237950000000001</v>
      </c>
    </row>
    <row r="3065" spans="1:61" s="358" customFormat="1" ht="19.2" x14ac:dyDescent="0.3">
      <c r="A3065" s="359" t="s">
        <v>2018</v>
      </c>
      <c r="B3065" s="602" t="s">
        <v>5712</v>
      </c>
      <c r="C3065" s="548" t="s">
        <v>5713</v>
      </c>
      <c r="D3065" s="360">
        <v>0.4</v>
      </c>
      <c r="E3065" s="528"/>
      <c r="F3065" s="523"/>
      <c r="G3065" s="393"/>
      <c r="H3065" s="394"/>
      <c r="I3065" s="394"/>
      <c r="J3065" s="394"/>
      <c r="K3065" s="394"/>
      <c r="L3065" s="394"/>
      <c r="M3065" s="394"/>
      <c r="N3065" s="394"/>
      <c r="O3065" s="394"/>
      <c r="P3065" s="394"/>
      <c r="Q3065" s="394"/>
      <c r="R3065" s="381"/>
      <c r="S3065" s="408"/>
      <c r="T3065" s="385"/>
      <c r="U3065" s="475"/>
      <c r="V3065" s="395"/>
      <c r="W3065" s="395"/>
      <c r="X3065" s="528"/>
      <c r="Y3065" s="523"/>
      <c r="Z3065" s="393"/>
      <c r="AA3065" s="394"/>
      <c r="AB3065" s="394"/>
      <c r="AC3065" s="394"/>
      <c r="AD3065" s="394"/>
      <c r="AE3065" s="394"/>
      <c r="AF3065" s="394"/>
      <c r="AG3065" s="394"/>
      <c r="AH3065" s="394"/>
      <c r="AI3065" s="394"/>
      <c r="AJ3065" s="394"/>
      <c r="AK3065" s="381"/>
      <c r="AL3065" s="408"/>
      <c r="AM3065" s="385"/>
      <c r="AN3065" s="475"/>
      <c r="AO3065" s="395"/>
      <c r="AP3065" s="395"/>
      <c r="AQ3065" s="528"/>
      <c r="AR3065" s="523">
        <v>1</v>
      </c>
      <c r="AS3065" s="393"/>
      <c r="AT3065" s="600">
        <v>20.237950000000001</v>
      </c>
      <c r="AU3065" s="394">
        <v>16.986969999999999</v>
      </c>
      <c r="AV3065" s="394">
        <v>15.274380000000001</v>
      </c>
      <c r="AW3065" s="394"/>
      <c r="AX3065" s="394"/>
      <c r="AY3065" s="394">
        <v>0</v>
      </c>
      <c r="AZ3065" s="394">
        <v>0</v>
      </c>
      <c r="BA3065" s="394">
        <v>0.75790000000000002</v>
      </c>
      <c r="BB3065" s="394">
        <v>15.274380000000001</v>
      </c>
      <c r="BC3065" s="394"/>
      <c r="BD3065" s="381" t="s">
        <v>167</v>
      </c>
      <c r="BE3065" s="408" t="s">
        <v>175</v>
      </c>
      <c r="BF3065" s="385"/>
      <c r="BG3065" s="475">
        <v>1015</v>
      </c>
      <c r="BH3065" s="395"/>
      <c r="BI3065" s="395">
        <f t="shared" ref="BI3065" si="1183">AT3065/AR3065</f>
        <v>20.237950000000001</v>
      </c>
    </row>
    <row r="3066" spans="1:61" s="358" customFormat="1" ht="19.2" x14ac:dyDescent="0.3">
      <c r="A3066" s="359" t="s">
        <v>2019</v>
      </c>
      <c r="B3066" s="602" t="s">
        <v>5714</v>
      </c>
      <c r="C3066" s="548" t="s">
        <v>5715</v>
      </c>
      <c r="D3066" s="360">
        <v>0.4</v>
      </c>
      <c r="E3066" s="528"/>
      <c r="F3066" s="523"/>
      <c r="G3066" s="393"/>
      <c r="H3066" s="394"/>
      <c r="I3066" s="394"/>
      <c r="J3066" s="394"/>
      <c r="K3066" s="394"/>
      <c r="L3066" s="394"/>
      <c r="M3066" s="394"/>
      <c r="N3066" s="394"/>
      <c r="O3066" s="394"/>
      <c r="P3066" s="394"/>
      <c r="Q3066" s="394"/>
      <c r="R3066" s="381"/>
      <c r="S3066" s="408"/>
      <c r="T3066" s="385"/>
      <c r="U3066" s="475"/>
      <c r="V3066" s="395"/>
      <c r="W3066" s="395"/>
      <c r="X3066" s="528"/>
      <c r="Y3066" s="523"/>
      <c r="Z3066" s="393"/>
      <c r="AA3066" s="394"/>
      <c r="AB3066" s="394"/>
      <c r="AC3066" s="394"/>
      <c r="AD3066" s="394"/>
      <c r="AE3066" s="394"/>
      <c r="AF3066" s="394"/>
      <c r="AG3066" s="394"/>
      <c r="AH3066" s="394"/>
      <c r="AI3066" s="394"/>
      <c r="AJ3066" s="394"/>
      <c r="AK3066" s="381"/>
      <c r="AL3066" s="408"/>
      <c r="AM3066" s="385"/>
      <c r="AN3066" s="475"/>
      <c r="AO3066" s="395"/>
      <c r="AP3066" s="395"/>
      <c r="AQ3066" s="528"/>
      <c r="AR3066" s="523">
        <v>1</v>
      </c>
      <c r="AS3066" s="393"/>
      <c r="AT3066" s="600">
        <v>19.574860000000001</v>
      </c>
      <c r="AU3066" s="394">
        <v>16.323879999999999</v>
      </c>
      <c r="AV3066" s="394">
        <v>15.274380000000001</v>
      </c>
      <c r="AW3066" s="394"/>
      <c r="AX3066" s="394"/>
      <c r="AY3066" s="394">
        <v>0</v>
      </c>
      <c r="AZ3066" s="394">
        <v>0</v>
      </c>
      <c r="BA3066" s="394">
        <v>0.75790000000000002</v>
      </c>
      <c r="BB3066" s="394">
        <v>15.274380000000001</v>
      </c>
      <c r="BC3066" s="394"/>
      <c r="BD3066" s="381" t="s">
        <v>167</v>
      </c>
      <c r="BE3066" s="408" t="s">
        <v>175</v>
      </c>
      <c r="BF3066" s="385"/>
      <c r="BG3066" s="475">
        <v>1016</v>
      </c>
      <c r="BH3066" s="395"/>
      <c r="BI3066" s="395">
        <f t="shared" si="1059"/>
        <v>19.574860000000001</v>
      </c>
    </row>
    <row r="3067" spans="1:61" s="358" customFormat="1" ht="19.2" x14ac:dyDescent="0.3">
      <c r="A3067" s="359" t="s">
        <v>2020</v>
      </c>
      <c r="B3067" s="602" t="s">
        <v>5716</v>
      </c>
      <c r="C3067" s="548" t="s">
        <v>5717</v>
      </c>
      <c r="D3067" s="360">
        <v>0.4</v>
      </c>
      <c r="E3067" s="528"/>
      <c r="F3067" s="523"/>
      <c r="G3067" s="393"/>
      <c r="H3067" s="394"/>
      <c r="I3067" s="394"/>
      <c r="J3067" s="394"/>
      <c r="K3067" s="394"/>
      <c r="L3067" s="394"/>
      <c r="M3067" s="394"/>
      <c r="N3067" s="394"/>
      <c r="O3067" s="394"/>
      <c r="P3067" s="394"/>
      <c r="Q3067" s="394"/>
      <c r="R3067" s="381"/>
      <c r="S3067" s="408"/>
      <c r="T3067" s="385"/>
      <c r="U3067" s="475"/>
      <c r="V3067" s="395"/>
      <c r="W3067" s="395"/>
      <c r="X3067" s="528"/>
      <c r="Y3067" s="523"/>
      <c r="Z3067" s="393"/>
      <c r="AA3067" s="394"/>
      <c r="AB3067" s="394"/>
      <c r="AC3067" s="394"/>
      <c r="AD3067" s="394"/>
      <c r="AE3067" s="394"/>
      <c r="AF3067" s="394"/>
      <c r="AG3067" s="394"/>
      <c r="AH3067" s="394"/>
      <c r="AI3067" s="394"/>
      <c r="AJ3067" s="394"/>
      <c r="AK3067" s="381"/>
      <c r="AL3067" s="408"/>
      <c r="AM3067" s="385"/>
      <c r="AN3067" s="475"/>
      <c r="AO3067" s="395"/>
      <c r="AP3067" s="395"/>
      <c r="AQ3067" s="528"/>
      <c r="AR3067" s="523">
        <v>1</v>
      </c>
      <c r="AS3067" s="393"/>
      <c r="AT3067" s="600">
        <v>19.574850000000001</v>
      </c>
      <c r="AU3067" s="394">
        <v>16.323869999999999</v>
      </c>
      <c r="AV3067" s="394">
        <v>15.274380000000001</v>
      </c>
      <c r="AW3067" s="394"/>
      <c r="AX3067" s="394"/>
      <c r="AY3067" s="394">
        <v>0</v>
      </c>
      <c r="AZ3067" s="394">
        <v>0</v>
      </c>
      <c r="BA3067" s="394">
        <v>0.75790000000000002</v>
      </c>
      <c r="BB3067" s="394">
        <v>15.274380000000001</v>
      </c>
      <c r="BC3067" s="394"/>
      <c r="BD3067" s="381" t="s">
        <v>167</v>
      </c>
      <c r="BE3067" s="408" t="s">
        <v>175</v>
      </c>
      <c r="BF3067" s="385"/>
      <c r="BG3067" s="475">
        <v>1017</v>
      </c>
      <c r="BH3067" s="395"/>
      <c r="BI3067" s="395">
        <f t="shared" ref="BI3067" si="1184">AT3067/AR3067</f>
        <v>19.574850000000001</v>
      </c>
    </row>
    <row r="3068" spans="1:61" s="358" customFormat="1" ht="19.2" x14ac:dyDescent="0.3">
      <c r="A3068" s="359" t="s">
        <v>2021</v>
      </c>
      <c r="B3068" s="602" t="s">
        <v>4329</v>
      </c>
      <c r="C3068" s="548" t="s">
        <v>5718</v>
      </c>
      <c r="D3068" s="360">
        <v>0.4</v>
      </c>
      <c r="E3068" s="528"/>
      <c r="F3068" s="523"/>
      <c r="G3068" s="393"/>
      <c r="H3068" s="394"/>
      <c r="I3068" s="394"/>
      <c r="J3068" s="394"/>
      <c r="K3068" s="394"/>
      <c r="L3068" s="394"/>
      <c r="M3068" s="394"/>
      <c r="N3068" s="394"/>
      <c r="O3068" s="394"/>
      <c r="P3068" s="394"/>
      <c r="Q3068" s="394"/>
      <c r="R3068" s="381"/>
      <c r="S3068" s="408"/>
      <c r="T3068" s="385"/>
      <c r="U3068" s="475"/>
      <c r="V3068" s="395"/>
      <c r="W3068" s="395"/>
      <c r="X3068" s="528"/>
      <c r="Y3068" s="523"/>
      <c r="Z3068" s="393"/>
      <c r="AA3068" s="394"/>
      <c r="AB3068" s="394"/>
      <c r="AC3068" s="394"/>
      <c r="AD3068" s="394"/>
      <c r="AE3068" s="394"/>
      <c r="AF3068" s="394"/>
      <c r="AG3068" s="394"/>
      <c r="AH3068" s="394"/>
      <c r="AI3068" s="394"/>
      <c r="AJ3068" s="394"/>
      <c r="AK3068" s="381"/>
      <c r="AL3068" s="408"/>
      <c r="AM3068" s="385"/>
      <c r="AN3068" s="475"/>
      <c r="AO3068" s="395"/>
      <c r="AP3068" s="395"/>
      <c r="AQ3068" s="528"/>
      <c r="AR3068" s="523">
        <v>1</v>
      </c>
      <c r="AS3068" s="393"/>
      <c r="AT3068" s="600">
        <v>19.574870000000001</v>
      </c>
      <c r="AU3068" s="394">
        <v>16.323889999999999</v>
      </c>
      <c r="AV3068" s="394">
        <v>15.274380000000001</v>
      </c>
      <c r="AW3068" s="394"/>
      <c r="AX3068" s="394"/>
      <c r="AY3068" s="394">
        <v>0</v>
      </c>
      <c r="AZ3068" s="394">
        <v>0</v>
      </c>
      <c r="BA3068" s="394">
        <v>0.75790000000000002</v>
      </c>
      <c r="BB3068" s="394">
        <v>15.274380000000001</v>
      </c>
      <c r="BC3068" s="394"/>
      <c r="BD3068" s="381" t="s">
        <v>167</v>
      </c>
      <c r="BE3068" s="408" t="s">
        <v>175</v>
      </c>
      <c r="BF3068" s="385"/>
      <c r="BG3068" s="475">
        <v>1018</v>
      </c>
      <c r="BH3068" s="395"/>
      <c r="BI3068" s="395">
        <f t="shared" si="1059"/>
        <v>19.574870000000001</v>
      </c>
    </row>
    <row r="3069" spans="1:61" s="358" customFormat="1" ht="19.2" x14ac:dyDescent="0.3">
      <c r="A3069" s="359" t="s">
        <v>2022</v>
      </c>
      <c r="B3069" s="602" t="s">
        <v>5719</v>
      </c>
      <c r="C3069" s="548" t="s">
        <v>5720</v>
      </c>
      <c r="D3069" s="360">
        <v>0.4</v>
      </c>
      <c r="E3069" s="528"/>
      <c r="F3069" s="523"/>
      <c r="G3069" s="393"/>
      <c r="H3069" s="394"/>
      <c r="I3069" s="394"/>
      <c r="J3069" s="394"/>
      <c r="K3069" s="394"/>
      <c r="L3069" s="394"/>
      <c r="M3069" s="394"/>
      <c r="N3069" s="394"/>
      <c r="O3069" s="394"/>
      <c r="P3069" s="394"/>
      <c r="Q3069" s="394"/>
      <c r="R3069" s="381"/>
      <c r="S3069" s="408"/>
      <c r="T3069" s="385"/>
      <c r="U3069" s="475"/>
      <c r="V3069" s="395"/>
      <c r="W3069" s="395"/>
      <c r="X3069" s="528"/>
      <c r="Y3069" s="523"/>
      <c r="Z3069" s="393"/>
      <c r="AA3069" s="394"/>
      <c r="AB3069" s="394"/>
      <c r="AC3069" s="394"/>
      <c r="AD3069" s="394"/>
      <c r="AE3069" s="394"/>
      <c r="AF3069" s="394"/>
      <c r="AG3069" s="394"/>
      <c r="AH3069" s="394"/>
      <c r="AI3069" s="394"/>
      <c r="AJ3069" s="394"/>
      <c r="AK3069" s="381"/>
      <c r="AL3069" s="408"/>
      <c r="AM3069" s="385"/>
      <c r="AN3069" s="475"/>
      <c r="AO3069" s="395"/>
      <c r="AP3069" s="395"/>
      <c r="AQ3069" s="528"/>
      <c r="AR3069" s="523">
        <v>1</v>
      </c>
      <c r="AS3069" s="393"/>
      <c r="AT3069" s="600">
        <v>20.23798</v>
      </c>
      <c r="AU3069" s="394">
        <v>16.986999999999998</v>
      </c>
      <c r="AV3069" s="394">
        <v>15.274380000000001</v>
      </c>
      <c r="AW3069" s="394"/>
      <c r="AX3069" s="394"/>
      <c r="AY3069" s="394">
        <v>0</v>
      </c>
      <c r="AZ3069" s="394">
        <v>0</v>
      </c>
      <c r="BA3069" s="394">
        <v>0.75790000000000002</v>
      </c>
      <c r="BB3069" s="394">
        <v>15.274380000000001</v>
      </c>
      <c r="BC3069" s="394"/>
      <c r="BD3069" s="381" t="s">
        <v>167</v>
      </c>
      <c r="BE3069" s="408" t="s">
        <v>175</v>
      </c>
      <c r="BF3069" s="385"/>
      <c r="BG3069" s="475">
        <v>1019</v>
      </c>
      <c r="BH3069" s="395"/>
      <c r="BI3069" s="395">
        <f t="shared" ref="BI3069:BI3086" si="1185">AT3069/AR3069</f>
        <v>20.23798</v>
      </c>
    </row>
    <row r="3070" spans="1:61" s="358" customFormat="1" ht="19.2" x14ac:dyDescent="0.3">
      <c r="A3070" s="359" t="s">
        <v>2023</v>
      </c>
      <c r="B3070" s="602" t="s">
        <v>5721</v>
      </c>
      <c r="C3070" s="548" t="s">
        <v>5722</v>
      </c>
      <c r="D3070" s="360">
        <v>0.4</v>
      </c>
      <c r="E3070" s="528"/>
      <c r="F3070" s="523"/>
      <c r="G3070" s="393"/>
      <c r="H3070" s="394"/>
      <c r="I3070" s="394"/>
      <c r="J3070" s="394"/>
      <c r="K3070" s="394"/>
      <c r="L3070" s="394"/>
      <c r="M3070" s="394"/>
      <c r="N3070" s="394"/>
      <c r="O3070" s="394"/>
      <c r="P3070" s="394"/>
      <c r="Q3070" s="394"/>
      <c r="R3070" s="381"/>
      <c r="S3070" s="408"/>
      <c r="T3070" s="385"/>
      <c r="U3070" s="475"/>
      <c r="V3070" s="395"/>
      <c r="W3070" s="395"/>
      <c r="X3070" s="528"/>
      <c r="Y3070" s="523"/>
      <c r="Z3070" s="393"/>
      <c r="AA3070" s="394"/>
      <c r="AB3070" s="394"/>
      <c r="AC3070" s="394"/>
      <c r="AD3070" s="394"/>
      <c r="AE3070" s="394"/>
      <c r="AF3070" s="394"/>
      <c r="AG3070" s="394"/>
      <c r="AH3070" s="394"/>
      <c r="AI3070" s="394"/>
      <c r="AJ3070" s="394"/>
      <c r="AK3070" s="381"/>
      <c r="AL3070" s="408"/>
      <c r="AM3070" s="385"/>
      <c r="AN3070" s="475"/>
      <c r="AO3070" s="395"/>
      <c r="AP3070" s="395"/>
      <c r="AQ3070" s="528"/>
      <c r="AR3070" s="523">
        <v>1</v>
      </c>
      <c r="AS3070" s="393"/>
      <c r="AT3070" s="600">
        <v>20.23798</v>
      </c>
      <c r="AU3070" s="394">
        <v>16.986999999999998</v>
      </c>
      <c r="AV3070" s="394">
        <v>15.274380000000001</v>
      </c>
      <c r="AW3070" s="394"/>
      <c r="AX3070" s="394"/>
      <c r="AY3070" s="394">
        <v>0</v>
      </c>
      <c r="AZ3070" s="394">
        <v>0</v>
      </c>
      <c r="BA3070" s="394">
        <v>0.75790000000000002</v>
      </c>
      <c r="BB3070" s="394">
        <v>15.274380000000001</v>
      </c>
      <c r="BC3070" s="394"/>
      <c r="BD3070" s="381" t="s">
        <v>167</v>
      </c>
      <c r="BE3070" s="408" t="s">
        <v>175</v>
      </c>
      <c r="BF3070" s="385"/>
      <c r="BG3070" s="475">
        <v>1020</v>
      </c>
      <c r="BH3070" s="395"/>
      <c r="BI3070" s="395">
        <f t="shared" si="1185"/>
        <v>20.23798</v>
      </c>
    </row>
    <row r="3071" spans="1:61" s="358" customFormat="1" ht="19.2" x14ac:dyDescent="0.3">
      <c r="A3071" s="359" t="s">
        <v>2024</v>
      </c>
      <c r="B3071" s="602" t="s">
        <v>5723</v>
      </c>
      <c r="C3071" s="548" t="s">
        <v>5724</v>
      </c>
      <c r="D3071" s="360">
        <v>0.4</v>
      </c>
      <c r="E3071" s="528"/>
      <c r="F3071" s="523"/>
      <c r="G3071" s="393"/>
      <c r="H3071" s="394"/>
      <c r="I3071" s="394"/>
      <c r="J3071" s="394"/>
      <c r="K3071" s="394"/>
      <c r="L3071" s="394"/>
      <c r="M3071" s="394"/>
      <c r="N3071" s="394"/>
      <c r="O3071" s="394"/>
      <c r="P3071" s="394"/>
      <c r="Q3071" s="394"/>
      <c r="R3071" s="381"/>
      <c r="S3071" s="408"/>
      <c r="T3071" s="385"/>
      <c r="U3071" s="475"/>
      <c r="V3071" s="395"/>
      <c r="W3071" s="395"/>
      <c r="X3071" s="528"/>
      <c r="Y3071" s="523"/>
      <c r="Z3071" s="393"/>
      <c r="AA3071" s="394"/>
      <c r="AB3071" s="394"/>
      <c r="AC3071" s="394"/>
      <c r="AD3071" s="394"/>
      <c r="AE3071" s="394"/>
      <c r="AF3071" s="394"/>
      <c r="AG3071" s="394"/>
      <c r="AH3071" s="394"/>
      <c r="AI3071" s="394"/>
      <c r="AJ3071" s="394"/>
      <c r="AK3071" s="381"/>
      <c r="AL3071" s="408"/>
      <c r="AM3071" s="385"/>
      <c r="AN3071" s="475"/>
      <c r="AO3071" s="395"/>
      <c r="AP3071" s="395"/>
      <c r="AQ3071" s="528"/>
      <c r="AR3071" s="523">
        <v>1</v>
      </c>
      <c r="AS3071" s="393"/>
      <c r="AT3071" s="600">
        <v>20.23798</v>
      </c>
      <c r="AU3071" s="394">
        <v>16.986999999999998</v>
      </c>
      <c r="AV3071" s="394">
        <v>15.274380000000001</v>
      </c>
      <c r="AW3071" s="394"/>
      <c r="AX3071" s="394"/>
      <c r="AY3071" s="394">
        <v>0</v>
      </c>
      <c r="AZ3071" s="394">
        <v>0</v>
      </c>
      <c r="BA3071" s="394">
        <v>0.75790000000000002</v>
      </c>
      <c r="BB3071" s="394">
        <v>15.274380000000001</v>
      </c>
      <c r="BC3071" s="394"/>
      <c r="BD3071" s="381" t="s">
        <v>167</v>
      </c>
      <c r="BE3071" s="408" t="s">
        <v>175</v>
      </c>
      <c r="BF3071" s="385"/>
      <c r="BG3071" s="475">
        <v>1021</v>
      </c>
      <c r="BH3071" s="395"/>
      <c r="BI3071" s="395">
        <f t="shared" ref="BI3071" si="1186">AT3071/AR3071</f>
        <v>20.23798</v>
      </c>
    </row>
    <row r="3072" spans="1:61" s="358" customFormat="1" ht="19.2" x14ac:dyDescent="0.3">
      <c r="A3072" s="359" t="s">
        <v>2025</v>
      </c>
      <c r="B3072" s="602" t="s">
        <v>5725</v>
      </c>
      <c r="C3072" s="548" t="s">
        <v>5726</v>
      </c>
      <c r="D3072" s="360">
        <v>0.4</v>
      </c>
      <c r="E3072" s="528"/>
      <c r="F3072" s="523"/>
      <c r="G3072" s="393"/>
      <c r="H3072" s="394"/>
      <c r="I3072" s="394"/>
      <c r="J3072" s="394"/>
      <c r="K3072" s="394"/>
      <c r="L3072" s="394"/>
      <c r="M3072" s="394"/>
      <c r="N3072" s="394"/>
      <c r="O3072" s="394"/>
      <c r="P3072" s="394"/>
      <c r="Q3072" s="394"/>
      <c r="R3072" s="381"/>
      <c r="S3072" s="408"/>
      <c r="T3072" s="385"/>
      <c r="U3072" s="475"/>
      <c r="V3072" s="395"/>
      <c r="W3072" s="395"/>
      <c r="X3072" s="528"/>
      <c r="Y3072" s="523"/>
      <c r="Z3072" s="393"/>
      <c r="AA3072" s="394"/>
      <c r="AB3072" s="394"/>
      <c r="AC3072" s="394"/>
      <c r="AD3072" s="394"/>
      <c r="AE3072" s="394"/>
      <c r="AF3072" s="394"/>
      <c r="AG3072" s="394"/>
      <c r="AH3072" s="394"/>
      <c r="AI3072" s="394"/>
      <c r="AJ3072" s="394"/>
      <c r="AK3072" s="381"/>
      <c r="AL3072" s="408"/>
      <c r="AM3072" s="385"/>
      <c r="AN3072" s="475"/>
      <c r="AO3072" s="395"/>
      <c r="AP3072" s="395"/>
      <c r="AQ3072" s="528"/>
      <c r="AR3072" s="523">
        <v>1</v>
      </c>
      <c r="AS3072" s="393"/>
      <c r="AT3072" s="600">
        <v>19.574850000000001</v>
      </c>
      <c r="AU3072" s="394">
        <v>16.323869999999999</v>
      </c>
      <c r="AV3072" s="394">
        <v>15.274380000000001</v>
      </c>
      <c r="AW3072" s="394"/>
      <c r="AX3072" s="394"/>
      <c r="AY3072" s="394">
        <v>0</v>
      </c>
      <c r="AZ3072" s="394">
        <v>0</v>
      </c>
      <c r="BA3072" s="394">
        <v>0.75790000000000002</v>
      </c>
      <c r="BB3072" s="394">
        <v>15.274380000000001</v>
      </c>
      <c r="BC3072" s="394"/>
      <c r="BD3072" s="381" t="s">
        <v>167</v>
      </c>
      <c r="BE3072" s="408" t="s">
        <v>175</v>
      </c>
      <c r="BF3072" s="385"/>
      <c r="BG3072" s="475">
        <v>1022</v>
      </c>
      <c r="BH3072" s="395"/>
      <c r="BI3072" s="395">
        <f t="shared" si="1185"/>
        <v>19.574850000000001</v>
      </c>
    </row>
    <row r="3073" spans="1:61" s="358" customFormat="1" ht="19.2" x14ac:dyDescent="0.3">
      <c r="A3073" s="359" t="s">
        <v>2026</v>
      </c>
      <c r="B3073" s="602" t="s">
        <v>5727</v>
      </c>
      <c r="C3073" s="548" t="s">
        <v>5728</v>
      </c>
      <c r="D3073" s="360">
        <v>0.4</v>
      </c>
      <c r="E3073" s="528"/>
      <c r="F3073" s="523"/>
      <c r="G3073" s="393"/>
      <c r="H3073" s="394"/>
      <c r="I3073" s="394"/>
      <c r="J3073" s="394"/>
      <c r="K3073" s="394"/>
      <c r="L3073" s="394"/>
      <c r="M3073" s="394"/>
      <c r="N3073" s="394"/>
      <c r="O3073" s="394"/>
      <c r="P3073" s="394"/>
      <c r="Q3073" s="394"/>
      <c r="R3073" s="381"/>
      <c r="S3073" s="408"/>
      <c r="T3073" s="385"/>
      <c r="U3073" s="475"/>
      <c r="V3073" s="395"/>
      <c r="W3073" s="395"/>
      <c r="X3073" s="528"/>
      <c r="Y3073" s="523"/>
      <c r="Z3073" s="393"/>
      <c r="AA3073" s="394"/>
      <c r="AB3073" s="394"/>
      <c r="AC3073" s="394"/>
      <c r="AD3073" s="394"/>
      <c r="AE3073" s="394"/>
      <c r="AF3073" s="394"/>
      <c r="AG3073" s="394"/>
      <c r="AH3073" s="394"/>
      <c r="AI3073" s="394"/>
      <c r="AJ3073" s="394"/>
      <c r="AK3073" s="381"/>
      <c r="AL3073" s="408"/>
      <c r="AM3073" s="385"/>
      <c r="AN3073" s="475"/>
      <c r="AO3073" s="395"/>
      <c r="AP3073" s="395"/>
      <c r="AQ3073" s="528"/>
      <c r="AR3073" s="523">
        <v>1</v>
      </c>
      <c r="AS3073" s="393"/>
      <c r="AT3073" s="600">
        <v>20.237950000000001</v>
      </c>
      <c r="AU3073" s="394">
        <v>16.986969999999999</v>
      </c>
      <c r="AV3073" s="394">
        <v>15.274380000000001</v>
      </c>
      <c r="AW3073" s="394"/>
      <c r="AX3073" s="394"/>
      <c r="AY3073" s="394">
        <v>0</v>
      </c>
      <c r="AZ3073" s="394">
        <v>0</v>
      </c>
      <c r="BA3073" s="394">
        <v>0.75790000000000002</v>
      </c>
      <c r="BB3073" s="394">
        <v>15.274380000000001</v>
      </c>
      <c r="BC3073" s="394"/>
      <c r="BD3073" s="381" t="s">
        <v>167</v>
      </c>
      <c r="BE3073" s="408" t="s">
        <v>175</v>
      </c>
      <c r="BF3073" s="385"/>
      <c r="BG3073" s="475">
        <v>1023</v>
      </c>
      <c r="BH3073" s="395"/>
      <c r="BI3073" s="395">
        <f t="shared" ref="BI3073" si="1187">AT3073/AR3073</f>
        <v>20.237950000000001</v>
      </c>
    </row>
    <row r="3074" spans="1:61" s="358" customFormat="1" ht="19.2" x14ac:dyDescent="0.3">
      <c r="A3074" s="359" t="s">
        <v>2027</v>
      </c>
      <c r="B3074" s="602" t="s">
        <v>1445</v>
      </c>
      <c r="C3074" s="548" t="s">
        <v>5729</v>
      </c>
      <c r="D3074" s="360">
        <v>0.4</v>
      </c>
      <c r="E3074" s="528"/>
      <c r="F3074" s="523"/>
      <c r="G3074" s="393"/>
      <c r="H3074" s="394"/>
      <c r="I3074" s="394"/>
      <c r="J3074" s="394"/>
      <c r="K3074" s="394"/>
      <c r="L3074" s="394"/>
      <c r="M3074" s="394"/>
      <c r="N3074" s="394"/>
      <c r="O3074" s="394"/>
      <c r="P3074" s="394"/>
      <c r="Q3074" s="394"/>
      <c r="R3074" s="381"/>
      <c r="S3074" s="408"/>
      <c r="T3074" s="385"/>
      <c r="U3074" s="475"/>
      <c r="V3074" s="395"/>
      <c r="W3074" s="395"/>
      <c r="X3074" s="528"/>
      <c r="Y3074" s="523"/>
      <c r="Z3074" s="393"/>
      <c r="AA3074" s="394"/>
      <c r="AB3074" s="394"/>
      <c r="AC3074" s="394"/>
      <c r="AD3074" s="394"/>
      <c r="AE3074" s="394"/>
      <c r="AF3074" s="394"/>
      <c r="AG3074" s="394"/>
      <c r="AH3074" s="394"/>
      <c r="AI3074" s="394"/>
      <c r="AJ3074" s="394"/>
      <c r="AK3074" s="381"/>
      <c r="AL3074" s="408"/>
      <c r="AM3074" s="385"/>
      <c r="AN3074" s="475"/>
      <c r="AO3074" s="395"/>
      <c r="AP3074" s="395"/>
      <c r="AQ3074" s="528"/>
      <c r="AR3074" s="523">
        <v>1</v>
      </c>
      <c r="AS3074" s="393"/>
      <c r="AT3074" s="600">
        <v>19.574850000000001</v>
      </c>
      <c r="AU3074" s="394">
        <v>16.323869999999999</v>
      </c>
      <c r="AV3074" s="394">
        <v>15.274380000000001</v>
      </c>
      <c r="AW3074" s="394"/>
      <c r="AX3074" s="394"/>
      <c r="AY3074" s="394">
        <v>0</v>
      </c>
      <c r="AZ3074" s="394">
        <v>0</v>
      </c>
      <c r="BA3074" s="394">
        <v>0.75790000000000002</v>
      </c>
      <c r="BB3074" s="394">
        <v>15.274380000000001</v>
      </c>
      <c r="BC3074" s="394"/>
      <c r="BD3074" s="381" t="s">
        <v>167</v>
      </c>
      <c r="BE3074" s="408" t="s">
        <v>175</v>
      </c>
      <c r="BF3074" s="385"/>
      <c r="BG3074" s="475">
        <v>1024</v>
      </c>
      <c r="BH3074" s="395"/>
      <c r="BI3074" s="395">
        <f t="shared" si="1185"/>
        <v>19.574850000000001</v>
      </c>
    </row>
    <row r="3075" spans="1:61" s="358" customFormat="1" ht="19.2" x14ac:dyDescent="0.3">
      <c r="A3075" s="359" t="s">
        <v>2028</v>
      </c>
      <c r="B3075" s="602" t="s">
        <v>4713</v>
      </c>
      <c r="C3075" s="548" t="s">
        <v>4712</v>
      </c>
      <c r="D3075" s="360">
        <v>0.4</v>
      </c>
      <c r="E3075" s="528"/>
      <c r="F3075" s="523"/>
      <c r="G3075" s="393"/>
      <c r="H3075" s="394"/>
      <c r="I3075" s="394"/>
      <c r="J3075" s="394"/>
      <c r="K3075" s="394"/>
      <c r="L3075" s="394"/>
      <c r="M3075" s="394"/>
      <c r="N3075" s="394"/>
      <c r="O3075" s="394"/>
      <c r="P3075" s="394"/>
      <c r="Q3075" s="394"/>
      <c r="R3075" s="381"/>
      <c r="S3075" s="408"/>
      <c r="T3075" s="385"/>
      <c r="U3075" s="475"/>
      <c r="V3075" s="395"/>
      <c r="W3075" s="395"/>
      <c r="X3075" s="528"/>
      <c r="Y3075" s="523"/>
      <c r="Z3075" s="393"/>
      <c r="AA3075" s="394"/>
      <c r="AB3075" s="394"/>
      <c r="AC3075" s="394"/>
      <c r="AD3075" s="394"/>
      <c r="AE3075" s="394"/>
      <c r="AF3075" s="394"/>
      <c r="AG3075" s="394"/>
      <c r="AH3075" s="394"/>
      <c r="AI3075" s="394"/>
      <c r="AJ3075" s="394"/>
      <c r="AK3075" s="381"/>
      <c r="AL3075" s="408"/>
      <c r="AM3075" s="385"/>
      <c r="AN3075" s="475"/>
      <c r="AO3075" s="395"/>
      <c r="AP3075" s="395"/>
      <c r="AQ3075" s="528"/>
      <c r="AR3075" s="523">
        <v>1</v>
      </c>
      <c r="AS3075" s="393"/>
      <c r="AT3075" s="600">
        <v>19.57488</v>
      </c>
      <c r="AU3075" s="394">
        <v>16.323899999999998</v>
      </c>
      <c r="AV3075" s="394">
        <v>15.274380000000001</v>
      </c>
      <c r="AW3075" s="394"/>
      <c r="AX3075" s="394"/>
      <c r="AY3075" s="394">
        <v>0</v>
      </c>
      <c r="AZ3075" s="394">
        <v>0</v>
      </c>
      <c r="BA3075" s="394">
        <v>0.75790000000000002</v>
      </c>
      <c r="BB3075" s="394">
        <v>15.274380000000001</v>
      </c>
      <c r="BC3075" s="394"/>
      <c r="BD3075" s="381" t="s">
        <v>167</v>
      </c>
      <c r="BE3075" s="408" t="s">
        <v>175</v>
      </c>
      <c r="BF3075" s="385"/>
      <c r="BG3075" s="475">
        <v>1025</v>
      </c>
      <c r="BH3075" s="395"/>
      <c r="BI3075" s="395">
        <f t="shared" ref="BI3075" si="1188">AT3075/AR3075</f>
        <v>19.57488</v>
      </c>
    </row>
    <row r="3076" spans="1:61" s="358" customFormat="1" ht="19.2" x14ac:dyDescent="0.3">
      <c r="A3076" s="359" t="s">
        <v>2029</v>
      </c>
      <c r="B3076" s="602" t="s">
        <v>5730</v>
      </c>
      <c r="C3076" s="548" t="s">
        <v>5731</v>
      </c>
      <c r="D3076" s="360">
        <v>0.4</v>
      </c>
      <c r="E3076" s="528"/>
      <c r="F3076" s="523"/>
      <c r="G3076" s="393"/>
      <c r="H3076" s="394"/>
      <c r="I3076" s="394"/>
      <c r="J3076" s="394"/>
      <c r="K3076" s="394"/>
      <c r="L3076" s="394"/>
      <c r="M3076" s="394"/>
      <c r="N3076" s="394"/>
      <c r="O3076" s="394"/>
      <c r="P3076" s="394"/>
      <c r="Q3076" s="394"/>
      <c r="R3076" s="381"/>
      <c r="S3076" s="408"/>
      <c r="T3076" s="385"/>
      <c r="U3076" s="475"/>
      <c r="V3076" s="395"/>
      <c r="W3076" s="395"/>
      <c r="X3076" s="528"/>
      <c r="Y3076" s="523"/>
      <c r="Z3076" s="393"/>
      <c r="AA3076" s="394"/>
      <c r="AB3076" s="394"/>
      <c r="AC3076" s="394"/>
      <c r="AD3076" s="394"/>
      <c r="AE3076" s="394"/>
      <c r="AF3076" s="394"/>
      <c r="AG3076" s="394"/>
      <c r="AH3076" s="394"/>
      <c r="AI3076" s="394"/>
      <c r="AJ3076" s="394"/>
      <c r="AK3076" s="381"/>
      <c r="AL3076" s="408"/>
      <c r="AM3076" s="385"/>
      <c r="AN3076" s="475"/>
      <c r="AO3076" s="395"/>
      <c r="AP3076" s="395"/>
      <c r="AQ3076" s="528"/>
      <c r="AR3076" s="523">
        <v>1</v>
      </c>
      <c r="AS3076" s="393"/>
      <c r="AT3076" s="600">
        <v>20.237950000000001</v>
      </c>
      <c r="AU3076" s="394">
        <v>16.986969999999999</v>
      </c>
      <c r="AV3076" s="394">
        <v>15.274380000000001</v>
      </c>
      <c r="AW3076" s="394"/>
      <c r="AX3076" s="394"/>
      <c r="AY3076" s="394">
        <v>0</v>
      </c>
      <c r="AZ3076" s="394">
        <v>0</v>
      </c>
      <c r="BA3076" s="394">
        <v>0.75790000000000002</v>
      </c>
      <c r="BB3076" s="394">
        <v>15.274380000000001</v>
      </c>
      <c r="BC3076" s="394"/>
      <c r="BD3076" s="381" t="s">
        <v>167</v>
      </c>
      <c r="BE3076" s="408" t="s">
        <v>175</v>
      </c>
      <c r="BF3076" s="385"/>
      <c r="BG3076" s="475">
        <v>1026</v>
      </c>
      <c r="BH3076" s="395"/>
      <c r="BI3076" s="395">
        <f t="shared" si="1185"/>
        <v>20.237950000000001</v>
      </c>
    </row>
    <row r="3077" spans="1:61" s="358" customFormat="1" ht="19.2" x14ac:dyDescent="0.3">
      <c r="A3077" s="359" t="s">
        <v>2030</v>
      </c>
      <c r="B3077" s="602" t="s">
        <v>5732</v>
      </c>
      <c r="C3077" s="548" t="s">
        <v>5733</v>
      </c>
      <c r="D3077" s="360">
        <v>0.4</v>
      </c>
      <c r="E3077" s="528"/>
      <c r="F3077" s="523"/>
      <c r="G3077" s="393"/>
      <c r="H3077" s="394"/>
      <c r="I3077" s="394"/>
      <c r="J3077" s="394"/>
      <c r="K3077" s="394"/>
      <c r="L3077" s="394"/>
      <c r="M3077" s="394"/>
      <c r="N3077" s="394"/>
      <c r="O3077" s="394"/>
      <c r="P3077" s="394"/>
      <c r="Q3077" s="394"/>
      <c r="R3077" s="381"/>
      <c r="S3077" s="408"/>
      <c r="T3077" s="385"/>
      <c r="U3077" s="475"/>
      <c r="V3077" s="395"/>
      <c r="W3077" s="395"/>
      <c r="X3077" s="528"/>
      <c r="Y3077" s="523"/>
      <c r="Z3077" s="393"/>
      <c r="AA3077" s="394"/>
      <c r="AB3077" s="394"/>
      <c r="AC3077" s="394"/>
      <c r="AD3077" s="394"/>
      <c r="AE3077" s="394"/>
      <c r="AF3077" s="394"/>
      <c r="AG3077" s="394"/>
      <c r="AH3077" s="394"/>
      <c r="AI3077" s="394"/>
      <c r="AJ3077" s="394"/>
      <c r="AK3077" s="381"/>
      <c r="AL3077" s="408"/>
      <c r="AM3077" s="385"/>
      <c r="AN3077" s="475"/>
      <c r="AO3077" s="395"/>
      <c r="AP3077" s="395"/>
      <c r="AQ3077" s="528"/>
      <c r="AR3077" s="523">
        <v>1</v>
      </c>
      <c r="AS3077" s="393"/>
      <c r="AT3077" s="600">
        <v>19.574860000000001</v>
      </c>
      <c r="AU3077" s="394">
        <v>16.323879999999999</v>
      </c>
      <c r="AV3077" s="394">
        <v>15.274380000000001</v>
      </c>
      <c r="AW3077" s="394"/>
      <c r="AX3077" s="394"/>
      <c r="AY3077" s="394">
        <v>0</v>
      </c>
      <c r="AZ3077" s="394">
        <v>0</v>
      </c>
      <c r="BA3077" s="394">
        <v>0.75790000000000002</v>
      </c>
      <c r="BB3077" s="394">
        <v>15.274380000000001</v>
      </c>
      <c r="BC3077" s="394"/>
      <c r="BD3077" s="381" t="s">
        <v>167</v>
      </c>
      <c r="BE3077" s="408" t="s">
        <v>175</v>
      </c>
      <c r="BF3077" s="385"/>
      <c r="BG3077" s="475">
        <v>1027</v>
      </c>
      <c r="BH3077" s="395"/>
      <c r="BI3077" s="395">
        <f t="shared" ref="BI3077" si="1189">AT3077/AR3077</f>
        <v>19.574860000000001</v>
      </c>
    </row>
    <row r="3078" spans="1:61" s="358" customFormat="1" ht="19.2" x14ac:dyDescent="0.3">
      <c r="A3078" s="359" t="s">
        <v>2031</v>
      </c>
      <c r="B3078" s="602" t="s">
        <v>5734</v>
      </c>
      <c r="C3078" s="548" t="s">
        <v>5735</v>
      </c>
      <c r="D3078" s="360">
        <v>0.4</v>
      </c>
      <c r="E3078" s="528"/>
      <c r="F3078" s="523"/>
      <c r="G3078" s="393"/>
      <c r="H3078" s="394"/>
      <c r="I3078" s="394"/>
      <c r="J3078" s="394"/>
      <c r="K3078" s="394"/>
      <c r="L3078" s="394"/>
      <c r="M3078" s="394"/>
      <c r="N3078" s="394"/>
      <c r="O3078" s="394"/>
      <c r="P3078" s="394"/>
      <c r="Q3078" s="394"/>
      <c r="R3078" s="381"/>
      <c r="S3078" s="408"/>
      <c r="T3078" s="385"/>
      <c r="U3078" s="475"/>
      <c r="V3078" s="395"/>
      <c r="W3078" s="395"/>
      <c r="X3078" s="528"/>
      <c r="Y3078" s="523"/>
      <c r="Z3078" s="393"/>
      <c r="AA3078" s="394"/>
      <c r="AB3078" s="394"/>
      <c r="AC3078" s="394"/>
      <c r="AD3078" s="394"/>
      <c r="AE3078" s="394"/>
      <c r="AF3078" s="394"/>
      <c r="AG3078" s="394"/>
      <c r="AH3078" s="394"/>
      <c r="AI3078" s="394"/>
      <c r="AJ3078" s="394"/>
      <c r="AK3078" s="381"/>
      <c r="AL3078" s="408"/>
      <c r="AM3078" s="385"/>
      <c r="AN3078" s="475"/>
      <c r="AO3078" s="395"/>
      <c r="AP3078" s="395"/>
      <c r="AQ3078" s="528"/>
      <c r="AR3078" s="523">
        <v>1</v>
      </c>
      <c r="AS3078" s="393"/>
      <c r="AT3078" s="600">
        <v>19.574850000000001</v>
      </c>
      <c r="AU3078" s="394">
        <v>16.323869999999999</v>
      </c>
      <c r="AV3078" s="394">
        <v>15.274380000000001</v>
      </c>
      <c r="AW3078" s="394"/>
      <c r="AX3078" s="394"/>
      <c r="AY3078" s="394">
        <v>0</v>
      </c>
      <c r="AZ3078" s="394">
        <v>0</v>
      </c>
      <c r="BA3078" s="394">
        <v>0.75790000000000002</v>
      </c>
      <c r="BB3078" s="394">
        <v>15.274380000000001</v>
      </c>
      <c r="BC3078" s="394"/>
      <c r="BD3078" s="381" t="s">
        <v>167</v>
      </c>
      <c r="BE3078" s="408" t="s">
        <v>175</v>
      </c>
      <c r="BF3078" s="385"/>
      <c r="BG3078" s="475">
        <v>1028</v>
      </c>
      <c r="BH3078" s="395"/>
      <c r="BI3078" s="395">
        <f t="shared" si="1185"/>
        <v>19.574850000000001</v>
      </c>
    </row>
    <row r="3079" spans="1:61" s="358" customFormat="1" ht="19.2" x14ac:dyDescent="0.3">
      <c r="A3079" s="359" t="s">
        <v>2032</v>
      </c>
      <c r="B3079" s="602" t="s">
        <v>5736</v>
      </c>
      <c r="C3079" s="548" t="s">
        <v>5737</v>
      </c>
      <c r="D3079" s="360">
        <v>0.4</v>
      </c>
      <c r="E3079" s="528"/>
      <c r="F3079" s="523"/>
      <c r="G3079" s="393"/>
      <c r="H3079" s="394"/>
      <c r="I3079" s="394"/>
      <c r="J3079" s="394"/>
      <c r="K3079" s="394"/>
      <c r="L3079" s="394"/>
      <c r="M3079" s="394"/>
      <c r="N3079" s="394"/>
      <c r="O3079" s="394"/>
      <c r="P3079" s="394"/>
      <c r="Q3079" s="394"/>
      <c r="R3079" s="381"/>
      <c r="S3079" s="408"/>
      <c r="T3079" s="385"/>
      <c r="U3079" s="475"/>
      <c r="V3079" s="395"/>
      <c r="W3079" s="395"/>
      <c r="X3079" s="528"/>
      <c r="Y3079" s="523"/>
      <c r="Z3079" s="393"/>
      <c r="AA3079" s="394"/>
      <c r="AB3079" s="394"/>
      <c r="AC3079" s="394"/>
      <c r="AD3079" s="394"/>
      <c r="AE3079" s="394"/>
      <c r="AF3079" s="394"/>
      <c r="AG3079" s="394"/>
      <c r="AH3079" s="394"/>
      <c r="AI3079" s="394"/>
      <c r="AJ3079" s="394"/>
      <c r="AK3079" s="381"/>
      <c r="AL3079" s="408"/>
      <c r="AM3079" s="385"/>
      <c r="AN3079" s="475"/>
      <c r="AO3079" s="395"/>
      <c r="AP3079" s="395"/>
      <c r="AQ3079" s="528"/>
      <c r="AR3079" s="523">
        <v>1</v>
      </c>
      <c r="AS3079" s="393"/>
      <c r="AT3079" s="600">
        <v>19.574870000000001</v>
      </c>
      <c r="AU3079" s="394">
        <v>16.323889999999999</v>
      </c>
      <c r="AV3079" s="394">
        <v>15.274380000000001</v>
      </c>
      <c r="AW3079" s="394"/>
      <c r="AX3079" s="394"/>
      <c r="AY3079" s="394">
        <v>0</v>
      </c>
      <c r="AZ3079" s="394">
        <v>0</v>
      </c>
      <c r="BA3079" s="394">
        <v>0.75790000000000002</v>
      </c>
      <c r="BB3079" s="394">
        <v>15.274380000000001</v>
      </c>
      <c r="BC3079" s="394"/>
      <c r="BD3079" s="381" t="s">
        <v>167</v>
      </c>
      <c r="BE3079" s="408" t="s">
        <v>175</v>
      </c>
      <c r="BF3079" s="385"/>
      <c r="BG3079" s="475">
        <v>1029</v>
      </c>
      <c r="BH3079" s="395"/>
      <c r="BI3079" s="395">
        <f t="shared" ref="BI3079" si="1190">AT3079/AR3079</f>
        <v>19.574870000000001</v>
      </c>
    </row>
    <row r="3080" spans="1:61" s="358" customFormat="1" ht="19.2" x14ac:dyDescent="0.3">
      <c r="A3080" s="359" t="s">
        <v>2033</v>
      </c>
      <c r="B3080" s="602" t="s">
        <v>5738</v>
      </c>
      <c r="C3080" s="548" t="s">
        <v>5739</v>
      </c>
      <c r="D3080" s="360">
        <v>0.4</v>
      </c>
      <c r="E3080" s="528"/>
      <c r="F3080" s="523"/>
      <c r="G3080" s="393"/>
      <c r="H3080" s="394"/>
      <c r="I3080" s="394"/>
      <c r="J3080" s="394"/>
      <c r="K3080" s="394"/>
      <c r="L3080" s="394"/>
      <c r="M3080" s="394"/>
      <c r="N3080" s="394"/>
      <c r="O3080" s="394"/>
      <c r="P3080" s="394"/>
      <c r="Q3080" s="394"/>
      <c r="R3080" s="381"/>
      <c r="S3080" s="408"/>
      <c r="T3080" s="385"/>
      <c r="U3080" s="475"/>
      <c r="V3080" s="395"/>
      <c r="W3080" s="395"/>
      <c r="X3080" s="528"/>
      <c r="Y3080" s="523"/>
      <c r="Z3080" s="393"/>
      <c r="AA3080" s="394"/>
      <c r="AB3080" s="394"/>
      <c r="AC3080" s="394"/>
      <c r="AD3080" s="394"/>
      <c r="AE3080" s="394"/>
      <c r="AF3080" s="394"/>
      <c r="AG3080" s="394"/>
      <c r="AH3080" s="394"/>
      <c r="AI3080" s="394"/>
      <c r="AJ3080" s="394"/>
      <c r="AK3080" s="381"/>
      <c r="AL3080" s="408"/>
      <c r="AM3080" s="385"/>
      <c r="AN3080" s="475"/>
      <c r="AO3080" s="395"/>
      <c r="AP3080" s="395"/>
      <c r="AQ3080" s="528"/>
      <c r="AR3080" s="523">
        <v>1</v>
      </c>
      <c r="AS3080" s="393"/>
      <c r="AT3080" s="600">
        <v>20.23798</v>
      </c>
      <c r="AU3080" s="394">
        <v>16.986999999999998</v>
      </c>
      <c r="AV3080" s="394">
        <v>15.274380000000001</v>
      </c>
      <c r="AW3080" s="394"/>
      <c r="AX3080" s="394"/>
      <c r="AY3080" s="394">
        <v>0</v>
      </c>
      <c r="AZ3080" s="394">
        <v>0</v>
      </c>
      <c r="BA3080" s="394">
        <v>0.75790000000000002</v>
      </c>
      <c r="BB3080" s="394">
        <v>15.274380000000001</v>
      </c>
      <c r="BC3080" s="394"/>
      <c r="BD3080" s="381" t="s">
        <v>167</v>
      </c>
      <c r="BE3080" s="408" t="s">
        <v>175</v>
      </c>
      <c r="BF3080" s="385"/>
      <c r="BG3080" s="475">
        <v>1030</v>
      </c>
      <c r="BH3080" s="395"/>
      <c r="BI3080" s="395">
        <f t="shared" si="1185"/>
        <v>20.23798</v>
      </c>
    </row>
    <row r="3081" spans="1:61" s="358" customFormat="1" ht="19.2" x14ac:dyDescent="0.3">
      <c r="A3081" s="359" t="s">
        <v>2034</v>
      </c>
      <c r="B3081" s="602" t="s">
        <v>4820</v>
      </c>
      <c r="C3081" s="548" t="s">
        <v>4819</v>
      </c>
      <c r="D3081" s="360">
        <v>0.4</v>
      </c>
      <c r="E3081" s="528"/>
      <c r="F3081" s="523"/>
      <c r="G3081" s="393"/>
      <c r="H3081" s="394"/>
      <c r="I3081" s="394"/>
      <c r="J3081" s="394"/>
      <c r="K3081" s="394"/>
      <c r="L3081" s="394"/>
      <c r="M3081" s="394"/>
      <c r="N3081" s="394"/>
      <c r="O3081" s="394"/>
      <c r="P3081" s="394"/>
      <c r="Q3081" s="394"/>
      <c r="R3081" s="381"/>
      <c r="S3081" s="408"/>
      <c r="T3081" s="385"/>
      <c r="U3081" s="475"/>
      <c r="V3081" s="395"/>
      <c r="W3081" s="395"/>
      <c r="X3081" s="528"/>
      <c r="Y3081" s="523"/>
      <c r="Z3081" s="393"/>
      <c r="AA3081" s="394"/>
      <c r="AB3081" s="394"/>
      <c r="AC3081" s="394"/>
      <c r="AD3081" s="394"/>
      <c r="AE3081" s="394"/>
      <c r="AF3081" s="394"/>
      <c r="AG3081" s="394"/>
      <c r="AH3081" s="394"/>
      <c r="AI3081" s="394"/>
      <c r="AJ3081" s="394"/>
      <c r="AK3081" s="381"/>
      <c r="AL3081" s="408"/>
      <c r="AM3081" s="385"/>
      <c r="AN3081" s="475"/>
      <c r="AO3081" s="395"/>
      <c r="AP3081" s="395"/>
      <c r="AQ3081" s="528"/>
      <c r="AR3081" s="523">
        <v>1</v>
      </c>
      <c r="AS3081" s="393"/>
      <c r="AT3081" s="600">
        <v>19.57488</v>
      </c>
      <c r="AU3081" s="394">
        <v>16.323899999999998</v>
      </c>
      <c r="AV3081" s="394">
        <v>15.274380000000001</v>
      </c>
      <c r="AW3081" s="394"/>
      <c r="AX3081" s="394"/>
      <c r="AY3081" s="394">
        <v>0</v>
      </c>
      <c r="AZ3081" s="394">
        <v>0</v>
      </c>
      <c r="BA3081" s="394">
        <v>0.75790000000000002</v>
      </c>
      <c r="BB3081" s="394">
        <v>15.274380000000001</v>
      </c>
      <c r="BC3081" s="394"/>
      <c r="BD3081" s="381" t="s">
        <v>167</v>
      </c>
      <c r="BE3081" s="408" t="s">
        <v>175</v>
      </c>
      <c r="BF3081" s="385"/>
      <c r="BG3081" s="475">
        <v>1031</v>
      </c>
      <c r="BH3081" s="395"/>
      <c r="BI3081" s="395">
        <f t="shared" ref="BI3081" si="1191">AT3081/AR3081</f>
        <v>19.57488</v>
      </c>
    </row>
    <row r="3082" spans="1:61" s="358" customFormat="1" ht="19.2" x14ac:dyDescent="0.3">
      <c r="A3082" s="359" t="s">
        <v>2035</v>
      </c>
      <c r="B3082" s="602" t="s">
        <v>4797</v>
      </c>
      <c r="C3082" s="548" t="s">
        <v>4796</v>
      </c>
      <c r="D3082" s="360">
        <v>0.4</v>
      </c>
      <c r="E3082" s="528"/>
      <c r="F3082" s="523"/>
      <c r="G3082" s="393"/>
      <c r="H3082" s="394"/>
      <c r="I3082" s="394"/>
      <c r="J3082" s="394"/>
      <c r="K3082" s="394"/>
      <c r="L3082" s="394"/>
      <c r="M3082" s="394"/>
      <c r="N3082" s="394"/>
      <c r="O3082" s="394"/>
      <c r="P3082" s="394"/>
      <c r="Q3082" s="394"/>
      <c r="R3082" s="381"/>
      <c r="S3082" s="408"/>
      <c r="T3082" s="385"/>
      <c r="U3082" s="475"/>
      <c r="V3082" s="395"/>
      <c r="W3082" s="395"/>
      <c r="X3082" s="528"/>
      <c r="Y3082" s="523"/>
      <c r="Z3082" s="393"/>
      <c r="AA3082" s="394"/>
      <c r="AB3082" s="394"/>
      <c r="AC3082" s="394"/>
      <c r="AD3082" s="394"/>
      <c r="AE3082" s="394"/>
      <c r="AF3082" s="394"/>
      <c r="AG3082" s="394"/>
      <c r="AH3082" s="394"/>
      <c r="AI3082" s="394"/>
      <c r="AJ3082" s="394"/>
      <c r="AK3082" s="381"/>
      <c r="AL3082" s="408"/>
      <c r="AM3082" s="385"/>
      <c r="AN3082" s="475"/>
      <c r="AO3082" s="395"/>
      <c r="AP3082" s="395"/>
      <c r="AQ3082" s="528"/>
      <c r="AR3082" s="523">
        <v>1</v>
      </c>
      <c r="AS3082" s="393"/>
      <c r="AT3082" s="600">
        <v>19.57488</v>
      </c>
      <c r="AU3082" s="394">
        <v>16.323899999999998</v>
      </c>
      <c r="AV3082" s="394">
        <v>15.274380000000001</v>
      </c>
      <c r="AW3082" s="394"/>
      <c r="AX3082" s="394"/>
      <c r="AY3082" s="394">
        <v>0</v>
      </c>
      <c r="AZ3082" s="394">
        <v>0</v>
      </c>
      <c r="BA3082" s="394">
        <v>0.75790000000000002</v>
      </c>
      <c r="BB3082" s="394">
        <v>15.274380000000001</v>
      </c>
      <c r="BC3082" s="394"/>
      <c r="BD3082" s="381" t="s">
        <v>167</v>
      </c>
      <c r="BE3082" s="408" t="s">
        <v>175</v>
      </c>
      <c r="BF3082" s="385"/>
      <c r="BG3082" s="475">
        <v>1032</v>
      </c>
      <c r="BH3082" s="395"/>
      <c r="BI3082" s="395">
        <f t="shared" si="1185"/>
        <v>19.57488</v>
      </c>
    </row>
    <row r="3083" spans="1:61" s="358" customFormat="1" ht="19.2" x14ac:dyDescent="0.3">
      <c r="A3083" s="359" t="s">
        <v>2036</v>
      </c>
      <c r="B3083" s="602" t="s">
        <v>5740</v>
      </c>
      <c r="C3083" s="548" t="s">
        <v>5741</v>
      </c>
      <c r="D3083" s="360">
        <v>0.4</v>
      </c>
      <c r="E3083" s="528"/>
      <c r="F3083" s="523"/>
      <c r="G3083" s="393"/>
      <c r="H3083" s="394"/>
      <c r="I3083" s="394"/>
      <c r="J3083" s="394"/>
      <c r="K3083" s="394"/>
      <c r="L3083" s="394"/>
      <c r="M3083" s="394"/>
      <c r="N3083" s="394"/>
      <c r="O3083" s="394"/>
      <c r="P3083" s="394"/>
      <c r="Q3083" s="394"/>
      <c r="R3083" s="381"/>
      <c r="S3083" s="408"/>
      <c r="T3083" s="385"/>
      <c r="U3083" s="475"/>
      <c r="V3083" s="395"/>
      <c r="W3083" s="395"/>
      <c r="X3083" s="528"/>
      <c r="Y3083" s="523"/>
      <c r="Z3083" s="393"/>
      <c r="AA3083" s="394"/>
      <c r="AB3083" s="394"/>
      <c r="AC3083" s="394"/>
      <c r="AD3083" s="394"/>
      <c r="AE3083" s="394"/>
      <c r="AF3083" s="394"/>
      <c r="AG3083" s="394"/>
      <c r="AH3083" s="394"/>
      <c r="AI3083" s="394"/>
      <c r="AJ3083" s="394"/>
      <c r="AK3083" s="381"/>
      <c r="AL3083" s="408"/>
      <c r="AM3083" s="385"/>
      <c r="AN3083" s="475"/>
      <c r="AO3083" s="395"/>
      <c r="AP3083" s="395"/>
      <c r="AQ3083" s="528"/>
      <c r="AR3083" s="523">
        <v>1</v>
      </c>
      <c r="AS3083" s="393"/>
      <c r="AT3083" s="600">
        <v>20.23798</v>
      </c>
      <c r="AU3083" s="394">
        <v>16.986999999999998</v>
      </c>
      <c r="AV3083" s="394">
        <v>15.274380000000001</v>
      </c>
      <c r="AW3083" s="394"/>
      <c r="AX3083" s="394"/>
      <c r="AY3083" s="394">
        <v>0</v>
      </c>
      <c r="AZ3083" s="394">
        <v>0</v>
      </c>
      <c r="BA3083" s="394">
        <v>0.75790000000000002</v>
      </c>
      <c r="BB3083" s="394">
        <v>15.274380000000001</v>
      </c>
      <c r="BC3083" s="394"/>
      <c r="BD3083" s="381" t="s">
        <v>167</v>
      </c>
      <c r="BE3083" s="408" t="s">
        <v>175</v>
      </c>
      <c r="BF3083" s="385"/>
      <c r="BG3083" s="475">
        <v>1033</v>
      </c>
      <c r="BH3083" s="395"/>
      <c r="BI3083" s="395">
        <f t="shared" ref="BI3083" si="1192">AT3083/AR3083</f>
        <v>20.23798</v>
      </c>
    </row>
    <row r="3084" spans="1:61" s="358" customFormat="1" ht="19.2" x14ac:dyDescent="0.3">
      <c r="A3084" s="359" t="s">
        <v>2037</v>
      </c>
      <c r="B3084" s="602" t="s">
        <v>4241</v>
      </c>
      <c r="C3084" s="548" t="s">
        <v>5742</v>
      </c>
      <c r="D3084" s="360">
        <v>0.4</v>
      </c>
      <c r="E3084" s="528"/>
      <c r="F3084" s="523"/>
      <c r="G3084" s="393"/>
      <c r="H3084" s="394"/>
      <c r="I3084" s="394"/>
      <c r="J3084" s="394"/>
      <c r="K3084" s="394"/>
      <c r="L3084" s="394"/>
      <c r="M3084" s="394"/>
      <c r="N3084" s="394"/>
      <c r="O3084" s="394"/>
      <c r="P3084" s="394"/>
      <c r="Q3084" s="394"/>
      <c r="R3084" s="381"/>
      <c r="S3084" s="408"/>
      <c r="T3084" s="385"/>
      <c r="U3084" s="475"/>
      <c r="V3084" s="395"/>
      <c r="W3084" s="395"/>
      <c r="X3084" s="528"/>
      <c r="Y3084" s="523"/>
      <c r="Z3084" s="393"/>
      <c r="AA3084" s="394"/>
      <c r="AB3084" s="394"/>
      <c r="AC3084" s="394"/>
      <c r="AD3084" s="394"/>
      <c r="AE3084" s="394"/>
      <c r="AF3084" s="394"/>
      <c r="AG3084" s="394"/>
      <c r="AH3084" s="394"/>
      <c r="AI3084" s="394"/>
      <c r="AJ3084" s="394"/>
      <c r="AK3084" s="381"/>
      <c r="AL3084" s="408"/>
      <c r="AM3084" s="385"/>
      <c r="AN3084" s="475"/>
      <c r="AO3084" s="395"/>
      <c r="AP3084" s="395"/>
      <c r="AQ3084" s="528"/>
      <c r="AR3084" s="523">
        <v>1</v>
      </c>
      <c r="AS3084" s="393"/>
      <c r="AT3084" s="600">
        <v>20.237960000000001</v>
      </c>
      <c r="AU3084" s="394">
        <v>16.986979999999999</v>
      </c>
      <c r="AV3084" s="394">
        <v>15.274380000000001</v>
      </c>
      <c r="AW3084" s="394"/>
      <c r="AX3084" s="394"/>
      <c r="AY3084" s="394">
        <v>0</v>
      </c>
      <c r="AZ3084" s="394">
        <v>0</v>
      </c>
      <c r="BA3084" s="394">
        <v>0.75790000000000002</v>
      </c>
      <c r="BB3084" s="394">
        <v>15.274380000000001</v>
      </c>
      <c r="BC3084" s="394"/>
      <c r="BD3084" s="381" t="s">
        <v>167</v>
      </c>
      <c r="BE3084" s="408" t="s">
        <v>175</v>
      </c>
      <c r="BF3084" s="385"/>
      <c r="BG3084" s="475">
        <v>1034</v>
      </c>
      <c r="BH3084" s="395"/>
      <c r="BI3084" s="395">
        <f t="shared" si="1185"/>
        <v>20.237960000000001</v>
      </c>
    </row>
    <row r="3085" spans="1:61" s="358" customFormat="1" ht="19.2" x14ac:dyDescent="0.3">
      <c r="A3085" s="359" t="s">
        <v>2038</v>
      </c>
      <c r="B3085" s="602" t="s">
        <v>5743</v>
      </c>
      <c r="C3085" s="548" t="s">
        <v>5744</v>
      </c>
      <c r="D3085" s="360">
        <v>0.4</v>
      </c>
      <c r="E3085" s="528"/>
      <c r="F3085" s="523"/>
      <c r="G3085" s="393"/>
      <c r="H3085" s="394"/>
      <c r="I3085" s="394"/>
      <c r="J3085" s="394"/>
      <c r="K3085" s="394"/>
      <c r="L3085" s="394"/>
      <c r="M3085" s="394"/>
      <c r="N3085" s="394"/>
      <c r="O3085" s="394"/>
      <c r="P3085" s="394"/>
      <c r="Q3085" s="394"/>
      <c r="R3085" s="381"/>
      <c r="S3085" s="408"/>
      <c r="T3085" s="385"/>
      <c r="U3085" s="475"/>
      <c r="V3085" s="395"/>
      <c r="W3085" s="395"/>
      <c r="X3085" s="528"/>
      <c r="Y3085" s="523"/>
      <c r="Z3085" s="393"/>
      <c r="AA3085" s="394"/>
      <c r="AB3085" s="394"/>
      <c r="AC3085" s="394"/>
      <c r="AD3085" s="394"/>
      <c r="AE3085" s="394"/>
      <c r="AF3085" s="394"/>
      <c r="AG3085" s="394"/>
      <c r="AH3085" s="394"/>
      <c r="AI3085" s="394"/>
      <c r="AJ3085" s="394"/>
      <c r="AK3085" s="381"/>
      <c r="AL3085" s="408"/>
      <c r="AM3085" s="385"/>
      <c r="AN3085" s="475"/>
      <c r="AO3085" s="395"/>
      <c r="AP3085" s="395"/>
      <c r="AQ3085" s="528"/>
      <c r="AR3085" s="523">
        <v>1</v>
      </c>
      <c r="AS3085" s="393"/>
      <c r="AT3085" s="600">
        <v>19.574850000000001</v>
      </c>
      <c r="AU3085" s="394">
        <v>16.323869999999999</v>
      </c>
      <c r="AV3085" s="394">
        <v>15.274380000000001</v>
      </c>
      <c r="AW3085" s="394"/>
      <c r="AX3085" s="394"/>
      <c r="AY3085" s="394">
        <v>0</v>
      </c>
      <c r="AZ3085" s="394">
        <v>0</v>
      </c>
      <c r="BA3085" s="394">
        <v>0.75790000000000002</v>
      </c>
      <c r="BB3085" s="394">
        <v>15.274380000000001</v>
      </c>
      <c r="BC3085" s="394"/>
      <c r="BD3085" s="381" t="s">
        <v>167</v>
      </c>
      <c r="BE3085" s="408" t="s">
        <v>175</v>
      </c>
      <c r="BF3085" s="385"/>
      <c r="BG3085" s="475">
        <v>1035</v>
      </c>
      <c r="BH3085" s="395"/>
      <c r="BI3085" s="395">
        <f t="shared" ref="BI3085" si="1193">AT3085/AR3085</f>
        <v>19.574850000000001</v>
      </c>
    </row>
    <row r="3086" spans="1:61" s="358" customFormat="1" ht="19.2" x14ac:dyDescent="0.3">
      <c r="A3086" s="359" t="s">
        <v>2039</v>
      </c>
      <c r="B3086" s="602" t="s">
        <v>4111</v>
      </c>
      <c r="C3086" s="548" t="s">
        <v>4825</v>
      </c>
      <c r="D3086" s="360">
        <v>0.4</v>
      </c>
      <c r="E3086" s="528"/>
      <c r="F3086" s="523"/>
      <c r="G3086" s="393"/>
      <c r="H3086" s="394"/>
      <c r="I3086" s="394"/>
      <c r="J3086" s="394"/>
      <c r="K3086" s="394"/>
      <c r="L3086" s="394"/>
      <c r="M3086" s="394"/>
      <c r="N3086" s="394"/>
      <c r="O3086" s="394"/>
      <c r="P3086" s="394"/>
      <c r="Q3086" s="394"/>
      <c r="R3086" s="381"/>
      <c r="S3086" s="408"/>
      <c r="T3086" s="385"/>
      <c r="U3086" s="475"/>
      <c r="V3086" s="395"/>
      <c r="W3086" s="395"/>
      <c r="X3086" s="528"/>
      <c r="Y3086" s="523"/>
      <c r="Z3086" s="393"/>
      <c r="AA3086" s="394"/>
      <c r="AB3086" s="394"/>
      <c r="AC3086" s="394"/>
      <c r="AD3086" s="394"/>
      <c r="AE3086" s="394"/>
      <c r="AF3086" s="394"/>
      <c r="AG3086" s="394"/>
      <c r="AH3086" s="394"/>
      <c r="AI3086" s="394"/>
      <c r="AJ3086" s="394"/>
      <c r="AK3086" s="381"/>
      <c r="AL3086" s="408"/>
      <c r="AM3086" s="385"/>
      <c r="AN3086" s="475"/>
      <c r="AO3086" s="395"/>
      <c r="AP3086" s="395"/>
      <c r="AQ3086" s="528"/>
      <c r="AR3086" s="523">
        <v>1</v>
      </c>
      <c r="AS3086" s="393"/>
      <c r="AT3086" s="600">
        <v>19.57488</v>
      </c>
      <c r="AU3086" s="394">
        <v>16.323899999999998</v>
      </c>
      <c r="AV3086" s="394">
        <v>15.274380000000001</v>
      </c>
      <c r="AW3086" s="394"/>
      <c r="AX3086" s="394"/>
      <c r="AY3086" s="394">
        <v>0</v>
      </c>
      <c r="AZ3086" s="394">
        <v>0</v>
      </c>
      <c r="BA3086" s="394">
        <v>0.75790000000000002</v>
      </c>
      <c r="BB3086" s="394">
        <v>15.274380000000001</v>
      </c>
      <c r="BC3086" s="394"/>
      <c r="BD3086" s="381" t="s">
        <v>167</v>
      </c>
      <c r="BE3086" s="408" t="s">
        <v>175</v>
      </c>
      <c r="BF3086" s="385"/>
      <c r="BG3086" s="475">
        <v>1036</v>
      </c>
      <c r="BH3086" s="395"/>
      <c r="BI3086" s="395">
        <f t="shared" si="1185"/>
        <v>19.57488</v>
      </c>
    </row>
    <row r="3087" spans="1:61" s="358" customFormat="1" ht="19.2" x14ac:dyDescent="0.3">
      <c r="A3087" s="359" t="s">
        <v>2040</v>
      </c>
      <c r="B3087" s="602" t="s">
        <v>315</v>
      </c>
      <c r="C3087" s="548" t="s">
        <v>4823</v>
      </c>
      <c r="D3087" s="360">
        <v>0.4</v>
      </c>
      <c r="E3087" s="528"/>
      <c r="F3087" s="523"/>
      <c r="G3087" s="393"/>
      <c r="H3087" s="394"/>
      <c r="I3087" s="394"/>
      <c r="J3087" s="394"/>
      <c r="K3087" s="394"/>
      <c r="L3087" s="394"/>
      <c r="M3087" s="394"/>
      <c r="N3087" s="394"/>
      <c r="O3087" s="394"/>
      <c r="P3087" s="394"/>
      <c r="Q3087" s="394"/>
      <c r="R3087" s="381"/>
      <c r="S3087" s="408"/>
      <c r="T3087" s="385"/>
      <c r="U3087" s="475"/>
      <c r="V3087" s="395"/>
      <c r="W3087" s="395"/>
      <c r="X3087" s="528"/>
      <c r="Y3087" s="523"/>
      <c r="Z3087" s="393"/>
      <c r="AA3087" s="394"/>
      <c r="AB3087" s="394"/>
      <c r="AC3087" s="394"/>
      <c r="AD3087" s="394"/>
      <c r="AE3087" s="394"/>
      <c r="AF3087" s="394"/>
      <c r="AG3087" s="394"/>
      <c r="AH3087" s="394"/>
      <c r="AI3087" s="394"/>
      <c r="AJ3087" s="394"/>
      <c r="AK3087" s="381"/>
      <c r="AL3087" s="408"/>
      <c r="AM3087" s="385"/>
      <c r="AN3087" s="475"/>
      <c r="AO3087" s="395"/>
      <c r="AP3087" s="395"/>
      <c r="AQ3087" s="528"/>
      <c r="AR3087" s="523">
        <v>1</v>
      </c>
      <c r="AS3087" s="393"/>
      <c r="AT3087" s="600">
        <v>19.57488</v>
      </c>
      <c r="AU3087" s="394">
        <v>16.323899999999998</v>
      </c>
      <c r="AV3087" s="394">
        <v>15.274380000000001</v>
      </c>
      <c r="AW3087" s="394"/>
      <c r="AX3087" s="394"/>
      <c r="AY3087" s="394">
        <v>0</v>
      </c>
      <c r="AZ3087" s="394">
        <v>0</v>
      </c>
      <c r="BA3087" s="394">
        <v>0.75790000000000002</v>
      </c>
      <c r="BB3087" s="394">
        <v>15.274380000000001</v>
      </c>
      <c r="BC3087" s="394"/>
      <c r="BD3087" s="381" t="s">
        <v>167</v>
      </c>
      <c r="BE3087" s="408" t="s">
        <v>175</v>
      </c>
      <c r="BF3087" s="385"/>
      <c r="BG3087" s="475">
        <v>1037</v>
      </c>
      <c r="BH3087" s="395"/>
      <c r="BI3087" s="395">
        <f t="shared" si="1059"/>
        <v>19.57488</v>
      </c>
    </row>
    <row r="3088" spans="1:61" s="358" customFormat="1" ht="19.2" x14ac:dyDescent="0.3">
      <c r="A3088" s="359" t="s">
        <v>2041</v>
      </c>
      <c r="B3088" s="602" t="s">
        <v>315</v>
      </c>
      <c r="C3088" s="548" t="s">
        <v>5745</v>
      </c>
      <c r="D3088" s="360">
        <v>0.4</v>
      </c>
      <c r="E3088" s="528"/>
      <c r="F3088" s="523"/>
      <c r="G3088" s="393"/>
      <c r="H3088" s="394"/>
      <c r="I3088" s="394"/>
      <c r="J3088" s="394"/>
      <c r="K3088" s="394"/>
      <c r="L3088" s="394"/>
      <c r="M3088" s="394"/>
      <c r="N3088" s="394"/>
      <c r="O3088" s="394"/>
      <c r="P3088" s="394"/>
      <c r="Q3088" s="394"/>
      <c r="R3088" s="381"/>
      <c r="S3088" s="408"/>
      <c r="T3088" s="385"/>
      <c r="U3088" s="475"/>
      <c r="V3088" s="395"/>
      <c r="W3088" s="395"/>
      <c r="X3088" s="528"/>
      <c r="Y3088" s="523"/>
      <c r="Z3088" s="393"/>
      <c r="AA3088" s="394"/>
      <c r="AB3088" s="394"/>
      <c r="AC3088" s="394"/>
      <c r="AD3088" s="394"/>
      <c r="AE3088" s="394"/>
      <c r="AF3088" s="394"/>
      <c r="AG3088" s="394"/>
      <c r="AH3088" s="394"/>
      <c r="AI3088" s="394"/>
      <c r="AJ3088" s="394"/>
      <c r="AK3088" s="381"/>
      <c r="AL3088" s="408"/>
      <c r="AM3088" s="385"/>
      <c r="AN3088" s="475"/>
      <c r="AO3088" s="395"/>
      <c r="AP3088" s="395"/>
      <c r="AQ3088" s="528"/>
      <c r="AR3088" s="523">
        <v>1</v>
      </c>
      <c r="AS3088" s="393"/>
      <c r="AT3088" s="600">
        <v>19.574860000000001</v>
      </c>
      <c r="AU3088" s="394">
        <v>16.323879999999999</v>
      </c>
      <c r="AV3088" s="394">
        <v>15.274380000000001</v>
      </c>
      <c r="AW3088" s="394"/>
      <c r="AX3088" s="394"/>
      <c r="AY3088" s="394">
        <v>0</v>
      </c>
      <c r="AZ3088" s="394">
        <v>0</v>
      </c>
      <c r="BA3088" s="394">
        <v>0.75790000000000002</v>
      </c>
      <c r="BB3088" s="394">
        <v>15.274380000000001</v>
      </c>
      <c r="BC3088" s="394"/>
      <c r="BD3088" s="381" t="s">
        <v>167</v>
      </c>
      <c r="BE3088" s="408" t="s">
        <v>175</v>
      </c>
      <c r="BF3088" s="385"/>
      <c r="BG3088" s="475">
        <v>1038</v>
      </c>
      <c r="BH3088" s="395"/>
      <c r="BI3088" s="395">
        <f t="shared" si="1059"/>
        <v>19.574860000000001</v>
      </c>
    </row>
    <row r="3089" spans="1:61" s="358" customFormat="1" ht="19.2" x14ac:dyDescent="0.3">
      <c r="A3089" s="359" t="s">
        <v>2042</v>
      </c>
      <c r="B3089" s="602" t="s">
        <v>5746</v>
      </c>
      <c r="C3089" s="548" t="s">
        <v>5747</v>
      </c>
      <c r="D3089" s="360">
        <v>0.4</v>
      </c>
      <c r="E3089" s="528"/>
      <c r="F3089" s="523"/>
      <c r="G3089" s="393"/>
      <c r="H3089" s="394"/>
      <c r="I3089" s="394"/>
      <c r="J3089" s="394"/>
      <c r="K3089" s="394"/>
      <c r="L3089" s="394"/>
      <c r="M3089" s="394"/>
      <c r="N3089" s="394"/>
      <c r="O3089" s="394"/>
      <c r="P3089" s="394"/>
      <c r="Q3089" s="394"/>
      <c r="R3089" s="381"/>
      <c r="S3089" s="408"/>
      <c r="T3089" s="385"/>
      <c r="U3089" s="475"/>
      <c r="V3089" s="395"/>
      <c r="W3089" s="395"/>
      <c r="X3089" s="528"/>
      <c r="Y3089" s="523"/>
      <c r="Z3089" s="393"/>
      <c r="AA3089" s="394"/>
      <c r="AB3089" s="394"/>
      <c r="AC3089" s="394"/>
      <c r="AD3089" s="394"/>
      <c r="AE3089" s="394"/>
      <c r="AF3089" s="394"/>
      <c r="AG3089" s="394"/>
      <c r="AH3089" s="394"/>
      <c r="AI3089" s="394"/>
      <c r="AJ3089" s="394"/>
      <c r="AK3089" s="381"/>
      <c r="AL3089" s="408"/>
      <c r="AM3089" s="385"/>
      <c r="AN3089" s="475"/>
      <c r="AO3089" s="395"/>
      <c r="AP3089" s="395"/>
      <c r="AQ3089" s="528"/>
      <c r="AR3089" s="523">
        <v>1</v>
      </c>
      <c r="AS3089" s="393"/>
      <c r="AT3089" s="600">
        <v>15.197990000000001</v>
      </c>
      <c r="AU3089" s="394">
        <v>13.332979999999999</v>
      </c>
      <c r="AV3089" s="394">
        <v>13.3271</v>
      </c>
      <c r="AW3089" s="394"/>
      <c r="AX3089" s="394"/>
      <c r="AY3089" s="394">
        <v>0</v>
      </c>
      <c r="AZ3089" s="394">
        <v>0</v>
      </c>
      <c r="BA3089" s="394">
        <v>0.43479000000000001</v>
      </c>
      <c r="BB3089" s="394">
        <v>13.3271</v>
      </c>
      <c r="BC3089" s="394"/>
      <c r="BD3089" s="381" t="s">
        <v>167</v>
      </c>
      <c r="BE3089" s="408" t="s">
        <v>175</v>
      </c>
      <c r="BF3089" s="385"/>
      <c r="BG3089" s="475">
        <v>1039</v>
      </c>
      <c r="BH3089" s="395"/>
      <c r="BI3089" s="395">
        <f t="shared" ref="BI3089" si="1194">AT3089/AR3089</f>
        <v>15.197990000000001</v>
      </c>
    </row>
    <row r="3090" spans="1:61" s="358" customFormat="1" ht="19.2" x14ac:dyDescent="0.3">
      <c r="A3090" s="359" t="s">
        <v>2043</v>
      </c>
      <c r="B3090" s="602" t="s">
        <v>4802</v>
      </c>
      <c r="C3090" s="548" t="s">
        <v>4801</v>
      </c>
      <c r="D3090" s="360">
        <v>0.4</v>
      </c>
      <c r="E3090" s="528"/>
      <c r="F3090" s="523"/>
      <c r="G3090" s="393"/>
      <c r="H3090" s="394"/>
      <c r="I3090" s="394"/>
      <c r="J3090" s="394"/>
      <c r="K3090" s="394"/>
      <c r="L3090" s="394"/>
      <c r="M3090" s="394"/>
      <c r="N3090" s="394"/>
      <c r="O3090" s="394"/>
      <c r="P3090" s="394"/>
      <c r="Q3090" s="394"/>
      <c r="R3090" s="381"/>
      <c r="S3090" s="408"/>
      <c r="T3090" s="385"/>
      <c r="U3090" s="475"/>
      <c r="V3090" s="395"/>
      <c r="W3090" s="395"/>
      <c r="X3090" s="528"/>
      <c r="Y3090" s="523"/>
      <c r="Z3090" s="393"/>
      <c r="AA3090" s="394"/>
      <c r="AB3090" s="394"/>
      <c r="AC3090" s="394"/>
      <c r="AD3090" s="394"/>
      <c r="AE3090" s="394"/>
      <c r="AF3090" s="394"/>
      <c r="AG3090" s="394"/>
      <c r="AH3090" s="394"/>
      <c r="AI3090" s="394"/>
      <c r="AJ3090" s="394"/>
      <c r="AK3090" s="381"/>
      <c r="AL3090" s="408"/>
      <c r="AM3090" s="385"/>
      <c r="AN3090" s="475"/>
      <c r="AO3090" s="395"/>
      <c r="AP3090" s="395"/>
      <c r="AQ3090" s="528"/>
      <c r="AR3090" s="523">
        <v>1</v>
      </c>
      <c r="AS3090" s="393"/>
      <c r="AT3090" s="600">
        <v>20.23798</v>
      </c>
      <c r="AU3090" s="394">
        <v>16.986999999999998</v>
      </c>
      <c r="AV3090" s="394">
        <v>15.274380000000001</v>
      </c>
      <c r="AW3090" s="394"/>
      <c r="AX3090" s="394"/>
      <c r="AY3090" s="394">
        <v>0</v>
      </c>
      <c r="AZ3090" s="394">
        <v>0</v>
      </c>
      <c r="BA3090" s="394">
        <v>0.75790000000000002</v>
      </c>
      <c r="BB3090" s="394">
        <v>15.274380000000001</v>
      </c>
      <c r="BC3090" s="394"/>
      <c r="BD3090" s="381" t="s">
        <v>167</v>
      </c>
      <c r="BE3090" s="408" t="s">
        <v>175</v>
      </c>
      <c r="BF3090" s="385"/>
      <c r="BG3090" s="475">
        <v>1040</v>
      </c>
      <c r="BH3090" s="395"/>
      <c r="BI3090" s="395">
        <f t="shared" si="1059"/>
        <v>20.23798</v>
      </c>
    </row>
    <row r="3091" spans="1:61" s="358" customFormat="1" ht="19.2" x14ac:dyDescent="0.3">
      <c r="A3091" s="359" t="s">
        <v>2044</v>
      </c>
      <c r="B3091" s="602" t="s">
        <v>315</v>
      </c>
      <c r="C3091" s="548" t="s">
        <v>4824</v>
      </c>
      <c r="D3091" s="360">
        <v>0.4</v>
      </c>
      <c r="E3091" s="528"/>
      <c r="F3091" s="523"/>
      <c r="G3091" s="393"/>
      <c r="H3091" s="394"/>
      <c r="I3091" s="394"/>
      <c r="J3091" s="394"/>
      <c r="K3091" s="394"/>
      <c r="L3091" s="394"/>
      <c r="M3091" s="394"/>
      <c r="N3091" s="394"/>
      <c r="O3091" s="394"/>
      <c r="P3091" s="394"/>
      <c r="Q3091" s="394"/>
      <c r="R3091" s="381"/>
      <c r="S3091" s="408"/>
      <c r="T3091" s="385"/>
      <c r="U3091" s="475"/>
      <c r="V3091" s="395"/>
      <c r="W3091" s="395"/>
      <c r="X3091" s="528"/>
      <c r="Y3091" s="523"/>
      <c r="Z3091" s="393"/>
      <c r="AA3091" s="394"/>
      <c r="AB3091" s="394"/>
      <c r="AC3091" s="394"/>
      <c r="AD3091" s="394"/>
      <c r="AE3091" s="394"/>
      <c r="AF3091" s="394"/>
      <c r="AG3091" s="394"/>
      <c r="AH3091" s="394"/>
      <c r="AI3091" s="394"/>
      <c r="AJ3091" s="394"/>
      <c r="AK3091" s="381"/>
      <c r="AL3091" s="408"/>
      <c r="AM3091" s="385"/>
      <c r="AN3091" s="475"/>
      <c r="AO3091" s="395"/>
      <c r="AP3091" s="395"/>
      <c r="AQ3091" s="528"/>
      <c r="AR3091" s="523">
        <v>1</v>
      </c>
      <c r="AS3091" s="393"/>
      <c r="AT3091" s="600">
        <v>19.574850000000001</v>
      </c>
      <c r="AU3091" s="394">
        <v>16.323869999999999</v>
      </c>
      <c r="AV3091" s="394">
        <v>15.274380000000001</v>
      </c>
      <c r="AW3091" s="394"/>
      <c r="AX3091" s="394"/>
      <c r="AY3091" s="394">
        <v>0</v>
      </c>
      <c r="AZ3091" s="394">
        <v>0</v>
      </c>
      <c r="BA3091" s="394">
        <v>0.75790000000000002</v>
      </c>
      <c r="BB3091" s="394">
        <v>15.274380000000001</v>
      </c>
      <c r="BC3091" s="394"/>
      <c r="BD3091" s="381" t="s">
        <v>167</v>
      </c>
      <c r="BE3091" s="408" t="s">
        <v>175</v>
      </c>
      <c r="BF3091" s="385"/>
      <c r="BG3091" s="475">
        <v>1041</v>
      </c>
      <c r="BH3091" s="395"/>
      <c r="BI3091" s="395">
        <f t="shared" ref="BI3091" si="1195">AT3091/AR3091</f>
        <v>19.574850000000001</v>
      </c>
    </row>
    <row r="3092" spans="1:61" s="358" customFormat="1" ht="19.2" x14ac:dyDescent="0.3">
      <c r="A3092" s="359" t="s">
        <v>2045</v>
      </c>
      <c r="B3092" s="602" t="s">
        <v>5748</v>
      </c>
      <c r="C3092" s="548" t="s">
        <v>5749</v>
      </c>
      <c r="D3092" s="360">
        <v>0.4</v>
      </c>
      <c r="E3092" s="528"/>
      <c r="F3092" s="523"/>
      <c r="G3092" s="393"/>
      <c r="H3092" s="394"/>
      <c r="I3092" s="394"/>
      <c r="J3092" s="394"/>
      <c r="K3092" s="394"/>
      <c r="L3092" s="394"/>
      <c r="M3092" s="394"/>
      <c r="N3092" s="394"/>
      <c r="O3092" s="394"/>
      <c r="P3092" s="394"/>
      <c r="Q3092" s="394"/>
      <c r="R3092" s="381"/>
      <c r="S3092" s="408"/>
      <c r="T3092" s="385"/>
      <c r="U3092" s="475"/>
      <c r="V3092" s="395"/>
      <c r="W3092" s="395"/>
      <c r="X3092" s="528"/>
      <c r="Y3092" s="523"/>
      <c r="Z3092" s="393"/>
      <c r="AA3092" s="394"/>
      <c r="AB3092" s="394"/>
      <c r="AC3092" s="394"/>
      <c r="AD3092" s="394"/>
      <c r="AE3092" s="394"/>
      <c r="AF3092" s="394"/>
      <c r="AG3092" s="394"/>
      <c r="AH3092" s="394"/>
      <c r="AI3092" s="394"/>
      <c r="AJ3092" s="394"/>
      <c r="AK3092" s="381"/>
      <c r="AL3092" s="408"/>
      <c r="AM3092" s="385"/>
      <c r="AN3092" s="475"/>
      <c r="AO3092" s="395"/>
      <c r="AP3092" s="395"/>
      <c r="AQ3092" s="528"/>
      <c r="AR3092" s="523">
        <v>1</v>
      </c>
      <c r="AS3092" s="393"/>
      <c r="AT3092" s="600">
        <v>20.237950000000001</v>
      </c>
      <c r="AU3092" s="394">
        <v>16.986969999999999</v>
      </c>
      <c r="AV3092" s="394">
        <v>15.274380000000001</v>
      </c>
      <c r="AW3092" s="394"/>
      <c r="AX3092" s="394"/>
      <c r="AY3092" s="394">
        <v>0</v>
      </c>
      <c r="AZ3092" s="394">
        <v>0</v>
      </c>
      <c r="BA3092" s="394">
        <v>0.75790000000000002</v>
      </c>
      <c r="BB3092" s="394">
        <v>15.274380000000001</v>
      </c>
      <c r="BC3092" s="394"/>
      <c r="BD3092" s="381" t="s">
        <v>167</v>
      </c>
      <c r="BE3092" s="408" t="s">
        <v>175</v>
      </c>
      <c r="BF3092" s="385"/>
      <c r="BG3092" s="475">
        <v>1042</v>
      </c>
      <c r="BH3092" s="395"/>
      <c r="BI3092" s="395">
        <f t="shared" si="1059"/>
        <v>20.237950000000001</v>
      </c>
    </row>
    <row r="3093" spans="1:61" s="358" customFormat="1" ht="19.2" x14ac:dyDescent="0.3">
      <c r="A3093" s="359" t="s">
        <v>2046</v>
      </c>
      <c r="B3093" s="602" t="s">
        <v>4838</v>
      </c>
      <c r="C3093" s="548" t="s">
        <v>4837</v>
      </c>
      <c r="D3093" s="360">
        <v>0.4</v>
      </c>
      <c r="E3093" s="528"/>
      <c r="F3093" s="523"/>
      <c r="G3093" s="393"/>
      <c r="H3093" s="394"/>
      <c r="I3093" s="394"/>
      <c r="J3093" s="394"/>
      <c r="K3093" s="394"/>
      <c r="L3093" s="394"/>
      <c r="M3093" s="394"/>
      <c r="N3093" s="394"/>
      <c r="O3093" s="394"/>
      <c r="P3093" s="394"/>
      <c r="Q3093" s="394"/>
      <c r="R3093" s="381"/>
      <c r="S3093" s="408"/>
      <c r="T3093" s="385"/>
      <c r="U3093" s="475"/>
      <c r="V3093" s="395"/>
      <c r="W3093" s="395"/>
      <c r="X3093" s="528"/>
      <c r="Y3093" s="523"/>
      <c r="Z3093" s="393"/>
      <c r="AA3093" s="394"/>
      <c r="AB3093" s="394"/>
      <c r="AC3093" s="394"/>
      <c r="AD3093" s="394"/>
      <c r="AE3093" s="394"/>
      <c r="AF3093" s="394"/>
      <c r="AG3093" s="394"/>
      <c r="AH3093" s="394"/>
      <c r="AI3093" s="394"/>
      <c r="AJ3093" s="394"/>
      <c r="AK3093" s="381"/>
      <c r="AL3093" s="408"/>
      <c r="AM3093" s="385"/>
      <c r="AN3093" s="475"/>
      <c r="AO3093" s="395"/>
      <c r="AP3093" s="395"/>
      <c r="AQ3093" s="528"/>
      <c r="AR3093" s="523">
        <v>1</v>
      </c>
      <c r="AS3093" s="393"/>
      <c r="AT3093" s="600">
        <v>19.62181</v>
      </c>
      <c r="AU3093" s="394">
        <v>16.370830000000002</v>
      </c>
      <c r="AV3093" s="394">
        <v>15.31906</v>
      </c>
      <c r="AW3093" s="394"/>
      <c r="AX3093" s="394"/>
      <c r="AY3093" s="394">
        <v>0</v>
      </c>
      <c r="AZ3093" s="394">
        <v>0</v>
      </c>
      <c r="BA3093" s="394">
        <v>0.75790000000000002</v>
      </c>
      <c r="BB3093" s="394">
        <v>15.31906</v>
      </c>
      <c r="BC3093" s="394"/>
      <c r="BD3093" s="381" t="s">
        <v>167</v>
      </c>
      <c r="BE3093" s="408" t="s">
        <v>175</v>
      </c>
      <c r="BF3093" s="385"/>
      <c r="BG3093" s="475">
        <v>1043</v>
      </c>
      <c r="BH3093" s="395"/>
      <c r="BI3093" s="395">
        <f t="shared" ref="BI3093" si="1196">AT3093/AR3093</f>
        <v>19.62181</v>
      </c>
    </row>
    <row r="3094" spans="1:61" s="358" customFormat="1" ht="19.2" x14ac:dyDescent="0.3">
      <c r="A3094" s="359" t="s">
        <v>2047</v>
      </c>
      <c r="B3094" s="602" t="s">
        <v>5756</v>
      </c>
      <c r="C3094" s="548" t="s">
        <v>5757</v>
      </c>
      <c r="D3094" s="360">
        <v>0.4</v>
      </c>
      <c r="E3094" s="528"/>
      <c r="F3094" s="523"/>
      <c r="G3094" s="393"/>
      <c r="H3094" s="394"/>
      <c r="I3094" s="394"/>
      <c r="J3094" s="394"/>
      <c r="K3094" s="394"/>
      <c r="L3094" s="394"/>
      <c r="M3094" s="394"/>
      <c r="N3094" s="394"/>
      <c r="O3094" s="394"/>
      <c r="P3094" s="394"/>
      <c r="Q3094" s="394"/>
      <c r="R3094" s="381"/>
      <c r="S3094" s="408"/>
      <c r="T3094" s="385"/>
      <c r="U3094" s="475"/>
      <c r="V3094" s="395"/>
      <c r="W3094" s="395"/>
      <c r="X3094" s="528"/>
      <c r="Y3094" s="523"/>
      <c r="Z3094" s="393"/>
      <c r="AA3094" s="394"/>
      <c r="AB3094" s="394"/>
      <c r="AC3094" s="394"/>
      <c r="AD3094" s="394"/>
      <c r="AE3094" s="394"/>
      <c r="AF3094" s="394"/>
      <c r="AG3094" s="394"/>
      <c r="AH3094" s="394"/>
      <c r="AI3094" s="394"/>
      <c r="AJ3094" s="394"/>
      <c r="AK3094" s="381"/>
      <c r="AL3094" s="408"/>
      <c r="AM3094" s="385"/>
      <c r="AN3094" s="475"/>
      <c r="AO3094" s="395"/>
      <c r="AP3094" s="395"/>
      <c r="AQ3094" s="528"/>
      <c r="AR3094" s="523">
        <v>1</v>
      </c>
      <c r="AS3094" s="393"/>
      <c r="AT3094" s="600">
        <v>19.62181</v>
      </c>
      <c r="AU3094" s="394">
        <v>16.370830000000002</v>
      </c>
      <c r="AV3094" s="394">
        <v>15.31906</v>
      </c>
      <c r="AW3094" s="394"/>
      <c r="AX3094" s="394"/>
      <c r="AY3094" s="394">
        <v>0</v>
      </c>
      <c r="AZ3094" s="394">
        <v>0</v>
      </c>
      <c r="BA3094" s="394">
        <v>0.75790000000000002</v>
      </c>
      <c r="BB3094" s="394">
        <v>15.31906</v>
      </c>
      <c r="BC3094" s="394"/>
      <c r="BD3094" s="381" t="s">
        <v>167</v>
      </c>
      <c r="BE3094" s="408" t="s">
        <v>175</v>
      </c>
      <c r="BF3094" s="385"/>
      <c r="BG3094" s="475">
        <v>1044</v>
      </c>
      <c r="BH3094" s="395"/>
      <c r="BI3094" s="395">
        <f t="shared" si="1059"/>
        <v>19.62181</v>
      </c>
    </row>
    <row r="3095" spans="1:61" s="358" customFormat="1" ht="19.2" x14ac:dyDescent="0.3">
      <c r="A3095" s="359" t="s">
        <v>2048</v>
      </c>
      <c r="B3095" s="602" t="s">
        <v>5758</v>
      </c>
      <c r="C3095" s="548" t="s">
        <v>5759</v>
      </c>
      <c r="D3095" s="360">
        <v>0.4</v>
      </c>
      <c r="E3095" s="528"/>
      <c r="F3095" s="523"/>
      <c r="G3095" s="393"/>
      <c r="H3095" s="394"/>
      <c r="I3095" s="394"/>
      <c r="J3095" s="394"/>
      <c r="K3095" s="394"/>
      <c r="L3095" s="394"/>
      <c r="M3095" s="394"/>
      <c r="N3095" s="394"/>
      <c r="O3095" s="394"/>
      <c r="P3095" s="394"/>
      <c r="Q3095" s="394"/>
      <c r="R3095" s="381"/>
      <c r="S3095" s="408"/>
      <c r="T3095" s="385"/>
      <c r="U3095" s="475"/>
      <c r="V3095" s="395"/>
      <c r="W3095" s="395"/>
      <c r="X3095" s="528"/>
      <c r="Y3095" s="523"/>
      <c r="Z3095" s="393"/>
      <c r="AA3095" s="394"/>
      <c r="AB3095" s="394"/>
      <c r="AC3095" s="394"/>
      <c r="AD3095" s="394"/>
      <c r="AE3095" s="394"/>
      <c r="AF3095" s="394"/>
      <c r="AG3095" s="394"/>
      <c r="AH3095" s="394"/>
      <c r="AI3095" s="394"/>
      <c r="AJ3095" s="394"/>
      <c r="AK3095" s="381"/>
      <c r="AL3095" s="408"/>
      <c r="AM3095" s="385"/>
      <c r="AN3095" s="475"/>
      <c r="AO3095" s="395"/>
      <c r="AP3095" s="395"/>
      <c r="AQ3095" s="528"/>
      <c r="AR3095" s="523">
        <v>1</v>
      </c>
      <c r="AS3095" s="393"/>
      <c r="AT3095" s="600">
        <v>19.62182</v>
      </c>
      <c r="AU3095" s="394">
        <v>16.370840000000001</v>
      </c>
      <c r="AV3095" s="394">
        <v>15.31906</v>
      </c>
      <c r="AW3095" s="394"/>
      <c r="AX3095" s="394"/>
      <c r="AY3095" s="394">
        <v>0</v>
      </c>
      <c r="AZ3095" s="394">
        <v>0</v>
      </c>
      <c r="BA3095" s="394">
        <v>0.75790000000000002</v>
      </c>
      <c r="BB3095" s="394">
        <v>15.31906</v>
      </c>
      <c r="BC3095" s="394"/>
      <c r="BD3095" s="381" t="s">
        <v>167</v>
      </c>
      <c r="BE3095" s="408" t="s">
        <v>175</v>
      </c>
      <c r="BF3095" s="385"/>
      <c r="BG3095" s="475">
        <v>1045</v>
      </c>
      <c r="BH3095" s="395"/>
      <c r="BI3095" s="395">
        <f t="shared" ref="BI3095" si="1197">AT3095/AR3095</f>
        <v>19.62182</v>
      </c>
    </row>
    <row r="3096" spans="1:61" s="358" customFormat="1" ht="19.2" x14ac:dyDescent="0.3">
      <c r="A3096" s="359" t="s">
        <v>2049</v>
      </c>
      <c r="B3096" s="602" t="s">
        <v>5760</v>
      </c>
      <c r="C3096" s="548" t="s">
        <v>5761</v>
      </c>
      <c r="D3096" s="360">
        <v>0.4</v>
      </c>
      <c r="E3096" s="528"/>
      <c r="F3096" s="523"/>
      <c r="G3096" s="393"/>
      <c r="H3096" s="394"/>
      <c r="I3096" s="394"/>
      <c r="J3096" s="394"/>
      <c r="K3096" s="394"/>
      <c r="L3096" s="394"/>
      <c r="M3096" s="394"/>
      <c r="N3096" s="394"/>
      <c r="O3096" s="394"/>
      <c r="P3096" s="394"/>
      <c r="Q3096" s="394"/>
      <c r="R3096" s="381"/>
      <c r="S3096" s="408"/>
      <c r="T3096" s="385"/>
      <c r="U3096" s="475"/>
      <c r="V3096" s="395"/>
      <c r="W3096" s="395"/>
      <c r="X3096" s="528"/>
      <c r="Y3096" s="523"/>
      <c r="Z3096" s="393"/>
      <c r="AA3096" s="394"/>
      <c r="AB3096" s="394"/>
      <c r="AC3096" s="394"/>
      <c r="AD3096" s="394"/>
      <c r="AE3096" s="394"/>
      <c r="AF3096" s="394"/>
      <c r="AG3096" s="394"/>
      <c r="AH3096" s="394"/>
      <c r="AI3096" s="394"/>
      <c r="AJ3096" s="394"/>
      <c r="AK3096" s="381"/>
      <c r="AL3096" s="408"/>
      <c r="AM3096" s="385"/>
      <c r="AN3096" s="475"/>
      <c r="AO3096" s="395"/>
      <c r="AP3096" s="395"/>
      <c r="AQ3096" s="528"/>
      <c r="AR3096" s="523">
        <v>1</v>
      </c>
      <c r="AS3096" s="393"/>
      <c r="AT3096" s="600">
        <v>19.6218</v>
      </c>
      <c r="AU3096" s="394">
        <v>16.370819999999998</v>
      </c>
      <c r="AV3096" s="394">
        <v>15.31906</v>
      </c>
      <c r="AW3096" s="394"/>
      <c r="AX3096" s="394"/>
      <c r="AY3096" s="394">
        <v>0</v>
      </c>
      <c r="AZ3096" s="394">
        <v>0</v>
      </c>
      <c r="BA3096" s="394">
        <v>0.75790000000000002</v>
      </c>
      <c r="BB3096" s="394">
        <v>15.31906</v>
      </c>
      <c r="BC3096" s="394"/>
      <c r="BD3096" s="381" t="s">
        <v>167</v>
      </c>
      <c r="BE3096" s="408" t="s">
        <v>175</v>
      </c>
      <c r="BF3096" s="385"/>
      <c r="BG3096" s="475">
        <v>1046</v>
      </c>
      <c r="BH3096" s="395"/>
      <c r="BI3096" s="395">
        <f t="shared" si="1059"/>
        <v>19.6218</v>
      </c>
    </row>
    <row r="3097" spans="1:61" s="358" customFormat="1" ht="19.2" x14ac:dyDescent="0.3">
      <c r="A3097" s="359" t="s">
        <v>2050</v>
      </c>
      <c r="B3097" s="602" t="s">
        <v>5762</v>
      </c>
      <c r="C3097" s="548" t="s">
        <v>5763</v>
      </c>
      <c r="D3097" s="360">
        <v>0.4</v>
      </c>
      <c r="E3097" s="528"/>
      <c r="F3097" s="523"/>
      <c r="G3097" s="393"/>
      <c r="H3097" s="394"/>
      <c r="I3097" s="394"/>
      <c r="J3097" s="394"/>
      <c r="K3097" s="394"/>
      <c r="L3097" s="394"/>
      <c r="M3097" s="394"/>
      <c r="N3097" s="394"/>
      <c r="O3097" s="394"/>
      <c r="P3097" s="394"/>
      <c r="Q3097" s="394"/>
      <c r="R3097" s="381"/>
      <c r="S3097" s="408"/>
      <c r="T3097" s="385"/>
      <c r="U3097" s="475"/>
      <c r="V3097" s="395"/>
      <c r="W3097" s="395"/>
      <c r="X3097" s="528"/>
      <c r="Y3097" s="523"/>
      <c r="Z3097" s="393"/>
      <c r="AA3097" s="394"/>
      <c r="AB3097" s="394"/>
      <c r="AC3097" s="394"/>
      <c r="AD3097" s="394"/>
      <c r="AE3097" s="394"/>
      <c r="AF3097" s="394"/>
      <c r="AG3097" s="394"/>
      <c r="AH3097" s="394"/>
      <c r="AI3097" s="394"/>
      <c r="AJ3097" s="394"/>
      <c r="AK3097" s="381"/>
      <c r="AL3097" s="408"/>
      <c r="AM3097" s="385"/>
      <c r="AN3097" s="475"/>
      <c r="AO3097" s="395"/>
      <c r="AP3097" s="395"/>
      <c r="AQ3097" s="528"/>
      <c r="AR3097" s="523">
        <v>1</v>
      </c>
      <c r="AS3097" s="393"/>
      <c r="AT3097" s="600">
        <v>19.6218</v>
      </c>
      <c r="AU3097" s="394">
        <v>16.370819999999998</v>
      </c>
      <c r="AV3097" s="394">
        <v>15.31906</v>
      </c>
      <c r="AW3097" s="394"/>
      <c r="AX3097" s="394"/>
      <c r="AY3097" s="394">
        <v>0</v>
      </c>
      <c r="AZ3097" s="394">
        <v>0</v>
      </c>
      <c r="BA3097" s="394">
        <v>0.75790000000000002</v>
      </c>
      <c r="BB3097" s="394">
        <v>15.31906</v>
      </c>
      <c r="BC3097" s="394"/>
      <c r="BD3097" s="381" t="s">
        <v>167</v>
      </c>
      <c r="BE3097" s="408" t="s">
        <v>175</v>
      </c>
      <c r="BF3097" s="385"/>
      <c r="BG3097" s="475">
        <v>1047</v>
      </c>
      <c r="BH3097" s="395"/>
      <c r="BI3097" s="395">
        <f t="shared" ref="BI3097" si="1198">AT3097/AR3097</f>
        <v>19.6218</v>
      </c>
    </row>
    <row r="3098" spans="1:61" s="358" customFormat="1" ht="19.2" x14ac:dyDescent="0.3">
      <c r="A3098" s="359" t="s">
        <v>2051</v>
      </c>
      <c r="B3098" s="602" t="s">
        <v>5764</v>
      </c>
      <c r="C3098" s="548" t="s">
        <v>5766</v>
      </c>
      <c r="D3098" s="360">
        <v>0.4</v>
      </c>
      <c r="E3098" s="528"/>
      <c r="F3098" s="523"/>
      <c r="G3098" s="393"/>
      <c r="H3098" s="394"/>
      <c r="I3098" s="394"/>
      <c r="J3098" s="394"/>
      <c r="K3098" s="394"/>
      <c r="L3098" s="394"/>
      <c r="M3098" s="394"/>
      <c r="N3098" s="394"/>
      <c r="O3098" s="394"/>
      <c r="P3098" s="394"/>
      <c r="Q3098" s="394"/>
      <c r="R3098" s="381"/>
      <c r="S3098" s="408"/>
      <c r="T3098" s="385"/>
      <c r="U3098" s="475"/>
      <c r="V3098" s="395"/>
      <c r="W3098" s="395"/>
      <c r="X3098" s="528"/>
      <c r="Y3098" s="523"/>
      <c r="Z3098" s="393"/>
      <c r="AA3098" s="394"/>
      <c r="AB3098" s="394"/>
      <c r="AC3098" s="394"/>
      <c r="AD3098" s="394"/>
      <c r="AE3098" s="394"/>
      <c r="AF3098" s="394"/>
      <c r="AG3098" s="394"/>
      <c r="AH3098" s="394"/>
      <c r="AI3098" s="394"/>
      <c r="AJ3098" s="394"/>
      <c r="AK3098" s="381"/>
      <c r="AL3098" s="408"/>
      <c r="AM3098" s="385"/>
      <c r="AN3098" s="475"/>
      <c r="AO3098" s="395"/>
      <c r="AP3098" s="395"/>
      <c r="AQ3098" s="528"/>
      <c r="AR3098" s="523">
        <v>1</v>
      </c>
      <c r="AS3098" s="393"/>
      <c r="AT3098" s="600">
        <v>19.62181</v>
      </c>
      <c r="AU3098" s="394">
        <v>16.370830000000002</v>
      </c>
      <c r="AV3098" s="394">
        <v>15.31906</v>
      </c>
      <c r="AW3098" s="394"/>
      <c r="AX3098" s="394"/>
      <c r="AY3098" s="394">
        <v>0</v>
      </c>
      <c r="AZ3098" s="394">
        <v>0</v>
      </c>
      <c r="BA3098" s="394">
        <v>0.75790000000000002</v>
      </c>
      <c r="BB3098" s="394">
        <v>15.31906</v>
      </c>
      <c r="BC3098" s="394"/>
      <c r="BD3098" s="381" t="s">
        <v>167</v>
      </c>
      <c r="BE3098" s="408" t="s">
        <v>175</v>
      </c>
      <c r="BF3098" s="385"/>
      <c r="BG3098" s="475">
        <v>1048</v>
      </c>
      <c r="BH3098" s="395"/>
      <c r="BI3098" s="395">
        <f t="shared" si="1059"/>
        <v>19.62181</v>
      </c>
    </row>
    <row r="3099" spans="1:61" s="358" customFormat="1" ht="19.2" x14ac:dyDescent="0.3">
      <c r="A3099" s="359" t="s">
        <v>2052</v>
      </c>
      <c r="B3099" s="602" t="s">
        <v>5765</v>
      </c>
      <c r="C3099" s="548" t="s">
        <v>5767</v>
      </c>
      <c r="D3099" s="360">
        <v>0.4</v>
      </c>
      <c r="E3099" s="528"/>
      <c r="F3099" s="523"/>
      <c r="G3099" s="393"/>
      <c r="H3099" s="394"/>
      <c r="I3099" s="394"/>
      <c r="J3099" s="394"/>
      <c r="K3099" s="394"/>
      <c r="L3099" s="394"/>
      <c r="M3099" s="394"/>
      <c r="N3099" s="394"/>
      <c r="O3099" s="394"/>
      <c r="P3099" s="394"/>
      <c r="Q3099" s="394"/>
      <c r="R3099" s="381"/>
      <c r="S3099" s="408"/>
      <c r="T3099" s="385"/>
      <c r="U3099" s="475"/>
      <c r="V3099" s="395"/>
      <c r="W3099" s="395"/>
      <c r="X3099" s="528"/>
      <c r="Y3099" s="523"/>
      <c r="Z3099" s="393"/>
      <c r="AA3099" s="394"/>
      <c r="AB3099" s="394"/>
      <c r="AC3099" s="394"/>
      <c r="AD3099" s="394"/>
      <c r="AE3099" s="394"/>
      <c r="AF3099" s="394"/>
      <c r="AG3099" s="394"/>
      <c r="AH3099" s="394"/>
      <c r="AI3099" s="394"/>
      <c r="AJ3099" s="394"/>
      <c r="AK3099" s="381"/>
      <c r="AL3099" s="408"/>
      <c r="AM3099" s="385"/>
      <c r="AN3099" s="475"/>
      <c r="AO3099" s="395"/>
      <c r="AP3099" s="395"/>
      <c r="AQ3099" s="528"/>
      <c r="AR3099" s="523">
        <v>1</v>
      </c>
      <c r="AS3099" s="393"/>
      <c r="AT3099" s="600">
        <v>19.6218</v>
      </c>
      <c r="AU3099" s="394">
        <v>16.370819999999998</v>
      </c>
      <c r="AV3099" s="394">
        <v>15.31906</v>
      </c>
      <c r="AW3099" s="394"/>
      <c r="AX3099" s="394"/>
      <c r="AY3099" s="394">
        <v>0</v>
      </c>
      <c r="AZ3099" s="394">
        <v>0</v>
      </c>
      <c r="BA3099" s="394">
        <v>0.75790000000000002</v>
      </c>
      <c r="BB3099" s="394">
        <v>15.31906</v>
      </c>
      <c r="BC3099" s="394"/>
      <c r="BD3099" s="381" t="s">
        <v>167</v>
      </c>
      <c r="BE3099" s="408" t="s">
        <v>175</v>
      </c>
      <c r="BF3099" s="385"/>
      <c r="BG3099" s="475">
        <v>1049</v>
      </c>
      <c r="BH3099" s="395"/>
      <c r="BI3099" s="395">
        <f t="shared" ref="BI3099" si="1199">AT3099/AR3099</f>
        <v>19.6218</v>
      </c>
    </row>
    <row r="3100" spans="1:61" s="358" customFormat="1" ht="19.2" x14ac:dyDescent="0.3">
      <c r="A3100" s="359" t="s">
        <v>2053</v>
      </c>
      <c r="B3100" s="602" t="s">
        <v>5768</v>
      </c>
      <c r="C3100" s="548" t="s">
        <v>5769</v>
      </c>
      <c r="D3100" s="360">
        <v>0.4</v>
      </c>
      <c r="E3100" s="528"/>
      <c r="F3100" s="523"/>
      <c r="G3100" s="393"/>
      <c r="H3100" s="394"/>
      <c r="I3100" s="394"/>
      <c r="J3100" s="394"/>
      <c r="K3100" s="394"/>
      <c r="L3100" s="394"/>
      <c r="M3100" s="394"/>
      <c r="N3100" s="394"/>
      <c r="O3100" s="394"/>
      <c r="P3100" s="394"/>
      <c r="Q3100" s="394"/>
      <c r="R3100" s="381"/>
      <c r="S3100" s="408"/>
      <c r="T3100" s="385"/>
      <c r="U3100" s="475"/>
      <c r="V3100" s="395"/>
      <c r="W3100" s="395"/>
      <c r="X3100" s="528"/>
      <c r="Y3100" s="523"/>
      <c r="Z3100" s="393"/>
      <c r="AA3100" s="394"/>
      <c r="AB3100" s="394"/>
      <c r="AC3100" s="394"/>
      <c r="AD3100" s="394"/>
      <c r="AE3100" s="394"/>
      <c r="AF3100" s="394"/>
      <c r="AG3100" s="394"/>
      <c r="AH3100" s="394"/>
      <c r="AI3100" s="394"/>
      <c r="AJ3100" s="394"/>
      <c r="AK3100" s="381"/>
      <c r="AL3100" s="408"/>
      <c r="AM3100" s="385"/>
      <c r="AN3100" s="475"/>
      <c r="AO3100" s="395"/>
      <c r="AP3100" s="395"/>
      <c r="AQ3100" s="528"/>
      <c r="AR3100" s="523">
        <v>1</v>
      </c>
      <c r="AS3100" s="393"/>
      <c r="AT3100" s="600">
        <v>19.62181</v>
      </c>
      <c r="AU3100" s="394">
        <v>16.370830000000002</v>
      </c>
      <c r="AV3100" s="394">
        <v>15.31906</v>
      </c>
      <c r="AW3100" s="394"/>
      <c r="AX3100" s="394"/>
      <c r="AY3100" s="394">
        <v>0</v>
      </c>
      <c r="AZ3100" s="394">
        <v>0</v>
      </c>
      <c r="BA3100" s="394">
        <v>0.75790000000000002</v>
      </c>
      <c r="BB3100" s="394">
        <v>15.31906</v>
      </c>
      <c r="BC3100" s="394"/>
      <c r="BD3100" s="381" t="s">
        <v>167</v>
      </c>
      <c r="BE3100" s="408" t="s">
        <v>175</v>
      </c>
      <c r="BF3100" s="385"/>
      <c r="BG3100" s="475">
        <v>1050</v>
      </c>
      <c r="BH3100" s="395"/>
      <c r="BI3100" s="395">
        <f t="shared" si="1059"/>
        <v>19.62181</v>
      </c>
    </row>
    <row r="3101" spans="1:61" s="358" customFormat="1" ht="19.2" x14ac:dyDescent="0.3">
      <c r="A3101" s="359" t="s">
        <v>2054</v>
      </c>
      <c r="B3101" s="602" t="s">
        <v>5770</v>
      </c>
      <c r="C3101" s="548" t="s">
        <v>5771</v>
      </c>
      <c r="D3101" s="360">
        <v>0.4</v>
      </c>
      <c r="E3101" s="528"/>
      <c r="F3101" s="523"/>
      <c r="G3101" s="393"/>
      <c r="H3101" s="394"/>
      <c r="I3101" s="394"/>
      <c r="J3101" s="394"/>
      <c r="K3101" s="394"/>
      <c r="L3101" s="394"/>
      <c r="M3101" s="394"/>
      <c r="N3101" s="394"/>
      <c r="O3101" s="394"/>
      <c r="P3101" s="394"/>
      <c r="Q3101" s="394"/>
      <c r="R3101" s="381"/>
      <c r="S3101" s="408"/>
      <c r="T3101" s="385"/>
      <c r="U3101" s="475"/>
      <c r="V3101" s="395"/>
      <c r="W3101" s="395"/>
      <c r="X3101" s="528"/>
      <c r="Y3101" s="523"/>
      <c r="Z3101" s="393"/>
      <c r="AA3101" s="394"/>
      <c r="AB3101" s="394"/>
      <c r="AC3101" s="394"/>
      <c r="AD3101" s="394"/>
      <c r="AE3101" s="394"/>
      <c r="AF3101" s="394"/>
      <c r="AG3101" s="394"/>
      <c r="AH3101" s="394"/>
      <c r="AI3101" s="394"/>
      <c r="AJ3101" s="394"/>
      <c r="AK3101" s="381"/>
      <c r="AL3101" s="408"/>
      <c r="AM3101" s="385"/>
      <c r="AN3101" s="475"/>
      <c r="AO3101" s="395"/>
      <c r="AP3101" s="395"/>
      <c r="AQ3101" s="528"/>
      <c r="AR3101" s="523">
        <v>1</v>
      </c>
      <c r="AS3101" s="393"/>
      <c r="AT3101" s="600">
        <v>19.62182</v>
      </c>
      <c r="AU3101" s="394">
        <v>16.370840000000001</v>
      </c>
      <c r="AV3101" s="394">
        <v>15.31906</v>
      </c>
      <c r="AW3101" s="394"/>
      <c r="AX3101" s="394"/>
      <c r="AY3101" s="394">
        <v>0</v>
      </c>
      <c r="AZ3101" s="394">
        <v>0</v>
      </c>
      <c r="BA3101" s="394">
        <v>0.75790000000000002</v>
      </c>
      <c r="BB3101" s="394">
        <v>15.31906</v>
      </c>
      <c r="BC3101" s="394"/>
      <c r="BD3101" s="381" t="s">
        <v>167</v>
      </c>
      <c r="BE3101" s="408" t="s">
        <v>175</v>
      </c>
      <c r="BF3101" s="385"/>
      <c r="BG3101" s="475">
        <v>1051</v>
      </c>
      <c r="BH3101" s="395"/>
      <c r="BI3101" s="395">
        <f t="shared" ref="BI3101" si="1200">AT3101/AR3101</f>
        <v>19.62182</v>
      </c>
    </row>
    <row r="3102" spans="1:61" s="358" customFormat="1" ht="19.2" x14ac:dyDescent="0.3">
      <c r="A3102" s="359" t="s">
        <v>2055</v>
      </c>
      <c r="B3102" s="602" t="s">
        <v>5772</v>
      </c>
      <c r="C3102" s="548" t="s">
        <v>5773</v>
      </c>
      <c r="D3102" s="360">
        <v>0.4</v>
      </c>
      <c r="E3102" s="528"/>
      <c r="F3102" s="523"/>
      <c r="G3102" s="393"/>
      <c r="H3102" s="394"/>
      <c r="I3102" s="394"/>
      <c r="J3102" s="394"/>
      <c r="K3102" s="394"/>
      <c r="L3102" s="394"/>
      <c r="M3102" s="394"/>
      <c r="N3102" s="394"/>
      <c r="O3102" s="394"/>
      <c r="P3102" s="394"/>
      <c r="Q3102" s="394"/>
      <c r="R3102" s="381"/>
      <c r="S3102" s="408"/>
      <c r="T3102" s="385"/>
      <c r="U3102" s="475"/>
      <c r="V3102" s="395"/>
      <c r="W3102" s="395"/>
      <c r="X3102" s="528"/>
      <c r="Y3102" s="523"/>
      <c r="Z3102" s="393"/>
      <c r="AA3102" s="394"/>
      <c r="AB3102" s="394"/>
      <c r="AC3102" s="394"/>
      <c r="AD3102" s="394"/>
      <c r="AE3102" s="394"/>
      <c r="AF3102" s="394"/>
      <c r="AG3102" s="394"/>
      <c r="AH3102" s="394"/>
      <c r="AI3102" s="394"/>
      <c r="AJ3102" s="394"/>
      <c r="AK3102" s="381"/>
      <c r="AL3102" s="408"/>
      <c r="AM3102" s="385"/>
      <c r="AN3102" s="475"/>
      <c r="AO3102" s="395"/>
      <c r="AP3102" s="395"/>
      <c r="AQ3102" s="528"/>
      <c r="AR3102" s="523">
        <v>1</v>
      </c>
      <c r="AS3102" s="393"/>
      <c r="AT3102" s="600">
        <v>19.62181</v>
      </c>
      <c r="AU3102" s="394">
        <v>16.370830000000002</v>
      </c>
      <c r="AV3102" s="394">
        <v>15.31906</v>
      </c>
      <c r="AW3102" s="394"/>
      <c r="AX3102" s="394"/>
      <c r="AY3102" s="394">
        <v>0</v>
      </c>
      <c r="AZ3102" s="394">
        <v>0</v>
      </c>
      <c r="BA3102" s="394">
        <v>0.75790000000000002</v>
      </c>
      <c r="BB3102" s="394">
        <v>15.31906</v>
      </c>
      <c r="BC3102" s="394"/>
      <c r="BD3102" s="381" t="s">
        <v>167</v>
      </c>
      <c r="BE3102" s="408" t="s">
        <v>175</v>
      </c>
      <c r="BF3102" s="385"/>
      <c r="BG3102" s="475">
        <v>1052</v>
      </c>
      <c r="BH3102" s="395"/>
      <c r="BI3102" s="395">
        <f t="shared" si="1059"/>
        <v>19.62181</v>
      </c>
    </row>
    <row r="3103" spans="1:61" s="358" customFormat="1" ht="19.2" x14ac:dyDescent="0.3">
      <c r="A3103" s="359" t="s">
        <v>2056</v>
      </c>
      <c r="B3103" s="602" t="s">
        <v>5774</v>
      </c>
      <c r="C3103" s="548" t="s">
        <v>5775</v>
      </c>
      <c r="D3103" s="360">
        <v>0.4</v>
      </c>
      <c r="E3103" s="528"/>
      <c r="F3103" s="523"/>
      <c r="G3103" s="393"/>
      <c r="H3103" s="394"/>
      <c r="I3103" s="394"/>
      <c r="J3103" s="394"/>
      <c r="K3103" s="394"/>
      <c r="L3103" s="394"/>
      <c r="M3103" s="394"/>
      <c r="N3103" s="394"/>
      <c r="O3103" s="394"/>
      <c r="P3103" s="394"/>
      <c r="Q3103" s="394"/>
      <c r="R3103" s="381"/>
      <c r="S3103" s="408"/>
      <c r="T3103" s="385"/>
      <c r="U3103" s="475"/>
      <c r="V3103" s="395"/>
      <c r="W3103" s="395"/>
      <c r="X3103" s="528"/>
      <c r="Y3103" s="523"/>
      <c r="Z3103" s="393"/>
      <c r="AA3103" s="394"/>
      <c r="AB3103" s="394"/>
      <c r="AC3103" s="394"/>
      <c r="AD3103" s="394"/>
      <c r="AE3103" s="394"/>
      <c r="AF3103" s="394"/>
      <c r="AG3103" s="394"/>
      <c r="AH3103" s="394"/>
      <c r="AI3103" s="394"/>
      <c r="AJ3103" s="394"/>
      <c r="AK3103" s="381"/>
      <c r="AL3103" s="408"/>
      <c r="AM3103" s="385"/>
      <c r="AN3103" s="475"/>
      <c r="AO3103" s="395"/>
      <c r="AP3103" s="395"/>
      <c r="AQ3103" s="528"/>
      <c r="AR3103" s="523">
        <v>1</v>
      </c>
      <c r="AS3103" s="393"/>
      <c r="AT3103" s="600">
        <v>19.62182</v>
      </c>
      <c r="AU3103" s="394">
        <v>16.370840000000001</v>
      </c>
      <c r="AV3103" s="394">
        <v>15.31906</v>
      </c>
      <c r="AW3103" s="394"/>
      <c r="AX3103" s="394"/>
      <c r="AY3103" s="394">
        <v>0</v>
      </c>
      <c r="AZ3103" s="394">
        <v>0</v>
      </c>
      <c r="BA3103" s="394">
        <v>0.75790000000000002</v>
      </c>
      <c r="BB3103" s="394">
        <v>15.31906</v>
      </c>
      <c r="BC3103" s="394"/>
      <c r="BD3103" s="381" t="s">
        <v>167</v>
      </c>
      <c r="BE3103" s="408" t="s">
        <v>175</v>
      </c>
      <c r="BF3103" s="385"/>
      <c r="BG3103" s="475">
        <v>1053</v>
      </c>
      <c r="BH3103" s="395"/>
      <c r="BI3103" s="395">
        <f t="shared" ref="BI3103" si="1201">AT3103/AR3103</f>
        <v>19.62182</v>
      </c>
    </row>
    <row r="3104" spans="1:61" s="358" customFormat="1" ht="19.2" x14ac:dyDescent="0.3">
      <c r="A3104" s="359" t="s">
        <v>2057</v>
      </c>
      <c r="B3104" s="602" t="s">
        <v>5776</v>
      </c>
      <c r="C3104" s="548" t="s">
        <v>5777</v>
      </c>
      <c r="D3104" s="360">
        <v>0.4</v>
      </c>
      <c r="E3104" s="528"/>
      <c r="F3104" s="523"/>
      <c r="G3104" s="393"/>
      <c r="H3104" s="394"/>
      <c r="I3104" s="394"/>
      <c r="J3104" s="394"/>
      <c r="K3104" s="394"/>
      <c r="L3104" s="394"/>
      <c r="M3104" s="394"/>
      <c r="N3104" s="394"/>
      <c r="O3104" s="394"/>
      <c r="P3104" s="394"/>
      <c r="Q3104" s="394"/>
      <c r="R3104" s="381"/>
      <c r="S3104" s="408"/>
      <c r="T3104" s="385"/>
      <c r="U3104" s="475"/>
      <c r="V3104" s="395"/>
      <c r="W3104" s="395"/>
      <c r="X3104" s="528"/>
      <c r="Y3104" s="523"/>
      <c r="Z3104" s="393"/>
      <c r="AA3104" s="394"/>
      <c r="AB3104" s="394"/>
      <c r="AC3104" s="394"/>
      <c r="AD3104" s="394"/>
      <c r="AE3104" s="394"/>
      <c r="AF3104" s="394"/>
      <c r="AG3104" s="394"/>
      <c r="AH3104" s="394"/>
      <c r="AI3104" s="394"/>
      <c r="AJ3104" s="394"/>
      <c r="AK3104" s="381"/>
      <c r="AL3104" s="408"/>
      <c r="AM3104" s="385"/>
      <c r="AN3104" s="475"/>
      <c r="AO3104" s="395"/>
      <c r="AP3104" s="395"/>
      <c r="AQ3104" s="528"/>
      <c r="AR3104" s="523">
        <v>1</v>
      </c>
      <c r="AS3104" s="393"/>
      <c r="AT3104" s="600">
        <v>19.62181</v>
      </c>
      <c r="AU3104" s="394">
        <v>16.370830000000002</v>
      </c>
      <c r="AV3104" s="394">
        <v>15.31906</v>
      </c>
      <c r="AW3104" s="394"/>
      <c r="AX3104" s="394"/>
      <c r="AY3104" s="394">
        <v>0</v>
      </c>
      <c r="AZ3104" s="394">
        <v>0</v>
      </c>
      <c r="BA3104" s="394">
        <v>0.75790000000000002</v>
      </c>
      <c r="BB3104" s="394">
        <v>15.31906</v>
      </c>
      <c r="BC3104" s="394"/>
      <c r="BD3104" s="381" t="s">
        <v>167</v>
      </c>
      <c r="BE3104" s="408" t="s">
        <v>175</v>
      </c>
      <c r="BF3104" s="385"/>
      <c r="BG3104" s="475">
        <v>1054</v>
      </c>
      <c r="BH3104" s="395"/>
      <c r="BI3104" s="395">
        <f t="shared" si="1059"/>
        <v>19.62181</v>
      </c>
    </row>
    <row r="3105" spans="1:61" s="358" customFormat="1" ht="19.2" x14ac:dyDescent="0.3">
      <c r="A3105" s="359" t="s">
        <v>2058</v>
      </c>
      <c r="B3105" s="602" t="s">
        <v>5778</v>
      </c>
      <c r="C3105" s="548" t="s">
        <v>5779</v>
      </c>
      <c r="D3105" s="360">
        <v>0.4</v>
      </c>
      <c r="E3105" s="528"/>
      <c r="F3105" s="523"/>
      <c r="G3105" s="393"/>
      <c r="H3105" s="394"/>
      <c r="I3105" s="394"/>
      <c r="J3105" s="394"/>
      <c r="K3105" s="394"/>
      <c r="L3105" s="394"/>
      <c r="M3105" s="394"/>
      <c r="N3105" s="394"/>
      <c r="O3105" s="394"/>
      <c r="P3105" s="394"/>
      <c r="Q3105" s="394"/>
      <c r="R3105" s="381"/>
      <c r="S3105" s="408"/>
      <c r="T3105" s="385"/>
      <c r="U3105" s="475"/>
      <c r="V3105" s="395"/>
      <c r="W3105" s="395"/>
      <c r="X3105" s="528"/>
      <c r="Y3105" s="523"/>
      <c r="Z3105" s="393"/>
      <c r="AA3105" s="394"/>
      <c r="AB3105" s="394"/>
      <c r="AC3105" s="394"/>
      <c r="AD3105" s="394"/>
      <c r="AE3105" s="394"/>
      <c r="AF3105" s="394"/>
      <c r="AG3105" s="394"/>
      <c r="AH3105" s="394"/>
      <c r="AI3105" s="394"/>
      <c r="AJ3105" s="394"/>
      <c r="AK3105" s="381"/>
      <c r="AL3105" s="408"/>
      <c r="AM3105" s="385"/>
      <c r="AN3105" s="475"/>
      <c r="AO3105" s="395"/>
      <c r="AP3105" s="395"/>
      <c r="AQ3105" s="528"/>
      <c r="AR3105" s="523">
        <v>1</v>
      </c>
      <c r="AS3105" s="393"/>
      <c r="AT3105" s="600">
        <v>19.62181</v>
      </c>
      <c r="AU3105" s="394">
        <v>16.370830000000002</v>
      </c>
      <c r="AV3105" s="394">
        <v>15.31906</v>
      </c>
      <c r="AW3105" s="394"/>
      <c r="AX3105" s="394"/>
      <c r="AY3105" s="394">
        <v>0</v>
      </c>
      <c r="AZ3105" s="394">
        <v>0</v>
      </c>
      <c r="BA3105" s="394">
        <v>0.75790000000000002</v>
      </c>
      <c r="BB3105" s="394">
        <v>15.31906</v>
      </c>
      <c r="BC3105" s="394"/>
      <c r="BD3105" s="381" t="s">
        <v>167</v>
      </c>
      <c r="BE3105" s="408" t="s">
        <v>175</v>
      </c>
      <c r="BF3105" s="385"/>
      <c r="BG3105" s="475">
        <v>1055</v>
      </c>
      <c r="BH3105" s="395"/>
      <c r="BI3105" s="395">
        <f t="shared" ref="BI3105" si="1202">AT3105/AR3105</f>
        <v>19.62181</v>
      </c>
    </row>
    <row r="3106" spans="1:61" s="358" customFormat="1" ht="19.2" x14ac:dyDescent="0.3">
      <c r="A3106" s="359" t="s">
        <v>2059</v>
      </c>
      <c r="B3106" s="602" t="s">
        <v>5780</v>
      </c>
      <c r="C3106" s="548" t="s">
        <v>5781</v>
      </c>
      <c r="D3106" s="360">
        <v>0.4</v>
      </c>
      <c r="E3106" s="528"/>
      <c r="F3106" s="523"/>
      <c r="G3106" s="393"/>
      <c r="H3106" s="394"/>
      <c r="I3106" s="394"/>
      <c r="J3106" s="394"/>
      <c r="K3106" s="394"/>
      <c r="L3106" s="394"/>
      <c r="M3106" s="394"/>
      <c r="N3106" s="394"/>
      <c r="O3106" s="394"/>
      <c r="P3106" s="394"/>
      <c r="Q3106" s="394"/>
      <c r="R3106" s="381"/>
      <c r="S3106" s="408"/>
      <c r="T3106" s="385"/>
      <c r="U3106" s="475"/>
      <c r="V3106" s="395"/>
      <c r="W3106" s="395"/>
      <c r="X3106" s="528"/>
      <c r="Y3106" s="523"/>
      <c r="Z3106" s="393"/>
      <c r="AA3106" s="394"/>
      <c r="AB3106" s="394"/>
      <c r="AC3106" s="394"/>
      <c r="AD3106" s="394"/>
      <c r="AE3106" s="394"/>
      <c r="AF3106" s="394"/>
      <c r="AG3106" s="394"/>
      <c r="AH3106" s="394"/>
      <c r="AI3106" s="394"/>
      <c r="AJ3106" s="394"/>
      <c r="AK3106" s="381"/>
      <c r="AL3106" s="408"/>
      <c r="AM3106" s="385"/>
      <c r="AN3106" s="475"/>
      <c r="AO3106" s="395"/>
      <c r="AP3106" s="395"/>
      <c r="AQ3106" s="528"/>
      <c r="AR3106" s="523">
        <v>1</v>
      </c>
      <c r="AS3106" s="393"/>
      <c r="AT3106" s="600">
        <v>19.62182</v>
      </c>
      <c r="AU3106" s="394">
        <v>16.370840000000001</v>
      </c>
      <c r="AV3106" s="394">
        <v>15.31906</v>
      </c>
      <c r="AW3106" s="394"/>
      <c r="AX3106" s="394"/>
      <c r="AY3106" s="394">
        <v>0</v>
      </c>
      <c r="AZ3106" s="394">
        <v>0</v>
      </c>
      <c r="BA3106" s="394">
        <v>0.75790000000000002</v>
      </c>
      <c r="BB3106" s="394">
        <v>15.31906</v>
      </c>
      <c r="BC3106" s="394"/>
      <c r="BD3106" s="381" t="s">
        <v>167</v>
      </c>
      <c r="BE3106" s="408" t="s">
        <v>175</v>
      </c>
      <c r="BF3106" s="385"/>
      <c r="BG3106" s="475">
        <v>1056</v>
      </c>
      <c r="BH3106" s="395"/>
      <c r="BI3106" s="395">
        <f t="shared" si="1059"/>
        <v>19.62182</v>
      </c>
    </row>
    <row r="3107" spans="1:61" s="358" customFormat="1" ht="19.2" x14ac:dyDescent="0.3">
      <c r="A3107" s="359" t="s">
        <v>2060</v>
      </c>
      <c r="B3107" s="602" t="s">
        <v>5782</v>
      </c>
      <c r="C3107" s="548" t="s">
        <v>5783</v>
      </c>
      <c r="D3107" s="360">
        <v>0.4</v>
      </c>
      <c r="E3107" s="528"/>
      <c r="F3107" s="523"/>
      <c r="G3107" s="393"/>
      <c r="H3107" s="394"/>
      <c r="I3107" s="394"/>
      <c r="J3107" s="394"/>
      <c r="K3107" s="394"/>
      <c r="L3107" s="394"/>
      <c r="M3107" s="394"/>
      <c r="N3107" s="394"/>
      <c r="O3107" s="394"/>
      <c r="P3107" s="394"/>
      <c r="Q3107" s="394"/>
      <c r="R3107" s="381"/>
      <c r="S3107" s="408"/>
      <c r="T3107" s="385"/>
      <c r="U3107" s="475"/>
      <c r="V3107" s="395"/>
      <c r="W3107" s="395"/>
      <c r="X3107" s="528"/>
      <c r="Y3107" s="523"/>
      <c r="Z3107" s="393"/>
      <c r="AA3107" s="394"/>
      <c r="AB3107" s="394"/>
      <c r="AC3107" s="394"/>
      <c r="AD3107" s="394"/>
      <c r="AE3107" s="394"/>
      <c r="AF3107" s="394"/>
      <c r="AG3107" s="394"/>
      <c r="AH3107" s="394"/>
      <c r="AI3107" s="394"/>
      <c r="AJ3107" s="394"/>
      <c r="AK3107" s="381"/>
      <c r="AL3107" s="408"/>
      <c r="AM3107" s="385"/>
      <c r="AN3107" s="475"/>
      <c r="AO3107" s="395"/>
      <c r="AP3107" s="395"/>
      <c r="AQ3107" s="528"/>
      <c r="AR3107" s="523">
        <v>1</v>
      </c>
      <c r="AS3107" s="393"/>
      <c r="AT3107" s="600">
        <v>19.62182</v>
      </c>
      <c r="AU3107" s="394">
        <v>16.370840000000001</v>
      </c>
      <c r="AV3107" s="394">
        <v>15.31906</v>
      </c>
      <c r="AW3107" s="394"/>
      <c r="AX3107" s="394"/>
      <c r="AY3107" s="394">
        <v>0</v>
      </c>
      <c r="AZ3107" s="394">
        <v>0</v>
      </c>
      <c r="BA3107" s="394">
        <v>0.75790000000000002</v>
      </c>
      <c r="BB3107" s="394">
        <v>15.31906</v>
      </c>
      <c r="BC3107" s="394"/>
      <c r="BD3107" s="381" t="s">
        <v>167</v>
      </c>
      <c r="BE3107" s="408" t="s">
        <v>175</v>
      </c>
      <c r="BF3107" s="385"/>
      <c r="BG3107" s="475">
        <v>1057</v>
      </c>
      <c r="BH3107" s="395"/>
      <c r="BI3107" s="395">
        <f t="shared" ref="BI3107" si="1203">AT3107/AR3107</f>
        <v>19.62182</v>
      </c>
    </row>
    <row r="3108" spans="1:61" s="358" customFormat="1" ht="19.2" x14ac:dyDescent="0.3">
      <c r="A3108" s="359" t="s">
        <v>2061</v>
      </c>
      <c r="B3108" s="602" t="s">
        <v>5784</v>
      </c>
      <c r="C3108" s="548" t="s">
        <v>5785</v>
      </c>
      <c r="D3108" s="360">
        <v>0.4</v>
      </c>
      <c r="E3108" s="528"/>
      <c r="F3108" s="523"/>
      <c r="G3108" s="393"/>
      <c r="H3108" s="394"/>
      <c r="I3108" s="394"/>
      <c r="J3108" s="394"/>
      <c r="K3108" s="394"/>
      <c r="L3108" s="394"/>
      <c r="M3108" s="394"/>
      <c r="N3108" s="394"/>
      <c r="O3108" s="394"/>
      <c r="P3108" s="394"/>
      <c r="Q3108" s="394"/>
      <c r="R3108" s="381"/>
      <c r="S3108" s="408"/>
      <c r="T3108" s="385"/>
      <c r="U3108" s="475"/>
      <c r="V3108" s="395"/>
      <c r="W3108" s="395"/>
      <c r="X3108" s="528"/>
      <c r="Y3108" s="523"/>
      <c r="Z3108" s="393"/>
      <c r="AA3108" s="394"/>
      <c r="AB3108" s="394"/>
      <c r="AC3108" s="394"/>
      <c r="AD3108" s="394"/>
      <c r="AE3108" s="394"/>
      <c r="AF3108" s="394"/>
      <c r="AG3108" s="394"/>
      <c r="AH3108" s="394"/>
      <c r="AI3108" s="394"/>
      <c r="AJ3108" s="394"/>
      <c r="AK3108" s="381"/>
      <c r="AL3108" s="408"/>
      <c r="AM3108" s="385"/>
      <c r="AN3108" s="475"/>
      <c r="AO3108" s="395"/>
      <c r="AP3108" s="395"/>
      <c r="AQ3108" s="528"/>
      <c r="AR3108" s="523">
        <v>1</v>
      </c>
      <c r="AS3108" s="393"/>
      <c r="AT3108" s="600">
        <v>19.62181</v>
      </c>
      <c r="AU3108" s="394">
        <v>16.370830000000002</v>
      </c>
      <c r="AV3108" s="394">
        <v>15.31906</v>
      </c>
      <c r="AW3108" s="394"/>
      <c r="AX3108" s="394"/>
      <c r="AY3108" s="394">
        <v>0</v>
      </c>
      <c r="AZ3108" s="394">
        <v>0</v>
      </c>
      <c r="BA3108" s="394">
        <v>0.75790000000000002</v>
      </c>
      <c r="BB3108" s="394">
        <v>15.31906</v>
      </c>
      <c r="BC3108" s="394"/>
      <c r="BD3108" s="381" t="s">
        <v>167</v>
      </c>
      <c r="BE3108" s="408" t="s">
        <v>175</v>
      </c>
      <c r="BF3108" s="385"/>
      <c r="BG3108" s="475">
        <v>1058</v>
      </c>
      <c r="BH3108" s="395"/>
      <c r="BI3108" s="395">
        <f t="shared" si="1059"/>
        <v>19.62181</v>
      </c>
    </row>
    <row r="3109" spans="1:61" s="358" customFormat="1" ht="19.2" x14ac:dyDescent="0.3">
      <c r="A3109" s="359" t="s">
        <v>2062</v>
      </c>
      <c r="B3109" s="602" t="s">
        <v>1615</v>
      </c>
      <c r="C3109" s="548" t="s">
        <v>5786</v>
      </c>
      <c r="D3109" s="360">
        <v>0.4</v>
      </c>
      <c r="E3109" s="528"/>
      <c r="F3109" s="523"/>
      <c r="G3109" s="393"/>
      <c r="H3109" s="394"/>
      <c r="I3109" s="394"/>
      <c r="J3109" s="394"/>
      <c r="K3109" s="394"/>
      <c r="L3109" s="394"/>
      <c r="M3109" s="394"/>
      <c r="N3109" s="394"/>
      <c r="O3109" s="394"/>
      <c r="P3109" s="394"/>
      <c r="Q3109" s="394"/>
      <c r="R3109" s="381"/>
      <c r="S3109" s="408"/>
      <c r="T3109" s="385"/>
      <c r="U3109" s="475"/>
      <c r="V3109" s="395"/>
      <c r="W3109" s="395"/>
      <c r="X3109" s="528"/>
      <c r="Y3109" s="523"/>
      <c r="Z3109" s="393"/>
      <c r="AA3109" s="394"/>
      <c r="AB3109" s="394"/>
      <c r="AC3109" s="394"/>
      <c r="AD3109" s="394"/>
      <c r="AE3109" s="394"/>
      <c r="AF3109" s="394"/>
      <c r="AG3109" s="394"/>
      <c r="AH3109" s="394"/>
      <c r="AI3109" s="394"/>
      <c r="AJ3109" s="394"/>
      <c r="AK3109" s="381"/>
      <c r="AL3109" s="408"/>
      <c r="AM3109" s="385"/>
      <c r="AN3109" s="475"/>
      <c r="AO3109" s="395"/>
      <c r="AP3109" s="395"/>
      <c r="AQ3109" s="528"/>
      <c r="AR3109" s="523">
        <v>1</v>
      </c>
      <c r="AS3109" s="393"/>
      <c r="AT3109" s="600">
        <v>19.62182</v>
      </c>
      <c r="AU3109" s="394">
        <v>16.370840000000001</v>
      </c>
      <c r="AV3109" s="394">
        <v>15.31906</v>
      </c>
      <c r="AW3109" s="394"/>
      <c r="AX3109" s="394"/>
      <c r="AY3109" s="394">
        <v>0</v>
      </c>
      <c r="AZ3109" s="394">
        <v>0</v>
      </c>
      <c r="BA3109" s="394">
        <v>0.75790000000000002</v>
      </c>
      <c r="BB3109" s="394">
        <v>15.31906</v>
      </c>
      <c r="BC3109" s="394"/>
      <c r="BD3109" s="381" t="s">
        <v>167</v>
      </c>
      <c r="BE3109" s="408" t="s">
        <v>175</v>
      </c>
      <c r="BF3109" s="385"/>
      <c r="BG3109" s="475">
        <v>1059</v>
      </c>
      <c r="BH3109" s="395"/>
      <c r="BI3109" s="395">
        <f t="shared" ref="BI3109" si="1204">AT3109/AR3109</f>
        <v>19.62182</v>
      </c>
    </row>
    <row r="3110" spans="1:61" s="358" customFormat="1" ht="19.2" x14ac:dyDescent="0.3">
      <c r="A3110" s="359" t="s">
        <v>2063</v>
      </c>
      <c r="B3110" s="602" t="s">
        <v>5418</v>
      </c>
      <c r="C3110" s="548" t="s">
        <v>5787</v>
      </c>
      <c r="D3110" s="360">
        <v>0.4</v>
      </c>
      <c r="E3110" s="528"/>
      <c r="F3110" s="523"/>
      <c r="G3110" s="393"/>
      <c r="H3110" s="394"/>
      <c r="I3110" s="394"/>
      <c r="J3110" s="394"/>
      <c r="K3110" s="394"/>
      <c r="L3110" s="394"/>
      <c r="M3110" s="394"/>
      <c r="N3110" s="394"/>
      <c r="O3110" s="394"/>
      <c r="P3110" s="394"/>
      <c r="Q3110" s="394"/>
      <c r="R3110" s="381"/>
      <c r="S3110" s="408"/>
      <c r="T3110" s="385"/>
      <c r="U3110" s="475"/>
      <c r="V3110" s="395"/>
      <c r="W3110" s="395"/>
      <c r="X3110" s="528"/>
      <c r="Y3110" s="523"/>
      <c r="Z3110" s="393"/>
      <c r="AA3110" s="394"/>
      <c r="AB3110" s="394"/>
      <c r="AC3110" s="394"/>
      <c r="AD3110" s="394"/>
      <c r="AE3110" s="394"/>
      <c r="AF3110" s="394"/>
      <c r="AG3110" s="394"/>
      <c r="AH3110" s="394"/>
      <c r="AI3110" s="394"/>
      <c r="AJ3110" s="394"/>
      <c r="AK3110" s="381"/>
      <c r="AL3110" s="408"/>
      <c r="AM3110" s="385"/>
      <c r="AN3110" s="475"/>
      <c r="AO3110" s="395"/>
      <c r="AP3110" s="395"/>
      <c r="AQ3110" s="528"/>
      <c r="AR3110" s="523">
        <v>1</v>
      </c>
      <c r="AS3110" s="393"/>
      <c r="AT3110" s="600">
        <v>19.62182</v>
      </c>
      <c r="AU3110" s="394">
        <v>16.370840000000001</v>
      </c>
      <c r="AV3110" s="394">
        <v>15.31906</v>
      </c>
      <c r="AW3110" s="394"/>
      <c r="AX3110" s="394"/>
      <c r="AY3110" s="394">
        <v>0</v>
      </c>
      <c r="AZ3110" s="394">
        <v>0</v>
      </c>
      <c r="BA3110" s="394">
        <v>0.75790000000000002</v>
      </c>
      <c r="BB3110" s="394">
        <v>15.31906</v>
      </c>
      <c r="BC3110" s="394"/>
      <c r="BD3110" s="381" t="s">
        <v>167</v>
      </c>
      <c r="BE3110" s="408" t="s">
        <v>175</v>
      </c>
      <c r="BF3110" s="385"/>
      <c r="BG3110" s="475">
        <v>1060</v>
      </c>
      <c r="BH3110" s="395"/>
      <c r="BI3110" s="395">
        <f t="shared" si="1059"/>
        <v>19.62182</v>
      </c>
    </row>
    <row r="3111" spans="1:61" s="358" customFormat="1" ht="19.2" x14ac:dyDescent="0.3">
      <c r="A3111" s="359" t="s">
        <v>2064</v>
      </c>
      <c r="B3111" s="602" t="s">
        <v>5418</v>
      </c>
      <c r="C3111" s="548" t="s">
        <v>5788</v>
      </c>
      <c r="D3111" s="360">
        <v>0.4</v>
      </c>
      <c r="E3111" s="528"/>
      <c r="F3111" s="523"/>
      <c r="G3111" s="393"/>
      <c r="H3111" s="394"/>
      <c r="I3111" s="394"/>
      <c r="J3111" s="394"/>
      <c r="K3111" s="394"/>
      <c r="L3111" s="394"/>
      <c r="M3111" s="394"/>
      <c r="N3111" s="394"/>
      <c r="O3111" s="394"/>
      <c r="P3111" s="394"/>
      <c r="Q3111" s="394"/>
      <c r="R3111" s="381"/>
      <c r="S3111" s="408"/>
      <c r="T3111" s="385"/>
      <c r="U3111" s="475"/>
      <c r="V3111" s="395"/>
      <c r="W3111" s="395"/>
      <c r="X3111" s="528"/>
      <c r="Y3111" s="523"/>
      <c r="Z3111" s="393"/>
      <c r="AA3111" s="394"/>
      <c r="AB3111" s="394"/>
      <c r="AC3111" s="394"/>
      <c r="AD3111" s="394"/>
      <c r="AE3111" s="394"/>
      <c r="AF3111" s="394"/>
      <c r="AG3111" s="394"/>
      <c r="AH3111" s="394"/>
      <c r="AI3111" s="394"/>
      <c r="AJ3111" s="394"/>
      <c r="AK3111" s="381"/>
      <c r="AL3111" s="408"/>
      <c r="AM3111" s="385"/>
      <c r="AN3111" s="475"/>
      <c r="AO3111" s="395"/>
      <c r="AP3111" s="395"/>
      <c r="AQ3111" s="528"/>
      <c r="AR3111" s="523">
        <v>1</v>
      </c>
      <c r="AS3111" s="393"/>
      <c r="AT3111" s="600">
        <v>19.62182</v>
      </c>
      <c r="AU3111" s="394">
        <v>16.370840000000001</v>
      </c>
      <c r="AV3111" s="394">
        <v>15.31906</v>
      </c>
      <c r="AW3111" s="394"/>
      <c r="AX3111" s="394"/>
      <c r="AY3111" s="394">
        <v>0</v>
      </c>
      <c r="AZ3111" s="394">
        <v>0</v>
      </c>
      <c r="BA3111" s="394">
        <v>0.75790000000000002</v>
      </c>
      <c r="BB3111" s="394">
        <v>15.31906</v>
      </c>
      <c r="BC3111" s="394"/>
      <c r="BD3111" s="381" t="s">
        <v>167</v>
      </c>
      <c r="BE3111" s="408" t="s">
        <v>175</v>
      </c>
      <c r="BF3111" s="385"/>
      <c r="BG3111" s="475">
        <v>1061</v>
      </c>
      <c r="BH3111" s="395"/>
      <c r="BI3111" s="395">
        <f t="shared" ref="BI3111" si="1205">AT3111/AR3111</f>
        <v>19.62182</v>
      </c>
    </row>
    <row r="3112" spans="1:61" s="358" customFormat="1" ht="19.2" x14ac:dyDescent="0.3">
      <c r="A3112" s="359" t="s">
        <v>2065</v>
      </c>
      <c r="B3112" s="602" t="s">
        <v>5789</v>
      </c>
      <c r="C3112" s="548" t="s">
        <v>5790</v>
      </c>
      <c r="D3112" s="360">
        <v>0.4</v>
      </c>
      <c r="E3112" s="528"/>
      <c r="F3112" s="523"/>
      <c r="G3112" s="393"/>
      <c r="H3112" s="394"/>
      <c r="I3112" s="394"/>
      <c r="J3112" s="394"/>
      <c r="K3112" s="394"/>
      <c r="L3112" s="394"/>
      <c r="M3112" s="394"/>
      <c r="N3112" s="394"/>
      <c r="O3112" s="394"/>
      <c r="P3112" s="394"/>
      <c r="Q3112" s="394"/>
      <c r="R3112" s="381"/>
      <c r="S3112" s="408"/>
      <c r="T3112" s="385"/>
      <c r="U3112" s="475"/>
      <c r="V3112" s="395"/>
      <c r="W3112" s="395"/>
      <c r="X3112" s="528"/>
      <c r="Y3112" s="523"/>
      <c r="Z3112" s="393"/>
      <c r="AA3112" s="394"/>
      <c r="AB3112" s="394"/>
      <c r="AC3112" s="394"/>
      <c r="AD3112" s="394"/>
      <c r="AE3112" s="394"/>
      <c r="AF3112" s="394"/>
      <c r="AG3112" s="394"/>
      <c r="AH3112" s="394"/>
      <c r="AI3112" s="394"/>
      <c r="AJ3112" s="394"/>
      <c r="AK3112" s="381"/>
      <c r="AL3112" s="408"/>
      <c r="AM3112" s="385"/>
      <c r="AN3112" s="475"/>
      <c r="AO3112" s="395"/>
      <c r="AP3112" s="395"/>
      <c r="AQ3112" s="528"/>
      <c r="AR3112" s="523">
        <v>1</v>
      </c>
      <c r="AS3112" s="393"/>
      <c r="AT3112" s="600">
        <v>19.62181</v>
      </c>
      <c r="AU3112" s="394">
        <v>16.370830000000002</v>
      </c>
      <c r="AV3112" s="394">
        <v>15.31906</v>
      </c>
      <c r="AW3112" s="394"/>
      <c r="AX3112" s="394"/>
      <c r="AY3112" s="394">
        <v>0</v>
      </c>
      <c r="AZ3112" s="394">
        <v>0</v>
      </c>
      <c r="BA3112" s="394">
        <v>0.75790000000000002</v>
      </c>
      <c r="BB3112" s="394">
        <v>15.31906</v>
      </c>
      <c r="BC3112" s="394"/>
      <c r="BD3112" s="381" t="s">
        <v>167</v>
      </c>
      <c r="BE3112" s="408" t="s">
        <v>175</v>
      </c>
      <c r="BF3112" s="385"/>
      <c r="BG3112" s="475">
        <v>1062</v>
      </c>
      <c r="BH3112" s="395"/>
      <c r="BI3112" s="395">
        <f t="shared" si="1059"/>
        <v>19.62181</v>
      </c>
    </row>
    <row r="3113" spans="1:61" s="358" customFormat="1" ht="19.2" x14ac:dyDescent="0.3">
      <c r="A3113" s="359" t="s">
        <v>2066</v>
      </c>
      <c r="B3113" s="602" t="s">
        <v>5791</v>
      </c>
      <c r="C3113" s="548" t="s">
        <v>5792</v>
      </c>
      <c r="D3113" s="360">
        <v>0.4</v>
      </c>
      <c r="E3113" s="528"/>
      <c r="F3113" s="523"/>
      <c r="G3113" s="393"/>
      <c r="H3113" s="394"/>
      <c r="I3113" s="394"/>
      <c r="J3113" s="394"/>
      <c r="K3113" s="394"/>
      <c r="L3113" s="394"/>
      <c r="M3113" s="394"/>
      <c r="N3113" s="394"/>
      <c r="O3113" s="394"/>
      <c r="P3113" s="394"/>
      <c r="Q3113" s="394"/>
      <c r="R3113" s="381"/>
      <c r="S3113" s="408"/>
      <c r="T3113" s="385"/>
      <c r="U3113" s="475"/>
      <c r="V3113" s="395"/>
      <c r="W3113" s="395"/>
      <c r="X3113" s="528"/>
      <c r="Y3113" s="523"/>
      <c r="Z3113" s="393"/>
      <c r="AA3113" s="394"/>
      <c r="AB3113" s="394"/>
      <c r="AC3113" s="394"/>
      <c r="AD3113" s="394"/>
      <c r="AE3113" s="394"/>
      <c r="AF3113" s="394"/>
      <c r="AG3113" s="394"/>
      <c r="AH3113" s="394"/>
      <c r="AI3113" s="394"/>
      <c r="AJ3113" s="394"/>
      <c r="AK3113" s="381"/>
      <c r="AL3113" s="408"/>
      <c r="AM3113" s="385"/>
      <c r="AN3113" s="475"/>
      <c r="AO3113" s="395"/>
      <c r="AP3113" s="395"/>
      <c r="AQ3113" s="528"/>
      <c r="AR3113" s="523">
        <v>1</v>
      </c>
      <c r="AS3113" s="393"/>
      <c r="AT3113" s="600">
        <v>19.62182</v>
      </c>
      <c r="AU3113" s="394">
        <v>16.370840000000001</v>
      </c>
      <c r="AV3113" s="394">
        <v>15.31906</v>
      </c>
      <c r="AW3113" s="394"/>
      <c r="AX3113" s="394"/>
      <c r="AY3113" s="394">
        <v>0</v>
      </c>
      <c r="AZ3113" s="394">
        <v>0</v>
      </c>
      <c r="BA3113" s="394">
        <v>0.75790000000000002</v>
      </c>
      <c r="BB3113" s="394">
        <v>15.31906</v>
      </c>
      <c r="BC3113" s="394"/>
      <c r="BD3113" s="381" t="s">
        <v>167</v>
      </c>
      <c r="BE3113" s="408" t="s">
        <v>175</v>
      </c>
      <c r="BF3113" s="385"/>
      <c r="BG3113" s="475">
        <v>1063</v>
      </c>
      <c r="BH3113" s="395"/>
      <c r="BI3113" s="395">
        <f t="shared" ref="BI3113" si="1206">AT3113/AR3113</f>
        <v>19.62182</v>
      </c>
    </row>
    <row r="3114" spans="1:61" s="358" customFormat="1" ht="19.2" x14ac:dyDescent="0.3">
      <c r="A3114" s="359" t="s">
        <v>2067</v>
      </c>
      <c r="B3114" s="602" t="s">
        <v>1363</v>
      </c>
      <c r="C3114" s="548" t="s">
        <v>5793</v>
      </c>
      <c r="D3114" s="360">
        <v>0.4</v>
      </c>
      <c r="E3114" s="528"/>
      <c r="F3114" s="523"/>
      <c r="G3114" s="393"/>
      <c r="H3114" s="394"/>
      <c r="I3114" s="394"/>
      <c r="J3114" s="394"/>
      <c r="K3114" s="394"/>
      <c r="L3114" s="394"/>
      <c r="M3114" s="394"/>
      <c r="N3114" s="394"/>
      <c r="O3114" s="394"/>
      <c r="P3114" s="394"/>
      <c r="Q3114" s="394"/>
      <c r="R3114" s="381"/>
      <c r="S3114" s="408"/>
      <c r="T3114" s="385"/>
      <c r="U3114" s="475"/>
      <c r="V3114" s="395"/>
      <c r="W3114" s="395"/>
      <c r="X3114" s="528"/>
      <c r="Y3114" s="523"/>
      <c r="Z3114" s="393"/>
      <c r="AA3114" s="394"/>
      <c r="AB3114" s="394"/>
      <c r="AC3114" s="394"/>
      <c r="AD3114" s="394"/>
      <c r="AE3114" s="394"/>
      <c r="AF3114" s="394"/>
      <c r="AG3114" s="394"/>
      <c r="AH3114" s="394"/>
      <c r="AI3114" s="394"/>
      <c r="AJ3114" s="394"/>
      <c r="AK3114" s="381"/>
      <c r="AL3114" s="408"/>
      <c r="AM3114" s="385"/>
      <c r="AN3114" s="475"/>
      <c r="AO3114" s="395"/>
      <c r="AP3114" s="395"/>
      <c r="AQ3114" s="528"/>
      <c r="AR3114" s="523">
        <v>1</v>
      </c>
      <c r="AS3114" s="393"/>
      <c r="AT3114" s="600">
        <v>19.6218</v>
      </c>
      <c r="AU3114" s="394">
        <v>16.370819999999998</v>
      </c>
      <c r="AV3114" s="394">
        <v>15.31906</v>
      </c>
      <c r="AW3114" s="394"/>
      <c r="AX3114" s="394"/>
      <c r="AY3114" s="394">
        <v>0</v>
      </c>
      <c r="AZ3114" s="394">
        <v>0</v>
      </c>
      <c r="BA3114" s="394">
        <v>0.75790000000000002</v>
      </c>
      <c r="BB3114" s="394">
        <v>15.31906</v>
      </c>
      <c r="BC3114" s="394"/>
      <c r="BD3114" s="381" t="s">
        <v>167</v>
      </c>
      <c r="BE3114" s="408" t="s">
        <v>175</v>
      </c>
      <c r="BF3114" s="385"/>
      <c r="BG3114" s="475">
        <v>1064</v>
      </c>
      <c r="BH3114" s="395"/>
      <c r="BI3114" s="395">
        <f t="shared" si="1059"/>
        <v>19.6218</v>
      </c>
    </row>
    <row r="3115" spans="1:61" s="358" customFormat="1" ht="19.2" x14ac:dyDescent="0.3">
      <c r="A3115" s="359" t="s">
        <v>2068</v>
      </c>
      <c r="B3115" s="602" t="s">
        <v>1363</v>
      </c>
      <c r="C3115" s="548" t="s">
        <v>5794</v>
      </c>
      <c r="D3115" s="360">
        <v>0.4</v>
      </c>
      <c r="E3115" s="528"/>
      <c r="F3115" s="523"/>
      <c r="G3115" s="393"/>
      <c r="H3115" s="394"/>
      <c r="I3115" s="394"/>
      <c r="J3115" s="394"/>
      <c r="K3115" s="394"/>
      <c r="L3115" s="394"/>
      <c r="M3115" s="394"/>
      <c r="N3115" s="394"/>
      <c r="O3115" s="394"/>
      <c r="P3115" s="394"/>
      <c r="Q3115" s="394"/>
      <c r="R3115" s="381"/>
      <c r="S3115" s="408"/>
      <c r="T3115" s="385"/>
      <c r="U3115" s="475"/>
      <c r="V3115" s="395"/>
      <c r="W3115" s="395"/>
      <c r="X3115" s="528"/>
      <c r="Y3115" s="523"/>
      <c r="Z3115" s="393"/>
      <c r="AA3115" s="394"/>
      <c r="AB3115" s="394"/>
      <c r="AC3115" s="394"/>
      <c r="AD3115" s="394"/>
      <c r="AE3115" s="394"/>
      <c r="AF3115" s="394"/>
      <c r="AG3115" s="394"/>
      <c r="AH3115" s="394"/>
      <c r="AI3115" s="394"/>
      <c r="AJ3115" s="394"/>
      <c r="AK3115" s="381"/>
      <c r="AL3115" s="408"/>
      <c r="AM3115" s="385"/>
      <c r="AN3115" s="475"/>
      <c r="AO3115" s="395"/>
      <c r="AP3115" s="395"/>
      <c r="AQ3115" s="528"/>
      <c r="AR3115" s="523">
        <v>1</v>
      </c>
      <c r="AS3115" s="393"/>
      <c r="AT3115" s="600">
        <v>19.62181</v>
      </c>
      <c r="AU3115" s="394">
        <v>16.370830000000002</v>
      </c>
      <c r="AV3115" s="394">
        <v>15.31906</v>
      </c>
      <c r="AW3115" s="394"/>
      <c r="AX3115" s="394"/>
      <c r="AY3115" s="394">
        <v>0</v>
      </c>
      <c r="AZ3115" s="394">
        <v>0</v>
      </c>
      <c r="BA3115" s="394">
        <v>0.75790000000000002</v>
      </c>
      <c r="BB3115" s="394">
        <v>15.31906</v>
      </c>
      <c r="BC3115" s="394"/>
      <c r="BD3115" s="381" t="s">
        <v>167</v>
      </c>
      <c r="BE3115" s="408" t="s">
        <v>175</v>
      </c>
      <c r="BF3115" s="385"/>
      <c r="BG3115" s="475">
        <v>1065</v>
      </c>
      <c r="BH3115" s="395"/>
      <c r="BI3115" s="395">
        <f t="shared" ref="BI3115" si="1207">AT3115/AR3115</f>
        <v>19.62181</v>
      </c>
    </row>
    <row r="3116" spans="1:61" s="358" customFormat="1" ht="19.2" x14ac:dyDescent="0.3">
      <c r="A3116" s="359" t="s">
        <v>2069</v>
      </c>
      <c r="B3116" s="602" t="s">
        <v>5418</v>
      </c>
      <c r="C3116" s="548" t="s">
        <v>5795</v>
      </c>
      <c r="D3116" s="360">
        <v>0.4</v>
      </c>
      <c r="E3116" s="528"/>
      <c r="F3116" s="523"/>
      <c r="G3116" s="393"/>
      <c r="H3116" s="394"/>
      <c r="I3116" s="394"/>
      <c r="J3116" s="394"/>
      <c r="K3116" s="394"/>
      <c r="L3116" s="394"/>
      <c r="M3116" s="394"/>
      <c r="N3116" s="394"/>
      <c r="O3116" s="394"/>
      <c r="P3116" s="394"/>
      <c r="Q3116" s="394"/>
      <c r="R3116" s="381"/>
      <c r="S3116" s="408"/>
      <c r="T3116" s="385"/>
      <c r="U3116" s="475"/>
      <c r="V3116" s="395"/>
      <c r="W3116" s="395"/>
      <c r="X3116" s="528"/>
      <c r="Y3116" s="523"/>
      <c r="Z3116" s="393"/>
      <c r="AA3116" s="394"/>
      <c r="AB3116" s="394"/>
      <c r="AC3116" s="394"/>
      <c r="AD3116" s="394"/>
      <c r="AE3116" s="394"/>
      <c r="AF3116" s="394"/>
      <c r="AG3116" s="394"/>
      <c r="AH3116" s="394"/>
      <c r="AI3116" s="394"/>
      <c r="AJ3116" s="394"/>
      <c r="AK3116" s="381"/>
      <c r="AL3116" s="408"/>
      <c r="AM3116" s="385"/>
      <c r="AN3116" s="475"/>
      <c r="AO3116" s="395"/>
      <c r="AP3116" s="395"/>
      <c r="AQ3116" s="528"/>
      <c r="AR3116" s="523">
        <v>1</v>
      </c>
      <c r="AS3116" s="393"/>
      <c r="AT3116" s="600">
        <v>19.6218</v>
      </c>
      <c r="AU3116" s="394">
        <v>16.370819999999998</v>
      </c>
      <c r="AV3116" s="394">
        <v>15.31906</v>
      </c>
      <c r="AW3116" s="394"/>
      <c r="AX3116" s="394"/>
      <c r="AY3116" s="394">
        <v>0</v>
      </c>
      <c r="AZ3116" s="394">
        <v>0</v>
      </c>
      <c r="BA3116" s="394">
        <v>0.75790000000000002</v>
      </c>
      <c r="BB3116" s="394">
        <v>15.31906</v>
      </c>
      <c r="BC3116" s="394"/>
      <c r="BD3116" s="381" t="s">
        <v>167</v>
      </c>
      <c r="BE3116" s="408" t="s">
        <v>175</v>
      </c>
      <c r="BF3116" s="385"/>
      <c r="BG3116" s="475">
        <v>1066</v>
      </c>
      <c r="BH3116" s="395"/>
      <c r="BI3116" s="395">
        <f t="shared" si="1059"/>
        <v>19.6218</v>
      </c>
    </row>
    <row r="3117" spans="1:61" s="358" customFormat="1" ht="19.2" x14ac:dyDescent="0.3">
      <c r="A3117" s="359" t="s">
        <v>2070</v>
      </c>
      <c r="B3117" s="602" t="s">
        <v>5796</v>
      </c>
      <c r="C3117" s="548" t="s">
        <v>5797</v>
      </c>
      <c r="D3117" s="360">
        <v>0.4</v>
      </c>
      <c r="E3117" s="528"/>
      <c r="F3117" s="523"/>
      <c r="G3117" s="393"/>
      <c r="H3117" s="394"/>
      <c r="I3117" s="394"/>
      <c r="J3117" s="394"/>
      <c r="K3117" s="394"/>
      <c r="L3117" s="394"/>
      <c r="M3117" s="394"/>
      <c r="N3117" s="394"/>
      <c r="O3117" s="394"/>
      <c r="P3117" s="394"/>
      <c r="Q3117" s="394"/>
      <c r="R3117" s="381"/>
      <c r="S3117" s="408"/>
      <c r="T3117" s="385"/>
      <c r="U3117" s="475"/>
      <c r="V3117" s="395"/>
      <c r="W3117" s="395"/>
      <c r="X3117" s="528"/>
      <c r="Y3117" s="523"/>
      <c r="Z3117" s="393"/>
      <c r="AA3117" s="394"/>
      <c r="AB3117" s="394"/>
      <c r="AC3117" s="394"/>
      <c r="AD3117" s="394"/>
      <c r="AE3117" s="394"/>
      <c r="AF3117" s="394"/>
      <c r="AG3117" s="394"/>
      <c r="AH3117" s="394"/>
      <c r="AI3117" s="394"/>
      <c r="AJ3117" s="394"/>
      <c r="AK3117" s="381"/>
      <c r="AL3117" s="408"/>
      <c r="AM3117" s="385"/>
      <c r="AN3117" s="475"/>
      <c r="AO3117" s="395"/>
      <c r="AP3117" s="395"/>
      <c r="AQ3117" s="528"/>
      <c r="AR3117" s="523">
        <v>1</v>
      </c>
      <c r="AS3117" s="393"/>
      <c r="AT3117" s="600">
        <v>19.62181</v>
      </c>
      <c r="AU3117" s="394">
        <v>16.370830000000002</v>
      </c>
      <c r="AV3117" s="394">
        <v>15.31906</v>
      </c>
      <c r="AW3117" s="394"/>
      <c r="AX3117" s="394"/>
      <c r="AY3117" s="394">
        <v>0</v>
      </c>
      <c r="AZ3117" s="394">
        <v>0</v>
      </c>
      <c r="BA3117" s="394">
        <v>0.75790000000000002</v>
      </c>
      <c r="BB3117" s="394">
        <v>15.31906</v>
      </c>
      <c r="BC3117" s="394"/>
      <c r="BD3117" s="381" t="s">
        <v>167</v>
      </c>
      <c r="BE3117" s="408" t="s">
        <v>175</v>
      </c>
      <c r="BF3117" s="385"/>
      <c r="BG3117" s="475">
        <v>1067</v>
      </c>
      <c r="BH3117" s="395"/>
      <c r="BI3117" s="395">
        <f t="shared" ref="BI3117" si="1208">AT3117/AR3117</f>
        <v>19.62181</v>
      </c>
    </row>
    <row r="3118" spans="1:61" s="358" customFormat="1" ht="19.2" x14ac:dyDescent="0.3">
      <c r="A3118" s="359" t="s">
        <v>2071</v>
      </c>
      <c r="B3118" s="602" t="s">
        <v>5798</v>
      </c>
      <c r="C3118" s="548" t="s">
        <v>5799</v>
      </c>
      <c r="D3118" s="360">
        <v>0.4</v>
      </c>
      <c r="E3118" s="528"/>
      <c r="F3118" s="523"/>
      <c r="G3118" s="393"/>
      <c r="H3118" s="394"/>
      <c r="I3118" s="394"/>
      <c r="J3118" s="394"/>
      <c r="K3118" s="394"/>
      <c r="L3118" s="394"/>
      <c r="M3118" s="394"/>
      <c r="N3118" s="394"/>
      <c r="O3118" s="394"/>
      <c r="P3118" s="394"/>
      <c r="Q3118" s="394"/>
      <c r="R3118" s="381"/>
      <c r="S3118" s="408"/>
      <c r="T3118" s="385"/>
      <c r="U3118" s="475"/>
      <c r="V3118" s="395"/>
      <c r="W3118" s="395"/>
      <c r="X3118" s="528"/>
      <c r="Y3118" s="523"/>
      <c r="Z3118" s="393"/>
      <c r="AA3118" s="394"/>
      <c r="AB3118" s="394"/>
      <c r="AC3118" s="394"/>
      <c r="AD3118" s="394"/>
      <c r="AE3118" s="394"/>
      <c r="AF3118" s="394"/>
      <c r="AG3118" s="394"/>
      <c r="AH3118" s="394"/>
      <c r="AI3118" s="394"/>
      <c r="AJ3118" s="394"/>
      <c r="AK3118" s="381"/>
      <c r="AL3118" s="408"/>
      <c r="AM3118" s="385"/>
      <c r="AN3118" s="475"/>
      <c r="AO3118" s="395"/>
      <c r="AP3118" s="395"/>
      <c r="AQ3118" s="528"/>
      <c r="AR3118" s="523">
        <v>1</v>
      </c>
      <c r="AS3118" s="393"/>
      <c r="AT3118" s="600">
        <v>19.62182</v>
      </c>
      <c r="AU3118" s="394">
        <v>16.370840000000001</v>
      </c>
      <c r="AV3118" s="394">
        <v>15.31906</v>
      </c>
      <c r="AW3118" s="394"/>
      <c r="AX3118" s="394"/>
      <c r="AY3118" s="394">
        <v>0</v>
      </c>
      <c r="AZ3118" s="394">
        <v>0</v>
      </c>
      <c r="BA3118" s="394">
        <v>0.75790000000000002</v>
      </c>
      <c r="BB3118" s="394">
        <v>15.31906</v>
      </c>
      <c r="BC3118" s="394"/>
      <c r="BD3118" s="381" t="s">
        <v>167</v>
      </c>
      <c r="BE3118" s="408" t="s">
        <v>175</v>
      </c>
      <c r="BF3118" s="385"/>
      <c r="BG3118" s="475">
        <v>1068</v>
      </c>
      <c r="BH3118" s="395"/>
      <c r="BI3118" s="395">
        <f t="shared" si="1059"/>
        <v>19.62182</v>
      </c>
    </row>
    <row r="3119" spans="1:61" s="358" customFormat="1" ht="19.2" x14ac:dyDescent="0.3">
      <c r="A3119" s="359" t="s">
        <v>2072</v>
      </c>
      <c r="B3119" s="602" t="s">
        <v>5817</v>
      </c>
      <c r="C3119" s="548" t="s">
        <v>5818</v>
      </c>
      <c r="D3119" s="360">
        <v>0.4</v>
      </c>
      <c r="E3119" s="528"/>
      <c r="F3119" s="523"/>
      <c r="G3119" s="393"/>
      <c r="H3119" s="394"/>
      <c r="I3119" s="394"/>
      <c r="J3119" s="394"/>
      <c r="K3119" s="394"/>
      <c r="L3119" s="394"/>
      <c r="M3119" s="394"/>
      <c r="N3119" s="394"/>
      <c r="O3119" s="394"/>
      <c r="P3119" s="394"/>
      <c r="Q3119" s="394"/>
      <c r="R3119" s="381"/>
      <c r="S3119" s="408"/>
      <c r="T3119" s="385"/>
      <c r="U3119" s="475"/>
      <c r="V3119" s="395"/>
      <c r="W3119" s="395"/>
      <c r="X3119" s="528"/>
      <c r="Y3119" s="523"/>
      <c r="Z3119" s="393"/>
      <c r="AA3119" s="394"/>
      <c r="AB3119" s="394"/>
      <c r="AC3119" s="394"/>
      <c r="AD3119" s="394"/>
      <c r="AE3119" s="394"/>
      <c r="AF3119" s="394"/>
      <c r="AG3119" s="394"/>
      <c r="AH3119" s="394"/>
      <c r="AI3119" s="394"/>
      <c r="AJ3119" s="394"/>
      <c r="AK3119" s="381"/>
      <c r="AL3119" s="408"/>
      <c r="AM3119" s="385"/>
      <c r="AN3119" s="475"/>
      <c r="AO3119" s="395"/>
      <c r="AP3119" s="395"/>
      <c r="AQ3119" s="528"/>
      <c r="AR3119" s="523">
        <v>1</v>
      </c>
      <c r="AS3119" s="393"/>
      <c r="AT3119" s="600">
        <v>19.637070000000001</v>
      </c>
      <c r="AU3119" s="394">
        <v>16.386089999999999</v>
      </c>
      <c r="AV3119" s="394">
        <v>15.32635</v>
      </c>
      <c r="AW3119" s="394"/>
      <c r="AX3119" s="394"/>
      <c r="AY3119" s="394">
        <v>0</v>
      </c>
      <c r="AZ3119" s="394">
        <v>0</v>
      </c>
      <c r="BA3119" s="394">
        <v>0.75790000000000002</v>
      </c>
      <c r="BB3119" s="394">
        <v>15.32635</v>
      </c>
      <c r="BC3119" s="394"/>
      <c r="BD3119" s="381" t="s">
        <v>167</v>
      </c>
      <c r="BE3119" s="408" t="s">
        <v>175</v>
      </c>
      <c r="BF3119" s="385"/>
      <c r="BG3119" s="475">
        <v>1069</v>
      </c>
      <c r="BH3119" s="395"/>
      <c r="BI3119" s="395">
        <f t="shared" ref="BI3119:BI3148" si="1209">AT3119/AR3119</f>
        <v>19.637070000000001</v>
      </c>
    </row>
    <row r="3120" spans="1:61" s="358" customFormat="1" ht="19.2" x14ac:dyDescent="0.3">
      <c r="A3120" s="359" t="s">
        <v>2073</v>
      </c>
      <c r="B3120" s="602" t="s">
        <v>1426</v>
      </c>
      <c r="C3120" s="548" t="s">
        <v>5819</v>
      </c>
      <c r="D3120" s="360">
        <v>0.4</v>
      </c>
      <c r="E3120" s="528"/>
      <c r="F3120" s="523"/>
      <c r="G3120" s="393"/>
      <c r="H3120" s="394"/>
      <c r="I3120" s="394"/>
      <c r="J3120" s="394"/>
      <c r="K3120" s="394"/>
      <c r="L3120" s="394"/>
      <c r="M3120" s="394"/>
      <c r="N3120" s="394"/>
      <c r="O3120" s="394"/>
      <c r="P3120" s="394"/>
      <c r="Q3120" s="394"/>
      <c r="R3120" s="381"/>
      <c r="S3120" s="408"/>
      <c r="T3120" s="385"/>
      <c r="U3120" s="475"/>
      <c r="V3120" s="395"/>
      <c r="W3120" s="395"/>
      <c r="X3120" s="528"/>
      <c r="Y3120" s="523"/>
      <c r="Z3120" s="393"/>
      <c r="AA3120" s="394"/>
      <c r="AB3120" s="394"/>
      <c r="AC3120" s="394"/>
      <c r="AD3120" s="394"/>
      <c r="AE3120" s="394"/>
      <c r="AF3120" s="394"/>
      <c r="AG3120" s="394"/>
      <c r="AH3120" s="394"/>
      <c r="AI3120" s="394"/>
      <c r="AJ3120" s="394"/>
      <c r="AK3120" s="381"/>
      <c r="AL3120" s="408"/>
      <c r="AM3120" s="385"/>
      <c r="AN3120" s="475"/>
      <c r="AO3120" s="395"/>
      <c r="AP3120" s="395"/>
      <c r="AQ3120" s="528"/>
      <c r="AR3120" s="523">
        <v>1</v>
      </c>
      <c r="AS3120" s="393"/>
      <c r="AT3120" s="600">
        <v>19.637070000000001</v>
      </c>
      <c r="AU3120" s="394">
        <v>16.386089999999999</v>
      </c>
      <c r="AV3120" s="394">
        <v>15.32635</v>
      </c>
      <c r="AW3120" s="394"/>
      <c r="AX3120" s="394"/>
      <c r="AY3120" s="394">
        <v>0</v>
      </c>
      <c r="AZ3120" s="394">
        <v>0</v>
      </c>
      <c r="BA3120" s="394">
        <v>0.75790000000000002</v>
      </c>
      <c r="BB3120" s="394">
        <v>15.32635</v>
      </c>
      <c r="BC3120" s="394"/>
      <c r="BD3120" s="381" t="s">
        <v>167</v>
      </c>
      <c r="BE3120" s="408" t="s">
        <v>175</v>
      </c>
      <c r="BF3120" s="385"/>
      <c r="BG3120" s="475">
        <v>1070</v>
      </c>
      <c r="BH3120" s="395"/>
      <c r="BI3120" s="395">
        <f t="shared" si="1209"/>
        <v>19.637070000000001</v>
      </c>
    </row>
    <row r="3121" spans="1:61" s="358" customFormat="1" ht="19.2" x14ac:dyDescent="0.3">
      <c r="A3121" s="359" t="s">
        <v>2074</v>
      </c>
      <c r="B3121" s="602" t="s">
        <v>5820</v>
      </c>
      <c r="C3121" s="548" t="s">
        <v>5821</v>
      </c>
      <c r="D3121" s="360">
        <v>0.4</v>
      </c>
      <c r="E3121" s="528"/>
      <c r="F3121" s="523"/>
      <c r="G3121" s="393"/>
      <c r="H3121" s="394"/>
      <c r="I3121" s="394"/>
      <c r="J3121" s="394"/>
      <c r="K3121" s="394"/>
      <c r="L3121" s="394"/>
      <c r="M3121" s="394"/>
      <c r="N3121" s="394"/>
      <c r="O3121" s="394"/>
      <c r="P3121" s="394"/>
      <c r="Q3121" s="394"/>
      <c r="R3121" s="381"/>
      <c r="S3121" s="408"/>
      <c r="T3121" s="385"/>
      <c r="U3121" s="475"/>
      <c r="V3121" s="395"/>
      <c r="W3121" s="395"/>
      <c r="X3121" s="528"/>
      <c r="Y3121" s="523"/>
      <c r="Z3121" s="393"/>
      <c r="AA3121" s="394"/>
      <c r="AB3121" s="394"/>
      <c r="AC3121" s="394"/>
      <c r="AD3121" s="394"/>
      <c r="AE3121" s="394"/>
      <c r="AF3121" s="394"/>
      <c r="AG3121" s="394"/>
      <c r="AH3121" s="394"/>
      <c r="AI3121" s="394"/>
      <c r="AJ3121" s="394"/>
      <c r="AK3121" s="381"/>
      <c r="AL3121" s="408"/>
      <c r="AM3121" s="385"/>
      <c r="AN3121" s="475"/>
      <c r="AO3121" s="395"/>
      <c r="AP3121" s="395"/>
      <c r="AQ3121" s="528"/>
      <c r="AR3121" s="523">
        <v>1</v>
      </c>
      <c r="AS3121" s="393"/>
      <c r="AT3121" s="600">
        <v>19.637070000000001</v>
      </c>
      <c r="AU3121" s="394">
        <v>16.386089999999999</v>
      </c>
      <c r="AV3121" s="394">
        <v>15.32635</v>
      </c>
      <c r="AW3121" s="394"/>
      <c r="AX3121" s="394"/>
      <c r="AY3121" s="394">
        <v>0</v>
      </c>
      <c r="AZ3121" s="394">
        <v>0</v>
      </c>
      <c r="BA3121" s="394">
        <v>0.75790000000000002</v>
      </c>
      <c r="BB3121" s="394">
        <v>15.32635</v>
      </c>
      <c r="BC3121" s="394"/>
      <c r="BD3121" s="381" t="s">
        <v>167</v>
      </c>
      <c r="BE3121" s="408" t="s">
        <v>175</v>
      </c>
      <c r="BF3121" s="385"/>
      <c r="BG3121" s="475">
        <v>1081</v>
      </c>
      <c r="BH3121" s="395"/>
      <c r="BI3121" s="395">
        <f t="shared" ref="BI3121" si="1210">AT3121/AR3121</f>
        <v>19.637070000000001</v>
      </c>
    </row>
    <row r="3122" spans="1:61" s="358" customFormat="1" ht="19.2" x14ac:dyDescent="0.3">
      <c r="A3122" s="359" t="s">
        <v>2075</v>
      </c>
      <c r="B3122" s="602" t="s">
        <v>5822</v>
      </c>
      <c r="C3122" s="548" t="s">
        <v>5823</v>
      </c>
      <c r="D3122" s="360">
        <v>0.4</v>
      </c>
      <c r="E3122" s="528"/>
      <c r="F3122" s="523"/>
      <c r="G3122" s="393"/>
      <c r="H3122" s="394"/>
      <c r="I3122" s="394"/>
      <c r="J3122" s="394"/>
      <c r="K3122" s="394"/>
      <c r="L3122" s="394"/>
      <c r="M3122" s="394"/>
      <c r="N3122" s="394"/>
      <c r="O3122" s="394"/>
      <c r="P3122" s="394"/>
      <c r="Q3122" s="394"/>
      <c r="R3122" s="381"/>
      <c r="S3122" s="408"/>
      <c r="T3122" s="385"/>
      <c r="U3122" s="475"/>
      <c r="V3122" s="395"/>
      <c r="W3122" s="395"/>
      <c r="X3122" s="528"/>
      <c r="Y3122" s="523"/>
      <c r="Z3122" s="393"/>
      <c r="AA3122" s="394"/>
      <c r="AB3122" s="394"/>
      <c r="AC3122" s="394"/>
      <c r="AD3122" s="394"/>
      <c r="AE3122" s="394"/>
      <c r="AF3122" s="394"/>
      <c r="AG3122" s="394"/>
      <c r="AH3122" s="394"/>
      <c r="AI3122" s="394"/>
      <c r="AJ3122" s="394"/>
      <c r="AK3122" s="381"/>
      <c r="AL3122" s="408"/>
      <c r="AM3122" s="385"/>
      <c r="AN3122" s="475"/>
      <c r="AO3122" s="395"/>
      <c r="AP3122" s="395"/>
      <c r="AQ3122" s="528"/>
      <c r="AR3122" s="523">
        <v>1</v>
      </c>
      <c r="AS3122" s="393"/>
      <c r="AT3122" s="600">
        <v>19.637049999999999</v>
      </c>
      <c r="AU3122" s="394">
        <v>16.38607</v>
      </c>
      <c r="AV3122" s="394">
        <v>15.32635</v>
      </c>
      <c r="AW3122" s="394"/>
      <c r="AX3122" s="394"/>
      <c r="AY3122" s="394">
        <v>0</v>
      </c>
      <c r="AZ3122" s="394">
        <v>0</v>
      </c>
      <c r="BA3122" s="394">
        <v>0.75790000000000002</v>
      </c>
      <c r="BB3122" s="394">
        <v>15.32635</v>
      </c>
      <c r="BC3122" s="394"/>
      <c r="BD3122" s="381" t="s">
        <v>167</v>
      </c>
      <c r="BE3122" s="408" t="s">
        <v>175</v>
      </c>
      <c r="BF3122" s="385"/>
      <c r="BG3122" s="475">
        <v>1082</v>
      </c>
      <c r="BH3122" s="395"/>
      <c r="BI3122" s="395">
        <f t="shared" si="1209"/>
        <v>19.637049999999999</v>
      </c>
    </row>
    <row r="3123" spans="1:61" s="358" customFormat="1" ht="19.2" x14ac:dyDescent="0.3">
      <c r="A3123" s="359" t="s">
        <v>2076</v>
      </c>
      <c r="B3123" s="602" t="s">
        <v>5824</v>
      </c>
      <c r="C3123" s="548" t="s">
        <v>5825</v>
      </c>
      <c r="D3123" s="360">
        <v>0.4</v>
      </c>
      <c r="E3123" s="528"/>
      <c r="F3123" s="523"/>
      <c r="G3123" s="393"/>
      <c r="H3123" s="394"/>
      <c r="I3123" s="394"/>
      <c r="J3123" s="394"/>
      <c r="K3123" s="394"/>
      <c r="L3123" s="394"/>
      <c r="M3123" s="394"/>
      <c r="N3123" s="394"/>
      <c r="O3123" s="394"/>
      <c r="P3123" s="394"/>
      <c r="Q3123" s="394"/>
      <c r="R3123" s="381"/>
      <c r="S3123" s="408"/>
      <c r="T3123" s="385"/>
      <c r="U3123" s="475"/>
      <c r="V3123" s="395"/>
      <c r="W3123" s="395"/>
      <c r="X3123" s="528"/>
      <c r="Y3123" s="523"/>
      <c r="Z3123" s="393"/>
      <c r="AA3123" s="394"/>
      <c r="AB3123" s="394"/>
      <c r="AC3123" s="394"/>
      <c r="AD3123" s="394"/>
      <c r="AE3123" s="394"/>
      <c r="AF3123" s="394"/>
      <c r="AG3123" s="394"/>
      <c r="AH3123" s="394"/>
      <c r="AI3123" s="394"/>
      <c r="AJ3123" s="394"/>
      <c r="AK3123" s="381"/>
      <c r="AL3123" s="408"/>
      <c r="AM3123" s="385"/>
      <c r="AN3123" s="475"/>
      <c r="AO3123" s="395"/>
      <c r="AP3123" s="395"/>
      <c r="AQ3123" s="528"/>
      <c r="AR3123" s="523">
        <v>1</v>
      </c>
      <c r="AS3123" s="393"/>
      <c r="AT3123" s="600">
        <v>19.637070000000001</v>
      </c>
      <c r="AU3123" s="394">
        <v>16.386089999999999</v>
      </c>
      <c r="AV3123" s="394">
        <v>15.32635</v>
      </c>
      <c r="AW3123" s="394"/>
      <c r="AX3123" s="394"/>
      <c r="AY3123" s="394">
        <v>0</v>
      </c>
      <c r="AZ3123" s="394">
        <v>0</v>
      </c>
      <c r="BA3123" s="394">
        <v>0.75790000000000002</v>
      </c>
      <c r="BB3123" s="394">
        <v>15.32635</v>
      </c>
      <c r="BC3123" s="394"/>
      <c r="BD3123" s="381" t="s">
        <v>167</v>
      </c>
      <c r="BE3123" s="408" t="s">
        <v>175</v>
      </c>
      <c r="BF3123" s="385"/>
      <c r="BG3123" s="475">
        <v>1083</v>
      </c>
      <c r="BH3123" s="395"/>
      <c r="BI3123" s="395">
        <f t="shared" ref="BI3123" si="1211">AT3123/AR3123</f>
        <v>19.637070000000001</v>
      </c>
    </row>
    <row r="3124" spans="1:61" s="358" customFormat="1" ht="19.2" x14ac:dyDescent="0.3">
      <c r="A3124" s="359" t="s">
        <v>2077</v>
      </c>
      <c r="B3124" s="602" t="s">
        <v>5826</v>
      </c>
      <c r="C3124" s="548" t="s">
        <v>5827</v>
      </c>
      <c r="D3124" s="360">
        <v>0.4</v>
      </c>
      <c r="E3124" s="528"/>
      <c r="F3124" s="523"/>
      <c r="G3124" s="393"/>
      <c r="H3124" s="394"/>
      <c r="I3124" s="394"/>
      <c r="J3124" s="394"/>
      <c r="K3124" s="394"/>
      <c r="L3124" s="394"/>
      <c r="M3124" s="394"/>
      <c r="N3124" s="394"/>
      <c r="O3124" s="394"/>
      <c r="P3124" s="394"/>
      <c r="Q3124" s="394"/>
      <c r="R3124" s="381"/>
      <c r="S3124" s="408"/>
      <c r="T3124" s="385"/>
      <c r="U3124" s="475"/>
      <c r="V3124" s="395"/>
      <c r="W3124" s="395"/>
      <c r="X3124" s="528"/>
      <c r="Y3124" s="523"/>
      <c r="Z3124" s="393"/>
      <c r="AA3124" s="394"/>
      <c r="AB3124" s="394"/>
      <c r="AC3124" s="394"/>
      <c r="AD3124" s="394"/>
      <c r="AE3124" s="394"/>
      <c r="AF3124" s="394"/>
      <c r="AG3124" s="394"/>
      <c r="AH3124" s="394"/>
      <c r="AI3124" s="394"/>
      <c r="AJ3124" s="394"/>
      <c r="AK3124" s="381"/>
      <c r="AL3124" s="408"/>
      <c r="AM3124" s="385"/>
      <c r="AN3124" s="475"/>
      <c r="AO3124" s="395"/>
      <c r="AP3124" s="395"/>
      <c r="AQ3124" s="528"/>
      <c r="AR3124" s="523">
        <v>1</v>
      </c>
      <c r="AS3124" s="393"/>
      <c r="AT3124" s="600">
        <v>19.637070000000001</v>
      </c>
      <c r="AU3124" s="394">
        <v>16.386089999999999</v>
      </c>
      <c r="AV3124" s="394">
        <v>15.32635</v>
      </c>
      <c r="AW3124" s="394"/>
      <c r="AX3124" s="394"/>
      <c r="AY3124" s="394">
        <v>0</v>
      </c>
      <c r="AZ3124" s="394">
        <v>0</v>
      </c>
      <c r="BA3124" s="394">
        <v>0.75790000000000002</v>
      </c>
      <c r="BB3124" s="394">
        <v>15.32635</v>
      </c>
      <c r="BC3124" s="394"/>
      <c r="BD3124" s="381" t="s">
        <v>167</v>
      </c>
      <c r="BE3124" s="408" t="s">
        <v>175</v>
      </c>
      <c r="BF3124" s="385"/>
      <c r="BG3124" s="475">
        <v>1084</v>
      </c>
      <c r="BH3124" s="395"/>
      <c r="BI3124" s="395">
        <f t="shared" si="1209"/>
        <v>19.637070000000001</v>
      </c>
    </row>
    <row r="3125" spans="1:61" s="358" customFormat="1" ht="19.2" x14ac:dyDescent="0.3">
      <c r="A3125" s="359" t="s">
        <v>2078</v>
      </c>
      <c r="B3125" s="602" t="s">
        <v>5828</v>
      </c>
      <c r="C3125" s="548" t="s">
        <v>5829</v>
      </c>
      <c r="D3125" s="360">
        <v>0.4</v>
      </c>
      <c r="E3125" s="528"/>
      <c r="F3125" s="523"/>
      <c r="G3125" s="393"/>
      <c r="H3125" s="394"/>
      <c r="I3125" s="394"/>
      <c r="J3125" s="394"/>
      <c r="K3125" s="394"/>
      <c r="L3125" s="394"/>
      <c r="M3125" s="394"/>
      <c r="N3125" s="394"/>
      <c r="O3125" s="394"/>
      <c r="P3125" s="394"/>
      <c r="Q3125" s="394"/>
      <c r="R3125" s="381"/>
      <c r="S3125" s="408"/>
      <c r="T3125" s="385"/>
      <c r="U3125" s="475"/>
      <c r="V3125" s="395"/>
      <c r="W3125" s="395"/>
      <c r="X3125" s="528"/>
      <c r="Y3125" s="523"/>
      <c r="Z3125" s="393"/>
      <c r="AA3125" s="394"/>
      <c r="AB3125" s="394"/>
      <c r="AC3125" s="394"/>
      <c r="AD3125" s="394"/>
      <c r="AE3125" s="394"/>
      <c r="AF3125" s="394"/>
      <c r="AG3125" s="394"/>
      <c r="AH3125" s="394"/>
      <c r="AI3125" s="394"/>
      <c r="AJ3125" s="394"/>
      <c r="AK3125" s="381"/>
      <c r="AL3125" s="408"/>
      <c r="AM3125" s="385"/>
      <c r="AN3125" s="475"/>
      <c r="AO3125" s="395"/>
      <c r="AP3125" s="395"/>
      <c r="AQ3125" s="528"/>
      <c r="AR3125" s="523">
        <v>1</v>
      </c>
      <c r="AS3125" s="393"/>
      <c r="AT3125" s="600">
        <v>19.637049999999999</v>
      </c>
      <c r="AU3125" s="394">
        <v>16.38607</v>
      </c>
      <c r="AV3125" s="394">
        <v>15.32635</v>
      </c>
      <c r="AW3125" s="394"/>
      <c r="AX3125" s="394"/>
      <c r="AY3125" s="394">
        <v>0</v>
      </c>
      <c r="AZ3125" s="394">
        <v>0</v>
      </c>
      <c r="BA3125" s="394">
        <v>0.75790000000000002</v>
      </c>
      <c r="BB3125" s="394">
        <v>15.32635</v>
      </c>
      <c r="BC3125" s="394"/>
      <c r="BD3125" s="381" t="s">
        <v>167</v>
      </c>
      <c r="BE3125" s="408" t="s">
        <v>175</v>
      </c>
      <c r="BF3125" s="385"/>
      <c r="BG3125" s="475">
        <v>1085</v>
      </c>
      <c r="BH3125" s="395"/>
      <c r="BI3125" s="395">
        <f t="shared" ref="BI3125" si="1212">AT3125/AR3125</f>
        <v>19.637049999999999</v>
      </c>
    </row>
    <row r="3126" spans="1:61" s="358" customFormat="1" ht="19.2" x14ac:dyDescent="0.3">
      <c r="A3126" s="359" t="s">
        <v>2079</v>
      </c>
      <c r="B3126" s="602" t="s">
        <v>5830</v>
      </c>
      <c r="C3126" s="548" t="s">
        <v>5831</v>
      </c>
      <c r="D3126" s="360">
        <v>0.4</v>
      </c>
      <c r="E3126" s="528"/>
      <c r="F3126" s="523"/>
      <c r="G3126" s="393"/>
      <c r="H3126" s="394"/>
      <c r="I3126" s="394"/>
      <c r="J3126" s="394"/>
      <c r="K3126" s="394"/>
      <c r="L3126" s="394"/>
      <c r="M3126" s="394"/>
      <c r="N3126" s="394"/>
      <c r="O3126" s="394"/>
      <c r="P3126" s="394"/>
      <c r="Q3126" s="394"/>
      <c r="R3126" s="381"/>
      <c r="S3126" s="408"/>
      <c r="T3126" s="385"/>
      <c r="U3126" s="475"/>
      <c r="V3126" s="395"/>
      <c r="W3126" s="395"/>
      <c r="X3126" s="528"/>
      <c r="Y3126" s="523"/>
      <c r="Z3126" s="393"/>
      <c r="AA3126" s="394"/>
      <c r="AB3126" s="394"/>
      <c r="AC3126" s="394"/>
      <c r="AD3126" s="394"/>
      <c r="AE3126" s="394"/>
      <c r="AF3126" s="394"/>
      <c r="AG3126" s="394"/>
      <c r="AH3126" s="394"/>
      <c r="AI3126" s="394"/>
      <c r="AJ3126" s="394"/>
      <c r="AK3126" s="381"/>
      <c r="AL3126" s="408"/>
      <c r="AM3126" s="385"/>
      <c r="AN3126" s="475"/>
      <c r="AO3126" s="395"/>
      <c r="AP3126" s="395"/>
      <c r="AQ3126" s="528"/>
      <c r="AR3126" s="523">
        <v>1</v>
      </c>
      <c r="AS3126" s="393"/>
      <c r="AT3126" s="600">
        <v>19.637049999999999</v>
      </c>
      <c r="AU3126" s="394">
        <v>16.38607</v>
      </c>
      <c r="AV3126" s="394">
        <v>15.32635</v>
      </c>
      <c r="AW3126" s="394"/>
      <c r="AX3126" s="394"/>
      <c r="AY3126" s="394">
        <v>0</v>
      </c>
      <c r="AZ3126" s="394">
        <v>0</v>
      </c>
      <c r="BA3126" s="394">
        <v>0.75790000000000002</v>
      </c>
      <c r="BB3126" s="394">
        <v>15.32635</v>
      </c>
      <c r="BC3126" s="394"/>
      <c r="BD3126" s="381" t="s">
        <v>167</v>
      </c>
      <c r="BE3126" s="408" t="s">
        <v>175</v>
      </c>
      <c r="BF3126" s="385"/>
      <c r="BG3126" s="475">
        <v>1086</v>
      </c>
      <c r="BH3126" s="395"/>
      <c r="BI3126" s="395">
        <f t="shared" si="1209"/>
        <v>19.637049999999999</v>
      </c>
    </row>
    <row r="3127" spans="1:61" s="358" customFormat="1" ht="19.2" x14ac:dyDescent="0.3">
      <c r="A3127" s="359" t="s">
        <v>2080</v>
      </c>
      <c r="B3127" s="602" t="s">
        <v>5832</v>
      </c>
      <c r="C3127" s="548" t="s">
        <v>5833</v>
      </c>
      <c r="D3127" s="360">
        <v>0.4</v>
      </c>
      <c r="E3127" s="528"/>
      <c r="F3127" s="523"/>
      <c r="G3127" s="393"/>
      <c r="H3127" s="394"/>
      <c r="I3127" s="394"/>
      <c r="J3127" s="394"/>
      <c r="K3127" s="394"/>
      <c r="L3127" s="394"/>
      <c r="M3127" s="394"/>
      <c r="N3127" s="394"/>
      <c r="O3127" s="394"/>
      <c r="P3127" s="394"/>
      <c r="Q3127" s="394"/>
      <c r="R3127" s="381"/>
      <c r="S3127" s="408"/>
      <c r="T3127" s="385"/>
      <c r="U3127" s="475"/>
      <c r="V3127" s="395"/>
      <c r="W3127" s="395"/>
      <c r="X3127" s="528"/>
      <c r="Y3127" s="523"/>
      <c r="Z3127" s="393"/>
      <c r="AA3127" s="394"/>
      <c r="AB3127" s="394"/>
      <c r="AC3127" s="394"/>
      <c r="AD3127" s="394"/>
      <c r="AE3127" s="394"/>
      <c r="AF3127" s="394"/>
      <c r="AG3127" s="394"/>
      <c r="AH3127" s="394"/>
      <c r="AI3127" s="394"/>
      <c r="AJ3127" s="394"/>
      <c r="AK3127" s="381"/>
      <c r="AL3127" s="408"/>
      <c r="AM3127" s="385"/>
      <c r="AN3127" s="475"/>
      <c r="AO3127" s="395"/>
      <c r="AP3127" s="395"/>
      <c r="AQ3127" s="528"/>
      <c r="AR3127" s="523">
        <v>1</v>
      </c>
      <c r="AS3127" s="393"/>
      <c r="AT3127" s="600">
        <v>19.637070000000001</v>
      </c>
      <c r="AU3127" s="394">
        <v>16.386089999999999</v>
      </c>
      <c r="AV3127" s="394">
        <v>15.32635</v>
      </c>
      <c r="AW3127" s="394"/>
      <c r="AX3127" s="394"/>
      <c r="AY3127" s="394">
        <v>0</v>
      </c>
      <c r="AZ3127" s="394">
        <v>0</v>
      </c>
      <c r="BA3127" s="394">
        <v>0.75790000000000002</v>
      </c>
      <c r="BB3127" s="394">
        <v>15.32635</v>
      </c>
      <c r="BC3127" s="394"/>
      <c r="BD3127" s="381" t="s">
        <v>167</v>
      </c>
      <c r="BE3127" s="408" t="s">
        <v>175</v>
      </c>
      <c r="BF3127" s="385"/>
      <c r="BG3127" s="475">
        <v>1087</v>
      </c>
      <c r="BH3127" s="395"/>
      <c r="BI3127" s="395">
        <f t="shared" ref="BI3127" si="1213">AT3127/AR3127</f>
        <v>19.637070000000001</v>
      </c>
    </row>
    <row r="3128" spans="1:61" s="358" customFormat="1" ht="19.2" x14ac:dyDescent="0.3">
      <c r="A3128" s="359" t="s">
        <v>2081</v>
      </c>
      <c r="B3128" s="602" t="s">
        <v>5834</v>
      </c>
      <c r="C3128" s="548" t="s">
        <v>5835</v>
      </c>
      <c r="D3128" s="360">
        <v>0.4</v>
      </c>
      <c r="E3128" s="528"/>
      <c r="F3128" s="523"/>
      <c r="G3128" s="393"/>
      <c r="H3128" s="394"/>
      <c r="I3128" s="394"/>
      <c r="J3128" s="394"/>
      <c r="K3128" s="394"/>
      <c r="L3128" s="394"/>
      <c r="M3128" s="394"/>
      <c r="N3128" s="394"/>
      <c r="O3128" s="394"/>
      <c r="P3128" s="394"/>
      <c r="Q3128" s="394"/>
      <c r="R3128" s="381"/>
      <c r="S3128" s="408"/>
      <c r="T3128" s="385"/>
      <c r="U3128" s="475"/>
      <c r="V3128" s="395"/>
      <c r="W3128" s="395"/>
      <c r="X3128" s="528"/>
      <c r="Y3128" s="523"/>
      <c r="Z3128" s="393"/>
      <c r="AA3128" s="394"/>
      <c r="AB3128" s="394"/>
      <c r="AC3128" s="394"/>
      <c r="AD3128" s="394"/>
      <c r="AE3128" s="394"/>
      <c r="AF3128" s="394"/>
      <c r="AG3128" s="394"/>
      <c r="AH3128" s="394"/>
      <c r="AI3128" s="394"/>
      <c r="AJ3128" s="394"/>
      <c r="AK3128" s="381"/>
      <c r="AL3128" s="408"/>
      <c r="AM3128" s="385"/>
      <c r="AN3128" s="475"/>
      <c r="AO3128" s="395"/>
      <c r="AP3128" s="395"/>
      <c r="AQ3128" s="528"/>
      <c r="AR3128" s="523">
        <v>1</v>
      </c>
      <c r="AS3128" s="393"/>
      <c r="AT3128" s="600">
        <v>15.198259999999999</v>
      </c>
      <c r="AU3128" s="394">
        <v>13.33325</v>
      </c>
      <c r="AV3128" s="394">
        <v>13.3271</v>
      </c>
      <c r="AW3128" s="394"/>
      <c r="AX3128" s="394"/>
      <c r="AY3128" s="394">
        <v>0</v>
      </c>
      <c r="AZ3128" s="394">
        <v>0</v>
      </c>
      <c r="BA3128" s="394">
        <v>0.43479000000000001</v>
      </c>
      <c r="BB3128" s="394">
        <v>13.3271</v>
      </c>
      <c r="BC3128" s="394"/>
      <c r="BD3128" s="381" t="s">
        <v>167</v>
      </c>
      <c r="BE3128" s="408" t="s">
        <v>175</v>
      </c>
      <c r="BF3128" s="385"/>
      <c r="BG3128" s="475">
        <v>1088</v>
      </c>
      <c r="BH3128" s="395"/>
      <c r="BI3128" s="395">
        <f t="shared" si="1209"/>
        <v>15.198259999999999</v>
      </c>
    </row>
    <row r="3129" spans="1:61" s="358" customFormat="1" ht="19.2" x14ac:dyDescent="0.3">
      <c r="A3129" s="359" t="s">
        <v>2082</v>
      </c>
      <c r="B3129" s="602" t="s">
        <v>5836</v>
      </c>
      <c r="C3129" s="548" t="s">
        <v>5837</v>
      </c>
      <c r="D3129" s="360">
        <v>0.4</v>
      </c>
      <c r="E3129" s="528"/>
      <c r="F3129" s="523"/>
      <c r="G3129" s="393"/>
      <c r="H3129" s="394"/>
      <c r="I3129" s="394"/>
      <c r="J3129" s="394"/>
      <c r="K3129" s="394"/>
      <c r="L3129" s="394"/>
      <c r="M3129" s="394"/>
      <c r="N3129" s="394"/>
      <c r="O3129" s="394"/>
      <c r="P3129" s="394"/>
      <c r="Q3129" s="394"/>
      <c r="R3129" s="381"/>
      <c r="S3129" s="408"/>
      <c r="T3129" s="385"/>
      <c r="U3129" s="475"/>
      <c r="V3129" s="395"/>
      <c r="W3129" s="395"/>
      <c r="X3129" s="528"/>
      <c r="Y3129" s="523"/>
      <c r="Z3129" s="393"/>
      <c r="AA3129" s="394"/>
      <c r="AB3129" s="394"/>
      <c r="AC3129" s="394"/>
      <c r="AD3129" s="394"/>
      <c r="AE3129" s="394"/>
      <c r="AF3129" s="394"/>
      <c r="AG3129" s="394"/>
      <c r="AH3129" s="394"/>
      <c r="AI3129" s="394"/>
      <c r="AJ3129" s="394"/>
      <c r="AK3129" s="381"/>
      <c r="AL3129" s="408"/>
      <c r="AM3129" s="385"/>
      <c r="AN3129" s="475"/>
      <c r="AO3129" s="395"/>
      <c r="AP3129" s="395"/>
      <c r="AQ3129" s="528"/>
      <c r="AR3129" s="523">
        <v>1</v>
      </c>
      <c r="AS3129" s="393"/>
      <c r="AT3129" s="600">
        <v>19.637049999999999</v>
      </c>
      <c r="AU3129" s="394">
        <v>16.38607</v>
      </c>
      <c r="AV3129" s="394">
        <v>15.32635</v>
      </c>
      <c r="AW3129" s="394"/>
      <c r="AX3129" s="394"/>
      <c r="AY3129" s="394">
        <v>0</v>
      </c>
      <c r="AZ3129" s="394">
        <v>0</v>
      </c>
      <c r="BA3129" s="394">
        <v>0.75790000000000002</v>
      </c>
      <c r="BB3129" s="394">
        <v>15.32635</v>
      </c>
      <c r="BC3129" s="394"/>
      <c r="BD3129" s="381" t="s">
        <v>167</v>
      </c>
      <c r="BE3129" s="408" t="s">
        <v>175</v>
      </c>
      <c r="BF3129" s="385"/>
      <c r="BG3129" s="475">
        <v>1089</v>
      </c>
      <c r="BH3129" s="395"/>
      <c r="BI3129" s="395">
        <f t="shared" ref="BI3129" si="1214">AT3129/AR3129</f>
        <v>19.637049999999999</v>
      </c>
    </row>
    <row r="3130" spans="1:61" s="358" customFormat="1" ht="19.2" x14ac:dyDescent="0.3">
      <c r="A3130" s="359" t="s">
        <v>2083</v>
      </c>
      <c r="B3130" s="602" t="s">
        <v>4054</v>
      </c>
      <c r="C3130" s="548" t="s">
        <v>5838</v>
      </c>
      <c r="D3130" s="360">
        <v>0.4</v>
      </c>
      <c r="E3130" s="528"/>
      <c r="F3130" s="523"/>
      <c r="G3130" s="393"/>
      <c r="H3130" s="394"/>
      <c r="I3130" s="394"/>
      <c r="J3130" s="394"/>
      <c r="K3130" s="394"/>
      <c r="L3130" s="394"/>
      <c r="M3130" s="394"/>
      <c r="N3130" s="394"/>
      <c r="O3130" s="394"/>
      <c r="P3130" s="394"/>
      <c r="Q3130" s="394"/>
      <c r="R3130" s="381"/>
      <c r="S3130" s="408"/>
      <c r="T3130" s="385"/>
      <c r="U3130" s="475"/>
      <c r="V3130" s="395"/>
      <c r="W3130" s="395"/>
      <c r="X3130" s="528"/>
      <c r="Y3130" s="523"/>
      <c r="Z3130" s="393"/>
      <c r="AA3130" s="394"/>
      <c r="AB3130" s="394"/>
      <c r="AC3130" s="394"/>
      <c r="AD3130" s="394"/>
      <c r="AE3130" s="394"/>
      <c r="AF3130" s="394"/>
      <c r="AG3130" s="394"/>
      <c r="AH3130" s="394"/>
      <c r="AI3130" s="394"/>
      <c r="AJ3130" s="394"/>
      <c r="AK3130" s="381"/>
      <c r="AL3130" s="408"/>
      <c r="AM3130" s="385"/>
      <c r="AN3130" s="475"/>
      <c r="AO3130" s="395"/>
      <c r="AP3130" s="395"/>
      <c r="AQ3130" s="528"/>
      <c r="AR3130" s="523">
        <v>1</v>
      </c>
      <c r="AS3130" s="393"/>
      <c r="AT3130" s="600">
        <v>19.637039999999999</v>
      </c>
      <c r="AU3130" s="394">
        <v>16.386060000000001</v>
      </c>
      <c r="AV3130" s="394">
        <v>15.32635</v>
      </c>
      <c r="AW3130" s="394"/>
      <c r="AX3130" s="394"/>
      <c r="AY3130" s="394">
        <v>0</v>
      </c>
      <c r="AZ3130" s="394">
        <v>0</v>
      </c>
      <c r="BA3130" s="394">
        <v>0.75790000000000002</v>
      </c>
      <c r="BB3130" s="394">
        <v>15.32635</v>
      </c>
      <c r="BC3130" s="394"/>
      <c r="BD3130" s="381" t="s">
        <v>167</v>
      </c>
      <c r="BE3130" s="408" t="s">
        <v>175</v>
      </c>
      <c r="BF3130" s="385"/>
      <c r="BG3130" s="475">
        <v>1090</v>
      </c>
      <c r="BH3130" s="395"/>
      <c r="BI3130" s="395">
        <f t="shared" si="1209"/>
        <v>19.637039999999999</v>
      </c>
    </row>
    <row r="3131" spans="1:61" s="358" customFormat="1" ht="19.2" x14ac:dyDescent="0.3">
      <c r="A3131" s="359" t="s">
        <v>2084</v>
      </c>
      <c r="B3131" s="602" t="s">
        <v>5839</v>
      </c>
      <c r="C3131" s="548" t="s">
        <v>5840</v>
      </c>
      <c r="D3131" s="360">
        <v>0.4</v>
      </c>
      <c r="E3131" s="528"/>
      <c r="F3131" s="523"/>
      <c r="G3131" s="393"/>
      <c r="H3131" s="394"/>
      <c r="I3131" s="394"/>
      <c r="J3131" s="394"/>
      <c r="K3131" s="394"/>
      <c r="L3131" s="394"/>
      <c r="M3131" s="394"/>
      <c r="N3131" s="394"/>
      <c r="O3131" s="394"/>
      <c r="P3131" s="394"/>
      <c r="Q3131" s="394"/>
      <c r="R3131" s="381"/>
      <c r="S3131" s="408"/>
      <c r="T3131" s="385"/>
      <c r="U3131" s="475"/>
      <c r="V3131" s="395"/>
      <c r="W3131" s="395"/>
      <c r="X3131" s="528"/>
      <c r="Y3131" s="523"/>
      <c r="Z3131" s="393"/>
      <c r="AA3131" s="394"/>
      <c r="AB3131" s="394"/>
      <c r="AC3131" s="394"/>
      <c r="AD3131" s="394"/>
      <c r="AE3131" s="394"/>
      <c r="AF3131" s="394"/>
      <c r="AG3131" s="394"/>
      <c r="AH3131" s="394"/>
      <c r="AI3131" s="394"/>
      <c r="AJ3131" s="394"/>
      <c r="AK3131" s="381"/>
      <c r="AL3131" s="408"/>
      <c r="AM3131" s="385"/>
      <c r="AN3131" s="475"/>
      <c r="AO3131" s="395"/>
      <c r="AP3131" s="395"/>
      <c r="AQ3131" s="528"/>
      <c r="AR3131" s="523">
        <v>1</v>
      </c>
      <c r="AS3131" s="393"/>
      <c r="AT3131" s="600">
        <v>19.637070000000001</v>
      </c>
      <c r="AU3131" s="394">
        <v>16.386089999999999</v>
      </c>
      <c r="AV3131" s="394">
        <v>15.32635</v>
      </c>
      <c r="AW3131" s="394"/>
      <c r="AX3131" s="394"/>
      <c r="AY3131" s="394">
        <v>0</v>
      </c>
      <c r="AZ3131" s="394">
        <v>0</v>
      </c>
      <c r="BA3131" s="394">
        <v>0.75790000000000002</v>
      </c>
      <c r="BB3131" s="394">
        <v>15.32635</v>
      </c>
      <c r="BC3131" s="394"/>
      <c r="BD3131" s="381" t="s">
        <v>167</v>
      </c>
      <c r="BE3131" s="408" t="s">
        <v>175</v>
      </c>
      <c r="BF3131" s="385"/>
      <c r="BG3131" s="475">
        <v>1091</v>
      </c>
      <c r="BH3131" s="395"/>
      <c r="BI3131" s="395">
        <f t="shared" ref="BI3131" si="1215">AT3131/AR3131</f>
        <v>19.637070000000001</v>
      </c>
    </row>
    <row r="3132" spans="1:61" s="358" customFormat="1" ht="19.2" x14ac:dyDescent="0.3">
      <c r="A3132" s="359" t="s">
        <v>2085</v>
      </c>
      <c r="B3132" s="602" t="s">
        <v>5841</v>
      </c>
      <c r="C3132" s="548" t="s">
        <v>5842</v>
      </c>
      <c r="D3132" s="360">
        <v>0.4</v>
      </c>
      <c r="E3132" s="528"/>
      <c r="F3132" s="523"/>
      <c r="G3132" s="393"/>
      <c r="H3132" s="394"/>
      <c r="I3132" s="394"/>
      <c r="J3132" s="394"/>
      <c r="K3132" s="394"/>
      <c r="L3132" s="394"/>
      <c r="M3132" s="394"/>
      <c r="N3132" s="394"/>
      <c r="O3132" s="394"/>
      <c r="P3132" s="394"/>
      <c r="Q3132" s="394"/>
      <c r="R3132" s="381"/>
      <c r="S3132" s="408"/>
      <c r="T3132" s="385"/>
      <c r="U3132" s="475"/>
      <c r="V3132" s="395"/>
      <c r="W3132" s="395"/>
      <c r="X3132" s="528"/>
      <c r="Y3132" s="523"/>
      <c r="Z3132" s="393"/>
      <c r="AA3132" s="394"/>
      <c r="AB3132" s="394"/>
      <c r="AC3132" s="394"/>
      <c r="AD3132" s="394"/>
      <c r="AE3132" s="394"/>
      <c r="AF3132" s="394"/>
      <c r="AG3132" s="394"/>
      <c r="AH3132" s="394"/>
      <c r="AI3132" s="394"/>
      <c r="AJ3132" s="394"/>
      <c r="AK3132" s="381"/>
      <c r="AL3132" s="408"/>
      <c r="AM3132" s="385"/>
      <c r="AN3132" s="475"/>
      <c r="AO3132" s="395"/>
      <c r="AP3132" s="395"/>
      <c r="AQ3132" s="528"/>
      <c r="AR3132" s="523">
        <v>1</v>
      </c>
      <c r="AS3132" s="393"/>
      <c r="AT3132" s="600">
        <v>19.637049999999999</v>
      </c>
      <c r="AU3132" s="394">
        <v>16.38607</v>
      </c>
      <c r="AV3132" s="394">
        <v>15.32635</v>
      </c>
      <c r="AW3132" s="394"/>
      <c r="AX3132" s="394"/>
      <c r="AY3132" s="394">
        <v>0</v>
      </c>
      <c r="AZ3132" s="394">
        <v>0</v>
      </c>
      <c r="BA3132" s="394">
        <v>0.75790000000000002</v>
      </c>
      <c r="BB3132" s="394">
        <v>15.32635</v>
      </c>
      <c r="BC3132" s="394"/>
      <c r="BD3132" s="381" t="s">
        <v>167</v>
      </c>
      <c r="BE3132" s="408" t="s">
        <v>175</v>
      </c>
      <c r="BF3132" s="385"/>
      <c r="BG3132" s="475">
        <v>1092</v>
      </c>
      <c r="BH3132" s="395"/>
      <c r="BI3132" s="395">
        <f t="shared" si="1209"/>
        <v>19.637049999999999</v>
      </c>
    </row>
    <row r="3133" spans="1:61" s="358" customFormat="1" ht="19.2" x14ac:dyDescent="0.3">
      <c r="A3133" s="359" t="s">
        <v>2086</v>
      </c>
      <c r="B3133" s="602" t="s">
        <v>5843</v>
      </c>
      <c r="C3133" s="548" t="s">
        <v>5844</v>
      </c>
      <c r="D3133" s="360">
        <v>0.4</v>
      </c>
      <c r="E3133" s="528"/>
      <c r="F3133" s="523"/>
      <c r="G3133" s="393"/>
      <c r="H3133" s="394"/>
      <c r="I3133" s="394"/>
      <c r="J3133" s="394"/>
      <c r="K3133" s="394"/>
      <c r="L3133" s="394"/>
      <c r="M3133" s="394"/>
      <c r="N3133" s="394"/>
      <c r="O3133" s="394"/>
      <c r="P3133" s="394"/>
      <c r="Q3133" s="394"/>
      <c r="R3133" s="381"/>
      <c r="S3133" s="408"/>
      <c r="T3133" s="385"/>
      <c r="U3133" s="475"/>
      <c r="V3133" s="395"/>
      <c r="W3133" s="395"/>
      <c r="X3133" s="528"/>
      <c r="Y3133" s="523"/>
      <c r="Z3133" s="393"/>
      <c r="AA3133" s="394"/>
      <c r="AB3133" s="394"/>
      <c r="AC3133" s="394"/>
      <c r="AD3133" s="394"/>
      <c r="AE3133" s="394"/>
      <c r="AF3133" s="394"/>
      <c r="AG3133" s="394"/>
      <c r="AH3133" s="394"/>
      <c r="AI3133" s="394"/>
      <c r="AJ3133" s="394"/>
      <c r="AK3133" s="381"/>
      <c r="AL3133" s="408"/>
      <c r="AM3133" s="385"/>
      <c r="AN3133" s="475"/>
      <c r="AO3133" s="395"/>
      <c r="AP3133" s="395"/>
      <c r="AQ3133" s="528"/>
      <c r="AR3133" s="523">
        <v>1</v>
      </c>
      <c r="AS3133" s="393"/>
      <c r="AT3133" s="600">
        <v>19.647020000000001</v>
      </c>
      <c r="AU3133" s="394">
        <v>16.396039999999999</v>
      </c>
      <c r="AV3133" s="394">
        <v>15.336349999999999</v>
      </c>
      <c r="AW3133" s="394"/>
      <c r="AX3133" s="394"/>
      <c r="AY3133" s="394">
        <v>0</v>
      </c>
      <c r="AZ3133" s="394">
        <v>0</v>
      </c>
      <c r="BA3133" s="394">
        <v>0.75790000000000002</v>
      </c>
      <c r="BB3133" s="394">
        <v>15.336349999999999</v>
      </c>
      <c r="BC3133" s="394"/>
      <c r="BD3133" s="381" t="s">
        <v>167</v>
      </c>
      <c r="BE3133" s="408" t="s">
        <v>175</v>
      </c>
      <c r="BF3133" s="385"/>
      <c r="BG3133" s="475">
        <v>1093</v>
      </c>
      <c r="BH3133" s="395"/>
      <c r="BI3133" s="395">
        <f t="shared" ref="BI3133" si="1216">AT3133/AR3133</f>
        <v>19.647020000000001</v>
      </c>
    </row>
    <row r="3134" spans="1:61" s="358" customFormat="1" ht="19.2" x14ac:dyDescent="0.3">
      <c r="A3134" s="359" t="s">
        <v>2087</v>
      </c>
      <c r="B3134" s="602" t="s">
        <v>1445</v>
      </c>
      <c r="C3134" s="548" t="s">
        <v>5845</v>
      </c>
      <c r="D3134" s="360">
        <v>0.4</v>
      </c>
      <c r="E3134" s="528"/>
      <c r="F3134" s="523"/>
      <c r="G3134" s="393"/>
      <c r="H3134" s="394"/>
      <c r="I3134" s="394"/>
      <c r="J3134" s="394"/>
      <c r="K3134" s="394"/>
      <c r="L3134" s="394"/>
      <c r="M3134" s="394"/>
      <c r="N3134" s="394"/>
      <c r="O3134" s="394"/>
      <c r="P3134" s="394"/>
      <c r="Q3134" s="394"/>
      <c r="R3134" s="381"/>
      <c r="S3134" s="408"/>
      <c r="T3134" s="385"/>
      <c r="U3134" s="475"/>
      <c r="V3134" s="395"/>
      <c r="W3134" s="395"/>
      <c r="X3134" s="528"/>
      <c r="Y3134" s="523"/>
      <c r="Z3134" s="393"/>
      <c r="AA3134" s="394"/>
      <c r="AB3134" s="394"/>
      <c r="AC3134" s="394"/>
      <c r="AD3134" s="394"/>
      <c r="AE3134" s="394"/>
      <c r="AF3134" s="394"/>
      <c r="AG3134" s="394"/>
      <c r="AH3134" s="394"/>
      <c r="AI3134" s="394"/>
      <c r="AJ3134" s="394"/>
      <c r="AK3134" s="381"/>
      <c r="AL3134" s="408"/>
      <c r="AM3134" s="385"/>
      <c r="AN3134" s="475"/>
      <c r="AO3134" s="395"/>
      <c r="AP3134" s="395"/>
      <c r="AQ3134" s="528"/>
      <c r="AR3134" s="523">
        <v>1</v>
      </c>
      <c r="AS3134" s="393"/>
      <c r="AT3134" s="600">
        <v>19.637039999999999</v>
      </c>
      <c r="AU3134" s="394">
        <v>16.386060000000001</v>
      </c>
      <c r="AV3134" s="394">
        <v>15.32635</v>
      </c>
      <c r="AW3134" s="394"/>
      <c r="AX3134" s="394"/>
      <c r="AY3134" s="394">
        <v>0</v>
      </c>
      <c r="AZ3134" s="394">
        <v>0</v>
      </c>
      <c r="BA3134" s="394">
        <v>0.75790000000000002</v>
      </c>
      <c r="BB3134" s="394">
        <v>15.32635</v>
      </c>
      <c r="BC3134" s="394"/>
      <c r="BD3134" s="381" t="s">
        <v>167</v>
      </c>
      <c r="BE3134" s="408" t="s">
        <v>175</v>
      </c>
      <c r="BF3134" s="385"/>
      <c r="BG3134" s="475">
        <v>1094</v>
      </c>
      <c r="BH3134" s="395"/>
      <c r="BI3134" s="395">
        <f t="shared" si="1209"/>
        <v>19.637039999999999</v>
      </c>
    </row>
    <row r="3135" spans="1:61" s="358" customFormat="1" ht="19.2" x14ac:dyDescent="0.3">
      <c r="A3135" s="359" t="s">
        <v>2088</v>
      </c>
      <c r="B3135" s="602" t="s">
        <v>4836</v>
      </c>
      <c r="C3135" s="548" t="s">
        <v>4835</v>
      </c>
      <c r="D3135" s="360">
        <v>0.4</v>
      </c>
      <c r="E3135" s="528"/>
      <c r="F3135" s="523"/>
      <c r="G3135" s="393"/>
      <c r="H3135" s="394"/>
      <c r="I3135" s="394"/>
      <c r="J3135" s="394"/>
      <c r="K3135" s="394"/>
      <c r="L3135" s="394"/>
      <c r="M3135" s="394"/>
      <c r="N3135" s="394"/>
      <c r="O3135" s="394"/>
      <c r="P3135" s="394"/>
      <c r="Q3135" s="394"/>
      <c r="R3135" s="381"/>
      <c r="S3135" s="408"/>
      <c r="T3135" s="385"/>
      <c r="U3135" s="475"/>
      <c r="V3135" s="395"/>
      <c r="W3135" s="395"/>
      <c r="X3135" s="528"/>
      <c r="Y3135" s="523"/>
      <c r="Z3135" s="393"/>
      <c r="AA3135" s="394"/>
      <c r="AB3135" s="394"/>
      <c r="AC3135" s="394"/>
      <c r="AD3135" s="394"/>
      <c r="AE3135" s="394"/>
      <c r="AF3135" s="394"/>
      <c r="AG3135" s="394"/>
      <c r="AH3135" s="394"/>
      <c r="AI3135" s="394"/>
      <c r="AJ3135" s="394"/>
      <c r="AK3135" s="381"/>
      <c r="AL3135" s="408"/>
      <c r="AM3135" s="385"/>
      <c r="AN3135" s="475"/>
      <c r="AO3135" s="395"/>
      <c r="AP3135" s="395"/>
      <c r="AQ3135" s="528"/>
      <c r="AR3135" s="523">
        <v>1</v>
      </c>
      <c r="AS3135" s="393"/>
      <c r="AT3135" s="600">
        <v>19.637049999999999</v>
      </c>
      <c r="AU3135" s="394">
        <v>16.38607</v>
      </c>
      <c r="AV3135" s="394">
        <v>15.32635</v>
      </c>
      <c r="AW3135" s="394"/>
      <c r="AX3135" s="394"/>
      <c r="AY3135" s="394">
        <v>0</v>
      </c>
      <c r="AZ3135" s="394">
        <v>0</v>
      </c>
      <c r="BA3135" s="394">
        <v>0.75790000000000002</v>
      </c>
      <c r="BB3135" s="394">
        <v>15.32635</v>
      </c>
      <c r="BC3135" s="394"/>
      <c r="BD3135" s="381" t="s">
        <v>167</v>
      </c>
      <c r="BE3135" s="408" t="s">
        <v>175</v>
      </c>
      <c r="BF3135" s="385"/>
      <c r="BG3135" s="475">
        <v>1095</v>
      </c>
      <c r="BH3135" s="395"/>
      <c r="BI3135" s="395">
        <f t="shared" ref="BI3135" si="1217">AT3135/AR3135</f>
        <v>19.637049999999999</v>
      </c>
    </row>
    <row r="3136" spans="1:61" s="358" customFormat="1" ht="19.2" x14ac:dyDescent="0.3">
      <c r="A3136" s="359" t="s">
        <v>2089</v>
      </c>
      <c r="B3136" s="602" t="s">
        <v>5846</v>
      </c>
      <c r="C3136" s="548" t="s">
        <v>5847</v>
      </c>
      <c r="D3136" s="360">
        <v>0.4</v>
      </c>
      <c r="E3136" s="528"/>
      <c r="F3136" s="523"/>
      <c r="G3136" s="393"/>
      <c r="H3136" s="394"/>
      <c r="I3136" s="394"/>
      <c r="J3136" s="394"/>
      <c r="K3136" s="394"/>
      <c r="L3136" s="394"/>
      <c r="M3136" s="394"/>
      <c r="N3136" s="394"/>
      <c r="O3136" s="394"/>
      <c r="P3136" s="394"/>
      <c r="Q3136" s="394"/>
      <c r="R3136" s="381"/>
      <c r="S3136" s="408"/>
      <c r="T3136" s="385"/>
      <c r="U3136" s="475"/>
      <c r="V3136" s="395"/>
      <c r="W3136" s="395"/>
      <c r="X3136" s="528"/>
      <c r="Y3136" s="523"/>
      <c r="Z3136" s="393"/>
      <c r="AA3136" s="394"/>
      <c r="AB3136" s="394"/>
      <c r="AC3136" s="394"/>
      <c r="AD3136" s="394"/>
      <c r="AE3136" s="394"/>
      <c r="AF3136" s="394"/>
      <c r="AG3136" s="394"/>
      <c r="AH3136" s="394"/>
      <c r="AI3136" s="394"/>
      <c r="AJ3136" s="394"/>
      <c r="AK3136" s="381"/>
      <c r="AL3136" s="408"/>
      <c r="AM3136" s="385"/>
      <c r="AN3136" s="475"/>
      <c r="AO3136" s="395"/>
      <c r="AP3136" s="395"/>
      <c r="AQ3136" s="528"/>
      <c r="AR3136" s="523">
        <v>1</v>
      </c>
      <c r="AS3136" s="393"/>
      <c r="AT3136" s="600">
        <v>19.637049999999999</v>
      </c>
      <c r="AU3136" s="394">
        <v>16.38607</v>
      </c>
      <c r="AV3136" s="394">
        <v>15.32635</v>
      </c>
      <c r="AW3136" s="394"/>
      <c r="AX3136" s="394"/>
      <c r="AY3136" s="394">
        <v>0</v>
      </c>
      <c r="AZ3136" s="394">
        <v>0</v>
      </c>
      <c r="BA3136" s="394">
        <v>0.75790000000000002</v>
      </c>
      <c r="BB3136" s="394">
        <v>15.32635</v>
      </c>
      <c r="BC3136" s="394"/>
      <c r="BD3136" s="381" t="s">
        <v>167</v>
      </c>
      <c r="BE3136" s="408" t="s">
        <v>175</v>
      </c>
      <c r="BF3136" s="385"/>
      <c r="BG3136" s="475">
        <v>1096</v>
      </c>
      <c r="BH3136" s="395"/>
      <c r="BI3136" s="395">
        <f t="shared" si="1209"/>
        <v>19.637049999999999</v>
      </c>
    </row>
    <row r="3137" spans="1:61" s="358" customFormat="1" ht="19.2" x14ac:dyDescent="0.3">
      <c r="A3137" s="359" t="s">
        <v>2090</v>
      </c>
      <c r="B3137" s="602" t="s">
        <v>5848</v>
      </c>
      <c r="C3137" s="548" t="s">
        <v>5849</v>
      </c>
      <c r="D3137" s="360">
        <v>0.4</v>
      </c>
      <c r="E3137" s="528"/>
      <c r="F3137" s="523"/>
      <c r="G3137" s="393"/>
      <c r="H3137" s="394"/>
      <c r="I3137" s="394"/>
      <c r="J3137" s="394"/>
      <c r="K3137" s="394"/>
      <c r="L3137" s="394"/>
      <c r="M3137" s="394"/>
      <c r="N3137" s="394"/>
      <c r="O3137" s="394"/>
      <c r="P3137" s="394"/>
      <c r="Q3137" s="394"/>
      <c r="R3137" s="381"/>
      <c r="S3137" s="408"/>
      <c r="T3137" s="385"/>
      <c r="U3137" s="475"/>
      <c r="V3137" s="395"/>
      <c r="W3137" s="395"/>
      <c r="X3137" s="528"/>
      <c r="Y3137" s="523"/>
      <c r="Z3137" s="393"/>
      <c r="AA3137" s="394"/>
      <c r="AB3137" s="394"/>
      <c r="AC3137" s="394"/>
      <c r="AD3137" s="394"/>
      <c r="AE3137" s="394"/>
      <c r="AF3137" s="394"/>
      <c r="AG3137" s="394"/>
      <c r="AH3137" s="394"/>
      <c r="AI3137" s="394"/>
      <c r="AJ3137" s="394"/>
      <c r="AK3137" s="381"/>
      <c r="AL3137" s="408"/>
      <c r="AM3137" s="385"/>
      <c r="AN3137" s="475"/>
      <c r="AO3137" s="395"/>
      <c r="AP3137" s="395"/>
      <c r="AQ3137" s="528"/>
      <c r="AR3137" s="523">
        <v>1</v>
      </c>
      <c r="AS3137" s="393"/>
      <c r="AT3137" s="600">
        <v>19.637049999999999</v>
      </c>
      <c r="AU3137" s="394">
        <v>16.38607</v>
      </c>
      <c r="AV3137" s="394">
        <v>15.32635</v>
      </c>
      <c r="AW3137" s="394"/>
      <c r="AX3137" s="394"/>
      <c r="AY3137" s="394">
        <v>0</v>
      </c>
      <c r="AZ3137" s="394">
        <v>0</v>
      </c>
      <c r="BA3137" s="394">
        <v>0.75790000000000002</v>
      </c>
      <c r="BB3137" s="394">
        <v>15.32635</v>
      </c>
      <c r="BC3137" s="394"/>
      <c r="BD3137" s="381" t="s">
        <v>167</v>
      </c>
      <c r="BE3137" s="408" t="s">
        <v>175</v>
      </c>
      <c r="BF3137" s="385"/>
      <c r="BG3137" s="475">
        <v>1097</v>
      </c>
      <c r="BH3137" s="395"/>
      <c r="BI3137" s="395">
        <f t="shared" ref="BI3137" si="1218">AT3137/AR3137</f>
        <v>19.637049999999999</v>
      </c>
    </row>
    <row r="3138" spans="1:61" s="358" customFormat="1" ht="19.2" x14ac:dyDescent="0.3">
      <c r="A3138" s="359" t="s">
        <v>2091</v>
      </c>
      <c r="B3138" s="602" t="s">
        <v>5850</v>
      </c>
      <c r="C3138" s="548" t="s">
        <v>5851</v>
      </c>
      <c r="D3138" s="360">
        <v>0.4</v>
      </c>
      <c r="E3138" s="528"/>
      <c r="F3138" s="523"/>
      <c r="G3138" s="393"/>
      <c r="H3138" s="394"/>
      <c r="I3138" s="394"/>
      <c r="J3138" s="394"/>
      <c r="K3138" s="394"/>
      <c r="L3138" s="394"/>
      <c r="M3138" s="394"/>
      <c r="N3138" s="394"/>
      <c r="O3138" s="394"/>
      <c r="P3138" s="394"/>
      <c r="Q3138" s="394"/>
      <c r="R3138" s="381"/>
      <c r="S3138" s="408"/>
      <c r="T3138" s="385"/>
      <c r="U3138" s="475"/>
      <c r="V3138" s="395"/>
      <c r="W3138" s="395"/>
      <c r="X3138" s="528"/>
      <c r="Y3138" s="523"/>
      <c r="Z3138" s="393"/>
      <c r="AA3138" s="394"/>
      <c r="AB3138" s="394"/>
      <c r="AC3138" s="394"/>
      <c r="AD3138" s="394"/>
      <c r="AE3138" s="394"/>
      <c r="AF3138" s="394"/>
      <c r="AG3138" s="394"/>
      <c r="AH3138" s="394"/>
      <c r="AI3138" s="394"/>
      <c r="AJ3138" s="394"/>
      <c r="AK3138" s="381"/>
      <c r="AL3138" s="408"/>
      <c r="AM3138" s="385"/>
      <c r="AN3138" s="475"/>
      <c r="AO3138" s="395"/>
      <c r="AP3138" s="395"/>
      <c r="AQ3138" s="528"/>
      <c r="AR3138" s="523">
        <v>1</v>
      </c>
      <c r="AS3138" s="393"/>
      <c r="AT3138" s="600">
        <v>15.198259999999999</v>
      </c>
      <c r="AU3138" s="394">
        <v>13.33325</v>
      </c>
      <c r="AV3138" s="394">
        <v>13.3271</v>
      </c>
      <c r="AW3138" s="394"/>
      <c r="AX3138" s="394"/>
      <c r="AY3138" s="394">
        <v>0</v>
      </c>
      <c r="AZ3138" s="394">
        <v>0</v>
      </c>
      <c r="BA3138" s="394">
        <v>0.43479000000000001</v>
      </c>
      <c r="BB3138" s="394">
        <v>13.3271</v>
      </c>
      <c r="BC3138" s="394"/>
      <c r="BD3138" s="381" t="s">
        <v>167</v>
      </c>
      <c r="BE3138" s="408" t="s">
        <v>175</v>
      </c>
      <c r="BF3138" s="385"/>
      <c r="BG3138" s="475">
        <v>1098</v>
      </c>
      <c r="BH3138" s="395"/>
      <c r="BI3138" s="395">
        <f t="shared" si="1209"/>
        <v>15.198259999999999</v>
      </c>
    </row>
    <row r="3139" spans="1:61" s="358" customFormat="1" ht="19.2" x14ac:dyDescent="0.3">
      <c r="A3139" s="359" t="s">
        <v>2092</v>
      </c>
      <c r="B3139" s="602" t="s">
        <v>4905</v>
      </c>
      <c r="C3139" s="548" t="s">
        <v>4904</v>
      </c>
      <c r="D3139" s="360">
        <v>0.4</v>
      </c>
      <c r="E3139" s="528"/>
      <c r="F3139" s="523"/>
      <c r="G3139" s="393"/>
      <c r="H3139" s="394"/>
      <c r="I3139" s="394"/>
      <c r="J3139" s="394"/>
      <c r="K3139" s="394"/>
      <c r="L3139" s="394"/>
      <c r="M3139" s="394"/>
      <c r="N3139" s="394"/>
      <c r="O3139" s="394"/>
      <c r="P3139" s="394"/>
      <c r="Q3139" s="394"/>
      <c r="R3139" s="381"/>
      <c r="S3139" s="408"/>
      <c r="T3139" s="385"/>
      <c r="U3139" s="475"/>
      <c r="V3139" s="395"/>
      <c r="W3139" s="395"/>
      <c r="X3139" s="528"/>
      <c r="Y3139" s="523"/>
      <c r="Z3139" s="393"/>
      <c r="AA3139" s="394"/>
      <c r="AB3139" s="394"/>
      <c r="AC3139" s="394"/>
      <c r="AD3139" s="394"/>
      <c r="AE3139" s="394"/>
      <c r="AF3139" s="394"/>
      <c r="AG3139" s="394"/>
      <c r="AH3139" s="394"/>
      <c r="AI3139" s="394"/>
      <c r="AJ3139" s="394"/>
      <c r="AK3139" s="381"/>
      <c r="AL3139" s="408"/>
      <c r="AM3139" s="385"/>
      <c r="AN3139" s="475"/>
      <c r="AO3139" s="395"/>
      <c r="AP3139" s="395"/>
      <c r="AQ3139" s="528"/>
      <c r="AR3139" s="523">
        <v>1</v>
      </c>
      <c r="AS3139" s="393"/>
      <c r="AT3139" s="600">
        <v>19.637070000000001</v>
      </c>
      <c r="AU3139" s="394">
        <v>16.386089999999999</v>
      </c>
      <c r="AV3139" s="394">
        <v>15.32635</v>
      </c>
      <c r="AW3139" s="394"/>
      <c r="AX3139" s="394"/>
      <c r="AY3139" s="394">
        <v>0</v>
      </c>
      <c r="AZ3139" s="394">
        <v>0</v>
      </c>
      <c r="BA3139" s="394">
        <v>0.75790000000000002</v>
      </c>
      <c r="BB3139" s="394">
        <v>15.32635</v>
      </c>
      <c r="BC3139" s="394"/>
      <c r="BD3139" s="381" t="s">
        <v>167</v>
      </c>
      <c r="BE3139" s="408" t="s">
        <v>175</v>
      </c>
      <c r="BF3139" s="385"/>
      <c r="BG3139" s="475">
        <v>1099</v>
      </c>
      <c r="BH3139" s="395"/>
      <c r="BI3139" s="395">
        <f t="shared" ref="BI3139" si="1219">AT3139/AR3139</f>
        <v>19.637070000000001</v>
      </c>
    </row>
    <row r="3140" spans="1:61" s="358" customFormat="1" ht="19.2" x14ac:dyDescent="0.3">
      <c r="A3140" s="359" t="s">
        <v>2093</v>
      </c>
      <c r="B3140" s="602" t="s">
        <v>5852</v>
      </c>
      <c r="C3140" s="548" t="s">
        <v>5853</v>
      </c>
      <c r="D3140" s="360">
        <v>0.4</v>
      </c>
      <c r="E3140" s="528"/>
      <c r="F3140" s="523"/>
      <c r="G3140" s="393"/>
      <c r="H3140" s="394"/>
      <c r="I3140" s="394"/>
      <c r="J3140" s="394"/>
      <c r="K3140" s="394"/>
      <c r="L3140" s="394"/>
      <c r="M3140" s="394"/>
      <c r="N3140" s="394"/>
      <c r="O3140" s="394"/>
      <c r="P3140" s="394"/>
      <c r="Q3140" s="394"/>
      <c r="R3140" s="381"/>
      <c r="S3140" s="408"/>
      <c r="T3140" s="385"/>
      <c r="U3140" s="475"/>
      <c r="V3140" s="395"/>
      <c r="W3140" s="395"/>
      <c r="X3140" s="528"/>
      <c r="Y3140" s="523"/>
      <c r="Z3140" s="393"/>
      <c r="AA3140" s="394"/>
      <c r="AB3140" s="394"/>
      <c r="AC3140" s="394"/>
      <c r="AD3140" s="394"/>
      <c r="AE3140" s="394"/>
      <c r="AF3140" s="394"/>
      <c r="AG3140" s="394"/>
      <c r="AH3140" s="394"/>
      <c r="AI3140" s="394"/>
      <c r="AJ3140" s="394"/>
      <c r="AK3140" s="381"/>
      <c r="AL3140" s="408"/>
      <c r="AM3140" s="385"/>
      <c r="AN3140" s="475"/>
      <c r="AO3140" s="395"/>
      <c r="AP3140" s="395"/>
      <c r="AQ3140" s="528"/>
      <c r="AR3140" s="523">
        <v>1</v>
      </c>
      <c r="AS3140" s="393"/>
      <c r="AT3140" s="600">
        <v>19.637049999999999</v>
      </c>
      <c r="AU3140" s="394">
        <v>16.38607</v>
      </c>
      <c r="AV3140" s="394">
        <v>15.32635</v>
      </c>
      <c r="AW3140" s="394"/>
      <c r="AX3140" s="394"/>
      <c r="AY3140" s="394">
        <v>0</v>
      </c>
      <c r="AZ3140" s="394">
        <v>0</v>
      </c>
      <c r="BA3140" s="394">
        <v>0.75790000000000002</v>
      </c>
      <c r="BB3140" s="394">
        <v>15.32635</v>
      </c>
      <c r="BC3140" s="394"/>
      <c r="BD3140" s="381" t="s">
        <v>167</v>
      </c>
      <c r="BE3140" s="408" t="s">
        <v>175</v>
      </c>
      <c r="BF3140" s="385"/>
      <c r="BG3140" s="475">
        <v>1100</v>
      </c>
      <c r="BH3140" s="395"/>
      <c r="BI3140" s="395">
        <f t="shared" si="1209"/>
        <v>19.637049999999999</v>
      </c>
    </row>
    <row r="3141" spans="1:61" s="358" customFormat="1" ht="19.2" x14ac:dyDescent="0.3">
      <c r="A3141" s="359" t="s">
        <v>2094</v>
      </c>
      <c r="B3141" s="602" t="s">
        <v>5854</v>
      </c>
      <c r="C3141" s="548" t="s">
        <v>5855</v>
      </c>
      <c r="D3141" s="360">
        <v>0.4</v>
      </c>
      <c r="E3141" s="528"/>
      <c r="F3141" s="523"/>
      <c r="G3141" s="393"/>
      <c r="H3141" s="394"/>
      <c r="I3141" s="394"/>
      <c r="J3141" s="394"/>
      <c r="K3141" s="394"/>
      <c r="L3141" s="394"/>
      <c r="M3141" s="394"/>
      <c r="N3141" s="394"/>
      <c r="O3141" s="394"/>
      <c r="P3141" s="394"/>
      <c r="Q3141" s="394"/>
      <c r="R3141" s="381"/>
      <c r="S3141" s="408"/>
      <c r="T3141" s="385"/>
      <c r="U3141" s="475"/>
      <c r="V3141" s="395"/>
      <c r="W3141" s="395"/>
      <c r="X3141" s="528"/>
      <c r="Y3141" s="523"/>
      <c r="Z3141" s="393"/>
      <c r="AA3141" s="394"/>
      <c r="AB3141" s="394"/>
      <c r="AC3141" s="394"/>
      <c r="AD3141" s="394"/>
      <c r="AE3141" s="394"/>
      <c r="AF3141" s="394"/>
      <c r="AG3141" s="394"/>
      <c r="AH3141" s="394"/>
      <c r="AI3141" s="394"/>
      <c r="AJ3141" s="394"/>
      <c r="AK3141" s="381"/>
      <c r="AL3141" s="408"/>
      <c r="AM3141" s="385"/>
      <c r="AN3141" s="475"/>
      <c r="AO3141" s="395"/>
      <c r="AP3141" s="395"/>
      <c r="AQ3141" s="528"/>
      <c r="AR3141" s="523">
        <v>1</v>
      </c>
      <c r="AS3141" s="393"/>
      <c r="AT3141" s="600">
        <v>19.637049999999999</v>
      </c>
      <c r="AU3141" s="394">
        <v>16.38607</v>
      </c>
      <c r="AV3141" s="394">
        <v>15.32635</v>
      </c>
      <c r="AW3141" s="394"/>
      <c r="AX3141" s="394"/>
      <c r="AY3141" s="394">
        <v>0</v>
      </c>
      <c r="AZ3141" s="394">
        <v>0</v>
      </c>
      <c r="BA3141" s="394">
        <v>0.75790000000000002</v>
      </c>
      <c r="BB3141" s="394">
        <v>15.32635</v>
      </c>
      <c r="BC3141" s="394"/>
      <c r="BD3141" s="381" t="s">
        <v>167</v>
      </c>
      <c r="BE3141" s="408" t="s">
        <v>175</v>
      </c>
      <c r="BF3141" s="385"/>
      <c r="BG3141" s="475">
        <v>1101</v>
      </c>
      <c r="BH3141" s="395"/>
      <c r="BI3141" s="395">
        <f t="shared" ref="BI3141" si="1220">AT3141/AR3141</f>
        <v>19.637049999999999</v>
      </c>
    </row>
    <row r="3142" spans="1:61" s="358" customFormat="1" ht="19.2" x14ac:dyDescent="0.3">
      <c r="A3142" s="359" t="s">
        <v>2095</v>
      </c>
      <c r="B3142" s="602" t="s">
        <v>4911</v>
      </c>
      <c r="C3142" s="548" t="s">
        <v>4910</v>
      </c>
      <c r="D3142" s="360">
        <v>0.4</v>
      </c>
      <c r="E3142" s="528"/>
      <c r="F3142" s="523"/>
      <c r="G3142" s="393"/>
      <c r="H3142" s="394"/>
      <c r="I3142" s="394"/>
      <c r="J3142" s="394"/>
      <c r="K3142" s="394"/>
      <c r="L3142" s="394"/>
      <c r="M3142" s="394"/>
      <c r="N3142" s="394"/>
      <c r="O3142" s="394"/>
      <c r="P3142" s="394"/>
      <c r="Q3142" s="394"/>
      <c r="R3142" s="381"/>
      <c r="S3142" s="408"/>
      <c r="T3142" s="385"/>
      <c r="U3142" s="475"/>
      <c r="V3142" s="395"/>
      <c r="W3142" s="395"/>
      <c r="X3142" s="528"/>
      <c r="Y3142" s="523"/>
      <c r="Z3142" s="393"/>
      <c r="AA3142" s="394"/>
      <c r="AB3142" s="394"/>
      <c r="AC3142" s="394"/>
      <c r="AD3142" s="394"/>
      <c r="AE3142" s="394"/>
      <c r="AF3142" s="394"/>
      <c r="AG3142" s="394"/>
      <c r="AH3142" s="394"/>
      <c r="AI3142" s="394"/>
      <c r="AJ3142" s="394"/>
      <c r="AK3142" s="381"/>
      <c r="AL3142" s="408"/>
      <c r="AM3142" s="385"/>
      <c r="AN3142" s="475"/>
      <c r="AO3142" s="395"/>
      <c r="AP3142" s="395"/>
      <c r="AQ3142" s="528"/>
      <c r="AR3142" s="523">
        <v>1</v>
      </c>
      <c r="AS3142" s="393"/>
      <c r="AT3142" s="600">
        <v>19.637049999999999</v>
      </c>
      <c r="AU3142" s="394">
        <v>16.38607</v>
      </c>
      <c r="AV3142" s="394">
        <v>15.32635</v>
      </c>
      <c r="AW3142" s="394"/>
      <c r="AX3142" s="394"/>
      <c r="AY3142" s="394">
        <v>0</v>
      </c>
      <c r="AZ3142" s="394">
        <v>0</v>
      </c>
      <c r="BA3142" s="394">
        <v>0.75790000000000002</v>
      </c>
      <c r="BB3142" s="394">
        <v>15.32635</v>
      </c>
      <c r="BC3142" s="394"/>
      <c r="BD3142" s="381" t="s">
        <v>167</v>
      </c>
      <c r="BE3142" s="408" t="s">
        <v>175</v>
      </c>
      <c r="BF3142" s="385"/>
      <c r="BG3142" s="475">
        <v>1102</v>
      </c>
      <c r="BH3142" s="395"/>
      <c r="BI3142" s="395">
        <f t="shared" si="1209"/>
        <v>19.637049999999999</v>
      </c>
    </row>
    <row r="3143" spans="1:61" s="358" customFormat="1" ht="19.2" x14ac:dyDescent="0.3">
      <c r="A3143" s="359" t="s">
        <v>2096</v>
      </c>
      <c r="B3143" s="602" t="s">
        <v>4129</v>
      </c>
      <c r="C3143" s="548" t="s">
        <v>5856</v>
      </c>
      <c r="D3143" s="360">
        <v>0.4</v>
      </c>
      <c r="E3143" s="528"/>
      <c r="F3143" s="523"/>
      <c r="G3143" s="393"/>
      <c r="H3143" s="394"/>
      <c r="I3143" s="394"/>
      <c r="J3143" s="394"/>
      <c r="K3143" s="394"/>
      <c r="L3143" s="394"/>
      <c r="M3143" s="394"/>
      <c r="N3143" s="394"/>
      <c r="O3143" s="394"/>
      <c r="P3143" s="394"/>
      <c r="Q3143" s="394"/>
      <c r="R3143" s="381"/>
      <c r="S3143" s="408"/>
      <c r="T3143" s="385"/>
      <c r="U3143" s="475"/>
      <c r="V3143" s="395"/>
      <c r="W3143" s="395"/>
      <c r="X3143" s="528"/>
      <c r="Y3143" s="523"/>
      <c r="Z3143" s="393"/>
      <c r="AA3143" s="394"/>
      <c r="AB3143" s="394"/>
      <c r="AC3143" s="394"/>
      <c r="AD3143" s="394"/>
      <c r="AE3143" s="394"/>
      <c r="AF3143" s="394"/>
      <c r="AG3143" s="394"/>
      <c r="AH3143" s="394"/>
      <c r="AI3143" s="394"/>
      <c r="AJ3143" s="394"/>
      <c r="AK3143" s="381"/>
      <c r="AL3143" s="408"/>
      <c r="AM3143" s="385"/>
      <c r="AN3143" s="475"/>
      <c r="AO3143" s="395"/>
      <c r="AP3143" s="395"/>
      <c r="AQ3143" s="528"/>
      <c r="AR3143" s="523">
        <v>1</v>
      </c>
      <c r="AS3143" s="393"/>
      <c r="AT3143" s="600">
        <v>19.637070000000001</v>
      </c>
      <c r="AU3143" s="394">
        <v>16.386089999999999</v>
      </c>
      <c r="AV3143" s="394">
        <v>15.32635</v>
      </c>
      <c r="AW3143" s="394"/>
      <c r="AX3143" s="394"/>
      <c r="AY3143" s="394">
        <v>0</v>
      </c>
      <c r="AZ3143" s="394">
        <v>0</v>
      </c>
      <c r="BA3143" s="394">
        <v>0.75790000000000002</v>
      </c>
      <c r="BB3143" s="394">
        <v>15.32635</v>
      </c>
      <c r="BC3143" s="394"/>
      <c r="BD3143" s="381" t="s">
        <v>167</v>
      </c>
      <c r="BE3143" s="408" t="s">
        <v>175</v>
      </c>
      <c r="BF3143" s="385"/>
      <c r="BG3143" s="475">
        <v>1103</v>
      </c>
      <c r="BH3143" s="395"/>
      <c r="BI3143" s="395">
        <f t="shared" ref="BI3143" si="1221">AT3143/AR3143</f>
        <v>19.637070000000001</v>
      </c>
    </row>
    <row r="3144" spans="1:61" s="358" customFormat="1" ht="19.2" x14ac:dyDescent="0.3">
      <c r="A3144" s="359" t="s">
        <v>2097</v>
      </c>
      <c r="B3144" s="602" t="s">
        <v>5857</v>
      </c>
      <c r="C3144" s="548" t="s">
        <v>5858</v>
      </c>
      <c r="D3144" s="360">
        <v>0.4</v>
      </c>
      <c r="E3144" s="528"/>
      <c r="F3144" s="523"/>
      <c r="G3144" s="393"/>
      <c r="H3144" s="394"/>
      <c r="I3144" s="394"/>
      <c r="J3144" s="394"/>
      <c r="K3144" s="394"/>
      <c r="L3144" s="394"/>
      <c r="M3144" s="394"/>
      <c r="N3144" s="394"/>
      <c r="O3144" s="394"/>
      <c r="P3144" s="394"/>
      <c r="Q3144" s="394"/>
      <c r="R3144" s="381"/>
      <c r="S3144" s="408"/>
      <c r="T3144" s="385"/>
      <c r="U3144" s="475"/>
      <c r="V3144" s="395"/>
      <c r="W3144" s="395"/>
      <c r="X3144" s="528"/>
      <c r="Y3144" s="523"/>
      <c r="Z3144" s="393"/>
      <c r="AA3144" s="394"/>
      <c r="AB3144" s="394"/>
      <c r="AC3144" s="394"/>
      <c r="AD3144" s="394"/>
      <c r="AE3144" s="394"/>
      <c r="AF3144" s="394"/>
      <c r="AG3144" s="394"/>
      <c r="AH3144" s="394"/>
      <c r="AI3144" s="394"/>
      <c r="AJ3144" s="394"/>
      <c r="AK3144" s="381"/>
      <c r="AL3144" s="408"/>
      <c r="AM3144" s="385"/>
      <c r="AN3144" s="475"/>
      <c r="AO3144" s="395"/>
      <c r="AP3144" s="395"/>
      <c r="AQ3144" s="528"/>
      <c r="AR3144" s="523">
        <v>1</v>
      </c>
      <c r="AS3144" s="393"/>
      <c r="AT3144" s="600">
        <v>19.637070000000001</v>
      </c>
      <c r="AU3144" s="394">
        <v>16.386089999999999</v>
      </c>
      <c r="AV3144" s="394">
        <v>15.32635</v>
      </c>
      <c r="AW3144" s="394"/>
      <c r="AX3144" s="394"/>
      <c r="AY3144" s="394">
        <v>0</v>
      </c>
      <c r="AZ3144" s="394">
        <v>0</v>
      </c>
      <c r="BA3144" s="394">
        <v>0.75790000000000002</v>
      </c>
      <c r="BB3144" s="394">
        <v>15.32635</v>
      </c>
      <c r="BC3144" s="394"/>
      <c r="BD3144" s="381" t="s">
        <v>167</v>
      </c>
      <c r="BE3144" s="408" t="s">
        <v>175</v>
      </c>
      <c r="BF3144" s="385"/>
      <c r="BG3144" s="475">
        <v>1104</v>
      </c>
      <c r="BH3144" s="395"/>
      <c r="BI3144" s="395">
        <f t="shared" si="1209"/>
        <v>19.637070000000001</v>
      </c>
    </row>
    <row r="3145" spans="1:61" s="358" customFormat="1" ht="19.2" x14ac:dyDescent="0.3">
      <c r="A3145" s="359" t="s">
        <v>2098</v>
      </c>
      <c r="B3145" s="602" t="s">
        <v>4854</v>
      </c>
      <c r="C3145" s="548" t="s">
        <v>4853</v>
      </c>
      <c r="D3145" s="360">
        <v>0.4</v>
      </c>
      <c r="E3145" s="528"/>
      <c r="F3145" s="523"/>
      <c r="G3145" s="393"/>
      <c r="H3145" s="394"/>
      <c r="I3145" s="394"/>
      <c r="J3145" s="394"/>
      <c r="K3145" s="394"/>
      <c r="L3145" s="394"/>
      <c r="M3145" s="394"/>
      <c r="N3145" s="394"/>
      <c r="O3145" s="394"/>
      <c r="P3145" s="394"/>
      <c r="Q3145" s="394"/>
      <c r="R3145" s="381"/>
      <c r="S3145" s="408"/>
      <c r="T3145" s="385"/>
      <c r="U3145" s="475"/>
      <c r="V3145" s="395"/>
      <c r="W3145" s="395"/>
      <c r="X3145" s="528"/>
      <c r="Y3145" s="523"/>
      <c r="Z3145" s="393"/>
      <c r="AA3145" s="394"/>
      <c r="AB3145" s="394"/>
      <c r="AC3145" s="394"/>
      <c r="AD3145" s="394"/>
      <c r="AE3145" s="394"/>
      <c r="AF3145" s="394"/>
      <c r="AG3145" s="394"/>
      <c r="AH3145" s="394"/>
      <c r="AI3145" s="394"/>
      <c r="AJ3145" s="394"/>
      <c r="AK3145" s="381"/>
      <c r="AL3145" s="408"/>
      <c r="AM3145" s="385"/>
      <c r="AN3145" s="475"/>
      <c r="AO3145" s="395"/>
      <c r="AP3145" s="395"/>
      <c r="AQ3145" s="528"/>
      <c r="AR3145" s="523">
        <v>1</v>
      </c>
      <c r="AS3145" s="393"/>
      <c r="AT3145" s="600">
        <v>19.637070000000001</v>
      </c>
      <c r="AU3145" s="394">
        <v>16.386089999999999</v>
      </c>
      <c r="AV3145" s="394">
        <v>15.32635</v>
      </c>
      <c r="AW3145" s="394"/>
      <c r="AX3145" s="394"/>
      <c r="AY3145" s="394">
        <v>0</v>
      </c>
      <c r="AZ3145" s="394">
        <v>0</v>
      </c>
      <c r="BA3145" s="394">
        <v>0.75790000000000002</v>
      </c>
      <c r="BB3145" s="394">
        <v>15.32635</v>
      </c>
      <c r="BC3145" s="394"/>
      <c r="BD3145" s="381" t="s">
        <v>167</v>
      </c>
      <c r="BE3145" s="408" t="s">
        <v>175</v>
      </c>
      <c r="BF3145" s="385"/>
      <c r="BG3145" s="475">
        <v>1105</v>
      </c>
      <c r="BH3145" s="395"/>
      <c r="BI3145" s="395">
        <f t="shared" ref="BI3145" si="1222">AT3145/AR3145</f>
        <v>19.637070000000001</v>
      </c>
    </row>
    <row r="3146" spans="1:61" s="358" customFormat="1" ht="19.2" x14ac:dyDescent="0.3">
      <c r="A3146" s="359" t="s">
        <v>2099</v>
      </c>
      <c r="B3146" s="602" t="s">
        <v>5859</v>
      </c>
      <c r="C3146" s="548" t="s">
        <v>5860</v>
      </c>
      <c r="D3146" s="360">
        <v>0.4</v>
      </c>
      <c r="E3146" s="528"/>
      <c r="F3146" s="523"/>
      <c r="G3146" s="393"/>
      <c r="H3146" s="394"/>
      <c r="I3146" s="394"/>
      <c r="J3146" s="394"/>
      <c r="K3146" s="394"/>
      <c r="L3146" s="394"/>
      <c r="M3146" s="394"/>
      <c r="N3146" s="394"/>
      <c r="O3146" s="394"/>
      <c r="P3146" s="394"/>
      <c r="Q3146" s="394"/>
      <c r="R3146" s="381"/>
      <c r="S3146" s="408"/>
      <c r="T3146" s="385"/>
      <c r="U3146" s="475"/>
      <c r="V3146" s="395"/>
      <c r="W3146" s="395"/>
      <c r="X3146" s="528"/>
      <c r="Y3146" s="523"/>
      <c r="Z3146" s="393"/>
      <c r="AA3146" s="394"/>
      <c r="AB3146" s="394"/>
      <c r="AC3146" s="394"/>
      <c r="AD3146" s="394"/>
      <c r="AE3146" s="394"/>
      <c r="AF3146" s="394"/>
      <c r="AG3146" s="394"/>
      <c r="AH3146" s="394"/>
      <c r="AI3146" s="394"/>
      <c r="AJ3146" s="394"/>
      <c r="AK3146" s="381"/>
      <c r="AL3146" s="408"/>
      <c r="AM3146" s="385"/>
      <c r="AN3146" s="475"/>
      <c r="AO3146" s="395"/>
      <c r="AP3146" s="395"/>
      <c r="AQ3146" s="528"/>
      <c r="AR3146" s="523">
        <v>1</v>
      </c>
      <c r="AS3146" s="393"/>
      <c r="AT3146" s="600">
        <v>19.637049999999999</v>
      </c>
      <c r="AU3146" s="394">
        <v>16.38607</v>
      </c>
      <c r="AV3146" s="394">
        <v>15.32635</v>
      </c>
      <c r="AW3146" s="394"/>
      <c r="AX3146" s="394"/>
      <c r="AY3146" s="394">
        <v>0</v>
      </c>
      <c r="AZ3146" s="394">
        <v>0</v>
      </c>
      <c r="BA3146" s="394">
        <v>0.75790000000000002</v>
      </c>
      <c r="BB3146" s="394">
        <v>15.32635</v>
      </c>
      <c r="BC3146" s="394"/>
      <c r="BD3146" s="381" t="s">
        <v>167</v>
      </c>
      <c r="BE3146" s="408" t="s">
        <v>175</v>
      </c>
      <c r="BF3146" s="385"/>
      <c r="BG3146" s="475">
        <v>1106</v>
      </c>
      <c r="BH3146" s="395"/>
      <c r="BI3146" s="395">
        <f t="shared" si="1209"/>
        <v>19.637049999999999</v>
      </c>
    </row>
    <row r="3147" spans="1:61" s="358" customFormat="1" ht="19.2" x14ac:dyDescent="0.3">
      <c r="A3147" s="359" t="s">
        <v>2100</v>
      </c>
      <c r="B3147" s="602" t="s">
        <v>5861</v>
      </c>
      <c r="C3147" s="548" t="s">
        <v>5862</v>
      </c>
      <c r="D3147" s="360">
        <v>0.4</v>
      </c>
      <c r="E3147" s="528"/>
      <c r="F3147" s="523"/>
      <c r="G3147" s="393"/>
      <c r="H3147" s="394"/>
      <c r="I3147" s="394"/>
      <c r="J3147" s="394"/>
      <c r="K3147" s="394"/>
      <c r="L3147" s="394"/>
      <c r="M3147" s="394"/>
      <c r="N3147" s="394"/>
      <c r="O3147" s="394"/>
      <c r="P3147" s="394"/>
      <c r="Q3147" s="394"/>
      <c r="R3147" s="381"/>
      <c r="S3147" s="408"/>
      <c r="T3147" s="385"/>
      <c r="U3147" s="475"/>
      <c r="V3147" s="395"/>
      <c r="W3147" s="395"/>
      <c r="X3147" s="528"/>
      <c r="Y3147" s="523"/>
      <c r="Z3147" s="393"/>
      <c r="AA3147" s="394"/>
      <c r="AB3147" s="394"/>
      <c r="AC3147" s="394"/>
      <c r="AD3147" s="394"/>
      <c r="AE3147" s="394"/>
      <c r="AF3147" s="394"/>
      <c r="AG3147" s="394"/>
      <c r="AH3147" s="394"/>
      <c r="AI3147" s="394"/>
      <c r="AJ3147" s="394"/>
      <c r="AK3147" s="381"/>
      <c r="AL3147" s="408"/>
      <c r="AM3147" s="385"/>
      <c r="AN3147" s="475"/>
      <c r="AO3147" s="395"/>
      <c r="AP3147" s="395"/>
      <c r="AQ3147" s="528"/>
      <c r="AR3147" s="523">
        <v>1</v>
      </c>
      <c r="AS3147" s="393"/>
      <c r="AT3147" s="600">
        <v>19.637070000000001</v>
      </c>
      <c r="AU3147" s="394">
        <v>16.386089999999999</v>
      </c>
      <c r="AV3147" s="394">
        <v>15.32635</v>
      </c>
      <c r="AW3147" s="394"/>
      <c r="AX3147" s="394"/>
      <c r="AY3147" s="394">
        <v>0</v>
      </c>
      <c r="AZ3147" s="394">
        <v>0</v>
      </c>
      <c r="BA3147" s="394">
        <v>0.75790000000000002</v>
      </c>
      <c r="BB3147" s="394">
        <v>15.32635</v>
      </c>
      <c r="BC3147" s="394"/>
      <c r="BD3147" s="381" t="s">
        <v>167</v>
      </c>
      <c r="BE3147" s="408" t="s">
        <v>175</v>
      </c>
      <c r="BF3147" s="385"/>
      <c r="BG3147" s="475">
        <v>1107</v>
      </c>
      <c r="BH3147" s="395"/>
      <c r="BI3147" s="395">
        <f t="shared" ref="BI3147" si="1223">AT3147/AR3147</f>
        <v>19.637070000000001</v>
      </c>
    </row>
    <row r="3148" spans="1:61" s="358" customFormat="1" ht="19.2" x14ac:dyDescent="0.3">
      <c r="A3148" s="359" t="s">
        <v>2101</v>
      </c>
      <c r="B3148" s="602" t="s">
        <v>5863</v>
      </c>
      <c r="C3148" s="548" t="s">
        <v>5864</v>
      </c>
      <c r="D3148" s="360">
        <v>0.4</v>
      </c>
      <c r="E3148" s="528"/>
      <c r="F3148" s="523"/>
      <c r="G3148" s="393"/>
      <c r="H3148" s="394"/>
      <c r="I3148" s="394"/>
      <c r="J3148" s="394"/>
      <c r="K3148" s="394"/>
      <c r="L3148" s="394"/>
      <c r="M3148" s="394"/>
      <c r="N3148" s="394"/>
      <c r="O3148" s="394"/>
      <c r="P3148" s="394"/>
      <c r="Q3148" s="394"/>
      <c r="R3148" s="381"/>
      <c r="S3148" s="408"/>
      <c r="T3148" s="385"/>
      <c r="U3148" s="475"/>
      <c r="V3148" s="395"/>
      <c r="W3148" s="395"/>
      <c r="X3148" s="528"/>
      <c r="Y3148" s="523"/>
      <c r="Z3148" s="393"/>
      <c r="AA3148" s="394"/>
      <c r="AB3148" s="394"/>
      <c r="AC3148" s="394"/>
      <c r="AD3148" s="394"/>
      <c r="AE3148" s="394"/>
      <c r="AF3148" s="394"/>
      <c r="AG3148" s="394"/>
      <c r="AH3148" s="394"/>
      <c r="AI3148" s="394"/>
      <c r="AJ3148" s="394"/>
      <c r="AK3148" s="381"/>
      <c r="AL3148" s="408"/>
      <c r="AM3148" s="385"/>
      <c r="AN3148" s="475"/>
      <c r="AO3148" s="395"/>
      <c r="AP3148" s="395"/>
      <c r="AQ3148" s="528"/>
      <c r="AR3148" s="523">
        <v>1</v>
      </c>
      <c r="AS3148" s="393"/>
      <c r="AT3148" s="600">
        <v>19.637070000000001</v>
      </c>
      <c r="AU3148" s="394">
        <v>16.386089999999999</v>
      </c>
      <c r="AV3148" s="394">
        <v>15.32635</v>
      </c>
      <c r="AW3148" s="394"/>
      <c r="AX3148" s="394"/>
      <c r="AY3148" s="394">
        <v>0</v>
      </c>
      <c r="AZ3148" s="394">
        <v>0</v>
      </c>
      <c r="BA3148" s="394">
        <v>0.75790000000000002</v>
      </c>
      <c r="BB3148" s="394">
        <v>15.32635</v>
      </c>
      <c r="BC3148" s="394"/>
      <c r="BD3148" s="381" t="s">
        <v>167</v>
      </c>
      <c r="BE3148" s="408" t="s">
        <v>175</v>
      </c>
      <c r="BF3148" s="385"/>
      <c r="BG3148" s="475">
        <v>1108</v>
      </c>
      <c r="BH3148" s="395"/>
      <c r="BI3148" s="395">
        <f t="shared" si="1209"/>
        <v>19.637070000000001</v>
      </c>
    </row>
    <row r="3149" spans="1:61" s="358" customFormat="1" ht="19.2" x14ac:dyDescent="0.3">
      <c r="A3149" s="359" t="s">
        <v>2102</v>
      </c>
      <c r="B3149" s="602" t="s">
        <v>5865</v>
      </c>
      <c r="C3149" s="548" t="s">
        <v>5866</v>
      </c>
      <c r="D3149" s="360">
        <v>0.4</v>
      </c>
      <c r="E3149" s="528"/>
      <c r="F3149" s="523"/>
      <c r="G3149" s="393"/>
      <c r="H3149" s="394"/>
      <c r="I3149" s="394"/>
      <c r="J3149" s="394"/>
      <c r="K3149" s="394"/>
      <c r="L3149" s="394"/>
      <c r="M3149" s="394"/>
      <c r="N3149" s="394"/>
      <c r="O3149" s="394"/>
      <c r="P3149" s="394"/>
      <c r="Q3149" s="394"/>
      <c r="R3149" s="381"/>
      <c r="S3149" s="408"/>
      <c r="T3149" s="385"/>
      <c r="U3149" s="475"/>
      <c r="V3149" s="395"/>
      <c r="W3149" s="395"/>
      <c r="X3149" s="528"/>
      <c r="Y3149" s="523"/>
      <c r="Z3149" s="393"/>
      <c r="AA3149" s="394"/>
      <c r="AB3149" s="394"/>
      <c r="AC3149" s="394"/>
      <c r="AD3149" s="394"/>
      <c r="AE3149" s="394"/>
      <c r="AF3149" s="394"/>
      <c r="AG3149" s="394"/>
      <c r="AH3149" s="394"/>
      <c r="AI3149" s="394"/>
      <c r="AJ3149" s="394"/>
      <c r="AK3149" s="381"/>
      <c r="AL3149" s="408"/>
      <c r="AM3149" s="385"/>
      <c r="AN3149" s="475"/>
      <c r="AO3149" s="395"/>
      <c r="AP3149" s="395"/>
      <c r="AQ3149" s="528"/>
      <c r="AR3149" s="523">
        <v>1</v>
      </c>
      <c r="AS3149" s="393"/>
      <c r="AT3149" s="600">
        <v>19.637049999999999</v>
      </c>
      <c r="AU3149" s="394">
        <v>16.38607</v>
      </c>
      <c r="AV3149" s="394">
        <v>15.32635</v>
      </c>
      <c r="AW3149" s="394"/>
      <c r="AX3149" s="394"/>
      <c r="AY3149" s="394">
        <v>0</v>
      </c>
      <c r="AZ3149" s="394">
        <v>0</v>
      </c>
      <c r="BA3149" s="394">
        <v>0.75790000000000002</v>
      </c>
      <c r="BB3149" s="394">
        <v>15.32635</v>
      </c>
      <c r="BC3149" s="394"/>
      <c r="BD3149" s="381" t="s">
        <v>167</v>
      </c>
      <c r="BE3149" s="408" t="s">
        <v>175</v>
      </c>
      <c r="BF3149" s="385"/>
      <c r="BG3149" s="475">
        <v>1109</v>
      </c>
      <c r="BH3149" s="395"/>
      <c r="BI3149" s="395">
        <f>AT3149/AR3149</f>
        <v>19.637049999999999</v>
      </c>
    </row>
    <row r="3150" spans="1:61" s="358" customFormat="1" ht="19.2" x14ac:dyDescent="0.3">
      <c r="A3150" s="359" t="s">
        <v>2103</v>
      </c>
      <c r="B3150" s="602" t="s">
        <v>1379</v>
      </c>
      <c r="C3150" s="548" t="s">
        <v>5867</v>
      </c>
      <c r="D3150" s="360">
        <v>0.4</v>
      </c>
      <c r="E3150" s="528"/>
      <c r="F3150" s="523"/>
      <c r="G3150" s="393"/>
      <c r="H3150" s="394"/>
      <c r="I3150" s="394"/>
      <c r="J3150" s="394"/>
      <c r="K3150" s="394"/>
      <c r="L3150" s="394"/>
      <c r="M3150" s="394"/>
      <c r="N3150" s="394"/>
      <c r="O3150" s="394"/>
      <c r="P3150" s="394"/>
      <c r="Q3150" s="394"/>
      <c r="R3150" s="381"/>
      <c r="S3150" s="408"/>
      <c r="T3150" s="385"/>
      <c r="U3150" s="475"/>
      <c r="V3150" s="395"/>
      <c r="W3150" s="395"/>
      <c r="X3150" s="528"/>
      <c r="Y3150" s="523"/>
      <c r="Z3150" s="393"/>
      <c r="AA3150" s="394"/>
      <c r="AB3150" s="394"/>
      <c r="AC3150" s="394"/>
      <c r="AD3150" s="394"/>
      <c r="AE3150" s="394"/>
      <c r="AF3150" s="394"/>
      <c r="AG3150" s="394"/>
      <c r="AH3150" s="394"/>
      <c r="AI3150" s="394"/>
      <c r="AJ3150" s="394"/>
      <c r="AK3150" s="381"/>
      <c r="AL3150" s="408"/>
      <c r="AM3150" s="385"/>
      <c r="AN3150" s="475"/>
      <c r="AO3150" s="395"/>
      <c r="AP3150" s="395"/>
      <c r="AQ3150" s="528"/>
      <c r="AR3150" s="523">
        <v>1</v>
      </c>
      <c r="AS3150" s="393"/>
      <c r="AT3150" s="600">
        <v>19.637070000000001</v>
      </c>
      <c r="AU3150" s="394">
        <v>16.386089999999999</v>
      </c>
      <c r="AV3150" s="394">
        <v>15.32635</v>
      </c>
      <c r="AW3150" s="394"/>
      <c r="AX3150" s="394"/>
      <c r="AY3150" s="394">
        <v>0</v>
      </c>
      <c r="AZ3150" s="394">
        <v>0</v>
      </c>
      <c r="BA3150" s="394">
        <v>0.75790000000000002</v>
      </c>
      <c r="BB3150" s="394">
        <v>15.32635</v>
      </c>
      <c r="BC3150" s="394"/>
      <c r="BD3150" s="381" t="s">
        <v>167</v>
      </c>
      <c r="BE3150" s="408" t="s">
        <v>175</v>
      </c>
      <c r="BF3150" s="385"/>
      <c r="BG3150" s="475">
        <v>1110</v>
      </c>
      <c r="BH3150" s="395"/>
      <c r="BI3150" s="395">
        <f t="shared" ref="BI3150:BI3242" si="1224">AT3150/AR3150</f>
        <v>19.637070000000001</v>
      </c>
    </row>
    <row r="3151" spans="1:61" s="358" customFormat="1" ht="19.2" x14ac:dyDescent="0.3">
      <c r="A3151" s="359" t="s">
        <v>2104</v>
      </c>
      <c r="B3151" s="602" t="s">
        <v>5868</v>
      </c>
      <c r="C3151" s="548" t="s">
        <v>5869</v>
      </c>
      <c r="D3151" s="360">
        <v>0.4</v>
      </c>
      <c r="E3151" s="528"/>
      <c r="F3151" s="523"/>
      <c r="G3151" s="393"/>
      <c r="H3151" s="394"/>
      <c r="I3151" s="394"/>
      <c r="J3151" s="394"/>
      <c r="K3151" s="394"/>
      <c r="L3151" s="394"/>
      <c r="M3151" s="394"/>
      <c r="N3151" s="394"/>
      <c r="O3151" s="394"/>
      <c r="P3151" s="394"/>
      <c r="Q3151" s="394"/>
      <c r="R3151" s="381"/>
      <c r="S3151" s="408"/>
      <c r="T3151" s="385"/>
      <c r="U3151" s="475"/>
      <c r="V3151" s="395"/>
      <c r="W3151" s="395"/>
      <c r="X3151" s="528"/>
      <c r="Y3151" s="523"/>
      <c r="Z3151" s="393"/>
      <c r="AA3151" s="394"/>
      <c r="AB3151" s="394"/>
      <c r="AC3151" s="394"/>
      <c r="AD3151" s="394"/>
      <c r="AE3151" s="394"/>
      <c r="AF3151" s="394"/>
      <c r="AG3151" s="394"/>
      <c r="AH3151" s="394"/>
      <c r="AI3151" s="394"/>
      <c r="AJ3151" s="394"/>
      <c r="AK3151" s="381"/>
      <c r="AL3151" s="408"/>
      <c r="AM3151" s="385"/>
      <c r="AN3151" s="475"/>
      <c r="AO3151" s="395"/>
      <c r="AP3151" s="395"/>
      <c r="AQ3151" s="528"/>
      <c r="AR3151" s="523">
        <v>1</v>
      </c>
      <c r="AS3151" s="393"/>
      <c r="AT3151" s="600">
        <v>19.637049999999999</v>
      </c>
      <c r="AU3151" s="394">
        <v>16.38607</v>
      </c>
      <c r="AV3151" s="394">
        <v>15.32635</v>
      </c>
      <c r="AW3151" s="394"/>
      <c r="AX3151" s="394"/>
      <c r="AY3151" s="394">
        <v>0</v>
      </c>
      <c r="AZ3151" s="394">
        <v>0</v>
      </c>
      <c r="BA3151" s="394">
        <v>0.75790000000000002</v>
      </c>
      <c r="BB3151" s="394">
        <v>15.32635</v>
      </c>
      <c r="BC3151" s="394"/>
      <c r="BD3151" s="381" t="s">
        <v>167</v>
      </c>
      <c r="BE3151" s="408" t="s">
        <v>175</v>
      </c>
      <c r="BF3151" s="385"/>
      <c r="BG3151" s="475">
        <v>1111</v>
      </c>
      <c r="BH3151" s="395"/>
      <c r="BI3151" s="395">
        <f t="shared" si="1224"/>
        <v>19.637049999999999</v>
      </c>
    </row>
    <row r="3152" spans="1:61" s="358" customFormat="1" ht="19.2" x14ac:dyDescent="0.3">
      <c r="A3152" s="359" t="s">
        <v>2105</v>
      </c>
      <c r="B3152" s="602" t="s">
        <v>5870</v>
      </c>
      <c r="C3152" s="548" t="s">
        <v>5871</v>
      </c>
      <c r="D3152" s="360">
        <v>0.4</v>
      </c>
      <c r="E3152" s="528"/>
      <c r="F3152" s="523"/>
      <c r="G3152" s="393"/>
      <c r="H3152" s="394"/>
      <c r="I3152" s="394"/>
      <c r="J3152" s="394"/>
      <c r="K3152" s="394"/>
      <c r="L3152" s="394"/>
      <c r="M3152" s="394"/>
      <c r="N3152" s="394"/>
      <c r="O3152" s="394"/>
      <c r="P3152" s="394"/>
      <c r="Q3152" s="394"/>
      <c r="R3152" s="381"/>
      <c r="S3152" s="408"/>
      <c r="T3152" s="385"/>
      <c r="U3152" s="475"/>
      <c r="V3152" s="395"/>
      <c r="W3152" s="395"/>
      <c r="X3152" s="528"/>
      <c r="Y3152" s="523"/>
      <c r="Z3152" s="393"/>
      <c r="AA3152" s="394"/>
      <c r="AB3152" s="394"/>
      <c r="AC3152" s="394"/>
      <c r="AD3152" s="394"/>
      <c r="AE3152" s="394"/>
      <c r="AF3152" s="394"/>
      <c r="AG3152" s="394"/>
      <c r="AH3152" s="394"/>
      <c r="AI3152" s="394"/>
      <c r="AJ3152" s="394"/>
      <c r="AK3152" s="381"/>
      <c r="AL3152" s="408"/>
      <c r="AM3152" s="385"/>
      <c r="AN3152" s="475"/>
      <c r="AO3152" s="395"/>
      <c r="AP3152" s="395"/>
      <c r="AQ3152" s="528"/>
      <c r="AR3152" s="523">
        <v>1</v>
      </c>
      <c r="AS3152" s="393"/>
      <c r="AT3152" s="600">
        <v>19.637049999999999</v>
      </c>
      <c r="AU3152" s="394">
        <v>16.38607</v>
      </c>
      <c r="AV3152" s="394">
        <v>15.32635</v>
      </c>
      <c r="AW3152" s="394"/>
      <c r="AX3152" s="394"/>
      <c r="AY3152" s="394">
        <v>0</v>
      </c>
      <c r="AZ3152" s="394">
        <v>0</v>
      </c>
      <c r="BA3152" s="394">
        <v>0.75790000000000002</v>
      </c>
      <c r="BB3152" s="394">
        <v>15.32635</v>
      </c>
      <c r="BC3152" s="394"/>
      <c r="BD3152" s="381" t="s">
        <v>167</v>
      </c>
      <c r="BE3152" s="408" t="s">
        <v>175</v>
      </c>
      <c r="BF3152" s="385"/>
      <c r="BG3152" s="475">
        <v>1112</v>
      </c>
      <c r="BH3152" s="395"/>
      <c r="BI3152" s="395">
        <f t="shared" ref="BI3152" si="1225">AT3152/AR3152</f>
        <v>19.637049999999999</v>
      </c>
    </row>
    <row r="3153" spans="1:61" s="358" customFormat="1" ht="19.2" x14ac:dyDescent="0.3">
      <c r="A3153" s="359" t="s">
        <v>2106</v>
      </c>
      <c r="B3153" s="602" t="s">
        <v>1445</v>
      </c>
      <c r="C3153" s="548" t="s">
        <v>5872</v>
      </c>
      <c r="D3153" s="360">
        <v>0.4</v>
      </c>
      <c r="E3153" s="528"/>
      <c r="F3153" s="523"/>
      <c r="G3153" s="393"/>
      <c r="H3153" s="394"/>
      <c r="I3153" s="394"/>
      <c r="J3153" s="394"/>
      <c r="K3153" s="394"/>
      <c r="L3153" s="394"/>
      <c r="M3153" s="394"/>
      <c r="N3153" s="394"/>
      <c r="O3153" s="394"/>
      <c r="P3153" s="394"/>
      <c r="Q3153" s="394"/>
      <c r="R3153" s="381"/>
      <c r="S3153" s="408"/>
      <c r="T3153" s="385"/>
      <c r="U3153" s="475"/>
      <c r="V3153" s="395"/>
      <c r="W3153" s="395"/>
      <c r="X3153" s="528"/>
      <c r="Y3153" s="523"/>
      <c r="Z3153" s="393"/>
      <c r="AA3153" s="394"/>
      <c r="AB3153" s="394"/>
      <c r="AC3153" s="394"/>
      <c r="AD3153" s="394"/>
      <c r="AE3153" s="394"/>
      <c r="AF3153" s="394"/>
      <c r="AG3153" s="394"/>
      <c r="AH3153" s="394"/>
      <c r="AI3153" s="394"/>
      <c r="AJ3153" s="394"/>
      <c r="AK3153" s="381"/>
      <c r="AL3153" s="408"/>
      <c r="AM3153" s="385"/>
      <c r="AN3153" s="475"/>
      <c r="AO3153" s="395"/>
      <c r="AP3153" s="395"/>
      <c r="AQ3153" s="528"/>
      <c r="AR3153" s="523">
        <v>1</v>
      </c>
      <c r="AS3153" s="393"/>
      <c r="AT3153" s="600">
        <v>19.637049999999999</v>
      </c>
      <c r="AU3153" s="394">
        <v>16.38607</v>
      </c>
      <c r="AV3153" s="394">
        <v>15.32635</v>
      </c>
      <c r="AW3153" s="394"/>
      <c r="AX3153" s="394"/>
      <c r="AY3153" s="394">
        <v>0</v>
      </c>
      <c r="AZ3153" s="394">
        <v>0</v>
      </c>
      <c r="BA3153" s="394">
        <v>0.75790000000000002</v>
      </c>
      <c r="BB3153" s="394">
        <v>15.32635</v>
      </c>
      <c r="BC3153" s="394"/>
      <c r="BD3153" s="381" t="s">
        <v>167</v>
      </c>
      <c r="BE3153" s="408" t="s">
        <v>175</v>
      </c>
      <c r="BF3153" s="385"/>
      <c r="BG3153" s="475">
        <v>1113</v>
      </c>
      <c r="BH3153" s="395"/>
      <c r="BI3153" s="395">
        <f t="shared" si="1224"/>
        <v>19.637049999999999</v>
      </c>
    </row>
    <row r="3154" spans="1:61" s="358" customFormat="1" ht="19.2" x14ac:dyDescent="0.3">
      <c r="A3154" s="359" t="s">
        <v>2107</v>
      </c>
      <c r="B3154" s="602" t="s">
        <v>5873</v>
      </c>
      <c r="C3154" s="548" t="s">
        <v>5874</v>
      </c>
      <c r="D3154" s="360">
        <v>0.4</v>
      </c>
      <c r="E3154" s="528"/>
      <c r="F3154" s="523"/>
      <c r="G3154" s="393"/>
      <c r="H3154" s="394"/>
      <c r="I3154" s="394"/>
      <c r="J3154" s="394"/>
      <c r="K3154" s="394"/>
      <c r="L3154" s="394"/>
      <c r="M3154" s="394"/>
      <c r="N3154" s="394"/>
      <c r="O3154" s="394"/>
      <c r="P3154" s="394"/>
      <c r="Q3154" s="394"/>
      <c r="R3154" s="381"/>
      <c r="S3154" s="408"/>
      <c r="T3154" s="385"/>
      <c r="U3154" s="475"/>
      <c r="V3154" s="395"/>
      <c r="W3154" s="395"/>
      <c r="X3154" s="528"/>
      <c r="Y3154" s="523"/>
      <c r="Z3154" s="393"/>
      <c r="AA3154" s="394"/>
      <c r="AB3154" s="394"/>
      <c r="AC3154" s="394"/>
      <c r="AD3154" s="394"/>
      <c r="AE3154" s="394"/>
      <c r="AF3154" s="394"/>
      <c r="AG3154" s="394"/>
      <c r="AH3154" s="394"/>
      <c r="AI3154" s="394"/>
      <c r="AJ3154" s="394"/>
      <c r="AK3154" s="381"/>
      <c r="AL3154" s="408"/>
      <c r="AM3154" s="385"/>
      <c r="AN3154" s="475"/>
      <c r="AO3154" s="395"/>
      <c r="AP3154" s="395"/>
      <c r="AQ3154" s="528"/>
      <c r="AR3154" s="523">
        <v>1</v>
      </c>
      <c r="AS3154" s="393"/>
      <c r="AT3154" s="600">
        <v>19.637070000000001</v>
      </c>
      <c r="AU3154" s="394">
        <v>16.386089999999999</v>
      </c>
      <c r="AV3154" s="394">
        <v>15.32635</v>
      </c>
      <c r="AW3154" s="394"/>
      <c r="AX3154" s="394"/>
      <c r="AY3154" s="394">
        <v>0</v>
      </c>
      <c r="AZ3154" s="394">
        <v>0</v>
      </c>
      <c r="BA3154" s="394">
        <v>0.75790000000000002</v>
      </c>
      <c r="BB3154" s="394">
        <v>15.32635</v>
      </c>
      <c r="BC3154" s="394"/>
      <c r="BD3154" s="381" t="s">
        <v>167</v>
      </c>
      <c r="BE3154" s="408" t="s">
        <v>175</v>
      </c>
      <c r="BF3154" s="385"/>
      <c r="BG3154" s="475">
        <v>1114</v>
      </c>
      <c r="BH3154" s="395"/>
      <c r="BI3154" s="395">
        <f t="shared" ref="BI3154" si="1226">AT3154/AR3154</f>
        <v>19.637070000000001</v>
      </c>
    </row>
    <row r="3155" spans="1:61" s="358" customFormat="1" ht="19.2" x14ac:dyDescent="0.3">
      <c r="A3155" s="359" t="s">
        <v>2108</v>
      </c>
      <c r="B3155" s="602" t="s">
        <v>5875</v>
      </c>
      <c r="C3155" s="548" t="s">
        <v>5876</v>
      </c>
      <c r="D3155" s="360">
        <v>0.4</v>
      </c>
      <c r="E3155" s="528"/>
      <c r="F3155" s="523"/>
      <c r="G3155" s="393"/>
      <c r="H3155" s="394"/>
      <c r="I3155" s="394"/>
      <c r="J3155" s="394"/>
      <c r="K3155" s="394"/>
      <c r="L3155" s="394"/>
      <c r="M3155" s="394"/>
      <c r="N3155" s="394"/>
      <c r="O3155" s="394"/>
      <c r="P3155" s="394"/>
      <c r="Q3155" s="394"/>
      <c r="R3155" s="381"/>
      <c r="S3155" s="408"/>
      <c r="T3155" s="385"/>
      <c r="U3155" s="475"/>
      <c r="V3155" s="395"/>
      <c r="W3155" s="395"/>
      <c r="X3155" s="528"/>
      <c r="Y3155" s="523"/>
      <c r="Z3155" s="393"/>
      <c r="AA3155" s="394"/>
      <c r="AB3155" s="394"/>
      <c r="AC3155" s="394"/>
      <c r="AD3155" s="394"/>
      <c r="AE3155" s="394"/>
      <c r="AF3155" s="394"/>
      <c r="AG3155" s="394"/>
      <c r="AH3155" s="394"/>
      <c r="AI3155" s="394"/>
      <c r="AJ3155" s="394"/>
      <c r="AK3155" s="381"/>
      <c r="AL3155" s="408"/>
      <c r="AM3155" s="385"/>
      <c r="AN3155" s="475"/>
      <c r="AO3155" s="395"/>
      <c r="AP3155" s="395"/>
      <c r="AQ3155" s="528"/>
      <c r="AR3155" s="523">
        <v>1</v>
      </c>
      <c r="AS3155" s="393"/>
      <c r="AT3155" s="600">
        <v>19.637049999999999</v>
      </c>
      <c r="AU3155" s="394">
        <v>16.38607</v>
      </c>
      <c r="AV3155" s="394">
        <v>15.32635</v>
      </c>
      <c r="AW3155" s="394"/>
      <c r="AX3155" s="394"/>
      <c r="AY3155" s="394">
        <v>0</v>
      </c>
      <c r="AZ3155" s="394">
        <v>0</v>
      </c>
      <c r="BA3155" s="394">
        <v>0.75790000000000002</v>
      </c>
      <c r="BB3155" s="394">
        <v>15.32635</v>
      </c>
      <c r="BC3155" s="394"/>
      <c r="BD3155" s="381" t="s">
        <v>167</v>
      </c>
      <c r="BE3155" s="408" t="s">
        <v>175</v>
      </c>
      <c r="BF3155" s="385"/>
      <c r="BG3155" s="475">
        <v>1115</v>
      </c>
      <c r="BH3155" s="395"/>
      <c r="BI3155" s="395">
        <f t="shared" si="1224"/>
        <v>19.637049999999999</v>
      </c>
    </row>
    <row r="3156" spans="1:61" s="358" customFormat="1" ht="19.2" x14ac:dyDescent="0.3">
      <c r="A3156" s="359" t="s">
        <v>2109</v>
      </c>
      <c r="B3156" s="602" t="s">
        <v>5877</v>
      </c>
      <c r="C3156" s="548" t="s">
        <v>5878</v>
      </c>
      <c r="D3156" s="360">
        <v>0.4</v>
      </c>
      <c r="E3156" s="528"/>
      <c r="F3156" s="523"/>
      <c r="G3156" s="393"/>
      <c r="H3156" s="394"/>
      <c r="I3156" s="394"/>
      <c r="J3156" s="394"/>
      <c r="K3156" s="394"/>
      <c r="L3156" s="394"/>
      <c r="M3156" s="394"/>
      <c r="N3156" s="394"/>
      <c r="O3156" s="394"/>
      <c r="P3156" s="394"/>
      <c r="Q3156" s="394"/>
      <c r="R3156" s="381"/>
      <c r="S3156" s="408"/>
      <c r="T3156" s="385"/>
      <c r="U3156" s="475"/>
      <c r="V3156" s="395"/>
      <c r="W3156" s="395"/>
      <c r="X3156" s="528"/>
      <c r="Y3156" s="523"/>
      <c r="Z3156" s="393"/>
      <c r="AA3156" s="394"/>
      <c r="AB3156" s="394"/>
      <c r="AC3156" s="394"/>
      <c r="AD3156" s="394"/>
      <c r="AE3156" s="394"/>
      <c r="AF3156" s="394"/>
      <c r="AG3156" s="394"/>
      <c r="AH3156" s="394"/>
      <c r="AI3156" s="394"/>
      <c r="AJ3156" s="394"/>
      <c r="AK3156" s="381"/>
      <c r="AL3156" s="408"/>
      <c r="AM3156" s="385"/>
      <c r="AN3156" s="475"/>
      <c r="AO3156" s="395"/>
      <c r="AP3156" s="395"/>
      <c r="AQ3156" s="528"/>
      <c r="AR3156" s="523">
        <v>1</v>
      </c>
      <c r="AS3156" s="393"/>
      <c r="AT3156" s="600">
        <v>19.637070000000001</v>
      </c>
      <c r="AU3156" s="394">
        <v>16.386089999999999</v>
      </c>
      <c r="AV3156" s="394">
        <v>15.32635</v>
      </c>
      <c r="AW3156" s="394"/>
      <c r="AX3156" s="394"/>
      <c r="AY3156" s="394">
        <v>0</v>
      </c>
      <c r="AZ3156" s="394">
        <v>0</v>
      </c>
      <c r="BA3156" s="394">
        <v>0.75790000000000002</v>
      </c>
      <c r="BB3156" s="394">
        <v>15.32635</v>
      </c>
      <c r="BC3156" s="394"/>
      <c r="BD3156" s="381" t="s">
        <v>167</v>
      </c>
      <c r="BE3156" s="408" t="s">
        <v>175</v>
      </c>
      <c r="BF3156" s="385"/>
      <c r="BG3156" s="475">
        <v>1116</v>
      </c>
      <c r="BH3156" s="395"/>
      <c r="BI3156" s="395">
        <f t="shared" ref="BI3156" si="1227">AT3156/AR3156</f>
        <v>19.637070000000001</v>
      </c>
    </row>
    <row r="3157" spans="1:61" s="358" customFormat="1" ht="19.2" x14ac:dyDescent="0.3">
      <c r="A3157" s="359" t="s">
        <v>2110</v>
      </c>
      <c r="B3157" s="602" t="s">
        <v>5338</v>
      </c>
      <c r="C3157" s="548" t="s">
        <v>5879</v>
      </c>
      <c r="D3157" s="360">
        <v>0.4</v>
      </c>
      <c r="E3157" s="528"/>
      <c r="F3157" s="523"/>
      <c r="G3157" s="393"/>
      <c r="H3157" s="394"/>
      <c r="I3157" s="394"/>
      <c r="J3157" s="394"/>
      <c r="K3157" s="394"/>
      <c r="L3157" s="394"/>
      <c r="M3157" s="394"/>
      <c r="N3157" s="394"/>
      <c r="O3157" s="394"/>
      <c r="P3157" s="394"/>
      <c r="Q3157" s="394"/>
      <c r="R3157" s="381"/>
      <c r="S3157" s="408"/>
      <c r="T3157" s="385"/>
      <c r="U3157" s="475"/>
      <c r="V3157" s="395"/>
      <c r="W3157" s="395"/>
      <c r="X3157" s="528"/>
      <c r="Y3157" s="523"/>
      <c r="Z3157" s="393"/>
      <c r="AA3157" s="394"/>
      <c r="AB3157" s="394"/>
      <c r="AC3157" s="394"/>
      <c r="AD3157" s="394"/>
      <c r="AE3157" s="394"/>
      <c r="AF3157" s="394"/>
      <c r="AG3157" s="394"/>
      <c r="AH3157" s="394"/>
      <c r="AI3157" s="394"/>
      <c r="AJ3157" s="394"/>
      <c r="AK3157" s="381"/>
      <c r="AL3157" s="408"/>
      <c r="AM3157" s="385"/>
      <c r="AN3157" s="475"/>
      <c r="AO3157" s="395"/>
      <c r="AP3157" s="395"/>
      <c r="AQ3157" s="528"/>
      <c r="AR3157" s="523">
        <v>1</v>
      </c>
      <c r="AS3157" s="393"/>
      <c r="AT3157" s="600">
        <v>19.637070000000001</v>
      </c>
      <c r="AU3157" s="394">
        <v>16.386089999999999</v>
      </c>
      <c r="AV3157" s="394">
        <v>15.32635</v>
      </c>
      <c r="AW3157" s="394"/>
      <c r="AX3157" s="394"/>
      <c r="AY3157" s="394">
        <v>0</v>
      </c>
      <c r="AZ3157" s="394">
        <v>0</v>
      </c>
      <c r="BA3157" s="394">
        <v>0.75790000000000002</v>
      </c>
      <c r="BB3157" s="394">
        <v>15.32635</v>
      </c>
      <c r="BC3157" s="394"/>
      <c r="BD3157" s="381" t="s">
        <v>167</v>
      </c>
      <c r="BE3157" s="408" t="s">
        <v>175</v>
      </c>
      <c r="BF3157" s="385"/>
      <c r="BG3157" s="475">
        <v>1117</v>
      </c>
      <c r="BH3157" s="395"/>
      <c r="BI3157" s="395">
        <f t="shared" si="1224"/>
        <v>19.637070000000001</v>
      </c>
    </row>
    <row r="3158" spans="1:61" s="358" customFormat="1" ht="19.2" x14ac:dyDescent="0.3">
      <c r="A3158" s="359" t="s">
        <v>2111</v>
      </c>
      <c r="B3158" s="602" t="s">
        <v>5880</v>
      </c>
      <c r="C3158" s="548" t="s">
        <v>5881</v>
      </c>
      <c r="D3158" s="360">
        <v>0.4</v>
      </c>
      <c r="E3158" s="528"/>
      <c r="F3158" s="523"/>
      <c r="G3158" s="393"/>
      <c r="H3158" s="394"/>
      <c r="I3158" s="394"/>
      <c r="J3158" s="394"/>
      <c r="K3158" s="394"/>
      <c r="L3158" s="394"/>
      <c r="M3158" s="394"/>
      <c r="N3158" s="394"/>
      <c r="O3158" s="394"/>
      <c r="P3158" s="394"/>
      <c r="Q3158" s="394"/>
      <c r="R3158" s="381"/>
      <c r="S3158" s="408"/>
      <c r="T3158" s="385"/>
      <c r="U3158" s="475"/>
      <c r="V3158" s="395"/>
      <c r="W3158" s="395"/>
      <c r="X3158" s="528"/>
      <c r="Y3158" s="523"/>
      <c r="Z3158" s="393"/>
      <c r="AA3158" s="394"/>
      <c r="AB3158" s="394"/>
      <c r="AC3158" s="394"/>
      <c r="AD3158" s="394"/>
      <c r="AE3158" s="394"/>
      <c r="AF3158" s="394"/>
      <c r="AG3158" s="394"/>
      <c r="AH3158" s="394"/>
      <c r="AI3158" s="394"/>
      <c r="AJ3158" s="394"/>
      <c r="AK3158" s="381"/>
      <c r="AL3158" s="408"/>
      <c r="AM3158" s="385"/>
      <c r="AN3158" s="475"/>
      <c r="AO3158" s="395"/>
      <c r="AP3158" s="395"/>
      <c r="AQ3158" s="528"/>
      <c r="AR3158" s="523">
        <v>1</v>
      </c>
      <c r="AS3158" s="393"/>
      <c r="AT3158" s="600">
        <v>19.637049999999999</v>
      </c>
      <c r="AU3158" s="394">
        <v>16.38607</v>
      </c>
      <c r="AV3158" s="394">
        <v>15.32635</v>
      </c>
      <c r="AW3158" s="394"/>
      <c r="AX3158" s="394"/>
      <c r="AY3158" s="394">
        <v>0</v>
      </c>
      <c r="AZ3158" s="394">
        <v>0</v>
      </c>
      <c r="BA3158" s="394">
        <v>0.75790000000000002</v>
      </c>
      <c r="BB3158" s="394">
        <v>15.32635</v>
      </c>
      <c r="BC3158" s="394"/>
      <c r="BD3158" s="381" t="s">
        <v>167</v>
      </c>
      <c r="BE3158" s="408" t="s">
        <v>175</v>
      </c>
      <c r="BF3158" s="385"/>
      <c r="BG3158" s="475">
        <v>1118</v>
      </c>
      <c r="BH3158" s="395"/>
      <c r="BI3158" s="395">
        <f t="shared" ref="BI3158" si="1228">AT3158/AR3158</f>
        <v>19.637049999999999</v>
      </c>
    </row>
    <row r="3159" spans="1:61" s="358" customFormat="1" ht="19.2" x14ac:dyDescent="0.3">
      <c r="A3159" s="359" t="s">
        <v>2112</v>
      </c>
      <c r="B3159" s="602" t="s">
        <v>4858</v>
      </c>
      <c r="C3159" s="548" t="s">
        <v>4857</v>
      </c>
      <c r="D3159" s="360">
        <v>0.4</v>
      </c>
      <c r="E3159" s="528"/>
      <c r="F3159" s="523"/>
      <c r="G3159" s="393"/>
      <c r="H3159" s="394"/>
      <c r="I3159" s="394"/>
      <c r="J3159" s="394"/>
      <c r="K3159" s="394"/>
      <c r="L3159" s="394"/>
      <c r="M3159" s="394"/>
      <c r="N3159" s="394"/>
      <c r="O3159" s="394"/>
      <c r="P3159" s="394"/>
      <c r="Q3159" s="394"/>
      <c r="R3159" s="381"/>
      <c r="S3159" s="408"/>
      <c r="T3159" s="385"/>
      <c r="U3159" s="475"/>
      <c r="V3159" s="395"/>
      <c r="W3159" s="395"/>
      <c r="X3159" s="528"/>
      <c r="Y3159" s="523"/>
      <c r="Z3159" s="393"/>
      <c r="AA3159" s="394"/>
      <c r="AB3159" s="394"/>
      <c r="AC3159" s="394"/>
      <c r="AD3159" s="394"/>
      <c r="AE3159" s="394"/>
      <c r="AF3159" s="394"/>
      <c r="AG3159" s="394"/>
      <c r="AH3159" s="394"/>
      <c r="AI3159" s="394"/>
      <c r="AJ3159" s="394"/>
      <c r="AK3159" s="381"/>
      <c r="AL3159" s="408"/>
      <c r="AM3159" s="385"/>
      <c r="AN3159" s="475"/>
      <c r="AO3159" s="395"/>
      <c r="AP3159" s="395"/>
      <c r="AQ3159" s="528"/>
      <c r="AR3159" s="523">
        <v>1</v>
      </c>
      <c r="AS3159" s="393"/>
      <c r="AT3159" s="600">
        <v>19.637049999999999</v>
      </c>
      <c r="AU3159" s="394">
        <v>16.38607</v>
      </c>
      <c r="AV3159" s="394">
        <v>15.32635</v>
      </c>
      <c r="AW3159" s="394"/>
      <c r="AX3159" s="394"/>
      <c r="AY3159" s="394">
        <v>0</v>
      </c>
      <c r="AZ3159" s="394">
        <v>0</v>
      </c>
      <c r="BA3159" s="394">
        <v>0.75790000000000002</v>
      </c>
      <c r="BB3159" s="394">
        <v>15.32635</v>
      </c>
      <c r="BC3159" s="394"/>
      <c r="BD3159" s="381" t="s">
        <v>167</v>
      </c>
      <c r="BE3159" s="408" t="s">
        <v>175</v>
      </c>
      <c r="BF3159" s="385"/>
      <c r="BG3159" s="475">
        <v>1119</v>
      </c>
      <c r="BH3159" s="395"/>
      <c r="BI3159" s="395">
        <f t="shared" si="1224"/>
        <v>19.637049999999999</v>
      </c>
    </row>
    <row r="3160" spans="1:61" s="358" customFormat="1" ht="19.2" x14ac:dyDescent="0.3">
      <c r="A3160" s="359" t="s">
        <v>2113</v>
      </c>
      <c r="B3160" s="602" t="s">
        <v>5882</v>
      </c>
      <c r="C3160" s="548" t="s">
        <v>5883</v>
      </c>
      <c r="D3160" s="360">
        <v>0.4</v>
      </c>
      <c r="E3160" s="528"/>
      <c r="F3160" s="523"/>
      <c r="G3160" s="393"/>
      <c r="H3160" s="394"/>
      <c r="I3160" s="394"/>
      <c r="J3160" s="394"/>
      <c r="K3160" s="394"/>
      <c r="L3160" s="394"/>
      <c r="M3160" s="394"/>
      <c r="N3160" s="394"/>
      <c r="O3160" s="394"/>
      <c r="P3160" s="394"/>
      <c r="Q3160" s="394"/>
      <c r="R3160" s="381"/>
      <c r="S3160" s="408"/>
      <c r="T3160" s="385"/>
      <c r="U3160" s="475"/>
      <c r="V3160" s="395"/>
      <c r="W3160" s="395"/>
      <c r="X3160" s="528"/>
      <c r="Y3160" s="523"/>
      <c r="Z3160" s="393"/>
      <c r="AA3160" s="394"/>
      <c r="AB3160" s="394"/>
      <c r="AC3160" s="394"/>
      <c r="AD3160" s="394"/>
      <c r="AE3160" s="394"/>
      <c r="AF3160" s="394"/>
      <c r="AG3160" s="394"/>
      <c r="AH3160" s="394"/>
      <c r="AI3160" s="394"/>
      <c r="AJ3160" s="394"/>
      <c r="AK3160" s="381"/>
      <c r="AL3160" s="408"/>
      <c r="AM3160" s="385"/>
      <c r="AN3160" s="475"/>
      <c r="AO3160" s="395"/>
      <c r="AP3160" s="395"/>
      <c r="AQ3160" s="528"/>
      <c r="AR3160" s="523">
        <v>1</v>
      </c>
      <c r="AS3160" s="393"/>
      <c r="AT3160" s="600">
        <v>19.637049999999999</v>
      </c>
      <c r="AU3160" s="394">
        <v>16.38607</v>
      </c>
      <c r="AV3160" s="394">
        <v>15.32635</v>
      </c>
      <c r="AW3160" s="394"/>
      <c r="AX3160" s="394"/>
      <c r="AY3160" s="394">
        <v>0</v>
      </c>
      <c r="AZ3160" s="394">
        <v>0</v>
      </c>
      <c r="BA3160" s="394">
        <v>0.75790000000000002</v>
      </c>
      <c r="BB3160" s="394">
        <v>15.32635</v>
      </c>
      <c r="BC3160" s="394"/>
      <c r="BD3160" s="381" t="s">
        <v>167</v>
      </c>
      <c r="BE3160" s="408" t="s">
        <v>175</v>
      </c>
      <c r="BF3160" s="385"/>
      <c r="BG3160" s="475">
        <v>1120</v>
      </c>
      <c r="BH3160" s="395"/>
      <c r="BI3160" s="395">
        <f t="shared" ref="BI3160" si="1229">AT3160/AR3160</f>
        <v>19.637049999999999</v>
      </c>
    </row>
    <row r="3161" spans="1:61" s="358" customFormat="1" ht="19.2" x14ac:dyDescent="0.3">
      <c r="A3161" s="359" t="s">
        <v>2114</v>
      </c>
      <c r="B3161" s="602" t="s">
        <v>4840</v>
      </c>
      <c r="C3161" s="548" t="s">
        <v>4839</v>
      </c>
      <c r="D3161" s="360">
        <v>0.4</v>
      </c>
      <c r="E3161" s="528"/>
      <c r="F3161" s="523"/>
      <c r="G3161" s="393"/>
      <c r="H3161" s="394"/>
      <c r="I3161" s="394"/>
      <c r="J3161" s="394"/>
      <c r="K3161" s="394"/>
      <c r="L3161" s="394"/>
      <c r="M3161" s="394"/>
      <c r="N3161" s="394"/>
      <c r="O3161" s="394"/>
      <c r="P3161" s="394"/>
      <c r="Q3161" s="394"/>
      <c r="R3161" s="381"/>
      <c r="S3161" s="408"/>
      <c r="T3161" s="385"/>
      <c r="U3161" s="475"/>
      <c r="V3161" s="395"/>
      <c r="W3161" s="395"/>
      <c r="X3161" s="528"/>
      <c r="Y3161" s="523"/>
      <c r="Z3161" s="393"/>
      <c r="AA3161" s="394"/>
      <c r="AB3161" s="394"/>
      <c r="AC3161" s="394"/>
      <c r="AD3161" s="394"/>
      <c r="AE3161" s="394"/>
      <c r="AF3161" s="394"/>
      <c r="AG3161" s="394"/>
      <c r="AH3161" s="394"/>
      <c r="AI3161" s="394"/>
      <c r="AJ3161" s="394"/>
      <c r="AK3161" s="381"/>
      <c r="AL3161" s="408"/>
      <c r="AM3161" s="385"/>
      <c r="AN3161" s="475"/>
      <c r="AO3161" s="395"/>
      <c r="AP3161" s="395"/>
      <c r="AQ3161" s="528"/>
      <c r="AR3161" s="523">
        <v>1</v>
      </c>
      <c r="AS3161" s="393"/>
      <c r="AT3161" s="600">
        <v>19.637049999999999</v>
      </c>
      <c r="AU3161" s="394">
        <v>16.38607</v>
      </c>
      <c r="AV3161" s="394">
        <v>15.32635</v>
      </c>
      <c r="AW3161" s="394"/>
      <c r="AX3161" s="394"/>
      <c r="AY3161" s="394">
        <v>0</v>
      </c>
      <c r="AZ3161" s="394">
        <v>0</v>
      </c>
      <c r="BA3161" s="394">
        <v>0.75790000000000002</v>
      </c>
      <c r="BB3161" s="394">
        <v>15.32635</v>
      </c>
      <c r="BC3161" s="394"/>
      <c r="BD3161" s="381" t="s">
        <v>167</v>
      </c>
      <c r="BE3161" s="408" t="s">
        <v>175</v>
      </c>
      <c r="BF3161" s="385"/>
      <c r="BG3161" s="475">
        <v>1121</v>
      </c>
      <c r="BH3161" s="395"/>
      <c r="BI3161" s="395">
        <f t="shared" si="1224"/>
        <v>19.637049999999999</v>
      </c>
    </row>
    <row r="3162" spans="1:61" s="358" customFormat="1" ht="19.2" x14ac:dyDescent="0.3">
      <c r="A3162" s="359" t="s">
        <v>2115</v>
      </c>
      <c r="B3162" s="602" t="s">
        <v>5925</v>
      </c>
      <c r="C3162" s="548" t="s">
        <v>5926</v>
      </c>
      <c r="D3162" s="360">
        <v>0.4</v>
      </c>
      <c r="E3162" s="528"/>
      <c r="F3162" s="523"/>
      <c r="G3162" s="393"/>
      <c r="H3162" s="394"/>
      <c r="I3162" s="394"/>
      <c r="J3162" s="394"/>
      <c r="K3162" s="394"/>
      <c r="L3162" s="394"/>
      <c r="M3162" s="394"/>
      <c r="N3162" s="394"/>
      <c r="O3162" s="394"/>
      <c r="P3162" s="394"/>
      <c r="Q3162" s="394"/>
      <c r="R3162" s="381"/>
      <c r="S3162" s="408"/>
      <c r="T3162" s="385"/>
      <c r="U3162" s="475"/>
      <c r="V3162" s="395"/>
      <c r="W3162" s="395"/>
      <c r="X3162" s="528"/>
      <c r="Y3162" s="523"/>
      <c r="Z3162" s="393"/>
      <c r="AA3162" s="394"/>
      <c r="AB3162" s="394"/>
      <c r="AC3162" s="394"/>
      <c r="AD3162" s="394"/>
      <c r="AE3162" s="394"/>
      <c r="AF3162" s="394"/>
      <c r="AG3162" s="394"/>
      <c r="AH3162" s="394"/>
      <c r="AI3162" s="394"/>
      <c r="AJ3162" s="394"/>
      <c r="AK3162" s="381"/>
      <c r="AL3162" s="408"/>
      <c r="AM3162" s="385"/>
      <c r="AN3162" s="475"/>
      <c r="AO3162" s="395"/>
      <c r="AP3162" s="395"/>
      <c r="AQ3162" s="528"/>
      <c r="AR3162" s="523">
        <v>1</v>
      </c>
      <c r="AS3162" s="393"/>
      <c r="AT3162" s="600">
        <v>19.534020000000002</v>
      </c>
      <c r="AU3162" s="394">
        <v>16.28304</v>
      </c>
      <c r="AV3162" s="394">
        <v>15.33263</v>
      </c>
      <c r="AW3162" s="394"/>
      <c r="AX3162" s="394"/>
      <c r="AY3162" s="394">
        <v>0</v>
      </c>
      <c r="AZ3162" s="394">
        <v>0</v>
      </c>
      <c r="BA3162" s="394">
        <v>0.75790000000000002</v>
      </c>
      <c r="BB3162" s="394">
        <v>15.33263</v>
      </c>
      <c r="BC3162" s="394"/>
      <c r="BD3162" s="381" t="s">
        <v>167</v>
      </c>
      <c r="BE3162" s="408" t="s">
        <v>175</v>
      </c>
      <c r="BF3162" s="385"/>
      <c r="BG3162" s="475">
        <v>1122</v>
      </c>
      <c r="BH3162" s="395"/>
      <c r="BI3162" s="395">
        <f t="shared" ref="BI3162:BI3196" si="1230">AT3162/AR3162</f>
        <v>19.534020000000002</v>
      </c>
    </row>
    <row r="3163" spans="1:61" s="358" customFormat="1" ht="19.2" x14ac:dyDescent="0.3">
      <c r="A3163" s="359" t="s">
        <v>2116</v>
      </c>
      <c r="B3163" s="602" t="s">
        <v>5927</v>
      </c>
      <c r="C3163" s="548" t="s">
        <v>5928</v>
      </c>
      <c r="D3163" s="360">
        <v>0.4</v>
      </c>
      <c r="E3163" s="528"/>
      <c r="F3163" s="523"/>
      <c r="G3163" s="393"/>
      <c r="H3163" s="394"/>
      <c r="I3163" s="394"/>
      <c r="J3163" s="394"/>
      <c r="K3163" s="394"/>
      <c r="L3163" s="394"/>
      <c r="M3163" s="394"/>
      <c r="N3163" s="394"/>
      <c r="O3163" s="394"/>
      <c r="P3163" s="394"/>
      <c r="Q3163" s="394"/>
      <c r="R3163" s="381"/>
      <c r="S3163" s="408"/>
      <c r="T3163" s="385"/>
      <c r="U3163" s="475"/>
      <c r="V3163" s="395"/>
      <c r="W3163" s="395"/>
      <c r="X3163" s="528"/>
      <c r="Y3163" s="523"/>
      <c r="Z3163" s="393"/>
      <c r="AA3163" s="394"/>
      <c r="AB3163" s="394"/>
      <c r="AC3163" s="394"/>
      <c r="AD3163" s="394"/>
      <c r="AE3163" s="394"/>
      <c r="AF3163" s="394"/>
      <c r="AG3163" s="394"/>
      <c r="AH3163" s="394"/>
      <c r="AI3163" s="394"/>
      <c r="AJ3163" s="394"/>
      <c r="AK3163" s="381"/>
      <c r="AL3163" s="408"/>
      <c r="AM3163" s="385"/>
      <c r="AN3163" s="475"/>
      <c r="AO3163" s="395"/>
      <c r="AP3163" s="395"/>
      <c r="AQ3163" s="528"/>
      <c r="AR3163" s="523">
        <v>1</v>
      </c>
      <c r="AS3163" s="393"/>
      <c r="AT3163" s="600">
        <v>20.21069</v>
      </c>
      <c r="AU3163" s="394">
        <v>16.959710000000001</v>
      </c>
      <c r="AV3163" s="394">
        <v>15.3363</v>
      </c>
      <c r="AW3163" s="394"/>
      <c r="AX3163" s="394"/>
      <c r="AY3163" s="394">
        <v>0</v>
      </c>
      <c r="AZ3163" s="394">
        <v>0</v>
      </c>
      <c r="BA3163" s="394">
        <v>0.75790000000000002</v>
      </c>
      <c r="BB3163" s="394">
        <v>15.3363</v>
      </c>
      <c r="BC3163" s="394"/>
      <c r="BD3163" s="381" t="s">
        <v>167</v>
      </c>
      <c r="BE3163" s="408" t="s">
        <v>175</v>
      </c>
      <c r="BF3163" s="385"/>
      <c r="BG3163" s="475">
        <v>1123</v>
      </c>
      <c r="BH3163" s="395"/>
      <c r="BI3163" s="395">
        <f t="shared" ref="BI3163" si="1231">AT3163/AR3163</f>
        <v>20.21069</v>
      </c>
    </row>
    <row r="3164" spans="1:61" s="358" customFormat="1" ht="19.2" x14ac:dyDescent="0.3">
      <c r="A3164" s="359" t="s">
        <v>2117</v>
      </c>
      <c r="B3164" s="602" t="s">
        <v>4860</v>
      </c>
      <c r="C3164" s="548" t="s">
        <v>4859</v>
      </c>
      <c r="D3164" s="360">
        <v>0.4</v>
      </c>
      <c r="E3164" s="528"/>
      <c r="F3164" s="523"/>
      <c r="G3164" s="393"/>
      <c r="H3164" s="394"/>
      <c r="I3164" s="394"/>
      <c r="J3164" s="394"/>
      <c r="K3164" s="394"/>
      <c r="L3164" s="394"/>
      <c r="M3164" s="394"/>
      <c r="N3164" s="394"/>
      <c r="O3164" s="394"/>
      <c r="P3164" s="394"/>
      <c r="Q3164" s="394"/>
      <c r="R3164" s="381"/>
      <c r="S3164" s="408"/>
      <c r="T3164" s="385"/>
      <c r="U3164" s="475"/>
      <c r="V3164" s="395"/>
      <c r="W3164" s="395"/>
      <c r="X3164" s="528"/>
      <c r="Y3164" s="523"/>
      <c r="Z3164" s="393"/>
      <c r="AA3164" s="394"/>
      <c r="AB3164" s="394"/>
      <c r="AC3164" s="394"/>
      <c r="AD3164" s="394"/>
      <c r="AE3164" s="394"/>
      <c r="AF3164" s="394"/>
      <c r="AG3164" s="394"/>
      <c r="AH3164" s="394"/>
      <c r="AI3164" s="394"/>
      <c r="AJ3164" s="394"/>
      <c r="AK3164" s="381"/>
      <c r="AL3164" s="408"/>
      <c r="AM3164" s="385"/>
      <c r="AN3164" s="475"/>
      <c r="AO3164" s="395"/>
      <c r="AP3164" s="395"/>
      <c r="AQ3164" s="528"/>
      <c r="AR3164" s="523">
        <v>1</v>
      </c>
      <c r="AS3164" s="393"/>
      <c r="AT3164" s="600">
        <v>19.533999999999999</v>
      </c>
      <c r="AU3164" s="394">
        <v>16.28302</v>
      </c>
      <c r="AV3164" s="394">
        <v>15.33263</v>
      </c>
      <c r="AW3164" s="394"/>
      <c r="AX3164" s="394"/>
      <c r="AY3164" s="394">
        <v>0</v>
      </c>
      <c r="AZ3164" s="394">
        <v>0</v>
      </c>
      <c r="BA3164" s="394">
        <v>0.75790000000000002</v>
      </c>
      <c r="BB3164" s="394">
        <v>15.33263</v>
      </c>
      <c r="BC3164" s="394"/>
      <c r="BD3164" s="381" t="s">
        <v>167</v>
      </c>
      <c r="BE3164" s="408" t="s">
        <v>175</v>
      </c>
      <c r="BF3164" s="385"/>
      <c r="BG3164" s="475">
        <v>1124</v>
      </c>
      <c r="BH3164" s="395"/>
      <c r="BI3164" s="395">
        <f t="shared" si="1230"/>
        <v>19.533999999999999</v>
      </c>
    </row>
    <row r="3165" spans="1:61" s="358" customFormat="1" ht="19.2" x14ac:dyDescent="0.3">
      <c r="A3165" s="359" t="s">
        <v>2118</v>
      </c>
      <c r="B3165" s="602" t="s">
        <v>4903</v>
      </c>
      <c r="C3165" s="548" t="s">
        <v>4902</v>
      </c>
      <c r="D3165" s="360">
        <v>0.4</v>
      </c>
      <c r="E3165" s="528"/>
      <c r="F3165" s="523"/>
      <c r="G3165" s="393"/>
      <c r="H3165" s="394"/>
      <c r="I3165" s="394"/>
      <c r="J3165" s="394"/>
      <c r="K3165" s="394"/>
      <c r="L3165" s="394"/>
      <c r="M3165" s="394"/>
      <c r="N3165" s="394"/>
      <c r="O3165" s="394"/>
      <c r="P3165" s="394"/>
      <c r="Q3165" s="394"/>
      <c r="R3165" s="381"/>
      <c r="S3165" s="408"/>
      <c r="T3165" s="385"/>
      <c r="U3165" s="475"/>
      <c r="V3165" s="395"/>
      <c r="W3165" s="395"/>
      <c r="X3165" s="528"/>
      <c r="Y3165" s="523"/>
      <c r="Z3165" s="393"/>
      <c r="AA3165" s="394"/>
      <c r="AB3165" s="394"/>
      <c r="AC3165" s="394"/>
      <c r="AD3165" s="394"/>
      <c r="AE3165" s="394"/>
      <c r="AF3165" s="394"/>
      <c r="AG3165" s="394"/>
      <c r="AH3165" s="394"/>
      <c r="AI3165" s="394"/>
      <c r="AJ3165" s="394"/>
      <c r="AK3165" s="381"/>
      <c r="AL3165" s="408"/>
      <c r="AM3165" s="385"/>
      <c r="AN3165" s="475"/>
      <c r="AO3165" s="395"/>
      <c r="AP3165" s="395"/>
      <c r="AQ3165" s="528"/>
      <c r="AR3165" s="523">
        <v>1</v>
      </c>
      <c r="AS3165" s="393"/>
      <c r="AT3165" s="600">
        <v>19.533999999999999</v>
      </c>
      <c r="AU3165" s="394">
        <v>16.28302</v>
      </c>
      <c r="AV3165" s="394">
        <v>15.33263</v>
      </c>
      <c r="AW3165" s="394"/>
      <c r="AX3165" s="394"/>
      <c r="AY3165" s="394">
        <v>0</v>
      </c>
      <c r="AZ3165" s="394">
        <v>0</v>
      </c>
      <c r="BA3165" s="394">
        <v>0.75790000000000002</v>
      </c>
      <c r="BB3165" s="394">
        <v>15.33263</v>
      </c>
      <c r="BC3165" s="394"/>
      <c r="BD3165" s="381" t="s">
        <v>167</v>
      </c>
      <c r="BE3165" s="408" t="s">
        <v>175</v>
      </c>
      <c r="BF3165" s="385"/>
      <c r="BG3165" s="475">
        <v>1125</v>
      </c>
      <c r="BH3165" s="395"/>
      <c r="BI3165" s="395">
        <f t="shared" ref="BI3165" si="1232">AT3165/AR3165</f>
        <v>19.533999999999999</v>
      </c>
    </row>
    <row r="3166" spans="1:61" s="358" customFormat="1" ht="19.2" x14ac:dyDescent="0.3">
      <c r="A3166" s="359" t="s">
        <v>2119</v>
      </c>
      <c r="B3166" s="602" t="s">
        <v>5529</v>
      </c>
      <c r="C3166" s="548" t="s">
        <v>5530</v>
      </c>
      <c r="D3166" s="360">
        <v>0.4</v>
      </c>
      <c r="E3166" s="528"/>
      <c r="F3166" s="523"/>
      <c r="G3166" s="393"/>
      <c r="H3166" s="394"/>
      <c r="I3166" s="394"/>
      <c r="J3166" s="394"/>
      <c r="K3166" s="394"/>
      <c r="L3166" s="394"/>
      <c r="M3166" s="394"/>
      <c r="N3166" s="394"/>
      <c r="O3166" s="394"/>
      <c r="P3166" s="394"/>
      <c r="Q3166" s="394"/>
      <c r="R3166" s="381"/>
      <c r="S3166" s="408"/>
      <c r="T3166" s="385"/>
      <c r="U3166" s="475"/>
      <c r="V3166" s="395"/>
      <c r="W3166" s="395"/>
      <c r="X3166" s="528"/>
      <c r="Y3166" s="523"/>
      <c r="Z3166" s="393"/>
      <c r="AA3166" s="394"/>
      <c r="AB3166" s="394"/>
      <c r="AC3166" s="394"/>
      <c r="AD3166" s="394"/>
      <c r="AE3166" s="394"/>
      <c r="AF3166" s="394"/>
      <c r="AG3166" s="394"/>
      <c r="AH3166" s="394"/>
      <c r="AI3166" s="394"/>
      <c r="AJ3166" s="394"/>
      <c r="AK3166" s="381"/>
      <c r="AL3166" s="408"/>
      <c r="AM3166" s="385"/>
      <c r="AN3166" s="475"/>
      <c r="AO3166" s="395"/>
      <c r="AP3166" s="395"/>
      <c r="AQ3166" s="528"/>
      <c r="AR3166" s="523">
        <v>1</v>
      </c>
      <c r="AS3166" s="393"/>
      <c r="AT3166" s="600">
        <v>20.21069</v>
      </c>
      <c r="AU3166" s="394">
        <v>16.959710000000001</v>
      </c>
      <c r="AV3166" s="394">
        <v>15.3363</v>
      </c>
      <c r="AW3166" s="394"/>
      <c r="AX3166" s="394"/>
      <c r="AY3166" s="394">
        <v>0</v>
      </c>
      <c r="AZ3166" s="394">
        <v>0</v>
      </c>
      <c r="BA3166" s="394">
        <v>0.75790000000000002</v>
      </c>
      <c r="BB3166" s="394">
        <v>15.3363</v>
      </c>
      <c r="BC3166" s="394"/>
      <c r="BD3166" s="381" t="s">
        <v>167</v>
      </c>
      <c r="BE3166" s="408" t="s">
        <v>175</v>
      </c>
      <c r="BF3166" s="385"/>
      <c r="BG3166" s="475">
        <v>1126</v>
      </c>
      <c r="BH3166" s="395"/>
      <c r="BI3166" s="395">
        <f t="shared" si="1230"/>
        <v>20.21069</v>
      </c>
    </row>
    <row r="3167" spans="1:61" s="358" customFormat="1" ht="19.2" x14ac:dyDescent="0.3">
      <c r="A3167" s="359" t="s">
        <v>2120</v>
      </c>
      <c r="B3167" s="602" t="s">
        <v>4909</v>
      </c>
      <c r="C3167" s="548" t="s">
        <v>4908</v>
      </c>
      <c r="D3167" s="360">
        <v>0.4</v>
      </c>
      <c r="E3167" s="528"/>
      <c r="F3167" s="523"/>
      <c r="G3167" s="393"/>
      <c r="H3167" s="394"/>
      <c r="I3167" s="394"/>
      <c r="J3167" s="394"/>
      <c r="K3167" s="394"/>
      <c r="L3167" s="394"/>
      <c r="M3167" s="394"/>
      <c r="N3167" s="394"/>
      <c r="O3167" s="394"/>
      <c r="P3167" s="394"/>
      <c r="Q3167" s="394"/>
      <c r="R3167" s="381"/>
      <c r="S3167" s="408"/>
      <c r="T3167" s="385"/>
      <c r="U3167" s="475"/>
      <c r="V3167" s="395"/>
      <c r="W3167" s="395"/>
      <c r="X3167" s="528"/>
      <c r="Y3167" s="523"/>
      <c r="Z3167" s="393"/>
      <c r="AA3167" s="394"/>
      <c r="AB3167" s="394"/>
      <c r="AC3167" s="394"/>
      <c r="AD3167" s="394"/>
      <c r="AE3167" s="394"/>
      <c r="AF3167" s="394"/>
      <c r="AG3167" s="394"/>
      <c r="AH3167" s="394"/>
      <c r="AI3167" s="394"/>
      <c r="AJ3167" s="394"/>
      <c r="AK3167" s="381"/>
      <c r="AL3167" s="408"/>
      <c r="AM3167" s="385"/>
      <c r="AN3167" s="475"/>
      <c r="AO3167" s="395"/>
      <c r="AP3167" s="395"/>
      <c r="AQ3167" s="528"/>
      <c r="AR3167" s="523">
        <v>1</v>
      </c>
      <c r="AS3167" s="393"/>
      <c r="AT3167" s="600">
        <v>19.533999999999999</v>
      </c>
      <c r="AU3167" s="394">
        <v>16.28302</v>
      </c>
      <c r="AV3167" s="394">
        <v>15.33263</v>
      </c>
      <c r="AW3167" s="394"/>
      <c r="AX3167" s="394"/>
      <c r="AY3167" s="394">
        <v>0</v>
      </c>
      <c r="AZ3167" s="394">
        <v>0</v>
      </c>
      <c r="BA3167" s="394">
        <v>0.75790000000000002</v>
      </c>
      <c r="BB3167" s="394">
        <v>15.33263</v>
      </c>
      <c r="BC3167" s="394"/>
      <c r="BD3167" s="381" t="s">
        <v>167</v>
      </c>
      <c r="BE3167" s="408" t="s">
        <v>175</v>
      </c>
      <c r="BF3167" s="385"/>
      <c r="BG3167" s="475">
        <v>1127</v>
      </c>
      <c r="BH3167" s="395"/>
      <c r="BI3167" s="395">
        <f t="shared" ref="BI3167" si="1233">AT3167/AR3167</f>
        <v>19.533999999999999</v>
      </c>
    </row>
    <row r="3168" spans="1:61" s="358" customFormat="1" ht="19.2" x14ac:dyDescent="0.3">
      <c r="A3168" s="359" t="s">
        <v>2121</v>
      </c>
      <c r="B3168" s="602" t="s">
        <v>5929</v>
      </c>
      <c r="C3168" s="548" t="s">
        <v>5930</v>
      </c>
      <c r="D3168" s="360">
        <v>0.4</v>
      </c>
      <c r="E3168" s="528"/>
      <c r="F3168" s="523"/>
      <c r="G3168" s="393"/>
      <c r="H3168" s="394"/>
      <c r="I3168" s="394"/>
      <c r="J3168" s="394"/>
      <c r="K3168" s="394"/>
      <c r="L3168" s="394"/>
      <c r="M3168" s="394"/>
      <c r="N3168" s="394"/>
      <c r="O3168" s="394"/>
      <c r="P3168" s="394"/>
      <c r="Q3168" s="394"/>
      <c r="R3168" s="381"/>
      <c r="S3168" s="408"/>
      <c r="T3168" s="385"/>
      <c r="U3168" s="475"/>
      <c r="V3168" s="395"/>
      <c r="W3168" s="395"/>
      <c r="X3168" s="528"/>
      <c r="Y3168" s="523"/>
      <c r="Z3168" s="393"/>
      <c r="AA3168" s="394"/>
      <c r="AB3168" s="394"/>
      <c r="AC3168" s="394"/>
      <c r="AD3168" s="394"/>
      <c r="AE3168" s="394"/>
      <c r="AF3168" s="394"/>
      <c r="AG3168" s="394"/>
      <c r="AH3168" s="394"/>
      <c r="AI3168" s="394"/>
      <c r="AJ3168" s="394"/>
      <c r="AK3168" s="381"/>
      <c r="AL3168" s="408"/>
      <c r="AM3168" s="385"/>
      <c r="AN3168" s="475"/>
      <c r="AO3168" s="395"/>
      <c r="AP3168" s="395"/>
      <c r="AQ3168" s="528"/>
      <c r="AR3168" s="523">
        <v>1</v>
      </c>
      <c r="AS3168" s="393"/>
      <c r="AT3168" s="600">
        <v>20.21069</v>
      </c>
      <c r="AU3168" s="394">
        <v>16.959710000000001</v>
      </c>
      <c r="AV3168" s="394">
        <v>15.3363</v>
      </c>
      <c r="AW3168" s="394"/>
      <c r="AX3168" s="394"/>
      <c r="AY3168" s="394">
        <v>0</v>
      </c>
      <c r="AZ3168" s="394">
        <v>0</v>
      </c>
      <c r="BA3168" s="394">
        <v>0.75790000000000002</v>
      </c>
      <c r="BB3168" s="394">
        <v>15.3363</v>
      </c>
      <c r="BC3168" s="394"/>
      <c r="BD3168" s="381" t="s">
        <v>167</v>
      </c>
      <c r="BE3168" s="408" t="s">
        <v>175</v>
      </c>
      <c r="BF3168" s="385"/>
      <c r="BG3168" s="475">
        <v>1128</v>
      </c>
      <c r="BH3168" s="395"/>
      <c r="BI3168" s="395">
        <f t="shared" si="1230"/>
        <v>20.21069</v>
      </c>
    </row>
    <row r="3169" spans="1:61" s="358" customFormat="1" ht="19.2" x14ac:dyDescent="0.3">
      <c r="A3169" s="359" t="s">
        <v>2122</v>
      </c>
      <c r="B3169" s="602" t="s">
        <v>4852</v>
      </c>
      <c r="C3169" s="548" t="s">
        <v>4851</v>
      </c>
      <c r="D3169" s="360">
        <v>0.4</v>
      </c>
      <c r="E3169" s="528"/>
      <c r="F3169" s="523"/>
      <c r="G3169" s="393"/>
      <c r="H3169" s="394"/>
      <c r="I3169" s="394"/>
      <c r="J3169" s="394"/>
      <c r="K3169" s="394"/>
      <c r="L3169" s="394"/>
      <c r="M3169" s="394"/>
      <c r="N3169" s="394"/>
      <c r="O3169" s="394"/>
      <c r="P3169" s="394"/>
      <c r="Q3169" s="394"/>
      <c r="R3169" s="381"/>
      <c r="S3169" s="408"/>
      <c r="T3169" s="385"/>
      <c r="U3169" s="475"/>
      <c r="V3169" s="395"/>
      <c r="W3169" s="395"/>
      <c r="X3169" s="528"/>
      <c r="Y3169" s="523"/>
      <c r="Z3169" s="393"/>
      <c r="AA3169" s="394"/>
      <c r="AB3169" s="394"/>
      <c r="AC3169" s="394"/>
      <c r="AD3169" s="394"/>
      <c r="AE3169" s="394"/>
      <c r="AF3169" s="394"/>
      <c r="AG3169" s="394"/>
      <c r="AH3169" s="394"/>
      <c r="AI3169" s="394"/>
      <c r="AJ3169" s="394"/>
      <c r="AK3169" s="381"/>
      <c r="AL3169" s="408"/>
      <c r="AM3169" s="385"/>
      <c r="AN3169" s="475"/>
      <c r="AO3169" s="395"/>
      <c r="AP3169" s="395"/>
      <c r="AQ3169" s="528"/>
      <c r="AR3169" s="523">
        <v>1</v>
      </c>
      <c r="AS3169" s="393"/>
      <c r="AT3169" s="600">
        <v>19.534009999999999</v>
      </c>
      <c r="AU3169" s="394">
        <v>16.28303</v>
      </c>
      <c r="AV3169" s="394">
        <v>15.33263</v>
      </c>
      <c r="AW3169" s="394"/>
      <c r="AX3169" s="394"/>
      <c r="AY3169" s="394">
        <v>0</v>
      </c>
      <c r="AZ3169" s="394">
        <v>0</v>
      </c>
      <c r="BA3169" s="394">
        <v>0.75790000000000002</v>
      </c>
      <c r="BB3169" s="394">
        <v>15.33263</v>
      </c>
      <c r="BC3169" s="394"/>
      <c r="BD3169" s="381" t="s">
        <v>167</v>
      </c>
      <c r="BE3169" s="408" t="s">
        <v>175</v>
      </c>
      <c r="BF3169" s="385"/>
      <c r="BG3169" s="475">
        <v>1129</v>
      </c>
      <c r="BH3169" s="395"/>
      <c r="BI3169" s="395">
        <f t="shared" ref="BI3169" si="1234">AT3169/AR3169</f>
        <v>19.534009999999999</v>
      </c>
    </row>
    <row r="3170" spans="1:61" s="358" customFormat="1" ht="19.2" x14ac:dyDescent="0.3">
      <c r="A3170" s="359" t="s">
        <v>2123</v>
      </c>
      <c r="B3170" s="602" t="s">
        <v>5931</v>
      </c>
      <c r="C3170" s="548" t="s">
        <v>5932</v>
      </c>
      <c r="D3170" s="360">
        <v>0.4</v>
      </c>
      <c r="E3170" s="528"/>
      <c r="F3170" s="523"/>
      <c r="G3170" s="393"/>
      <c r="H3170" s="394"/>
      <c r="I3170" s="394"/>
      <c r="J3170" s="394"/>
      <c r="K3170" s="394"/>
      <c r="L3170" s="394"/>
      <c r="M3170" s="394"/>
      <c r="N3170" s="394"/>
      <c r="O3170" s="394"/>
      <c r="P3170" s="394"/>
      <c r="Q3170" s="394"/>
      <c r="R3170" s="381"/>
      <c r="S3170" s="408"/>
      <c r="T3170" s="385"/>
      <c r="U3170" s="475"/>
      <c r="V3170" s="395"/>
      <c r="W3170" s="395"/>
      <c r="X3170" s="528"/>
      <c r="Y3170" s="523"/>
      <c r="Z3170" s="393"/>
      <c r="AA3170" s="394"/>
      <c r="AB3170" s="394"/>
      <c r="AC3170" s="394"/>
      <c r="AD3170" s="394"/>
      <c r="AE3170" s="394"/>
      <c r="AF3170" s="394"/>
      <c r="AG3170" s="394"/>
      <c r="AH3170" s="394"/>
      <c r="AI3170" s="394"/>
      <c r="AJ3170" s="394"/>
      <c r="AK3170" s="381"/>
      <c r="AL3170" s="408"/>
      <c r="AM3170" s="385"/>
      <c r="AN3170" s="475"/>
      <c r="AO3170" s="395"/>
      <c r="AP3170" s="395"/>
      <c r="AQ3170" s="528"/>
      <c r="AR3170" s="523">
        <v>1</v>
      </c>
      <c r="AS3170" s="393"/>
      <c r="AT3170" s="600">
        <v>19.534020000000002</v>
      </c>
      <c r="AU3170" s="394">
        <v>16.28304</v>
      </c>
      <c r="AV3170" s="394">
        <v>15.33263</v>
      </c>
      <c r="AW3170" s="394"/>
      <c r="AX3170" s="394"/>
      <c r="AY3170" s="394">
        <v>0</v>
      </c>
      <c r="AZ3170" s="394">
        <v>0</v>
      </c>
      <c r="BA3170" s="394">
        <v>0.75790000000000002</v>
      </c>
      <c r="BB3170" s="394">
        <v>15.33263</v>
      </c>
      <c r="BC3170" s="394"/>
      <c r="BD3170" s="381" t="s">
        <v>167</v>
      </c>
      <c r="BE3170" s="408" t="s">
        <v>175</v>
      </c>
      <c r="BF3170" s="385"/>
      <c r="BG3170" s="475">
        <v>1130</v>
      </c>
      <c r="BH3170" s="395"/>
      <c r="BI3170" s="395">
        <f t="shared" si="1230"/>
        <v>19.534020000000002</v>
      </c>
    </row>
    <row r="3171" spans="1:61" s="358" customFormat="1" ht="19.2" x14ac:dyDescent="0.3">
      <c r="A3171" s="359" t="s">
        <v>2124</v>
      </c>
      <c r="B3171" s="602" t="s">
        <v>5933</v>
      </c>
      <c r="C3171" s="548" t="s">
        <v>5934</v>
      </c>
      <c r="D3171" s="360">
        <v>0.4</v>
      </c>
      <c r="E3171" s="528"/>
      <c r="F3171" s="523"/>
      <c r="G3171" s="393"/>
      <c r="H3171" s="394"/>
      <c r="I3171" s="394"/>
      <c r="J3171" s="394"/>
      <c r="K3171" s="394"/>
      <c r="L3171" s="394"/>
      <c r="M3171" s="394"/>
      <c r="N3171" s="394"/>
      <c r="O3171" s="394"/>
      <c r="P3171" s="394"/>
      <c r="Q3171" s="394"/>
      <c r="R3171" s="381"/>
      <c r="S3171" s="408"/>
      <c r="T3171" s="385"/>
      <c r="U3171" s="475"/>
      <c r="V3171" s="395"/>
      <c r="W3171" s="395"/>
      <c r="X3171" s="528"/>
      <c r="Y3171" s="523"/>
      <c r="Z3171" s="393"/>
      <c r="AA3171" s="394"/>
      <c r="AB3171" s="394"/>
      <c r="AC3171" s="394"/>
      <c r="AD3171" s="394"/>
      <c r="AE3171" s="394"/>
      <c r="AF3171" s="394"/>
      <c r="AG3171" s="394"/>
      <c r="AH3171" s="394"/>
      <c r="AI3171" s="394"/>
      <c r="AJ3171" s="394"/>
      <c r="AK3171" s="381"/>
      <c r="AL3171" s="408"/>
      <c r="AM3171" s="385"/>
      <c r="AN3171" s="475"/>
      <c r="AO3171" s="395"/>
      <c r="AP3171" s="395"/>
      <c r="AQ3171" s="528"/>
      <c r="AR3171" s="523">
        <v>1</v>
      </c>
      <c r="AS3171" s="393"/>
      <c r="AT3171" s="600">
        <v>19.534020000000002</v>
      </c>
      <c r="AU3171" s="394">
        <v>16.28304</v>
      </c>
      <c r="AV3171" s="394">
        <v>15.33263</v>
      </c>
      <c r="AW3171" s="394"/>
      <c r="AX3171" s="394"/>
      <c r="AY3171" s="394">
        <v>0</v>
      </c>
      <c r="AZ3171" s="394">
        <v>0</v>
      </c>
      <c r="BA3171" s="394">
        <v>0.75790000000000002</v>
      </c>
      <c r="BB3171" s="394">
        <v>15.33263</v>
      </c>
      <c r="BC3171" s="394"/>
      <c r="BD3171" s="381" t="s">
        <v>167</v>
      </c>
      <c r="BE3171" s="408" t="s">
        <v>175</v>
      </c>
      <c r="BF3171" s="385"/>
      <c r="BG3171" s="475">
        <v>1131</v>
      </c>
      <c r="BH3171" s="395"/>
      <c r="BI3171" s="395">
        <f t="shared" ref="BI3171" si="1235">AT3171/AR3171</f>
        <v>19.534020000000002</v>
      </c>
    </row>
    <row r="3172" spans="1:61" s="358" customFormat="1" ht="19.2" x14ac:dyDescent="0.3">
      <c r="A3172" s="359" t="s">
        <v>2125</v>
      </c>
      <c r="B3172" s="602" t="s">
        <v>5935</v>
      </c>
      <c r="C3172" s="548" t="s">
        <v>5936</v>
      </c>
      <c r="D3172" s="360">
        <v>0.4</v>
      </c>
      <c r="E3172" s="528"/>
      <c r="F3172" s="523"/>
      <c r="G3172" s="393"/>
      <c r="H3172" s="394"/>
      <c r="I3172" s="394"/>
      <c r="J3172" s="394"/>
      <c r="K3172" s="394"/>
      <c r="L3172" s="394"/>
      <c r="M3172" s="394"/>
      <c r="N3172" s="394"/>
      <c r="O3172" s="394"/>
      <c r="P3172" s="394"/>
      <c r="Q3172" s="394"/>
      <c r="R3172" s="381"/>
      <c r="S3172" s="408"/>
      <c r="T3172" s="385"/>
      <c r="U3172" s="475"/>
      <c r="V3172" s="395"/>
      <c r="W3172" s="395"/>
      <c r="X3172" s="528"/>
      <c r="Y3172" s="523"/>
      <c r="Z3172" s="393"/>
      <c r="AA3172" s="394"/>
      <c r="AB3172" s="394"/>
      <c r="AC3172" s="394"/>
      <c r="AD3172" s="394"/>
      <c r="AE3172" s="394"/>
      <c r="AF3172" s="394"/>
      <c r="AG3172" s="394"/>
      <c r="AH3172" s="394"/>
      <c r="AI3172" s="394"/>
      <c r="AJ3172" s="394"/>
      <c r="AK3172" s="381"/>
      <c r="AL3172" s="408"/>
      <c r="AM3172" s="385"/>
      <c r="AN3172" s="475"/>
      <c r="AO3172" s="395"/>
      <c r="AP3172" s="395"/>
      <c r="AQ3172" s="528"/>
      <c r="AR3172" s="523">
        <v>1</v>
      </c>
      <c r="AS3172" s="393"/>
      <c r="AT3172" s="600">
        <v>19.534020000000002</v>
      </c>
      <c r="AU3172" s="394">
        <v>16.28304</v>
      </c>
      <c r="AV3172" s="394">
        <v>15.33263</v>
      </c>
      <c r="AW3172" s="394"/>
      <c r="AX3172" s="394"/>
      <c r="AY3172" s="394">
        <v>0</v>
      </c>
      <c r="AZ3172" s="394">
        <v>0</v>
      </c>
      <c r="BA3172" s="394">
        <v>0.75790000000000002</v>
      </c>
      <c r="BB3172" s="394">
        <v>15.33263</v>
      </c>
      <c r="BC3172" s="394"/>
      <c r="BD3172" s="381" t="s">
        <v>167</v>
      </c>
      <c r="BE3172" s="408" t="s">
        <v>175</v>
      </c>
      <c r="BF3172" s="385"/>
      <c r="BG3172" s="475">
        <v>1132</v>
      </c>
      <c r="BH3172" s="395"/>
      <c r="BI3172" s="395">
        <f t="shared" si="1230"/>
        <v>19.534020000000002</v>
      </c>
    </row>
    <row r="3173" spans="1:61" s="358" customFormat="1" ht="19.2" x14ac:dyDescent="0.3">
      <c r="A3173" s="359" t="s">
        <v>2126</v>
      </c>
      <c r="B3173" s="602" t="s">
        <v>4880</v>
      </c>
      <c r="C3173" s="548" t="s">
        <v>4879</v>
      </c>
      <c r="D3173" s="360">
        <v>0.4</v>
      </c>
      <c r="E3173" s="528"/>
      <c r="F3173" s="523"/>
      <c r="G3173" s="393"/>
      <c r="H3173" s="394"/>
      <c r="I3173" s="394"/>
      <c r="J3173" s="394"/>
      <c r="K3173" s="394"/>
      <c r="L3173" s="394"/>
      <c r="M3173" s="394"/>
      <c r="N3173" s="394"/>
      <c r="O3173" s="394"/>
      <c r="P3173" s="394"/>
      <c r="Q3173" s="394"/>
      <c r="R3173" s="381"/>
      <c r="S3173" s="408"/>
      <c r="T3173" s="385"/>
      <c r="U3173" s="475"/>
      <c r="V3173" s="395"/>
      <c r="W3173" s="395"/>
      <c r="X3173" s="528"/>
      <c r="Y3173" s="523"/>
      <c r="Z3173" s="393"/>
      <c r="AA3173" s="394"/>
      <c r="AB3173" s="394"/>
      <c r="AC3173" s="394"/>
      <c r="AD3173" s="394"/>
      <c r="AE3173" s="394"/>
      <c r="AF3173" s="394"/>
      <c r="AG3173" s="394"/>
      <c r="AH3173" s="394"/>
      <c r="AI3173" s="394"/>
      <c r="AJ3173" s="394"/>
      <c r="AK3173" s="381"/>
      <c r="AL3173" s="408"/>
      <c r="AM3173" s="385"/>
      <c r="AN3173" s="475"/>
      <c r="AO3173" s="395"/>
      <c r="AP3173" s="395"/>
      <c r="AQ3173" s="528"/>
      <c r="AR3173" s="523">
        <v>1</v>
      </c>
      <c r="AS3173" s="393"/>
      <c r="AT3173" s="600">
        <v>19.534009999999999</v>
      </c>
      <c r="AU3173" s="394">
        <v>16.28303</v>
      </c>
      <c r="AV3173" s="394">
        <v>15.33263</v>
      </c>
      <c r="AW3173" s="394"/>
      <c r="AX3173" s="394"/>
      <c r="AY3173" s="394">
        <v>0</v>
      </c>
      <c r="AZ3173" s="394">
        <v>0</v>
      </c>
      <c r="BA3173" s="394">
        <v>0.75790000000000002</v>
      </c>
      <c r="BB3173" s="394">
        <v>15.33263</v>
      </c>
      <c r="BC3173" s="394"/>
      <c r="BD3173" s="381" t="s">
        <v>167</v>
      </c>
      <c r="BE3173" s="408" t="s">
        <v>175</v>
      </c>
      <c r="BF3173" s="385"/>
      <c r="BG3173" s="475">
        <v>1133</v>
      </c>
      <c r="BH3173" s="395"/>
      <c r="BI3173" s="395">
        <f t="shared" ref="BI3173" si="1236">AT3173/AR3173</f>
        <v>19.534009999999999</v>
      </c>
    </row>
    <row r="3174" spans="1:61" s="358" customFormat="1" ht="19.2" x14ac:dyDescent="0.3">
      <c r="A3174" s="359" t="s">
        <v>2127</v>
      </c>
      <c r="B3174" s="602" t="s">
        <v>2516</v>
      </c>
      <c r="C3174" s="548" t="s">
        <v>5937</v>
      </c>
      <c r="D3174" s="360">
        <v>0.4</v>
      </c>
      <c r="E3174" s="528"/>
      <c r="F3174" s="523"/>
      <c r="G3174" s="393"/>
      <c r="H3174" s="394"/>
      <c r="I3174" s="394"/>
      <c r="J3174" s="394"/>
      <c r="K3174" s="394"/>
      <c r="L3174" s="394"/>
      <c r="M3174" s="394"/>
      <c r="N3174" s="394"/>
      <c r="O3174" s="394"/>
      <c r="P3174" s="394"/>
      <c r="Q3174" s="394"/>
      <c r="R3174" s="381"/>
      <c r="S3174" s="408"/>
      <c r="T3174" s="385"/>
      <c r="U3174" s="475"/>
      <c r="V3174" s="395"/>
      <c r="W3174" s="395"/>
      <c r="X3174" s="528"/>
      <c r="Y3174" s="523"/>
      <c r="Z3174" s="393"/>
      <c r="AA3174" s="394"/>
      <c r="AB3174" s="394"/>
      <c r="AC3174" s="394"/>
      <c r="AD3174" s="394"/>
      <c r="AE3174" s="394"/>
      <c r="AF3174" s="394"/>
      <c r="AG3174" s="394"/>
      <c r="AH3174" s="394"/>
      <c r="AI3174" s="394"/>
      <c r="AJ3174" s="394"/>
      <c r="AK3174" s="381"/>
      <c r="AL3174" s="408"/>
      <c r="AM3174" s="385"/>
      <c r="AN3174" s="475"/>
      <c r="AO3174" s="395"/>
      <c r="AP3174" s="395"/>
      <c r="AQ3174" s="528"/>
      <c r="AR3174" s="523">
        <v>1</v>
      </c>
      <c r="AS3174" s="393"/>
      <c r="AT3174" s="600">
        <v>19.534020000000002</v>
      </c>
      <c r="AU3174" s="394">
        <v>16.28304</v>
      </c>
      <c r="AV3174" s="394">
        <v>15.33263</v>
      </c>
      <c r="AW3174" s="394"/>
      <c r="AX3174" s="394"/>
      <c r="AY3174" s="394">
        <v>0</v>
      </c>
      <c r="AZ3174" s="394">
        <v>0</v>
      </c>
      <c r="BA3174" s="394">
        <v>0.75790000000000002</v>
      </c>
      <c r="BB3174" s="394">
        <v>15.33263</v>
      </c>
      <c r="BC3174" s="394"/>
      <c r="BD3174" s="381" t="s">
        <v>167</v>
      </c>
      <c r="BE3174" s="408" t="s">
        <v>175</v>
      </c>
      <c r="BF3174" s="385"/>
      <c r="BG3174" s="475">
        <v>1134</v>
      </c>
      <c r="BH3174" s="395"/>
      <c r="BI3174" s="395">
        <f t="shared" si="1230"/>
        <v>19.534020000000002</v>
      </c>
    </row>
    <row r="3175" spans="1:61" s="358" customFormat="1" ht="19.2" x14ac:dyDescent="0.3">
      <c r="A3175" s="359" t="s">
        <v>2128</v>
      </c>
      <c r="B3175" s="602" t="s">
        <v>5938</v>
      </c>
      <c r="C3175" s="548" t="s">
        <v>5939</v>
      </c>
      <c r="D3175" s="360">
        <v>0.4</v>
      </c>
      <c r="E3175" s="528"/>
      <c r="F3175" s="523"/>
      <c r="G3175" s="393"/>
      <c r="H3175" s="394"/>
      <c r="I3175" s="394"/>
      <c r="J3175" s="394"/>
      <c r="K3175" s="394"/>
      <c r="L3175" s="394"/>
      <c r="M3175" s="394"/>
      <c r="N3175" s="394"/>
      <c r="O3175" s="394"/>
      <c r="P3175" s="394"/>
      <c r="Q3175" s="394"/>
      <c r="R3175" s="381"/>
      <c r="S3175" s="408"/>
      <c r="T3175" s="385"/>
      <c r="U3175" s="475"/>
      <c r="V3175" s="395"/>
      <c r="W3175" s="395"/>
      <c r="X3175" s="528"/>
      <c r="Y3175" s="523"/>
      <c r="Z3175" s="393"/>
      <c r="AA3175" s="394"/>
      <c r="AB3175" s="394"/>
      <c r="AC3175" s="394"/>
      <c r="AD3175" s="394"/>
      <c r="AE3175" s="394"/>
      <c r="AF3175" s="394"/>
      <c r="AG3175" s="394"/>
      <c r="AH3175" s="394"/>
      <c r="AI3175" s="394"/>
      <c r="AJ3175" s="394"/>
      <c r="AK3175" s="381"/>
      <c r="AL3175" s="408"/>
      <c r="AM3175" s="385"/>
      <c r="AN3175" s="475"/>
      <c r="AO3175" s="395"/>
      <c r="AP3175" s="395"/>
      <c r="AQ3175" s="528"/>
      <c r="AR3175" s="523">
        <v>1</v>
      </c>
      <c r="AS3175" s="393"/>
      <c r="AT3175" s="600">
        <v>19.534009999999999</v>
      </c>
      <c r="AU3175" s="394">
        <v>16.28303</v>
      </c>
      <c r="AV3175" s="394">
        <v>15.33263</v>
      </c>
      <c r="AW3175" s="394"/>
      <c r="AX3175" s="394"/>
      <c r="AY3175" s="394">
        <v>0</v>
      </c>
      <c r="AZ3175" s="394">
        <v>0</v>
      </c>
      <c r="BA3175" s="394">
        <v>0.75790000000000002</v>
      </c>
      <c r="BB3175" s="394">
        <v>15.33263</v>
      </c>
      <c r="BC3175" s="394"/>
      <c r="BD3175" s="381" t="s">
        <v>167</v>
      </c>
      <c r="BE3175" s="408" t="s">
        <v>175</v>
      </c>
      <c r="BF3175" s="385"/>
      <c r="BG3175" s="475">
        <v>1135</v>
      </c>
      <c r="BH3175" s="395"/>
      <c r="BI3175" s="395">
        <f t="shared" ref="BI3175" si="1237">AT3175/AR3175</f>
        <v>19.534009999999999</v>
      </c>
    </row>
    <row r="3176" spans="1:61" s="358" customFormat="1" ht="19.2" x14ac:dyDescent="0.3">
      <c r="A3176" s="359" t="s">
        <v>2129</v>
      </c>
      <c r="B3176" s="602" t="s">
        <v>5940</v>
      </c>
      <c r="C3176" s="548" t="s">
        <v>5941</v>
      </c>
      <c r="D3176" s="360">
        <v>0.4</v>
      </c>
      <c r="E3176" s="528"/>
      <c r="F3176" s="523"/>
      <c r="G3176" s="393"/>
      <c r="H3176" s="394"/>
      <c r="I3176" s="394"/>
      <c r="J3176" s="394"/>
      <c r="K3176" s="394"/>
      <c r="L3176" s="394"/>
      <c r="M3176" s="394"/>
      <c r="N3176" s="394"/>
      <c r="O3176" s="394"/>
      <c r="P3176" s="394"/>
      <c r="Q3176" s="394"/>
      <c r="R3176" s="381"/>
      <c r="S3176" s="408"/>
      <c r="T3176" s="385"/>
      <c r="U3176" s="475"/>
      <c r="V3176" s="395"/>
      <c r="W3176" s="395"/>
      <c r="X3176" s="528"/>
      <c r="Y3176" s="523"/>
      <c r="Z3176" s="393"/>
      <c r="AA3176" s="394"/>
      <c r="AB3176" s="394"/>
      <c r="AC3176" s="394"/>
      <c r="AD3176" s="394"/>
      <c r="AE3176" s="394"/>
      <c r="AF3176" s="394"/>
      <c r="AG3176" s="394"/>
      <c r="AH3176" s="394"/>
      <c r="AI3176" s="394"/>
      <c r="AJ3176" s="394"/>
      <c r="AK3176" s="381"/>
      <c r="AL3176" s="408"/>
      <c r="AM3176" s="385"/>
      <c r="AN3176" s="475"/>
      <c r="AO3176" s="395"/>
      <c r="AP3176" s="395"/>
      <c r="AQ3176" s="528"/>
      <c r="AR3176" s="523">
        <v>1</v>
      </c>
      <c r="AS3176" s="393"/>
      <c r="AT3176" s="600">
        <v>19.534020000000002</v>
      </c>
      <c r="AU3176" s="394">
        <v>16.28304</v>
      </c>
      <c r="AV3176" s="394">
        <v>15.33263</v>
      </c>
      <c r="AW3176" s="394"/>
      <c r="AX3176" s="394"/>
      <c r="AY3176" s="394">
        <v>0</v>
      </c>
      <c r="AZ3176" s="394">
        <v>0</v>
      </c>
      <c r="BA3176" s="394">
        <v>0.75790000000000002</v>
      </c>
      <c r="BB3176" s="394">
        <v>15.33263</v>
      </c>
      <c r="BC3176" s="394"/>
      <c r="BD3176" s="381" t="s">
        <v>167</v>
      </c>
      <c r="BE3176" s="408" t="s">
        <v>175</v>
      </c>
      <c r="BF3176" s="385"/>
      <c r="BG3176" s="475">
        <v>1136</v>
      </c>
      <c r="BH3176" s="395"/>
      <c r="BI3176" s="395">
        <f t="shared" si="1230"/>
        <v>19.534020000000002</v>
      </c>
    </row>
    <row r="3177" spans="1:61" s="358" customFormat="1" ht="19.2" x14ac:dyDescent="0.3">
      <c r="A3177" s="359" t="s">
        <v>2130</v>
      </c>
      <c r="B3177" s="602" t="s">
        <v>5942</v>
      </c>
      <c r="C3177" s="548" t="s">
        <v>5943</v>
      </c>
      <c r="D3177" s="360">
        <v>0.4</v>
      </c>
      <c r="E3177" s="528"/>
      <c r="F3177" s="523"/>
      <c r="G3177" s="393"/>
      <c r="H3177" s="394"/>
      <c r="I3177" s="394"/>
      <c r="J3177" s="394"/>
      <c r="K3177" s="394"/>
      <c r="L3177" s="394"/>
      <c r="M3177" s="394"/>
      <c r="N3177" s="394"/>
      <c r="O3177" s="394"/>
      <c r="P3177" s="394"/>
      <c r="Q3177" s="394"/>
      <c r="R3177" s="381"/>
      <c r="S3177" s="408"/>
      <c r="T3177" s="385"/>
      <c r="U3177" s="475"/>
      <c r="V3177" s="395"/>
      <c r="W3177" s="395"/>
      <c r="X3177" s="528"/>
      <c r="Y3177" s="523"/>
      <c r="Z3177" s="393"/>
      <c r="AA3177" s="394"/>
      <c r="AB3177" s="394"/>
      <c r="AC3177" s="394"/>
      <c r="AD3177" s="394"/>
      <c r="AE3177" s="394"/>
      <c r="AF3177" s="394"/>
      <c r="AG3177" s="394"/>
      <c r="AH3177" s="394"/>
      <c r="AI3177" s="394"/>
      <c r="AJ3177" s="394"/>
      <c r="AK3177" s="381"/>
      <c r="AL3177" s="408"/>
      <c r="AM3177" s="385"/>
      <c r="AN3177" s="475"/>
      <c r="AO3177" s="395"/>
      <c r="AP3177" s="395"/>
      <c r="AQ3177" s="528"/>
      <c r="AR3177" s="523">
        <v>1</v>
      </c>
      <c r="AS3177" s="393"/>
      <c r="AT3177" s="600">
        <v>19.534009999999999</v>
      </c>
      <c r="AU3177" s="394">
        <v>16.28303</v>
      </c>
      <c r="AV3177" s="394">
        <v>15.33263</v>
      </c>
      <c r="AW3177" s="394"/>
      <c r="AX3177" s="394"/>
      <c r="AY3177" s="394">
        <v>0</v>
      </c>
      <c r="AZ3177" s="394">
        <v>0</v>
      </c>
      <c r="BA3177" s="394">
        <v>0.75790000000000002</v>
      </c>
      <c r="BB3177" s="394">
        <v>15.33263</v>
      </c>
      <c r="BC3177" s="394"/>
      <c r="BD3177" s="381" t="s">
        <v>167</v>
      </c>
      <c r="BE3177" s="408" t="s">
        <v>175</v>
      </c>
      <c r="BF3177" s="385"/>
      <c r="BG3177" s="475">
        <v>1137</v>
      </c>
      <c r="BH3177" s="395"/>
      <c r="BI3177" s="395">
        <f t="shared" ref="BI3177" si="1238">AT3177/AR3177</f>
        <v>19.534009999999999</v>
      </c>
    </row>
    <row r="3178" spans="1:61" s="358" customFormat="1" ht="19.2" x14ac:dyDescent="0.3">
      <c r="A3178" s="359" t="s">
        <v>2131</v>
      </c>
      <c r="B3178" s="602" t="s">
        <v>5944</v>
      </c>
      <c r="C3178" s="548" t="s">
        <v>5945</v>
      </c>
      <c r="D3178" s="360">
        <v>0.4</v>
      </c>
      <c r="E3178" s="528"/>
      <c r="F3178" s="523"/>
      <c r="G3178" s="393"/>
      <c r="H3178" s="394"/>
      <c r="I3178" s="394"/>
      <c r="J3178" s="394"/>
      <c r="K3178" s="394"/>
      <c r="L3178" s="394"/>
      <c r="M3178" s="394"/>
      <c r="N3178" s="394"/>
      <c r="O3178" s="394"/>
      <c r="P3178" s="394"/>
      <c r="Q3178" s="394"/>
      <c r="R3178" s="381"/>
      <c r="S3178" s="408"/>
      <c r="T3178" s="385"/>
      <c r="U3178" s="475"/>
      <c r="V3178" s="395"/>
      <c r="W3178" s="395"/>
      <c r="X3178" s="528"/>
      <c r="Y3178" s="523"/>
      <c r="Z3178" s="393"/>
      <c r="AA3178" s="394"/>
      <c r="AB3178" s="394"/>
      <c r="AC3178" s="394"/>
      <c r="AD3178" s="394"/>
      <c r="AE3178" s="394"/>
      <c r="AF3178" s="394"/>
      <c r="AG3178" s="394"/>
      <c r="AH3178" s="394"/>
      <c r="AI3178" s="394"/>
      <c r="AJ3178" s="394"/>
      <c r="AK3178" s="381"/>
      <c r="AL3178" s="408"/>
      <c r="AM3178" s="385"/>
      <c r="AN3178" s="475"/>
      <c r="AO3178" s="395"/>
      <c r="AP3178" s="395"/>
      <c r="AQ3178" s="528"/>
      <c r="AR3178" s="523">
        <v>1</v>
      </c>
      <c r="AS3178" s="393"/>
      <c r="AT3178" s="600">
        <v>19.534009999999999</v>
      </c>
      <c r="AU3178" s="394">
        <v>16.28303</v>
      </c>
      <c r="AV3178" s="394">
        <v>15.33263</v>
      </c>
      <c r="AW3178" s="394"/>
      <c r="AX3178" s="394"/>
      <c r="AY3178" s="394">
        <v>0</v>
      </c>
      <c r="AZ3178" s="394">
        <v>0</v>
      </c>
      <c r="BA3178" s="394">
        <v>0.75790000000000002</v>
      </c>
      <c r="BB3178" s="394">
        <v>15.33263</v>
      </c>
      <c r="BC3178" s="394"/>
      <c r="BD3178" s="381" t="s">
        <v>167</v>
      </c>
      <c r="BE3178" s="408" t="s">
        <v>175</v>
      </c>
      <c r="BF3178" s="385"/>
      <c r="BG3178" s="475">
        <v>1138</v>
      </c>
      <c r="BH3178" s="395"/>
      <c r="BI3178" s="395">
        <f t="shared" si="1230"/>
        <v>19.534009999999999</v>
      </c>
    </row>
    <row r="3179" spans="1:61" s="358" customFormat="1" ht="19.2" x14ac:dyDescent="0.3">
      <c r="A3179" s="359" t="s">
        <v>2132</v>
      </c>
      <c r="B3179" s="602" t="s">
        <v>5946</v>
      </c>
      <c r="C3179" s="548" t="s">
        <v>5947</v>
      </c>
      <c r="D3179" s="360">
        <v>0.4</v>
      </c>
      <c r="E3179" s="528"/>
      <c r="F3179" s="523"/>
      <c r="G3179" s="393"/>
      <c r="H3179" s="394"/>
      <c r="I3179" s="394"/>
      <c r="J3179" s="394"/>
      <c r="K3179" s="394"/>
      <c r="L3179" s="394"/>
      <c r="M3179" s="394"/>
      <c r="N3179" s="394"/>
      <c r="O3179" s="394"/>
      <c r="P3179" s="394"/>
      <c r="Q3179" s="394"/>
      <c r="R3179" s="381"/>
      <c r="S3179" s="408"/>
      <c r="T3179" s="385"/>
      <c r="U3179" s="475"/>
      <c r="V3179" s="395"/>
      <c r="W3179" s="395"/>
      <c r="X3179" s="528"/>
      <c r="Y3179" s="523"/>
      <c r="Z3179" s="393"/>
      <c r="AA3179" s="394"/>
      <c r="AB3179" s="394"/>
      <c r="AC3179" s="394"/>
      <c r="AD3179" s="394"/>
      <c r="AE3179" s="394"/>
      <c r="AF3179" s="394"/>
      <c r="AG3179" s="394"/>
      <c r="AH3179" s="394"/>
      <c r="AI3179" s="394"/>
      <c r="AJ3179" s="394"/>
      <c r="AK3179" s="381"/>
      <c r="AL3179" s="408"/>
      <c r="AM3179" s="385"/>
      <c r="AN3179" s="475"/>
      <c r="AO3179" s="395"/>
      <c r="AP3179" s="395"/>
      <c r="AQ3179" s="528"/>
      <c r="AR3179" s="523">
        <v>1</v>
      </c>
      <c r="AS3179" s="393"/>
      <c r="AT3179" s="600">
        <v>19.534020000000002</v>
      </c>
      <c r="AU3179" s="394">
        <v>16.28304</v>
      </c>
      <c r="AV3179" s="394">
        <v>15.33263</v>
      </c>
      <c r="AW3179" s="394"/>
      <c r="AX3179" s="394"/>
      <c r="AY3179" s="394">
        <v>0</v>
      </c>
      <c r="AZ3179" s="394">
        <v>0</v>
      </c>
      <c r="BA3179" s="394">
        <v>0.75790000000000002</v>
      </c>
      <c r="BB3179" s="394">
        <v>15.33263</v>
      </c>
      <c r="BC3179" s="394"/>
      <c r="BD3179" s="381" t="s">
        <v>167</v>
      </c>
      <c r="BE3179" s="408" t="s">
        <v>175</v>
      </c>
      <c r="BF3179" s="385"/>
      <c r="BG3179" s="475">
        <v>1139</v>
      </c>
      <c r="BH3179" s="395"/>
      <c r="BI3179" s="395">
        <f t="shared" ref="BI3179" si="1239">AT3179/AR3179</f>
        <v>19.534020000000002</v>
      </c>
    </row>
    <row r="3180" spans="1:61" s="358" customFormat="1" ht="19.2" x14ac:dyDescent="0.3">
      <c r="A3180" s="359" t="s">
        <v>2133</v>
      </c>
      <c r="B3180" s="602" t="s">
        <v>5948</v>
      </c>
      <c r="C3180" s="548" t="s">
        <v>5949</v>
      </c>
      <c r="D3180" s="360">
        <v>0.4</v>
      </c>
      <c r="E3180" s="528"/>
      <c r="F3180" s="523"/>
      <c r="G3180" s="393"/>
      <c r="H3180" s="394"/>
      <c r="I3180" s="394"/>
      <c r="J3180" s="394"/>
      <c r="K3180" s="394"/>
      <c r="L3180" s="394"/>
      <c r="M3180" s="394"/>
      <c r="N3180" s="394"/>
      <c r="O3180" s="394"/>
      <c r="P3180" s="394"/>
      <c r="Q3180" s="394"/>
      <c r="R3180" s="381"/>
      <c r="S3180" s="408"/>
      <c r="T3180" s="385"/>
      <c r="U3180" s="475"/>
      <c r="V3180" s="395"/>
      <c r="W3180" s="395"/>
      <c r="X3180" s="528"/>
      <c r="Y3180" s="523"/>
      <c r="Z3180" s="393"/>
      <c r="AA3180" s="394"/>
      <c r="AB3180" s="394"/>
      <c r="AC3180" s="394"/>
      <c r="AD3180" s="394"/>
      <c r="AE3180" s="394"/>
      <c r="AF3180" s="394"/>
      <c r="AG3180" s="394"/>
      <c r="AH3180" s="394"/>
      <c r="AI3180" s="394"/>
      <c r="AJ3180" s="394"/>
      <c r="AK3180" s="381"/>
      <c r="AL3180" s="408"/>
      <c r="AM3180" s="385"/>
      <c r="AN3180" s="475"/>
      <c r="AO3180" s="395"/>
      <c r="AP3180" s="395"/>
      <c r="AQ3180" s="528"/>
      <c r="AR3180" s="523">
        <v>1</v>
      </c>
      <c r="AS3180" s="393"/>
      <c r="AT3180" s="600">
        <v>19.534009999999999</v>
      </c>
      <c r="AU3180" s="394">
        <v>16.28303</v>
      </c>
      <c r="AV3180" s="394">
        <v>15.33263</v>
      </c>
      <c r="AW3180" s="394"/>
      <c r="AX3180" s="394"/>
      <c r="AY3180" s="394">
        <v>0</v>
      </c>
      <c r="AZ3180" s="394">
        <v>0</v>
      </c>
      <c r="BA3180" s="394">
        <v>0.75790000000000002</v>
      </c>
      <c r="BB3180" s="394">
        <v>15.33263</v>
      </c>
      <c r="BC3180" s="394"/>
      <c r="BD3180" s="381" t="s">
        <v>167</v>
      </c>
      <c r="BE3180" s="408" t="s">
        <v>175</v>
      </c>
      <c r="BF3180" s="385"/>
      <c r="BG3180" s="475">
        <v>1140</v>
      </c>
      <c r="BH3180" s="395"/>
      <c r="BI3180" s="395">
        <f t="shared" si="1230"/>
        <v>19.534009999999999</v>
      </c>
    </row>
    <row r="3181" spans="1:61" s="358" customFormat="1" ht="19.2" x14ac:dyDescent="0.3">
      <c r="A3181" s="359" t="s">
        <v>2134</v>
      </c>
      <c r="B3181" s="602" t="s">
        <v>5950</v>
      </c>
      <c r="C3181" s="548" t="s">
        <v>5951</v>
      </c>
      <c r="D3181" s="360">
        <v>0.4</v>
      </c>
      <c r="E3181" s="528"/>
      <c r="F3181" s="523"/>
      <c r="G3181" s="393"/>
      <c r="H3181" s="394"/>
      <c r="I3181" s="394"/>
      <c r="J3181" s="394"/>
      <c r="K3181" s="394"/>
      <c r="L3181" s="394"/>
      <c r="M3181" s="394"/>
      <c r="N3181" s="394"/>
      <c r="O3181" s="394"/>
      <c r="P3181" s="394"/>
      <c r="Q3181" s="394"/>
      <c r="R3181" s="381"/>
      <c r="S3181" s="408"/>
      <c r="T3181" s="385"/>
      <c r="U3181" s="475"/>
      <c r="V3181" s="395"/>
      <c r="W3181" s="395"/>
      <c r="X3181" s="528"/>
      <c r="Y3181" s="523"/>
      <c r="Z3181" s="393"/>
      <c r="AA3181" s="394"/>
      <c r="AB3181" s="394"/>
      <c r="AC3181" s="394"/>
      <c r="AD3181" s="394"/>
      <c r="AE3181" s="394"/>
      <c r="AF3181" s="394"/>
      <c r="AG3181" s="394"/>
      <c r="AH3181" s="394"/>
      <c r="AI3181" s="394"/>
      <c r="AJ3181" s="394"/>
      <c r="AK3181" s="381"/>
      <c r="AL3181" s="408"/>
      <c r="AM3181" s="385"/>
      <c r="AN3181" s="475"/>
      <c r="AO3181" s="395"/>
      <c r="AP3181" s="395"/>
      <c r="AQ3181" s="528"/>
      <c r="AR3181" s="523">
        <v>1</v>
      </c>
      <c r="AS3181" s="393"/>
      <c r="AT3181" s="600">
        <v>20.21069</v>
      </c>
      <c r="AU3181" s="394">
        <v>16.959710000000001</v>
      </c>
      <c r="AV3181" s="394">
        <v>15.3363</v>
      </c>
      <c r="AW3181" s="394"/>
      <c r="AX3181" s="394"/>
      <c r="AY3181" s="394">
        <v>0</v>
      </c>
      <c r="AZ3181" s="394">
        <v>0</v>
      </c>
      <c r="BA3181" s="394">
        <v>0.75790000000000002</v>
      </c>
      <c r="BB3181" s="394">
        <v>15.3363</v>
      </c>
      <c r="BC3181" s="394"/>
      <c r="BD3181" s="381" t="s">
        <v>167</v>
      </c>
      <c r="BE3181" s="408" t="s">
        <v>175</v>
      </c>
      <c r="BF3181" s="385"/>
      <c r="BG3181" s="475">
        <v>1141</v>
      </c>
      <c r="BH3181" s="395"/>
      <c r="BI3181" s="395">
        <f t="shared" ref="BI3181" si="1240">AT3181/AR3181</f>
        <v>20.21069</v>
      </c>
    </row>
    <row r="3182" spans="1:61" s="358" customFormat="1" ht="19.2" x14ac:dyDescent="0.3">
      <c r="A3182" s="359" t="s">
        <v>2135</v>
      </c>
      <c r="B3182" s="602" t="s">
        <v>5950</v>
      </c>
      <c r="C3182" s="548" t="s">
        <v>5952</v>
      </c>
      <c r="D3182" s="360">
        <v>0.4</v>
      </c>
      <c r="E3182" s="528"/>
      <c r="F3182" s="523"/>
      <c r="G3182" s="393"/>
      <c r="H3182" s="394"/>
      <c r="I3182" s="394"/>
      <c r="J3182" s="394"/>
      <c r="K3182" s="394"/>
      <c r="L3182" s="394"/>
      <c r="M3182" s="394"/>
      <c r="N3182" s="394"/>
      <c r="O3182" s="394"/>
      <c r="P3182" s="394"/>
      <c r="Q3182" s="394"/>
      <c r="R3182" s="381"/>
      <c r="S3182" s="408"/>
      <c r="T3182" s="385"/>
      <c r="U3182" s="475"/>
      <c r="V3182" s="395"/>
      <c r="W3182" s="395"/>
      <c r="X3182" s="528"/>
      <c r="Y3182" s="523"/>
      <c r="Z3182" s="393"/>
      <c r="AA3182" s="394"/>
      <c r="AB3182" s="394"/>
      <c r="AC3182" s="394"/>
      <c r="AD3182" s="394"/>
      <c r="AE3182" s="394"/>
      <c r="AF3182" s="394"/>
      <c r="AG3182" s="394"/>
      <c r="AH3182" s="394"/>
      <c r="AI3182" s="394"/>
      <c r="AJ3182" s="394"/>
      <c r="AK3182" s="381"/>
      <c r="AL3182" s="408"/>
      <c r="AM3182" s="385"/>
      <c r="AN3182" s="475"/>
      <c r="AO3182" s="395"/>
      <c r="AP3182" s="395"/>
      <c r="AQ3182" s="528"/>
      <c r="AR3182" s="523">
        <v>1</v>
      </c>
      <c r="AS3182" s="393"/>
      <c r="AT3182" s="600">
        <v>20.21069</v>
      </c>
      <c r="AU3182" s="394">
        <v>16.959710000000001</v>
      </c>
      <c r="AV3182" s="394">
        <v>15.3363</v>
      </c>
      <c r="AW3182" s="394"/>
      <c r="AX3182" s="394"/>
      <c r="AY3182" s="394">
        <v>0</v>
      </c>
      <c r="AZ3182" s="394">
        <v>0</v>
      </c>
      <c r="BA3182" s="394">
        <v>0.75790000000000002</v>
      </c>
      <c r="BB3182" s="394">
        <v>15.3363</v>
      </c>
      <c r="BC3182" s="394"/>
      <c r="BD3182" s="381" t="s">
        <v>167</v>
      </c>
      <c r="BE3182" s="408" t="s">
        <v>175</v>
      </c>
      <c r="BF3182" s="385"/>
      <c r="BG3182" s="475">
        <v>1142</v>
      </c>
      <c r="BH3182" s="395"/>
      <c r="BI3182" s="395">
        <f t="shared" si="1230"/>
        <v>20.21069</v>
      </c>
    </row>
    <row r="3183" spans="1:61" s="358" customFormat="1" ht="19.2" x14ac:dyDescent="0.3">
      <c r="A3183" s="359" t="s">
        <v>2136</v>
      </c>
      <c r="B3183" s="602" t="s">
        <v>5950</v>
      </c>
      <c r="C3183" s="548" t="s">
        <v>5953</v>
      </c>
      <c r="D3183" s="360">
        <v>0.4</v>
      </c>
      <c r="E3183" s="528"/>
      <c r="F3183" s="523"/>
      <c r="G3183" s="393"/>
      <c r="H3183" s="394"/>
      <c r="I3183" s="394"/>
      <c r="J3183" s="394"/>
      <c r="K3183" s="394"/>
      <c r="L3183" s="394"/>
      <c r="M3183" s="394"/>
      <c r="N3183" s="394"/>
      <c r="O3183" s="394"/>
      <c r="P3183" s="394"/>
      <c r="Q3183" s="394"/>
      <c r="R3183" s="381"/>
      <c r="S3183" s="408"/>
      <c r="T3183" s="385"/>
      <c r="U3183" s="475"/>
      <c r="V3183" s="395"/>
      <c r="W3183" s="395"/>
      <c r="X3183" s="528"/>
      <c r="Y3183" s="523"/>
      <c r="Z3183" s="393"/>
      <c r="AA3183" s="394"/>
      <c r="AB3183" s="394"/>
      <c r="AC3183" s="394"/>
      <c r="AD3183" s="394"/>
      <c r="AE3183" s="394"/>
      <c r="AF3183" s="394"/>
      <c r="AG3183" s="394"/>
      <c r="AH3183" s="394"/>
      <c r="AI3183" s="394"/>
      <c r="AJ3183" s="394"/>
      <c r="AK3183" s="381"/>
      <c r="AL3183" s="408"/>
      <c r="AM3183" s="385"/>
      <c r="AN3183" s="475"/>
      <c r="AO3183" s="395"/>
      <c r="AP3183" s="395"/>
      <c r="AQ3183" s="528"/>
      <c r="AR3183" s="523">
        <v>1</v>
      </c>
      <c r="AS3183" s="393"/>
      <c r="AT3183" s="600">
        <v>20.21068</v>
      </c>
      <c r="AU3183" s="394">
        <v>16.959700000000002</v>
      </c>
      <c r="AV3183" s="394">
        <v>15.3363</v>
      </c>
      <c r="AW3183" s="394"/>
      <c r="AX3183" s="394"/>
      <c r="AY3183" s="394">
        <v>0</v>
      </c>
      <c r="AZ3183" s="394">
        <v>0</v>
      </c>
      <c r="BA3183" s="394">
        <v>0.75790000000000002</v>
      </c>
      <c r="BB3183" s="394">
        <v>15.3363</v>
      </c>
      <c r="BC3183" s="394"/>
      <c r="BD3183" s="381" t="s">
        <v>167</v>
      </c>
      <c r="BE3183" s="408" t="s">
        <v>175</v>
      </c>
      <c r="BF3183" s="385"/>
      <c r="BG3183" s="475">
        <v>1143</v>
      </c>
      <c r="BH3183" s="395"/>
      <c r="BI3183" s="395">
        <f t="shared" ref="BI3183" si="1241">AT3183/AR3183</f>
        <v>20.21068</v>
      </c>
    </row>
    <row r="3184" spans="1:61" s="358" customFormat="1" ht="19.2" x14ac:dyDescent="0.3">
      <c r="A3184" s="359" t="s">
        <v>2137</v>
      </c>
      <c r="B3184" s="602" t="s">
        <v>5954</v>
      </c>
      <c r="C3184" s="548" t="s">
        <v>5955</v>
      </c>
      <c r="D3184" s="360">
        <v>0.4</v>
      </c>
      <c r="E3184" s="528"/>
      <c r="F3184" s="523"/>
      <c r="G3184" s="393"/>
      <c r="H3184" s="394"/>
      <c r="I3184" s="394"/>
      <c r="J3184" s="394"/>
      <c r="K3184" s="394"/>
      <c r="L3184" s="394"/>
      <c r="M3184" s="394"/>
      <c r="N3184" s="394"/>
      <c r="O3184" s="394"/>
      <c r="P3184" s="394"/>
      <c r="Q3184" s="394"/>
      <c r="R3184" s="381"/>
      <c r="S3184" s="408"/>
      <c r="T3184" s="385"/>
      <c r="U3184" s="475"/>
      <c r="V3184" s="395"/>
      <c r="W3184" s="395"/>
      <c r="X3184" s="528"/>
      <c r="Y3184" s="523"/>
      <c r="Z3184" s="393"/>
      <c r="AA3184" s="394"/>
      <c r="AB3184" s="394"/>
      <c r="AC3184" s="394"/>
      <c r="AD3184" s="394"/>
      <c r="AE3184" s="394"/>
      <c r="AF3184" s="394"/>
      <c r="AG3184" s="394"/>
      <c r="AH3184" s="394"/>
      <c r="AI3184" s="394"/>
      <c r="AJ3184" s="394"/>
      <c r="AK3184" s="381"/>
      <c r="AL3184" s="408"/>
      <c r="AM3184" s="385"/>
      <c r="AN3184" s="475"/>
      <c r="AO3184" s="395"/>
      <c r="AP3184" s="395"/>
      <c r="AQ3184" s="528"/>
      <c r="AR3184" s="523">
        <v>1</v>
      </c>
      <c r="AS3184" s="393"/>
      <c r="AT3184" s="600">
        <v>19.534009999999999</v>
      </c>
      <c r="AU3184" s="394">
        <v>16.28303</v>
      </c>
      <c r="AV3184" s="394">
        <v>15.33263</v>
      </c>
      <c r="AW3184" s="394"/>
      <c r="AX3184" s="394"/>
      <c r="AY3184" s="394">
        <v>0</v>
      </c>
      <c r="AZ3184" s="394">
        <v>0</v>
      </c>
      <c r="BA3184" s="394">
        <v>0.75790000000000002</v>
      </c>
      <c r="BB3184" s="394">
        <v>15.33263</v>
      </c>
      <c r="BC3184" s="394"/>
      <c r="BD3184" s="381" t="s">
        <v>167</v>
      </c>
      <c r="BE3184" s="408" t="s">
        <v>175</v>
      </c>
      <c r="BF3184" s="385"/>
      <c r="BG3184" s="475">
        <v>1144</v>
      </c>
      <c r="BH3184" s="395"/>
      <c r="BI3184" s="395">
        <f t="shared" si="1230"/>
        <v>19.534009999999999</v>
      </c>
    </row>
    <row r="3185" spans="1:61" s="358" customFormat="1" ht="19.2" x14ac:dyDescent="0.3">
      <c r="A3185" s="359" t="s">
        <v>2138</v>
      </c>
      <c r="B3185" s="602" t="s">
        <v>5956</v>
      </c>
      <c r="C3185" s="548" t="s">
        <v>5957</v>
      </c>
      <c r="D3185" s="360">
        <v>0.4</v>
      </c>
      <c r="E3185" s="528"/>
      <c r="F3185" s="523"/>
      <c r="G3185" s="393"/>
      <c r="H3185" s="394"/>
      <c r="I3185" s="394"/>
      <c r="J3185" s="394"/>
      <c r="K3185" s="394"/>
      <c r="L3185" s="394"/>
      <c r="M3185" s="394"/>
      <c r="N3185" s="394"/>
      <c r="O3185" s="394"/>
      <c r="P3185" s="394"/>
      <c r="Q3185" s="394"/>
      <c r="R3185" s="381"/>
      <c r="S3185" s="408"/>
      <c r="T3185" s="385"/>
      <c r="U3185" s="475"/>
      <c r="V3185" s="395"/>
      <c r="W3185" s="395"/>
      <c r="X3185" s="528"/>
      <c r="Y3185" s="523"/>
      <c r="Z3185" s="393"/>
      <c r="AA3185" s="394"/>
      <c r="AB3185" s="394"/>
      <c r="AC3185" s="394"/>
      <c r="AD3185" s="394"/>
      <c r="AE3185" s="394"/>
      <c r="AF3185" s="394"/>
      <c r="AG3185" s="394"/>
      <c r="AH3185" s="394"/>
      <c r="AI3185" s="394"/>
      <c r="AJ3185" s="394"/>
      <c r="AK3185" s="381"/>
      <c r="AL3185" s="408"/>
      <c r="AM3185" s="385"/>
      <c r="AN3185" s="475"/>
      <c r="AO3185" s="395"/>
      <c r="AP3185" s="395"/>
      <c r="AQ3185" s="528"/>
      <c r="AR3185" s="523">
        <v>1</v>
      </c>
      <c r="AS3185" s="393"/>
      <c r="AT3185" s="600">
        <v>19.534009999999999</v>
      </c>
      <c r="AU3185" s="394">
        <v>16.28303</v>
      </c>
      <c r="AV3185" s="394">
        <v>15.33263</v>
      </c>
      <c r="AW3185" s="394"/>
      <c r="AX3185" s="394"/>
      <c r="AY3185" s="394">
        <v>0</v>
      </c>
      <c r="AZ3185" s="394">
        <v>0</v>
      </c>
      <c r="BA3185" s="394">
        <v>0.75790000000000002</v>
      </c>
      <c r="BB3185" s="394">
        <v>15.33263</v>
      </c>
      <c r="BC3185" s="394"/>
      <c r="BD3185" s="381" t="s">
        <v>167</v>
      </c>
      <c r="BE3185" s="408" t="s">
        <v>175</v>
      </c>
      <c r="BF3185" s="385"/>
      <c r="BG3185" s="475">
        <v>1145</v>
      </c>
      <c r="BH3185" s="395"/>
      <c r="BI3185" s="395">
        <f t="shared" ref="BI3185" si="1242">AT3185/AR3185</f>
        <v>19.534009999999999</v>
      </c>
    </row>
    <row r="3186" spans="1:61" s="358" customFormat="1" ht="19.2" x14ac:dyDescent="0.3">
      <c r="A3186" s="359" t="s">
        <v>2139</v>
      </c>
      <c r="B3186" s="602" t="s">
        <v>5958</v>
      </c>
      <c r="C3186" s="548" t="s">
        <v>5959</v>
      </c>
      <c r="D3186" s="360">
        <v>0.4</v>
      </c>
      <c r="E3186" s="528"/>
      <c r="F3186" s="523"/>
      <c r="G3186" s="393"/>
      <c r="H3186" s="394"/>
      <c r="I3186" s="394"/>
      <c r="J3186" s="394"/>
      <c r="K3186" s="394"/>
      <c r="L3186" s="394"/>
      <c r="M3186" s="394"/>
      <c r="N3186" s="394"/>
      <c r="O3186" s="394"/>
      <c r="P3186" s="394"/>
      <c r="Q3186" s="394"/>
      <c r="R3186" s="381"/>
      <c r="S3186" s="408"/>
      <c r="T3186" s="385"/>
      <c r="U3186" s="475"/>
      <c r="V3186" s="395"/>
      <c r="W3186" s="395"/>
      <c r="X3186" s="528"/>
      <c r="Y3186" s="523"/>
      <c r="Z3186" s="393"/>
      <c r="AA3186" s="394"/>
      <c r="AB3186" s="394"/>
      <c r="AC3186" s="394"/>
      <c r="AD3186" s="394"/>
      <c r="AE3186" s="394"/>
      <c r="AF3186" s="394"/>
      <c r="AG3186" s="394"/>
      <c r="AH3186" s="394"/>
      <c r="AI3186" s="394"/>
      <c r="AJ3186" s="394"/>
      <c r="AK3186" s="381"/>
      <c r="AL3186" s="408"/>
      <c r="AM3186" s="385"/>
      <c r="AN3186" s="475"/>
      <c r="AO3186" s="395"/>
      <c r="AP3186" s="395"/>
      <c r="AQ3186" s="528"/>
      <c r="AR3186" s="523">
        <v>1</v>
      </c>
      <c r="AS3186" s="393"/>
      <c r="AT3186" s="600">
        <v>19.534020000000002</v>
      </c>
      <c r="AU3186" s="394">
        <v>16.28304</v>
      </c>
      <c r="AV3186" s="394">
        <v>15.33263</v>
      </c>
      <c r="AW3186" s="394"/>
      <c r="AX3186" s="394"/>
      <c r="AY3186" s="394">
        <v>0</v>
      </c>
      <c r="AZ3186" s="394">
        <v>0</v>
      </c>
      <c r="BA3186" s="394">
        <v>0.75790000000000002</v>
      </c>
      <c r="BB3186" s="394">
        <v>15.33263</v>
      </c>
      <c r="BC3186" s="394"/>
      <c r="BD3186" s="381" t="s">
        <v>167</v>
      </c>
      <c r="BE3186" s="408" t="s">
        <v>175</v>
      </c>
      <c r="BF3186" s="385"/>
      <c r="BG3186" s="475">
        <v>1146</v>
      </c>
      <c r="BH3186" s="395"/>
      <c r="BI3186" s="395">
        <f t="shared" si="1230"/>
        <v>19.534020000000002</v>
      </c>
    </row>
    <row r="3187" spans="1:61" s="358" customFormat="1" ht="19.2" x14ac:dyDescent="0.3">
      <c r="A3187" s="359" t="s">
        <v>2140</v>
      </c>
      <c r="B3187" s="602" t="s">
        <v>5960</v>
      </c>
      <c r="C3187" s="548" t="s">
        <v>5961</v>
      </c>
      <c r="D3187" s="360">
        <v>0.4</v>
      </c>
      <c r="E3187" s="528"/>
      <c r="F3187" s="523"/>
      <c r="G3187" s="393"/>
      <c r="H3187" s="394"/>
      <c r="I3187" s="394"/>
      <c r="J3187" s="394"/>
      <c r="K3187" s="394"/>
      <c r="L3187" s="394"/>
      <c r="M3187" s="394"/>
      <c r="N3187" s="394"/>
      <c r="O3187" s="394"/>
      <c r="P3187" s="394"/>
      <c r="Q3187" s="394"/>
      <c r="R3187" s="381"/>
      <c r="S3187" s="408"/>
      <c r="T3187" s="385"/>
      <c r="U3187" s="475"/>
      <c r="V3187" s="395"/>
      <c r="W3187" s="395"/>
      <c r="X3187" s="528"/>
      <c r="Y3187" s="523"/>
      <c r="Z3187" s="393"/>
      <c r="AA3187" s="394"/>
      <c r="AB3187" s="394"/>
      <c r="AC3187" s="394"/>
      <c r="AD3187" s="394"/>
      <c r="AE3187" s="394"/>
      <c r="AF3187" s="394"/>
      <c r="AG3187" s="394"/>
      <c r="AH3187" s="394"/>
      <c r="AI3187" s="394"/>
      <c r="AJ3187" s="394"/>
      <c r="AK3187" s="381"/>
      <c r="AL3187" s="408"/>
      <c r="AM3187" s="385"/>
      <c r="AN3187" s="475"/>
      <c r="AO3187" s="395"/>
      <c r="AP3187" s="395"/>
      <c r="AQ3187" s="528"/>
      <c r="AR3187" s="523">
        <v>1</v>
      </c>
      <c r="AS3187" s="393"/>
      <c r="AT3187" s="600">
        <v>19.534020000000002</v>
      </c>
      <c r="AU3187" s="394">
        <v>16.28304</v>
      </c>
      <c r="AV3187" s="394">
        <v>15.33263</v>
      </c>
      <c r="AW3187" s="394"/>
      <c r="AX3187" s="394"/>
      <c r="AY3187" s="394">
        <v>0</v>
      </c>
      <c r="AZ3187" s="394">
        <v>0</v>
      </c>
      <c r="BA3187" s="394">
        <v>0.75790000000000002</v>
      </c>
      <c r="BB3187" s="394">
        <v>15.33263</v>
      </c>
      <c r="BC3187" s="394"/>
      <c r="BD3187" s="381" t="s">
        <v>167</v>
      </c>
      <c r="BE3187" s="408" t="s">
        <v>175</v>
      </c>
      <c r="BF3187" s="385"/>
      <c r="BG3187" s="475">
        <v>1147</v>
      </c>
      <c r="BH3187" s="395"/>
      <c r="BI3187" s="395">
        <f t="shared" ref="BI3187" si="1243">AT3187/AR3187</f>
        <v>19.534020000000002</v>
      </c>
    </row>
    <row r="3188" spans="1:61" s="358" customFormat="1" ht="19.2" x14ac:dyDescent="0.3">
      <c r="A3188" s="359" t="s">
        <v>2141</v>
      </c>
      <c r="B3188" s="602" t="s">
        <v>5962</v>
      </c>
      <c r="C3188" s="548" t="s">
        <v>5963</v>
      </c>
      <c r="D3188" s="360">
        <v>0.4</v>
      </c>
      <c r="E3188" s="528"/>
      <c r="F3188" s="523"/>
      <c r="G3188" s="393"/>
      <c r="H3188" s="394"/>
      <c r="I3188" s="394"/>
      <c r="J3188" s="394"/>
      <c r="K3188" s="394"/>
      <c r="L3188" s="394"/>
      <c r="M3188" s="394"/>
      <c r="N3188" s="394"/>
      <c r="O3188" s="394"/>
      <c r="P3188" s="394"/>
      <c r="Q3188" s="394"/>
      <c r="R3188" s="381"/>
      <c r="S3188" s="408"/>
      <c r="T3188" s="385"/>
      <c r="U3188" s="475"/>
      <c r="V3188" s="395"/>
      <c r="W3188" s="395"/>
      <c r="X3188" s="528"/>
      <c r="Y3188" s="523"/>
      <c r="Z3188" s="393"/>
      <c r="AA3188" s="394"/>
      <c r="AB3188" s="394"/>
      <c r="AC3188" s="394"/>
      <c r="AD3188" s="394"/>
      <c r="AE3188" s="394"/>
      <c r="AF3188" s="394"/>
      <c r="AG3188" s="394"/>
      <c r="AH3188" s="394"/>
      <c r="AI3188" s="394"/>
      <c r="AJ3188" s="394"/>
      <c r="AK3188" s="381"/>
      <c r="AL3188" s="408"/>
      <c r="AM3188" s="385"/>
      <c r="AN3188" s="475"/>
      <c r="AO3188" s="395"/>
      <c r="AP3188" s="395"/>
      <c r="AQ3188" s="528"/>
      <c r="AR3188" s="523">
        <v>1</v>
      </c>
      <c r="AS3188" s="393"/>
      <c r="AT3188" s="600">
        <v>19.534020000000002</v>
      </c>
      <c r="AU3188" s="394">
        <v>16.28304</v>
      </c>
      <c r="AV3188" s="394">
        <v>15.33263</v>
      </c>
      <c r="AW3188" s="394"/>
      <c r="AX3188" s="394"/>
      <c r="AY3188" s="394">
        <v>0</v>
      </c>
      <c r="AZ3188" s="394">
        <v>0</v>
      </c>
      <c r="BA3188" s="394">
        <v>0.75790000000000002</v>
      </c>
      <c r="BB3188" s="394">
        <v>15.33263</v>
      </c>
      <c r="BC3188" s="394"/>
      <c r="BD3188" s="381" t="s">
        <v>167</v>
      </c>
      <c r="BE3188" s="408" t="s">
        <v>175</v>
      </c>
      <c r="BF3188" s="385"/>
      <c r="BG3188" s="475">
        <v>1148</v>
      </c>
      <c r="BH3188" s="395"/>
      <c r="BI3188" s="395">
        <f t="shared" si="1230"/>
        <v>19.534020000000002</v>
      </c>
    </row>
    <row r="3189" spans="1:61" s="358" customFormat="1" ht="19.2" x14ac:dyDescent="0.3">
      <c r="A3189" s="359" t="s">
        <v>2142</v>
      </c>
      <c r="B3189" s="602" t="s">
        <v>5964</v>
      </c>
      <c r="C3189" s="548" t="s">
        <v>5965</v>
      </c>
      <c r="D3189" s="360">
        <v>0.4</v>
      </c>
      <c r="E3189" s="528"/>
      <c r="F3189" s="523"/>
      <c r="G3189" s="393"/>
      <c r="H3189" s="394"/>
      <c r="I3189" s="394"/>
      <c r="J3189" s="394"/>
      <c r="K3189" s="394"/>
      <c r="L3189" s="394"/>
      <c r="M3189" s="394"/>
      <c r="N3189" s="394"/>
      <c r="O3189" s="394"/>
      <c r="P3189" s="394"/>
      <c r="Q3189" s="394"/>
      <c r="R3189" s="381"/>
      <c r="S3189" s="408"/>
      <c r="T3189" s="385"/>
      <c r="U3189" s="475"/>
      <c r="V3189" s="395"/>
      <c r="W3189" s="395"/>
      <c r="X3189" s="528"/>
      <c r="Y3189" s="523"/>
      <c r="Z3189" s="393"/>
      <c r="AA3189" s="394"/>
      <c r="AB3189" s="394"/>
      <c r="AC3189" s="394"/>
      <c r="AD3189" s="394"/>
      <c r="AE3189" s="394"/>
      <c r="AF3189" s="394"/>
      <c r="AG3189" s="394"/>
      <c r="AH3189" s="394"/>
      <c r="AI3189" s="394"/>
      <c r="AJ3189" s="394"/>
      <c r="AK3189" s="381"/>
      <c r="AL3189" s="408"/>
      <c r="AM3189" s="385"/>
      <c r="AN3189" s="475"/>
      <c r="AO3189" s="395"/>
      <c r="AP3189" s="395"/>
      <c r="AQ3189" s="528"/>
      <c r="AR3189" s="523">
        <v>1</v>
      </c>
      <c r="AS3189" s="393"/>
      <c r="AT3189" s="600">
        <v>19.534009999999999</v>
      </c>
      <c r="AU3189" s="394">
        <v>16.28303</v>
      </c>
      <c r="AV3189" s="394">
        <v>15.33263</v>
      </c>
      <c r="AW3189" s="394"/>
      <c r="AX3189" s="394"/>
      <c r="AY3189" s="394">
        <v>0</v>
      </c>
      <c r="AZ3189" s="394">
        <v>0</v>
      </c>
      <c r="BA3189" s="394">
        <v>0.75790000000000002</v>
      </c>
      <c r="BB3189" s="394">
        <v>15.33263</v>
      </c>
      <c r="BC3189" s="394"/>
      <c r="BD3189" s="381" t="s">
        <v>167</v>
      </c>
      <c r="BE3189" s="408" t="s">
        <v>175</v>
      </c>
      <c r="BF3189" s="385"/>
      <c r="BG3189" s="475">
        <v>1149</v>
      </c>
      <c r="BH3189" s="395"/>
      <c r="BI3189" s="395">
        <f t="shared" ref="BI3189" si="1244">AT3189/AR3189</f>
        <v>19.534009999999999</v>
      </c>
    </row>
    <row r="3190" spans="1:61" s="358" customFormat="1" ht="19.2" x14ac:dyDescent="0.3">
      <c r="A3190" s="359" t="s">
        <v>2143</v>
      </c>
      <c r="B3190" s="602" t="s">
        <v>5966</v>
      </c>
      <c r="C3190" s="548" t="s">
        <v>5967</v>
      </c>
      <c r="D3190" s="360">
        <v>0.4</v>
      </c>
      <c r="E3190" s="528"/>
      <c r="F3190" s="523"/>
      <c r="G3190" s="393"/>
      <c r="H3190" s="394"/>
      <c r="I3190" s="394"/>
      <c r="J3190" s="394"/>
      <c r="K3190" s="394"/>
      <c r="L3190" s="394"/>
      <c r="M3190" s="394"/>
      <c r="N3190" s="394"/>
      <c r="O3190" s="394"/>
      <c r="P3190" s="394"/>
      <c r="Q3190" s="394"/>
      <c r="R3190" s="381"/>
      <c r="S3190" s="408"/>
      <c r="T3190" s="385"/>
      <c r="U3190" s="475"/>
      <c r="V3190" s="395"/>
      <c r="W3190" s="395"/>
      <c r="X3190" s="528"/>
      <c r="Y3190" s="523"/>
      <c r="Z3190" s="393"/>
      <c r="AA3190" s="394"/>
      <c r="AB3190" s="394"/>
      <c r="AC3190" s="394"/>
      <c r="AD3190" s="394"/>
      <c r="AE3190" s="394"/>
      <c r="AF3190" s="394"/>
      <c r="AG3190" s="394"/>
      <c r="AH3190" s="394"/>
      <c r="AI3190" s="394"/>
      <c r="AJ3190" s="394"/>
      <c r="AK3190" s="381"/>
      <c r="AL3190" s="408"/>
      <c r="AM3190" s="385"/>
      <c r="AN3190" s="475"/>
      <c r="AO3190" s="395"/>
      <c r="AP3190" s="395"/>
      <c r="AQ3190" s="528"/>
      <c r="AR3190" s="523">
        <v>1</v>
      </c>
      <c r="AS3190" s="393"/>
      <c r="AT3190" s="600">
        <v>20.21068</v>
      </c>
      <c r="AU3190" s="394">
        <v>16.959700000000002</v>
      </c>
      <c r="AV3190" s="394">
        <v>15.3363</v>
      </c>
      <c r="AW3190" s="394"/>
      <c r="AX3190" s="394"/>
      <c r="AY3190" s="394">
        <v>0</v>
      </c>
      <c r="AZ3190" s="394">
        <v>0</v>
      </c>
      <c r="BA3190" s="394">
        <v>0.75790000000000002</v>
      </c>
      <c r="BB3190" s="394">
        <v>15.3363</v>
      </c>
      <c r="BC3190" s="394"/>
      <c r="BD3190" s="381" t="s">
        <v>167</v>
      </c>
      <c r="BE3190" s="408" t="s">
        <v>175</v>
      </c>
      <c r="BF3190" s="385"/>
      <c r="BG3190" s="475">
        <v>1150</v>
      </c>
      <c r="BH3190" s="395"/>
      <c r="BI3190" s="395">
        <f t="shared" si="1230"/>
        <v>20.21068</v>
      </c>
    </row>
    <row r="3191" spans="1:61" s="358" customFormat="1" ht="19.2" x14ac:dyDescent="0.3">
      <c r="A3191" s="359" t="s">
        <v>2144</v>
      </c>
      <c r="B3191" s="602" t="s">
        <v>5950</v>
      </c>
      <c r="C3191" s="548" t="s">
        <v>5968</v>
      </c>
      <c r="D3191" s="360">
        <v>0.4</v>
      </c>
      <c r="E3191" s="528"/>
      <c r="F3191" s="523"/>
      <c r="G3191" s="393"/>
      <c r="H3191" s="394"/>
      <c r="I3191" s="394"/>
      <c r="J3191" s="394"/>
      <c r="K3191" s="394"/>
      <c r="L3191" s="394"/>
      <c r="M3191" s="394"/>
      <c r="N3191" s="394"/>
      <c r="O3191" s="394"/>
      <c r="P3191" s="394"/>
      <c r="Q3191" s="394"/>
      <c r="R3191" s="381"/>
      <c r="S3191" s="408"/>
      <c r="T3191" s="385"/>
      <c r="U3191" s="475"/>
      <c r="V3191" s="395"/>
      <c r="W3191" s="395"/>
      <c r="X3191" s="528"/>
      <c r="Y3191" s="523"/>
      <c r="Z3191" s="393"/>
      <c r="AA3191" s="394"/>
      <c r="AB3191" s="394"/>
      <c r="AC3191" s="394"/>
      <c r="AD3191" s="394"/>
      <c r="AE3191" s="394"/>
      <c r="AF3191" s="394"/>
      <c r="AG3191" s="394"/>
      <c r="AH3191" s="394"/>
      <c r="AI3191" s="394"/>
      <c r="AJ3191" s="394"/>
      <c r="AK3191" s="381"/>
      <c r="AL3191" s="408"/>
      <c r="AM3191" s="385"/>
      <c r="AN3191" s="475"/>
      <c r="AO3191" s="395"/>
      <c r="AP3191" s="395"/>
      <c r="AQ3191" s="528"/>
      <c r="AR3191" s="523">
        <v>1</v>
      </c>
      <c r="AS3191" s="393"/>
      <c r="AT3191" s="600">
        <v>20.21068</v>
      </c>
      <c r="AU3191" s="394">
        <v>16.959700000000002</v>
      </c>
      <c r="AV3191" s="394">
        <v>15.3363</v>
      </c>
      <c r="AW3191" s="394"/>
      <c r="AX3191" s="394"/>
      <c r="AY3191" s="394">
        <v>0</v>
      </c>
      <c r="AZ3191" s="394">
        <v>0</v>
      </c>
      <c r="BA3191" s="394">
        <v>0.75790000000000002</v>
      </c>
      <c r="BB3191" s="394">
        <v>15.3363</v>
      </c>
      <c r="BC3191" s="394"/>
      <c r="BD3191" s="381" t="s">
        <v>167</v>
      </c>
      <c r="BE3191" s="408" t="s">
        <v>175</v>
      </c>
      <c r="BF3191" s="385"/>
      <c r="BG3191" s="475">
        <v>1151</v>
      </c>
      <c r="BH3191" s="395"/>
      <c r="BI3191" s="395">
        <f t="shared" ref="BI3191" si="1245">AT3191/AR3191</f>
        <v>20.21068</v>
      </c>
    </row>
    <row r="3192" spans="1:61" s="358" customFormat="1" ht="19.2" x14ac:dyDescent="0.3">
      <c r="A3192" s="359" t="s">
        <v>2145</v>
      </c>
      <c r="B3192" s="602" t="s">
        <v>5969</v>
      </c>
      <c r="C3192" s="548" t="s">
        <v>5970</v>
      </c>
      <c r="D3192" s="360">
        <v>0.4</v>
      </c>
      <c r="E3192" s="528"/>
      <c r="F3192" s="523"/>
      <c r="G3192" s="393"/>
      <c r="H3192" s="394"/>
      <c r="I3192" s="394"/>
      <c r="J3192" s="394"/>
      <c r="K3192" s="394"/>
      <c r="L3192" s="394"/>
      <c r="M3192" s="394"/>
      <c r="N3192" s="394"/>
      <c r="O3192" s="394"/>
      <c r="P3192" s="394"/>
      <c r="Q3192" s="394"/>
      <c r="R3192" s="381"/>
      <c r="S3192" s="408"/>
      <c r="T3192" s="385"/>
      <c r="U3192" s="475"/>
      <c r="V3192" s="395"/>
      <c r="W3192" s="395"/>
      <c r="X3192" s="528"/>
      <c r="Y3192" s="523"/>
      <c r="Z3192" s="393"/>
      <c r="AA3192" s="394"/>
      <c r="AB3192" s="394"/>
      <c r="AC3192" s="394"/>
      <c r="AD3192" s="394"/>
      <c r="AE3192" s="394"/>
      <c r="AF3192" s="394"/>
      <c r="AG3192" s="394"/>
      <c r="AH3192" s="394"/>
      <c r="AI3192" s="394"/>
      <c r="AJ3192" s="394"/>
      <c r="AK3192" s="381"/>
      <c r="AL3192" s="408"/>
      <c r="AM3192" s="385"/>
      <c r="AN3192" s="475"/>
      <c r="AO3192" s="395"/>
      <c r="AP3192" s="395"/>
      <c r="AQ3192" s="528"/>
      <c r="AR3192" s="523">
        <v>1</v>
      </c>
      <c r="AS3192" s="393"/>
      <c r="AT3192" s="600">
        <v>19.534009999999999</v>
      </c>
      <c r="AU3192" s="394">
        <v>16.28303</v>
      </c>
      <c r="AV3192" s="394">
        <v>15.33263</v>
      </c>
      <c r="AW3192" s="394"/>
      <c r="AX3192" s="394"/>
      <c r="AY3192" s="394">
        <v>0</v>
      </c>
      <c r="AZ3192" s="394">
        <v>0</v>
      </c>
      <c r="BA3192" s="394">
        <v>0.75790000000000002</v>
      </c>
      <c r="BB3192" s="394">
        <v>15.33263</v>
      </c>
      <c r="BC3192" s="394"/>
      <c r="BD3192" s="381" t="s">
        <v>167</v>
      </c>
      <c r="BE3192" s="408" t="s">
        <v>175</v>
      </c>
      <c r="BF3192" s="385"/>
      <c r="BG3192" s="475">
        <v>1152</v>
      </c>
      <c r="BH3192" s="395"/>
      <c r="BI3192" s="395">
        <f t="shared" si="1230"/>
        <v>19.534009999999999</v>
      </c>
    </row>
    <row r="3193" spans="1:61" s="358" customFormat="1" ht="19.2" x14ac:dyDescent="0.3">
      <c r="A3193" s="359" t="s">
        <v>2146</v>
      </c>
      <c r="B3193" s="602" t="s">
        <v>5971</v>
      </c>
      <c r="C3193" s="548" t="s">
        <v>5972</v>
      </c>
      <c r="D3193" s="360">
        <v>0.4</v>
      </c>
      <c r="E3193" s="528"/>
      <c r="F3193" s="523"/>
      <c r="G3193" s="393"/>
      <c r="H3193" s="394"/>
      <c r="I3193" s="394"/>
      <c r="J3193" s="394"/>
      <c r="K3193" s="394"/>
      <c r="L3193" s="394"/>
      <c r="M3193" s="394"/>
      <c r="N3193" s="394"/>
      <c r="O3193" s="394"/>
      <c r="P3193" s="394"/>
      <c r="Q3193" s="394"/>
      <c r="R3193" s="381"/>
      <c r="S3193" s="408"/>
      <c r="T3193" s="385"/>
      <c r="U3193" s="475"/>
      <c r="V3193" s="395"/>
      <c r="W3193" s="395"/>
      <c r="X3193" s="528"/>
      <c r="Y3193" s="523"/>
      <c r="Z3193" s="393"/>
      <c r="AA3193" s="394"/>
      <c r="AB3193" s="394"/>
      <c r="AC3193" s="394"/>
      <c r="AD3193" s="394"/>
      <c r="AE3193" s="394"/>
      <c r="AF3193" s="394"/>
      <c r="AG3193" s="394"/>
      <c r="AH3193" s="394"/>
      <c r="AI3193" s="394"/>
      <c r="AJ3193" s="394"/>
      <c r="AK3193" s="381"/>
      <c r="AL3193" s="408"/>
      <c r="AM3193" s="385"/>
      <c r="AN3193" s="475"/>
      <c r="AO3193" s="395"/>
      <c r="AP3193" s="395"/>
      <c r="AQ3193" s="528"/>
      <c r="AR3193" s="523">
        <v>1</v>
      </c>
      <c r="AS3193" s="393"/>
      <c r="AT3193" s="600">
        <v>19.534020000000002</v>
      </c>
      <c r="AU3193" s="394">
        <v>16.28304</v>
      </c>
      <c r="AV3193" s="394">
        <v>15.33263</v>
      </c>
      <c r="AW3193" s="394"/>
      <c r="AX3193" s="394"/>
      <c r="AY3193" s="394">
        <v>0</v>
      </c>
      <c r="AZ3193" s="394">
        <v>0</v>
      </c>
      <c r="BA3193" s="394">
        <v>0.75790000000000002</v>
      </c>
      <c r="BB3193" s="394">
        <v>15.33263</v>
      </c>
      <c r="BC3193" s="394"/>
      <c r="BD3193" s="381" t="s">
        <v>167</v>
      </c>
      <c r="BE3193" s="408" t="s">
        <v>175</v>
      </c>
      <c r="BF3193" s="385"/>
      <c r="BG3193" s="475">
        <v>1153</v>
      </c>
      <c r="BH3193" s="395"/>
      <c r="BI3193" s="395">
        <f t="shared" ref="BI3193" si="1246">AT3193/AR3193</f>
        <v>19.534020000000002</v>
      </c>
    </row>
    <row r="3194" spans="1:61" s="358" customFormat="1" ht="19.2" x14ac:dyDescent="0.3">
      <c r="A3194" s="359" t="s">
        <v>2147</v>
      </c>
      <c r="B3194" s="602" t="s">
        <v>5973</v>
      </c>
      <c r="C3194" s="548" t="s">
        <v>5974</v>
      </c>
      <c r="D3194" s="360">
        <v>0.4</v>
      </c>
      <c r="E3194" s="528"/>
      <c r="F3194" s="523"/>
      <c r="G3194" s="393"/>
      <c r="H3194" s="394"/>
      <c r="I3194" s="394"/>
      <c r="J3194" s="394"/>
      <c r="K3194" s="394"/>
      <c r="L3194" s="394"/>
      <c r="M3194" s="394"/>
      <c r="N3194" s="394"/>
      <c r="O3194" s="394"/>
      <c r="P3194" s="394"/>
      <c r="Q3194" s="394"/>
      <c r="R3194" s="381"/>
      <c r="S3194" s="408"/>
      <c r="T3194" s="385"/>
      <c r="U3194" s="475"/>
      <c r="V3194" s="395"/>
      <c r="W3194" s="395"/>
      <c r="X3194" s="528"/>
      <c r="Y3194" s="523"/>
      <c r="Z3194" s="393"/>
      <c r="AA3194" s="394"/>
      <c r="AB3194" s="394"/>
      <c r="AC3194" s="394"/>
      <c r="AD3194" s="394"/>
      <c r="AE3194" s="394"/>
      <c r="AF3194" s="394"/>
      <c r="AG3194" s="394"/>
      <c r="AH3194" s="394"/>
      <c r="AI3194" s="394"/>
      <c r="AJ3194" s="394"/>
      <c r="AK3194" s="381"/>
      <c r="AL3194" s="408"/>
      <c r="AM3194" s="385"/>
      <c r="AN3194" s="475"/>
      <c r="AO3194" s="395"/>
      <c r="AP3194" s="395"/>
      <c r="AQ3194" s="528"/>
      <c r="AR3194" s="523">
        <v>1</v>
      </c>
      <c r="AS3194" s="393"/>
      <c r="AT3194" s="600">
        <v>20.21068</v>
      </c>
      <c r="AU3194" s="394">
        <v>16.959700000000002</v>
      </c>
      <c r="AV3194" s="394">
        <v>15.3363</v>
      </c>
      <c r="AW3194" s="394"/>
      <c r="AX3194" s="394"/>
      <c r="AY3194" s="394">
        <v>0</v>
      </c>
      <c r="AZ3194" s="394">
        <v>0</v>
      </c>
      <c r="BA3194" s="394">
        <v>0.75790000000000002</v>
      </c>
      <c r="BB3194" s="394">
        <v>15.3363</v>
      </c>
      <c r="BC3194" s="394"/>
      <c r="BD3194" s="381" t="s">
        <v>167</v>
      </c>
      <c r="BE3194" s="408" t="s">
        <v>175</v>
      </c>
      <c r="BF3194" s="385"/>
      <c r="BG3194" s="475">
        <v>1154</v>
      </c>
      <c r="BH3194" s="395"/>
      <c r="BI3194" s="395">
        <f t="shared" si="1230"/>
        <v>20.21068</v>
      </c>
    </row>
    <row r="3195" spans="1:61" s="358" customFormat="1" ht="19.2" x14ac:dyDescent="0.3">
      <c r="A3195" s="359" t="s">
        <v>2148</v>
      </c>
      <c r="B3195" s="602" t="s">
        <v>5975</v>
      </c>
      <c r="C3195" s="548" t="s">
        <v>5976</v>
      </c>
      <c r="D3195" s="360">
        <v>0.4</v>
      </c>
      <c r="E3195" s="528"/>
      <c r="F3195" s="523"/>
      <c r="G3195" s="393"/>
      <c r="H3195" s="394"/>
      <c r="I3195" s="394"/>
      <c r="J3195" s="394"/>
      <c r="K3195" s="394"/>
      <c r="L3195" s="394"/>
      <c r="M3195" s="394"/>
      <c r="N3195" s="394"/>
      <c r="O3195" s="394"/>
      <c r="P3195" s="394"/>
      <c r="Q3195" s="394"/>
      <c r="R3195" s="381"/>
      <c r="S3195" s="408"/>
      <c r="T3195" s="385"/>
      <c r="U3195" s="475"/>
      <c r="V3195" s="395"/>
      <c r="W3195" s="395"/>
      <c r="X3195" s="528"/>
      <c r="Y3195" s="523"/>
      <c r="Z3195" s="393"/>
      <c r="AA3195" s="394"/>
      <c r="AB3195" s="394"/>
      <c r="AC3195" s="394"/>
      <c r="AD3195" s="394"/>
      <c r="AE3195" s="394"/>
      <c r="AF3195" s="394"/>
      <c r="AG3195" s="394"/>
      <c r="AH3195" s="394"/>
      <c r="AI3195" s="394"/>
      <c r="AJ3195" s="394"/>
      <c r="AK3195" s="381"/>
      <c r="AL3195" s="408"/>
      <c r="AM3195" s="385"/>
      <c r="AN3195" s="475"/>
      <c r="AO3195" s="395"/>
      <c r="AP3195" s="395"/>
      <c r="AQ3195" s="528"/>
      <c r="AR3195" s="523">
        <v>1</v>
      </c>
      <c r="AS3195" s="393"/>
      <c r="AT3195" s="600">
        <v>19.534009999999999</v>
      </c>
      <c r="AU3195" s="394">
        <v>16.28303</v>
      </c>
      <c r="AV3195" s="394">
        <v>15.33263</v>
      </c>
      <c r="AW3195" s="394"/>
      <c r="AX3195" s="394"/>
      <c r="AY3195" s="394">
        <v>0</v>
      </c>
      <c r="AZ3195" s="394">
        <v>0</v>
      </c>
      <c r="BA3195" s="394">
        <v>0.75790000000000002</v>
      </c>
      <c r="BB3195" s="394">
        <v>15.33263</v>
      </c>
      <c r="BC3195" s="394"/>
      <c r="BD3195" s="381" t="s">
        <v>167</v>
      </c>
      <c r="BE3195" s="408" t="s">
        <v>175</v>
      </c>
      <c r="BF3195" s="385"/>
      <c r="BG3195" s="475">
        <v>1155</v>
      </c>
      <c r="BH3195" s="395"/>
      <c r="BI3195" s="395">
        <f t="shared" ref="BI3195" si="1247">AT3195/AR3195</f>
        <v>19.534009999999999</v>
      </c>
    </row>
    <row r="3196" spans="1:61" s="358" customFormat="1" ht="19.2" x14ac:dyDescent="0.3">
      <c r="A3196" s="359" t="s">
        <v>2149</v>
      </c>
      <c r="B3196" s="602" t="s">
        <v>5977</v>
      </c>
      <c r="C3196" s="548" t="s">
        <v>5978</v>
      </c>
      <c r="D3196" s="360">
        <v>0.4</v>
      </c>
      <c r="E3196" s="528"/>
      <c r="F3196" s="523"/>
      <c r="G3196" s="393"/>
      <c r="H3196" s="394"/>
      <c r="I3196" s="394"/>
      <c r="J3196" s="394"/>
      <c r="K3196" s="394"/>
      <c r="L3196" s="394"/>
      <c r="M3196" s="394"/>
      <c r="N3196" s="394"/>
      <c r="O3196" s="394"/>
      <c r="P3196" s="394"/>
      <c r="Q3196" s="394"/>
      <c r="R3196" s="381"/>
      <c r="S3196" s="408"/>
      <c r="T3196" s="385"/>
      <c r="U3196" s="475"/>
      <c r="V3196" s="395"/>
      <c r="W3196" s="395"/>
      <c r="X3196" s="528"/>
      <c r="Y3196" s="523"/>
      <c r="Z3196" s="393"/>
      <c r="AA3196" s="394"/>
      <c r="AB3196" s="394"/>
      <c r="AC3196" s="394"/>
      <c r="AD3196" s="394"/>
      <c r="AE3196" s="394"/>
      <c r="AF3196" s="394"/>
      <c r="AG3196" s="394"/>
      <c r="AH3196" s="394"/>
      <c r="AI3196" s="394"/>
      <c r="AJ3196" s="394"/>
      <c r="AK3196" s="381"/>
      <c r="AL3196" s="408"/>
      <c r="AM3196" s="385"/>
      <c r="AN3196" s="475"/>
      <c r="AO3196" s="395"/>
      <c r="AP3196" s="395"/>
      <c r="AQ3196" s="528"/>
      <c r="AR3196" s="523">
        <v>1</v>
      </c>
      <c r="AS3196" s="393"/>
      <c r="AT3196" s="600">
        <v>19.534009999999999</v>
      </c>
      <c r="AU3196" s="394">
        <v>16.28303</v>
      </c>
      <c r="AV3196" s="394">
        <v>15.33263</v>
      </c>
      <c r="AW3196" s="394"/>
      <c r="AX3196" s="394"/>
      <c r="AY3196" s="394">
        <v>0</v>
      </c>
      <c r="AZ3196" s="394">
        <v>0</v>
      </c>
      <c r="BA3196" s="394">
        <v>0.75790000000000002</v>
      </c>
      <c r="BB3196" s="394">
        <v>15.33263</v>
      </c>
      <c r="BC3196" s="394"/>
      <c r="BD3196" s="381" t="s">
        <v>167</v>
      </c>
      <c r="BE3196" s="408" t="s">
        <v>175</v>
      </c>
      <c r="BF3196" s="385"/>
      <c r="BG3196" s="475">
        <v>1156</v>
      </c>
      <c r="BH3196" s="395"/>
      <c r="BI3196" s="395">
        <f t="shared" si="1230"/>
        <v>19.534009999999999</v>
      </c>
    </row>
    <row r="3197" spans="1:61" s="358" customFormat="1" ht="19.2" x14ac:dyDescent="0.3">
      <c r="A3197" s="359" t="s">
        <v>2150</v>
      </c>
      <c r="B3197" s="602" t="s">
        <v>5979</v>
      </c>
      <c r="C3197" s="548" t="s">
        <v>5980</v>
      </c>
      <c r="D3197" s="360">
        <v>0.4</v>
      </c>
      <c r="E3197" s="528"/>
      <c r="F3197" s="523"/>
      <c r="G3197" s="393"/>
      <c r="H3197" s="394"/>
      <c r="I3197" s="394"/>
      <c r="J3197" s="394"/>
      <c r="K3197" s="394"/>
      <c r="L3197" s="394"/>
      <c r="M3197" s="394"/>
      <c r="N3197" s="394"/>
      <c r="O3197" s="394"/>
      <c r="P3197" s="394"/>
      <c r="Q3197" s="394"/>
      <c r="R3197" s="381"/>
      <c r="S3197" s="408"/>
      <c r="T3197" s="385"/>
      <c r="U3197" s="475"/>
      <c r="V3197" s="395"/>
      <c r="W3197" s="395"/>
      <c r="X3197" s="528"/>
      <c r="Y3197" s="523"/>
      <c r="Z3197" s="393"/>
      <c r="AA3197" s="394"/>
      <c r="AB3197" s="394"/>
      <c r="AC3197" s="394"/>
      <c r="AD3197" s="394"/>
      <c r="AE3197" s="394"/>
      <c r="AF3197" s="394"/>
      <c r="AG3197" s="394"/>
      <c r="AH3197" s="394"/>
      <c r="AI3197" s="394"/>
      <c r="AJ3197" s="394"/>
      <c r="AK3197" s="381"/>
      <c r="AL3197" s="408"/>
      <c r="AM3197" s="385"/>
      <c r="AN3197" s="475"/>
      <c r="AO3197" s="395"/>
      <c r="AP3197" s="395"/>
      <c r="AQ3197" s="528"/>
      <c r="AR3197" s="523">
        <v>1</v>
      </c>
      <c r="AS3197" s="393"/>
      <c r="AT3197" s="600">
        <v>19.534009999999999</v>
      </c>
      <c r="AU3197" s="394">
        <v>16.28303</v>
      </c>
      <c r="AV3197" s="394">
        <v>15.33263</v>
      </c>
      <c r="AW3197" s="394"/>
      <c r="AX3197" s="394"/>
      <c r="AY3197" s="394">
        <v>0</v>
      </c>
      <c r="AZ3197" s="394">
        <v>0</v>
      </c>
      <c r="BA3197" s="394">
        <v>0.75790000000000002</v>
      </c>
      <c r="BB3197" s="394">
        <v>15.33263</v>
      </c>
      <c r="BC3197" s="394"/>
      <c r="BD3197" s="381" t="s">
        <v>167</v>
      </c>
      <c r="BE3197" s="408" t="s">
        <v>175</v>
      </c>
      <c r="BF3197" s="385"/>
      <c r="BG3197" s="475">
        <v>1157</v>
      </c>
      <c r="BH3197" s="395"/>
      <c r="BI3197" s="395">
        <f t="shared" si="1224"/>
        <v>19.534009999999999</v>
      </c>
    </row>
    <row r="3198" spans="1:61" s="358" customFormat="1" ht="19.2" x14ac:dyDescent="0.3">
      <c r="A3198" s="359" t="s">
        <v>2151</v>
      </c>
      <c r="B3198" s="602" t="s">
        <v>5981</v>
      </c>
      <c r="C3198" s="548" t="s">
        <v>5982</v>
      </c>
      <c r="D3198" s="360">
        <v>0.4</v>
      </c>
      <c r="E3198" s="528"/>
      <c r="F3198" s="523"/>
      <c r="G3198" s="393"/>
      <c r="H3198" s="394"/>
      <c r="I3198" s="394"/>
      <c r="J3198" s="394"/>
      <c r="K3198" s="394"/>
      <c r="L3198" s="394"/>
      <c r="M3198" s="394"/>
      <c r="N3198" s="394"/>
      <c r="O3198" s="394"/>
      <c r="P3198" s="394"/>
      <c r="Q3198" s="394"/>
      <c r="R3198" s="381"/>
      <c r="S3198" s="408"/>
      <c r="T3198" s="385"/>
      <c r="U3198" s="475"/>
      <c r="V3198" s="395"/>
      <c r="W3198" s="395"/>
      <c r="X3198" s="528"/>
      <c r="Y3198" s="523"/>
      <c r="Z3198" s="393"/>
      <c r="AA3198" s="394"/>
      <c r="AB3198" s="394"/>
      <c r="AC3198" s="394"/>
      <c r="AD3198" s="394"/>
      <c r="AE3198" s="394"/>
      <c r="AF3198" s="394"/>
      <c r="AG3198" s="394"/>
      <c r="AH3198" s="394"/>
      <c r="AI3198" s="394"/>
      <c r="AJ3198" s="394"/>
      <c r="AK3198" s="381"/>
      <c r="AL3198" s="408"/>
      <c r="AM3198" s="385"/>
      <c r="AN3198" s="475"/>
      <c r="AO3198" s="395"/>
      <c r="AP3198" s="395"/>
      <c r="AQ3198" s="528"/>
      <c r="AR3198" s="523">
        <v>1</v>
      </c>
      <c r="AS3198" s="393"/>
      <c r="AT3198" s="600">
        <v>19.534009999999999</v>
      </c>
      <c r="AU3198" s="394">
        <v>16.28303</v>
      </c>
      <c r="AV3198" s="394">
        <v>15.33263</v>
      </c>
      <c r="AW3198" s="394"/>
      <c r="AX3198" s="394"/>
      <c r="AY3198" s="394">
        <v>0</v>
      </c>
      <c r="AZ3198" s="394">
        <v>0</v>
      </c>
      <c r="BA3198" s="394">
        <v>0.75790000000000002</v>
      </c>
      <c r="BB3198" s="394">
        <v>15.33263</v>
      </c>
      <c r="BC3198" s="394"/>
      <c r="BD3198" s="381" t="s">
        <v>167</v>
      </c>
      <c r="BE3198" s="408" t="s">
        <v>175</v>
      </c>
      <c r="BF3198" s="385"/>
      <c r="BG3198" s="475">
        <v>1158</v>
      </c>
      <c r="BH3198" s="395"/>
      <c r="BI3198" s="395">
        <f t="shared" ref="BI3198" si="1248">AT3198/AR3198</f>
        <v>19.534009999999999</v>
      </c>
    </row>
    <row r="3199" spans="1:61" s="358" customFormat="1" ht="19.2" x14ac:dyDescent="0.3">
      <c r="A3199" s="359" t="s">
        <v>2152</v>
      </c>
      <c r="B3199" s="602" t="s">
        <v>5983</v>
      </c>
      <c r="C3199" s="548" t="s">
        <v>5984</v>
      </c>
      <c r="D3199" s="360">
        <v>0.4</v>
      </c>
      <c r="E3199" s="528"/>
      <c r="F3199" s="523"/>
      <c r="G3199" s="393"/>
      <c r="H3199" s="394"/>
      <c r="I3199" s="394"/>
      <c r="J3199" s="394"/>
      <c r="K3199" s="394"/>
      <c r="L3199" s="394"/>
      <c r="M3199" s="394"/>
      <c r="N3199" s="394"/>
      <c r="O3199" s="394"/>
      <c r="P3199" s="394"/>
      <c r="Q3199" s="394"/>
      <c r="R3199" s="381"/>
      <c r="S3199" s="408"/>
      <c r="T3199" s="385"/>
      <c r="U3199" s="475"/>
      <c r="V3199" s="395"/>
      <c r="W3199" s="395"/>
      <c r="X3199" s="528"/>
      <c r="Y3199" s="523"/>
      <c r="Z3199" s="393"/>
      <c r="AA3199" s="394"/>
      <c r="AB3199" s="394"/>
      <c r="AC3199" s="394"/>
      <c r="AD3199" s="394"/>
      <c r="AE3199" s="394"/>
      <c r="AF3199" s="394"/>
      <c r="AG3199" s="394"/>
      <c r="AH3199" s="394"/>
      <c r="AI3199" s="394"/>
      <c r="AJ3199" s="394"/>
      <c r="AK3199" s="381"/>
      <c r="AL3199" s="408"/>
      <c r="AM3199" s="385"/>
      <c r="AN3199" s="475"/>
      <c r="AO3199" s="395"/>
      <c r="AP3199" s="395"/>
      <c r="AQ3199" s="528"/>
      <c r="AR3199" s="523">
        <v>1</v>
      </c>
      <c r="AS3199" s="393"/>
      <c r="AT3199" s="600">
        <v>20.21068</v>
      </c>
      <c r="AU3199" s="394">
        <v>16.959700000000002</v>
      </c>
      <c r="AV3199" s="394">
        <v>15.3363</v>
      </c>
      <c r="AW3199" s="394"/>
      <c r="AX3199" s="394"/>
      <c r="AY3199" s="394">
        <v>0</v>
      </c>
      <c r="AZ3199" s="394">
        <v>0</v>
      </c>
      <c r="BA3199" s="394">
        <v>0.75790000000000002</v>
      </c>
      <c r="BB3199" s="394">
        <v>15.3363</v>
      </c>
      <c r="BC3199" s="394"/>
      <c r="BD3199" s="381" t="s">
        <v>167</v>
      </c>
      <c r="BE3199" s="408" t="s">
        <v>175</v>
      </c>
      <c r="BF3199" s="385"/>
      <c r="BG3199" s="475">
        <v>1159</v>
      </c>
      <c r="BH3199" s="395"/>
      <c r="BI3199" s="395">
        <f t="shared" si="1224"/>
        <v>20.21068</v>
      </c>
    </row>
    <row r="3200" spans="1:61" s="358" customFormat="1" ht="19.2" x14ac:dyDescent="0.3">
      <c r="A3200" s="359" t="s">
        <v>2153</v>
      </c>
      <c r="B3200" s="602" t="s">
        <v>5985</v>
      </c>
      <c r="C3200" s="548" t="s">
        <v>5986</v>
      </c>
      <c r="D3200" s="360">
        <v>0.4</v>
      </c>
      <c r="E3200" s="528"/>
      <c r="F3200" s="523"/>
      <c r="G3200" s="393"/>
      <c r="H3200" s="394"/>
      <c r="I3200" s="394"/>
      <c r="J3200" s="394"/>
      <c r="K3200" s="394"/>
      <c r="L3200" s="394"/>
      <c r="M3200" s="394"/>
      <c r="N3200" s="394"/>
      <c r="O3200" s="394"/>
      <c r="P3200" s="394"/>
      <c r="Q3200" s="394"/>
      <c r="R3200" s="381"/>
      <c r="S3200" s="408"/>
      <c r="T3200" s="385"/>
      <c r="U3200" s="475"/>
      <c r="V3200" s="395"/>
      <c r="W3200" s="395"/>
      <c r="X3200" s="528"/>
      <c r="Y3200" s="523"/>
      <c r="Z3200" s="393"/>
      <c r="AA3200" s="394"/>
      <c r="AB3200" s="394"/>
      <c r="AC3200" s="394"/>
      <c r="AD3200" s="394"/>
      <c r="AE3200" s="394"/>
      <c r="AF3200" s="394"/>
      <c r="AG3200" s="394"/>
      <c r="AH3200" s="394"/>
      <c r="AI3200" s="394"/>
      <c r="AJ3200" s="394"/>
      <c r="AK3200" s="381"/>
      <c r="AL3200" s="408"/>
      <c r="AM3200" s="385"/>
      <c r="AN3200" s="475"/>
      <c r="AO3200" s="395"/>
      <c r="AP3200" s="395"/>
      <c r="AQ3200" s="528"/>
      <c r="AR3200" s="523">
        <v>1</v>
      </c>
      <c r="AS3200" s="393"/>
      <c r="AT3200" s="600">
        <v>15.198259999999999</v>
      </c>
      <c r="AU3200" s="394">
        <v>13.33325</v>
      </c>
      <c r="AV3200" s="394">
        <v>13.3271</v>
      </c>
      <c r="AW3200" s="394"/>
      <c r="AX3200" s="394"/>
      <c r="AY3200" s="394">
        <v>0</v>
      </c>
      <c r="AZ3200" s="394">
        <v>0</v>
      </c>
      <c r="BA3200" s="394">
        <v>0.43479000000000001</v>
      </c>
      <c r="BB3200" s="394">
        <v>13.3271</v>
      </c>
      <c r="BC3200" s="394"/>
      <c r="BD3200" s="381" t="s">
        <v>167</v>
      </c>
      <c r="BE3200" s="408" t="s">
        <v>175</v>
      </c>
      <c r="BF3200" s="385"/>
      <c r="BG3200" s="475">
        <v>1160</v>
      </c>
      <c r="BH3200" s="395"/>
      <c r="BI3200" s="395">
        <f t="shared" ref="BI3200" si="1249">AT3200/AR3200</f>
        <v>15.198259999999999</v>
      </c>
    </row>
    <row r="3201" spans="1:61" s="358" customFormat="1" ht="19.2" x14ac:dyDescent="0.3">
      <c r="A3201" s="359" t="s">
        <v>2154</v>
      </c>
      <c r="B3201" s="602" t="s">
        <v>5987</v>
      </c>
      <c r="C3201" s="548" t="s">
        <v>5988</v>
      </c>
      <c r="D3201" s="360">
        <v>0.4</v>
      </c>
      <c r="E3201" s="528"/>
      <c r="F3201" s="523"/>
      <c r="G3201" s="393"/>
      <c r="H3201" s="394"/>
      <c r="I3201" s="394"/>
      <c r="J3201" s="394"/>
      <c r="K3201" s="394"/>
      <c r="L3201" s="394"/>
      <c r="M3201" s="394"/>
      <c r="N3201" s="394"/>
      <c r="O3201" s="394"/>
      <c r="P3201" s="394"/>
      <c r="Q3201" s="394"/>
      <c r="R3201" s="381"/>
      <c r="S3201" s="408"/>
      <c r="T3201" s="385"/>
      <c r="U3201" s="475"/>
      <c r="V3201" s="395"/>
      <c r="W3201" s="395"/>
      <c r="X3201" s="528"/>
      <c r="Y3201" s="523"/>
      <c r="Z3201" s="393"/>
      <c r="AA3201" s="394"/>
      <c r="AB3201" s="394"/>
      <c r="AC3201" s="394"/>
      <c r="AD3201" s="394"/>
      <c r="AE3201" s="394"/>
      <c r="AF3201" s="394"/>
      <c r="AG3201" s="394"/>
      <c r="AH3201" s="394"/>
      <c r="AI3201" s="394"/>
      <c r="AJ3201" s="394"/>
      <c r="AK3201" s="381"/>
      <c r="AL3201" s="408"/>
      <c r="AM3201" s="385"/>
      <c r="AN3201" s="475"/>
      <c r="AO3201" s="395"/>
      <c r="AP3201" s="395"/>
      <c r="AQ3201" s="528"/>
      <c r="AR3201" s="523">
        <v>1</v>
      </c>
      <c r="AS3201" s="393"/>
      <c r="AT3201" s="600">
        <v>19.534009999999999</v>
      </c>
      <c r="AU3201" s="394">
        <v>16.28303</v>
      </c>
      <c r="AV3201" s="394">
        <v>15.33263</v>
      </c>
      <c r="AW3201" s="394"/>
      <c r="AX3201" s="394"/>
      <c r="AY3201" s="394">
        <v>0</v>
      </c>
      <c r="AZ3201" s="394">
        <v>0</v>
      </c>
      <c r="BA3201" s="394">
        <v>0.75790000000000002</v>
      </c>
      <c r="BB3201" s="394">
        <v>15.33263</v>
      </c>
      <c r="BC3201" s="394"/>
      <c r="BD3201" s="381" t="s">
        <v>167</v>
      </c>
      <c r="BE3201" s="408" t="s">
        <v>175</v>
      </c>
      <c r="BF3201" s="385"/>
      <c r="BG3201" s="475">
        <v>1161</v>
      </c>
      <c r="BH3201" s="395"/>
      <c r="BI3201" s="395">
        <f t="shared" si="1224"/>
        <v>19.534009999999999</v>
      </c>
    </row>
    <row r="3202" spans="1:61" s="358" customFormat="1" ht="19.2" x14ac:dyDescent="0.3">
      <c r="A3202" s="359" t="s">
        <v>2155</v>
      </c>
      <c r="B3202" s="602" t="s">
        <v>5989</v>
      </c>
      <c r="C3202" s="548" t="s">
        <v>5990</v>
      </c>
      <c r="D3202" s="360">
        <v>0.4</v>
      </c>
      <c r="E3202" s="528"/>
      <c r="F3202" s="523"/>
      <c r="G3202" s="393"/>
      <c r="H3202" s="394"/>
      <c r="I3202" s="394"/>
      <c r="J3202" s="394"/>
      <c r="K3202" s="394"/>
      <c r="L3202" s="394"/>
      <c r="M3202" s="394"/>
      <c r="N3202" s="394"/>
      <c r="O3202" s="394"/>
      <c r="P3202" s="394"/>
      <c r="Q3202" s="394"/>
      <c r="R3202" s="381"/>
      <c r="S3202" s="408"/>
      <c r="T3202" s="385"/>
      <c r="U3202" s="475"/>
      <c r="V3202" s="395"/>
      <c r="W3202" s="395"/>
      <c r="X3202" s="528"/>
      <c r="Y3202" s="523"/>
      <c r="Z3202" s="393"/>
      <c r="AA3202" s="394"/>
      <c r="AB3202" s="394"/>
      <c r="AC3202" s="394"/>
      <c r="AD3202" s="394"/>
      <c r="AE3202" s="394"/>
      <c r="AF3202" s="394"/>
      <c r="AG3202" s="394"/>
      <c r="AH3202" s="394"/>
      <c r="AI3202" s="394"/>
      <c r="AJ3202" s="394"/>
      <c r="AK3202" s="381"/>
      <c r="AL3202" s="408"/>
      <c r="AM3202" s="385"/>
      <c r="AN3202" s="475"/>
      <c r="AO3202" s="395"/>
      <c r="AP3202" s="395"/>
      <c r="AQ3202" s="528"/>
      <c r="AR3202" s="523">
        <v>1</v>
      </c>
      <c r="AS3202" s="393"/>
      <c r="AT3202" s="600">
        <v>19.534009999999999</v>
      </c>
      <c r="AU3202" s="394">
        <v>16.28303</v>
      </c>
      <c r="AV3202" s="394">
        <v>15.33263</v>
      </c>
      <c r="AW3202" s="394"/>
      <c r="AX3202" s="394"/>
      <c r="AY3202" s="394">
        <v>0</v>
      </c>
      <c r="AZ3202" s="394">
        <v>0</v>
      </c>
      <c r="BA3202" s="394">
        <v>0.75790000000000002</v>
      </c>
      <c r="BB3202" s="394">
        <v>15.33263</v>
      </c>
      <c r="BC3202" s="394"/>
      <c r="BD3202" s="381" t="s">
        <v>167</v>
      </c>
      <c r="BE3202" s="408" t="s">
        <v>175</v>
      </c>
      <c r="BF3202" s="385"/>
      <c r="BG3202" s="475">
        <v>1162</v>
      </c>
      <c r="BH3202" s="395"/>
      <c r="BI3202" s="395">
        <f t="shared" ref="BI3202" si="1250">AT3202/AR3202</f>
        <v>19.534009999999999</v>
      </c>
    </row>
    <row r="3203" spans="1:61" s="358" customFormat="1" ht="19.2" x14ac:dyDescent="0.3">
      <c r="A3203" s="359" t="s">
        <v>2156</v>
      </c>
      <c r="B3203" s="602" t="s">
        <v>1445</v>
      </c>
      <c r="C3203" s="548" t="s">
        <v>5991</v>
      </c>
      <c r="D3203" s="360">
        <v>0.4</v>
      </c>
      <c r="E3203" s="528"/>
      <c r="F3203" s="523"/>
      <c r="G3203" s="393"/>
      <c r="H3203" s="394"/>
      <c r="I3203" s="394"/>
      <c r="J3203" s="394"/>
      <c r="K3203" s="394"/>
      <c r="L3203" s="394"/>
      <c r="M3203" s="394"/>
      <c r="N3203" s="394"/>
      <c r="O3203" s="394"/>
      <c r="P3203" s="394"/>
      <c r="Q3203" s="394"/>
      <c r="R3203" s="381"/>
      <c r="S3203" s="408"/>
      <c r="T3203" s="385"/>
      <c r="U3203" s="475"/>
      <c r="V3203" s="395"/>
      <c r="W3203" s="395"/>
      <c r="X3203" s="528"/>
      <c r="Y3203" s="523"/>
      <c r="Z3203" s="393"/>
      <c r="AA3203" s="394"/>
      <c r="AB3203" s="394"/>
      <c r="AC3203" s="394"/>
      <c r="AD3203" s="394"/>
      <c r="AE3203" s="394"/>
      <c r="AF3203" s="394"/>
      <c r="AG3203" s="394"/>
      <c r="AH3203" s="394"/>
      <c r="AI3203" s="394"/>
      <c r="AJ3203" s="394"/>
      <c r="AK3203" s="381"/>
      <c r="AL3203" s="408"/>
      <c r="AM3203" s="385"/>
      <c r="AN3203" s="475"/>
      <c r="AO3203" s="395"/>
      <c r="AP3203" s="395"/>
      <c r="AQ3203" s="528"/>
      <c r="AR3203" s="523">
        <v>1</v>
      </c>
      <c r="AS3203" s="393"/>
      <c r="AT3203" s="600">
        <v>19.534009999999999</v>
      </c>
      <c r="AU3203" s="394">
        <v>16.28303</v>
      </c>
      <c r="AV3203" s="394">
        <v>15.33263</v>
      </c>
      <c r="AW3203" s="394"/>
      <c r="AX3203" s="394"/>
      <c r="AY3203" s="394">
        <v>0</v>
      </c>
      <c r="AZ3203" s="394">
        <v>0</v>
      </c>
      <c r="BA3203" s="394">
        <v>0.75790000000000002</v>
      </c>
      <c r="BB3203" s="394">
        <v>15.33263</v>
      </c>
      <c r="BC3203" s="394"/>
      <c r="BD3203" s="381" t="s">
        <v>167</v>
      </c>
      <c r="BE3203" s="408" t="s">
        <v>175</v>
      </c>
      <c r="BF3203" s="385"/>
      <c r="BG3203" s="475">
        <v>1163</v>
      </c>
      <c r="BH3203" s="395"/>
      <c r="BI3203" s="395">
        <f t="shared" si="1224"/>
        <v>19.534009999999999</v>
      </c>
    </row>
    <row r="3204" spans="1:61" s="358" customFormat="1" ht="19.2" x14ac:dyDescent="0.3">
      <c r="A3204" s="359" t="s">
        <v>2157</v>
      </c>
      <c r="B3204" s="602" t="s">
        <v>5992</v>
      </c>
      <c r="C3204" s="548" t="s">
        <v>5993</v>
      </c>
      <c r="D3204" s="360">
        <v>0.4</v>
      </c>
      <c r="E3204" s="528"/>
      <c r="F3204" s="523"/>
      <c r="G3204" s="393"/>
      <c r="H3204" s="394"/>
      <c r="I3204" s="394"/>
      <c r="J3204" s="394"/>
      <c r="K3204" s="394"/>
      <c r="L3204" s="394"/>
      <c r="M3204" s="394"/>
      <c r="N3204" s="394"/>
      <c r="O3204" s="394"/>
      <c r="P3204" s="394"/>
      <c r="Q3204" s="394"/>
      <c r="R3204" s="381"/>
      <c r="S3204" s="408"/>
      <c r="T3204" s="385"/>
      <c r="U3204" s="475"/>
      <c r="V3204" s="395"/>
      <c r="W3204" s="395"/>
      <c r="X3204" s="528"/>
      <c r="Y3204" s="523"/>
      <c r="Z3204" s="393"/>
      <c r="AA3204" s="394"/>
      <c r="AB3204" s="394"/>
      <c r="AC3204" s="394"/>
      <c r="AD3204" s="394"/>
      <c r="AE3204" s="394"/>
      <c r="AF3204" s="394"/>
      <c r="AG3204" s="394"/>
      <c r="AH3204" s="394"/>
      <c r="AI3204" s="394"/>
      <c r="AJ3204" s="394"/>
      <c r="AK3204" s="381"/>
      <c r="AL3204" s="408"/>
      <c r="AM3204" s="385"/>
      <c r="AN3204" s="475"/>
      <c r="AO3204" s="395"/>
      <c r="AP3204" s="395"/>
      <c r="AQ3204" s="528"/>
      <c r="AR3204" s="523">
        <v>1</v>
      </c>
      <c r="AS3204" s="393"/>
      <c r="AT3204" s="600">
        <v>19.534020000000002</v>
      </c>
      <c r="AU3204" s="394">
        <v>16.28304</v>
      </c>
      <c r="AV3204" s="394">
        <v>15.33263</v>
      </c>
      <c r="AW3204" s="394"/>
      <c r="AX3204" s="394"/>
      <c r="AY3204" s="394">
        <v>0</v>
      </c>
      <c r="AZ3204" s="394">
        <v>0</v>
      </c>
      <c r="BA3204" s="394">
        <v>0.75790000000000002</v>
      </c>
      <c r="BB3204" s="394">
        <v>15.33263</v>
      </c>
      <c r="BC3204" s="394"/>
      <c r="BD3204" s="381" t="s">
        <v>167</v>
      </c>
      <c r="BE3204" s="408" t="s">
        <v>175</v>
      </c>
      <c r="BF3204" s="385"/>
      <c r="BG3204" s="475">
        <v>1164</v>
      </c>
      <c r="BH3204" s="395"/>
      <c r="BI3204" s="395">
        <f t="shared" ref="BI3204" si="1251">AT3204/AR3204</f>
        <v>19.534020000000002</v>
      </c>
    </row>
    <row r="3205" spans="1:61" s="358" customFormat="1" ht="19.2" x14ac:dyDescent="0.3">
      <c r="A3205" s="359" t="s">
        <v>2158</v>
      </c>
      <c r="B3205" s="602" t="s">
        <v>5994</v>
      </c>
      <c r="C3205" s="548" t="s">
        <v>5995</v>
      </c>
      <c r="D3205" s="360">
        <v>0.4</v>
      </c>
      <c r="E3205" s="528"/>
      <c r="F3205" s="523"/>
      <c r="G3205" s="393"/>
      <c r="H3205" s="394"/>
      <c r="I3205" s="394"/>
      <c r="J3205" s="394"/>
      <c r="K3205" s="394"/>
      <c r="L3205" s="394"/>
      <c r="M3205" s="394"/>
      <c r="N3205" s="394"/>
      <c r="O3205" s="394"/>
      <c r="P3205" s="394"/>
      <c r="Q3205" s="394"/>
      <c r="R3205" s="381"/>
      <c r="S3205" s="408"/>
      <c r="T3205" s="385"/>
      <c r="U3205" s="475"/>
      <c r="V3205" s="395"/>
      <c r="W3205" s="395"/>
      <c r="X3205" s="528"/>
      <c r="Y3205" s="523"/>
      <c r="Z3205" s="393"/>
      <c r="AA3205" s="394"/>
      <c r="AB3205" s="394"/>
      <c r="AC3205" s="394"/>
      <c r="AD3205" s="394"/>
      <c r="AE3205" s="394"/>
      <c r="AF3205" s="394"/>
      <c r="AG3205" s="394"/>
      <c r="AH3205" s="394"/>
      <c r="AI3205" s="394"/>
      <c r="AJ3205" s="394"/>
      <c r="AK3205" s="381"/>
      <c r="AL3205" s="408"/>
      <c r="AM3205" s="385"/>
      <c r="AN3205" s="475"/>
      <c r="AO3205" s="395"/>
      <c r="AP3205" s="395"/>
      <c r="AQ3205" s="528"/>
      <c r="AR3205" s="523">
        <v>1</v>
      </c>
      <c r="AS3205" s="393"/>
      <c r="AT3205" s="600">
        <v>34.51146</v>
      </c>
      <c r="AU3205" s="394">
        <v>28.04954</v>
      </c>
      <c r="AV3205" s="394">
        <v>13.3271</v>
      </c>
      <c r="AW3205" s="394"/>
      <c r="AX3205" s="394"/>
      <c r="AY3205" s="394">
        <v>0</v>
      </c>
      <c r="AZ3205" s="394">
        <v>0</v>
      </c>
      <c r="BA3205" s="394">
        <v>1.5064599999999999</v>
      </c>
      <c r="BB3205" s="394">
        <v>13.3271</v>
      </c>
      <c r="BC3205" s="394"/>
      <c r="BD3205" s="381" t="s">
        <v>167</v>
      </c>
      <c r="BE3205" s="408" t="s">
        <v>175</v>
      </c>
      <c r="BF3205" s="385"/>
      <c r="BG3205" s="475">
        <v>1165</v>
      </c>
      <c r="BH3205" s="395"/>
      <c r="BI3205" s="395">
        <f t="shared" si="1224"/>
        <v>34.51146</v>
      </c>
    </row>
    <row r="3206" spans="1:61" s="358" customFormat="1" ht="19.2" x14ac:dyDescent="0.3">
      <c r="A3206" s="359" t="s">
        <v>2159</v>
      </c>
      <c r="B3206" s="602" t="s">
        <v>5996</v>
      </c>
      <c r="C3206" s="548" t="s">
        <v>5997</v>
      </c>
      <c r="D3206" s="360">
        <v>0.4</v>
      </c>
      <c r="E3206" s="528"/>
      <c r="F3206" s="523"/>
      <c r="G3206" s="393"/>
      <c r="H3206" s="394"/>
      <c r="I3206" s="394"/>
      <c r="J3206" s="394"/>
      <c r="K3206" s="394"/>
      <c r="L3206" s="394"/>
      <c r="M3206" s="394"/>
      <c r="N3206" s="394"/>
      <c r="O3206" s="394"/>
      <c r="P3206" s="394"/>
      <c r="Q3206" s="394"/>
      <c r="R3206" s="381"/>
      <c r="S3206" s="408"/>
      <c r="T3206" s="385"/>
      <c r="U3206" s="475"/>
      <c r="V3206" s="395"/>
      <c r="W3206" s="395"/>
      <c r="X3206" s="528"/>
      <c r="Y3206" s="523"/>
      <c r="Z3206" s="393"/>
      <c r="AA3206" s="394"/>
      <c r="AB3206" s="394"/>
      <c r="AC3206" s="394"/>
      <c r="AD3206" s="394"/>
      <c r="AE3206" s="394"/>
      <c r="AF3206" s="394"/>
      <c r="AG3206" s="394"/>
      <c r="AH3206" s="394"/>
      <c r="AI3206" s="394"/>
      <c r="AJ3206" s="394"/>
      <c r="AK3206" s="381"/>
      <c r="AL3206" s="408"/>
      <c r="AM3206" s="385"/>
      <c r="AN3206" s="475"/>
      <c r="AO3206" s="395"/>
      <c r="AP3206" s="395"/>
      <c r="AQ3206" s="528"/>
      <c r="AR3206" s="523">
        <v>1</v>
      </c>
      <c r="AS3206" s="393"/>
      <c r="AT3206" s="600">
        <v>19.534009999999999</v>
      </c>
      <c r="AU3206" s="394">
        <v>16.28303</v>
      </c>
      <c r="AV3206" s="394">
        <v>15.33263</v>
      </c>
      <c r="AW3206" s="394"/>
      <c r="AX3206" s="394"/>
      <c r="AY3206" s="394">
        <v>0</v>
      </c>
      <c r="AZ3206" s="394">
        <v>0</v>
      </c>
      <c r="BA3206" s="394">
        <v>0.75790000000000002</v>
      </c>
      <c r="BB3206" s="394">
        <v>15.33263</v>
      </c>
      <c r="BC3206" s="394"/>
      <c r="BD3206" s="381" t="s">
        <v>167</v>
      </c>
      <c r="BE3206" s="408" t="s">
        <v>175</v>
      </c>
      <c r="BF3206" s="385"/>
      <c r="BG3206" s="475">
        <v>1167</v>
      </c>
      <c r="BH3206" s="395"/>
      <c r="BI3206" s="395">
        <f t="shared" ref="BI3206" si="1252">AT3206/AR3206</f>
        <v>19.534009999999999</v>
      </c>
    </row>
    <row r="3207" spans="1:61" s="358" customFormat="1" ht="19.2" x14ac:dyDescent="0.3">
      <c r="A3207" s="359" t="s">
        <v>2160</v>
      </c>
      <c r="B3207" s="602" t="s">
        <v>5998</v>
      </c>
      <c r="C3207" s="548" t="s">
        <v>5999</v>
      </c>
      <c r="D3207" s="360">
        <v>0.4</v>
      </c>
      <c r="E3207" s="528"/>
      <c r="F3207" s="523"/>
      <c r="G3207" s="393"/>
      <c r="H3207" s="394"/>
      <c r="I3207" s="394"/>
      <c r="J3207" s="394"/>
      <c r="K3207" s="394"/>
      <c r="L3207" s="394"/>
      <c r="M3207" s="394"/>
      <c r="N3207" s="394"/>
      <c r="O3207" s="394"/>
      <c r="P3207" s="394"/>
      <c r="Q3207" s="394"/>
      <c r="R3207" s="381"/>
      <c r="S3207" s="408"/>
      <c r="T3207" s="385"/>
      <c r="U3207" s="475"/>
      <c r="V3207" s="395"/>
      <c r="W3207" s="395"/>
      <c r="X3207" s="528"/>
      <c r="Y3207" s="523"/>
      <c r="Z3207" s="393"/>
      <c r="AA3207" s="394"/>
      <c r="AB3207" s="394"/>
      <c r="AC3207" s="394"/>
      <c r="AD3207" s="394"/>
      <c r="AE3207" s="394"/>
      <c r="AF3207" s="394"/>
      <c r="AG3207" s="394"/>
      <c r="AH3207" s="394"/>
      <c r="AI3207" s="394"/>
      <c r="AJ3207" s="394"/>
      <c r="AK3207" s="381"/>
      <c r="AL3207" s="408"/>
      <c r="AM3207" s="385"/>
      <c r="AN3207" s="475"/>
      <c r="AO3207" s="395"/>
      <c r="AP3207" s="395"/>
      <c r="AQ3207" s="528"/>
      <c r="AR3207" s="523">
        <v>1</v>
      </c>
      <c r="AS3207" s="393"/>
      <c r="AT3207" s="600">
        <v>19.534009999999999</v>
      </c>
      <c r="AU3207" s="394">
        <v>16.28303</v>
      </c>
      <c r="AV3207" s="394">
        <v>15.33263</v>
      </c>
      <c r="AW3207" s="394"/>
      <c r="AX3207" s="394"/>
      <c r="AY3207" s="394">
        <v>0</v>
      </c>
      <c r="AZ3207" s="394">
        <v>0</v>
      </c>
      <c r="BA3207" s="394">
        <v>0.75790000000000002</v>
      </c>
      <c r="BB3207" s="394">
        <v>15.33263</v>
      </c>
      <c r="BC3207" s="394"/>
      <c r="BD3207" s="381" t="s">
        <v>167</v>
      </c>
      <c r="BE3207" s="408" t="s">
        <v>175</v>
      </c>
      <c r="BF3207" s="385"/>
      <c r="BG3207" s="475">
        <v>1168</v>
      </c>
      <c r="BH3207" s="395"/>
      <c r="BI3207" s="395">
        <f t="shared" si="1224"/>
        <v>19.534009999999999</v>
      </c>
    </row>
    <row r="3208" spans="1:61" s="358" customFormat="1" ht="19.2" x14ac:dyDescent="0.3">
      <c r="A3208" s="359" t="s">
        <v>2161</v>
      </c>
      <c r="B3208" s="602" t="s">
        <v>6000</v>
      </c>
      <c r="C3208" s="548" t="s">
        <v>6001</v>
      </c>
      <c r="D3208" s="360">
        <v>0.4</v>
      </c>
      <c r="E3208" s="528"/>
      <c r="F3208" s="523"/>
      <c r="G3208" s="393"/>
      <c r="H3208" s="394"/>
      <c r="I3208" s="394"/>
      <c r="J3208" s="394"/>
      <c r="K3208" s="394"/>
      <c r="L3208" s="394"/>
      <c r="M3208" s="394"/>
      <c r="N3208" s="394"/>
      <c r="O3208" s="394"/>
      <c r="P3208" s="394"/>
      <c r="Q3208" s="394"/>
      <c r="R3208" s="381"/>
      <c r="S3208" s="408"/>
      <c r="T3208" s="385"/>
      <c r="U3208" s="475"/>
      <c r="V3208" s="395"/>
      <c r="W3208" s="395"/>
      <c r="X3208" s="528"/>
      <c r="Y3208" s="523"/>
      <c r="Z3208" s="393"/>
      <c r="AA3208" s="394"/>
      <c r="AB3208" s="394"/>
      <c r="AC3208" s="394"/>
      <c r="AD3208" s="394"/>
      <c r="AE3208" s="394"/>
      <c r="AF3208" s="394"/>
      <c r="AG3208" s="394"/>
      <c r="AH3208" s="394"/>
      <c r="AI3208" s="394"/>
      <c r="AJ3208" s="394"/>
      <c r="AK3208" s="381"/>
      <c r="AL3208" s="408"/>
      <c r="AM3208" s="385"/>
      <c r="AN3208" s="475"/>
      <c r="AO3208" s="395"/>
      <c r="AP3208" s="395"/>
      <c r="AQ3208" s="528"/>
      <c r="AR3208" s="523">
        <v>1</v>
      </c>
      <c r="AS3208" s="393"/>
      <c r="AT3208" s="600">
        <v>19.534009999999999</v>
      </c>
      <c r="AU3208" s="394">
        <v>16.28303</v>
      </c>
      <c r="AV3208" s="394">
        <v>15.33263</v>
      </c>
      <c r="AW3208" s="394"/>
      <c r="AX3208" s="394"/>
      <c r="AY3208" s="394">
        <v>0</v>
      </c>
      <c r="AZ3208" s="394">
        <v>0</v>
      </c>
      <c r="BA3208" s="394">
        <v>0.75790000000000002</v>
      </c>
      <c r="BB3208" s="394">
        <v>15.33263</v>
      </c>
      <c r="BC3208" s="394"/>
      <c r="BD3208" s="381" t="s">
        <v>167</v>
      </c>
      <c r="BE3208" s="408" t="s">
        <v>175</v>
      </c>
      <c r="BF3208" s="385"/>
      <c r="BG3208" s="475">
        <v>1169</v>
      </c>
      <c r="BH3208" s="395"/>
      <c r="BI3208" s="395">
        <f t="shared" ref="BI3208" si="1253">AT3208/AR3208</f>
        <v>19.534009999999999</v>
      </c>
    </row>
    <row r="3209" spans="1:61" s="358" customFormat="1" ht="19.2" x14ac:dyDescent="0.3">
      <c r="A3209" s="359" t="s">
        <v>2162</v>
      </c>
      <c r="B3209" s="602" t="s">
        <v>4864</v>
      </c>
      <c r="C3209" s="548" t="s">
        <v>4863</v>
      </c>
      <c r="D3209" s="360">
        <v>0.4</v>
      </c>
      <c r="E3209" s="528"/>
      <c r="F3209" s="523"/>
      <c r="G3209" s="393"/>
      <c r="H3209" s="394"/>
      <c r="I3209" s="394"/>
      <c r="J3209" s="394"/>
      <c r="K3209" s="394"/>
      <c r="L3209" s="394"/>
      <c r="M3209" s="394"/>
      <c r="N3209" s="394"/>
      <c r="O3209" s="394"/>
      <c r="P3209" s="394"/>
      <c r="Q3209" s="394"/>
      <c r="R3209" s="381"/>
      <c r="S3209" s="408"/>
      <c r="T3209" s="385"/>
      <c r="U3209" s="475"/>
      <c r="V3209" s="395"/>
      <c r="W3209" s="395"/>
      <c r="X3209" s="528"/>
      <c r="Y3209" s="523"/>
      <c r="Z3209" s="393"/>
      <c r="AA3209" s="394"/>
      <c r="AB3209" s="394"/>
      <c r="AC3209" s="394"/>
      <c r="AD3209" s="394"/>
      <c r="AE3209" s="394"/>
      <c r="AF3209" s="394"/>
      <c r="AG3209" s="394"/>
      <c r="AH3209" s="394"/>
      <c r="AI3209" s="394"/>
      <c r="AJ3209" s="394"/>
      <c r="AK3209" s="381"/>
      <c r="AL3209" s="408"/>
      <c r="AM3209" s="385"/>
      <c r="AN3209" s="475"/>
      <c r="AO3209" s="395"/>
      <c r="AP3209" s="395"/>
      <c r="AQ3209" s="528"/>
      <c r="AR3209" s="523">
        <v>1</v>
      </c>
      <c r="AS3209" s="393"/>
      <c r="AT3209" s="600">
        <v>19.534020000000002</v>
      </c>
      <c r="AU3209" s="394">
        <v>16.28304</v>
      </c>
      <c r="AV3209" s="394">
        <v>15.33263</v>
      </c>
      <c r="AW3209" s="394"/>
      <c r="AX3209" s="394"/>
      <c r="AY3209" s="394">
        <v>0</v>
      </c>
      <c r="AZ3209" s="394">
        <v>0</v>
      </c>
      <c r="BA3209" s="394">
        <v>0.75790000000000002</v>
      </c>
      <c r="BB3209" s="394">
        <v>15.33263</v>
      </c>
      <c r="BC3209" s="394"/>
      <c r="BD3209" s="381" t="s">
        <v>167</v>
      </c>
      <c r="BE3209" s="408" t="s">
        <v>175</v>
      </c>
      <c r="BF3209" s="385"/>
      <c r="BG3209" s="475">
        <v>1170</v>
      </c>
      <c r="BH3209" s="395"/>
      <c r="BI3209" s="395">
        <f t="shared" si="1224"/>
        <v>19.534020000000002</v>
      </c>
    </row>
    <row r="3210" spans="1:61" s="358" customFormat="1" ht="19.2" x14ac:dyDescent="0.3">
      <c r="A3210" s="359" t="s">
        <v>2163</v>
      </c>
      <c r="B3210" s="602" t="s">
        <v>6002</v>
      </c>
      <c r="C3210" s="548" t="s">
        <v>6003</v>
      </c>
      <c r="D3210" s="360">
        <v>0.4</v>
      </c>
      <c r="E3210" s="528"/>
      <c r="F3210" s="523"/>
      <c r="G3210" s="393"/>
      <c r="H3210" s="394"/>
      <c r="I3210" s="394"/>
      <c r="J3210" s="394"/>
      <c r="K3210" s="394"/>
      <c r="L3210" s="394"/>
      <c r="M3210" s="394"/>
      <c r="N3210" s="394"/>
      <c r="O3210" s="394"/>
      <c r="P3210" s="394"/>
      <c r="Q3210" s="394"/>
      <c r="R3210" s="381"/>
      <c r="S3210" s="408"/>
      <c r="T3210" s="385"/>
      <c r="U3210" s="475"/>
      <c r="V3210" s="395"/>
      <c r="W3210" s="395"/>
      <c r="X3210" s="528"/>
      <c r="Y3210" s="523"/>
      <c r="Z3210" s="393"/>
      <c r="AA3210" s="394"/>
      <c r="AB3210" s="394"/>
      <c r="AC3210" s="394"/>
      <c r="AD3210" s="394"/>
      <c r="AE3210" s="394"/>
      <c r="AF3210" s="394"/>
      <c r="AG3210" s="394"/>
      <c r="AH3210" s="394"/>
      <c r="AI3210" s="394"/>
      <c r="AJ3210" s="394"/>
      <c r="AK3210" s="381"/>
      <c r="AL3210" s="408"/>
      <c r="AM3210" s="385"/>
      <c r="AN3210" s="475"/>
      <c r="AO3210" s="395"/>
      <c r="AP3210" s="395"/>
      <c r="AQ3210" s="528"/>
      <c r="AR3210" s="523">
        <v>1</v>
      </c>
      <c r="AS3210" s="393"/>
      <c r="AT3210" s="600">
        <v>19.534009999999999</v>
      </c>
      <c r="AU3210" s="394">
        <v>16.28303</v>
      </c>
      <c r="AV3210" s="394">
        <v>15.33263</v>
      </c>
      <c r="AW3210" s="394"/>
      <c r="AX3210" s="394"/>
      <c r="AY3210" s="394">
        <v>0</v>
      </c>
      <c r="AZ3210" s="394">
        <v>0</v>
      </c>
      <c r="BA3210" s="394">
        <v>0.75790000000000002</v>
      </c>
      <c r="BB3210" s="394">
        <v>15.33263</v>
      </c>
      <c r="BC3210" s="394"/>
      <c r="BD3210" s="381" t="s">
        <v>167</v>
      </c>
      <c r="BE3210" s="408" t="s">
        <v>175</v>
      </c>
      <c r="BF3210" s="385"/>
      <c r="BG3210" s="475">
        <v>1171</v>
      </c>
      <c r="BH3210" s="395"/>
      <c r="BI3210" s="395">
        <f t="shared" ref="BI3210" si="1254">AT3210/AR3210</f>
        <v>19.534009999999999</v>
      </c>
    </row>
    <row r="3211" spans="1:61" s="358" customFormat="1" ht="19.2" x14ac:dyDescent="0.3">
      <c r="A3211" s="359" t="s">
        <v>2164</v>
      </c>
      <c r="B3211" s="602" t="s">
        <v>6041</v>
      </c>
      <c r="C3211" s="548" t="s">
        <v>6042</v>
      </c>
      <c r="D3211" s="360">
        <v>0.4</v>
      </c>
      <c r="E3211" s="528"/>
      <c r="F3211" s="523"/>
      <c r="G3211" s="393"/>
      <c r="H3211" s="394"/>
      <c r="I3211" s="394"/>
      <c r="J3211" s="394"/>
      <c r="K3211" s="394"/>
      <c r="L3211" s="394"/>
      <c r="M3211" s="394"/>
      <c r="N3211" s="394"/>
      <c r="O3211" s="394"/>
      <c r="P3211" s="394"/>
      <c r="Q3211" s="394"/>
      <c r="R3211" s="381"/>
      <c r="S3211" s="408"/>
      <c r="T3211" s="385"/>
      <c r="U3211" s="475"/>
      <c r="V3211" s="395"/>
      <c r="W3211" s="395"/>
      <c r="X3211" s="528"/>
      <c r="Y3211" s="523"/>
      <c r="Z3211" s="393"/>
      <c r="AA3211" s="394"/>
      <c r="AB3211" s="394"/>
      <c r="AC3211" s="394"/>
      <c r="AD3211" s="394"/>
      <c r="AE3211" s="394"/>
      <c r="AF3211" s="394"/>
      <c r="AG3211" s="394"/>
      <c r="AH3211" s="394"/>
      <c r="AI3211" s="394"/>
      <c r="AJ3211" s="394"/>
      <c r="AK3211" s="381"/>
      <c r="AL3211" s="408"/>
      <c r="AM3211" s="385"/>
      <c r="AN3211" s="475"/>
      <c r="AO3211" s="395"/>
      <c r="AP3211" s="395"/>
      <c r="AQ3211" s="528"/>
      <c r="AR3211" s="523">
        <v>1</v>
      </c>
      <c r="AS3211" s="393"/>
      <c r="AT3211" s="600">
        <v>19.569179999999999</v>
      </c>
      <c r="AU3211" s="394">
        <v>16.318200000000001</v>
      </c>
      <c r="AV3211" s="394">
        <v>15.33417</v>
      </c>
      <c r="AW3211" s="394"/>
      <c r="AX3211" s="394"/>
      <c r="AY3211" s="394">
        <v>0</v>
      </c>
      <c r="AZ3211" s="394">
        <v>0</v>
      </c>
      <c r="BA3211" s="394">
        <v>0.75790000000000002</v>
      </c>
      <c r="BB3211" s="394">
        <v>15.33417</v>
      </c>
      <c r="BC3211" s="394"/>
      <c r="BD3211" s="381" t="s">
        <v>167</v>
      </c>
      <c r="BE3211" s="408" t="s">
        <v>175</v>
      </c>
      <c r="BF3211" s="385"/>
      <c r="BG3211" s="475">
        <v>1172</v>
      </c>
      <c r="BH3211" s="395"/>
      <c r="BI3211" s="395">
        <f t="shared" si="1224"/>
        <v>19.569179999999999</v>
      </c>
    </row>
    <row r="3212" spans="1:61" s="358" customFormat="1" ht="19.2" x14ac:dyDescent="0.3">
      <c r="A3212" s="359" t="s">
        <v>2165</v>
      </c>
      <c r="B3212" s="602" t="s">
        <v>1697</v>
      </c>
      <c r="C3212" s="548" t="s">
        <v>4881</v>
      </c>
      <c r="D3212" s="360">
        <v>0.4</v>
      </c>
      <c r="E3212" s="528"/>
      <c r="F3212" s="523"/>
      <c r="G3212" s="393"/>
      <c r="H3212" s="394"/>
      <c r="I3212" s="394"/>
      <c r="J3212" s="394"/>
      <c r="K3212" s="394"/>
      <c r="L3212" s="394"/>
      <c r="M3212" s="394"/>
      <c r="N3212" s="394"/>
      <c r="O3212" s="394"/>
      <c r="P3212" s="394"/>
      <c r="Q3212" s="394"/>
      <c r="R3212" s="381"/>
      <c r="S3212" s="408"/>
      <c r="T3212" s="385"/>
      <c r="U3212" s="475"/>
      <c r="V3212" s="395"/>
      <c r="W3212" s="395"/>
      <c r="X3212" s="528"/>
      <c r="Y3212" s="523"/>
      <c r="Z3212" s="393"/>
      <c r="AA3212" s="394"/>
      <c r="AB3212" s="394"/>
      <c r="AC3212" s="394"/>
      <c r="AD3212" s="394"/>
      <c r="AE3212" s="394"/>
      <c r="AF3212" s="394"/>
      <c r="AG3212" s="394"/>
      <c r="AH3212" s="394"/>
      <c r="AI3212" s="394"/>
      <c r="AJ3212" s="394"/>
      <c r="AK3212" s="381"/>
      <c r="AL3212" s="408"/>
      <c r="AM3212" s="385"/>
      <c r="AN3212" s="475"/>
      <c r="AO3212" s="395"/>
      <c r="AP3212" s="395"/>
      <c r="AQ3212" s="528"/>
      <c r="AR3212" s="523">
        <v>1</v>
      </c>
      <c r="AS3212" s="393"/>
      <c r="AT3212" s="600">
        <v>19.569189999999999</v>
      </c>
      <c r="AU3212" s="394">
        <v>16.318210000000001</v>
      </c>
      <c r="AV3212" s="394">
        <v>15.33417</v>
      </c>
      <c r="AW3212" s="394"/>
      <c r="AX3212" s="394"/>
      <c r="AY3212" s="394">
        <v>0</v>
      </c>
      <c r="AZ3212" s="394">
        <v>0</v>
      </c>
      <c r="BA3212" s="394">
        <v>0.75790000000000002</v>
      </c>
      <c r="BB3212" s="394">
        <v>15.33417</v>
      </c>
      <c r="BC3212" s="394"/>
      <c r="BD3212" s="381" t="s">
        <v>167</v>
      </c>
      <c r="BE3212" s="408" t="s">
        <v>175</v>
      </c>
      <c r="BF3212" s="385"/>
      <c r="BG3212" s="475">
        <v>1173</v>
      </c>
      <c r="BH3212" s="395"/>
      <c r="BI3212" s="395">
        <f t="shared" ref="BI3212:BI3213" si="1255">AT3212/AR3212</f>
        <v>19.569189999999999</v>
      </c>
    </row>
    <row r="3213" spans="1:61" s="358" customFormat="1" ht="19.2" x14ac:dyDescent="0.3">
      <c r="A3213" s="359" t="s">
        <v>2166</v>
      </c>
      <c r="B3213" s="602" t="s">
        <v>4894</v>
      </c>
      <c r="C3213" s="548" t="s">
        <v>4893</v>
      </c>
      <c r="D3213" s="360">
        <v>0.4</v>
      </c>
      <c r="E3213" s="528"/>
      <c r="F3213" s="523"/>
      <c r="G3213" s="393"/>
      <c r="H3213" s="394"/>
      <c r="I3213" s="394"/>
      <c r="J3213" s="394"/>
      <c r="K3213" s="394"/>
      <c r="L3213" s="394"/>
      <c r="M3213" s="394"/>
      <c r="N3213" s="394"/>
      <c r="O3213" s="394"/>
      <c r="P3213" s="394"/>
      <c r="Q3213" s="394"/>
      <c r="R3213" s="381"/>
      <c r="S3213" s="408"/>
      <c r="T3213" s="385"/>
      <c r="U3213" s="475"/>
      <c r="V3213" s="395"/>
      <c r="W3213" s="395"/>
      <c r="X3213" s="528"/>
      <c r="Y3213" s="523"/>
      <c r="Z3213" s="393"/>
      <c r="AA3213" s="394"/>
      <c r="AB3213" s="394"/>
      <c r="AC3213" s="394"/>
      <c r="AD3213" s="394"/>
      <c r="AE3213" s="394"/>
      <c r="AF3213" s="394"/>
      <c r="AG3213" s="394"/>
      <c r="AH3213" s="394"/>
      <c r="AI3213" s="394"/>
      <c r="AJ3213" s="394"/>
      <c r="AK3213" s="381"/>
      <c r="AL3213" s="408"/>
      <c r="AM3213" s="385"/>
      <c r="AN3213" s="475"/>
      <c r="AO3213" s="395"/>
      <c r="AP3213" s="395"/>
      <c r="AQ3213" s="528"/>
      <c r="AR3213" s="523">
        <v>1</v>
      </c>
      <c r="AS3213" s="393"/>
      <c r="AT3213" s="600">
        <v>19.569199999999999</v>
      </c>
      <c r="AU3213" s="394">
        <v>16.31822</v>
      </c>
      <c r="AV3213" s="394">
        <v>15.33417</v>
      </c>
      <c r="AW3213" s="394"/>
      <c r="AX3213" s="394"/>
      <c r="AY3213" s="394">
        <v>0</v>
      </c>
      <c r="AZ3213" s="394">
        <v>0</v>
      </c>
      <c r="BA3213" s="394">
        <v>0.75790000000000002</v>
      </c>
      <c r="BB3213" s="394">
        <v>15.33417</v>
      </c>
      <c r="BC3213" s="394"/>
      <c r="BD3213" s="381" t="s">
        <v>167</v>
      </c>
      <c r="BE3213" s="408" t="s">
        <v>175</v>
      </c>
      <c r="BF3213" s="385"/>
      <c r="BG3213" s="475">
        <v>1174</v>
      </c>
      <c r="BH3213" s="395"/>
      <c r="BI3213" s="395">
        <f t="shared" si="1255"/>
        <v>19.569199999999999</v>
      </c>
    </row>
    <row r="3214" spans="1:61" s="358" customFormat="1" ht="19.2" x14ac:dyDescent="0.3">
      <c r="A3214" s="359" t="s">
        <v>2167</v>
      </c>
      <c r="B3214" s="602" t="s">
        <v>4401</v>
      </c>
      <c r="C3214" s="548" t="s">
        <v>6043</v>
      </c>
      <c r="D3214" s="360">
        <v>0.4</v>
      </c>
      <c r="E3214" s="528"/>
      <c r="F3214" s="523"/>
      <c r="G3214" s="393"/>
      <c r="H3214" s="394"/>
      <c r="I3214" s="394"/>
      <c r="J3214" s="394"/>
      <c r="K3214" s="394"/>
      <c r="L3214" s="394"/>
      <c r="M3214" s="394"/>
      <c r="N3214" s="394"/>
      <c r="O3214" s="394"/>
      <c r="P3214" s="394"/>
      <c r="Q3214" s="394"/>
      <c r="R3214" s="381"/>
      <c r="S3214" s="408"/>
      <c r="T3214" s="385"/>
      <c r="U3214" s="475"/>
      <c r="V3214" s="395"/>
      <c r="W3214" s="395"/>
      <c r="X3214" s="528"/>
      <c r="Y3214" s="523"/>
      <c r="Z3214" s="393"/>
      <c r="AA3214" s="394"/>
      <c r="AB3214" s="394"/>
      <c r="AC3214" s="394"/>
      <c r="AD3214" s="394"/>
      <c r="AE3214" s="394"/>
      <c r="AF3214" s="394"/>
      <c r="AG3214" s="394"/>
      <c r="AH3214" s="394"/>
      <c r="AI3214" s="394"/>
      <c r="AJ3214" s="394"/>
      <c r="AK3214" s="381"/>
      <c r="AL3214" s="408"/>
      <c r="AM3214" s="385"/>
      <c r="AN3214" s="475"/>
      <c r="AO3214" s="395"/>
      <c r="AP3214" s="395"/>
      <c r="AQ3214" s="528"/>
      <c r="AR3214" s="523">
        <v>1</v>
      </c>
      <c r="AS3214" s="393"/>
      <c r="AT3214" s="600">
        <v>15.22841</v>
      </c>
      <c r="AU3214" s="394">
        <v>13.3634</v>
      </c>
      <c r="AV3214" s="394">
        <v>13.357250000000001</v>
      </c>
      <c r="AW3214" s="394"/>
      <c r="AX3214" s="394"/>
      <c r="AY3214" s="394">
        <v>0</v>
      </c>
      <c r="AZ3214" s="394">
        <v>0</v>
      </c>
      <c r="BA3214" s="394">
        <v>0.43479000000000001</v>
      </c>
      <c r="BB3214" s="394">
        <v>13.357250000000001</v>
      </c>
      <c r="BC3214" s="394"/>
      <c r="BD3214" s="381" t="s">
        <v>167</v>
      </c>
      <c r="BE3214" s="408" t="s">
        <v>175</v>
      </c>
      <c r="BF3214" s="385"/>
      <c r="BG3214" s="475">
        <v>1175</v>
      </c>
      <c r="BH3214" s="395"/>
      <c r="BI3214" s="395">
        <f t="shared" si="1224"/>
        <v>15.22841</v>
      </c>
    </row>
    <row r="3215" spans="1:61" s="358" customFormat="1" ht="19.2" x14ac:dyDescent="0.3">
      <c r="A3215" s="359" t="s">
        <v>2168</v>
      </c>
      <c r="B3215" s="602" t="s">
        <v>4868</v>
      </c>
      <c r="C3215" s="548" t="s">
        <v>4867</v>
      </c>
      <c r="D3215" s="360">
        <v>0.4</v>
      </c>
      <c r="E3215" s="528"/>
      <c r="F3215" s="523"/>
      <c r="G3215" s="393"/>
      <c r="H3215" s="394"/>
      <c r="I3215" s="394"/>
      <c r="J3215" s="394"/>
      <c r="K3215" s="394"/>
      <c r="L3215" s="394"/>
      <c r="M3215" s="394"/>
      <c r="N3215" s="394"/>
      <c r="O3215" s="394"/>
      <c r="P3215" s="394"/>
      <c r="Q3215" s="394"/>
      <c r="R3215" s="381"/>
      <c r="S3215" s="408"/>
      <c r="T3215" s="385"/>
      <c r="U3215" s="475"/>
      <c r="V3215" s="395"/>
      <c r="W3215" s="395"/>
      <c r="X3215" s="528"/>
      <c r="Y3215" s="523"/>
      <c r="Z3215" s="393"/>
      <c r="AA3215" s="394"/>
      <c r="AB3215" s="394"/>
      <c r="AC3215" s="394"/>
      <c r="AD3215" s="394"/>
      <c r="AE3215" s="394"/>
      <c r="AF3215" s="394"/>
      <c r="AG3215" s="394"/>
      <c r="AH3215" s="394"/>
      <c r="AI3215" s="394"/>
      <c r="AJ3215" s="394"/>
      <c r="AK3215" s="381"/>
      <c r="AL3215" s="408"/>
      <c r="AM3215" s="385"/>
      <c r="AN3215" s="475"/>
      <c r="AO3215" s="395"/>
      <c r="AP3215" s="395"/>
      <c r="AQ3215" s="528"/>
      <c r="AR3215" s="523">
        <v>1</v>
      </c>
      <c r="AS3215" s="393"/>
      <c r="AT3215" s="600">
        <v>31.987970000000001</v>
      </c>
      <c r="AU3215" s="394">
        <v>25.676020000000001</v>
      </c>
      <c r="AV3215" s="394">
        <v>15.33419</v>
      </c>
      <c r="AW3215" s="394"/>
      <c r="AX3215" s="394"/>
      <c r="AY3215" s="394">
        <v>0</v>
      </c>
      <c r="AZ3215" s="394">
        <v>0</v>
      </c>
      <c r="BA3215" s="394">
        <v>1.4715</v>
      </c>
      <c r="BB3215" s="394">
        <v>15.33419</v>
      </c>
      <c r="BC3215" s="394"/>
      <c r="BD3215" s="381" t="s">
        <v>167</v>
      </c>
      <c r="BE3215" s="408" t="s">
        <v>175</v>
      </c>
      <c r="BF3215" s="385"/>
      <c r="BG3215" s="475">
        <v>1176</v>
      </c>
      <c r="BH3215" s="395"/>
      <c r="BI3215" s="395">
        <f t="shared" ref="BI3215" si="1256">AT3215/AR3215</f>
        <v>31.987970000000001</v>
      </c>
    </row>
    <row r="3216" spans="1:61" s="358" customFormat="1" ht="19.2" x14ac:dyDescent="0.3">
      <c r="A3216" s="359" t="s">
        <v>2169</v>
      </c>
      <c r="B3216" s="602" t="s">
        <v>4886</v>
      </c>
      <c r="C3216" s="548" t="s">
        <v>4885</v>
      </c>
      <c r="D3216" s="360">
        <v>0.4</v>
      </c>
      <c r="E3216" s="528"/>
      <c r="F3216" s="523"/>
      <c r="G3216" s="393"/>
      <c r="H3216" s="394"/>
      <c r="I3216" s="394"/>
      <c r="J3216" s="394"/>
      <c r="K3216" s="394"/>
      <c r="L3216" s="394"/>
      <c r="M3216" s="394"/>
      <c r="N3216" s="394"/>
      <c r="O3216" s="394"/>
      <c r="P3216" s="394"/>
      <c r="Q3216" s="394"/>
      <c r="R3216" s="381"/>
      <c r="S3216" s="408"/>
      <c r="T3216" s="385"/>
      <c r="U3216" s="475"/>
      <c r="V3216" s="395"/>
      <c r="W3216" s="395"/>
      <c r="X3216" s="528"/>
      <c r="Y3216" s="523"/>
      <c r="Z3216" s="393"/>
      <c r="AA3216" s="394"/>
      <c r="AB3216" s="394"/>
      <c r="AC3216" s="394"/>
      <c r="AD3216" s="394"/>
      <c r="AE3216" s="394"/>
      <c r="AF3216" s="394"/>
      <c r="AG3216" s="394"/>
      <c r="AH3216" s="394"/>
      <c r="AI3216" s="394"/>
      <c r="AJ3216" s="394"/>
      <c r="AK3216" s="381"/>
      <c r="AL3216" s="408"/>
      <c r="AM3216" s="385"/>
      <c r="AN3216" s="475"/>
      <c r="AO3216" s="395"/>
      <c r="AP3216" s="395"/>
      <c r="AQ3216" s="528"/>
      <c r="AR3216" s="523">
        <v>1</v>
      </c>
      <c r="AS3216" s="393"/>
      <c r="AT3216" s="600">
        <v>19.56917</v>
      </c>
      <c r="AU3216" s="394">
        <v>16.318190000000001</v>
      </c>
      <c r="AV3216" s="394">
        <v>15.33417</v>
      </c>
      <c r="AW3216" s="394"/>
      <c r="AX3216" s="394"/>
      <c r="AY3216" s="394">
        <v>0</v>
      </c>
      <c r="AZ3216" s="394">
        <v>0</v>
      </c>
      <c r="BA3216" s="394">
        <v>0.75790000000000002</v>
      </c>
      <c r="BB3216" s="394">
        <v>15.33417</v>
      </c>
      <c r="BC3216" s="394"/>
      <c r="BD3216" s="381" t="s">
        <v>167</v>
      </c>
      <c r="BE3216" s="408" t="s">
        <v>175</v>
      </c>
      <c r="BF3216" s="385"/>
      <c r="BG3216" s="475">
        <v>1178</v>
      </c>
      <c r="BH3216" s="395"/>
      <c r="BI3216" s="395">
        <f t="shared" si="1224"/>
        <v>19.56917</v>
      </c>
    </row>
    <row r="3217" spans="1:61" s="358" customFormat="1" ht="19.2" x14ac:dyDescent="0.3">
      <c r="A3217" s="359" t="s">
        <v>2170</v>
      </c>
      <c r="B3217" s="602" t="s">
        <v>4927</v>
      </c>
      <c r="C3217" s="548" t="s">
        <v>4926</v>
      </c>
      <c r="D3217" s="360">
        <v>0.4</v>
      </c>
      <c r="E3217" s="528"/>
      <c r="F3217" s="523"/>
      <c r="G3217" s="393"/>
      <c r="H3217" s="394"/>
      <c r="I3217" s="394"/>
      <c r="J3217" s="394"/>
      <c r="K3217" s="394"/>
      <c r="L3217" s="394"/>
      <c r="M3217" s="394"/>
      <c r="N3217" s="394"/>
      <c r="O3217" s="394"/>
      <c r="P3217" s="394"/>
      <c r="Q3217" s="394"/>
      <c r="R3217" s="381"/>
      <c r="S3217" s="408"/>
      <c r="T3217" s="385"/>
      <c r="U3217" s="475"/>
      <c r="V3217" s="395"/>
      <c r="W3217" s="395"/>
      <c r="X3217" s="528"/>
      <c r="Y3217" s="523"/>
      <c r="Z3217" s="393"/>
      <c r="AA3217" s="394"/>
      <c r="AB3217" s="394"/>
      <c r="AC3217" s="394"/>
      <c r="AD3217" s="394"/>
      <c r="AE3217" s="394"/>
      <c r="AF3217" s="394"/>
      <c r="AG3217" s="394"/>
      <c r="AH3217" s="394"/>
      <c r="AI3217" s="394"/>
      <c r="AJ3217" s="394"/>
      <c r="AK3217" s="381"/>
      <c r="AL3217" s="408"/>
      <c r="AM3217" s="385"/>
      <c r="AN3217" s="475"/>
      <c r="AO3217" s="395"/>
      <c r="AP3217" s="395"/>
      <c r="AQ3217" s="528"/>
      <c r="AR3217" s="523">
        <v>1</v>
      </c>
      <c r="AS3217" s="393"/>
      <c r="AT3217" s="600">
        <v>19.569199999999999</v>
      </c>
      <c r="AU3217" s="394">
        <v>16.31822</v>
      </c>
      <c r="AV3217" s="394">
        <v>15.33417</v>
      </c>
      <c r="AW3217" s="394"/>
      <c r="AX3217" s="394"/>
      <c r="AY3217" s="394">
        <v>0</v>
      </c>
      <c r="AZ3217" s="394">
        <v>0</v>
      </c>
      <c r="BA3217" s="394">
        <v>0.75790000000000002</v>
      </c>
      <c r="BB3217" s="394">
        <v>15.33417</v>
      </c>
      <c r="BC3217" s="394"/>
      <c r="BD3217" s="381" t="s">
        <v>167</v>
      </c>
      <c r="BE3217" s="408" t="s">
        <v>175</v>
      </c>
      <c r="BF3217" s="385"/>
      <c r="BG3217" s="475">
        <v>1179</v>
      </c>
      <c r="BH3217" s="395"/>
      <c r="BI3217" s="395">
        <f t="shared" ref="BI3217" si="1257">AT3217/AR3217</f>
        <v>19.569199999999999</v>
      </c>
    </row>
    <row r="3218" spans="1:61" s="358" customFormat="1" ht="19.2" x14ac:dyDescent="0.3">
      <c r="A3218" s="359" t="s">
        <v>2171</v>
      </c>
      <c r="B3218" s="602" t="s">
        <v>6044</v>
      </c>
      <c r="C3218" s="548" t="s">
        <v>6045</v>
      </c>
      <c r="D3218" s="360">
        <v>0.4</v>
      </c>
      <c r="E3218" s="528"/>
      <c r="F3218" s="523"/>
      <c r="G3218" s="393"/>
      <c r="H3218" s="394"/>
      <c r="I3218" s="394"/>
      <c r="J3218" s="394"/>
      <c r="K3218" s="394"/>
      <c r="L3218" s="394"/>
      <c r="M3218" s="394"/>
      <c r="N3218" s="394"/>
      <c r="O3218" s="394"/>
      <c r="P3218" s="394"/>
      <c r="Q3218" s="394"/>
      <c r="R3218" s="381"/>
      <c r="S3218" s="408"/>
      <c r="T3218" s="385"/>
      <c r="U3218" s="475"/>
      <c r="V3218" s="395"/>
      <c r="W3218" s="395"/>
      <c r="X3218" s="528"/>
      <c r="Y3218" s="523"/>
      <c r="Z3218" s="393"/>
      <c r="AA3218" s="394"/>
      <c r="AB3218" s="394"/>
      <c r="AC3218" s="394"/>
      <c r="AD3218" s="394"/>
      <c r="AE3218" s="394"/>
      <c r="AF3218" s="394"/>
      <c r="AG3218" s="394"/>
      <c r="AH3218" s="394"/>
      <c r="AI3218" s="394"/>
      <c r="AJ3218" s="394"/>
      <c r="AK3218" s="381"/>
      <c r="AL3218" s="408"/>
      <c r="AM3218" s="385"/>
      <c r="AN3218" s="475"/>
      <c r="AO3218" s="395"/>
      <c r="AP3218" s="395"/>
      <c r="AQ3218" s="528"/>
      <c r="AR3218" s="523">
        <v>1</v>
      </c>
      <c r="AS3218" s="393"/>
      <c r="AT3218" s="600">
        <v>19.569199999999999</v>
      </c>
      <c r="AU3218" s="394">
        <v>16.31822</v>
      </c>
      <c r="AV3218" s="394">
        <v>15.33417</v>
      </c>
      <c r="AW3218" s="394"/>
      <c r="AX3218" s="394"/>
      <c r="AY3218" s="394">
        <v>0</v>
      </c>
      <c r="AZ3218" s="394">
        <v>0</v>
      </c>
      <c r="BA3218" s="394">
        <v>0.75790000000000002</v>
      </c>
      <c r="BB3218" s="394">
        <v>15.33417</v>
      </c>
      <c r="BC3218" s="394"/>
      <c r="BD3218" s="381" t="s">
        <v>167</v>
      </c>
      <c r="BE3218" s="408" t="s">
        <v>175</v>
      </c>
      <c r="BF3218" s="385"/>
      <c r="BG3218" s="475">
        <v>1180</v>
      </c>
      <c r="BH3218" s="395"/>
      <c r="BI3218" s="395">
        <f t="shared" si="1224"/>
        <v>19.569199999999999</v>
      </c>
    </row>
    <row r="3219" spans="1:61" s="358" customFormat="1" ht="19.2" x14ac:dyDescent="0.3">
      <c r="A3219" s="359" t="s">
        <v>2172</v>
      </c>
      <c r="B3219" s="602" t="s">
        <v>6046</v>
      </c>
      <c r="C3219" s="548" t="s">
        <v>6047</v>
      </c>
      <c r="D3219" s="360">
        <v>0.4</v>
      </c>
      <c r="E3219" s="528"/>
      <c r="F3219" s="523"/>
      <c r="G3219" s="393"/>
      <c r="H3219" s="394"/>
      <c r="I3219" s="394"/>
      <c r="J3219" s="394"/>
      <c r="K3219" s="394"/>
      <c r="L3219" s="394"/>
      <c r="M3219" s="394"/>
      <c r="N3219" s="394"/>
      <c r="O3219" s="394"/>
      <c r="P3219" s="394"/>
      <c r="Q3219" s="394"/>
      <c r="R3219" s="381"/>
      <c r="S3219" s="408"/>
      <c r="T3219" s="385"/>
      <c r="U3219" s="475"/>
      <c r="V3219" s="395"/>
      <c r="W3219" s="395"/>
      <c r="X3219" s="528"/>
      <c r="Y3219" s="523"/>
      <c r="Z3219" s="393"/>
      <c r="AA3219" s="394"/>
      <c r="AB3219" s="394"/>
      <c r="AC3219" s="394"/>
      <c r="AD3219" s="394"/>
      <c r="AE3219" s="394"/>
      <c r="AF3219" s="394"/>
      <c r="AG3219" s="394"/>
      <c r="AH3219" s="394"/>
      <c r="AI3219" s="394"/>
      <c r="AJ3219" s="394"/>
      <c r="AK3219" s="381"/>
      <c r="AL3219" s="408"/>
      <c r="AM3219" s="385"/>
      <c r="AN3219" s="475"/>
      <c r="AO3219" s="395"/>
      <c r="AP3219" s="395"/>
      <c r="AQ3219" s="528"/>
      <c r="AR3219" s="523">
        <v>1</v>
      </c>
      <c r="AS3219" s="393"/>
      <c r="AT3219" s="600">
        <v>19.569199999999999</v>
      </c>
      <c r="AU3219" s="394">
        <v>16.31822</v>
      </c>
      <c r="AV3219" s="394">
        <v>15.33417</v>
      </c>
      <c r="AW3219" s="394"/>
      <c r="AX3219" s="394"/>
      <c r="AY3219" s="394">
        <v>0</v>
      </c>
      <c r="AZ3219" s="394">
        <v>0</v>
      </c>
      <c r="BA3219" s="394">
        <v>0.75790000000000002</v>
      </c>
      <c r="BB3219" s="394">
        <v>15.33417</v>
      </c>
      <c r="BC3219" s="394"/>
      <c r="BD3219" s="381" t="s">
        <v>167</v>
      </c>
      <c r="BE3219" s="408" t="s">
        <v>175</v>
      </c>
      <c r="BF3219" s="385"/>
      <c r="BG3219" s="475">
        <v>1181</v>
      </c>
      <c r="BH3219" s="395"/>
      <c r="BI3219" s="395">
        <f t="shared" ref="BI3219:BI3225" si="1258">AT3219/AR3219</f>
        <v>19.569199999999999</v>
      </c>
    </row>
    <row r="3220" spans="1:61" s="358" customFormat="1" ht="19.2" x14ac:dyDescent="0.3">
      <c r="A3220" s="359" t="s">
        <v>2173</v>
      </c>
      <c r="B3220" s="602" t="s">
        <v>6048</v>
      </c>
      <c r="C3220" s="548" t="s">
        <v>6049</v>
      </c>
      <c r="D3220" s="360">
        <v>0.4</v>
      </c>
      <c r="E3220" s="528"/>
      <c r="F3220" s="523"/>
      <c r="G3220" s="393"/>
      <c r="H3220" s="394"/>
      <c r="I3220" s="394"/>
      <c r="J3220" s="394"/>
      <c r="K3220" s="394"/>
      <c r="L3220" s="394"/>
      <c r="M3220" s="394"/>
      <c r="N3220" s="394"/>
      <c r="O3220" s="394"/>
      <c r="P3220" s="394"/>
      <c r="Q3220" s="394"/>
      <c r="R3220" s="381"/>
      <c r="S3220" s="408"/>
      <c r="T3220" s="385"/>
      <c r="U3220" s="475"/>
      <c r="V3220" s="395"/>
      <c r="W3220" s="395"/>
      <c r="X3220" s="528"/>
      <c r="Y3220" s="523"/>
      <c r="Z3220" s="393"/>
      <c r="AA3220" s="394"/>
      <c r="AB3220" s="394"/>
      <c r="AC3220" s="394"/>
      <c r="AD3220" s="394"/>
      <c r="AE3220" s="394"/>
      <c r="AF3220" s="394"/>
      <c r="AG3220" s="394"/>
      <c r="AH3220" s="394"/>
      <c r="AI3220" s="394"/>
      <c r="AJ3220" s="394"/>
      <c r="AK3220" s="381"/>
      <c r="AL3220" s="408"/>
      <c r="AM3220" s="385"/>
      <c r="AN3220" s="475"/>
      <c r="AO3220" s="395"/>
      <c r="AP3220" s="395"/>
      <c r="AQ3220" s="528"/>
      <c r="AR3220" s="523">
        <v>1</v>
      </c>
      <c r="AS3220" s="393"/>
      <c r="AT3220" s="600">
        <v>19.569179999999999</v>
      </c>
      <c r="AU3220" s="394">
        <v>16.318200000000001</v>
      </c>
      <c r="AV3220" s="394">
        <v>15.33417</v>
      </c>
      <c r="AW3220" s="394"/>
      <c r="AX3220" s="394"/>
      <c r="AY3220" s="394">
        <v>0</v>
      </c>
      <c r="AZ3220" s="394">
        <v>0</v>
      </c>
      <c r="BA3220" s="394">
        <v>0.75790000000000002</v>
      </c>
      <c r="BB3220" s="394">
        <v>15.33417</v>
      </c>
      <c r="BC3220" s="394"/>
      <c r="BD3220" s="381" t="s">
        <v>167</v>
      </c>
      <c r="BE3220" s="408" t="s">
        <v>175</v>
      </c>
      <c r="BF3220" s="385"/>
      <c r="BG3220" s="475">
        <v>1182</v>
      </c>
      <c r="BH3220" s="395"/>
      <c r="BI3220" s="395">
        <f t="shared" si="1258"/>
        <v>19.569179999999999</v>
      </c>
    </row>
    <row r="3221" spans="1:61" s="358" customFormat="1" ht="19.2" x14ac:dyDescent="0.3">
      <c r="A3221" s="359" t="s">
        <v>2174</v>
      </c>
      <c r="B3221" s="602" t="s">
        <v>4936</v>
      </c>
      <c r="C3221" s="548" t="s">
        <v>4935</v>
      </c>
      <c r="D3221" s="360">
        <v>0.4</v>
      </c>
      <c r="E3221" s="528"/>
      <c r="F3221" s="523"/>
      <c r="G3221" s="393"/>
      <c r="H3221" s="394"/>
      <c r="I3221" s="394"/>
      <c r="J3221" s="394"/>
      <c r="K3221" s="394"/>
      <c r="L3221" s="394"/>
      <c r="M3221" s="394"/>
      <c r="N3221" s="394"/>
      <c r="O3221" s="394"/>
      <c r="P3221" s="394"/>
      <c r="Q3221" s="394"/>
      <c r="R3221" s="381"/>
      <c r="S3221" s="408"/>
      <c r="T3221" s="385"/>
      <c r="U3221" s="475"/>
      <c r="V3221" s="395"/>
      <c r="W3221" s="395"/>
      <c r="X3221" s="528"/>
      <c r="Y3221" s="523"/>
      <c r="Z3221" s="393"/>
      <c r="AA3221" s="394"/>
      <c r="AB3221" s="394"/>
      <c r="AC3221" s="394"/>
      <c r="AD3221" s="394"/>
      <c r="AE3221" s="394"/>
      <c r="AF3221" s="394"/>
      <c r="AG3221" s="394"/>
      <c r="AH3221" s="394"/>
      <c r="AI3221" s="394"/>
      <c r="AJ3221" s="394"/>
      <c r="AK3221" s="381"/>
      <c r="AL3221" s="408"/>
      <c r="AM3221" s="385"/>
      <c r="AN3221" s="475"/>
      <c r="AO3221" s="395"/>
      <c r="AP3221" s="395"/>
      <c r="AQ3221" s="528"/>
      <c r="AR3221" s="523">
        <v>1</v>
      </c>
      <c r="AS3221" s="393"/>
      <c r="AT3221" s="600">
        <v>19.56917</v>
      </c>
      <c r="AU3221" s="394">
        <v>16.318190000000001</v>
      </c>
      <c r="AV3221" s="394">
        <v>15.33417</v>
      </c>
      <c r="AW3221" s="394"/>
      <c r="AX3221" s="394"/>
      <c r="AY3221" s="394">
        <v>0</v>
      </c>
      <c r="AZ3221" s="394">
        <v>0</v>
      </c>
      <c r="BA3221" s="394">
        <v>0.75790000000000002</v>
      </c>
      <c r="BB3221" s="394">
        <v>15.33417</v>
      </c>
      <c r="BC3221" s="394"/>
      <c r="BD3221" s="381" t="s">
        <v>167</v>
      </c>
      <c r="BE3221" s="408" t="s">
        <v>175</v>
      </c>
      <c r="BF3221" s="385"/>
      <c r="BG3221" s="475">
        <v>1183</v>
      </c>
      <c r="BH3221" s="395"/>
      <c r="BI3221" s="395">
        <f>AT3221/AR3221</f>
        <v>19.56917</v>
      </c>
    </row>
    <row r="3222" spans="1:61" s="358" customFormat="1" ht="19.2" x14ac:dyDescent="0.3">
      <c r="A3222" s="359" t="s">
        <v>2175</v>
      </c>
      <c r="B3222" s="602" t="s">
        <v>6050</v>
      </c>
      <c r="C3222" s="548" t="s">
        <v>6051</v>
      </c>
      <c r="D3222" s="360">
        <v>0.4</v>
      </c>
      <c r="E3222" s="528"/>
      <c r="F3222" s="523"/>
      <c r="G3222" s="393"/>
      <c r="H3222" s="394"/>
      <c r="I3222" s="394"/>
      <c r="J3222" s="394"/>
      <c r="K3222" s="394"/>
      <c r="L3222" s="394"/>
      <c r="M3222" s="394"/>
      <c r="N3222" s="394"/>
      <c r="O3222" s="394"/>
      <c r="P3222" s="394"/>
      <c r="Q3222" s="394"/>
      <c r="R3222" s="381"/>
      <c r="S3222" s="408"/>
      <c r="T3222" s="385"/>
      <c r="U3222" s="475"/>
      <c r="V3222" s="395"/>
      <c r="W3222" s="395"/>
      <c r="X3222" s="528"/>
      <c r="Y3222" s="523"/>
      <c r="Z3222" s="393"/>
      <c r="AA3222" s="394"/>
      <c r="AB3222" s="394"/>
      <c r="AC3222" s="394"/>
      <c r="AD3222" s="394"/>
      <c r="AE3222" s="394"/>
      <c r="AF3222" s="394"/>
      <c r="AG3222" s="394"/>
      <c r="AH3222" s="394"/>
      <c r="AI3222" s="394"/>
      <c r="AJ3222" s="394"/>
      <c r="AK3222" s="381"/>
      <c r="AL3222" s="408"/>
      <c r="AM3222" s="385"/>
      <c r="AN3222" s="475"/>
      <c r="AO3222" s="395"/>
      <c r="AP3222" s="395"/>
      <c r="AQ3222" s="528"/>
      <c r="AR3222" s="523">
        <v>1</v>
      </c>
      <c r="AS3222" s="393"/>
      <c r="AT3222" s="600">
        <v>19.569189999999999</v>
      </c>
      <c r="AU3222" s="394">
        <v>16.318210000000001</v>
      </c>
      <c r="AV3222" s="394">
        <v>15.33417</v>
      </c>
      <c r="AW3222" s="394"/>
      <c r="AX3222" s="394"/>
      <c r="AY3222" s="394">
        <v>0</v>
      </c>
      <c r="AZ3222" s="394">
        <v>0</v>
      </c>
      <c r="BA3222" s="394">
        <v>0.75790000000000002</v>
      </c>
      <c r="BB3222" s="394">
        <v>15.33417</v>
      </c>
      <c r="BC3222" s="394"/>
      <c r="BD3222" s="381" t="s">
        <v>167</v>
      </c>
      <c r="BE3222" s="408" t="s">
        <v>175</v>
      </c>
      <c r="BF3222" s="385"/>
      <c r="BG3222" s="475">
        <v>1184</v>
      </c>
      <c r="BH3222" s="395"/>
      <c r="BI3222" s="395">
        <f t="shared" si="1258"/>
        <v>19.569189999999999</v>
      </c>
    </row>
    <row r="3223" spans="1:61" s="358" customFormat="1" ht="19.2" x14ac:dyDescent="0.3">
      <c r="A3223" s="359" t="s">
        <v>2176</v>
      </c>
      <c r="B3223" s="602" t="s">
        <v>6052</v>
      </c>
      <c r="C3223" s="548" t="s">
        <v>6053</v>
      </c>
      <c r="D3223" s="360">
        <v>0.4</v>
      </c>
      <c r="E3223" s="528"/>
      <c r="F3223" s="523"/>
      <c r="G3223" s="393"/>
      <c r="H3223" s="394"/>
      <c r="I3223" s="394"/>
      <c r="J3223" s="394"/>
      <c r="K3223" s="394"/>
      <c r="L3223" s="394"/>
      <c r="M3223" s="394"/>
      <c r="N3223" s="394"/>
      <c r="O3223" s="394"/>
      <c r="P3223" s="394"/>
      <c r="Q3223" s="394"/>
      <c r="R3223" s="381"/>
      <c r="S3223" s="408"/>
      <c r="T3223" s="385"/>
      <c r="U3223" s="475"/>
      <c r="V3223" s="395"/>
      <c r="W3223" s="395"/>
      <c r="X3223" s="528"/>
      <c r="Y3223" s="523"/>
      <c r="Z3223" s="393"/>
      <c r="AA3223" s="394"/>
      <c r="AB3223" s="394"/>
      <c r="AC3223" s="394"/>
      <c r="AD3223" s="394"/>
      <c r="AE3223" s="394"/>
      <c r="AF3223" s="394"/>
      <c r="AG3223" s="394"/>
      <c r="AH3223" s="394"/>
      <c r="AI3223" s="394"/>
      <c r="AJ3223" s="394"/>
      <c r="AK3223" s="381"/>
      <c r="AL3223" s="408"/>
      <c r="AM3223" s="385"/>
      <c r="AN3223" s="475"/>
      <c r="AO3223" s="395"/>
      <c r="AP3223" s="395"/>
      <c r="AQ3223" s="528"/>
      <c r="AR3223" s="523">
        <v>1</v>
      </c>
      <c r="AS3223" s="393"/>
      <c r="AT3223" s="600">
        <v>19.56917</v>
      </c>
      <c r="AU3223" s="394">
        <v>16.318190000000001</v>
      </c>
      <c r="AV3223" s="394">
        <v>15.33417</v>
      </c>
      <c r="AW3223" s="394"/>
      <c r="AX3223" s="394"/>
      <c r="AY3223" s="394">
        <v>0</v>
      </c>
      <c r="AZ3223" s="394">
        <v>0</v>
      </c>
      <c r="BA3223" s="394">
        <v>0.75790000000000002</v>
      </c>
      <c r="BB3223" s="394">
        <v>15.33417</v>
      </c>
      <c r="BC3223" s="394"/>
      <c r="BD3223" s="381" t="s">
        <v>167</v>
      </c>
      <c r="BE3223" s="408" t="s">
        <v>175</v>
      </c>
      <c r="BF3223" s="385"/>
      <c r="BG3223" s="475">
        <v>1185</v>
      </c>
      <c r="BH3223" s="395"/>
      <c r="BI3223" s="395">
        <f t="shared" si="1258"/>
        <v>19.56917</v>
      </c>
    </row>
    <row r="3224" spans="1:61" s="358" customFormat="1" ht="19.2" x14ac:dyDescent="0.3">
      <c r="A3224" s="359" t="s">
        <v>2177</v>
      </c>
      <c r="B3224" s="602" t="s">
        <v>6054</v>
      </c>
      <c r="C3224" s="548" t="s">
        <v>6055</v>
      </c>
      <c r="D3224" s="360">
        <v>0.4</v>
      </c>
      <c r="E3224" s="528"/>
      <c r="F3224" s="523"/>
      <c r="G3224" s="393"/>
      <c r="H3224" s="394"/>
      <c r="I3224" s="394"/>
      <c r="J3224" s="394"/>
      <c r="K3224" s="394"/>
      <c r="L3224" s="394"/>
      <c r="M3224" s="394"/>
      <c r="N3224" s="394"/>
      <c r="O3224" s="394"/>
      <c r="P3224" s="394"/>
      <c r="Q3224" s="394"/>
      <c r="R3224" s="381"/>
      <c r="S3224" s="408"/>
      <c r="T3224" s="385"/>
      <c r="U3224" s="475"/>
      <c r="V3224" s="395"/>
      <c r="W3224" s="395"/>
      <c r="X3224" s="528"/>
      <c r="Y3224" s="523"/>
      <c r="Z3224" s="393"/>
      <c r="AA3224" s="394"/>
      <c r="AB3224" s="394"/>
      <c r="AC3224" s="394"/>
      <c r="AD3224" s="394"/>
      <c r="AE3224" s="394"/>
      <c r="AF3224" s="394"/>
      <c r="AG3224" s="394"/>
      <c r="AH3224" s="394"/>
      <c r="AI3224" s="394"/>
      <c r="AJ3224" s="394"/>
      <c r="AK3224" s="381"/>
      <c r="AL3224" s="408"/>
      <c r="AM3224" s="385"/>
      <c r="AN3224" s="475"/>
      <c r="AO3224" s="395"/>
      <c r="AP3224" s="395"/>
      <c r="AQ3224" s="528"/>
      <c r="AR3224" s="523">
        <v>1</v>
      </c>
      <c r="AS3224" s="393"/>
      <c r="AT3224" s="600">
        <v>19.56917</v>
      </c>
      <c r="AU3224" s="394">
        <v>16.318190000000001</v>
      </c>
      <c r="AV3224" s="394">
        <v>15.33417</v>
      </c>
      <c r="AW3224" s="394"/>
      <c r="AX3224" s="394"/>
      <c r="AY3224" s="394">
        <v>0</v>
      </c>
      <c r="AZ3224" s="394">
        <v>0</v>
      </c>
      <c r="BA3224" s="394">
        <v>0.75790000000000002</v>
      </c>
      <c r="BB3224" s="394">
        <v>15.33417</v>
      </c>
      <c r="BC3224" s="394"/>
      <c r="BD3224" s="381" t="s">
        <v>167</v>
      </c>
      <c r="BE3224" s="408" t="s">
        <v>175</v>
      </c>
      <c r="BF3224" s="385"/>
      <c r="BG3224" s="475">
        <v>1186</v>
      </c>
      <c r="BH3224" s="395"/>
      <c r="BI3224" s="395">
        <f>AT3224/AR3224</f>
        <v>19.56917</v>
      </c>
    </row>
    <row r="3225" spans="1:61" s="358" customFormat="1" ht="19.2" x14ac:dyDescent="0.3">
      <c r="A3225" s="359" t="s">
        <v>2178</v>
      </c>
      <c r="B3225" s="602" t="s">
        <v>6056</v>
      </c>
      <c r="C3225" s="548" t="s">
        <v>6057</v>
      </c>
      <c r="D3225" s="360">
        <v>0.4</v>
      </c>
      <c r="E3225" s="528"/>
      <c r="F3225" s="523"/>
      <c r="G3225" s="393"/>
      <c r="H3225" s="394"/>
      <c r="I3225" s="394"/>
      <c r="J3225" s="394"/>
      <c r="K3225" s="394"/>
      <c r="L3225" s="394"/>
      <c r="M3225" s="394"/>
      <c r="N3225" s="394"/>
      <c r="O3225" s="394"/>
      <c r="P3225" s="394"/>
      <c r="Q3225" s="394"/>
      <c r="R3225" s="381"/>
      <c r="S3225" s="408"/>
      <c r="T3225" s="385"/>
      <c r="U3225" s="475"/>
      <c r="V3225" s="395"/>
      <c r="W3225" s="395"/>
      <c r="X3225" s="528"/>
      <c r="Y3225" s="523"/>
      <c r="Z3225" s="393"/>
      <c r="AA3225" s="394"/>
      <c r="AB3225" s="394"/>
      <c r="AC3225" s="394"/>
      <c r="AD3225" s="394"/>
      <c r="AE3225" s="394"/>
      <c r="AF3225" s="394"/>
      <c r="AG3225" s="394"/>
      <c r="AH3225" s="394"/>
      <c r="AI3225" s="394"/>
      <c r="AJ3225" s="394"/>
      <c r="AK3225" s="381"/>
      <c r="AL3225" s="408"/>
      <c r="AM3225" s="385"/>
      <c r="AN3225" s="475"/>
      <c r="AO3225" s="395"/>
      <c r="AP3225" s="395"/>
      <c r="AQ3225" s="528"/>
      <c r="AR3225" s="523">
        <v>1</v>
      </c>
      <c r="AS3225" s="393"/>
      <c r="AT3225" s="600">
        <v>15.497909999999999</v>
      </c>
      <c r="AU3225" s="394">
        <v>13.632899999999999</v>
      </c>
      <c r="AV3225" s="394">
        <v>13.357250000000001</v>
      </c>
      <c r="AW3225" s="394"/>
      <c r="AX3225" s="394"/>
      <c r="AY3225" s="394">
        <v>0</v>
      </c>
      <c r="AZ3225" s="394">
        <v>0</v>
      </c>
      <c r="BA3225" s="394">
        <v>0.43479000000000001</v>
      </c>
      <c r="BB3225" s="394">
        <v>13.357250000000001</v>
      </c>
      <c r="BC3225" s="394"/>
      <c r="BD3225" s="381" t="s">
        <v>167</v>
      </c>
      <c r="BE3225" s="408" t="s">
        <v>175</v>
      </c>
      <c r="BF3225" s="385"/>
      <c r="BG3225" s="475">
        <v>1187</v>
      </c>
      <c r="BH3225" s="395"/>
      <c r="BI3225" s="395">
        <f t="shared" si="1258"/>
        <v>15.497909999999999</v>
      </c>
    </row>
    <row r="3226" spans="1:61" s="358" customFormat="1" ht="19.2" x14ac:dyDescent="0.3">
      <c r="A3226" s="359" t="s">
        <v>2179</v>
      </c>
      <c r="B3226" s="602" t="s">
        <v>4248</v>
      </c>
      <c r="C3226" s="548" t="s">
        <v>6058</v>
      </c>
      <c r="D3226" s="360">
        <v>0.4</v>
      </c>
      <c r="E3226" s="528"/>
      <c r="F3226" s="523"/>
      <c r="G3226" s="393"/>
      <c r="H3226" s="394"/>
      <c r="I3226" s="394"/>
      <c r="J3226" s="394"/>
      <c r="K3226" s="394"/>
      <c r="L3226" s="394"/>
      <c r="M3226" s="394"/>
      <c r="N3226" s="394"/>
      <c r="O3226" s="394"/>
      <c r="P3226" s="394"/>
      <c r="Q3226" s="394"/>
      <c r="R3226" s="381"/>
      <c r="S3226" s="408"/>
      <c r="T3226" s="385"/>
      <c r="U3226" s="475"/>
      <c r="V3226" s="395"/>
      <c r="W3226" s="395"/>
      <c r="X3226" s="528"/>
      <c r="Y3226" s="523"/>
      <c r="Z3226" s="393"/>
      <c r="AA3226" s="394"/>
      <c r="AB3226" s="394"/>
      <c r="AC3226" s="394"/>
      <c r="AD3226" s="394"/>
      <c r="AE3226" s="394"/>
      <c r="AF3226" s="394"/>
      <c r="AG3226" s="394"/>
      <c r="AH3226" s="394"/>
      <c r="AI3226" s="394"/>
      <c r="AJ3226" s="394"/>
      <c r="AK3226" s="381"/>
      <c r="AL3226" s="408"/>
      <c r="AM3226" s="385"/>
      <c r="AN3226" s="475"/>
      <c r="AO3226" s="395"/>
      <c r="AP3226" s="395"/>
      <c r="AQ3226" s="528"/>
      <c r="AR3226" s="523">
        <v>1</v>
      </c>
      <c r="AS3226" s="393"/>
      <c r="AT3226" s="600">
        <v>19.569199999999999</v>
      </c>
      <c r="AU3226" s="394">
        <v>16.31822</v>
      </c>
      <c r="AV3226" s="394">
        <v>15.33417</v>
      </c>
      <c r="AW3226" s="394"/>
      <c r="AX3226" s="394"/>
      <c r="AY3226" s="394">
        <v>0</v>
      </c>
      <c r="AZ3226" s="394">
        <v>0</v>
      </c>
      <c r="BA3226" s="394">
        <v>0.75790000000000002</v>
      </c>
      <c r="BB3226" s="394">
        <v>15.33417</v>
      </c>
      <c r="BC3226" s="394"/>
      <c r="BD3226" s="381" t="s">
        <v>167</v>
      </c>
      <c r="BE3226" s="408" t="s">
        <v>175</v>
      </c>
      <c r="BF3226" s="385"/>
      <c r="BG3226" s="475">
        <v>1188</v>
      </c>
      <c r="BH3226" s="395"/>
      <c r="BI3226" s="395">
        <f t="shared" si="1224"/>
        <v>19.569199999999999</v>
      </c>
    </row>
    <row r="3227" spans="1:61" s="358" customFormat="1" ht="19.2" x14ac:dyDescent="0.3">
      <c r="A3227" s="359" t="s">
        <v>2180</v>
      </c>
      <c r="B3227" s="602" t="s">
        <v>6059</v>
      </c>
      <c r="C3227" s="548" t="s">
        <v>6060</v>
      </c>
      <c r="D3227" s="360">
        <v>0.4</v>
      </c>
      <c r="E3227" s="528"/>
      <c r="F3227" s="523"/>
      <c r="G3227" s="393"/>
      <c r="H3227" s="394"/>
      <c r="I3227" s="394"/>
      <c r="J3227" s="394"/>
      <c r="K3227" s="394"/>
      <c r="L3227" s="394"/>
      <c r="M3227" s="394"/>
      <c r="N3227" s="394"/>
      <c r="O3227" s="394"/>
      <c r="P3227" s="394"/>
      <c r="Q3227" s="394"/>
      <c r="R3227" s="381"/>
      <c r="S3227" s="408"/>
      <c r="T3227" s="385"/>
      <c r="U3227" s="475"/>
      <c r="V3227" s="395"/>
      <c r="W3227" s="395"/>
      <c r="X3227" s="528"/>
      <c r="Y3227" s="523"/>
      <c r="Z3227" s="393"/>
      <c r="AA3227" s="394"/>
      <c r="AB3227" s="394"/>
      <c r="AC3227" s="394"/>
      <c r="AD3227" s="394"/>
      <c r="AE3227" s="394"/>
      <c r="AF3227" s="394"/>
      <c r="AG3227" s="394"/>
      <c r="AH3227" s="394"/>
      <c r="AI3227" s="394"/>
      <c r="AJ3227" s="394"/>
      <c r="AK3227" s="381"/>
      <c r="AL3227" s="408"/>
      <c r="AM3227" s="385"/>
      <c r="AN3227" s="475"/>
      <c r="AO3227" s="395"/>
      <c r="AP3227" s="395"/>
      <c r="AQ3227" s="528"/>
      <c r="AR3227" s="523">
        <v>1</v>
      </c>
      <c r="AS3227" s="393"/>
      <c r="AT3227" s="600">
        <v>19.56917</v>
      </c>
      <c r="AU3227" s="394">
        <v>16.318190000000001</v>
      </c>
      <c r="AV3227" s="394">
        <v>15.33417</v>
      </c>
      <c r="AW3227" s="394"/>
      <c r="AX3227" s="394"/>
      <c r="AY3227" s="394">
        <v>0</v>
      </c>
      <c r="AZ3227" s="394">
        <v>0</v>
      </c>
      <c r="BA3227" s="394">
        <v>0.75790000000000002</v>
      </c>
      <c r="BB3227" s="394">
        <v>15.33417</v>
      </c>
      <c r="BC3227" s="394"/>
      <c r="BD3227" s="381" t="s">
        <v>167</v>
      </c>
      <c r="BE3227" s="408" t="s">
        <v>175</v>
      </c>
      <c r="BF3227" s="385"/>
      <c r="BG3227" s="475">
        <v>1189</v>
      </c>
      <c r="BH3227" s="395"/>
      <c r="BI3227" s="395">
        <f t="shared" ref="BI3227" si="1259">AT3227/AR3227</f>
        <v>19.56917</v>
      </c>
    </row>
    <row r="3228" spans="1:61" s="358" customFormat="1" ht="19.2" x14ac:dyDescent="0.3">
      <c r="A3228" s="359" t="s">
        <v>2181</v>
      </c>
      <c r="B3228" s="602" t="s">
        <v>4874</v>
      </c>
      <c r="C3228" s="548" t="s">
        <v>4873</v>
      </c>
      <c r="D3228" s="360">
        <v>0.4</v>
      </c>
      <c r="E3228" s="528"/>
      <c r="F3228" s="523"/>
      <c r="G3228" s="393"/>
      <c r="H3228" s="394"/>
      <c r="I3228" s="394"/>
      <c r="J3228" s="394"/>
      <c r="K3228" s="394"/>
      <c r="L3228" s="394"/>
      <c r="M3228" s="394"/>
      <c r="N3228" s="394"/>
      <c r="O3228" s="394"/>
      <c r="P3228" s="394"/>
      <c r="Q3228" s="394"/>
      <c r="R3228" s="381"/>
      <c r="S3228" s="408"/>
      <c r="T3228" s="385"/>
      <c r="U3228" s="475"/>
      <c r="V3228" s="395"/>
      <c r="W3228" s="395"/>
      <c r="X3228" s="528"/>
      <c r="Y3228" s="523"/>
      <c r="Z3228" s="393"/>
      <c r="AA3228" s="394"/>
      <c r="AB3228" s="394"/>
      <c r="AC3228" s="394"/>
      <c r="AD3228" s="394"/>
      <c r="AE3228" s="394"/>
      <c r="AF3228" s="394"/>
      <c r="AG3228" s="394"/>
      <c r="AH3228" s="394"/>
      <c r="AI3228" s="394"/>
      <c r="AJ3228" s="394"/>
      <c r="AK3228" s="381"/>
      <c r="AL3228" s="408"/>
      <c r="AM3228" s="385"/>
      <c r="AN3228" s="475"/>
      <c r="AO3228" s="395"/>
      <c r="AP3228" s="395"/>
      <c r="AQ3228" s="528"/>
      <c r="AR3228" s="523">
        <v>1</v>
      </c>
      <c r="AS3228" s="393"/>
      <c r="AT3228" s="600">
        <v>19.569179999999999</v>
      </c>
      <c r="AU3228" s="394">
        <v>16.318200000000001</v>
      </c>
      <c r="AV3228" s="394">
        <v>15.33417</v>
      </c>
      <c r="AW3228" s="394"/>
      <c r="AX3228" s="394"/>
      <c r="AY3228" s="394">
        <v>0</v>
      </c>
      <c r="AZ3228" s="394">
        <v>0</v>
      </c>
      <c r="BA3228" s="394">
        <v>0.75790000000000002</v>
      </c>
      <c r="BB3228" s="394">
        <v>15.33417</v>
      </c>
      <c r="BC3228" s="394"/>
      <c r="BD3228" s="381" t="s">
        <v>167</v>
      </c>
      <c r="BE3228" s="408" t="s">
        <v>175</v>
      </c>
      <c r="BF3228" s="385"/>
      <c r="BG3228" s="475">
        <v>1190</v>
      </c>
      <c r="BH3228" s="395"/>
      <c r="BI3228" s="395">
        <f t="shared" si="1224"/>
        <v>19.569179999999999</v>
      </c>
    </row>
    <row r="3229" spans="1:61" s="358" customFormat="1" ht="19.2" x14ac:dyDescent="0.3">
      <c r="A3229" s="359" t="s">
        <v>2182</v>
      </c>
      <c r="B3229" s="602" t="s">
        <v>6061</v>
      </c>
      <c r="C3229" s="548" t="s">
        <v>6062</v>
      </c>
      <c r="D3229" s="360">
        <v>0.4</v>
      </c>
      <c r="E3229" s="528"/>
      <c r="F3229" s="523"/>
      <c r="G3229" s="393"/>
      <c r="H3229" s="394"/>
      <c r="I3229" s="394"/>
      <c r="J3229" s="394"/>
      <c r="K3229" s="394"/>
      <c r="L3229" s="394"/>
      <c r="M3229" s="394"/>
      <c r="N3229" s="394"/>
      <c r="O3229" s="394"/>
      <c r="P3229" s="394"/>
      <c r="Q3229" s="394"/>
      <c r="R3229" s="381"/>
      <c r="S3229" s="408"/>
      <c r="T3229" s="385"/>
      <c r="U3229" s="475"/>
      <c r="V3229" s="395"/>
      <c r="W3229" s="395"/>
      <c r="X3229" s="528"/>
      <c r="Y3229" s="523"/>
      <c r="Z3229" s="393"/>
      <c r="AA3229" s="394"/>
      <c r="AB3229" s="394"/>
      <c r="AC3229" s="394"/>
      <c r="AD3229" s="394"/>
      <c r="AE3229" s="394"/>
      <c r="AF3229" s="394"/>
      <c r="AG3229" s="394"/>
      <c r="AH3229" s="394"/>
      <c r="AI3229" s="394"/>
      <c r="AJ3229" s="394"/>
      <c r="AK3229" s="381"/>
      <c r="AL3229" s="408"/>
      <c r="AM3229" s="385"/>
      <c r="AN3229" s="475"/>
      <c r="AO3229" s="395"/>
      <c r="AP3229" s="395"/>
      <c r="AQ3229" s="528"/>
      <c r="AR3229" s="523">
        <v>1</v>
      </c>
      <c r="AS3229" s="393"/>
      <c r="AT3229" s="600">
        <v>19.56917</v>
      </c>
      <c r="AU3229" s="394">
        <v>16.318190000000001</v>
      </c>
      <c r="AV3229" s="394">
        <v>15.33417</v>
      </c>
      <c r="AW3229" s="394"/>
      <c r="AX3229" s="394"/>
      <c r="AY3229" s="394">
        <v>0</v>
      </c>
      <c r="AZ3229" s="394">
        <v>0</v>
      </c>
      <c r="BA3229" s="394">
        <v>0.75790000000000002</v>
      </c>
      <c r="BB3229" s="394">
        <v>15.33417</v>
      </c>
      <c r="BC3229" s="394"/>
      <c r="BD3229" s="381" t="s">
        <v>167</v>
      </c>
      <c r="BE3229" s="408" t="s">
        <v>175</v>
      </c>
      <c r="BF3229" s="385"/>
      <c r="BG3229" s="475">
        <v>1191</v>
      </c>
      <c r="BH3229" s="395"/>
      <c r="BI3229" s="395">
        <f t="shared" ref="BI3229:BI3234" si="1260">AT3229/AR3229</f>
        <v>19.56917</v>
      </c>
    </row>
    <row r="3230" spans="1:61" s="358" customFormat="1" ht="19.2" x14ac:dyDescent="0.3">
      <c r="A3230" s="359" t="s">
        <v>2183</v>
      </c>
      <c r="B3230" s="602" t="s">
        <v>6063</v>
      </c>
      <c r="C3230" s="548" t="s">
        <v>6064</v>
      </c>
      <c r="D3230" s="360">
        <v>0.4</v>
      </c>
      <c r="E3230" s="528"/>
      <c r="F3230" s="523"/>
      <c r="G3230" s="393"/>
      <c r="H3230" s="394"/>
      <c r="I3230" s="394"/>
      <c r="J3230" s="394"/>
      <c r="K3230" s="394"/>
      <c r="L3230" s="394"/>
      <c r="M3230" s="394"/>
      <c r="N3230" s="394"/>
      <c r="O3230" s="394"/>
      <c r="P3230" s="394"/>
      <c r="Q3230" s="394"/>
      <c r="R3230" s="381"/>
      <c r="S3230" s="408"/>
      <c r="T3230" s="385"/>
      <c r="U3230" s="475"/>
      <c r="V3230" s="395"/>
      <c r="W3230" s="395"/>
      <c r="X3230" s="528"/>
      <c r="Y3230" s="523"/>
      <c r="Z3230" s="393"/>
      <c r="AA3230" s="394"/>
      <c r="AB3230" s="394"/>
      <c r="AC3230" s="394"/>
      <c r="AD3230" s="394"/>
      <c r="AE3230" s="394"/>
      <c r="AF3230" s="394"/>
      <c r="AG3230" s="394"/>
      <c r="AH3230" s="394"/>
      <c r="AI3230" s="394"/>
      <c r="AJ3230" s="394"/>
      <c r="AK3230" s="381"/>
      <c r="AL3230" s="408"/>
      <c r="AM3230" s="385"/>
      <c r="AN3230" s="475"/>
      <c r="AO3230" s="395"/>
      <c r="AP3230" s="395"/>
      <c r="AQ3230" s="528"/>
      <c r="AR3230" s="523">
        <v>1</v>
      </c>
      <c r="AS3230" s="393"/>
      <c r="AT3230" s="600">
        <v>19.569199999999999</v>
      </c>
      <c r="AU3230" s="394">
        <v>16.31822</v>
      </c>
      <c r="AV3230" s="394">
        <v>15.33417</v>
      </c>
      <c r="AW3230" s="394"/>
      <c r="AX3230" s="394"/>
      <c r="AY3230" s="394">
        <v>0</v>
      </c>
      <c r="AZ3230" s="394">
        <v>0</v>
      </c>
      <c r="BA3230" s="394">
        <v>0.75790000000000002</v>
      </c>
      <c r="BB3230" s="394">
        <v>15.33417</v>
      </c>
      <c r="BC3230" s="394"/>
      <c r="BD3230" s="381" t="s">
        <v>167</v>
      </c>
      <c r="BE3230" s="408" t="s">
        <v>175</v>
      </c>
      <c r="BF3230" s="385"/>
      <c r="BG3230" s="475">
        <v>1192</v>
      </c>
      <c r="BH3230" s="395"/>
      <c r="BI3230" s="395">
        <f t="shared" si="1260"/>
        <v>19.569199999999999</v>
      </c>
    </row>
    <row r="3231" spans="1:61" s="358" customFormat="1" ht="19.2" x14ac:dyDescent="0.3">
      <c r="A3231" s="359" t="s">
        <v>2184</v>
      </c>
      <c r="B3231" s="602" t="s">
        <v>4884</v>
      </c>
      <c r="C3231" s="548" t="s">
        <v>4883</v>
      </c>
      <c r="D3231" s="360">
        <v>0.4</v>
      </c>
      <c r="E3231" s="528"/>
      <c r="F3231" s="523"/>
      <c r="G3231" s="393"/>
      <c r="H3231" s="394"/>
      <c r="I3231" s="394"/>
      <c r="J3231" s="394"/>
      <c r="K3231" s="394"/>
      <c r="L3231" s="394"/>
      <c r="M3231" s="394"/>
      <c r="N3231" s="394"/>
      <c r="O3231" s="394"/>
      <c r="P3231" s="394"/>
      <c r="Q3231" s="394"/>
      <c r="R3231" s="381"/>
      <c r="S3231" s="408"/>
      <c r="T3231" s="385"/>
      <c r="U3231" s="475"/>
      <c r="V3231" s="395"/>
      <c r="W3231" s="395"/>
      <c r="X3231" s="528"/>
      <c r="Y3231" s="523"/>
      <c r="Z3231" s="393"/>
      <c r="AA3231" s="394"/>
      <c r="AB3231" s="394"/>
      <c r="AC3231" s="394"/>
      <c r="AD3231" s="394"/>
      <c r="AE3231" s="394"/>
      <c r="AF3231" s="394"/>
      <c r="AG3231" s="394"/>
      <c r="AH3231" s="394"/>
      <c r="AI3231" s="394"/>
      <c r="AJ3231" s="394"/>
      <c r="AK3231" s="381"/>
      <c r="AL3231" s="408"/>
      <c r="AM3231" s="385"/>
      <c r="AN3231" s="475"/>
      <c r="AO3231" s="395"/>
      <c r="AP3231" s="395"/>
      <c r="AQ3231" s="528"/>
      <c r="AR3231" s="523">
        <v>1</v>
      </c>
      <c r="AS3231" s="393"/>
      <c r="AT3231" s="600">
        <v>19.56917</v>
      </c>
      <c r="AU3231" s="394">
        <v>16.318190000000001</v>
      </c>
      <c r="AV3231" s="394">
        <v>15.33417</v>
      </c>
      <c r="AW3231" s="394"/>
      <c r="AX3231" s="394"/>
      <c r="AY3231" s="394">
        <v>0</v>
      </c>
      <c r="AZ3231" s="394">
        <v>0</v>
      </c>
      <c r="BA3231" s="394">
        <v>0.75790000000000002</v>
      </c>
      <c r="BB3231" s="394">
        <v>15.33417</v>
      </c>
      <c r="BC3231" s="394"/>
      <c r="BD3231" s="381" t="s">
        <v>167</v>
      </c>
      <c r="BE3231" s="408" t="s">
        <v>175</v>
      </c>
      <c r="BF3231" s="385"/>
      <c r="BG3231" s="475">
        <v>1193</v>
      </c>
      <c r="BH3231" s="395"/>
      <c r="BI3231" s="395">
        <f t="shared" si="1260"/>
        <v>19.56917</v>
      </c>
    </row>
    <row r="3232" spans="1:61" s="358" customFormat="1" ht="19.2" x14ac:dyDescent="0.3">
      <c r="A3232" s="359" t="s">
        <v>2185</v>
      </c>
      <c r="B3232" s="602" t="s">
        <v>6065</v>
      </c>
      <c r="C3232" s="548" t="s">
        <v>6066</v>
      </c>
      <c r="D3232" s="360">
        <v>0.4</v>
      </c>
      <c r="E3232" s="528"/>
      <c r="F3232" s="523"/>
      <c r="G3232" s="393"/>
      <c r="H3232" s="394"/>
      <c r="I3232" s="394"/>
      <c r="J3232" s="394"/>
      <c r="K3232" s="394"/>
      <c r="L3232" s="394"/>
      <c r="M3232" s="394"/>
      <c r="N3232" s="394"/>
      <c r="O3232" s="394"/>
      <c r="P3232" s="394"/>
      <c r="Q3232" s="394"/>
      <c r="R3232" s="381"/>
      <c r="S3232" s="408"/>
      <c r="T3232" s="385"/>
      <c r="U3232" s="475"/>
      <c r="V3232" s="395"/>
      <c r="W3232" s="395"/>
      <c r="X3232" s="528"/>
      <c r="Y3232" s="523"/>
      <c r="Z3232" s="393"/>
      <c r="AA3232" s="394"/>
      <c r="AB3232" s="394"/>
      <c r="AC3232" s="394"/>
      <c r="AD3232" s="394"/>
      <c r="AE3232" s="394"/>
      <c r="AF3232" s="394"/>
      <c r="AG3232" s="394"/>
      <c r="AH3232" s="394"/>
      <c r="AI3232" s="394"/>
      <c r="AJ3232" s="394"/>
      <c r="AK3232" s="381"/>
      <c r="AL3232" s="408"/>
      <c r="AM3232" s="385"/>
      <c r="AN3232" s="475"/>
      <c r="AO3232" s="395"/>
      <c r="AP3232" s="395"/>
      <c r="AQ3232" s="528"/>
      <c r="AR3232" s="523">
        <v>1</v>
      </c>
      <c r="AS3232" s="393"/>
      <c r="AT3232" s="600">
        <v>19.569179999999999</v>
      </c>
      <c r="AU3232" s="394">
        <v>16.318200000000001</v>
      </c>
      <c r="AV3232" s="394">
        <v>15.33417</v>
      </c>
      <c r="AW3232" s="394"/>
      <c r="AX3232" s="394"/>
      <c r="AY3232" s="394">
        <v>0</v>
      </c>
      <c r="AZ3232" s="394">
        <v>0</v>
      </c>
      <c r="BA3232" s="394">
        <v>0.75790000000000002</v>
      </c>
      <c r="BB3232" s="394">
        <v>15.33417</v>
      </c>
      <c r="BC3232" s="394"/>
      <c r="BD3232" s="381" t="s">
        <v>167</v>
      </c>
      <c r="BE3232" s="408" t="s">
        <v>175</v>
      </c>
      <c r="BF3232" s="385"/>
      <c r="BG3232" s="475">
        <v>1194</v>
      </c>
      <c r="BH3232" s="395"/>
      <c r="BI3232" s="395">
        <f t="shared" si="1260"/>
        <v>19.569179999999999</v>
      </c>
    </row>
    <row r="3233" spans="1:61" s="358" customFormat="1" ht="19.2" x14ac:dyDescent="0.3">
      <c r="A3233" s="359" t="s">
        <v>2186</v>
      </c>
      <c r="B3233" s="602" t="s">
        <v>6067</v>
      </c>
      <c r="C3233" s="548" t="s">
        <v>6068</v>
      </c>
      <c r="D3233" s="360">
        <v>0.4</v>
      </c>
      <c r="E3233" s="528"/>
      <c r="F3233" s="523"/>
      <c r="G3233" s="393"/>
      <c r="H3233" s="394"/>
      <c r="I3233" s="394"/>
      <c r="J3233" s="394"/>
      <c r="K3233" s="394"/>
      <c r="L3233" s="394"/>
      <c r="M3233" s="394"/>
      <c r="N3233" s="394"/>
      <c r="O3233" s="394"/>
      <c r="P3233" s="394"/>
      <c r="Q3233" s="394"/>
      <c r="R3233" s="381"/>
      <c r="S3233" s="408"/>
      <c r="T3233" s="385"/>
      <c r="U3233" s="475"/>
      <c r="V3233" s="395"/>
      <c r="W3233" s="395"/>
      <c r="X3233" s="528"/>
      <c r="Y3233" s="523"/>
      <c r="Z3233" s="393"/>
      <c r="AA3233" s="394"/>
      <c r="AB3233" s="394"/>
      <c r="AC3233" s="394"/>
      <c r="AD3233" s="394"/>
      <c r="AE3233" s="394"/>
      <c r="AF3233" s="394"/>
      <c r="AG3233" s="394"/>
      <c r="AH3233" s="394"/>
      <c r="AI3233" s="394"/>
      <c r="AJ3233" s="394"/>
      <c r="AK3233" s="381"/>
      <c r="AL3233" s="408"/>
      <c r="AM3233" s="385"/>
      <c r="AN3233" s="475"/>
      <c r="AO3233" s="395"/>
      <c r="AP3233" s="395"/>
      <c r="AQ3233" s="528"/>
      <c r="AR3233" s="523">
        <v>1</v>
      </c>
      <c r="AS3233" s="393"/>
      <c r="AT3233" s="600">
        <v>19.56917</v>
      </c>
      <c r="AU3233" s="394">
        <v>16.318190000000001</v>
      </c>
      <c r="AV3233" s="394">
        <v>15.33417</v>
      </c>
      <c r="AW3233" s="394"/>
      <c r="AX3233" s="394"/>
      <c r="AY3233" s="394">
        <v>0</v>
      </c>
      <c r="AZ3233" s="394">
        <v>0</v>
      </c>
      <c r="BA3233" s="394">
        <v>0.75790000000000002</v>
      </c>
      <c r="BB3233" s="394">
        <v>15.33417</v>
      </c>
      <c r="BC3233" s="394"/>
      <c r="BD3233" s="381" t="s">
        <v>167</v>
      </c>
      <c r="BE3233" s="408" t="s">
        <v>175</v>
      </c>
      <c r="BF3233" s="385"/>
      <c r="BG3233" s="475">
        <v>1195</v>
      </c>
      <c r="BH3233" s="395"/>
      <c r="BI3233" s="395">
        <f t="shared" si="1260"/>
        <v>19.56917</v>
      </c>
    </row>
    <row r="3234" spans="1:61" s="358" customFormat="1" ht="19.2" x14ac:dyDescent="0.3">
      <c r="A3234" s="359" t="s">
        <v>2187</v>
      </c>
      <c r="B3234" s="602" t="s">
        <v>1486</v>
      </c>
      <c r="C3234" s="548" t="s">
        <v>6069</v>
      </c>
      <c r="D3234" s="360">
        <v>0.4</v>
      </c>
      <c r="E3234" s="528"/>
      <c r="F3234" s="523"/>
      <c r="G3234" s="393"/>
      <c r="H3234" s="394"/>
      <c r="I3234" s="394"/>
      <c r="J3234" s="394"/>
      <c r="K3234" s="394"/>
      <c r="L3234" s="394"/>
      <c r="M3234" s="394"/>
      <c r="N3234" s="394"/>
      <c r="O3234" s="394"/>
      <c r="P3234" s="394"/>
      <c r="Q3234" s="394"/>
      <c r="R3234" s="381"/>
      <c r="S3234" s="408"/>
      <c r="T3234" s="385"/>
      <c r="U3234" s="475"/>
      <c r="V3234" s="395"/>
      <c r="W3234" s="395"/>
      <c r="X3234" s="528"/>
      <c r="Y3234" s="523"/>
      <c r="Z3234" s="393"/>
      <c r="AA3234" s="394"/>
      <c r="AB3234" s="394"/>
      <c r="AC3234" s="394"/>
      <c r="AD3234" s="394"/>
      <c r="AE3234" s="394"/>
      <c r="AF3234" s="394"/>
      <c r="AG3234" s="394"/>
      <c r="AH3234" s="394"/>
      <c r="AI3234" s="394"/>
      <c r="AJ3234" s="394"/>
      <c r="AK3234" s="381"/>
      <c r="AL3234" s="408"/>
      <c r="AM3234" s="385"/>
      <c r="AN3234" s="475"/>
      <c r="AO3234" s="395"/>
      <c r="AP3234" s="395"/>
      <c r="AQ3234" s="528"/>
      <c r="AR3234" s="523">
        <v>1</v>
      </c>
      <c r="AS3234" s="393"/>
      <c r="AT3234" s="600">
        <v>19.56917</v>
      </c>
      <c r="AU3234" s="394">
        <v>16.318190000000001</v>
      </c>
      <c r="AV3234" s="394">
        <v>15.33417</v>
      </c>
      <c r="AW3234" s="394"/>
      <c r="AX3234" s="394"/>
      <c r="AY3234" s="394">
        <v>0</v>
      </c>
      <c r="AZ3234" s="394">
        <v>0</v>
      </c>
      <c r="BA3234" s="394">
        <v>0.75790000000000002</v>
      </c>
      <c r="BB3234" s="394">
        <v>15.33417</v>
      </c>
      <c r="BC3234" s="394"/>
      <c r="BD3234" s="381" t="s">
        <v>167</v>
      </c>
      <c r="BE3234" s="408" t="s">
        <v>175</v>
      </c>
      <c r="BF3234" s="385"/>
      <c r="BG3234" s="475">
        <v>1196</v>
      </c>
      <c r="BH3234" s="395"/>
      <c r="BI3234" s="395">
        <f t="shared" si="1260"/>
        <v>19.56917</v>
      </c>
    </row>
    <row r="3235" spans="1:61" s="358" customFormat="1" ht="19.2" x14ac:dyDescent="0.3">
      <c r="A3235" s="359" t="s">
        <v>2188</v>
      </c>
      <c r="B3235" s="602" t="s">
        <v>6070</v>
      </c>
      <c r="C3235" s="548" t="s">
        <v>6071</v>
      </c>
      <c r="D3235" s="360">
        <v>0.4</v>
      </c>
      <c r="E3235" s="528"/>
      <c r="F3235" s="523"/>
      <c r="G3235" s="393"/>
      <c r="H3235" s="394"/>
      <c r="I3235" s="394"/>
      <c r="J3235" s="394"/>
      <c r="K3235" s="394"/>
      <c r="L3235" s="394"/>
      <c r="M3235" s="394"/>
      <c r="N3235" s="394"/>
      <c r="O3235" s="394"/>
      <c r="P3235" s="394"/>
      <c r="Q3235" s="394"/>
      <c r="R3235" s="381"/>
      <c r="S3235" s="408"/>
      <c r="T3235" s="385"/>
      <c r="U3235" s="475"/>
      <c r="V3235" s="395"/>
      <c r="W3235" s="395"/>
      <c r="X3235" s="528"/>
      <c r="Y3235" s="523"/>
      <c r="Z3235" s="393"/>
      <c r="AA3235" s="394"/>
      <c r="AB3235" s="394"/>
      <c r="AC3235" s="394"/>
      <c r="AD3235" s="394"/>
      <c r="AE3235" s="394"/>
      <c r="AF3235" s="394"/>
      <c r="AG3235" s="394"/>
      <c r="AH3235" s="394"/>
      <c r="AI3235" s="394"/>
      <c r="AJ3235" s="394"/>
      <c r="AK3235" s="381"/>
      <c r="AL3235" s="408"/>
      <c r="AM3235" s="385"/>
      <c r="AN3235" s="475"/>
      <c r="AO3235" s="395"/>
      <c r="AP3235" s="395"/>
      <c r="AQ3235" s="528"/>
      <c r="AR3235" s="523">
        <v>1</v>
      </c>
      <c r="AS3235" s="393"/>
      <c r="AT3235" s="600">
        <v>19.569199999999999</v>
      </c>
      <c r="AU3235" s="394">
        <v>16.31822</v>
      </c>
      <c r="AV3235" s="394">
        <v>15.33417</v>
      </c>
      <c r="AW3235" s="394"/>
      <c r="AX3235" s="394"/>
      <c r="AY3235" s="394">
        <v>0</v>
      </c>
      <c r="AZ3235" s="394">
        <v>0</v>
      </c>
      <c r="BA3235" s="394">
        <v>0.75790000000000002</v>
      </c>
      <c r="BB3235" s="394">
        <v>15.33417</v>
      </c>
      <c r="BC3235" s="394"/>
      <c r="BD3235" s="381" t="s">
        <v>167</v>
      </c>
      <c r="BE3235" s="408" t="s">
        <v>175</v>
      </c>
      <c r="BF3235" s="385"/>
      <c r="BG3235" s="475">
        <v>1197</v>
      </c>
      <c r="BH3235" s="395"/>
      <c r="BI3235" s="395">
        <f t="shared" ref="BI3235" si="1261">AT3235/AR3235</f>
        <v>19.569199999999999</v>
      </c>
    </row>
    <row r="3236" spans="1:61" s="358" customFormat="1" ht="19.2" x14ac:dyDescent="0.3">
      <c r="A3236" s="359" t="s">
        <v>2189</v>
      </c>
      <c r="B3236" s="602" t="s">
        <v>6072</v>
      </c>
      <c r="C3236" s="548" t="s">
        <v>6073</v>
      </c>
      <c r="D3236" s="360">
        <v>0.4</v>
      </c>
      <c r="E3236" s="528"/>
      <c r="F3236" s="523"/>
      <c r="G3236" s="393"/>
      <c r="H3236" s="394"/>
      <c r="I3236" s="394"/>
      <c r="J3236" s="394"/>
      <c r="K3236" s="394"/>
      <c r="L3236" s="394"/>
      <c r="M3236" s="394"/>
      <c r="N3236" s="394"/>
      <c r="O3236" s="394"/>
      <c r="P3236" s="394"/>
      <c r="Q3236" s="394"/>
      <c r="R3236" s="381"/>
      <c r="S3236" s="408"/>
      <c r="T3236" s="385"/>
      <c r="U3236" s="475"/>
      <c r="V3236" s="395"/>
      <c r="W3236" s="395"/>
      <c r="X3236" s="528"/>
      <c r="Y3236" s="523"/>
      <c r="Z3236" s="393"/>
      <c r="AA3236" s="394"/>
      <c r="AB3236" s="394"/>
      <c r="AC3236" s="394"/>
      <c r="AD3236" s="394"/>
      <c r="AE3236" s="394"/>
      <c r="AF3236" s="394"/>
      <c r="AG3236" s="394"/>
      <c r="AH3236" s="394"/>
      <c r="AI3236" s="394"/>
      <c r="AJ3236" s="394"/>
      <c r="AK3236" s="381"/>
      <c r="AL3236" s="408"/>
      <c r="AM3236" s="385"/>
      <c r="AN3236" s="475"/>
      <c r="AO3236" s="395"/>
      <c r="AP3236" s="395"/>
      <c r="AQ3236" s="528"/>
      <c r="AR3236" s="523">
        <v>1</v>
      </c>
      <c r="AS3236" s="393"/>
      <c r="AT3236" s="600">
        <v>19.56917</v>
      </c>
      <c r="AU3236" s="394">
        <v>16.318190000000001</v>
      </c>
      <c r="AV3236" s="394">
        <v>15.33417</v>
      </c>
      <c r="AW3236" s="394"/>
      <c r="AX3236" s="394"/>
      <c r="AY3236" s="394">
        <v>0</v>
      </c>
      <c r="AZ3236" s="394">
        <v>0</v>
      </c>
      <c r="BA3236" s="394">
        <v>0.75790000000000002</v>
      </c>
      <c r="BB3236" s="394">
        <v>15.33417</v>
      </c>
      <c r="BC3236" s="394"/>
      <c r="BD3236" s="381" t="s">
        <v>167</v>
      </c>
      <c r="BE3236" s="408" t="s">
        <v>175</v>
      </c>
      <c r="BF3236" s="385"/>
      <c r="BG3236" s="475">
        <v>1198</v>
      </c>
      <c r="BH3236" s="395"/>
      <c r="BI3236" s="395">
        <f t="shared" si="1224"/>
        <v>19.56917</v>
      </c>
    </row>
    <row r="3237" spans="1:61" s="358" customFormat="1" ht="19.2" x14ac:dyDescent="0.3">
      <c r="A3237" s="359" t="s">
        <v>2190</v>
      </c>
      <c r="B3237" s="602" t="s">
        <v>6074</v>
      </c>
      <c r="C3237" s="548" t="s">
        <v>6075</v>
      </c>
      <c r="D3237" s="360">
        <v>0.4</v>
      </c>
      <c r="E3237" s="528"/>
      <c r="F3237" s="523"/>
      <c r="G3237" s="393"/>
      <c r="H3237" s="394"/>
      <c r="I3237" s="394"/>
      <c r="J3237" s="394"/>
      <c r="K3237" s="394"/>
      <c r="L3237" s="394"/>
      <c r="M3237" s="394"/>
      <c r="N3237" s="394"/>
      <c r="O3237" s="394"/>
      <c r="P3237" s="394"/>
      <c r="Q3237" s="394"/>
      <c r="R3237" s="381"/>
      <c r="S3237" s="408"/>
      <c r="T3237" s="385"/>
      <c r="U3237" s="475"/>
      <c r="V3237" s="395"/>
      <c r="W3237" s="395"/>
      <c r="X3237" s="528"/>
      <c r="Y3237" s="523"/>
      <c r="Z3237" s="393"/>
      <c r="AA3237" s="394"/>
      <c r="AB3237" s="394"/>
      <c r="AC3237" s="394"/>
      <c r="AD3237" s="394"/>
      <c r="AE3237" s="394"/>
      <c r="AF3237" s="394"/>
      <c r="AG3237" s="394"/>
      <c r="AH3237" s="394"/>
      <c r="AI3237" s="394"/>
      <c r="AJ3237" s="394"/>
      <c r="AK3237" s="381"/>
      <c r="AL3237" s="408"/>
      <c r="AM3237" s="385"/>
      <c r="AN3237" s="475"/>
      <c r="AO3237" s="395"/>
      <c r="AP3237" s="395"/>
      <c r="AQ3237" s="528"/>
      <c r="AR3237" s="523">
        <v>1</v>
      </c>
      <c r="AS3237" s="393"/>
      <c r="AT3237" s="600">
        <v>19.569199999999999</v>
      </c>
      <c r="AU3237" s="394">
        <v>16.31822</v>
      </c>
      <c r="AV3237" s="394">
        <v>15.33417</v>
      </c>
      <c r="AW3237" s="394"/>
      <c r="AX3237" s="394"/>
      <c r="AY3237" s="394">
        <v>0</v>
      </c>
      <c r="AZ3237" s="394">
        <v>0</v>
      </c>
      <c r="BA3237" s="394">
        <v>0.75790000000000002</v>
      </c>
      <c r="BB3237" s="394">
        <v>15.33417</v>
      </c>
      <c r="BC3237" s="394"/>
      <c r="BD3237" s="381" t="s">
        <v>167</v>
      </c>
      <c r="BE3237" s="408" t="s">
        <v>175</v>
      </c>
      <c r="BF3237" s="385"/>
      <c r="BG3237" s="475">
        <v>1199</v>
      </c>
      <c r="BH3237" s="395"/>
      <c r="BI3237" s="395">
        <f t="shared" ref="BI3237" si="1262">AT3237/AR3237</f>
        <v>19.569199999999999</v>
      </c>
    </row>
    <row r="3238" spans="1:61" s="358" customFormat="1" ht="19.2" x14ac:dyDescent="0.3">
      <c r="A3238" s="359" t="s">
        <v>2191</v>
      </c>
      <c r="B3238" s="602" t="s">
        <v>4917</v>
      </c>
      <c r="C3238" s="548" t="s">
        <v>4916</v>
      </c>
      <c r="D3238" s="360">
        <v>0.4</v>
      </c>
      <c r="E3238" s="528"/>
      <c r="F3238" s="523"/>
      <c r="G3238" s="393"/>
      <c r="H3238" s="394"/>
      <c r="I3238" s="394"/>
      <c r="J3238" s="394"/>
      <c r="K3238" s="394"/>
      <c r="L3238" s="394"/>
      <c r="M3238" s="394"/>
      <c r="N3238" s="394"/>
      <c r="O3238" s="394"/>
      <c r="P3238" s="394"/>
      <c r="Q3238" s="394"/>
      <c r="R3238" s="381"/>
      <c r="S3238" s="408"/>
      <c r="T3238" s="385"/>
      <c r="U3238" s="475"/>
      <c r="V3238" s="395"/>
      <c r="W3238" s="395"/>
      <c r="X3238" s="528"/>
      <c r="Y3238" s="523"/>
      <c r="Z3238" s="393"/>
      <c r="AA3238" s="394"/>
      <c r="AB3238" s="394"/>
      <c r="AC3238" s="394"/>
      <c r="AD3238" s="394"/>
      <c r="AE3238" s="394"/>
      <c r="AF3238" s="394"/>
      <c r="AG3238" s="394"/>
      <c r="AH3238" s="394"/>
      <c r="AI3238" s="394"/>
      <c r="AJ3238" s="394"/>
      <c r="AK3238" s="381"/>
      <c r="AL3238" s="408"/>
      <c r="AM3238" s="385"/>
      <c r="AN3238" s="475"/>
      <c r="AO3238" s="395"/>
      <c r="AP3238" s="395"/>
      <c r="AQ3238" s="528"/>
      <c r="AR3238" s="523">
        <v>1</v>
      </c>
      <c r="AS3238" s="393"/>
      <c r="AT3238" s="600">
        <v>19.569199999999999</v>
      </c>
      <c r="AU3238" s="394">
        <v>16.31822</v>
      </c>
      <c r="AV3238" s="394">
        <v>15.33417</v>
      </c>
      <c r="AW3238" s="394"/>
      <c r="AX3238" s="394"/>
      <c r="AY3238" s="394">
        <v>0</v>
      </c>
      <c r="AZ3238" s="394">
        <v>0</v>
      </c>
      <c r="BA3238" s="394">
        <v>0.75790000000000002</v>
      </c>
      <c r="BB3238" s="394">
        <v>15.33417</v>
      </c>
      <c r="BC3238" s="394"/>
      <c r="BD3238" s="381" t="s">
        <v>167</v>
      </c>
      <c r="BE3238" s="408" t="s">
        <v>175</v>
      </c>
      <c r="BF3238" s="385"/>
      <c r="BG3238" s="475">
        <v>1200</v>
      </c>
      <c r="BH3238" s="395"/>
      <c r="BI3238" s="395">
        <f t="shared" si="1224"/>
        <v>19.569199999999999</v>
      </c>
    </row>
    <row r="3239" spans="1:61" s="358" customFormat="1" ht="19.2" x14ac:dyDescent="0.3">
      <c r="A3239" s="359" t="s">
        <v>2192</v>
      </c>
      <c r="B3239" s="602" t="s">
        <v>6076</v>
      </c>
      <c r="C3239" s="548" t="s">
        <v>6077</v>
      </c>
      <c r="D3239" s="360">
        <v>0.4</v>
      </c>
      <c r="E3239" s="528"/>
      <c r="F3239" s="523"/>
      <c r="G3239" s="393"/>
      <c r="H3239" s="394"/>
      <c r="I3239" s="394"/>
      <c r="J3239" s="394"/>
      <c r="K3239" s="394"/>
      <c r="L3239" s="394"/>
      <c r="M3239" s="394"/>
      <c r="N3239" s="394"/>
      <c r="O3239" s="394"/>
      <c r="P3239" s="394"/>
      <c r="Q3239" s="394"/>
      <c r="R3239" s="381"/>
      <c r="S3239" s="408"/>
      <c r="T3239" s="385"/>
      <c r="U3239" s="475"/>
      <c r="V3239" s="395"/>
      <c r="W3239" s="395"/>
      <c r="X3239" s="528"/>
      <c r="Y3239" s="523"/>
      <c r="Z3239" s="393"/>
      <c r="AA3239" s="394"/>
      <c r="AB3239" s="394"/>
      <c r="AC3239" s="394"/>
      <c r="AD3239" s="394"/>
      <c r="AE3239" s="394"/>
      <c r="AF3239" s="394"/>
      <c r="AG3239" s="394"/>
      <c r="AH3239" s="394"/>
      <c r="AI3239" s="394"/>
      <c r="AJ3239" s="394"/>
      <c r="AK3239" s="381"/>
      <c r="AL3239" s="408"/>
      <c r="AM3239" s="385"/>
      <c r="AN3239" s="475"/>
      <c r="AO3239" s="395"/>
      <c r="AP3239" s="395"/>
      <c r="AQ3239" s="528"/>
      <c r="AR3239" s="523">
        <v>1</v>
      </c>
      <c r="AS3239" s="393"/>
      <c r="AT3239" s="600">
        <v>19.56917</v>
      </c>
      <c r="AU3239" s="394">
        <v>16.318190000000001</v>
      </c>
      <c r="AV3239" s="394">
        <v>15.33417</v>
      </c>
      <c r="AW3239" s="394"/>
      <c r="AX3239" s="394"/>
      <c r="AY3239" s="394">
        <v>0</v>
      </c>
      <c r="AZ3239" s="394">
        <v>0</v>
      </c>
      <c r="BA3239" s="394">
        <v>0.75790000000000002</v>
      </c>
      <c r="BB3239" s="394">
        <v>15.33417</v>
      </c>
      <c r="BC3239" s="394"/>
      <c r="BD3239" s="381" t="s">
        <v>167</v>
      </c>
      <c r="BE3239" s="408" t="s">
        <v>175</v>
      </c>
      <c r="BF3239" s="385"/>
      <c r="BG3239" s="475">
        <v>1201</v>
      </c>
      <c r="BH3239" s="395"/>
      <c r="BI3239" s="395">
        <f t="shared" ref="BI3239" si="1263">AT3239/AR3239</f>
        <v>19.56917</v>
      </c>
    </row>
    <row r="3240" spans="1:61" s="358" customFormat="1" ht="19.2" x14ac:dyDescent="0.3">
      <c r="A3240" s="359" t="s">
        <v>2193</v>
      </c>
      <c r="B3240" s="602" t="s">
        <v>6078</v>
      </c>
      <c r="C3240" s="548" t="s">
        <v>6079</v>
      </c>
      <c r="D3240" s="360">
        <v>0.4</v>
      </c>
      <c r="E3240" s="528"/>
      <c r="F3240" s="523"/>
      <c r="G3240" s="393"/>
      <c r="H3240" s="394"/>
      <c r="I3240" s="394"/>
      <c r="J3240" s="394"/>
      <c r="K3240" s="394"/>
      <c r="L3240" s="394"/>
      <c r="M3240" s="394"/>
      <c r="N3240" s="394"/>
      <c r="O3240" s="394"/>
      <c r="P3240" s="394"/>
      <c r="Q3240" s="394"/>
      <c r="R3240" s="381"/>
      <c r="S3240" s="408"/>
      <c r="T3240" s="385"/>
      <c r="U3240" s="475"/>
      <c r="V3240" s="395"/>
      <c r="W3240" s="395"/>
      <c r="X3240" s="528"/>
      <c r="Y3240" s="523"/>
      <c r="Z3240" s="393"/>
      <c r="AA3240" s="394"/>
      <c r="AB3240" s="394"/>
      <c r="AC3240" s="394"/>
      <c r="AD3240" s="394"/>
      <c r="AE3240" s="394"/>
      <c r="AF3240" s="394"/>
      <c r="AG3240" s="394"/>
      <c r="AH3240" s="394"/>
      <c r="AI3240" s="394"/>
      <c r="AJ3240" s="394"/>
      <c r="AK3240" s="381"/>
      <c r="AL3240" s="408"/>
      <c r="AM3240" s="385"/>
      <c r="AN3240" s="475"/>
      <c r="AO3240" s="395"/>
      <c r="AP3240" s="395"/>
      <c r="AQ3240" s="528"/>
      <c r="AR3240" s="523">
        <v>1</v>
      </c>
      <c r="AS3240" s="393"/>
      <c r="AT3240" s="600">
        <v>19.56917</v>
      </c>
      <c r="AU3240" s="394">
        <v>16.318190000000001</v>
      </c>
      <c r="AV3240" s="394">
        <v>15.33417</v>
      </c>
      <c r="AW3240" s="394"/>
      <c r="AX3240" s="394"/>
      <c r="AY3240" s="394">
        <v>0</v>
      </c>
      <c r="AZ3240" s="394">
        <v>0</v>
      </c>
      <c r="BA3240" s="394">
        <v>0.75790000000000002</v>
      </c>
      <c r="BB3240" s="394">
        <v>15.33417</v>
      </c>
      <c r="BC3240" s="394"/>
      <c r="BD3240" s="381" t="s">
        <v>167</v>
      </c>
      <c r="BE3240" s="408" t="s">
        <v>175</v>
      </c>
      <c r="BF3240" s="385"/>
      <c r="BG3240" s="475">
        <v>1202</v>
      </c>
      <c r="BH3240" s="395"/>
      <c r="BI3240" s="395">
        <f t="shared" si="1224"/>
        <v>19.56917</v>
      </c>
    </row>
    <row r="3241" spans="1:61" s="358" customFormat="1" ht="19.2" x14ac:dyDescent="0.3">
      <c r="A3241" s="359" t="s">
        <v>2194</v>
      </c>
      <c r="B3241" s="602" t="s">
        <v>5322</v>
      </c>
      <c r="C3241" s="548" t="s">
        <v>6080</v>
      </c>
      <c r="D3241" s="360">
        <v>0.4</v>
      </c>
      <c r="E3241" s="528"/>
      <c r="F3241" s="523"/>
      <c r="G3241" s="393"/>
      <c r="H3241" s="394"/>
      <c r="I3241" s="394"/>
      <c r="J3241" s="394"/>
      <c r="K3241" s="394"/>
      <c r="L3241" s="394"/>
      <c r="M3241" s="394"/>
      <c r="N3241" s="394"/>
      <c r="O3241" s="394"/>
      <c r="P3241" s="394"/>
      <c r="Q3241" s="394"/>
      <c r="R3241" s="381"/>
      <c r="S3241" s="408"/>
      <c r="T3241" s="385"/>
      <c r="U3241" s="475"/>
      <c r="V3241" s="395"/>
      <c r="W3241" s="395"/>
      <c r="X3241" s="528"/>
      <c r="Y3241" s="523"/>
      <c r="Z3241" s="393"/>
      <c r="AA3241" s="394"/>
      <c r="AB3241" s="394"/>
      <c r="AC3241" s="394"/>
      <c r="AD3241" s="394"/>
      <c r="AE3241" s="394"/>
      <c r="AF3241" s="394"/>
      <c r="AG3241" s="394"/>
      <c r="AH3241" s="394"/>
      <c r="AI3241" s="394"/>
      <c r="AJ3241" s="394"/>
      <c r="AK3241" s="381"/>
      <c r="AL3241" s="408"/>
      <c r="AM3241" s="385"/>
      <c r="AN3241" s="475"/>
      <c r="AO3241" s="395"/>
      <c r="AP3241" s="395"/>
      <c r="AQ3241" s="528"/>
      <c r="AR3241" s="523">
        <v>1</v>
      </c>
      <c r="AS3241" s="393"/>
      <c r="AT3241" s="600">
        <v>19.569199999999999</v>
      </c>
      <c r="AU3241" s="394">
        <v>16.31822</v>
      </c>
      <c r="AV3241" s="394">
        <v>15.33417</v>
      </c>
      <c r="AW3241" s="394"/>
      <c r="AX3241" s="394"/>
      <c r="AY3241" s="394">
        <v>0</v>
      </c>
      <c r="AZ3241" s="394">
        <v>0</v>
      </c>
      <c r="BA3241" s="394">
        <v>0.75790000000000002</v>
      </c>
      <c r="BB3241" s="394">
        <v>15.33417</v>
      </c>
      <c r="BC3241" s="394"/>
      <c r="BD3241" s="381" t="s">
        <v>167</v>
      </c>
      <c r="BE3241" s="408" t="s">
        <v>175</v>
      </c>
      <c r="BF3241" s="385"/>
      <c r="BG3241" s="475">
        <v>1203</v>
      </c>
      <c r="BH3241" s="395"/>
      <c r="BI3241" s="395">
        <f t="shared" ref="BI3241" si="1264">AT3241/AR3241</f>
        <v>19.569199999999999</v>
      </c>
    </row>
    <row r="3242" spans="1:61" s="358" customFormat="1" ht="19.2" x14ac:dyDescent="0.3">
      <c r="A3242" s="359" t="s">
        <v>2195</v>
      </c>
      <c r="B3242" s="602" t="s">
        <v>5322</v>
      </c>
      <c r="C3242" s="548" t="s">
        <v>6081</v>
      </c>
      <c r="D3242" s="360">
        <v>0.4</v>
      </c>
      <c r="E3242" s="528"/>
      <c r="F3242" s="523"/>
      <c r="G3242" s="393"/>
      <c r="H3242" s="394"/>
      <c r="I3242" s="394"/>
      <c r="J3242" s="394"/>
      <c r="K3242" s="394"/>
      <c r="L3242" s="394"/>
      <c r="M3242" s="394"/>
      <c r="N3242" s="394"/>
      <c r="O3242" s="394"/>
      <c r="P3242" s="394"/>
      <c r="Q3242" s="394"/>
      <c r="R3242" s="381"/>
      <c r="S3242" s="408"/>
      <c r="T3242" s="385"/>
      <c r="U3242" s="475"/>
      <c r="V3242" s="395"/>
      <c r="W3242" s="395"/>
      <c r="X3242" s="528"/>
      <c r="Y3242" s="523"/>
      <c r="Z3242" s="393"/>
      <c r="AA3242" s="394"/>
      <c r="AB3242" s="394"/>
      <c r="AC3242" s="394"/>
      <c r="AD3242" s="394"/>
      <c r="AE3242" s="394"/>
      <c r="AF3242" s="394"/>
      <c r="AG3242" s="394"/>
      <c r="AH3242" s="394"/>
      <c r="AI3242" s="394"/>
      <c r="AJ3242" s="394"/>
      <c r="AK3242" s="381"/>
      <c r="AL3242" s="408"/>
      <c r="AM3242" s="385"/>
      <c r="AN3242" s="475"/>
      <c r="AO3242" s="395"/>
      <c r="AP3242" s="395"/>
      <c r="AQ3242" s="528"/>
      <c r="AR3242" s="523">
        <v>1</v>
      </c>
      <c r="AS3242" s="393"/>
      <c r="AT3242" s="600">
        <v>19.56917</v>
      </c>
      <c r="AU3242" s="394">
        <v>16.318190000000001</v>
      </c>
      <c r="AV3242" s="394">
        <v>15.33417</v>
      </c>
      <c r="AW3242" s="394"/>
      <c r="AX3242" s="394"/>
      <c r="AY3242" s="394">
        <v>0</v>
      </c>
      <c r="AZ3242" s="394">
        <v>0</v>
      </c>
      <c r="BA3242" s="394">
        <v>0.75790000000000002</v>
      </c>
      <c r="BB3242" s="394">
        <v>15.33417</v>
      </c>
      <c r="BC3242" s="394"/>
      <c r="BD3242" s="381" t="s">
        <v>167</v>
      </c>
      <c r="BE3242" s="408" t="s">
        <v>175</v>
      </c>
      <c r="BF3242" s="385"/>
      <c r="BG3242" s="475">
        <v>1204</v>
      </c>
      <c r="BH3242" s="395"/>
      <c r="BI3242" s="395">
        <f t="shared" si="1224"/>
        <v>19.56917</v>
      </c>
    </row>
    <row r="3243" spans="1:61" s="358" customFormat="1" ht="19.2" x14ac:dyDescent="0.3">
      <c r="A3243" s="359" t="s">
        <v>2196</v>
      </c>
      <c r="B3243" s="602" t="s">
        <v>5322</v>
      </c>
      <c r="C3243" s="548" t="s">
        <v>6082</v>
      </c>
      <c r="D3243" s="360">
        <v>0.4</v>
      </c>
      <c r="E3243" s="528"/>
      <c r="F3243" s="523"/>
      <c r="G3243" s="393"/>
      <c r="H3243" s="394"/>
      <c r="I3243" s="394"/>
      <c r="J3243" s="394"/>
      <c r="K3243" s="394"/>
      <c r="L3243" s="394"/>
      <c r="M3243" s="394"/>
      <c r="N3243" s="394"/>
      <c r="O3243" s="394"/>
      <c r="P3243" s="394"/>
      <c r="Q3243" s="394"/>
      <c r="R3243" s="381"/>
      <c r="S3243" s="408"/>
      <c r="T3243" s="385"/>
      <c r="U3243" s="475"/>
      <c r="V3243" s="395"/>
      <c r="W3243" s="395"/>
      <c r="X3243" s="528"/>
      <c r="Y3243" s="523"/>
      <c r="Z3243" s="393"/>
      <c r="AA3243" s="394"/>
      <c r="AB3243" s="394"/>
      <c r="AC3243" s="394"/>
      <c r="AD3243" s="394"/>
      <c r="AE3243" s="394"/>
      <c r="AF3243" s="394"/>
      <c r="AG3243" s="394"/>
      <c r="AH3243" s="394"/>
      <c r="AI3243" s="394"/>
      <c r="AJ3243" s="394"/>
      <c r="AK3243" s="381"/>
      <c r="AL3243" s="408"/>
      <c r="AM3243" s="385"/>
      <c r="AN3243" s="475"/>
      <c r="AO3243" s="395"/>
      <c r="AP3243" s="395"/>
      <c r="AQ3243" s="528"/>
      <c r="AR3243" s="523">
        <v>1</v>
      </c>
      <c r="AS3243" s="393"/>
      <c r="AT3243" s="600">
        <v>19.569199999999999</v>
      </c>
      <c r="AU3243" s="394">
        <v>16.31822</v>
      </c>
      <c r="AV3243" s="394">
        <v>15.33417</v>
      </c>
      <c r="AW3243" s="394"/>
      <c r="AX3243" s="394"/>
      <c r="AY3243" s="394">
        <v>0</v>
      </c>
      <c r="AZ3243" s="394">
        <v>0</v>
      </c>
      <c r="BA3243" s="394">
        <v>0.75790000000000002</v>
      </c>
      <c r="BB3243" s="394">
        <v>15.33417</v>
      </c>
      <c r="BC3243" s="394"/>
      <c r="BD3243" s="381" t="s">
        <v>167</v>
      </c>
      <c r="BE3243" s="408" t="s">
        <v>175</v>
      </c>
      <c r="BF3243" s="385"/>
      <c r="BG3243" s="475">
        <v>1205</v>
      </c>
      <c r="BH3243" s="395"/>
      <c r="BI3243" s="395">
        <f t="shared" ref="BI3243:BI3326" si="1265">AT3243/AR3243</f>
        <v>19.569199999999999</v>
      </c>
    </row>
    <row r="3244" spans="1:61" s="358" customFormat="1" ht="19.2" x14ac:dyDescent="0.3">
      <c r="A3244" s="359" t="s">
        <v>2197</v>
      </c>
      <c r="B3244" s="602" t="s">
        <v>5322</v>
      </c>
      <c r="C3244" s="548" t="s">
        <v>6083</v>
      </c>
      <c r="D3244" s="360">
        <v>0.4</v>
      </c>
      <c r="E3244" s="528"/>
      <c r="F3244" s="523"/>
      <c r="G3244" s="393"/>
      <c r="H3244" s="394"/>
      <c r="I3244" s="394"/>
      <c r="J3244" s="394"/>
      <c r="K3244" s="394"/>
      <c r="L3244" s="394"/>
      <c r="M3244" s="394"/>
      <c r="N3244" s="394"/>
      <c r="O3244" s="394"/>
      <c r="P3244" s="394"/>
      <c r="Q3244" s="394"/>
      <c r="R3244" s="381"/>
      <c r="S3244" s="408"/>
      <c r="T3244" s="385"/>
      <c r="U3244" s="475"/>
      <c r="V3244" s="395"/>
      <c r="W3244" s="395"/>
      <c r="X3244" s="528"/>
      <c r="Y3244" s="523"/>
      <c r="Z3244" s="393"/>
      <c r="AA3244" s="394"/>
      <c r="AB3244" s="394"/>
      <c r="AC3244" s="394"/>
      <c r="AD3244" s="394"/>
      <c r="AE3244" s="394"/>
      <c r="AF3244" s="394"/>
      <c r="AG3244" s="394"/>
      <c r="AH3244" s="394"/>
      <c r="AI3244" s="394"/>
      <c r="AJ3244" s="394"/>
      <c r="AK3244" s="381"/>
      <c r="AL3244" s="408"/>
      <c r="AM3244" s="385"/>
      <c r="AN3244" s="475"/>
      <c r="AO3244" s="395"/>
      <c r="AP3244" s="395"/>
      <c r="AQ3244" s="528"/>
      <c r="AR3244" s="523">
        <v>1</v>
      </c>
      <c r="AS3244" s="393"/>
      <c r="AT3244" s="600">
        <v>19.56915</v>
      </c>
      <c r="AU3244" s="394">
        <v>16.318169999999999</v>
      </c>
      <c r="AV3244" s="394">
        <v>15.33417</v>
      </c>
      <c r="AW3244" s="394"/>
      <c r="AX3244" s="394"/>
      <c r="AY3244" s="394">
        <v>0</v>
      </c>
      <c r="AZ3244" s="394">
        <v>0</v>
      </c>
      <c r="BA3244" s="394">
        <v>0.75790000000000002</v>
      </c>
      <c r="BB3244" s="394">
        <v>15.33417</v>
      </c>
      <c r="BC3244" s="394"/>
      <c r="BD3244" s="381" t="s">
        <v>167</v>
      </c>
      <c r="BE3244" s="408" t="s">
        <v>175</v>
      </c>
      <c r="BF3244" s="385"/>
      <c r="BG3244" s="475">
        <v>1206</v>
      </c>
      <c r="BH3244" s="395"/>
      <c r="BI3244" s="395">
        <f t="shared" ref="BI3244" si="1266">AT3244/AR3244</f>
        <v>19.56915</v>
      </c>
    </row>
    <row r="3245" spans="1:61" s="358" customFormat="1" ht="19.2" x14ac:dyDescent="0.3">
      <c r="A3245" s="359" t="s">
        <v>2198</v>
      </c>
      <c r="B3245" s="602" t="s">
        <v>6084</v>
      </c>
      <c r="C3245" s="548" t="s">
        <v>6085</v>
      </c>
      <c r="D3245" s="360">
        <v>0.4</v>
      </c>
      <c r="E3245" s="528"/>
      <c r="F3245" s="523"/>
      <c r="G3245" s="393"/>
      <c r="H3245" s="394"/>
      <c r="I3245" s="394"/>
      <c r="J3245" s="394"/>
      <c r="K3245" s="394"/>
      <c r="L3245" s="394"/>
      <c r="M3245" s="394"/>
      <c r="N3245" s="394"/>
      <c r="O3245" s="394"/>
      <c r="P3245" s="394"/>
      <c r="Q3245" s="394"/>
      <c r="R3245" s="381"/>
      <c r="S3245" s="408"/>
      <c r="T3245" s="385"/>
      <c r="U3245" s="475"/>
      <c r="V3245" s="395"/>
      <c r="W3245" s="395"/>
      <c r="X3245" s="528"/>
      <c r="Y3245" s="523"/>
      <c r="Z3245" s="393"/>
      <c r="AA3245" s="394"/>
      <c r="AB3245" s="394"/>
      <c r="AC3245" s="394"/>
      <c r="AD3245" s="394"/>
      <c r="AE3245" s="394"/>
      <c r="AF3245" s="394"/>
      <c r="AG3245" s="394"/>
      <c r="AH3245" s="394"/>
      <c r="AI3245" s="394"/>
      <c r="AJ3245" s="394"/>
      <c r="AK3245" s="381"/>
      <c r="AL3245" s="408"/>
      <c r="AM3245" s="385"/>
      <c r="AN3245" s="475"/>
      <c r="AO3245" s="395"/>
      <c r="AP3245" s="395"/>
      <c r="AQ3245" s="528"/>
      <c r="AR3245" s="523">
        <v>1</v>
      </c>
      <c r="AS3245" s="393"/>
      <c r="AT3245" s="600">
        <v>19.56917</v>
      </c>
      <c r="AU3245" s="394">
        <v>16.318190000000001</v>
      </c>
      <c r="AV3245" s="394">
        <v>15.33417</v>
      </c>
      <c r="AW3245" s="394"/>
      <c r="AX3245" s="394"/>
      <c r="AY3245" s="394">
        <v>0</v>
      </c>
      <c r="AZ3245" s="394">
        <v>0</v>
      </c>
      <c r="BA3245" s="394">
        <v>0.75790000000000002</v>
      </c>
      <c r="BB3245" s="394">
        <v>15.33417</v>
      </c>
      <c r="BC3245" s="394"/>
      <c r="BD3245" s="381" t="s">
        <v>167</v>
      </c>
      <c r="BE3245" s="408" t="s">
        <v>175</v>
      </c>
      <c r="BF3245" s="385"/>
      <c r="BG3245" s="475">
        <v>1207</v>
      </c>
      <c r="BH3245" s="395"/>
      <c r="BI3245" s="395">
        <f t="shared" si="1265"/>
        <v>19.56917</v>
      </c>
    </row>
    <row r="3246" spans="1:61" s="358" customFormat="1" ht="19.2" x14ac:dyDescent="0.3">
      <c r="A3246" s="359" t="s">
        <v>2199</v>
      </c>
      <c r="B3246" s="602" t="s">
        <v>6086</v>
      </c>
      <c r="C3246" s="548" t="s">
        <v>6087</v>
      </c>
      <c r="D3246" s="360">
        <v>0.4</v>
      </c>
      <c r="E3246" s="528"/>
      <c r="F3246" s="523"/>
      <c r="G3246" s="393"/>
      <c r="H3246" s="394"/>
      <c r="I3246" s="394"/>
      <c r="J3246" s="394"/>
      <c r="K3246" s="394"/>
      <c r="L3246" s="394"/>
      <c r="M3246" s="394"/>
      <c r="N3246" s="394"/>
      <c r="O3246" s="394"/>
      <c r="P3246" s="394"/>
      <c r="Q3246" s="394"/>
      <c r="R3246" s="381"/>
      <c r="S3246" s="408"/>
      <c r="T3246" s="385"/>
      <c r="U3246" s="475"/>
      <c r="V3246" s="395"/>
      <c r="W3246" s="395"/>
      <c r="X3246" s="528"/>
      <c r="Y3246" s="523"/>
      <c r="Z3246" s="393"/>
      <c r="AA3246" s="394"/>
      <c r="AB3246" s="394"/>
      <c r="AC3246" s="394"/>
      <c r="AD3246" s="394"/>
      <c r="AE3246" s="394"/>
      <c r="AF3246" s="394"/>
      <c r="AG3246" s="394"/>
      <c r="AH3246" s="394"/>
      <c r="AI3246" s="394"/>
      <c r="AJ3246" s="394"/>
      <c r="AK3246" s="381"/>
      <c r="AL3246" s="408"/>
      <c r="AM3246" s="385"/>
      <c r="AN3246" s="475"/>
      <c r="AO3246" s="395"/>
      <c r="AP3246" s="395"/>
      <c r="AQ3246" s="528"/>
      <c r="AR3246" s="523">
        <v>1</v>
      </c>
      <c r="AS3246" s="393"/>
      <c r="AT3246" s="600">
        <v>19.56917</v>
      </c>
      <c r="AU3246" s="394">
        <v>16.318190000000001</v>
      </c>
      <c r="AV3246" s="394">
        <v>15.33417</v>
      </c>
      <c r="AW3246" s="394"/>
      <c r="AX3246" s="394"/>
      <c r="AY3246" s="394">
        <v>0</v>
      </c>
      <c r="AZ3246" s="394">
        <v>0</v>
      </c>
      <c r="BA3246" s="394">
        <v>0.75790000000000002</v>
      </c>
      <c r="BB3246" s="394">
        <v>15.33417</v>
      </c>
      <c r="BC3246" s="394"/>
      <c r="BD3246" s="381" t="s">
        <v>167</v>
      </c>
      <c r="BE3246" s="408" t="s">
        <v>175</v>
      </c>
      <c r="BF3246" s="385"/>
      <c r="BG3246" s="475">
        <v>1208</v>
      </c>
      <c r="BH3246" s="395"/>
      <c r="BI3246" s="395">
        <f t="shared" ref="BI3246" si="1267">AT3246/AR3246</f>
        <v>19.56917</v>
      </c>
    </row>
    <row r="3247" spans="1:61" s="358" customFormat="1" ht="19.2" x14ac:dyDescent="0.3">
      <c r="A3247" s="359" t="s">
        <v>2200</v>
      </c>
      <c r="B3247" s="602" t="s">
        <v>6088</v>
      </c>
      <c r="C3247" s="548" t="s">
        <v>6089</v>
      </c>
      <c r="D3247" s="360">
        <v>0.4</v>
      </c>
      <c r="E3247" s="528"/>
      <c r="F3247" s="523"/>
      <c r="G3247" s="393"/>
      <c r="H3247" s="394"/>
      <c r="I3247" s="394"/>
      <c r="J3247" s="394"/>
      <c r="K3247" s="394"/>
      <c r="L3247" s="394"/>
      <c r="M3247" s="394"/>
      <c r="N3247" s="394"/>
      <c r="O3247" s="394"/>
      <c r="P3247" s="394"/>
      <c r="Q3247" s="394"/>
      <c r="R3247" s="381"/>
      <c r="S3247" s="408"/>
      <c r="T3247" s="385"/>
      <c r="U3247" s="475"/>
      <c r="V3247" s="395"/>
      <c r="W3247" s="395"/>
      <c r="X3247" s="528"/>
      <c r="Y3247" s="523"/>
      <c r="Z3247" s="393"/>
      <c r="AA3247" s="394"/>
      <c r="AB3247" s="394"/>
      <c r="AC3247" s="394"/>
      <c r="AD3247" s="394"/>
      <c r="AE3247" s="394"/>
      <c r="AF3247" s="394"/>
      <c r="AG3247" s="394"/>
      <c r="AH3247" s="394"/>
      <c r="AI3247" s="394"/>
      <c r="AJ3247" s="394"/>
      <c r="AK3247" s="381"/>
      <c r="AL3247" s="408"/>
      <c r="AM3247" s="385"/>
      <c r="AN3247" s="475"/>
      <c r="AO3247" s="395"/>
      <c r="AP3247" s="395"/>
      <c r="AQ3247" s="528"/>
      <c r="AR3247" s="523">
        <v>1</v>
      </c>
      <c r="AS3247" s="393"/>
      <c r="AT3247" s="600">
        <v>19.56917</v>
      </c>
      <c r="AU3247" s="394">
        <v>16.318190000000001</v>
      </c>
      <c r="AV3247" s="394">
        <v>15.33417</v>
      </c>
      <c r="AW3247" s="394"/>
      <c r="AX3247" s="394"/>
      <c r="AY3247" s="394">
        <v>0</v>
      </c>
      <c r="AZ3247" s="394">
        <v>0</v>
      </c>
      <c r="BA3247" s="394">
        <v>0.75790000000000002</v>
      </c>
      <c r="BB3247" s="394">
        <v>15.33417</v>
      </c>
      <c r="BC3247" s="394"/>
      <c r="BD3247" s="381" t="s">
        <v>167</v>
      </c>
      <c r="BE3247" s="408" t="s">
        <v>175</v>
      </c>
      <c r="BF3247" s="385"/>
      <c r="BG3247" s="475">
        <v>1209</v>
      </c>
      <c r="BH3247" s="395"/>
      <c r="BI3247" s="395">
        <f t="shared" si="1265"/>
        <v>19.56917</v>
      </c>
    </row>
    <row r="3248" spans="1:61" s="358" customFormat="1" ht="19.2" x14ac:dyDescent="0.3">
      <c r="A3248" s="359" t="s">
        <v>2201</v>
      </c>
      <c r="B3248" s="602" t="s">
        <v>6090</v>
      </c>
      <c r="C3248" s="548" t="s">
        <v>6091</v>
      </c>
      <c r="D3248" s="360">
        <v>0.4</v>
      </c>
      <c r="E3248" s="528"/>
      <c r="F3248" s="523"/>
      <c r="G3248" s="393"/>
      <c r="H3248" s="394"/>
      <c r="I3248" s="394"/>
      <c r="J3248" s="394"/>
      <c r="K3248" s="394"/>
      <c r="L3248" s="394"/>
      <c r="M3248" s="394"/>
      <c r="N3248" s="394"/>
      <c r="O3248" s="394"/>
      <c r="P3248" s="394"/>
      <c r="Q3248" s="394"/>
      <c r="R3248" s="381"/>
      <c r="S3248" s="408"/>
      <c r="T3248" s="385"/>
      <c r="U3248" s="475"/>
      <c r="V3248" s="395"/>
      <c r="W3248" s="395"/>
      <c r="X3248" s="528"/>
      <c r="Y3248" s="523"/>
      <c r="Z3248" s="393"/>
      <c r="AA3248" s="394"/>
      <c r="AB3248" s="394"/>
      <c r="AC3248" s="394"/>
      <c r="AD3248" s="394"/>
      <c r="AE3248" s="394"/>
      <c r="AF3248" s="394"/>
      <c r="AG3248" s="394"/>
      <c r="AH3248" s="394"/>
      <c r="AI3248" s="394"/>
      <c r="AJ3248" s="394"/>
      <c r="AK3248" s="381"/>
      <c r="AL3248" s="408"/>
      <c r="AM3248" s="385"/>
      <c r="AN3248" s="475"/>
      <c r="AO3248" s="395"/>
      <c r="AP3248" s="395"/>
      <c r="AQ3248" s="528"/>
      <c r="AR3248" s="523">
        <v>1</v>
      </c>
      <c r="AS3248" s="393"/>
      <c r="AT3248" s="600">
        <v>19.569199999999999</v>
      </c>
      <c r="AU3248" s="394">
        <v>16.31822</v>
      </c>
      <c r="AV3248" s="394">
        <v>15.33417</v>
      </c>
      <c r="AW3248" s="394"/>
      <c r="AX3248" s="394"/>
      <c r="AY3248" s="394">
        <v>0</v>
      </c>
      <c r="AZ3248" s="394">
        <v>0</v>
      </c>
      <c r="BA3248" s="394">
        <v>0.75790000000000002</v>
      </c>
      <c r="BB3248" s="394">
        <v>15.33417</v>
      </c>
      <c r="BC3248" s="394"/>
      <c r="BD3248" s="381" t="s">
        <v>167</v>
      </c>
      <c r="BE3248" s="408" t="s">
        <v>175</v>
      </c>
      <c r="BF3248" s="385"/>
      <c r="BG3248" s="475">
        <v>1210</v>
      </c>
      <c r="BH3248" s="395"/>
      <c r="BI3248" s="395">
        <f t="shared" ref="BI3248" si="1268">AT3248/AR3248</f>
        <v>19.569199999999999</v>
      </c>
    </row>
    <row r="3249" spans="1:61" s="358" customFormat="1" ht="19.2" x14ac:dyDescent="0.3">
      <c r="A3249" s="359" t="s">
        <v>2202</v>
      </c>
      <c r="B3249" s="602" t="s">
        <v>6092</v>
      </c>
      <c r="C3249" s="548" t="s">
        <v>6093</v>
      </c>
      <c r="D3249" s="360">
        <v>0.4</v>
      </c>
      <c r="E3249" s="528"/>
      <c r="F3249" s="523"/>
      <c r="G3249" s="393"/>
      <c r="H3249" s="394"/>
      <c r="I3249" s="394"/>
      <c r="J3249" s="394"/>
      <c r="K3249" s="394"/>
      <c r="L3249" s="394"/>
      <c r="M3249" s="394"/>
      <c r="N3249" s="394"/>
      <c r="O3249" s="394"/>
      <c r="P3249" s="394"/>
      <c r="Q3249" s="394"/>
      <c r="R3249" s="381"/>
      <c r="S3249" s="408"/>
      <c r="T3249" s="385"/>
      <c r="U3249" s="475"/>
      <c r="V3249" s="395"/>
      <c r="W3249" s="395"/>
      <c r="X3249" s="528"/>
      <c r="Y3249" s="523"/>
      <c r="Z3249" s="393"/>
      <c r="AA3249" s="394"/>
      <c r="AB3249" s="394"/>
      <c r="AC3249" s="394"/>
      <c r="AD3249" s="394"/>
      <c r="AE3249" s="394"/>
      <c r="AF3249" s="394"/>
      <c r="AG3249" s="394"/>
      <c r="AH3249" s="394"/>
      <c r="AI3249" s="394"/>
      <c r="AJ3249" s="394"/>
      <c r="AK3249" s="381"/>
      <c r="AL3249" s="408"/>
      <c r="AM3249" s="385"/>
      <c r="AN3249" s="475"/>
      <c r="AO3249" s="395"/>
      <c r="AP3249" s="395"/>
      <c r="AQ3249" s="528"/>
      <c r="AR3249" s="523">
        <v>1</v>
      </c>
      <c r="AS3249" s="393"/>
      <c r="AT3249" s="600">
        <v>19.56917</v>
      </c>
      <c r="AU3249" s="394">
        <v>16.318190000000001</v>
      </c>
      <c r="AV3249" s="394">
        <v>15.33417</v>
      </c>
      <c r="AW3249" s="394"/>
      <c r="AX3249" s="394"/>
      <c r="AY3249" s="394">
        <v>0</v>
      </c>
      <c r="AZ3249" s="394">
        <v>0</v>
      </c>
      <c r="BA3249" s="394">
        <v>0.75790000000000002</v>
      </c>
      <c r="BB3249" s="394">
        <v>15.33417</v>
      </c>
      <c r="BC3249" s="394"/>
      <c r="BD3249" s="381" t="s">
        <v>167</v>
      </c>
      <c r="BE3249" s="408" t="s">
        <v>175</v>
      </c>
      <c r="BF3249" s="385"/>
      <c r="BG3249" s="475">
        <v>1211</v>
      </c>
      <c r="BH3249" s="395"/>
      <c r="BI3249" s="395">
        <f t="shared" si="1265"/>
        <v>19.56917</v>
      </c>
    </row>
    <row r="3250" spans="1:61" s="358" customFormat="1" ht="19.2" x14ac:dyDescent="0.3">
      <c r="A3250" s="359" t="s">
        <v>2203</v>
      </c>
      <c r="B3250" s="602" t="s">
        <v>6094</v>
      </c>
      <c r="C3250" s="548" t="s">
        <v>6095</v>
      </c>
      <c r="D3250" s="360">
        <v>0.4</v>
      </c>
      <c r="E3250" s="528"/>
      <c r="F3250" s="523"/>
      <c r="G3250" s="393"/>
      <c r="H3250" s="394"/>
      <c r="I3250" s="394"/>
      <c r="J3250" s="394"/>
      <c r="K3250" s="394"/>
      <c r="L3250" s="394"/>
      <c r="M3250" s="394"/>
      <c r="N3250" s="394"/>
      <c r="O3250" s="394"/>
      <c r="P3250" s="394"/>
      <c r="Q3250" s="394"/>
      <c r="R3250" s="381"/>
      <c r="S3250" s="408"/>
      <c r="T3250" s="385"/>
      <c r="U3250" s="475"/>
      <c r="V3250" s="395"/>
      <c r="W3250" s="395"/>
      <c r="X3250" s="528"/>
      <c r="Y3250" s="523"/>
      <c r="Z3250" s="393"/>
      <c r="AA3250" s="394"/>
      <c r="AB3250" s="394"/>
      <c r="AC3250" s="394"/>
      <c r="AD3250" s="394"/>
      <c r="AE3250" s="394"/>
      <c r="AF3250" s="394"/>
      <c r="AG3250" s="394"/>
      <c r="AH3250" s="394"/>
      <c r="AI3250" s="394"/>
      <c r="AJ3250" s="394"/>
      <c r="AK3250" s="381"/>
      <c r="AL3250" s="408"/>
      <c r="AM3250" s="385"/>
      <c r="AN3250" s="475"/>
      <c r="AO3250" s="395"/>
      <c r="AP3250" s="395"/>
      <c r="AQ3250" s="528"/>
      <c r="AR3250" s="523">
        <v>1</v>
      </c>
      <c r="AS3250" s="393"/>
      <c r="AT3250" s="600">
        <v>19.569179999999999</v>
      </c>
      <c r="AU3250" s="394">
        <v>16.318200000000001</v>
      </c>
      <c r="AV3250" s="394">
        <v>15.33417</v>
      </c>
      <c r="AW3250" s="394"/>
      <c r="AX3250" s="394"/>
      <c r="AY3250" s="394">
        <v>0</v>
      </c>
      <c r="AZ3250" s="394">
        <v>0</v>
      </c>
      <c r="BA3250" s="394">
        <v>0.75790000000000002</v>
      </c>
      <c r="BB3250" s="394">
        <v>15.33417</v>
      </c>
      <c r="BC3250" s="394"/>
      <c r="BD3250" s="381" t="s">
        <v>167</v>
      </c>
      <c r="BE3250" s="408" t="s">
        <v>175</v>
      </c>
      <c r="BF3250" s="385"/>
      <c r="BG3250" s="475">
        <v>1212</v>
      </c>
      <c r="BH3250" s="395"/>
      <c r="BI3250" s="395">
        <f t="shared" ref="BI3250" si="1269">AT3250/AR3250</f>
        <v>19.569179999999999</v>
      </c>
    </row>
    <row r="3251" spans="1:61" s="358" customFormat="1" ht="19.2" x14ac:dyDescent="0.3">
      <c r="A3251" s="359" t="s">
        <v>2204</v>
      </c>
      <c r="B3251" s="602" t="s">
        <v>1363</v>
      </c>
      <c r="C3251" s="548" t="s">
        <v>6096</v>
      </c>
      <c r="D3251" s="360">
        <v>0.4</v>
      </c>
      <c r="E3251" s="528"/>
      <c r="F3251" s="523"/>
      <c r="G3251" s="393"/>
      <c r="H3251" s="394"/>
      <c r="I3251" s="394"/>
      <c r="J3251" s="394"/>
      <c r="K3251" s="394"/>
      <c r="L3251" s="394"/>
      <c r="M3251" s="394"/>
      <c r="N3251" s="394"/>
      <c r="O3251" s="394"/>
      <c r="P3251" s="394"/>
      <c r="Q3251" s="394"/>
      <c r="R3251" s="381"/>
      <c r="S3251" s="408"/>
      <c r="T3251" s="385"/>
      <c r="U3251" s="475"/>
      <c r="V3251" s="395"/>
      <c r="W3251" s="395"/>
      <c r="X3251" s="528"/>
      <c r="Y3251" s="523"/>
      <c r="Z3251" s="393"/>
      <c r="AA3251" s="394"/>
      <c r="AB3251" s="394"/>
      <c r="AC3251" s="394"/>
      <c r="AD3251" s="394"/>
      <c r="AE3251" s="394"/>
      <c r="AF3251" s="394"/>
      <c r="AG3251" s="394"/>
      <c r="AH3251" s="394"/>
      <c r="AI3251" s="394"/>
      <c r="AJ3251" s="394"/>
      <c r="AK3251" s="381"/>
      <c r="AL3251" s="408"/>
      <c r="AM3251" s="385"/>
      <c r="AN3251" s="475"/>
      <c r="AO3251" s="395"/>
      <c r="AP3251" s="395"/>
      <c r="AQ3251" s="528"/>
      <c r="AR3251" s="523">
        <v>1</v>
      </c>
      <c r="AS3251" s="393"/>
      <c r="AT3251" s="600">
        <v>19.56917</v>
      </c>
      <c r="AU3251" s="394">
        <v>16.318190000000001</v>
      </c>
      <c r="AV3251" s="394">
        <v>15.33417</v>
      </c>
      <c r="AW3251" s="394"/>
      <c r="AX3251" s="394"/>
      <c r="AY3251" s="394">
        <v>0</v>
      </c>
      <c r="AZ3251" s="394">
        <v>0</v>
      </c>
      <c r="BA3251" s="394">
        <v>0.75790000000000002</v>
      </c>
      <c r="BB3251" s="394">
        <v>15.33417</v>
      </c>
      <c r="BC3251" s="394"/>
      <c r="BD3251" s="381" t="s">
        <v>167</v>
      </c>
      <c r="BE3251" s="408" t="s">
        <v>175</v>
      </c>
      <c r="BF3251" s="385"/>
      <c r="BG3251" s="475">
        <v>1213</v>
      </c>
      <c r="BH3251" s="395"/>
      <c r="BI3251" s="395">
        <f t="shared" si="1265"/>
        <v>19.56917</v>
      </c>
    </row>
    <row r="3252" spans="1:61" s="358" customFormat="1" ht="19.2" x14ac:dyDescent="0.3">
      <c r="A3252" s="359" t="s">
        <v>2205</v>
      </c>
      <c r="B3252" s="602" t="s">
        <v>2279</v>
      </c>
      <c r="C3252" s="548" t="s">
        <v>6097</v>
      </c>
      <c r="D3252" s="360">
        <v>0.4</v>
      </c>
      <c r="E3252" s="528"/>
      <c r="F3252" s="523"/>
      <c r="G3252" s="393"/>
      <c r="H3252" s="394"/>
      <c r="I3252" s="394"/>
      <c r="J3252" s="394"/>
      <c r="K3252" s="394"/>
      <c r="L3252" s="394"/>
      <c r="M3252" s="394"/>
      <c r="N3252" s="394"/>
      <c r="O3252" s="394"/>
      <c r="P3252" s="394"/>
      <c r="Q3252" s="394"/>
      <c r="R3252" s="381"/>
      <c r="S3252" s="408"/>
      <c r="T3252" s="385"/>
      <c r="U3252" s="475"/>
      <c r="V3252" s="395"/>
      <c r="W3252" s="395"/>
      <c r="X3252" s="528"/>
      <c r="Y3252" s="523"/>
      <c r="Z3252" s="393"/>
      <c r="AA3252" s="394"/>
      <c r="AB3252" s="394"/>
      <c r="AC3252" s="394"/>
      <c r="AD3252" s="394"/>
      <c r="AE3252" s="394"/>
      <c r="AF3252" s="394"/>
      <c r="AG3252" s="394"/>
      <c r="AH3252" s="394"/>
      <c r="AI3252" s="394"/>
      <c r="AJ3252" s="394"/>
      <c r="AK3252" s="381"/>
      <c r="AL3252" s="408"/>
      <c r="AM3252" s="385"/>
      <c r="AN3252" s="475"/>
      <c r="AO3252" s="395"/>
      <c r="AP3252" s="395"/>
      <c r="AQ3252" s="528"/>
      <c r="AR3252" s="523">
        <v>1</v>
      </c>
      <c r="AS3252" s="393"/>
      <c r="AT3252" s="600">
        <v>19.569179999999999</v>
      </c>
      <c r="AU3252" s="394">
        <v>16.318200000000001</v>
      </c>
      <c r="AV3252" s="394">
        <v>15.33417</v>
      </c>
      <c r="AW3252" s="394"/>
      <c r="AX3252" s="394"/>
      <c r="AY3252" s="394">
        <v>0</v>
      </c>
      <c r="AZ3252" s="394">
        <v>0</v>
      </c>
      <c r="BA3252" s="394">
        <v>0.75790000000000002</v>
      </c>
      <c r="BB3252" s="394">
        <v>15.33417</v>
      </c>
      <c r="BC3252" s="394"/>
      <c r="BD3252" s="381" t="s">
        <v>167</v>
      </c>
      <c r="BE3252" s="408" t="s">
        <v>175</v>
      </c>
      <c r="BF3252" s="385"/>
      <c r="BG3252" s="475">
        <v>1214</v>
      </c>
      <c r="BH3252" s="395"/>
      <c r="BI3252" s="395">
        <f t="shared" ref="BI3252" si="1270">AT3252/AR3252</f>
        <v>19.569179999999999</v>
      </c>
    </row>
    <row r="3253" spans="1:61" s="358" customFormat="1" ht="19.2" x14ac:dyDescent="0.3">
      <c r="A3253" s="359" t="s">
        <v>2206</v>
      </c>
      <c r="B3253" s="602" t="s">
        <v>2279</v>
      </c>
      <c r="C3253" s="548" t="s">
        <v>6098</v>
      </c>
      <c r="D3253" s="360">
        <v>0.4</v>
      </c>
      <c r="E3253" s="528"/>
      <c r="F3253" s="523"/>
      <c r="G3253" s="393"/>
      <c r="H3253" s="394"/>
      <c r="I3253" s="394"/>
      <c r="J3253" s="394"/>
      <c r="K3253" s="394"/>
      <c r="L3253" s="394"/>
      <c r="M3253" s="394"/>
      <c r="N3253" s="394"/>
      <c r="O3253" s="394"/>
      <c r="P3253" s="394"/>
      <c r="Q3253" s="394"/>
      <c r="R3253" s="381"/>
      <c r="S3253" s="408"/>
      <c r="T3253" s="385"/>
      <c r="U3253" s="475"/>
      <c r="V3253" s="395"/>
      <c r="W3253" s="395"/>
      <c r="X3253" s="528"/>
      <c r="Y3253" s="523"/>
      <c r="Z3253" s="393"/>
      <c r="AA3253" s="394"/>
      <c r="AB3253" s="394"/>
      <c r="AC3253" s="394"/>
      <c r="AD3253" s="394"/>
      <c r="AE3253" s="394"/>
      <c r="AF3253" s="394"/>
      <c r="AG3253" s="394"/>
      <c r="AH3253" s="394"/>
      <c r="AI3253" s="394"/>
      <c r="AJ3253" s="394"/>
      <c r="AK3253" s="381"/>
      <c r="AL3253" s="408"/>
      <c r="AM3253" s="385"/>
      <c r="AN3253" s="475"/>
      <c r="AO3253" s="395"/>
      <c r="AP3253" s="395"/>
      <c r="AQ3253" s="528"/>
      <c r="AR3253" s="523">
        <v>1</v>
      </c>
      <c r="AS3253" s="393"/>
      <c r="AT3253" s="600">
        <v>19.569199999999999</v>
      </c>
      <c r="AU3253" s="394">
        <v>16.31822</v>
      </c>
      <c r="AV3253" s="394">
        <v>15.33417</v>
      </c>
      <c r="AW3253" s="394"/>
      <c r="AX3253" s="394"/>
      <c r="AY3253" s="394">
        <v>0</v>
      </c>
      <c r="AZ3253" s="394">
        <v>0</v>
      </c>
      <c r="BA3253" s="394">
        <v>0.75790000000000002</v>
      </c>
      <c r="BB3253" s="394">
        <v>15.33417</v>
      </c>
      <c r="BC3253" s="394"/>
      <c r="BD3253" s="381" t="s">
        <v>167</v>
      </c>
      <c r="BE3253" s="408" t="s">
        <v>175</v>
      </c>
      <c r="BF3253" s="385"/>
      <c r="BG3253" s="475">
        <v>1215</v>
      </c>
      <c r="BH3253" s="395"/>
      <c r="BI3253" s="395">
        <f t="shared" si="1265"/>
        <v>19.569199999999999</v>
      </c>
    </row>
    <row r="3254" spans="1:61" s="358" customFormat="1" ht="19.2" x14ac:dyDescent="0.3">
      <c r="A3254" s="359" t="s">
        <v>2207</v>
      </c>
      <c r="B3254" s="602" t="s">
        <v>6099</v>
      </c>
      <c r="C3254" s="548" t="s">
        <v>6100</v>
      </c>
      <c r="D3254" s="360">
        <v>0.4</v>
      </c>
      <c r="E3254" s="528"/>
      <c r="F3254" s="523"/>
      <c r="G3254" s="393"/>
      <c r="H3254" s="394"/>
      <c r="I3254" s="394"/>
      <c r="J3254" s="394"/>
      <c r="K3254" s="394"/>
      <c r="L3254" s="394"/>
      <c r="M3254" s="394"/>
      <c r="N3254" s="394"/>
      <c r="O3254" s="394"/>
      <c r="P3254" s="394"/>
      <c r="Q3254" s="394"/>
      <c r="R3254" s="381"/>
      <c r="S3254" s="408"/>
      <c r="T3254" s="385"/>
      <c r="U3254" s="475"/>
      <c r="V3254" s="395"/>
      <c r="W3254" s="395"/>
      <c r="X3254" s="528"/>
      <c r="Y3254" s="523"/>
      <c r="Z3254" s="393"/>
      <c r="AA3254" s="394"/>
      <c r="AB3254" s="394"/>
      <c r="AC3254" s="394"/>
      <c r="AD3254" s="394"/>
      <c r="AE3254" s="394"/>
      <c r="AF3254" s="394"/>
      <c r="AG3254" s="394"/>
      <c r="AH3254" s="394"/>
      <c r="AI3254" s="394"/>
      <c r="AJ3254" s="394"/>
      <c r="AK3254" s="381"/>
      <c r="AL3254" s="408"/>
      <c r="AM3254" s="385"/>
      <c r="AN3254" s="475"/>
      <c r="AO3254" s="395"/>
      <c r="AP3254" s="395"/>
      <c r="AQ3254" s="528"/>
      <c r="AR3254" s="523">
        <v>1</v>
      </c>
      <c r="AS3254" s="393"/>
      <c r="AT3254" s="600">
        <v>19.56917</v>
      </c>
      <c r="AU3254" s="394">
        <v>16.318190000000001</v>
      </c>
      <c r="AV3254" s="394">
        <v>15.33417</v>
      </c>
      <c r="AW3254" s="394"/>
      <c r="AX3254" s="394"/>
      <c r="AY3254" s="394">
        <v>0</v>
      </c>
      <c r="AZ3254" s="394">
        <v>0</v>
      </c>
      <c r="BA3254" s="394">
        <v>0.75790000000000002</v>
      </c>
      <c r="BB3254" s="394">
        <v>15.33417</v>
      </c>
      <c r="BC3254" s="394"/>
      <c r="BD3254" s="381" t="s">
        <v>167</v>
      </c>
      <c r="BE3254" s="408" t="s">
        <v>175</v>
      </c>
      <c r="BF3254" s="385"/>
      <c r="BG3254" s="475">
        <v>1216</v>
      </c>
      <c r="BH3254" s="395"/>
      <c r="BI3254" s="395">
        <f t="shared" ref="BI3254" si="1271">AT3254/AR3254</f>
        <v>19.56917</v>
      </c>
    </row>
    <row r="3255" spans="1:61" s="358" customFormat="1" ht="19.2" x14ac:dyDescent="0.3">
      <c r="A3255" s="359" t="s">
        <v>2208</v>
      </c>
      <c r="B3255" s="602" t="s">
        <v>2279</v>
      </c>
      <c r="C3255" s="548" t="s">
        <v>6101</v>
      </c>
      <c r="D3255" s="360">
        <v>0.4</v>
      </c>
      <c r="E3255" s="528"/>
      <c r="F3255" s="523"/>
      <c r="G3255" s="393"/>
      <c r="H3255" s="394"/>
      <c r="I3255" s="394"/>
      <c r="J3255" s="394"/>
      <c r="K3255" s="394"/>
      <c r="L3255" s="394"/>
      <c r="M3255" s="394"/>
      <c r="N3255" s="394"/>
      <c r="O3255" s="394"/>
      <c r="P3255" s="394"/>
      <c r="Q3255" s="394"/>
      <c r="R3255" s="381"/>
      <c r="S3255" s="408"/>
      <c r="T3255" s="385"/>
      <c r="U3255" s="475"/>
      <c r="V3255" s="395"/>
      <c r="W3255" s="395"/>
      <c r="X3255" s="528"/>
      <c r="Y3255" s="523"/>
      <c r="Z3255" s="393"/>
      <c r="AA3255" s="394"/>
      <c r="AB3255" s="394"/>
      <c r="AC3255" s="394"/>
      <c r="AD3255" s="394"/>
      <c r="AE3255" s="394"/>
      <c r="AF3255" s="394"/>
      <c r="AG3255" s="394"/>
      <c r="AH3255" s="394"/>
      <c r="AI3255" s="394"/>
      <c r="AJ3255" s="394"/>
      <c r="AK3255" s="381"/>
      <c r="AL3255" s="408"/>
      <c r="AM3255" s="385"/>
      <c r="AN3255" s="475"/>
      <c r="AO3255" s="395"/>
      <c r="AP3255" s="395"/>
      <c r="AQ3255" s="528"/>
      <c r="AR3255" s="523">
        <v>1</v>
      </c>
      <c r="AS3255" s="393"/>
      <c r="AT3255" s="600">
        <v>19.56917</v>
      </c>
      <c r="AU3255" s="394">
        <v>16.318190000000001</v>
      </c>
      <c r="AV3255" s="394">
        <v>15.33417</v>
      </c>
      <c r="AW3255" s="394"/>
      <c r="AX3255" s="394"/>
      <c r="AY3255" s="394">
        <v>0</v>
      </c>
      <c r="AZ3255" s="394">
        <v>0</v>
      </c>
      <c r="BA3255" s="394">
        <v>0.75790000000000002</v>
      </c>
      <c r="BB3255" s="394">
        <v>15.33417</v>
      </c>
      <c r="BC3255" s="394"/>
      <c r="BD3255" s="381" t="s">
        <v>167</v>
      </c>
      <c r="BE3255" s="408" t="s">
        <v>175</v>
      </c>
      <c r="BF3255" s="385"/>
      <c r="BG3255" s="475">
        <v>1217</v>
      </c>
      <c r="BH3255" s="395"/>
      <c r="BI3255" s="395">
        <f t="shared" si="1265"/>
        <v>19.56917</v>
      </c>
    </row>
    <row r="3256" spans="1:61" s="358" customFormat="1" ht="19.2" x14ac:dyDescent="0.3">
      <c r="A3256" s="359" t="s">
        <v>2209</v>
      </c>
      <c r="B3256" s="602" t="s">
        <v>2279</v>
      </c>
      <c r="C3256" s="548" t="s">
        <v>6102</v>
      </c>
      <c r="D3256" s="360">
        <v>0.4</v>
      </c>
      <c r="E3256" s="528"/>
      <c r="F3256" s="523"/>
      <c r="G3256" s="393"/>
      <c r="H3256" s="394"/>
      <c r="I3256" s="394"/>
      <c r="J3256" s="394"/>
      <c r="K3256" s="394"/>
      <c r="L3256" s="394"/>
      <c r="M3256" s="394"/>
      <c r="N3256" s="394"/>
      <c r="O3256" s="394"/>
      <c r="P3256" s="394"/>
      <c r="Q3256" s="394"/>
      <c r="R3256" s="381"/>
      <c r="S3256" s="408"/>
      <c r="T3256" s="385"/>
      <c r="U3256" s="475"/>
      <c r="V3256" s="395"/>
      <c r="W3256" s="395"/>
      <c r="X3256" s="528"/>
      <c r="Y3256" s="523"/>
      <c r="Z3256" s="393"/>
      <c r="AA3256" s="394"/>
      <c r="AB3256" s="394"/>
      <c r="AC3256" s="394"/>
      <c r="AD3256" s="394"/>
      <c r="AE3256" s="394"/>
      <c r="AF3256" s="394"/>
      <c r="AG3256" s="394"/>
      <c r="AH3256" s="394"/>
      <c r="AI3256" s="394"/>
      <c r="AJ3256" s="394"/>
      <c r="AK3256" s="381"/>
      <c r="AL3256" s="408"/>
      <c r="AM3256" s="385"/>
      <c r="AN3256" s="475"/>
      <c r="AO3256" s="395"/>
      <c r="AP3256" s="395"/>
      <c r="AQ3256" s="528"/>
      <c r="AR3256" s="523">
        <v>1</v>
      </c>
      <c r="AS3256" s="393"/>
      <c r="AT3256" s="600">
        <v>19.569199999999999</v>
      </c>
      <c r="AU3256" s="394">
        <v>16.31822</v>
      </c>
      <c r="AV3256" s="394">
        <v>15.33417</v>
      </c>
      <c r="AW3256" s="394"/>
      <c r="AX3256" s="394"/>
      <c r="AY3256" s="394">
        <v>0</v>
      </c>
      <c r="AZ3256" s="394">
        <v>0</v>
      </c>
      <c r="BA3256" s="394">
        <v>0.75790000000000002</v>
      </c>
      <c r="BB3256" s="394">
        <v>15.33417</v>
      </c>
      <c r="BC3256" s="394"/>
      <c r="BD3256" s="381" t="s">
        <v>167</v>
      </c>
      <c r="BE3256" s="408" t="s">
        <v>175</v>
      </c>
      <c r="BF3256" s="385"/>
      <c r="BG3256" s="475">
        <v>1218</v>
      </c>
      <c r="BH3256" s="395"/>
      <c r="BI3256" s="395">
        <f t="shared" ref="BI3256" si="1272">AT3256/AR3256</f>
        <v>19.569199999999999</v>
      </c>
    </row>
    <row r="3257" spans="1:61" s="358" customFormat="1" ht="19.2" x14ac:dyDescent="0.3">
      <c r="A3257" s="359" t="s">
        <v>2210</v>
      </c>
      <c r="B3257" s="602" t="s">
        <v>6103</v>
      </c>
      <c r="C3257" s="548" t="s">
        <v>6104</v>
      </c>
      <c r="D3257" s="360">
        <v>0.4</v>
      </c>
      <c r="E3257" s="528"/>
      <c r="F3257" s="523"/>
      <c r="G3257" s="393"/>
      <c r="H3257" s="394"/>
      <c r="I3257" s="394"/>
      <c r="J3257" s="394"/>
      <c r="K3257" s="394"/>
      <c r="L3257" s="394"/>
      <c r="M3257" s="394"/>
      <c r="N3257" s="394"/>
      <c r="O3257" s="394"/>
      <c r="P3257" s="394"/>
      <c r="Q3257" s="394"/>
      <c r="R3257" s="381"/>
      <c r="S3257" s="408"/>
      <c r="T3257" s="385"/>
      <c r="U3257" s="475"/>
      <c r="V3257" s="395"/>
      <c r="W3257" s="395"/>
      <c r="X3257" s="528"/>
      <c r="Y3257" s="523"/>
      <c r="Z3257" s="393"/>
      <c r="AA3257" s="394"/>
      <c r="AB3257" s="394"/>
      <c r="AC3257" s="394"/>
      <c r="AD3257" s="394"/>
      <c r="AE3257" s="394"/>
      <c r="AF3257" s="394"/>
      <c r="AG3257" s="394"/>
      <c r="AH3257" s="394"/>
      <c r="AI3257" s="394"/>
      <c r="AJ3257" s="394"/>
      <c r="AK3257" s="381"/>
      <c r="AL3257" s="408"/>
      <c r="AM3257" s="385"/>
      <c r="AN3257" s="475"/>
      <c r="AO3257" s="395"/>
      <c r="AP3257" s="395"/>
      <c r="AQ3257" s="528"/>
      <c r="AR3257" s="523">
        <v>1</v>
      </c>
      <c r="AS3257" s="393"/>
      <c r="AT3257" s="600">
        <v>19.569199999999999</v>
      </c>
      <c r="AU3257" s="394">
        <v>16.31822</v>
      </c>
      <c r="AV3257" s="394">
        <v>15.33417</v>
      </c>
      <c r="AW3257" s="394"/>
      <c r="AX3257" s="394"/>
      <c r="AY3257" s="394">
        <v>0</v>
      </c>
      <c r="AZ3257" s="394">
        <v>0</v>
      </c>
      <c r="BA3257" s="394">
        <v>0.75790000000000002</v>
      </c>
      <c r="BB3257" s="394">
        <v>15.33417</v>
      </c>
      <c r="BC3257" s="394"/>
      <c r="BD3257" s="381" t="s">
        <v>167</v>
      </c>
      <c r="BE3257" s="408" t="s">
        <v>175</v>
      </c>
      <c r="BF3257" s="385"/>
      <c r="BG3257" s="475">
        <v>1219</v>
      </c>
      <c r="BH3257" s="395"/>
      <c r="BI3257" s="395">
        <f t="shared" si="1265"/>
        <v>19.569199999999999</v>
      </c>
    </row>
    <row r="3258" spans="1:61" s="358" customFormat="1" ht="19.2" x14ac:dyDescent="0.3">
      <c r="A3258" s="359" t="s">
        <v>2211</v>
      </c>
      <c r="B3258" s="602" t="s">
        <v>6105</v>
      </c>
      <c r="C3258" s="548" t="s">
        <v>6106</v>
      </c>
      <c r="D3258" s="360">
        <v>0.4</v>
      </c>
      <c r="E3258" s="528"/>
      <c r="F3258" s="523"/>
      <c r="G3258" s="393"/>
      <c r="H3258" s="394"/>
      <c r="I3258" s="394"/>
      <c r="J3258" s="394"/>
      <c r="K3258" s="394"/>
      <c r="L3258" s="394"/>
      <c r="M3258" s="394"/>
      <c r="N3258" s="394"/>
      <c r="O3258" s="394"/>
      <c r="P3258" s="394"/>
      <c r="Q3258" s="394"/>
      <c r="R3258" s="381"/>
      <c r="S3258" s="408"/>
      <c r="T3258" s="385"/>
      <c r="U3258" s="475"/>
      <c r="V3258" s="395"/>
      <c r="W3258" s="395"/>
      <c r="X3258" s="528"/>
      <c r="Y3258" s="523"/>
      <c r="Z3258" s="393"/>
      <c r="AA3258" s="394"/>
      <c r="AB3258" s="394"/>
      <c r="AC3258" s="394"/>
      <c r="AD3258" s="394"/>
      <c r="AE3258" s="394"/>
      <c r="AF3258" s="394"/>
      <c r="AG3258" s="394"/>
      <c r="AH3258" s="394"/>
      <c r="AI3258" s="394"/>
      <c r="AJ3258" s="394"/>
      <c r="AK3258" s="381"/>
      <c r="AL3258" s="408"/>
      <c r="AM3258" s="385"/>
      <c r="AN3258" s="475"/>
      <c r="AO3258" s="395"/>
      <c r="AP3258" s="395"/>
      <c r="AQ3258" s="528"/>
      <c r="AR3258" s="523">
        <v>1</v>
      </c>
      <c r="AS3258" s="393"/>
      <c r="AT3258" s="600">
        <v>19.569199999999999</v>
      </c>
      <c r="AU3258" s="394">
        <v>16.31822</v>
      </c>
      <c r="AV3258" s="394">
        <v>15.33417</v>
      </c>
      <c r="AW3258" s="394"/>
      <c r="AX3258" s="394"/>
      <c r="AY3258" s="394">
        <v>0</v>
      </c>
      <c r="AZ3258" s="394">
        <v>0</v>
      </c>
      <c r="BA3258" s="394">
        <v>0.75790000000000002</v>
      </c>
      <c r="BB3258" s="394">
        <v>15.33417</v>
      </c>
      <c r="BC3258" s="394"/>
      <c r="BD3258" s="381" t="s">
        <v>167</v>
      </c>
      <c r="BE3258" s="408" t="s">
        <v>175</v>
      </c>
      <c r="BF3258" s="385"/>
      <c r="BG3258" s="475">
        <v>1220</v>
      </c>
      <c r="BH3258" s="395"/>
      <c r="BI3258" s="395">
        <f t="shared" ref="BI3258" si="1273">AT3258/AR3258</f>
        <v>19.569199999999999</v>
      </c>
    </row>
    <row r="3259" spans="1:61" s="358" customFormat="1" ht="19.2" x14ac:dyDescent="0.3">
      <c r="A3259" s="359" t="s">
        <v>2212</v>
      </c>
      <c r="B3259" s="602" t="s">
        <v>1363</v>
      </c>
      <c r="C3259" s="548" t="s">
        <v>6107</v>
      </c>
      <c r="D3259" s="360">
        <v>0.4</v>
      </c>
      <c r="E3259" s="528"/>
      <c r="F3259" s="523"/>
      <c r="G3259" s="393"/>
      <c r="H3259" s="394"/>
      <c r="I3259" s="394"/>
      <c r="J3259" s="394"/>
      <c r="K3259" s="394"/>
      <c r="L3259" s="394"/>
      <c r="M3259" s="394"/>
      <c r="N3259" s="394"/>
      <c r="O3259" s="394"/>
      <c r="P3259" s="394"/>
      <c r="Q3259" s="394"/>
      <c r="R3259" s="381"/>
      <c r="S3259" s="408"/>
      <c r="T3259" s="385"/>
      <c r="U3259" s="475"/>
      <c r="V3259" s="395"/>
      <c r="W3259" s="395"/>
      <c r="X3259" s="528"/>
      <c r="Y3259" s="523"/>
      <c r="Z3259" s="393"/>
      <c r="AA3259" s="394"/>
      <c r="AB3259" s="394"/>
      <c r="AC3259" s="394"/>
      <c r="AD3259" s="394"/>
      <c r="AE3259" s="394"/>
      <c r="AF3259" s="394"/>
      <c r="AG3259" s="394"/>
      <c r="AH3259" s="394"/>
      <c r="AI3259" s="394"/>
      <c r="AJ3259" s="394"/>
      <c r="AK3259" s="381"/>
      <c r="AL3259" s="408"/>
      <c r="AM3259" s="385"/>
      <c r="AN3259" s="475"/>
      <c r="AO3259" s="395"/>
      <c r="AP3259" s="395"/>
      <c r="AQ3259" s="528"/>
      <c r="AR3259" s="523">
        <v>1</v>
      </c>
      <c r="AS3259" s="393"/>
      <c r="AT3259" s="600">
        <v>19.569189999999999</v>
      </c>
      <c r="AU3259" s="394">
        <v>16.318210000000001</v>
      </c>
      <c r="AV3259" s="394">
        <v>15.33417</v>
      </c>
      <c r="AW3259" s="394"/>
      <c r="AX3259" s="394"/>
      <c r="AY3259" s="394">
        <v>0</v>
      </c>
      <c r="AZ3259" s="394">
        <v>0</v>
      </c>
      <c r="BA3259" s="394">
        <v>0.75790000000000002</v>
      </c>
      <c r="BB3259" s="394">
        <v>15.33417</v>
      </c>
      <c r="BC3259" s="394"/>
      <c r="BD3259" s="381" t="s">
        <v>167</v>
      </c>
      <c r="BE3259" s="408" t="s">
        <v>175</v>
      </c>
      <c r="BF3259" s="385"/>
      <c r="BG3259" s="475">
        <v>1221</v>
      </c>
      <c r="BH3259" s="395"/>
      <c r="BI3259" s="395">
        <f t="shared" si="1265"/>
        <v>19.569189999999999</v>
      </c>
    </row>
    <row r="3260" spans="1:61" s="358" customFormat="1" ht="19.2" x14ac:dyDescent="0.3">
      <c r="A3260" s="359" t="s">
        <v>2213</v>
      </c>
      <c r="B3260" s="602" t="s">
        <v>1363</v>
      </c>
      <c r="C3260" s="548" t="s">
        <v>6108</v>
      </c>
      <c r="D3260" s="360">
        <v>0.4</v>
      </c>
      <c r="E3260" s="528"/>
      <c r="F3260" s="523"/>
      <c r="G3260" s="393"/>
      <c r="H3260" s="394"/>
      <c r="I3260" s="394"/>
      <c r="J3260" s="394"/>
      <c r="K3260" s="394"/>
      <c r="L3260" s="394"/>
      <c r="M3260" s="394"/>
      <c r="N3260" s="394"/>
      <c r="O3260" s="394"/>
      <c r="P3260" s="394"/>
      <c r="Q3260" s="394"/>
      <c r="R3260" s="381"/>
      <c r="S3260" s="408"/>
      <c r="T3260" s="385"/>
      <c r="U3260" s="475"/>
      <c r="V3260" s="395"/>
      <c r="W3260" s="395"/>
      <c r="X3260" s="528"/>
      <c r="Y3260" s="523"/>
      <c r="Z3260" s="393"/>
      <c r="AA3260" s="394"/>
      <c r="AB3260" s="394"/>
      <c r="AC3260" s="394"/>
      <c r="AD3260" s="394"/>
      <c r="AE3260" s="394"/>
      <c r="AF3260" s="394"/>
      <c r="AG3260" s="394"/>
      <c r="AH3260" s="394"/>
      <c r="AI3260" s="394"/>
      <c r="AJ3260" s="394"/>
      <c r="AK3260" s="381"/>
      <c r="AL3260" s="408"/>
      <c r="AM3260" s="385"/>
      <c r="AN3260" s="475"/>
      <c r="AO3260" s="395"/>
      <c r="AP3260" s="395"/>
      <c r="AQ3260" s="528"/>
      <c r="AR3260" s="523">
        <v>1</v>
      </c>
      <c r="AS3260" s="393"/>
      <c r="AT3260" s="600">
        <v>19.56917</v>
      </c>
      <c r="AU3260" s="394">
        <v>16.318190000000001</v>
      </c>
      <c r="AV3260" s="394">
        <v>15.33417</v>
      </c>
      <c r="AW3260" s="394"/>
      <c r="AX3260" s="394"/>
      <c r="AY3260" s="394">
        <v>0</v>
      </c>
      <c r="AZ3260" s="394">
        <v>0</v>
      </c>
      <c r="BA3260" s="394">
        <v>0.75790000000000002</v>
      </c>
      <c r="BB3260" s="394">
        <v>15.33417</v>
      </c>
      <c r="BC3260" s="394"/>
      <c r="BD3260" s="381" t="s">
        <v>167</v>
      </c>
      <c r="BE3260" s="408" t="s">
        <v>175</v>
      </c>
      <c r="BF3260" s="385"/>
      <c r="BG3260" s="475">
        <v>1222</v>
      </c>
      <c r="BH3260" s="395"/>
      <c r="BI3260" s="395">
        <f t="shared" ref="BI3260" si="1274">AT3260/AR3260</f>
        <v>19.56917</v>
      </c>
    </row>
    <row r="3261" spans="1:61" s="358" customFormat="1" ht="19.2" x14ac:dyDescent="0.3">
      <c r="A3261" s="359" t="s">
        <v>2214</v>
      </c>
      <c r="B3261" s="602" t="s">
        <v>6109</v>
      </c>
      <c r="C3261" s="548" t="s">
        <v>6110</v>
      </c>
      <c r="D3261" s="360">
        <v>0.4</v>
      </c>
      <c r="E3261" s="528"/>
      <c r="F3261" s="523"/>
      <c r="G3261" s="393"/>
      <c r="H3261" s="394"/>
      <c r="I3261" s="394"/>
      <c r="J3261" s="394"/>
      <c r="K3261" s="394"/>
      <c r="L3261" s="394"/>
      <c r="M3261" s="394"/>
      <c r="N3261" s="394"/>
      <c r="O3261" s="394"/>
      <c r="P3261" s="394"/>
      <c r="Q3261" s="394"/>
      <c r="R3261" s="381"/>
      <c r="S3261" s="408"/>
      <c r="T3261" s="385"/>
      <c r="U3261" s="475"/>
      <c r="V3261" s="395"/>
      <c r="W3261" s="395"/>
      <c r="X3261" s="528"/>
      <c r="Y3261" s="523"/>
      <c r="Z3261" s="393"/>
      <c r="AA3261" s="394"/>
      <c r="AB3261" s="394"/>
      <c r="AC3261" s="394"/>
      <c r="AD3261" s="394"/>
      <c r="AE3261" s="394"/>
      <c r="AF3261" s="394"/>
      <c r="AG3261" s="394"/>
      <c r="AH3261" s="394"/>
      <c r="AI3261" s="394"/>
      <c r="AJ3261" s="394"/>
      <c r="AK3261" s="381"/>
      <c r="AL3261" s="408"/>
      <c r="AM3261" s="385"/>
      <c r="AN3261" s="475"/>
      <c r="AO3261" s="395"/>
      <c r="AP3261" s="395"/>
      <c r="AQ3261" s="528"/>
      <c r="AR3261" s="523">
        <v>1</v>
      </c>
      <c r="AS3261" s="393"/>
      <c r="AT3261" s="600">
        <v>19.569199999999999</v>
      </c>
      <c r="AU3261" s="394">
        <v>16.31822</v>
      </c>
      <c r="AV3261" s="394">
        <v>15.33417</v>
      </c>
      <c r="AW3261" s="394"/>
      <c r="AX3261" s="394"/>
      <c r="AY3261" s="394">
        <v>0</v>
      </c>
      <c r="AZ3261" s="394">
        <v>0</v>
      </c>
      <c r="BA3261" s="394">
        <v>0.75790000000000002</v>
      </c>
      <c r="BB3261" s="394">
        <v>15.33417</v>
      </c>
      <c r="BC3261" s="394"/>
      <c r="BD3261" s="381" t="s">
        <v>167</v>
      </c>
      <c r="BE3261" s="408" t="s">
        <v>175</v>
      </c>
      <c r="BF3261" s="385"/>
      <c r="BG3261" s="475">
        <v>1223</v>
      </c>
      <c r="BH3261" s="395"/>
      <c r="BI3261" s="395">
        <f t="shared" si="1265"/>
        <v>19.569199999999999</v>
      </c>
    </row>
    <row r="3262" spans="1:61" s="358" customFormat="1" ht="19.2" x14ac:dyDescent="0.3">
      <c r="A3262" s="359" t="s">
        <v>2215</v>
      </c>
      <c r="B3262" s="602" t="s">
        <v>6111</v>
      </c>
      <c r="C3262" s="548" t="s">
        <v>6112</v>
      </c>
      <c r="D3262" s="360">
        <v>0.4</v>
      </c>
      <c r="E3262" s="528"/>
      <c r="F3262" s="523"/>
      <c r="G3262" s="393"/>
      <c r="H3262" s="394"/>
      <c r="I3262" s="394"/>
      <c r="J3262" s="394"/>
      <c r="K3262" s="394"/>
      <c r="L3262" s="394"/>
      <c r="M3262" s="394"/>
      <c r="N3262" s="394"/>
      <c r="O3262" s="394"/>
      <c r="P3262" s="394"/>
      <c r="Q3262" s="394"/>
      <c r="R3262" s="381"/>
      <c r="S3262" s="408"/>
      <c r="T3262" s="385"/>
      <c r="U3262" s="475"/>
      <c r="V3262" s="395"/>
      <c r="W3262" s="395"/>
      <c r="X3262" s="528"/>
      <c r="Y3262" s="523"/>
      <c r="Z3262" s="393"/>
      <c r="AA3262" s="394"/>
      <c r="AB3262" s="394"/>
      <c r="AC3262" s="394"/>
      <c r="AD3262" s="394"/>
      <c r="AE3262" s="394"/>
      <c r="AF3262" s="394"/>
      <c r="AG3262" s="394"/>
      <c r="AH3262" s="394"/>
      <c r="AI3262" s="394"/>
      <c r="AJ3262" s="394"/>
      <c r="AK3262" s="381"/>
      <c r="AL3262" s="408"/>
      <c r="AM3262" s="385"/>
      <c r="AN3262" s="475"/>
      <c r="AO3262" s="395"/>
      <c r="AP3262" s="395"/>
      <c r="AQ3262" s="528"/>
      <c r="AR3262" s="523">
        <v>1</v>
      </c>
      <c r="AS3262" s="393"/>
      <c r="AT3262" s="600">
        <v>19.569199999999999</v>
      </c>
      <c r="AU3262" s="394">
        <v>16.31822</v>
      </c>
      <c r="AV3262" s="394">
        <v>15.33417</v>
      </c>
      <c r="AW3262" s="394"/>
      <c r="AX3262" s="394"/>
      <c r="AY3262" s="394">
        <v>0</v>
      </c>
      <c r="AZ3262" s="394">
        <v>0</v>
      </c>
      <c r="BA3262" s="394">
        <v>0.75790000000000002</v>
      </c>
      <c r="BB3262" s="394">
        <v>15.33417</v>
      </c>
      <c r="BC3262" s="394"/>
      <c r="BD3262" s="381" t="s">
        <v>167</v>
      </c>
      <c r="BE3262" s="408" t="s">
        <v>175</v>
      </c>
      <c r="BF3262" s="385"/>
      <c r="BG3262" s="475">
        <v>1224</v>
      </c>
      <c r="BH3262" s="395"/>
      <c r="BI3262" s="395">
        <f t="shared" ref="BI3262" si="1275">AT3262/AR3262</f>
        <v>19.569199999999999</v>
      </c>
    </row>
    <row r="3263" spans="1:61" s="358" customFormat="1" ht="19.2" x14ac:dyDescent="0.3">
      <c r="A3263" s="359" t="s">
        <v>2216</v>
      </c>
      <c r="B3263" s="602" t="s">
        <v>6113</v>
      </c>
      <c r="C3263" s="548" t="s">
        <v>6114</v>
      </c>
      <c r="D3263" s="360">
        <v>0.4</v>
      </c>
      <c r="E3263" s="528"/>
      <c r="F3263" s="523"/>
      <c r="G3263" s="393"/>
      <c r="H3263" s="394"/>
      <c r="I3263" s="394"/>
      <c r="J3263" s="394"/>
      <c r="K3263" s="394"/>
      <c r="L3263" s="394"/>
      <c r="M3263" s="394"/>
      <c r="N3263" s="394"/>
      <c r="O3263" s="394"/>
      <c r="P3263" s="394"/>
      <c r="Q3263" s="394"/>
      <c r="R3263" s="381"/>
      <c r="S3263" s="408"/>
      <c r="T3263" s="385"/>
      <c r="U3263" s="475"/>
      <c r="V3263" s="395"/>
      <c r="W3263" s="395"/>
      <c r="X3263" s="528"/>
      <c r="Y3263" s="523"/>
      <c r="Z3263" s="393"/>
      <c r="AA3263" s="394"/>
      <c r="AB3263" s="394"/>
      <c r="AC3263" s="394"/>
      <c r="AD3263" s="394"/>
      <c r="AE3263" s="394"/>
      <c r="AF3263" s="394"/>
      <c r="AG3263" s="394"/>
      <c r="AH3263" s="394"/>
      <c r="AI3263" s="394"/>
      <c r="AJ3263" s="394"/>
      <c r="AK3263" s="381"/>
      <c r="AL3263" s="408"/>
      <c r="AM3263" s="385"/>
      <c r="AN3263" s="475"/>
      <c r="AO3263" s="395"/>
      <c r="AP3263" s="395"/>
      <c r="AQ3263" s="528"/>
      <c r="AR3263" s="523">
        <v>1</v>
      </c>
      <c r="AS3263" s="393"/>
      <c r="AT3263" s="600">
        <v>19.56917</v>
      </c>
      <c r="AU3263" s="394">
        <v>16.318190000000001</v>
      </c>
      <c r="AV3263" s="394">
        <v>15.33417</v>
      </c>
      <c r="AW3263" s="394"/>
      <c r="AX3263" s="394"/>
      <c r="AY3263" s="394">
        <v>0</v>
      </c>
      <c r="AZ3263" s="394">
        <v>0</v>
      </c>
      <c r="BA3263" s="394">
        <v>0.75790000000000002</v>
      </c>
      <c r="BB3263" s="394">
        <v>15.33417</v>
      </c>
      <c r="BC3263" s="394"/>
      <c r="BD3263" s="381" t="s">
        <v>167</v>
      </c>
      <c r="BE3263" s="408" t="s">
        <v>175</v>
      </c>
      <c r="BF3263" s="385"/>
      <c r="BG3263" s="475">
        <v>1225</v>
      </c>
      <c r="BH3263" s="395"/>
      <c r="BI3263" s="395">
        <f t="shared" si="1265"/>
        <v>19.56917</v>
      </c>
    </row>
    <row r="3264" spans="1:61" s="358" customFormat="1" ht="19.2" x14ac:dyDescent="0.3">
      <c r="A3264" s="359" t="s">
        <v>2217</v>
      </c>
      <c r="B3264" s="602" t="s">
        <v>5409</v>
      </c>
      <c r="C3264" s="548" t="s">
        <v>6115</v>
      </c>
      <c r="D3264" s="360">
        <v>0.4</v>
      </c>
      <c r="E3264" s="528"/>
      <c r="F3264" s="523"/>
      <c r="G3264" s="393"/>
      <c r="H3264" s="394"/>
      <c r="I3264" s="394"/>
      <c r="J3264" s="394"/>
      <c r="K3264" s="394"/>
      <c r="L3264" s="394"/>
      <c r="M3264" s="394"/>
      <c r="N3264" s="394"/>
      <c r="O3264" s="394"/>
      <c r="P3264" s="394"/>
      <c r="Q3264" s="394"/>
      <c r="R3264" s="381"/>
      <c r="S3264" s="408"/>
      <c r="T3264" s="385"/>
      <c r="U3264" s="475"/>
      <c r="V3264" s="395"/>
      <c r="W3264" s="395"/>
      <c r="X3264" s="528"/>
      <c r="Y3264" s="523"/>
      <c r="Z3264" s="393"/>
      <c r="AA3264" s="394"/>
      <c r="AB3264" s="394"/>
      <c r="AC3264" s="394"/>
      <c r="AD3264" s="394"/>
      <c r="AE3264" s="394"/>
      <c r="AF3264" s="394"/>
      <c r="AG3264" s="394"/>
      <c r="AH3264" s="394"/>
      <c r="AI3264" s="394"/>
      <c r="AJ3264" s="394"/>
      <c r="AK3264" s="381"/>
      <c r="AL3264" s="408"/>
      <c r="AM3264" s="385"/>
      <c r="AN3264" s="475"/>
      <c r="AO3264" s="395"/>
      <c r="AP3264" s="395"/>
      <c r="AQ3264" s="528"/>
      <c r="AR3264" s="523">
        <v>1</v>
      </c>
      <c r="AS3264" s="393"/>
      <c r="AT3264" s="600">
        <v>19.569179999999999</v>
      </c>
      <c r="AU3264" s="394">
        <v>16.318200000000001</v>
      </c>
      <c r="AV3264" s="394">
        <v>15.33417</v>
      </c>
      <c r="AW3264" s="394"/>
      <c r="AX3264" s="394"/>
      <c r="AY3264" s="394">
        <v>0</v>
      </c>
      <c r="AZ3264" s="394">
        <v>0</v>
      </c>
      <c r="BA3264" s="394">
        <v>0.75790000000000002</v>
      </c>
      <c r="BB3264" s="394">
        <v>15.33417</v>
      </c>
      <c r="BC3264" s="394"/>
      <c r="BD3264" s="381" t="s">
        <v>167</v>
      </c>
      <c r="BE3264" s="408" t="s">
        <v>175</v>
      </c>
      <c r="BF3264" s="385"/>
      <c r="BG3264" s="475">
        <v>1226</v>
      </c>
      <c r="BH3264" s="395"/>
      <c r="BI3264" s="395">
        <f t="shared" si="1265"/>
        <v>19.569179999999999</v>
      </c>
    </row>
    <row r="3265" spans="1:61" s="358" customFormat="1" ht="19.2" x14ac:dyDescent="0.3">
      <c r="A3265" s="359" t="s">
        <v>2218</v>
      </c>
      <c r="B3265" s="602" t="s">
        <v>6116</v>
      </c>
      <c r="C3265" s="548" t="s">
        <v>6117</v>
      </c>
      <c r="D3265" s="360">
        <v>0.4</v>
      </c>
      <c r="E3265" s="528"/>
      <c r="F3265" s="523"/>
      <c r="G3265" s="393"/>
      <c r="H3265" s="394"/>
      <c r="I3265" s="394"/>
      <c r="J3265" s="394"/>
      <c r="K3265" s="394"/>
      <c r="L3265" s="394"/>
      <c r="M3265" s="394"/>
      <c r="N3265" s="394"/>
      <c r="O3265" s="394"/>
      <c r="P3265" s="394"/>
      <c r="Q3265" s="394"/>
      <c r="R3265" s="381"/>
      <c r="S3265" s="408"/>
      <c r="T3265" s="385"/>
      <c r="U3265" s="475"/>
      <c r="V3265" s="395"/>
      <c r="W3265" s="395"/>
      <c r="X3265" s="528"/>
      <c r="Y3265" s="523"/>
      <c r="Z3265" s="393"/>
      <c r="AA3265" s="394"/>
      <c r="AB3265" s="394"/>
      <c r="AC3265" s="394"/>
      <c r="AD3265" s="394"/>
      <c r="AE3265" s="394"/>
      <c r="AF3265" s="394"/>
      <c r="AG3265" s="394"/>
      <c r="AH3265" s="394"/>
      <c r="AI3265" s="394"/>
      <c r="AJ3265" s="394"/>
      <c r="AK3265" s="381"/>
      <c r="AL3265" s="408"/>
      <c r="AM3265" s="385"/>
      <c r="AN3265" s="475"/>
      <c r="AO3265" s="395"/>
      <c r="AP3265" s="395"/>
      <c r="AQ3265" s="528"/>
      <c r="AR3265" s="523">
        <v>1</v>
      </c>
      <c r="AS3265" s="393"/>
      <c r="AT3265" s="600">
        <v>19.56917</v>
      </c>
      <c r="AU3265" s="394">
        <v>16.318190000000001</v>
      </c>
      <c r="AV3265" s="394">
        <v>15.33417</v>
      </c>
      <c r="AW3265" s="394"/>
      <c r="AX3265" s="394"/>
      <c r="AY3265" s="394">
        <v>0</v>
      </c>
      <c r="AZ3265" s="394">
        <v>0</v>
      </c>
      <c r="BA3265" s="394">
        <v>0.75790000000000002</v>
      </c>
      <c r="BB3265" s="394">
        <v>15.33417</v>
      </c>
      <c r="BC3265" s="394"/>
      <c r="BD3265" s="381" t="s">
        <v>167</v>
      </c>
      <c r="BE3265" s="408" t="s">
        <v>175</v>
      </c>
      <c r="BF3265" s="385"/>
      <c r="BG3265" s="475">
        <v>1227</v>
      </c>
      <c r="BH3265" s="395"/>
      <c r="BI3265" s="395">
        <f t="shared" ref="BI3265" si="1276">AT3265/AR3265</f>
        <v>19.56917</v>
      </c>
    </row>
    <row r="3266" spans="1:61" s="358" customFormat="1" ht="19.2" x14ac:dyDescent="0.3">
      <c r="A3266" s="359" t="s">
        <v>2219</v>
      </c>
      <c r="B3266" s="602" t="s">
        <v>6118</v>
      </c>
      <c r="C3266" s="548" t="s">
        <v>6119</v>
      </c>
      <c r="D3266" s="360">
        <v>0.4</v>
      </c>
      <c r="E3266" s="528"/>
      <c r="F3266" s="523"/>
      <c r="G3266" s="393"/>
      <c r="H3266" s="394"/>
      <c r="I3266" s="394"/>
      <c r="J3266" s="394"/>
      <c r="K3266" s="394"/>
      <c r="L3266" s="394"/>
      <c r="M3266" s="394"/>
      <c r="N3266" s="394"/>
      <c r="O3266" s="394"/>
      <c r="P3266" s="394"/>
      <c r="Q3266" s="394"/>
      <c r="R3266" s="381"/>
      <c r="S3266" s="408"/>
      <c r="T3266" s="385"/>
      <c r="U3266" s="475"/>
      <c r="V3266" s="395"/>
      <c r="W3266" s="395"/>
      <c r="X3266" s="528"/>
      <c r="Y3266" s="523"/>
      <c r="Z3266" s="393"/>
      <c r="AA3266" s="394"/>
      <c r="AB3266" s="394"/>
      <c r="AC3266" s="394"/>
      <c r="AD3266" s="394"/>
      <c r="AE3266" s="394"/>
      <c r="AF3266" s="394"/>
      <c r="AG3266" s="394"/>
      <c r="AH3266" s="394"/>
      <c r="AI3266" s="394"/>
      <c r="AJ3266" s="394"/>
      <c r="AK3266" s="381"/>
      <c r="AL3266" s="408"/>
      <c r="AM3266" s="385"/>
      <c r="AN3266" s="475"/>
      <c r="AO3266" s="395"/>
      <c r="AP3266" s="395"/>
      <c r="AQ3266" s="528"/>
      <c r="AR3266" s="523">
        <v>1</v>
      </c>
      <c r="AS3266" s="393"/>
      <c r="AT3266" s="600">
        <v>19.56917</v>
      </c>
      <c r="AU3266" s="394">
        <v>16.318190000000001</v>
      </c>
      <c r="AV3266" s="394">
        <v>15.33417</v>
      </c>
      <c r="AW3266" s="394"/>
      <c r="AX3266" s="394"/>
      <c r="AY3266" s="394">
        <v>0</v>
      </c>
      <c r="AZ3266" s="394">
        <v>0</v>
      </c>
      <c r="BA3266" s="394">
        <v>0.75790000000000002</v>
      </c>
      <c r="BB3266" s="394">
        <v>15.33417</v>
      </c>
      <c r="BC3266" s="394"/>
      <c r="BD3266" s="381" t="s">
        <v>167</v>
      </c>
      <c r="BE3266" s="408" t="s">
        <v>175</v>
      </c>
      <c r="BF3266" s="385"/>
      <c r="BG3266" s="475">
        <v>1228</v>
      </c>
      <c r="BH3266" s="395"/>
      <c r="BI3266" s="395">
        <f t="shared" si="1265"/>
        <v>19.56917</v>
      </c>
    </row>
    <row r="3267" spans="1:61" s="358" customFormat="1" ht="19.2" x14ac:dyDescent="0.3">
      <c r="A3267" s="359" t="s">
        <v>2220</v>
      </c>
      <c r="B3267" s="602" t="s">
        <v>6120</v>
      </c>
      <c r="C3267" s="548" t="s">
        <v>6121</v>
      </c>
      <c r="D3267" s="360">
        <v>0.4</v>
      </c>
      <c r="E3267" s="528"/>
      <c r="F3267" s="523"/>
      <c r="G3267" s="393"/>
      <c r="H3267" s="394"/>
      <c r="I3267" s="394"/>
      <c r="J3267" s="394"/>
      <c r="K3267" s="394"/>
      <c r="L3267" s="394"/>
      <c r="M3267" s="394"/>
      <c r="N3267" s="394"/>
      <c r="O3267" s="394"/>
      <c r="P3267" s="394"/>
      <c r="Q3267" s="394"/>
      <c r="R3267" s="381"/>
      <c r="S3267" s="408"/>
      <c r="T3267" s="385"/>
      <c r="U3267" s="475"/>
      <c r="V3267" s="395"/>
      <c r="W3267" s="395"/>
      <c r="X3267" s="528"/>
      <c r="Y3267" s="523"/>
      <c r="Z3267" s="393"/>
      <c r="AA3267" s="394"/>
      <c r="AB3267" s="394"/>
      <c r="AC3267" s="394"/>
      <c r="AD3267" s="394"/>
      <c r="AE3267" s="394"/>
      <c r="AF3267" s="394"/>
      <c r="AG3267" s="394"/>
      <c r="AH3267" s="394"/>
      <c r="AI3267" s="394"/>
      <c r="AJ3267" s="394"/>
      <c r="AK3267" s="381"/>
      <c r="AL3267" s="408"/>
      <c r="AM3267" s="385"/>
      <c r="AN3267" s="475"/>
      <c r="AO3267" s="395"/>
      <c r="AP3267" s="395"/>
      <c r="AQ3267" s="528"/>
      <c r="AR3267" s="523">
        <v>1</v>
      </c>
      <c r="AS3267" s="393"/>
      <c r="AT3267" s="600">
        <v>19.569199999999999</v>
      </c>
      <c r="AU3267" s="394">
        <v>16.31822</v>
      </c>
      <c r="AV3267" s="394">
        <v>15.33417</v>
      </c>
      <c r="AW3267" s="394"/>
      <c r="AX3267" s="394"/>
      <c r="AY3267" s="394">
        <v>0</v>
      </c>
      <c r="AZ3267" s="394">
        <v>0</v>
      </c>
      <c r="BA3267" s="394">
        <v>0.75790000000000002</v>
      </c>
      <c r="BB3267" s="394">
        <v>15.33417</v>
      </c>
      <c r="BC3267" s="394"/>
      <c r="BD3267" s="381" t="s">
        <v>167</v>
      </c>
      <c r="BE3267" s="408" t="s">
        <v>175</v>
      </c>
      <c r="BF3267" s="385"/>
      <c r="BG3267" s="475">
        <v>1229</v>
      </c>
      <c r="BH3267" s="395"/>
      <c r="BI3267" s="395">
        <f t="shared" ref="BI3267" si="1277">AT3267/AR3267</f>
        <v>19.569199999999999</v>
      </c>
    </row>
    <row r="3268" spans="1:61" s="358" customFormat="1" ht="19.2" x14ac:dyDescent="0.3">
      <c r="A3268" s="359" t="s">
        <v>2221</v>
      </c>
      <c r="B3268" s="602" t="s">
        <v>6122</v>
      </c>
      <c r="C3268" s="548" t="s">
        <v>6123</v>
      </c>
      <c r="D3268" s="360">
        <v>0.4</v>
      </c>
      <c r="E3268" s="528"/>
      <c r="F3268" s="523"/>
      <c r="G3268" s="393"/>
      <c r="H3268" s="394"/>
      <c r="I3268" s="394"/>
      <c r="J3268" s="394"/>
      <c r="K3268" s="394"/>
      <c r="L3268" s="394"/>
      <c r="M3268" s="394"/>
      <c r="N3268" s="394"/>
      <c r="O3268" s="394"/>
      <c r="P3268" s="394"/>
      <c r="Q3268" s="394"/>
      <c r="R3268" s="381"/>
      <c r="S3268" s="408"/>
      <c r="T3268" s="385"/>
      <c r="U3268" s="475"/>
      <c r="V3268" s="395"/>
      <c r="W3268" s="395"/>
      <c r="X3268" s="528"/>
      <c r="Y3268" s="523"/>
      <c r="Z3268" s="393"/>
      <c r="AA3268" s="394"/>
      <c r="AB3268" s="394"/>
      <c r="AC3268" s="394"/>
      <c r="AD3268" s="394"/>
      <c r="AE3268" s="394"/>
      <c r="AF3268" s="394"/>
      <c r="AG3268" s="394"/>
      <c r="AH3268" s="394"/>
      <c r="AI3268" s="394"/>
      <c r="AJ3268" s="394"/>
      <c r="AK3268" s="381"/>
      <c r="AL3268" s="408"/>
      <c r="AM3268" s="385"/>
      <c r="AN3268" s="475"/>
      <c r="AO3268" s="395"/>
      <c r="AP3268" s="395"/>
      <c r="AQ3268" s="528"/>
      <c r="AR3268" s="523">
        <v>1</v>
      </c>
      <c r="AS3268" s="393"/>
      <c r="AT3268" s="600">
        <v>19.569179999999999</v>
      </c>
      <c r="AU3268" s="394">
        <v>16.318200000000001</v>
      </c>
      <c r="AV3268" s="394">
        <v>15.33417</v>
      </c>
      <c r="AW3268" s="394"/>
      <c r="AX3268" s="394"/>
      <c r="AY3268" s="394">
        <v>0</v>
      </c>
      <c r="AZ3268" s="394">
        <v>0</v>
      </c>
      <c r="BA3268" s="394">
        <v>0.75790000000000002</v>
      </c>
      <c r="BB3268" s="394">
        <v>15.33417</v>
      </c>
      <c r="BC3268" s="394"/>
      <c r="BD3268" s="381" t="s">
        <v>167</v>
      </c>
      <c r="BE3268" s="408" t="s">
        <v>175</v>
      </c>
      <c r="BF3268" s="385"/>
      <c r="BG3268" s="475">
        <v>1230</v>
      </c>
      <c r="BH3268" s="395"/>
      <c r="BI3268" s="395">
        <f t="shared" si="1265"/>
        <v>19.569179999999999</v>
      </c>
    </row>
    <row r="3269" spans="1:61" s="358" customFormat="1" ht="19.2" x14ac:dyDescent="0.3">
      <c r="A3269" s="359" t="s">
        <v>2222</v>
      </c>
      <c r="B3269" s="602" t="s">
        <v>6124</v>
      </c>
      <c r="C3269" s="548" t="s">
        <v>6125</v>
      </c>
      <c r="D3269" s="360">
        <v>0.4</v>
      </c>
      <c r="E3269" s="528"/>
      <c r="F3269" s="523"/>
      <c r="G3269" s="393"/>
      <c r="H3269" s="394"/>
      <c r="I3269" s="394"/>
      <c r="J3269" s="394"/>
      <c r="K3269" s="394"/>
      <c r="L3269" s="394"/>
      <c r="M3269" s="394"/>
      <c r="N3269" s="394"/>
      <c r="O3269" s="394"/>
      <c r="P3269" s="394"/>
      <c r="Q3269" s="394"/>
      <c r="R3269" s="381"/>
      <c r="S3269" s="408"/>
      <c r="T3269" s="385"/>
      <c r="U3269" s="475"/>
      <c r="V3269" s="395"/>
      <c r="W3269" s="395"/>
      <c r="X3269" s="528"/>
      <c r="Y3269" s="523"/>
      <c r="Z3269" s="393"/>
      <c r="AA3269" s="394"/>
      <c r="AB3269" s="394"/>
      <c r="AC3269" s="394"/>
      <c r="AD3269" s="394"/>
      <c r="AE3269" s="394"/>
      <c r="AF3269" s="394"/>
      <c r="AG3269" s="394"/>
      <c r="AH3269" s="394"/>
      <c r="AI3269" s="394"/>
      <c r="AJ3269" s="394"/>
      <c r="AK3269" s="381"/>
      <c r="AL3269" s="408"/>
      <c r="AM3269" s="385"/>
      <c r="AN3269" s="475"/>
      <c r="AO3269" s="395"/>
      <c r="AP3269" s="395"/>
      <c r="AQ3269" s="528"/>
      <c r="AR3269" s="523">
        <v>1</v>
      </c>
      <c r="AS3269" s="393"/>
      <c r="AT3269" s="600">
        <v>19.569199999999999</v>
      </c>
      <c r="AU3269" s="394">
        <v>16.31822</v>
      </c>
      <c r="AV3269" s="394">
        <v>15.33417</v>
      </c>
      <c r="AW3269" s="394"/>
      <c r="AX3269" s="394"/>
      <c r="AY3269" s="394">
        <v>0</v>
      </c>
      <c r="AZ3269" s="394">
        <v>0</v>
      </c>
      <c r="BA3269" s="394">
        <v>0.75790000000000002</v>
      </c>
      <c r="BB3269" s="394">
        <v>15.33417</v>
      </c>
      <c r="BC3269" s="394"/>
      <c r="BD3269" s="381" t="s">
        <v>167</v>
      </c>
      <c r="BE3269" s="408" t="s">
        <v>175</v>
      </c>
      <c r="BF3269" s="385"/>
      <c r="BG3269" s="475">
        <v>1231</v>
      </c>
      <c r="BH3269" s="395"/>
      <c r="BI3269" s="395">
        <f t="shared" ref="BI3269" si="1278">AT3269/AR3269</f>
        <v>19.569199999999999</v>
      </c>
    </row>
    <row r="3270" spans="1:61" s="358" customFormat="1" ht="19.2" x14ac:dyDescent="0.3">
      <c r="A3270" s="359" t="s">
        <v>2223</v>
      </c>
      <c r="B3270" s="602" t="s">
        <v>5415</v>
      </c>
      <c r="C3270" s="548" t="s">
        <v>6126</v>
      </c>
      <c r="D3270" s="360">
        <v>0.4</v>
      </c>
      <c r="E3270" s="528"/>
      <c r="F3270" s="523"/>
      <c r="G3270" s="393"/>
      <c r="H3270" s="394"/>
      <c r="I3270" s="394"/>
      <c r="J3270" s="394"/>
      <c r="K3270" s="394"/>
      <c r="L3270" s="394"/>
      <c r="M3270" s="394"/>
      <c r="N3270" s="394"/>
      <c r="O3270" s="394"/>
      <c r="P3270" s="394"/>
      <c r="Q3270" s="394"/>
      <c r="R3270" s="381"/>
      <c r="S3270" s="408"/>
      <c r="T3270" s="385"/>
      <c r="U3270" s="475"/>
      <c r="V3270" s="395"/>
      <c r="W3270" s="395"/>
      <c r="X3270" s="528"/>
      <c r="Y3270" s="523"/>
      <c r="Z3270" s="393"/>
      <c r="AA3270" s="394"/>
      <c r="AB3270" s="394"/>
      <c r="AC3270" s="394"/>
      <c r="AD3270" s="394"/>
      <c r="AE3270" s="394"/>
      <c r="AF3270" s="394"/>
      <c r="AG3270" s="394"/>
      <c r="AH3270" s="394"/>
      <c r="AI3270" s="394"/>
      <c r="AJ3270" s="394"/>
      <c r="AK3270" s="381"/>
      <c r="AL3270" s="408"/>
      <c r="AM3270" s="385"/>
      <c r="AN3270" s="475"/>
      <c r="AO3270" s="395"/>
      <c r="AP3270" s="395"/>
      <c r="AQ3270" s="528"/>
      <c r="AR3270" s="523">
        <v>1</v>
      </c>
      <c r="AS3270" s="393"/>
      <c r="AT3270" s="600">
        <v>19.569179999999999</v>
      </c>
      <c r="AU3270" s="394">
        <v>16.318200000000001</v>
      </c>
      <c r="AV3270" s="394">
        <v>15.33417</v>
      </c>
      <c r="AW3270" s="394"/>
      <c r="AX3270" s="394"/>
      <c r="AY3270" s="394">
        <v>0</v>
      </c>
      <c r="AZ3270" s="394">
        <v>0</v>
      </c>
      <c r="BA3270" s="394">
        <v>0.75790000000000002</v>
      </c>
      <c r="BB3270" s="394">
        <v>15.33417</v>
      </c>
      <c r="BC3270" s="394"/>
      <c r="BD3270" s="381" t="s">
        <v>167</v>
      </c>
      <c r="BE3270" s="408" t="s">
        <v>175</v>
      </c>
      <c r="BF3270" s="385"/>
      <c r="BG3270" s="475">
        <v>1232</v>
      </c>
      <c r="BH3270" s="395"/>
      <c r="BI3270" s="395">
        <f t="shared" si="1265"/>
        <v>19.569179999999999</v>
      </c>
    </row>
    <row r="3271" spans="1:61" s="358" customFormat="1" ht="19.2" x14ac:dyDescent="0.3">
      <c r="A3271" s="359" t="s">
        <v>2224</v>
      </c>
      <c r="B3271" s="602" t="s">
        <v>6127</v>
      </c>
      <c r="C3271" s="548" t="s">
        <v>6128</v>
      </c>
      <c r="D3271" s="360">
        <v>0.4</v>
      </c>
      <c r="E3271" s="528"/>
      <c r="F3271" s="523"/>
      <c r="G3271" s="393"/>
      <c r="H3271" s="394"/>
      <c r="I3271" s="394"/>
      <c r="J3271" s="394"/>
      <c r="K3271" s="394"/>
      <c r="L3271" s="394"/>
      <c r="M3271" s="394"/>
      <c r="N3271" s="394"/>
      <c r="O3271" s="394"/>
      <c r="P3271" s="394"/>
      <c r="Q3271" s="394"/>
      <c r="R3271" s="381"/>
      <c r="S3271" s="408"/>
      <c r="T3271" s="385"/>
      <c r="U3271" s="475"/>
      <c r="V3271" s="395"/>
      <c r="W3271" s="395"/>
      <c r="X3271" s="528"/>
      <c r="Y3271" s="523"/>
      <c r="Z3271" s="393"/>
      <c r="AA3271" s="394"/>
      <c r="AB3271" s="394"/>
      <c r="AC3271" s="394"/>
      <c r="AD3271" s="394"/>
      <c r="AE3271" s="394"/>
      <c r="AF3271" s="394"/>
      <c r="AG3271" s="394"/>
      <c r="AH3271" s="394"/>
      <c r="AI3271" s="394"/>
      <c r="AJ3271" s="394"/>
      <c r="AK3271" s="381"/>
      <c r="AL3271" s="408"/>
      <c r="AM3271" s="385"/>
      <c r="AN3271" s="475"/>
      <c r="AO3271" s="395"/>
      <c r="AP3271" s="395"/>
      <c r="AQ3271" s="528"/>
      <c r="AR3271" s="523">
        <v>1</v>
      </c>
      <c r="AS3271" s="393"/>
      <c r="AT3271" s="600">
        <v>19.569179999999999</v>
      </c>
      <c r="AU3271" s="394">
        <v>16.318200000000001</v>
      </c>
      <c r="AV3271" s="394">
        <v>15.33417</v>
      </c>
      <c r="AW3271" s="394"/>
      <c r="AX3271" s="394"/>
      <c r="AY3271" s="394">
        <v>0</v>
      </c>
      <c r="AZ3271" s="394">
        <v>0</v>
      </c>
      <c r="BA3271" s="394">
        <v>0.75790000000000002</v>
      </c>
      <c r="BB3271" s="394">
        <v>15.33417</v>
      </c>
      <c r="BC3271" s="394"/>
      <c r="BD3271" s="381" t="s">
        <v>167</v>
      </c>
      <c r="BE3271" s="408" t="s">
        <v>175</v>
      </c>
      <c r="BF3271" s="385"/>
      <c r="BG3271" s="475">
        <v>1233</v>
      </c>
      <c r="BH3271" s="395"/>
      <c r="BI3271" s="395">
        <f t="shared" ref="BI3271" si="1279">AT3271/AR3271</f>
        <v>19.569179999999999</v>
      </c>
    </row>
    <row r="3272" spans="1:61" s="358" customFormat="1" ht="19.2" x14ac:dyDescent="0.3">
      <c r="A3272" s="359" t="s">
        <v>2225</v>
      </c>
      <c r="B3272" s="602" t="s">
        <v>6129</v>
      </c>
      <c r="C3272" s="548" t="s">
        <v>6130</v>
      </c>
      <c r="D3272" s="360">
        <v>0.4</v>
      </c>
      <c r="E3272" s="528"/>
      <c r="F3272" s="523"/>
      <c r="G3272" s="393"/>
      <c r="H3272" s="394"/>
      <c r="I3272" s="394"/>
      <c r="J3272" s="394"/>
      <c r="K3272" s="394"/>
      <c r="L3272" s="394"/>
      <c r="M3272" s="394"/>
      <c r="N3272" s="394"/>
      <c r="O3272" s="394"/>
      <c r="P3272" s="394"/>
      <c r="Q3272" s="394"/>
      <c r="R3272" s="381"/>
      <c r="S3272" s="408"/>
      <c r="T3272" s="385"/>
      <c r="U3272" s="475"/>
      <c r="V3272" s="395"/>
      <c r="W3272" s="395"/>
      <c r="X3272" s="528"/>
      <c r="Y3272" s="523"/>
      <c r="Z3272" s="393"/>
      <c r="AA3272" s="394"/>
      <c r="AB3272" s="394"/>
      <c r="AC3272" s="394"/>
      <c r="AD3272" s="394"/>
      <c r="AE3272" s="394"/>
      <c r="AF3272" s="394"/>
      <c r="AG3272" s="394"/>
      <c r="AH3272" s="394"/>
      <c r="AI3272" s="394"/>
      <c r="AJ3272" s="394"/>
      <c r="AK3272" s="381"/>
      <c r="AL3272" s="408"/>
      <c r="AM3272" s="385"/>
      <c r="AN3272" s="475"/>
      <c r="AO3272" s="395"/>
      <c r="AP3272" s="395"/>
      <c r="AQ3272" s="528"/>
      <c r="AR3272" s="523">
        <v>1</v>
      </c>
      <c r="AS3272" s="393"/>
      <c r="AT3272" s="600">
        <v>19.569199999999999</v>
      </c>
      <c r="AU3272" s="394">
        <v>16.31822</v>
      </c>
      <c r="AV3272" s="394">
        <v>15.33417</v>
      </c>
      <c r="AW3272" s="394"/>
      <c r="AX3272" s="394"/>
      <c r="AY3272" s="394">
        <v>0</v>
      </c>
      <c r="AZ3272" s="394">
        <v>0</v>
      </c>
      <c r="BA3272" s="394">
        <v>0.75790000000000002</v>
      </c>
      <c r="BB3272" s="394">
        <v>15.33417</v>
      </c>
      <c r="BC3272" s="394"/>
      <c r="BD3272" s="381" t="s">
        <v>167</v>
      </c>
      <c r="BE3272" s="408" t="s">
        <v>175</v>
      </c>
      <c r="BF3272" s="385"/>
      <c r="BG3272" s="475">
        <v>1234</v>
      </c>
      <c r="BH3272" s="395"/>
      <c r="BI3272" s="395">
        <f t="shared" si="1265"/>
        <v>19.569199999999999</v>
      </c>
    </row>
    <row r="3273" spans="1:61" s="358" customFormat="1" ht="19.2" x14ac:dyDescent="0.3">
      <c r="A3273" s="359" t="s">
        <v>2226</v>
      </c>
      <c r="B3273" s="602" t="s">
        <v>6131</v>
      </c>
      <c r="C3273" s="548" t="s">
        <v>6132</v>
      </c>
      <c r="D3273" s="360">
        <v>0.4</v>
      </c>
      <c r="E3273" s="528"/>
      <c r="F3273" s="523"/>
      <c r="G3273" s="393"/>
      <c r="H3273" s="394"/>
      <c r="I3273" s="394"/>
      <c r="J3273" s="394"/>
      <c r="K3273" s="394"/>
      <c r="L3273" s="394"/>
      <c r="M3273" s="394"/>
      <c r="N3273" s="394"/>
      <c r="O3273" s="394"/>
      <c r="P3273" s="394"/>
      <c r="Q3273" s="394"/>
      <c r="R3273" s="381"/>
      <c r="S3273" s="408"/>
      <c r="T3273" s="385"/>
      <c r="U3273" s="475"/>
      <c r="V3273" s="395"/>
      <c r="W3273" s="395"/>
      <c r="X3273" s="528"/>
      <c r="Y3273" s="523"/>
      <c r="Z3273" s="393"/>
      <c r="AA3273" s="394"/>
      <c r="AB3273" s="394"/>
      <c r="AC3273" s="394"/>
      <c r="AD3273" s="394"/>
      <c r="AE3273" s="394"/>
      <c r="AF3273" s="394"/>
      <c r="AG3273" s="394"/>
      <c r="AH3273" s="394"/>
      <c r="AI3273" s="394"/>
      <c r="AJ3273" s="394"/>
      <c r="AK3273" s="381"/>
      <c r="AL3273" s="408"/>
      <c r="AM3273" s="385"/>
      <c r="AN3273" s="475"/>
      <c r="AO3273" s="395"/>
      <c r="AP3273" s="395"/>
      <c r="AQ3273" s="528"/>
      <c r="AR3273" s="523">
        <v>1</v>
      </c>
      <c r="AS3273" s="393"/>
      <c r="AT3273" s="600">
        <v>19.56917</v>
      </c>
      <c r="AU3273" s="394">
        <v>16.318190000000001</v>
      </c>
      <c r="AV3273" s="394">
        <v>15.33417</v>
      </c>
      <c r="AW3273" s="394"/>
      <c r="AX3273" s="394"/>
      <c r="AY3273" s="394">
        <v>0</v>
      </c>
      <c r="AZ3273" s="394">
        <v>0</v>
      </c>
      <c r="BA3273" s="394">
        <v>0.75790000000000002</v>
      </c>
      <c r="BB3273" s="394">
        <v>15.33417</v>
      </c>
      <c r="BC3273" s="394"/>
      <c r="BD3273" s="381" t="s">
        <v>167</v>
      </c>
      <c r="BE3273" s="408" t="s">
        <v>175</v>
      </c>
      <c r="BF3273" s="385"/>
      <c r="BG3273" s="475">
        <v>1235</v>
      </c>
      <c r="BH3273" s="395"/>
      <c r="BI3273" s="395">
        <f t="shared" ref="BI3273" si="1280">AT3273/AR3273</f>
        <v>19.56917</v>
      </c>
    </row>
    <row r="3274" spans="1:61" s="358" customFormat="1" ht="19.2" x14ac:dyDescent="0.3">
      <c r="A3274" s="359" t="s">
        <v>2227</v>
      </c>
      <c r="B3274" s="602" t="s">
        <v>6133</v>
      </c>
      <c r="C3274" s="548" t="s">
        <v>6134</v>
      </c>
      <c r="D3274" s="360">
        <v>0.4</v>
      </c>
      <c r="E3274" s="528"/>
      <c r="F3274" s="523"/>
      <c r="G3274" s="393"/>
      <c r="H3274" s="394"/>
      <c r="I3274" s="394"/>
      <c r="J3274" s="394"/>
      <c r="K3274" s="394"/>
      <c r="L3274" s="394"/>
      <c r="M3274" s="394"/>
      <c r="N3274" s="394"/>
      <c r="O3274" s="394"/>
      <c r="P3274" s="394"/>
      <c r="Q3274" s="394"/>
      <c r="R3274" s="381"/>
      <c r="S3274" s="408"/>
      <c r="T3274" s="385"/>
      <c r="U3274" s="475"/>
      <c r="V3274" s="395"/>
      <c r="W3274" s="395"/>
      <c r="X3274" s="528"/>
      <c r="Y3274" s="523"/>
      <c r="Z3274" s="393"/>
      <c r="AA3274" s="394"/>
      <c r="AB3274" s="394"/>
      <c r="AC3274" s="394"/>
      <c r="AD3274" s="394"/>
      <c r="AE3274" s="394"/>
      <c r="AF3274" s="394"/>
      <c r="AG3274" s="394"/>
      <c r="AH3274" s="394"/>
      <c r="AI3274" s="394"/>
      <c r="AJ3274" s="394"/>
      <c r="AK3274" s="381"/>
      <c r="AL3274" s="408"/>
      <c r="AM3274" s="385"/>
      <c r="AN3274" s="475"/>
      <c r="AO3274" s="395"/>
      <c r="AP3274" s="395"/>
      <c r="AQ3274" s="528"/>
      <c r="AR3274" s="523">
        <v>1</v>
      </c>
      <c r="AS3274" s="393"/>
      <c r="AT3274" s="600">
        <v>19.56917</v>
      </c>
      <c r="AU3274" s="394">
        <v>16.318190000000001</v>
      </c>
      <c r="AV3274" s="394">
        <v>15.33417</v>
      </c>
      <c r="AW3274" s="394"/>
      <c r="AX3274" s="394"/>
      <c r="AY3274" s="394">
        <v>0</v>
      </c>
      <c r="AZ3274" s="394">
        <v>0</v>
      </c>
      <c r="BA3274" s="394">
        <v>0.75790000000000002</v>
      </c>
      <c r="BB3274" s="394">
        <v>15.33417</v>
      </c>
      <c r="BC3274" s="394"/>
      <c r="BD3274" s="381" t="s">
        <v>167</v>
      </c>
      <c r="BE3274" s="408" t="s">
        <v>175</v>
      </c>
      <c r="BF3274" s="385"/>
      <c r="BG3274" s="475">
        <v>1236</v>
      </c>
      <c r="BH3274" s="395"/>
      <c r="BI3274" s="395">
        <f t="shared" si="1265"/>
        <v>19.56917</v>
      </c>
    </row>
    <row r="3275" spans="1:61" s="358" customFormat="1" ht="19.2" x14ac:dyDescent="0.3">
      <c r="A3275" s="359" t="s">
        <v>2228</v>
      </c>
      <c r="B3275" s="602" t="s">
        <v>6135</v>
      </c>
      <c r="C3275" s="548" t="s">
        <v>6136</v>
      </c>
      <c r="D3275" s="360">
        <v>0.4</v>
      </c>
      <c r="E3275" s="528"/>
      <c r="F3275" s="523"/>
      <c r="G3275" s="393"/>
      <c r="H3275" s="394"/>
      <c r="I3275" s="394"/>
      <c r="J3275" s="394"/>
      <c r="K3275" s="394"/>
      <c r="L3275" s="394"/>
      <c r="M3275" s="394"/>
      <c r="N3275" s="394"/>
      <c r="O3275" s="394"/>
      <c r="P3275" s="394"/>
      <c r="Q3275" s="394"/>
      <c r="R3275" s="381"/>
      <c r="S3275" s="408"/>
      <c r="T3275" s="385"/>
      <c r="U3275" s="475"/>
      <c r="V3275" s="395"/>
      <c r="W3275" s="395"/>
      <c r="X3275" s="528"/>
      <c r="Y3275" s="523"/>
      <c r="Z3275" s="393"/>
      <c r="AA3275" s="394"/>
      <c r="AB3275" s="394"/>
      <c r="AC3275" s="394"/>
      <c r="AD3275" s="394"/>
      <c r="AE3275" s="394"/>
      <c r="AF3275" s="394"/>
      <c r="AG3275" s="394"/>
      <c r="AH3275" s="394"/>
      <c r="AI3275" s="394"/>
      <c r="AJ3275" s="394"/>
      <c r="AK3275" s="381"/>
      <c r="AL3275" s="408"/>
      <c r="AM3275" s="385"/>
      <c r="AN3275" s="475"/>
      <c r="AO3275" s="395"/>
      <c r="AP3275" s="395"/>
      <c r="AQ3275" s="528"/>
      <c r="AR3275" s="523">
        <v>1</v>
      </c>
      <c r="AS3275" s="393"/>
      <c r="AT3275" s="600">
        <v>19.569199999999999</v>
      </c>
      <c r="AU3275" s="394">
        <v>16.31822</v>
      </c>
      <c r="AV3275" s="394">
        <v>15.33417</v>
      </c>
      <c r="AW3275" s="394"/>
      <c r="AX3275" s="394"/>
      <c r="AY3275" s="394">
        <v>0</v>
      </c>
      <c r="AZ3275" s="394">
        <v>0</v>
      </c>
      <c r="BA3275" s="394">
        <v>0.75790000000000002</v>
      </c>
      <c r="BB3275" s="394">
        <v>15.33417</v>
      </c>
      <c r="BC3275" s="394"/>
      <c r="BD3275" s="381" t="s">
        <v>167</v>
      </c>
      <c r="BE3275" s="408" t="s">
        <v>175</v>
      </c>
      <c r="BF3275" s="385"/>
      <c r="BG3275" s="475">
        <v>1237</v>
      </c>
      <c r="BH3275" s="395"/>
      <c r="BI3275" s="395">
        <f t="shared" ref="BI3275" si="1281">AT3275/AR3275</f>
        <v>19.569199999999999</v>
      </c>
    </row>
    <row r="3276" spans="1:61" s="358" customFormat="1" ht="19.2" x14ac:dyDescent="0.3">
      <c r="A3276" s="359" t="s">
        <v>2229</v>
      </c>
      <c r="B3276" s="602" t="s">
        <v>6137</v>
      </c>
      <c r="C3276" s="548" t="s">
        <v>6138</v>
      </c>
      <c r="D3276" s="360">
        <v>0.4</v>
      </c>
      <c r="E3276" s="528"/>
      <c r="F3276" s="523"/>
      <c r="G3276" s="393"/>
      <c r="H3276" s="394"/>
      <c r="I3276" s="394"/>
      <c r="J3276" s="394"/>
      <c r="K3276" s="394"/>
      <c r="L3276" s="394"/>
      <c r="M3276" s="394"/>
      <c r="N3276" s="394"/>
      <c r="O3276" s="394"/>
      <c r="P3276" s="394"/>
      <c r="Q3276" s="394"/>
      <c r="R3276" s="381"/>
      <c r="S3276" s="408"/>
      <c r="T3276" s="385"/>
      <c r="U3276" s="475"/>
      <c r="V3276" s="395"/>
      <c r="W3276" s="395"/>
      <c r="X3276" s="528"/>
      <c r="Y3276" s="523"/>
      <c r="Z3276" s="393"/>
      <c r="AA3276" s="394"/>
      <c r="AB3276" s="394"/>
      <c r="AC3276" s="394"/>
      <c r="AD3276" s="394"/>
      <c r="AE3276" s="394"/>
      <c r="AF3276" s="394"/>
      <c r="AG3276" s="394"/>
      <c r="AH3276" s="394"/>
      <c r="AI3276" s="394"/>
      <c r="AJ3276" s="394"/>
      <c r="AK3276" s="381"/>
      <c r="AL3276" s="408"/>
      <c r="AM3276" s="385"/>
      <c r="AN3276" s="475"/>
      <c r="AO3276" s="395"/>
      <c r="AP3276" s="395"/>
      <c r="AQ3276" s="528"/>
      <c r="AR3276" s="523">
        <v>1</v>
      </c>
      <c r="AS3276" s="393"/>
      <c r="AT3276" s="600">
        <v>19.569179999999999</v>
      </c>
      <c r="AU3276" s="394">
        <v>16.318200000000001</v>
      </c>
      <c r="AV3276" s="394">
        <v>15.33417</v>
      </c>
      <c r="AW3276" s="394"/>
      <c r="AX3276" s="394"/>
      <c r="AY3276" s="394">
        <v>0</v>
      </c>
      <c r="AZ3276" s="394">
        <v>0</v>
      </c>
      <c r="BA3276" s="394">
        <v>0.75790000000000002</v>
      </c>
      <c r="BB3276" s="394">
        <v>15.33417</v>
      </c>
      <c r="BC3276" s="394"/>
      <c r="BD3276" s="381" t="s">
        <v>167</v>
      </c>
      <c r="BE3276" s="408" t="s">
        <v>175</v>
      </c>
      <c r="BF3276" s="385"/>
      <c r="BG3276" s="475">
        <v>1238</v>
      </c>
      <c r="BH3276" s="395"/>
      <c r="BI3276" s="395">
        <f t="shared" si="1265"/>
        <v>19.569179999999999</v>
      </c>
    </row>
    <row r="3277" spans="1:61" s="358" customFormat="1" ht="19.2" x14ac:dyDescent="0.3">
      <c r="A3277" s="359" t="s">
        <v>2230</v>
      </c>
      <c r="B3277" s="602" t="s">
        <v>6137</v>
      </c>
      <c r="C3277" s="548" t="s">
        <v>6139</v>
      </c>
      <c r="D3277" s="360">
        <v>0.4</v>
      </c>
      <c r="E3277" s="528"/>
      <c r="F3277" s="523"/>
      <c r="G3277" s="393"/>
      <c r="H3277" s="394"/>
      <c r="I3277" s="394"/>
      <c r="J3277" s="394"/>
      <c r="K3277" s="394"/>
      <c r="L3277" s="394"/>
      <c r="M3277" s="394"/>
      <c r="N3277" s="394"/>
      <c r="O3277" s="394"/>
      <c r="P3277" s="394"/>
      <c r="Q3277" s="394"/>
      <c r="R3277" s="381"/>
      <c r="S3277" s="408"/>
      <c r="T3277" s="385"/>
      <c r="U3277" s="475"/>
      <c r="V3277" s="395"/>
      <c r="W3277" s="395"/>
      <c r="X3277" s="528"/>
      <c r="Y3277" s="523"/>
      <c r="Z3277" s="393"/>
      <c r="AA3277" s="394"/>
      <c r="AB3277" s="394"/>
      <c r="AC3277" s="394"/>
      <c r="AD3277" s="394"/>
      <c r="AE3277" s="394"/>
      <c r="AF3277" s="394"/>
      <c r="AG3277" s="394"/>
      <c r="AH3277" s="394"/>
      <c r="AI3277" s="394"/>
      <c r="AJ3277" s="394"/>
      <c r="AK3277" s="381"/>
      <c r="AL3277" s="408"/>
      <c r="AM3277" s="385"/>
      <c r="AN3277" s="475"/>
      <c r="AO3277" s="395"/>
      <c r="AP3277" s="395"/>
      <c r="AQ3277" s="528"/>
      <c r="AR3277" s="523">
        <v>1</v>
      </c>
      <c r="AS3277" s="393"/>
      <c r="AT3277" s="600">
        <v>19.569179999999999</v>
      </c>
      <c r="AU3277" s="394">
        <v>16.318200000000001</v>
      </c>
      <c r="AV3277" s="394">
        <v>15.33417</v>
      </c>
      <c r="AW3277" s="394"/>
      <c r="AX3277" s="394"/>
      <c r="AY3277" s="394">
        <v>0</v>
      </c>
      <c r="AZ3277" s="394">
        <v>0</v>
      </c>
      <c r="BA3277" s="394">
        <v>0.75790000000000002</v>
      </c>
      <c r="BB3277" s="394">
        <v>15.33417</v>
      </c>
      <c r="BC3277" s="394"/>
      <c r="BD3277" s="381" t="s">
        <v>167</v>
      </c>
      <c r="BE3277" s="408" t="s">
        <v>175</v>
      </c>
      <c r="BF3277" s="385"/>
      <c r="BG3277" s="475">
        <v>1239</v>
      </c>
      <c r="BH3277" s="395"/>
      <c r="BI3277" s="395">
        <f t="shared" ref="BI3277" si="1282">AT3277/AR3277</f>
        <v>19.569179999999999</v>
      </c>
    </row>
    <row r="3278" spans="1:61" s="358" customFormat="1" ht="19.2" x14ac:dyDescent="0.3">
      <c r="A3278" s="359" t="s">
        <v>2231</v>
      </c>
      <c r="B3278" s="602" t="s">
        <v>4915</v>
      </c>
      <c r="C3278" s="548" t="s">
        <v>4914</v>
      </c>
      <c r="D3278" s="360">
        <v>0.4</v>
      </c>
      <c r="E3278" s="528"/>
      <c r="F3278" s="523"/>
      <c r="G3278" s="393"/>
      <c r="H3278" s="394"/>
      <c r="I3278" s="394"/>
      <c r="J3278" s="394"/>
      <c r="K3278" s="394"/>
      <c r="L3278" s="394"/>
      <c r="M3278" s="394"/>
      <c r="N3278" s="394"/>
      <c r="O3278" s="394"/>
      <c r="P3278" s="394"/>
      <c r="Q3278" s="394"/>
      <c r="R3278" s="381"/>
      <c r="S3278" s="408"/>
      <c r="T3278" s="385"/>
      <c r="U3278" s="475"/>
      <c r="V3278" s="395"/>
      <c r="W3278" s="395"/>
      <c r="X3278" s="528"/>
      <c r="Y3278" s="523"/>
      <c r="Z3278" s="393"/>
      <c r="AA3278" s="394"/>
      <c r="AB3278" s="394"/>
      <c r="AC3278" s="394"/>
      <c r="AD3278" s="394"/>
      <c r="AE3278" s="394"/>
      <c r="AF3278" s="394"/>
      <c r="AG3278" s="394"/>
      <c r="AH3278" s="394"/>
      <c r="AI3278" s="394"/>
      <c r="AJ3278" s="394"/>
      <c r="AK3278" s="381"/>
      <c r="AL3278" s="408"/>
      <c r="AM3278" s="385"/>
      <c r="AN3278" s="475"/>
      <c r="AO3278" s="395"/>
      <c r="AP3278" s="395"/>
      <c r="AQ3278" s="528"/>
      <c r="AR3278" s="523">
        <v>1</v>
      </c>
      <c r="AS3278" s="393"/>
      <c r="AT3278" s="600">
        <v>19.571960000000001</v>
      </c>
      <c r="AU3278" s="394">
        <v>16.320979999999999</v>
      </c>
      <c r="AV3278" s="394">
        <v>15.333270000000001</v>
      </c>
      <c r="AW3278" s="394"/>
      <c r="AX3278" s="394"/>
      <c r="AY3278" s="394">
        <v>0</v>
      </c>
      <c r="AZ3278" s="394">
        <v>0</v>
      </c>
      <c r="BA3278" s="394">
        <v>0.75790000000000002</v>
      </c>
      <c r="BB3278" s="394">
        <v>15.333270000000001</v>
      </c>
      <c r="BC3278" s="394"/>
      <c r="BD3278" s="381" t="s">
        <v>167</v>
      </c>
      <c r="BE3278" s="408" t="s">
        <v>175</v>
      </c>
      <c r="BF3278" s="385"/>
      <c r="BG3278" s="475">
        <v>1240</v>
      </c>
      <c r="BH3278" s="395"/>
      <c r="BI3278" s="395">
        <f t="shared" si="1265"/>
        <v>19.571960000000001</v>
      </c>
    </row>
    <row r="3279" spans="1:61" s="358" customFormat="1" ht="19.2" x14ac:dyDescent="0.3">
      <c r="A3279" s="359" t="s">
        <v>2232</v>
      </c>
      <c r="B3279" s="602" t="s">
        <v>6157</v>
      </c>
      <c r="C3279" s="548" t="s">
        <v>6158</v>
      </c>
      <c r="D3279" s="360">
        <v>0.4</v>
      </c>
      <c r="E3279" s="528"/>
      <c r="F3279" s="523"/>
      <c r="G3279" s="393"/>
      <c r="H3279" s="394"/>
      <c r="I3279" s="394"/>
      <c r="J3279" s="394"/>
      <c r="K3279" s="394"/>
      <c r="L3279" s="394"/>
      <c r="M3279" s="394"/>
      <c r="N3279" s="394"/>
      <c r="O3279" s="394"/>
      <c r="P3279" s="394"/>
      <c r="Q3279" s="394"/>
      <c r="R3279" s="381"/>
      <c r="S3279" s="408"/>
      <c r="T3279" s="385"/>
      <c r="U3279" s="475"/>
      <c r="V3279" s="395"/>
      <c r="W3279" s="395"/>
      <c r="X3279" s="528"/>
      <c r="Y3279" s="523"/>
      <c r="Z3279" s="393"/>
      <c r="AA3279" s="394"/>
      <c r="AB3279" s="394"/>
      <c r="AC3279" s="394"/>
      <c r="AD3279" s="394"/>
      <c r="AE3279" s="394"/>
      <c r="AF3279" s="394"/>
      <c r="AG3279" s="394"/>
      <c r="AH3279" s="394"/>
      <c r="AI3279" s="394"/>
      <c r="AJ3279" s="394"/>
      <c r="AK3279" s="381"/>
      <c r="AL3279" s="408"/>
      <c r="AM3279" s="385"/>
      <c r="AN3279" s="475"/>
      <c r="AO3279" s="395"/>
      <c r="AP3279" s="395"/>
      <c r="AQ3279" s="528"/>
      <c r="AR3279" s="523">
        <v>1</v>
      </c>
      <c r="AS3279" s="393"/>
      <c r="AT3279" s="600">
        <v>19.57197</v>
      </c>
      <c r="AU3279" s="394">
        <v>16.320989999999998</v>
      </c>
      <c r="AV3279" s="394">
        <v>15.333270000000001</v>
      </c>
      <c r="AW3279" s="394"/>
      <c r="AX3279" s="394"/>
      <c r="AY3279" s="394">
        <v>0</v>
      </c>
      <c r="AZ3279" s="394">
        <v>0</v>
      </c>
      <c r="BA3279" s="394">
        <v>0.75790000000000002</v>
      </c>
      <c r="BB3279" s="394">
        <v>15.333270000000001</v>
      </c>
      <c r="BC3279" s="394"/>
      <c r="BD3279" s="381" t="s">
        <v>167</v>
      </c>
      <c r="BE3279" s="408" t="s">
        <v>175</v>
      </c>
      <c r="BF3279" s="385"/>
      <c r="BG3279" s="475">
        <v>1241</v>
      </c>
      <c r="BH3279" s="395"/>
      <c r="BI3279" s="395">
        <f t="shared" si="1265"/>
        <v>19.57197</v>
      </c>
    </row>
    <row r="3280" spans="1:61" s="358" customFormat="1" ht="19.2" x14ac:dyDescent="0.3">
      <c r="A3280" s="359" t="s">
        <v>2233</v>
      </c>
      <c r="B3280" s="602" t="s">
        <v>4940</v>
      </c>
      <c r="C3280" s="548" t="s">
        <v>4939</v>
      </c>
      <c r="D3280" s="360">
        <v>0.4</v>
      </c>
      <c r="E3280" s="528"/>
      <c r="F3280" s="523"/>
      <c r="G3280" s="393"/>
      <c r="H3280" s="394"/>
      <c r="I3280" s="394"/>
      <c r="J3280" s="394"/>
      <c r="K3280" s="394"/>
      <c r="L3280" s="394"/>
      <c r="M3280" s="394"/>
      <c r="N3280" s="394"/>
      <c r="O3280" s="394"/>
      <c r="P3280" s="394"/>
      <c r="Q3280" s="394"/>
      <c r="R3280" s="381"/>
      <c r="S3280" s="408"/>
      <c r="T3280" s="385"/>
      <c r="U3280" s="475"/>
      <c r="V3280" s="395"/>
      <c r="W3280" s="395"/>
      <c r="X3280" s="528"/>
      <c r="Y3280" s="523"/>
      <c r="Z3280" s="393"/>
      <c r="AA3280" s="394"/>
      <c r="AB3280" s="394"/>
      <c r="AC3280" s="394"/>
      <c r="AD3280" s="394"/>
      <c r="AE3280" s="394"/>
      <c r="AF3280" s="394"/>
      <c r="AG3280" s="394"/>
      <c r="AH3280" s="394"/>
      <c r="AI3280" s="394"/>
      <c r="AJ3280" s="394"/>
      <c r="AK3280" s="381"/>
      <c r="AL3280" s="408"/>
      <c r="AM3280" s="385"/>
      <c r="AN3280" s="475"/>
      <c r="AO3280" s="395"/>
      <c r="AP3280" s="395"/>
      <c r="AQ3280" s="528"/>
      <c r="AR3280" s="523">
        <v>1</v>
      </c>
      <c r="AS3280" s="393"/>
      <c r="AT3280" s="600">
        <v>19.57197</v>
      </c>
      <c r="AU3280" s="394">
        <v>16.320989999999998</v>
      </c>
      <c r="AV3280" s="394">
        <v>15.333270000000001</v>
      </c>
      <c r="AW3280" s="394"/>
      <c r="AX3280" s="394"/>
      <c r="AY3280" s="394">
        <v>0</v>
      </c>
      <c r="AZ3280" s="394">
        <v>0</v>
      </c>
      <c r="BA3280" s="394">
        <v>0.75790000000000002</v>
      </c>
      <c r="BB3280" s="394">
        <v>15.333270000000001</v>
      </c>
      <c r="BC3280" s="394"/>
      <c r="BD3280" s="381" t="s">
        <v>167</v>
      </c>
      <c r="BE3280" s="408" t="s">
        <v>175</v>
      </c>
      <c r="BF3280" s="385"/>
      <c r="BG3280" s="475">
        <v>1242</v>
      </c>
      <c r="BH3280" s="395"/>
      <c r="BI3280" s="395">
        <f t="shared" ref="BI3280" si="1283">AT3280/AR3280</f>
        <v>19.57197</v>
      </c>
    </row>
    <row r="3281" spans="1:61" s="358" customFormat="1" ht="19.2" x14ac:dyDescent="0.3">
      <c r="A3281" s="359" t="s">
        <v>2234</v>
      </c>
      <c r="B3281" s="602" t="s">
        <v>6159</v>
      </c>
      <c r="C3281" s="548" t="s">
        <v>6160</v>
      </c>
      <c r="D3281" s="360">
        <v>0.4</v>
      </c>
      <c r="E3281" s="528"/>
      <c r="F3281" s="523"/>
      <c r="G3281" s="393"/>
      <c r="H3281" s="394"/>
      <c r="I3281" s="394"/>
      <c r="J3281" s="394"/>
      <c r="K3281" s="394"/>
      <c r="L3281" s="394"/>
      <c r="M3281" s="394"/>
      <c r="N3281" s="394"/>
      <c r="O3281" s="394"/>
      <c r="P3281" s="394"/>
      <c r="Q3281" s="394"/>
      <c r="R3281" s="381"/>
      <c r="S3281" s="408"/>
      <c r="T3281" s="385"/>
      <c r="U3281" s="475"/>
      <c r="V3281" s="395"/>
      <c r="W3281" s="395"/>
      <c r="X3281" s="528"/>
      <c r="Y3281" s="523"/>
      <c r="Z3281" s="393"/>
      <c r="AA3281" s="394"/>
      <c r="AB3281" s="394"/>
      <c r="AC3281" s="394"/>
      <c r="AD3281" s="394"/>
      <c r="AE3281" s="394"/>
      <c r="AF3281" s="394"/>
      <c r="AG3281" s="394"/>
      <c r="AH3281" s="394"/>
      <c r="AI3281" s="394"/>
      <c r="AJ3281" s="394"/>
      <c r="AK3281" s="381"/>
      <c r="AL3281" s="408"/>
      <c r="AM3281" s="385"/>
      <c r="AN3281" s="475"/>
      <c r="AO3281" s="395"/>
      <c r="AP3281" s="395"/>
      <c r="AQ3281" s="528"/>
      <c r="AR3281" s="523">
        <v>1</v>
      </c>
      <c r="AS3281" s="393"/>
      <c r="AT3281" s="600">
        <v>19.57197</v>
      </c>
      <c r="AU3281" s="394">
        <v>16.320989999999998</v>
      </c>
      <c r="AV3281" s="394">
        <v>15.333270000000001</v>
      </c>
      <c r="AW3281" s="394"/>
      <c r="AX3281" s="394"/>
      <c r="AY3281" s="394">
        <v>0</v>
      </c>
      <c r="AZ3281" s="394">
        <v>0</v>
      </c>
      <c r="BA3281" s="394">
        <v>0.75790000000000002</v>
      </c>
      <c r="BB3281" s="394">
        <v>15.333270000000001</v>
      </c>
      <c r="BC3281" s="394"/>
      <c r="BD3281" s="381" t="s">
        <v>167</v>
      </c>
      <c r="BE3281" s="408" t="s">
        <v>175</v>
      </c>
      <c r="BF3281" s="385"/>
      <c r="BG3281" s="475">
        <v>1243</v>
      </c>
      <c r="BH3281" s="395"/>
      <c r="BI3281" s="395">
        <f t="shared" si="1265"/>
        <v>19.57197</v>
      </c>
    </row>
    <row r="3282" spans="1:61" s="358" customFormat="1" ht="19.2" x14ac:dyDescent="0.3">
      <c r="A3282" s="359" t="s">
        <v>2235</v>
      </c>
      <c r="B3282" s="602" t="s">
        <v>6161</v>
      </c>
      <c r="C3282" s="548" t="s">
        <v>6162</v>
      </c>
      <c r="D3282" s="360">
        <v>0.4</v>
      </c>
      <c r="E3282" s="528"/>
      <c r="F3282" s="523"/>
      <c r="G3282" s="393"/>
      <c r="H3282" s="394"/>
      <c r="I3282" s="394"/>
      <c r="J3282" s="394"/>
      <c r="K3282" s="394"/>
      <c r="L3282" s="394"/>
      <c r="M3282" s="394"/>
      <c r="N3282" s="394"/>
      <c r="O3282" s="394"/>
      <c r="P3282" s="394"/>
      <c r="Q3282" s="394"/>
      <c r="R3282" s="381"/>
      <c r="S3282" s="408"/>
      <c r="T3282" s="385"/>
      <c r="U3282" s="475"/>
      <c r="V3282" s="395"/>
      <c r="W3282" s="395"/>
      <c r="X3282" s="528"/>
      <c r="Y3282" s="523"/>
      <c r="Z3282" s="393"/>
      <c r="AA3282" s="394"/>
      <c r="AB3282" s="394"/>
      <c r="AC3282" s="394"/>
      <c r="AD3282" s="394"/>
      <c r="AE3282" s="394"/>
      <c r="AF3282" s="394"/>
      <c r="AG3282" s="394"/>
      <c r="AH3282" s="394"/>
      <c r="AI3282" s="394"/>
      <c r="AJ3282" s="394"/>
      <c r="AK3282" s="381"/>
      <c r="AL3282" s="408"/>
      <c r="AM3282" s="385"/>
      <c r="AN3282" s="475"/>
      <c r="AO3282" s="395"/>
      <c r="AP3282" s="395"/>
      <c r="AQ3282" s="528"/>
      <c r="AR3282" s="523">
        <v>1</v>
      </c>
      <c r="AS3282" s="393"/>
      <c r="AT3282" s="600">
        <v>19.57198</v>
      </c>
      <c r="AU3282" s="394">
        <v>16.321000000000002</v>
      </c>
      <c r="AV3282" s="394">
        <v>15.333270000000001</v>
      </c>
      <c r="AW3282" s="394"/>
      <c r="AX3282" s="394"/>
      <c r="AY3282" s="394">
        <v>0</v>
      </c>
      <c r="AZ3282" s="394">
        <v>0</v>
      </c>
      <c r="BA3282" s="394">
        <v>0.75790000000000002</v>
      </c>
      <c r="BB3282" s="394">
        <v>15.333270000000001</v>
      </c>
      <c r="BC3282" s="394"/>
      <c r="BD3282" s="381" t="s">
        <v>167</v>
      </c>
      <c r="BE3282" s="408" t="s">
        <v>175</v>
      </c>
      <c r="BF3282" s="385"/>
      <c r="BG3282" s="475">
        <v>1244</v>
      </c>
      <c r="BH3282" s="395"/>
      <c r="BI3282" s="395">
        <f t="shared" ref="BI3282" si="1284">AT3282/AR3282</f>
        <v>19.57198</v>
      </c>
    </row>
    <row r="3283" spans="1:61" s="358" customFormat="1" ht="19.2" x14ac:dyDescent="0.3">
      <c r="A3283" s="359" t="s">
        <v>2236</v>
      </c>
      <c r="B3283" s="602" t="s">
        <v>4925</v>
      </c>
      <c r="C3283" s="548" t="s">
        <v>4924</v>
      </c>
      <c r="D3283" s="360">
        <v>0.4</v>
      </c>
      <c r="E3283" s="528"/>
      <c r="F3283" s="523"/>
      <c r="G3283" s="393"/>
      <c r="H3283" s="394"/>
      <c r="I3283" s="394"/>
      <c r="J3283" s="394"/>
      <c r="K3283" s="394"/>
      <c r="L3283" s="394"/>
      <c r="M3283" s="394"/>
      <c r="N3283" s="394"/>
      <c r="O3283" s="394"/>
      <c r="P3283" s="394"/>
      <c r="Q3283" s="394"/>
      <c r="R3283" s="381"/>
      <c r="S3283" s="408"/>
      <c r="T3283" s="385"/>
      <c r="U3283" s="475"/>
      <c r="V3283" s="395"/>
      <c r="W3283" s="395"/>
      <c r="X3283" s="528"/>
      <c r="Y3283" s="523"/>
      <c r="Z3283" s="393"/>
      <c r="AA3283" s="394"/>
      <c r="AB3283" s="394"/>
      <c r="AC3283" s="394"/>
      <c r="AD3283" s="394"/>
      <c r="AE3283" s="394"/>
      <c r="AF3283" s="394"/>
      <c r="AG3283" s="394"/>
      <c r="AH3283" s="394"/>
      <c r="AI3283" s="394"/>
      <c r="AJ3283" s="394"/>
      <c r="AK3283" s="381"/>
      <c r="AL3283" s="408"/>
      <c r="AM3283" s="385"/>
      <c r="AN3283" s="475"/>
      <c r="AO3283" s="395"/>
      <c r="AP3283" s="395"/>
      <c r="AQ3283" s="528"/>
      <c r="AR3283" s="523">
        <v>1</v>
      </c>
      <c r="AS3283" s="393"/>
      <c r="AT3283" s="600">
        <v>19.571960000000001</v>
      </c>
      <c r="AU3283" s="394">
        <v>16.320979999999999</v>
      </c>
      <c r="AV3283" s="394">
        <v>15.333270000000001</v>
      </c>
      <c r="AW3283" s="394"/>
      <c r="AX3283" s="394"/>
      <c r="AY3283" s="394">
        <v>0</v>
      </c>
      <c r="AZ3283" s="394">
        <v>0</v>
      </c>
      <c r="BA3283" s="394">
        <v>0.75790000000000002</v>
      </c>
      <c r="BB3283" s="394">
        <v>15.333270000000001</v>
      </c>
      <c r="BC3283" s="394"/>
      <c r="BD3283" s="381" t="s">
        <v>167</v>
      </c>
      <c r="BE3283" s="408" t="s">
        <v>175</v>
      </c>
      <c r="BF3283" s="385"/>
      <c r="BG3283" s="475">
        <v>1245</v>
      </c>
      <c r="BH3283" s="395"/>
      <c r="BI3283" s="395">
        <f t="shared" si="1265"/>
        <v>19.571960000000001</v>
      </c>
    </row>
    <row r="3284" spans="1:61" s="358" customFormat="1" ht="19.2" x14ac:dyDescent="0.3">
      <c r="A3284" s="359" t="s">
        <v>2237</v>
      </c>
      <c r="B3284" s="602" t="s">
        <v>4890</v>
      </c>
      <c r="C3284" s="548" t="s">
        <v>4889</v>
      </c>
      <c r="D3284" s="360">
        <v>0.4</v>
      </c>
      <c r="E3284" s="528"/>
      <c r="F3284" s="523"/>
      <c r="G3284" s="393"/>
      <c r="H3284" s="394"/>
      <c r="I3284" s="394"/>
      <c r="J3284" s="394"/>
      <c r="K3284" s="394"/>
      <c r="L3284" s="394"/>
      <c r="M3284" s="394"/>
      <c r="N3284" s="394"/>
      <c r="O3284" s="394"/>
      <c r="P3284" s="394"/>
      <c r="Q3284" s="394"/>
      <c r="R3284" s="381"/>
      <c r="S3284" s="408"/>
      <c r="T3284" s="385"/>
      <c r="U3284" s="475"/>
      <c r="V3284" s="395"/>
      <c r="W3284" s="395"/>
      <c r="X3284" s="528"/>
      <c r="Y3284" s="523"/>
      <c r="Z3284" s="393"/>
      <c r="AA3284" s="394"/>
      <c r="AB3284" s="394"/>
      <c r="AC3284" s="394"/>
      <c r="AD3284" s="394"/>
      <c r="AE3284" s="394"/>
      <c r="AF3284" s="394"/>
      <c r="AG3284" s="394"/>
      <c r="AH3284" s="394"/>
      <c r="AI3284" s="394"/>
      <c r="AJ3284" s="394"/>
      <c r="AK3284" s="381"/>
      <c r="AL3284" s="408"/>
      <c r="AM3284" s="385"/>
      <c r="AN3284" s="475"/>
      <c r="AO3284" s="395"/>
      <c r="AP3284" s="395"/>
      <c r="AQ3284" s="528"/>
      <c r="AR3284" s="523">
        <v>1</v>
      </c>
      <c r="AS3284" s="393"/>
      <c r="AT3284" s="600">
        <v>19.57197</v>
      </c>
      <c r="AU3284" s="394">
        <v>16.320989999999998</v>
      </c>
      <c r="AV3284" s="394">
        <v>15.333270000000001</v>
      </c>
      <c r="AW3284" s="394"/>
      <c r="AX3284" s="394"/>
      <c r="AY3284" s="394">
        <v>0</v>
      </c>
      <c r="AZ3284" s="394">
        <v>0</v>
      </c>
      <c r="BA3284" s="394">
        <v>0.75790000000000002</v>
      </c>
      <c r="BB3284" s="394">
        <v>15.333270000000001</v>
      </c>
      <c r="BC3284" s="394"/>
      <c r="BD3284" s="381" t="s">
        <v>167</v>
      </c>
      <c r="BE3284" s="408" t="s">
        <v>175</v>
      </c>
      <c r="BF3284" s="385"/>
      <c r="BG3284" s="475">
        <v>1246</v>
      </c>
      <c r="BH3284" s="395"/>
      <c r="BI3284" s="395">
        <f t="shared" ref="BI3284" si="1285">AT3284/AR3284</f>
        <v>19.57197</v>
      </c>
    </row>
    <row r="3285" spans="1:61" s="358" customFormat="1" ht="19.2" x14ac:dyDescent="0.3">
      <c r="A3285" s="359" t="s">
        <v>2238</v>
      </c>
      <c r="B3285" s="602" t="s">
        <v>6163</v>
      </c>
      <c r="C3285" s="548" t="s">
        <v>6164</v>
      </c>
      <c r="D3285" s="360">
        <v>0.4</v>
      </c>
      <c r="E3285" s="528"/>
      <c r="F3285" s="523"/>
      <c r="G3285" s="393"/>
      <c r="H3285" s="394"/>
      <c r="I3285" s="394"/>
      <c r="J3285" s="394"/>
      <c r="K3285" s="394"/>
      <c r="L3285" s="394"/>
      <c r="M3285" s="394"/>
      <c r="N3285" s="394"/>
      <c r="O3285" s="394"/>
      <c r="P3285" s="394"/>
      <c r="Q3285" s="394"/>
      <c r="R3285" s="381"/>
      <c r="S3285" s="408"/>
      <c r="T3285" s="385"/>
      <c r="U3285" s="475"/>
      <c r="V3285" s="395"/>
      <c r="W3285" s="395"/>
      <c r="X3285" s="528"/>
      <c r="Y3285" s="523"/>
      <c r="Z3285" s="393"/>
      <c r="AA3285" s="394"/>
      <c r="AB3285" s="394"/>
      <c r="AC3285" s="394"/>
      <c r="AD3285" s="394"/>
      <c r="AE3285" s="394"/>
      <c r="AF3285" s="394"/>
      <c r="AG3285" s="394"/>
      <c r="AH3285" s="394"/>
      <c r="AI3285" s="394"/>
      <c r="AJ3285" s="394"/>
      <c r="AK3285" s="381"/>
      <c r="AL3285" s="408"/>
      <c r="AM3285" s="385"/>
      <c r="AN3285" s="475"/>
      <c r="AO3285" s="395"/>
      <c r="AP3285" s="395"/>
      <c r="AQ3285" s="528"/>
      <c r="AR3285" s="523">
        <v>1</v>
      </c>
      <c r="AS3285" s="393"/>
      <c r="AT3285" s="600">
        <v>19.57198</v>
      </c>
      <c r="AU3285" s="394">
        <v>16.321000000000002</v>
      </c>
      <c r="AV3285" s="394">
        <v>15.333270000000001</v>
      </c>
      <c r="AW3285" s="394"/>
      <c r="AX3285" s="394"/>
      <c r="AY3285" s="394">
        <v>0</v>
      </c>
      <c r="AZ3285" s="394">
        <v>0</v>
      </c>
      <c r="BA3285" s="394">
        <v>0.75790000000000002</v>
      </c>
      <c r="BB3285" s="394">
        <v>15.333270000000001</v>
      </c>
      <c r="BC3285" s="394"/>
      <c r="BD3285" s="381" t="s">
        <v>167</v>
      </c>
      <c r="BE3285" s="408" t="s">
        <v>175</v>
      </c>
      <c r="BF3285" s="385"/>
      <c r="BG3285" s="475">
        <v>1247</v>
      </c>
      <c r="BH3285" s="395"/>
      <c r="BI3285" s="395">
        <f t="shared" si="1265"/>
        <v>19.57198</v>
      </c>
    </row>
    <row r="3286" spans="1:61" s="358" customFormat="1" ht="19.2" x14ac:dyDescent="0.3">
      <c r="A3286" s="359" t="s">
        <v>2239</v>
      </c>
      <c r="B3286" s="602" t="s">
        <v>6165</v>
      </c>
      <c r="C3286" s="548" t="s">
        <v>6166</v>
      </c>
      <c r="D3286" s="360">
        <v>0.4</v>
      </c>
      <c r="E3286" s="528"/>
      <c r="F3286" s="523"/>
      <c r="G3286" s="393"/>
      <c r="H3286" s="394"/>
      <c r="I3286" s="394"/>
      <c r="J3286" s="394"/>
      <c r="K3286" s="394"/>
      <c r="L3286" s="394"/>
      <c r="M3286" s="394"/>
      <c r="N3286" s="394"/>
      <c r="O3286" s="394"/>
      <c r="P3286" s="394"/>
      <c r="Q3286" s="394"/>
      <c r="R3286" s="381"/>
      <c r="S3286" s="408"/>
      <c r="T3286" s="385"/>
      <c r="U3286" s="475"/>
      <c r="V3286" s="395"/>
      <c r="W3286" s="395"/>
      <c r="X3286" s="528"/>
      <c r="Y3286" s="523"/>
      <c r="Z3286" s="393"/>
      <c r="AA3286" s="394"/>
      <c r="AB3286" s="394"/>
      <c r="AC3286" s="394"/>
      <c r="AD3286" s="394"/>
      <c r="AE3286" s="394"/>
      <c r="AF3286" s="394"/>
      <c r="AG3286" s="394"/>
      <c r="AH3286" s="394"/>
      <c r="AI3286" s="394"/>
      <c r="AJ3286" s="394"/>
      <c r="AK3286" s="381"/>
      <c r="AL3286" s="408"/>
      <c r="AM3286" s="385"/>
      <c r="AN3286" s="475"/>
      <c r="AO3286" s="395"/>
      <c r="AP3286" s="395"/>
      <c r="AQ3286" s="528"/>
      <c r="AR3286" s="523">
        <v>1</v>
      </c>
      <c r="AS3286" s="393"/>
      <c r="AT3286" s="600">
        <v>19.57198</v>
      </c>
      <c r="AU3286" s="394">
        <v>16.321000000000002</v>
      </c>
      <c r="AV3286" s="394">
        <v>15.333270000000001</v>
      </c>
      <c r="AW3286" s="394"/>
      <c r="AX3286" s="394"/>
      <c r="AY3286" s="394">
        <v>0</v>
      </c>
      <c r="AZ3286" s="394">
        <v>0</v>
      </c>
      <c r="BA3286" s="394">
        <v>0.75790000000000002</v>
      </c>
      <c r="BB3286" s="394">
        <v>15.333270000000001</v>
      </c>
      <c r="BC3286" s="394"/>
      <c r="BD3286" s="381" t="s">
        <v>167</v>
      </c>
      <c r="BE3286" s="408" t="s">
        <v>175</v>
      </c>
      <c r="BF3286" s="385"/>
      <c r="BG3286" s="475">
        <v>1248</v>
      </c>
      <c r="BH3286" s="395"/>
      <c r="BI3286" s="395">
        <f t="shared" ref="BI3286" si="1286">AT3286/AR3286</f>
        <v>19.57198</v>
      </c>
    </row>
    <row r="3287" spans="1:61" s="358" customFormat="1" ht="19.2" x14ac:dyDescent="0.3">
      <c r="A3287" s="359" t="s">
        <v>2240</v>
      </c>
      <c r="B3287" s="602" t="s">
        <v>6167</v>
      </c>
      <c r="C3287" s="548" t="s">
        <v>6168</v>
      </c>
      <c r="D3287" s="360">
        <v>0.4</v>
      </c>
      <c r="E3287" s="528"/>
      <c r="F3287" s="523"/>
      <c r="G3287" s="393"/>
      <c r="H3287" s="394"/>
      <c r="I3287" s="394"/>
      <c r="J3287" s="394"/>
      <c r="K3287" s="394"/>
      <c r="L3287" s="394"/>
      <c r="M3287" s="394"/>
      <c r="N3287" s="394"/>
      <c r="O3287" s="394"/>
      <c r="P3287" s="394"/>
      <c r="Q3287" s="394"/>
      <c r="R3287" s="381"/>
      <c r="S3287" s="408"/>
      <c r="T3287" s="385"/>
      <c r="U3287" s="475"/>
      <c r="V3287" s="395"/>
      <c r="W3287" s="395"/>
      <c r="X3287" s="528"/>
      <c r="Y3287" s="523"/>
      <c r="Z3287" s="393"/>
      <c r="AA3287" s="394"/>
      <c r="AB3287" s="394"/>
      <c r="AC3287" s="394"/>
      <c r="AD3287" s="394"/>
      <c r="AE3287" s="394"/>
      <c r="AF3287" s="394"/>
      <c r="AG3287" s="394"/>
      <c r="AH3287" s="394"/>
      <c r="AI3287" s="394"/>
      <c r="AJ3287" s="394"/>
      <c r="AK3287" s="381"/>
      <c r="AL3287" s="408"/>
      <c r="AM3287" s="385"/>
      <c r="AN3287" s="475"/>
      <c r="AO3287" s="395"/>
      <c r="AP3287" s="395"/>
      <c r="AQ3287" s="528"/>
      <c r="AR3287" s="523">
        <v>1</v>
      </c>
      <c r="AS3287" s="393"/>
      <c r="AT3287" s="600">
        <v>19.57198</v>
      </c>
      <c r="AU3287" s="394">
        <v>16.321000000000002</v>
      </c>
      <c r="AV3287" s="394">
        <v>15.333270000000001</v>
      </c>
      <c r="AW3287" s="394"/>
      <c r="AX3287" s="394"/>
      <c r="AY3287" s="394">
        <v>0</v>
      </c>
      <c r="AZ3287" s="394">
        <v>0</v>
      </c>
      <c r="BA3287" s="394">
        <v>0.75790000000000002</v>
      </c>
      <c r="BB3287" s="394">
        <v>15.333270000000001</v>
      </c>
      <c r="BC3287" s="394"/>
      <c r="BD3287" s="381" t="s">
        <v>167</v>
      </c>
      <c r="BE3287" s="408" t="s">
        <v>175</v>
      </c>
      <c r="BF3287" s="385"/>
      <c r="BG3287" s="475">
        <v>1249</v>
      </c>
      <c r="BH3287" s="395"/>
      <c r="BI3287" s="395">
        <f t="shared" si="1265"/>
        <v>19.57198</v>
      </c>
    </row>
    <row r="3288" spans="1:61" s="358" customFormat="1" ht="19.2" x14ac:dyDescent="0.3">
      <c r="A3288" s="359" t="s">
        <v>2241</v>
      </c>
      <c r="B3288" s="602" t="s">
        <v>6169</v>
      </c>
      <c r="C3288" s="548" t="s">
        <v>6170</v>
      </c>
      <c r="D3288" s="360">
        <v>0.4</v>
      </c>
      <c r="E3288" s="528"/>
      <c r="F3288" s="523"/>
      <c r="G3288" s="393"/>
      <c r="H3288" s="394"/>
      <c r="I3288" s="394"/>
      <c r="J3288" s="394"/>
      <c r="K3288" s="394"/>
      <c r="L3288" s="394"/>
      <c r="M3288" s="394"/>
      <c r="N3288" s="394"/>
      <c r="O3288" s="394"/>
      <c r="P3288" s="394"/>
      <c r="Q3288" s="394"/>
      <c r="R3288" s="381"/>
      <c r="S3288" s="408"/>
      <c r="T3288" s="385"/>
      <c r="U3288" s="475"/>
      <c r="V3288" s="395"/>
      <c r="W3288" s="395"/>
      <c r="X3288" s="528"/>
      <c r="Y3288" s="523"/>
      <c r="Z3288" s="393"/>
      <c r="AA3288" s="394"/>
      <c r="AB3288" s="394"/>
      <c r="AC3288" s="394"/>
      <c r="AD3288" s="394"/>
      <c r="AE3288" s="394"/>
      <c r="AF3288" s="394"/>
      <c r="AG3288" s="394"/>
      <c r="AH3288" s="394"/>
      <c r="AI3288" s="394"/>
      <c r="AJ3288" s="394"/>
      <c r="AK3288" s="381"/>
      <c r="AL3288" s="408"/>
      <c r="AM3288" s="385"/>
      <c r="AN3288" s="475"/>
      <c r="AO3288" s="395"/>
      <c r="AP3288" s="395"/>
      <c r="AQ3288" s="528"/>
      <c r="AR3288" s="523">
        <v>1</v>
      </c>
      <c r="AS3288" s="393"/>
      <c r="AT3288" s="600">
        <v>19.57197</v>
      </c>
      <c r="AU3288" s="394">
        <v>16.320989999999998</v>
      </c>
      <c r="AV3288" s="394">
        <v>15.333270000000001</v>
      </c>
      <c r="AW3288" s="394"/>
      <c r="AX3288" s="394"/>
      <c r="AY3288" s="394">
        <v>0</v>
      </c>
      <c r="AZ3288" s="394">
        <v>0</v>
      </c>
      <c r="BA3288" s="394">
        <v>0.75790000000000002</v>
      </c>
      <c r="BB3288" s="394">
        <v>15.333270000000001</v>
      </c>
      <c r="BC3288" s="394"/>
      <c r="BD3288" s="381" t="s">
        <v>167</v>
      </c>
      <c r="BE3288" s="408" t="s">
        <v>175</v>
      </c>
      <c r="BF3288" s="385"/>
      <c r="BG3288" s="475">
        <v>1250</v>
      </c>
      <c r="BH3288" s="395"/>
      <c r="BI3288" s="395">
        <f t="shared" ref="BI3288" si="1287">AT3288/AR3288</f>
        <v>19.57197</v>
      </c>
    </row>
    <row r="3289" spans="1:61" s="358" customFormat="1" ht="19.2" x14ac:dyDescent="0.3">
      <c r="A3289" s="359" t="s">
        <v>2242</v>
      </c>
      <c r="B3289" s="602" t="s">
        <v>6171</v>
      </c>
      <c r="C3289" s="548" t="s">
        <v>6172</v>
      </c>
      <c r="D3289" s="360">
        <v>0.4</v>
      </c>
      <c r="E3289" s="528"/>
      <c r="F3289" s="523"/>
      <c r="G3289" s="393"/>
      <c r="H3289" s="394"/>
      <c r="I3289" s="394"/>
      <c r="J3289" s="394"/>
      <c r="K3289" s="394"/>
      <c r="L3289" s="394"/>
      <c r="M3289" s="394"/>
      <c r="N3289" s="394"/>
      <c r="O3289" s="394"/>
      <c r="P3289" s="394"/>
      <c r="Q3289" s="394"/>
      <c r="R3289" s="381"/>
      <c r="S3289" s="408"/>
      <c r="T3289" s="385"/>
      <c r="U3289" s="475"/>
      <c r="V3289" s="395"/>
      <c r="W3289" s="395"/>
      <c r="X3289" s="528"/>
      <c r="Y3289" s="523"/>
      <c r="Z3289" s="393"/>
      <c r="AA3289" s="394"/>
      <c r="AB3289" s="394"/>
      <c r="AC3289" s="394"/>
      <c r="AD3289" s="394"/>
      <c r="AE3289" s="394"/>
      <c r="AF3289" s="394"/>
      <c r="AG3289" s="394"/>
      <c r="AH3289" s="394"/>
      <c r="AI3289" s="394"/>
      <c r="AJ3289" s="394"/>
      <c r="AK3289" s="381"/>
      <c r="AL3289" s="408"/>
      <c r="AM3289" s="385"/>
      <c r="AN3289" s="475"/>
      <c r="AO3289" s="395"/>
      <c r="AP3289" s="395"/>
      <c r="AQ3289" s="528"/>
      <c r="AR3289" s="523">
        <v>1</v>
      </c>
      <c r="AS3289" s="393"/>
      <c r="AT3289" s="600">
        <v>19.57197</v>
      </c>
      <c r="AU3289" s="394">
        <v>16.320989999999998</v>
      </c>
      <c r="AV3289" s="394">
        <v>15.333270000000001</v>
      </c>
      <c r="AW3289" s="394"/>
      <c r="AX3289" s="394"/>
      <c r="AY3289" s="394">
        <v>0</v>
      </c>
      <c r="AZ3289" s="394">
        <v>0</v>
      </c>
      <c r="BA3289" s="394">
        <v>0.75790000000000002</v>
      </c>
      <c r="BB3289" s="394">
        <v>15.333270000000001</v>
      </c>
      <c r="BC3289" s="394"/>
      <c r="BD3289" s="381" t="s">
        <v>167</v>
      </c>
      <c r="BE3289" s="408" t="s">
        <v>175</v>
      </c>
      <c r="BF3289" s="385"/>
      <c r="BG3289" s="475">
        <v>1251</v>
      </c>
      <c r="BH3289" s="395"/>
      <c r="BI3289" s="395">
        <f t="shared" si="1265"/>
        <v>19.57197</v>
      </c>
    </row>
    <row r="3290" spans="1:61" s="358" customFormat="1" ht="19.2" x14ac:dyDescent="0.3">
      <c r="A3290" s="359" t="s">
        <v>2243</v>
      </c>
      <c r="B3290" s="602" t="s">
        <v>1426</v>
      </c>
      <c r="C3290" s="548" t="s">
        <v>6173</v>
      </c>
      <c r="D3290" s="360">
        <v>0.4</v>
      </c>
      <c r="E3290" s="528"/>
      <c r="F3290" s="523"/>
      <c r="G3290" s="393"/>
      <c r="H3290" s="394"/>
      <c r="I3290" s="394"/>
      <c r="J3290" s="394"/>
      <c r="K3290" s="394"/>
      <c r="L3290" s="394"/>
      <c r="M3290" s="394"/>
      <c r="N3290" s="394"/>
      <c r="O3290" s="394"/>
      <c r="P3290" s="394"/>
      <c r="Q3290" s="394"/>
      <c r="R3290" s="381"/>
      <c r="S3290" s="408"/>
      <c r="T3290" s="385"/>
      <c r="U3290" s="475"/>
      <c r="V3290" s="395"/>
      <c r="W3290" s="395"/>
      <c r="X3290" s="528"/>
      <c r="Y3290" s="523"/>
      <c r="Z3290" s="393"/>
      <c r="AA3290" s="394"/>
      <c r="AB3290" s="394"/>
      <c r="AC3290" s="394"/>
      <c r="AD3290" s="394"/>
      <c r="AE3290" s="394"/>
      <c r="AF3290" s="394"/>
      <c r="AG3290" s="394"/>
      <c r="AH3290" s="394"/>
      <c r="AI3290" s="394"/>
      <c r="AJ3290" s="394"/>
      <c r="AK3290" s="381"/>
      <c r="AL3290" s="408"/>
      <c r="AM3290" s="385"/>
      <c r="AN3290" s="475"/>
      <c r="AO3290" s="395"/>
      <c r="AP3290" s="395"/>
      <c r="AQ3290" s="528"/>
      <c r="AR3290" s="523">
        <v>1</v>
      </c>
      <c r="AS3290" s="393"/>
      <c r="AT3290" s="600">
        <v>19.571950000000001</v>
      </c>
      <c r="AU3290" s="394">
        <v>16.320969999999999</v>
      </c>
      <c r="AV3290" s="394">
        <v>15.333270000000001</v>
      </c>
      <c r="AW3290" s="394"/>
      <c r="AX3290" s="394"/>
      <c r="AY3290" s="394">
        <v>0</v>
      </c>
      <c r="AZ3290" s="394">
        <v>0</v>
      </c>
      <c r="BA3290" s="394">
        <v>0.75790000000000002</v>
      </c>
      <c r="BB3290" s="394">
        <v>15.333270000000001</v>
      </c>
      <c r="BC3290" s="394"/>
      <c r="BD3290" s="381" t="s">
        <v>167</v>
      </c>
      <c r="BE3290" s="408" t="s">
        <v>175</v>
      </c>
      <c r="BF3290" s="385"/>
      <c r="BG3290" s="475">
        <v>1252</v>
      </c>
      <c r="BH3290" s="395"/>
      <c r="BI3290" s="395">
        <f t="shared" ref="BI3290" si="1288">AT3290/AR3290</f>
        <v>19.571950000000001</v>
      </c>
    </row>
    <row r="3291" spans="1:61" s="358" customFormat="1" ht="19.2" x14ac:dyDescent="0.3">
      <c r="A3291" s="359" t="s">
        <v>2244</v>
      </c>
      <c r="B3291" s="602" t="s">
        <v>4931</v>
      </c>
      <c r="C3291" s="548" t="s">
        <v>4930</v>
      </c>
      <c r="D3291" s="360">
        <v>0.4</v>
      </c>
      <c r="E3291" s="528"/>
      <c r="F3291" s="523"/>
      <c r="G3291" s="393"/>
      <c r="H3291" s="394"/>
      <c r="I3291" s="394"/>
      <c r="J3291" s="394"/>
      <c r="K3291" s="394"/>
      <c r="L3291" s="394"/>
      <c r="M3291" s="394"/>
      <c r="N3291" s="394"/>
      <c r="O3291" s="394"/>
      <c r="P3291" s="394"/>
      <c r="Q3291" s="394"/>
      <c r="R3291" s="381"/>
      <c r="S3291" s="408"/>
      <c r="T3291" s="385"/>
      <c r="U3291" s="475"/>
      <c r="V3291" s="395"/>
      <c r="W3291" s="395"/>
      <c r="X3291" s="528"/>
      <c r="Y3291" s="523"/>
      <c r="Z3291" s="393"/>
      <c r="AA3291" s="394"/>
      <c r="AB3291" s="394"/>
      <c r="AC3291" s="394"/>
      <c r="AD3291" s="394"/>
      <c r="AE3291" s="394"/>
      <c r="AF3291" s="394"/>
      <c r="AG3291" s="394"/>
      <c r="AH3291" s="394"/>
      <c r="AI3291" s="394"/>
      <c r="AJ3291" s="394"/>
      <c r="AK3291" s="381"/>
      <c r="AL3291" s="408"/>
      <c r="AM3291" s="385"/>
      <c r="AN3291" s="475"/>
      <c r="AO3291" s="395"/>
      <c r="AP3291" s="395"/>
      <c r="AQ3291" s="528"/>
      <c r="AR3291" s="523">
        <v>1</v>
      </c>
      <c r="AS3291" s="393"/>
      <c r="AT3291" s="600">
        <v>19.57198</v>
      </c>
      <c r="AU3291" s="394">
        <v>16.321000000000002</v>
      </c>
      <c r="AV3291" s="394">
        <v>15.333270000000001</v>
      </c>
      <c r="AW3291" s="394"/>
      <c r="AX3291" s="394"/>
      <c r="AY3291" s="394">
        <v>0</v>
      </c>
      <c r="AZ3291" s="394">
        <v>0</v>
      </c>
      <c r="BA3291" s="394">
        <v>0.75790000000000002</v>
      </c>
      <c r="BB3291" s="394">
        <v>15.333270000000001</v>
      </c>
      <c r="BC3291" s="394"/>
      <c r="BD3291" s="381" t="s">
        <v>167</v>
      </c>
      <c r="BE3291" s="408" t="s">
        <v>175</v>
      </c>
      <c r="BF3291" s="385"/>
      <c r="BG3291" s="475">
        <v>1253</v>
      </c>
      <c r="BH3291" s="395"/>
      <c r="BI3291" s="395">
        <f t="shared" si="1265"/>
        <v>19.57198</v>
      </c>
    </row>
    <row r="3292" spans="1:61" s="358" customFormat="1" ht="19.2" x14ac:dyDescent="0.3">
      <c r="A3292" s="359" t="s">
        <v>2245</v>
      </c>
      <c r="B3292" s="602" t="s">
        <v>6174</v>
      </c>
      <c r="C3292" s="548" t="s">
        <v>6175</v>
      </c>
      <c r="D3292" s="360">
        <v>0.4</v>
      </c>
      <c r="E3292" s="528"/>
      <c r="F3292" s="523"/>
      <c r="G3292" s="393"/>
      <c r="H3292" s="394"/>
      <c r="I3292" s="394"/>
      <c r="J3292" s="394"/>
      <c r="K3292" s="394"/>
      <c r="L3292" s="394"/>
      <c r="M3292" s="394"/>
      <c r="N3292" s="394"/>
      <c r="O3292" s="394"/>
      <c r="P3292" s="394"/>
      <c r="Q3292" s="394"/>
      <c r="R3292" s="381"/>
      <c r="S3292" s="408"/>
      <c r="T3292" s="385"/>
      <c r="U3292" s="475"/>
      <c r="V3292" s="395"/>
      <c r="W3292" s="395"/>
      <c r="X3292" s="528"/>
      <c r="Y3292" s="523"/>
      <c r="Z3292" s="393"/>
      <c r="AA3292" s="394"/>
      <c r="AB3292" s="394"/>
      <c r="AC3292" s="394"/>
      <c r="AD3292" s="394"/>
      <c r="AE3292" s="394"/>
      <c r="AF3292" s="394"/>
      <c r="AG3292" s="394"/>
      <c r="AH3292" s="394"/>
      <c r="AI3292" s="394"/>
      <c r="AJ3292" s="394"/>
      <c r="AK3292" s="381"/>
      <c r="AL3292" s="408"/>
      <c r="AM3292" s="385"/>
      <c r="AN3292" s="475"/>
      <c r="AO3292" s="395"/>
      <c r="AP3292" s="395"/>
      <c r="AQ3292" s="528"/>
      <c r="AR3292" s="523">
        <v>1</v>
      </c>
      <c r="AS3292" s="393"/>
      <c r="AT3292" s="600">
        <v>19.571960000000001</v>
      </c>
      <c r="AU3292" s="394">
        <v>16.320979999999999</v>
      </c>
      <c r="AV3292" s="394">
        <v>15.333270000000001</v>
      </c>
      <c r="AW3292" s="394"/>
      <c r="AX3292" s="394"/>
      <c r="AY3292" s="394">
        <v>0</v>
      </c>
      <c r="AZ3292" s="394">
        <v>0</v>
      </c>
      <c r="BA3292" s="394">
        <v>0.75790000000000002</v>
      </c>
      <c r="BB3292" s="394">
        <v>15.333270000000001</v>
      </c>
      <c r="BC3292" s="394"/>
      <c r="BD3292" s="381" t="s">
        <v>167</v>
      </c>
      <c r="BE3292" s="408" t="s">
        <v>175</v>
      </c>
      <c r="BF3292" s="385"/>
      <c r="BG3292" s="475">
        <v>1254</v>
      </c>
      <c r="BH3292" s="395"/>
      <c r="BI3292" s="395">
        <f t="shared" ref="BI3292" si="1289">AT3292/AR3292</f>
        <v>19.571960000000001</v>
      </c>
    </row>
    <row r="3293" spans="1:61" s="358" customFormat="1" ht="19.2" x14ac:dyDescent="0.3">
      <c r="A3293" s="359" t="s">
        <v>2246</v>
      </c>
      <c r="B3293" s="602" t="s">
        <v>4929</v>
      </c>
      <c r="C3293" s="548" t="s">
        <v>4928</v>
      </c>
      <c r="D3293" s="360">
        <v>0.4</v>
      </c>
      <c r="E3293" s="528"/>
      <c r="F3293" s="523"/>
      <c r="G3293" s="393"/>
      <c r="H3293" s="394"/>
      <c r="I3293" s="394"/>
      <c r="J3293" s="394"/>
      <c r="K3293" s="394"/>
      <c r="L3293" s="394"/>
      <c r="M3293" s="394"/>
      <c r="N3293" s="394"/>
      <c r="O3293" s="394"/>
      <c r="P3293" s="394"/>
      <c r="Q3293" s="394"/>
      <c r="R3293" s="381"/>
      <c r="S3293" s="408"/>
      <c r="T3293" s="385"/>
      <c r="U3293" s="475"/>
      <c r="V3293" s="395"/>
      <c r="W3293" s="395"/>
      <c r="X3293" s="528"/>
      <c r="Y3293" s="523"/>
      <c r="Z3293" s="393"/>
      <c r="AA3293" s="394"/>
      <c r="AB3293" s="394"/>
      <c r="AC3293" s="394"/>
      <c r="AD3293" s="394"/>
      <c r="AE3293" s="394"/>
      <c r="AF3293" s="394"/>
      <c r="AG3293" s="394"/>
      <c r="AH3293" s="394"/>
      <c r="AI3293" s="394"/>
      <c r="AJ3293" s="394"/>
      <c r="AK3293" s="381"/>
      <c r="AL3293" s="408"/>
      <c r="AM3293" s="385"/>
      <c r="AN3293" s="475"/>
      <c r="AO3293" s="395"/>
      <c r="AP3293" s="395"/>
      <c r="AQ3293" s="528"/>
      <c r="AR3293" s="523">
        <v>1</v>
      </c>
      <c r="AS3293" s="393"/>
      <c r="AT3293" s="600">
        <v>25.443480000000001</v>
      </c>
      <c r="AU3293" s="394">
        <v>20.932110000000002</v>
      </c>
      <c r="AV3293" s="394">
        <v>15.333399999999999</v>
      </c>
      <c r="AW3293" s="394"/>
      <c r="AX3293" s="394"/>
      <c r="AY3293" s="394">
        <v>0</v>
      </c>
      <c r="AZ3293" s="394">
        <v>0</v>
      </c>
      <c r="BA3293" s="394">
        <v>1.0517300000000001</v>
      </c>
      <c r="BB3293" s="394">
        <v>15.333399999999999</v>
      </c>
      <c r="BC3293" s="394"/>
      <c r="BD3293" s="381" t="s">
        <v>167</v>
      </c>
      <c r="BE3293" s="408" t="s">
        <v>175</v>
      </c>
      <c r="BF3293" s="385"/>
      <c r="BG3293" s="475">
        <v>1255</v>
      </c>
      <c r="BH3293" s="395"/>
      <c r="BI3293" s="395">
        <f t="shared" si="1265"/>
        <v>25.443480000000001</v>
      </c>
    </row>
    <row r="3294" spans="1:61" s="358" customFormat="1" ht="19.2" x14ac:dyDescent="0.3">
      <c r="A3294" s="359" t="s">
        <v>2247</v>
      </c>
      <c r="B3294" s="602" t="s">
        <v>4950</v>
      </c>
      <c r="C3294" s="548" t="s">
        <v>4949</v>
      </c>
      <c r="D3294" s="360">
        <v>0.4</v>
      </c>
      <c r="E3294" s="528"/>
      <c r="F3294" s="523"/>
      <c r="G3294" s="393"/>
      <c r="H3294" s="394"/>
      <c r="I3294" s="394"/>
      <c r="J3294" s="394"/>
      <c r="K3294" s="394"/>
      <c r="L3294" s="394"/>
      <c r="M3294" s="394"/>
      <c r="N3294" s="394"/>
      <c r="O3294" s="394"/>
      <c r="P3294" s="394"/>
      <c r="Q3294" s="394"/>
      <c r="R3294" s="381"/>
      <c r="S3294" s="408"/>
      <c r="T3294" s="385"/>
      <c r="U3294" s="475"/>
      <c r="V3294" s="395"/>
      <c r="W3294" s="395"/>
      <c r="X3294" s="528"/>
      <c r="Y3294" s="523"/>
      <c r="Z3294" s="393"/>
      <c r="AA3294" s="394"/>
      <c r="AB3294" s="394"/>
      <c r="AC3294" s="394"/>
      <c r="AD3294" s="394"/>
      <c r="AE3294" s="394"/>
      <c r="AF3294" s="394"/>
      <c r="AG3294" s="394"/>
      <c r="AH3294" s="394"/>
      <c r="AI3294" s="394"/>
      <c r="AJ3294" s="394"/>
      <c r="AK3294" s="381"/>
      <c r="AL3294" s="408"/>
      <c r="AM3294" s="385"/>
      <c r="AN3294" s="475"/>
      <c r="AO3294" s="395"/>
      <c r="AP3294" s="395"/>
      <c r="AQ3294" s="528"/>
      <c r="AR3294" s="523">
        <v>1</v>
      </c>
      <c r="AS3294" s="393"/>
      <c r="AT3294" s="600">
        <v>19.57198</v>
      </c>
      <c r="AU3294" s="394">
        <v>16.321000000000002</v>
      </c>
      <c r="AV3294" s="394">
        <v>15.333270000000001</v>
      </c>
      <c r="AW3294" s="394"/>
      <c r="AX3294" s="394"/>
      <c r="AY3294" s="394">
        <v>0</v>
      </c>
      <c r="AZ3294" s="394">
        <v>0</v>
      </c>
      <c r="BA3294" s="394">
        <v>0.75790000000000002</v>
      </c>
      <c r="BB3294" s="394">
        <v>15.333270000000001</v>
      </c>
      <c r="BC3294" s="394"/>
      <c r="BD3294" s="381" t="s">
        <v>167</v>
      </c>
      <c r="BE3294" s="408" t="s">
        <v>175</v>
      </c>
      <c r="BF3294" s="385"/>
      <c r="BG3294" s="475">
        <v>1256</v>
      </c>
      <c r="BH3294" s="395"/>
      <c r="BI3294" s="395">
        <f t="shared" ref="BI3294" si="1290">AT3294/AR3294</f>
        <v>19.57198</v>
      </c>
    </row>
    <row r="3295" spans="1:61" s="358" customFormat="1" ht="19.2" x14ac:dyDescent="0.3">
      <c r="A3295" s="359" t="s">
        <v>2248</v>
      </c>
      <c r="B3295" s="602" t="s">
        <v>6176</v>
      </c>
      <c r="C3295" s="548" t="s">
        <v>6177</v>
      </c>
      <c r="D3295" s="360">
        <v>0.4</v>
      </c>
      <c r="E3295" s="528"/>
      <c r="F3295" s="523"/>
      <c r="G3295" s="393"/>
      <c r="H3295" s="394"/>
      <c r="I3295" s="394"/>
      <c r="J3295" s="394"/>
      <c r="K3295" s="394"/>
      <c r="L3295" s="394"/>
      <c r="M3295" s="394"/>
      <c r="N3295" s="394"/>
      <c r="O3295" s="394"/>
      <c r="P3295" s="394"/>
      <c r="Q3295" s="394"/>
      <c r="R3295" s="381"/>
      <c r="S3295" s="408"/>
      <c r="T3295" s="385"/>
      <c r="U3295" s="475"/>
      <c r="V3295" s="395"/>
      <c r="W3295" s="395"/>
      <c r="X3295" s="528"/>
      <c r="Y3295" s="523"/>
      <c r="Z3295" s="393"/>
      <c r="AA3295" s="394"/>
      <c r="AB3295" s="394"/>
      <c r="AC3295" s="394"/>
      <c r="AD3295" s="394"/>
      <c r="AE3295" s="394"/>
      <c r="AF3295" s="394"/>
      <c r="AG3295" s="394"/>
      <c r="AH3295" s="394"/>
      <c r="AI3295" s="394"/>
      <c r="AJ3295" s="394"/>
      <c r="AK3295" s="381"/>
      <c r="AL3295" s="408"/>
      <c r="AM3295" s="385"/>
      <c r="AN3295" s="475"/>
      <c r="AO3295" s="395"/>
      <c r="AP3295" s="395"/>
      <c r="AQ3295" s="528"/>
      <c r="AR3295" s="523">
        <v>1</v>
      </c>
      <c r="AS3295" s="393"/>
      <c r="AT3295" s="600">
        <v>19.57197</v>
      </c>
      <c r="AU3295" s="394">
        <v>16.320989999999998</v>
      </c>
      <c r="AV3295" s="394">
        <v>15.333270000000001</v>
      </c>
      <c r="AW3295" s="394"/>
      <c r="AX3295" s="394"/>
      <c r="AY3295" s="394">
        <v>0</v>
      </c>
      <c r="AZ3295" s="394">
        <v>0</v>
      </c>
      <c r="BA3295" s="394">
        <v>0.75790000000000002</v>
      </c>
      <c r="BB3295" s="394">
        <v>15.333270000000001</v>
      </c>
      <c r="BC3295" s="394"/>
      <c r="BD3295" s="381" t="s">
        <v>167</v>
      </c>
      <c r="BE3295" s="408" t="s">
        <v>175</v>
      </c>
      <c r="BF3295" s="385"/>
      <c r="BG3295" s="475">
        <v>1257</v>
      </c>
      <c r="BH3295" s="395"/>
      <c r="BI3295" s="395">
        <f t="shared" si="1265"/>
        <v>19.57197</v>
      </c>
    </row>
    <row r="3296" spans="1:61" s="358" customFormat="1" ht="19.2" x14ac:dyDescent="0.3">
      <c r="A3296" s="359" t="s">
        <v>2249</v>
      </c>
      <c r="B3296" s="602" t="s">
        <v>4876</v>
      </c>
      <c r="C3296" s="548" t="s">
        <v>4875</v>
      </c>
      <c r="D3296" s="360">
        <v>0.4</v>
      </c>
      <c r="E3296" s="528"/>
      <c r="F3296" s="523"/>
      <c r="G3296" s="393"/>
      <c r="H3296" s="394"/>
      <c r="I3296" s="394"/>
      <c r="J3296" s="394"/>
      <c r="K3296" s="394"/>
      <c r="L3296" s="394"/>
      <c r="M3296" s="394"/>
      <c r="N3296" s="394"/>
      <c r="O3296" s="394"/>
      <c r="P3296" s="394"/>
      <c r="Q3296" s="394"/>
      <c r="R3296" s="381"/>
      <c r="S3296" s="408"/>
      <c r="T3296" s="385"/>
      <c r="U3296" s="475"/>
      <c r="V3296" s="395"/>
      <c r="W3296" s="395"/>
      <c r="X3296" s="528"/>
      <c r="Y3296" s="523"/>
      <c r="Z3296" s="393"/>
      <c r="AA3296" s="394"/>
      <c r="AB3296" s="394"/>
      <c r="AC3296" s="394"/>
      <c r="AD3296" s="394"/>
      <c r="AE3296" s="394"/>
      <c r="AF3296" s="394"/>
      <c r="AG3296" s="394"/>
      <c r="AH3296" s="394"/>
      <c r="AI3296" s="394"/>
      <c r="AJ3296" s="394"/>
      <c r="AK3296" s="381"/>
      <c r="AL3296" s="408"/>
      <c r="AM3296" s="385"/>
      <c r="AN3296" s="475"/>
      <c r="AO3296" s="395"/>
      <c r="AP3296" s="395"/>
      <c r="AQ3296" s="528"/>
      <c r="AR3296" s="523">
        <v>1</v>
      </c>
      <c r="AS3296" s="393"/>
      <c r="AT3296" s="600">
        <v>19.571960000000001</v>
      </c>
      <c r="AU3296" s="394">
        <v>16.320979999999999</v>
      </c>
      <c r="AV3296" s="394">
        <v>15.333270000000001</v>
      </c>
      <c r="AW3296" s="394"/>
      <c r="AX3296" s="394"/>
      <c r="AY3296" s="394">
        <v>0</v>
      </c>
      <c r="AZ3296" s="394">
        <v>0</v>
      </c>
      <c r="BA3296" s="394">
        <v>0.75790000000000002</v>
      </c>
      <c r="BB3296" s="394">
        <v>15.333270000000001</v>
      </c>
      <c r="BC3296" s="394"/>
      <c r="BD3296" s="381" t="s">
        <v>167</v>
      </c>
      <c r="BE3296" s="408" t="s">
        <v>175</v>
      </c>
      <c r="BF3296" s="385"/>
      <c r="BG3296" s="475">
        <v>1258</v>
      </c>
      <c r="BH3296" s="395"/>
      <c r="BI3296" s="395">
        <f t="shared" ref="BI3296" si="1291">AT3296/AR3296</f>
        <v>19.571960000000001</v>
      </c>
    </row>
    <row r="3297" spans="1:61" s="358" customFormat="1" ht="19.2" x14ac:dyDescent="0.3">
      <c r="A3297" s="359" t="s">
        <v>2250</v>
      </c>
      <c r="B3297" s="602" t="s">
        <v>6178</v>
      </c>
      <c r="C3297" s="548" t="s">
        <v>6179</v>
      </c>
      <c r="D3297" s="360">
        <v>0.4</v>
      </c>
      <c r="E3297" s="528"/>
      <c r="F3297" s="523"/>
      <c r="G3297" s="393"/>
      <c r="H3297" s="394"/>
      <c r="I3297" s="394"/>
      <c r="J3297" s="394"/>
      <c r="K3297" s="394"/>
      <c r="L3297" s="394"/>
      <c r="M3297" s="394"/>
      <c r="N3297" s="394"/>
      <c r="O3297" s="394"/>
      <c r="P3297" s="394"/>
      <c r="Q3297" s="394"/>
      <c r="R3297" s="381"/>
      <c r="S3297" s="408"/>
      <c r="T3297" s="385"/>
      <c r="U3297" s="475"/>
      <c r="V3297" s="395"/>
      <c r="W3297" s="395"/>
      <c r="X3297" s="528"/>
      <c r="Y3297" s="523"/>
      <c r="Z3297" s="393"/>
      <c r="AA3297" s="394"/>
      <c r="AB3297" s="394"/>
      <c r="AC3297" s="394"/>
      <c r="AD3297" s="394"/>
      <c r="AE3297" s="394"/>
      <c r="AF3297" s="394"/>
      <c r="AG3297" s="394"/>
      <c r="AH3297" s="394"/>
      <c r="AI3297" s="394"/>
      <c r="AJ3297" s="394"/>
      <c r="AK3297" s="381"/>
      <c r="AL3297" s="408"/>
      <c r="AM3297" s="385"/>
      <c r="AN3297" s="475"/>
      <c r="AO3297" s="395"/>
      <c r="AP3297" s="395"/>
      <c r="AQ3297" s="528"/>
      <c r="AR3297" s="523">
        <v>1</v>
      </c>
      <c r="AS3297" s="393"/>
      <c r="AT3297" s="600">
        <v>19.57197</v>
      </c>
      <c r="AU3297" s="394">
        <v>16.320989999999998</v>
      </c>
      <c r="AV3297" s="394">
        <v>15.333270000000001</v>
      </c>
      <c r="AW3297" s="394"/>
      <c r="AX3297" s="394"/>
      <c r="AY3297" s="394">
        <v>0</v>
      </c>
      <c r="AZ3297" s="394">
        <v>0</v>
      </c>
      <c r="BA3297" s="394">
        <v>0.75790000000000002</v>
      </c>
      <c r="BB3297" s="394">
        <v>15.333270000000001</v>
      </c>
      <c r="BC3297" s="394"/>
      <c r="BD3297" s="381" t="s">
        <v>167</v>
      </c>
      <c r="BE3297" s="408" t="s">
        <v>175</v>
      </c>
      <c r="BF3297" s="385"/>
      <c r="BG3297" s="475">
        <v>1259</v>
      </c>
      <c r="BH3297" s="395"/>
      <c r="BI3297" s="395">
        <f t="shared" si="1265"/>
        <v>19.57197</v>
      </c>
    </row>
    <row r="3298" spans="1:61" s="358" customFormat="1" ht="19.2" x14ac:dyDescent="0.3">
      <c r="A3298" s="359" t="s">
        <v>2251</v>
      </c>
      <c r="B3298" s="602" t="s">
        <v>4954</v>
      </c>
      <c r="C3298" s="548" t="s">
        <v>4953</v>
      </c>
      <c r="D3298" s="360">
        <v>0.4</v>
      </c>
      <c r="E3298" s="528"/>
      <c r="F3298" s="523"/>
      <c r="G3298" s="393"/>
      <c r="H3298" s="394"/>
      <c r="I3298" s="394"/>
      <c r="J3298" s="394"/>
      <c r="K3298" s="394"/>
      <c r="L3298" s="394"/>
      <c r="M3298" s="394"/>
      <c r="N3298" s="394"/>
      <c r="O3298" s="394"/>
      <c r="P3298" s="394"/>
      <c r="Q3298" s="394"/>
      <c r="R3298" s="381"/>
      <c r="S3298" s="408"/>
      <c r="T3298" s="385"/>
      <c r="U3298" s="475"/>
      <c r="V3298" s="395"/>
      <c r="W3298" s="395"/>
      <c r="X3298" s="528"/>
      <c r="Y3298" s="523"/>
      <c r="Z3298" s="393"/>
      <c r="AA3298" s="394"/>
      <c r="AB3298" s="394"/>
      <c r="AC3298" s="394"/>
      <c r="AD3298" s="394"/>
      <c r="AE3298" s="394"/>
      <c r="AF3298" s="394"/>
      <c r="AG3298" s="394"/>
      <c r="AH3298" s="394"/>
      <c r="AI3298" s="394"/>
      <c r="AJ3298" s="394"/>
      <c r="AK3298" s="381"/>
      <c r="AL3298" s="408"/>
      <c r="AM3298" s="385"/>
      <c r="AN3298" s="475"/>
      <c r="AO3298" s="395"/>
      <c r="AP3298" s="395"/>
      <c r="AQ3298" s="528"/>
      <c r="AR3298" s="523">
        <v>1</v>
      </c>
      <c r="AS3298" s="393"/>
      <c r="AT3298" s="600">
        <v>19.57198</v>
      </c>
      <c r="AU3298" s="394">
        <v>16.321000000000002</v>
      </c>
      <c r="AV3298" s="394">
        <v>15.333270000000001</v>
      </c>
      <c r="AW3298" s="394"/>
      <c r="AX3298" s="394"/>
      <c r="AY3298" s="394">
        <v>0</v>
      </c>
      <c r="AZ3298" s="394">
        <v>0</v>
      </c>
      <c r="BA3298" s="394">
        <v>0.75790000000000002</v>
      </c>
      <c r="BB3298" s="394">
        <v>15.333270000000001</v>
      </c>
      <c r="BC3298" s="394"/>
      <c r="BD3298" s="381" t="s">
        <v>167</v>
      </c>
      <c r="BE3298" s="408" t="s">
        <v>175</v>
      </c>
      <c r="BF3298" s="385"/>
      <c r="BG3298" s="475">
        <v>1260</v>
      </c>
      <c r="BH3298" s="395"/>
      <c r="BI3298" s="395">
        <f t="shared" ref="BI3298:BI3307" si="1292">AT3298/AR3298</f>
        <v>19.57198</v>
      </c>
    </row>
    <row r="3299" spans="1:61" s="358" customFormat="1" ht="19.2" x14ac:dyDescent="0.3">
      <c r="A3299" s="359" t="s">
        <v>2252</v>
      </c>
      <c r="B3299" s="602" t="s">
        <v>6180</v>
      </c>
      <c r="C3299" s="548" t="s">
        <v>6181</v>
      </c>
      <c r="D3299" s="360">
        <v>0.4</v>
      </c>
      <c r="E3299" s="528"/>
      <c r="F3299" s="523"/>
      <c r="G3299" s="393"/>
      <c r="H3299" s="394"/>
      <c r="I3299" s="394"/>
      <c r="J3299" s="394"/>
      <c r="K3299" s="394"/>
      <c r="L3299" s="394"/>
      <c r="M3299" s="394"/>
      <c r="N3299" s="394"/>
      <c r="O3299" s="394"/>
      <c r="P3299" s="394"/>
      <c r="Q3299" s="394"/>
      <c r="R3299" s="381"/>
      <c r="S3299" s="408"/>
      <c r="T3299" s="385"/>
      <c r="U3299" s="475"/>
      <c r="V3299" s="395"/>
      <c r="W3299" s="395"/>
      <c r="X3299" s="528"/>
      <c r="Y3299" s="523"/>
      <c r="Z3299" s="393"/>
      <c r="AA3299" s="394"/>
      <c r="AB3299" s="394"/>
      <c r="AC3299" s="394"/>
      <c r="AD3299" s="394"/>
      <c r="AE3299" s="394"/>
      <c r="AF3299" s="394"/>
      <c r="AG3299" s="394"/>
      <c r="AH3299" s="394"/>
      <c r="AI3299" s="394"/>
      <c r="AJ3299" s="394"/>
      <c r="AK3299" s="381"/>
      <c r="AL3299" s="408"/>
      <c r="AM3299" s="385"/>
      <c r="AN3299" s="475"/>
      <c r="AO3299" s="395"/>
      <c r="AP3299" s="395"/>
      <c r="AQ3299" s="528"/>
      <c r="AR3299" s="523">
        <v>1</v>
      </c>
      <c r="AS3299" s="393"/>
      <c r="AT3299" s="600">
        <v>19.57197</v>
      </c>
      <c r="AU3299" s="394">
        <v>16.320989999999998</v>
      </c>
      <c r="AV3299" s="394">
        <v>15.333270000000001</v>
      </c>
      <c r="AW3299" s="394"/>
      <c r="AX3299" s="394"/>
      <c r="AY3299" s="394">
        <v>0</v>
      </c>
      <c r="AZ3299" s="394">
        <v>0</v>
      </c>
      <c r="BA3299" s="394">
        <v>0.75790000000000002</v>
      </c>
      <c r="BB3299" s="394">
        <v>15.333270000000001</v>
      </c>
      <c r="BC3299" s="394"/>
      <c r="BD3299" s="381" t="s">
        <v>167</v>
      </c>
      <c r="BE3299" s="408" t="s">
        <v>175</v>
      </c>
      <c r="BF3299" s="385"/>
      <c r="BG3299" s="475">
        <v>1261</v>
      </c>
      <c r="BH3299" s="395"/>
      <c r="BI3299" s="395">
        <f t="shared" si="1292"/>
        <v>19.57197</v>
      </c>
    </row>
    <row r="3300" spans="1:61" s="358" customFormat="1" ht="19.2" x14ac:dyDescent="0.3">
      <c r="A3300" s="359" t="s">
        <v>2253</v>
      </c>
      <c r="B3300" s="602" t="s">
        <v>6182</v>
      </c>
      <c r="C3300" s="548" t="s">
        <v>6183</v>
      </c>
      <c r="D3300" s="360">
        <v>0.4</v>
      </c>
      <c r="E3300" s="528"/>
      <c r="F3300" s="523"/>
      <c r="G3300" s="393"/>
      <c r="H3300" s="394"/>
      <c r="I3300" s="394"/>
      <c r="J3300" s="394"/>
      <c r="K3300" s="394"/>
      <c r="L3300" s="394"/>
      <c r="M3300" s="394"/>
      <c r="N3300" s="394"/>
      <c r="O3300" s="394"/>
      <c r="P3300" s="394"/>
      <c r="Q3300" s="394"/>
      <c r="R3300" s="381"/>
      <c r="S3300" s="408"/>
      <c r="T3300" s="385"/>
      <c r="U3300" s="475"/>
      <c r="V3300" s="395"/>
      <c r="W3300" s="395"/>
      <c r="X3300" s="528"/>
      <c r="Y3300" s="523"/>
      <c r="Z3300" s="393"/>
      <c r="AA3300" s="394"/>
      <c r="AB3300" s="394"/>
      <c r="AC3300" s="394"/>
      <c r="AD3300" s="394"/>
      <c r="AE3300" s="394"/>
      <c r="AF3300" s="394"/>
      <c r="AG3300" s="394"/>
      <c r="AH3300" s="394"/>
      <c r="AI3300" s="394"/>
      <c r="AJ3300" s="394"/>
      <c r="AK3300" s="381"/>
      <c r="AL3300" s="408"/>
      <c r="AM3300" s="385"/>
      <c r="AN3300" s="475"/>
      <c r="AO3300" s="395"/>
      <c r="AP3300" s="395"/>
      <c r="AQ3300" s="528"/>
      <c r="AR3300" s="523">
        <v>1</v>
      </c>
      <c r="AS3300" s="393"/>
      <c r="AT3300" s="600">
        <v>19.571960000000001</v>
      </c>
      <c r="AU3300" s="394">
        <v>16.320979999999999</v>
      </c>
      <c r="AV3300" s="394">
        <v>15.333270000000001</v>
      </c>
      <c r="AW3300" s="394"/>
      <c r="AX3300" s="394"/>
      <c r="AY3300" s="394">
        <v>0</v>
      </c>
      <c r="AZ3300" s="394">
        <v>0</v>
      </c>
      <c r="BA3300" s="394">
        <v>0.75790000000000002</v>
      </c>
      <c r="BB3300" s="394">
        <v>15.333270000000001</v>
      </c>
      <c r="BC3300" s="394"/>
      <c r="BD3300" s="381" t="s">
        <v>167</v>
      </c>
      <c r="BE3300" s="408" t="s">
        <v>175</v>
      </c>
      <c r="BF3300" s="385"/>
      <c r="BG3300" s="475">
        <v>1262</v>
      </c>
      <c r="BH3300" s="395"/>
      <c r="BI3300" s="395">
        <f t="shared" ref="BI3300" si="1293">AT3300/AR3300</f>
        <v>19.571960000000001</v>
      </c>
    </row>
    <row r="3301" spans="1:61" s="358" customFormat="1" ht="19.2" x14ac:dyDescent="0.3">
      <c r="A3301" s="359" t="s">
        <v>2254</v>
      </c>
      <c r="B3301" s="602" t="s">
        <v>6184</v>
      </c>
      <c r="C3301" s="548" t="s">
        <v>6185</v>
      </c>
      <c r="D3301" s="360">
        <v>0.4</v>
      </c>
      <c r="E3301" s="528"/>
      <c r="F3301" s="523"/>
      <c r="G3301" s="393"/>
      <c r="H3301" s="394"/>
      <c r="I3301" s="394"/>
      <c r="J3301" s="394"/>
      <c r="K3301" s="394"/>
      <c r="L3301" s="394"/>
      <c r="M3301" s="394"/>
      <c r="N3301" s="394"/>
      <c r="O3301" s="394"/>
      <c r="P3301" s="394"/>
      <c r="Q3301" s="394"/>
      <c r="R3301" s="381"/>
      <c r="S3301" s="408"/>
      <c r="T3301" s="385"/>
      <c r="U3301" s="475"/>
      <c r="V3301" s="395"/>
      <c r="W3301" s="395"/>
      <c r="X3301" s="528"/>
      <c r="Y3301" s="523"/>
      <c r="Z3301" s="393"/>
      <c r="AA3301" s="394"/>
      <c r="AB3301" s="394"/>
      <c r="AC3301" s="394"/>
      <c r="AD3301" s="394"/>
      <c r="AE3301" s="394"/>
      <c r="AF3301" s="394"/>
      <c r="AG3301" s="394"/>
      <c r="AH3301" s="394"/>
      <c r="AI3301" s="394"/>
      <c r="AJ3301" s="394"/>
      <c r="AK3301" s="381"/>
      <c r="AL3301" s="408"/>
      <c r="AM3301" s="385"/>
      <c r="AN3301" s="475"/>
      <c r="AO3301" s="395"/>
      <c r="AP3301" s="395"/>
      <c r="AQ3301" s="528"/>
      <c r="AR3301" s="523">
        <v>1</v>
      </c>
      <c r="AS3301" s="393"/>
      <c r="AT3301" s="600">
        <v>19.571960000000001</v>
      </c>
      <c r="AU3301" s="394">
        <v>16.320979999999999</v>
      </c>
      <c r="AV3301" s="394">
        <v>15.333270000000001</v>
      </c>
      <c r="AW3301" s="394"/>
      <c r="AX3301" s="394"/>
      <c r="AY3301" s="394">
        <v>0</v>
      </c>
      <c r="AZ3301" s="394">
        <v>0</v>
      </c>
      <c r="BA3301" s="394">
        <v>0.75790000000000002</v>
      </c>
      <c r="BB3301" s="394">
        <v>15.333270000000001</v>
      </c>
      <c r="BC3301" s="394"/>
      <c r="BD3301" s="381" t="s">
        <v>167</v>
      </c>
      <c r="BE3301" s="408" t="s">
        <v>175</v>
      </c>
      <c r="BF3301" s="385"/>
      <c r="BG3301" s="475">
        <v>1263</v>
      </c>
      <c r="BH3301" s="395"/>
      <c r="BI3301" s="395">
        <f t="shared" si="1292"/>
        <v>19.571960000000001</v>
      </c>
    </row>
    <row r="3302" spans="1:61" s="358" customFormat="1" ht="19.2" x14ac:dyDescent="0.3">
      <c r="A3302" s="359" t="s">
        <v>2255</v>
      </c>
      <c r="B3302" s="602" t="s">
        <v>6186</v>
      </c>
      <c r="C3302" s="548" t="s">
        <v>6187</v>
      </c>
      <c r="D3302" s="360">
        <v>0.4</v>
      </c>
      <c r="E3302" s="528"/>
      <c r="F3302" s="523"/>
      <c r="G3302" s="393"/>
      <c r="H3302" s="394"/>
      <c r="I3302" s="394"/>
      <c r="J3302" s="394"/>
      <c r="K3302" s="394"/>
      <c r="L3302" s="394"/>
      <c r="M3302" s="394"/>
      <c r="N3302" s="394"/>
      <c r="O3302" s="394"/>
      <c r="P3302" s="394"/>
      <c r="Q3302" s="394"/>
      <c r="R3302" s="381"/>
      <c r="S3302" s="408"/>
      <c r="T3302" s="385"/>
      <c r="U3302" s="475"/>
      <c r="V3302" s="395"/>
      <c r="W3302" s="395"/>
      <c r="X3302" s="528"/>
      <c r="Y3302" s="523"/>
      <c r="Z3302" s="393"/>
      <c r="AA3302" s="394"/>
      <c r="AB3302" s="394"/>
      <c r="AC3302" s="394"/>
      <c r="AD3302" s="394"/>
      <c r="AE3302" s="394"/>
      <c r="AF3302" s="394"/>
      <c r="AG3302" s="394"/>
      <c r="AH3302" s="394"/>
      <c r="AI3302" s="394"/>
      <c r="AJ3302" s="394"/>
      <c r="AK3302" s="381"/>
      <c r="AL3302" s="408"/>
      <c r="AM3302" s="385"/>
      <c r="AN3302" s="475"/>
      <c r="AO3302" s="395"/>
      <c r="AP3302" s="395"/>
      <c r="AQ3302" s="528"/>
      <c r="AR3302" s="523">
        <v>1</v>
      </c>
      <c r="AS3302" s="393"/>
      <c r="AT3302" s="600">
        <v>19.571960000000001</v>
      </c>
      <c r="AU3302" s="394">
        <v>16.320979999999999</v>
      </c>
      <c r="AV3302" s="394">
        <v>15.333270000000001</v>
      </c>
      <c r="AW3302" s="394"/>
      <c r="AX3302" s="394"/>
      <c r="AY3302" s="394">
        <v>0</v>
      </c>
      <c r="AZ3302" s="394">
        <v>0</v>
      </c>
      <c r="BA3302" s="394">
        <v>0.75790000000000002</v>
      </c>
      <c r="BB3302" s="394">
        <v>15.333270000000001</v>
      </c>
      <c r="BC3302" s="394"/>
      <c r="BD3302" s="381" t="s">
        <v>167</v>
      </c>
      <c r="BE3302" s="408" t="s">
        <v>175</v>
      </c>
      <c r="BF3302" s="385"/>
      <c r="BG3302" s="475">
        <v>1264</v>
      </c>
      <c r="BH3302" s="395"/>
      <c r="BI3302" s="395">
        <f t="shared" ref="BI3302" si="1294">AT3302/AR3302</f>
        <v>19.571960000000001</v>
      </c>
    </row>
    <row r="3303" spans="1:61" s="358" customFormat="1" ht="19.2" x14ac:dyDescent="0.3">
      <c r="A3303" s="359" t="s">
        <v>2257</v>
      </c>
      <c r="B3303" s="602" t="s">
        <v>4948</v>
      </c>
      <c r="C3303" s="548" t="s">
        <v>4947</v>
      </c>
      <c r="D3303" s="360">
        <v>0.4</v>
      </c>
      <c r="E3303" s="528"/>
      <c r="F3303" s="523"/>
      <c r="G3303" s="393"/>
      <c r="H3303" s="394"/>
      <c r="I3303" s="394"/>
      <c r="J3303" s="394"/>
      <c r="K3303" s="394"/>
      <c r="L3303" s="394"/>
      <c r="M3303" s="394"/>
      <c r="N3303" s="394"/>
      <c r="O3303" s="394"/>
      <c r="P3303" s="394"/>
      <c r="Q3303" s="394"/>
      <c r="R3303" s="381"/>
      <c r="S3303" s="408"/>
      <c r="T3303" s="385"/>
      <c r="U3303" s="475"/>
      <c r="V3303" s="395"/>
      <c r="W3303" s="395"/>
      <c r="X3303" s="528"/>
      <c r="Y3303" s="523"/>
      <c r="Z3303" s="393"/>
      <c r="AA3303" s="394"/>
      <c r="AB3303" s="394"/>
      <c r="AC3303" s="394"/>
      <c r="AD3303" s="394"/>
      <c r="AE3303" s="394"/>
      <c r="AF3303" s="394"/>
      <c r="AG3303" s="394"/>
      <c r="AH3303" s="394"/>
      <c r="AI3303" s="394"/>
      <c r="AJ3303" s="394"/>
      <c r="AK3303" s="381"/>
      <c r="AL3303" s="408"/>
      <c r="AM3303" s="385"/>
      <c r="AN3303" s="475"/>
      <c r="AO3303" s="395"/>
      <c r="AP3303" s="395"/>
      <c r="AQ3303" s="528"/>
      <c r="AR3303" s="523">
        <v>1</v>
      </c>
      <c r="AS3303" s="393"/>
      <c r="AT3303" s="600">
        <v>19.57197</v>
      </c>
      <c r="AU3303" s="394">
        <v>16.320989999999998</v>
      </c>
      <c r="AV3303" s="394">
        <v>15.333270000000001</v>
      </c>
      <c r="AW3303" s="394"/>
      <c r="AX3303" s="394"/>
      <c r="AY3303" s="394">
        <v>0</v>
      </c>
      <c r="AZ3303" s="394">
        <v>0</v>
      </c>
      <c r="BA3303" s="394">
        <v>0.75790000000000002</v>
      </c>
      <c r="BB3303" s="394">
        <v>15.333270000000001</v>
      </c>
      <c r="BC3303" s="394"/>
      <c r="BD3303" s="381" t="s">
        <v>167</v>
      </c>
      <c r="BE3303" s="408" t="s">
        <v>175</v>
      </c>
      <c r="BF3303" s="385"/>
      <c r="BG3303" s="475">
        <v>1265</v>
      </c>
      <c r="BH3303" s="395"/>
      <c r="BI3303" s="395">
        <f t="shared" si="1292"/>
        <v>19.57197</v>
      </c>
    </row>
    <row r="3304" spans="1:61" s="358" customFormat="1" ht="19.2" x14ac:dyDescent="0.3">
      <c r="A3304" s="359" t="s">
        <v>4423</v>
      </c>
      <c r="B3304" s="602" t="s">
        <v>6188</v>
      </c>
      <c r="C3304" s="548" t="s">
        <v>6189</v>
      </c>
      <c r="D3304" s="360">
        <v>0.4</v>
      </c>
      <c r="E3304" s="528"/>
      <c r="F3304" s="523"/>
      <c r="G3304" s="393"/>
      <c r="H3304" s="394"/>
      <c r="I3304" s="394"/>
      <c r="J3304" s="394"/>
      <c r="K3304" s="394"/>
      <c r="L3304" s="394"/>
      <c r="M3304" s="394"/>
      <c r="N3304" s="394"/>
      <c r="O3304" s="394"/>
      <c r="P3304" s="394"/>
      <c r="Q3304" s="394"/>
      <c r="R3304" s="381"/>
      <c r="S3304" s="408"/>
      <c r="T3304" s="385"/>
      <c r="U3304" s="475"/>
      <c r="V3304" s="395"/>
      <c r="W3304" s="395"/>
      <c r="X3304" s="528"/>
      <c r="Y3304" s="523"/>
      <c r="Z3304" s="393"/>
      <c r="AA3304" s="394"/>
      <c r="AB3304" s="394"/>
      <c r="AC3304" s="394"/>
      <c r="AD3304" s="394"/>
      <c r="AE3304" s="394"/>
      <c r="AF3304" s="394"/>
      <c r="AG3304" s="394"/>
      <c r="AH3304" s="394"/>
      <c r="AI3304" s="394"/>
      <c r="AJ3304" s="394"/>
      <c r="AK3304" s="381"/>
      <c r="AL3304" s="408"/>
      <c r="AM3304" s="385"/>
      <c r="AN3304" s="475"/>
      <c r="AO3304" s="395"/>
      <c r="AP3304" s="395"/>
      <c r="AQ3304" s="528"/>
      <c r="AR3304" s="523">
        <v>1</v>
      </c>
      <c r="AS3304" s="393"/>
      <c r="AT3304" s="600">
        <v>19.57197</v>
      </c>
      <c r="AU3304" s="394">
        <v>16.320989999999998</v>
      </c>
      <c r="AV3304" s="394">
        <v>15.333270000000001</v>
      </c>
      <c r="AW3304" s="394"/>
      <c r="AX3304" s="394"/>
      <c r="AY3304" s="394">
        <v>0</v>
      </c>
      <c r="AZ3304" s="394">
        <v>0</v>
      </c>
      <c r="BA3304" s="394">
        <v>0.75790000000000002</v>
      </c>
      <c r="BB3304" s="394">
        <v>15.333270000000001</v>
      </c>
      <c r="BC3304" s="394"/>
      <c r="BD3304" s="381" t="s">
        <v>167</v>
      </c>
      <c r="BE3304" s="408" t="s">
        <v>175</v>
      </c>
      <c r="BF3304" s="385"/>
      <c r="BG3304" s="475">
        <v>1266</v>
      </c>
      <c r="BH3304" s="395"/>
      <c r="BI3304" s="395">
        <f t="shared" ref="BI3304" si="1295">AT3304/AR3304</f>
        <v>19.57197</v>
      </c>
    </row>
    <row r="3305" spans="1:61" s="358" customFormat="1" ht="19.2" x14ac:dyDescent="0.3">
      <c r="A3305" s="359" t="s">
        <v>4424</v>
      </c>
      <c r="B3305" s="602" t="s">
        <v>1445</v>
      </c>
      <c r="C3305" s="548" t="s">
        <v>6190</v>
      </c>
      <c r="D3305" s="360">
        <v>0.4</v>
      </c>
      <c r="E3305" s="528"/>
      <c r="F3305" s="523"/>
      <c r="G3305" s="393"/>
      <c r="H3305" s="394"/>
      <c r="I3305" s="394"/>
      <c r="J3305" s="394"/>
      <c r="K3305" s="394"/>
      <c r="L3305" s="394"/>
      <c r="M3305" s="394"/>
      <c r="N3305" s="394"/>
      <c r="O3305" s="394"/>
      <c r="P3305" s="394"/>
      <c r="Q3305" s="394"/>
      <c r="R3305" s="381"/>
      <c r="S3305" s="408"/>
      <c r="T3305" s="385"/>
      <c r="U3305" s="475"/>
      <c r="V3305" s="395"/>
      <c r="W3305" s="395"/>
      <c r="X3305" s="528"/>
      <c r="Y3305" s="523"/>
      <c r="Z3305" s="393"/>
      <c r="AA3305" s="394"/>
      <c r="AB3305" s="394"/>
      <c r="AC3305" s="394"/>
      <c r="AD3305" s="394"/>
      <c r="AE3305" s="394"/>
      <c r="AF3305" s="394"/>
      <c r="AG3305" s="394"/>
      <c r="AH3305" s="394"/>
      <c r="AI3305" s="394"/>
      <c r="AJ3305" s="394"/>
      <c r="AK3305" s="381"/>
      <c r="AL3305" s="408"/>
      <c r="AM3305" s="385"/>
      <c r="AN3305" s="475"/>
      <c r="AO3305" s="395"/>
      <c r="AP3305" s="395"/>
      <c r="AQ3305" s="528"/>
      <c r="AR3305" s="523">
        <v>1</v>
      </c>
      <c r="AS3305" s="393"/>
      <c r="AT3305" s="600">
        <v>19.571950000000001</v>
      </c>
      <c r="AU3305" s="394">
        <v>16.320969999999999</v>
      </c>
      <c r="AV3305" s="394">
        <v>15.333270000000001</v>
      </c>
      <c r="AW3305" s="394"/>
      <c r="AX3305" s="394"/>
      <c r="AY3305" s="394">
        <v>0</v>
      </c>
      <c r="AZ3305" s="394">
        <v>0</v>
      </c>
      <c r="BA3305" s="394">
        <v>0.75790000000000002</v>
      </c>
      <c r="BB3305" s="394">
        <v>15.333270000000001</v>
      </c>
      <c r="BC3305" s="394"/>
      <c r="BD3305" s="381" t="s">
        <v>167</v>
      </c>
      <c r="BE3305" s="408" t="s">
        <v>175</v>
      </c>
      <c r="BF3305" s="385"/>
      <c r="BG3305" s="475">
        <v>1267</v>
      </c>
      <c r="BH3305" s="395"/>
      <c r="BI3305" s="395">
        <f t="shared" si="1292"/>
        <v>19.571950000000001</v>
      </c>
    </row>
    <row r="3306" spans="1:61" s="358" customFormat="1" ht="19.2" x14ac:dyDescent="0.3">
      <c r="A3306" s="359" t="s">
        <v>4425</v>
      </c>
      <c r="B3306" s="602" t="s">
        <v>6191</v>
      </c>
      <c r="C3306" s="548" t="s">
        <v>6192</v>
      </c>
      <c r="D3306" s="360">
        <v>0.4</v>
      </c>
      <c r="E3306" s="528"/>
      <c r="F3306" s="523"/>
      <c r="G3306" s="393"/>
      <c r="H3306" s="394"/>
      <c r="I3306" s="394"/>
      <c r="J3306" s="394"/>
      <c r="K3306" s="394"/>
      <c r="L3306" s="394"/>
      <c r="M3306" s="394"/>
      <c r="N3306" s="394"/>
      <c r="O3306" s="394"/>
      <c r="P3306" s="394"/>
      <c r="Q3306" s="394"/>
      <c r="R3306" s="381"/>
      <c r="S3306" s="408"/>
      <c r="T3306" s="385"/>
      <c r="U3306" s="475"/>
      <c r="V3306" s="395"/>
      <c r="W3306" s="395"/>
      <c r="X3306" s="528"/>
      <c r="Y3306" s="523"/>
      <c r="Z3306" s="393"/>
      <c r="AA3306" s="394"/>
      <c r="AB3306" s="394"/>
      <c r="AC3306" s="394"/>
      <c r="AD3306" s="394"/>
      <c r="AE3306" s="394"/>
      <c r="AF3306" s="394"/>
      <c r="AG3306" s="394"/>
      <c r="AH3306" s="394"/>
      <c r="AI3306" s="394"/>
      <c r="AJ3306" s="394"/>
      <c r="AK3306" s="381"/>
      <c r="AL3306" s="408"/>
      <c r="AM3306" s="385"/>
      <c r="AN3306" s="475"/>
      <c r="AO3306" s="395"/>
      <c r="AP3306" s="395"/>
      <c r="AQ3306" s="528"/>
      <c r="AR3306" s="523">
        <v>1</v>
      </c>
      <c r="AS3306" s="393"/>
      <c r="AT3306" s="600">
        <v>19.57197</v>
      </c>
      <c r="AU3306" s="394">
        <v>16.320989999999998</v>
      </c>
      <c r="AV3306" s="394">
        <v>15.333270000000001</v>
      </c>
      <c r="AW3306" s="394"/>
      <c r="AX3306" s="394"/>
      <c r="AY3306" s="394">
        <v>0</v>
      </c>
      <c r="AZ3306" s="394">
        <v>0</v>
      </c>
      <c r="BA3306" s="394">
        <v>0.75790000000000002</v>
      </c>
      <c r="BB3306" s="394">
        <v>15.333270000000001</v>
      </c>
      <c r="BC3306" s="394"/>
      <c r="BD3306" s="381" t="s">
        <v>167</v>
      </c>
      <c r="BE3306" s="408" t="s">
        <v>175</v>
      </c>
      <c r="BF3306" s="385"/>
      <c r="BG3306" s="475">
        <v>1268</v>
      </c>
      <c r="BH3306" s="395"/>
      <c r="BI3306" s="395">
        <f t="shared" ref="BI3306" si="1296">AT3306/AR3306</f>
        <v>19.57197</v>
      </c>
    </row>
    <row r="3307" spans="1:61" s="358" customFormat="1" ht="19.2" x14ac:dyDescent="0.3">
      <c r="A3307" s="359" t="s">
        <v>4426</v>
      </c>
      <c r="B3307" s="602" t="s">
        <v>6193</v>
      </c>
      <c r="C3307" s="548" t="s">
        <v>6194</v>
      </c>
      <c r="D3307" s="360">
        <v>0.4</v>
      </c>
      <c r="E3307" s="528"/>
      <c r="F3307" s="523"/>
      <c r="G3307" s="393"/>
      <c r="H3307" s="394"/>
      <c r="I3307" s="394"/>
      <c r="J3307" s="394"/>
      <c r="K3307" s="394"/>
      <c r="L3307" s="394"/>
      <c r="M3307" s="394"/>
      <c r="N3307" s="394"/>
      <c r="O3307" s="394"/>
      <c r="P3307" s="394"/>
      <c r="Q3307" s="394"/>
      <c r="R3307" s="381"/>
      <c r="S3307" s="408"/>
      <c r="T3307" s="385"/>
      <c r="U3307" s="475"/>
      <c r="V3307" s="395"/>
      <c r="W3307" s="395"/>
      <c r="X3307" s="528"/>
      <c r="Y3307" s="523"/>
      <c r="Z3307" s="393"/>
      <c r="AA3307" s="394"/>
      <c r="AB3307" s="394"/>
      <c r="AC3307" s="394"/>
      <c r="AD3307" s="394"/>
      <c r="AE3307" s="394"/>
      <c r="AF3307" s="394"/>
      <c r="AG3307" s="394"/>
      <c r="AH3307" s="394"/>
      <c r="AI3307" s="394"/>
      <c r="AJ3307" s="394"/>
      <c r="AK3307" s="381"/>
      <c r="AL3307" s="408"/>
      <c r="AM3307" s="385"/>
      <c r="AN3307" s="475"/>
      <c r="AO3307" s="395"/>
      <c r="AP3307" s="395"/>
      <c r="AQ3307" s="528"/>
      <c r="AR3307" s="523">
        <v>1</v>
      </c>
      <c r="AS3307" s="393"/>
      <c r="AT3307" s="600">
        <v>19.57198</v>
      </c>
      <c r="AU3307" s="394">
        <v>16.321000000000002</v>
      </c>
      <c r="AV3307" s="394">
        <v>15.333270000000001</v>
      </c>
      <c r="AW3307" s="394"/>
      <c r="AX3307" s="394"/>
      <c r="AY3307" s="394">
        <v>0</v>
      </c>
      <c r="AZ3307" s="394">
        <v>0</v>
      </c>
      <c r="BA3307" s="394">
        <v>0.75790000000000002</v>
      </c>
      <c r="BB3307" s="394">
        <v>15.333270000000001</v>
      </c>
      <c r="BC3307" s="394"/>
      <c r="BD3307" s="381" t="s">
        <v>167</v>
      </c>
      <c r="BE3307" s="408" t="s">
        <v>175</v>
      </c>
      <c r="BF3307" s="385"/>
      <c r="BG3307" s="475">
        <v>1269</v>
      </c>
      <c r="BH3307" s="395"/>
      <c r="BI3307" s="395">
        <f t="shared" si="1292"/>
        <v>19.57198</v>
      </c>
    </row>
    <row r="3308" spans="1:61" s="358" customFormat="1" ht="19.2" x14ac:dyDescent="0.3">
      <c r="A3308" s="359" t="s">
        <v>4427</v>
      </c>
      <c r="B3308" s="602" t="s">
        <v>6195</v>
      </c>
      <c r="C3308" s="548" t="s">
        <v>6196</v>
      </c>
      <c r="D3308" s="360">
        <v>0.4</v>
      </c>
      <c r="E3308" s="528"/>
      <c r="F3308" s="523"/>
      <c r="G3308" s="393"/>
      <c r="H3308" s="394"/>
      <c r="I3308" s="394"/>
      <c r="J3308" s="394"/>
      <c r="K3308" s="394"/>
      <c r="L3308" s="394"/>
      <c r="M3308" s="394"/>
      <c r="N3308" s="394"/>
      <c r="O3308" s="394"/>
      <c r="P3308" s="394"/>
      <c r="Q3308" s="394"/>
      <c r="R3308" s="381"/>
      <c r="S3308" s="408"/>
      <c r="T3308" s="385"/>
      <c r="U3308" s="475"/>
      <c r="V3308" s="395"/>
      <c r="W3308" s="395"/>
      <c r="X3308" s="528"/>
      <c r="Y3308" s="523"/>
      <c r="Z3308" s="393"/>
      <c r="AA3308" s="394"/>
      <c r="AB3308" s="394"/>
      <c r="AC3308" s="394"/>
      <c r="AD3308" s="394"/>
      <c r="AE3308" s="394"/>
      <c r="AF3308" s="394"/>
      <c r="AG3308" s="394"/>
      <c r="AH3308" s="394"/>
      <c r="AI3308" s="394"/>
      <c r="AJ3308" s="394"/>
      <c r="AK3308" s="381"/>
      <c r="AL3308" s="408"/>
      <c r="AM3308" s="385"/>
      <c r="AN3308" s="475"/>
      <c r="AO3308" s="395"/>
      <c r="AP3308" s="395"/>
      <c r="AQ3308" s="528"/>
      <c r="AR3308" s="523">
        <v>1</v>
      </c>
      <c r="AS3308" s="393"/>
      <c r="AT3308" s="600">
        <v>19.57198</v>
      </c>
      <c r="AU3308" s="394">
        <v>16.321000000000002</v>
      </c>
      <c r="AV3308" s="394">
        <v>15.333270000000001</v>
      </c>
      <c r="AW3308" s="394"/>
      <c r="AX3308" s="394"/>
      <c r="AY3308" s="394">
        <v>0</v>
      </c>
      <c r="AZ3308" s="394">
        <v>0</v>
      </c>
      <c r="BA3308" s="394">
        <v>0.75790000000000002</v>
      </c>
      <c r="BB3308" s="394">
        <v>15.333270000000001</v>
      </c>
      <c r="BC3308" s="394"/>
      <c r="BD3308" s="381" t="s">
        <v>167</v>
      </c>
      <c r="BE3308" s="408" t="s">
        <v>175</v>
      </c>
      <c r="BF3308" s="385"/>
      <c r="BG3308" s="475">
        <v>1270</v>
      </c>
      <c r="BH3308" s="395"/>
      <c r="BI3308" s="395">
        <f t="shared" si="1265"/>
        <v>19.57198</v>
      </c>
    </row>
    <row r="3309" spans="1:61" s="358" customFormat="1" ht="19.2" x14ac:dyDescent="0.3">
      <c r="A3309" s="359" t="s">
        <v>4428</v>
      </c>
      <c r="B3309" s="602" t="s">
        <v>6197</v>
      </c>
      <c r="C3309" s="548" t="s">
        <v>6198</v>
      </c>
      <c r="D3309" s="360">
        <v>0.4</v>
      </c>
      <c r="E3309" s="528"/>
      <c r="F3309" s="523"/>
      <c r="G3309" s="393"/>
      <c r="H3309" s="394"/>
      <c r="I3309" s="394"/>
      <c r="J3309" s="394"/>
      <c r="K3309" s="394"/>
      <c r="L3309" s="394"/>
      <c r="M3309" s="394"/>
      <c r="N3309" s="394"/>
      <c r="O3309" s="394"/>
      <c r="P3309" s="394"/>
      <c r="Q3309" s="394"/>
      <c r="R3309" s="381"/>
      <c r="S3309" s="408"/>
      <c r="T3309" s="385"/>
      <c r="U3309" s="475"/>
      <c r="V3309" s="395"/>
      <c r="W3309" s="395"/>
      <c r="X3309" s="528"/>
      <c r="Y3309" s="523"/>
      <c r="Z3309" s="393"/>
      <c r="AA3309" s="394"/>
      <c r="AB3309" s="394"/>
      <c r="AC3309" s="394"/>
      <c r="AD3309" s="394"/>
      <c r="AE3309" s="394"/>
      <c r="AF3309" s="394"/>
      <c r="AG3309" s="394"/>
      <c r="AH3309" s="394"/>
      <c r="AI3309" s="394"/>
      <c r="AJ3309" s="394"/>
      <c r="AK3309" s="381"/>
      <c r="AL3309" s="408"/>
      <c r="AM3309" s="385"/>
      <c r="AN3309" s="475"/>
      <c r="AO3309" s="395"/>
      <c r="AP3309" s="395"/>
      <c r="AQ3309" s="528"/>
      <c r="AR3309" s="523">
        <v>1</v>
      </c>
      <c r="AS3309" s="393"/>
      <c r="AT3309" s="600">
        <v>19.571960000000001</v>
      </c>
      <c r="AU3309" s="394">
        <v>16.320989999999998</v>
      </c>
      <c r="AV3309" s="394">
        <v>15.333270000000001</v>
      </c>
      <c r="AW3309" s="394"/>
      <c r="AX3309" s="394"/>
      <c r="AY3309" s="394">
        <v>0</v>
      </c>
      <c r="AZ3309" s="394">
        <v>0</v>
      </c>
      <c r="BA3309" s="394">
        <v>0.75790000000000002</v>
      </c>
      <c r="BB3309" s="394">
        <v>15.333270000000001</v>
      </c>
      <c r="BC3309" s="394"/>
      <c r="BD3309" s="381" t="s">
        <v>167</v>
      </c>
      <c r="BE3309" s="408" t="s">
        <v>175</v>
      </c>
      <c r="BF3309" s="385"/>
      <c r="BG3309" s="475">
        <v>1271</v>
      </c>
      <c r="BH3309" s="395"/>
      <c r="BI3309" s="395">
        <f t="shared" ref="BI3309" si="1297">AT3309/AR3309</f>
        <v>19.571960000000001</v>
      </c>
    </row>
    <row r="3310" spans="1:61" s="358" customFormat="1" ht="19.2" x14ac:dyDescent="0.3">
      <c r="A3310" s="359" t="s">
        <v>4429</v>
      </c>
      <c r="B3310" s="602" t="s">
        <v>6199</v>
      </c>
      <c r="C3310" s="548" t="s">
        <v>6200</v>
      </c>
      <c r="D3310" s="360">
        <v>0.4</v>
      </c>
      <c r="E3310" s="528"/>
      <c r="F3310" s="523"/>
      <c r="G3310" s="393"/>
      <c r="H3310" s="394"/>
      <c r="I3310" s="394"/>
      <c r="J3310" s="394"/>
      <c r="K3310" s="394"/>
      <c r="L3310" s="394"/>
      <c r="M3310" s="394"/>
      <c r="N3310" s="394"/>
      <c r="O3310" s="394"/>
      <c r="P3310" s="394"/>
      <c r="Q3310" s="394"/>
      <c r="R3310" s="381"/>
      <c r="S3310" s="408"/>
      <c r="T3310" s="385"/>
      <c r="U3310" s="475"/>
      <c r="V3310" s="395"/>
      <c r="W3310" s="395"/>
      <c r="X3310" s="528"/>
      <c r="Y3310" s="523"/>
      <c r="Z3310" s="393"/>
      <c r="AA3310" s="394"/>
      <c r="AB3310" s="394"/>
      <c r="AC3310" s="394"/>
      <c r="AD3310" s="394"/>
      <c r="AE3310" s="394"/>
      <c r="AF3310" s="394"/>
      <c r="AG3310" s="394"/>
      <c r="AH3310" s="394"/>
      <c r="AI3310" s="394"/>
      <c r="AJ3310" s="394"/>
      <c r="AK3310" s="381"/>
      <c r="AL3310" s="408"/>
      <c r="AM3310" s="385"/>
      <c r="AN3310" s="475"/>
      <c r="AO3310" s="395"/>
      <c r="AP3310" s="395"/>
      <c r="AQ3310" s="528"/>
      <c r="AR3310" s="523">
        <v>1</v>
      </c>
      <c r="AS3310" s="393"/>
      <c r="AT3310" s="600">
        <v>19.57198</v>
      </c>
      <c r="AU3310" s="394">
        <v>16.321000000000002</v>
      </c>
      <c r="AV3310" s="394">
        <v>15.333270000000001</v>
      </c>
      <c r="AW3310" s="394"/>
      <c r="AX3310" s="394"/>
      <c r="AY3310" s="394">
        <v>0</v>
      </c>
      <c r="AZ3310" s="394">
        <v>0</v>
      </c>
      <c r="BA3310" s="394">
        <v>0.75790000000000002</v>
      </c>
      <c r="BB3310" s="394">
        <v>15.333270000000001</v>
      </c>
      <c r="BC3310" s="394"/>
      <c r="BD3310" s="381" t="s">
        <v>167</v>
      </c>
      <c r="BE3310" s="408" t="s">
        <v>175</v>
      </c>
      <c r="BF3310" s="385"/>
      <c r="BG3310" s="475">
        <v>1272</v>
      </c>
      <c r="BH3310" s="395"/>
      <c r="BI3310" s="395">
        <f t="shared" si="1265"/>
        <v>19.57198</v>
      </c>
    </row>
    <row r="3311" spans="1:61" s="358" customFormat="1" ht="19.2" x14ac:dyDescent="0.3">
      <c r="A3311" s="359" t="s">
        <v>4430</v>
      </c>
      <c r="B3311" s="602" t="s">
        <v>2366</v>
      </c>
      <c r="C3311" s="548" t="s">
        <v>6201</v>
      </c>
      <c r="D3311" s="360">
        <v>0.4</v>
      </c>
      <c r="E3311" s="528"/>
      <c r="F3311" s="523"/>
      <c r="G3311" s="393"/>
      <c r="H3311" s="394"/>
      <c r="I3311" s="394"/>
      <c r="J3311" s="394"/>
      <c r="K3311" s="394"/>
      <c r="L3311" s="394"/>
      <c r="M3311" s="394"/>
      <c r="N3311" s="394"/>
      <c r="O3311" s="394"/>
      <c r="P3311" s="394"/>
      <c r="Q3311" s="394"/>
      <c r="R3311" s="381"/>
      <c r="S3311" s="408"/>
      <c r="T3311" s="385"/>
      <c r="U3311" s="475"/>
      <c r="V3311" s="395"/>
      <c r="W3311" s="395"/>
      <c r="X3311" s="528"/>
      <c r="Y3311" s="523"/>
      <c r="Z3311" s="393"/>
      <c r="AA3311" s="394"/>
      <c r="AB3311" s="394"/>
      <c r="AC3311" s="394"/>
      <c r="AD3311" s="394"/>
      <c r="AE3311" s="394"/>
      <c r="AF3311" s="394"/>
      <c r="AG3311" s="394"/>
      <c r="AH3311" s="394"/>
      <c r="AI3311" s="394"/>
      <c r="AJ3311" s="394"/>
      <c r="AK3311" s="381"/>
      <c r="AL3311" s="408"/>
      <c r="AM3311" s="385"/>
      <c r="AN3311" s="475"/>
      <c r="AO3311" s="395"/>
      <c r="AP3311" s="395"/>
      <c r="AQ3311" s="528"/>
      <c r="AR3311" s="523">
        <v>1</v>
      </c>
      <c r="AS3311" s="393"/>
      <c r="AT3311" s="600">
        <v>19.57198</v>
      </c>
      <c r="AU3311" s="394">
        <v>16.321000000000002</v>
      </c>
      <c r="AV3311" s="394">
        <v>15.333270000000001</v>
      </c>
      <c r="AW3311" s="394"/>
      <c r="AX3311" s="394"/>
      <c r="AY3311" s="394">
        <v>0</v>
      </c>
      <c r="AZ3311" s="394">
        <v>0</v>
      </c>
      <c r="BA3311" s="394">
        <v>0.75790000000000002</v>
      </c>
      <c r="BB3311" s="394">
        <v>15.333270000000001</v>
      </c>
      <c r="BC3311" s="394"/>
      <c r="BD3311" s="381" t="s">
        <v>167</v>
      </c>
      <c r="BE3311" s="408" t="s">
        <v>175</v>
      </c>
      <c r="BF3311" s="385"/>
      <c r="BG3311" s="475">
        <v>1273</v>
      </c>
      <c r="BH3311" s="395"/>
      <c r="BI3311" s="395">
        <f t="shared" ref="BI3311" si="1298">AT3311/AR3311</f>
        <v>19.57198</v>
      </c>
    </row>
    <row r="3312" spans="1:61" s="358" customFormat="1" ht="19.2" x14ac:dyDescent="0.3">
      <c r="A3312" s="359" t="s">
        <v>4431</v>
      </c>
      <c r="B3312" s="602" t="s">
        <v>6202</v>
      </c>
      <c r="C3312" s="548" t="s">
        <v>6203</v>
      </c>
      <c r="D3312" s="360">
        <v>0.4</v>
      </c>
      <c r="E3312" s="528"/>
      <c r="F3312" s="523"/>
      <c r="G3312" s="393"/>
      <c r="H3312" s="394"/>
      <c r="I3312" s="394"/>
      <c r="J3312" s="394"/>
      <c r="K3312" s="394"/>
      <c r="L3312" s="394"/>
      <c r="M3312" s="394"/>
      <c r="N3312" s="394"/>
      <c r="O3312" s="394"/>
      <c r="P3312" s="394"/>
      <c r="Q3312" s="394"/>
      <c r="R3312" s="381"/>
      <c r="S3312" s="408"/>
      <c r="T3312" s="385"/>
      <c r="U3312" s="475"/>
      <c r="V3312" s="395"/>
      <c r="W3312" s="395"/>
      <c r="X3312" s="528"/>
      <c r="Y3312" s="523"/>
      <c r="Z3312" s="393"/>
      <c r="AA3312" s="394"/>
      <c r="AB3312" s="394"/>
      <c r="AC3312" s="394"/>
      <c r="AD3312" s="394"/>
      <c r="AE3312" s="394"/>
      <c r="AF3312" s="394"/>
      <c r="AG3312" s="394"/>
      <c r="AH3312" s="394"/>
      <c r="AI3312" s="394"/>
      <c r="AJ3312" s="394"/>
      <c r="AK3312" s="381"/>
      <c r="AL3312" s="408"/>
      <c r="AM3312" s="385"/>
      <c r="AN3312" s="475"/>
      <c r="AO3312" s="395"/>
      <c r="AP3312" s="395"/>
      <c r="AQ3312" s="528"/>
      <c r="AR3312" s="523">
        <v>1</v>
      </c>
      <c r="AS3312" s="393"/>
      <c r="AT3312" s="600">
        <v>19.57198</v>
      </c>
      <c r="AU3312" s="394">
        <v>16.321000000000002</v>
      </c>
      <c r="AV3312" s="394">
        <v>15.333270000000001</v>
      </c>
      <c r="AW3312" s="394"/>
      <c r="AX3312" s="394"/>
      <c r="AY3312" s="394">
        <v>0</v>
      </c>
      <c r="AZ3312" s="394">
        <v>0</v>
      </c>
      <c r="BA3312" s="394">
        <v>0.75790000000000002</v>
      </c>
      <c r="BB3312" s="394">
        <v>15.333270000000001</v>
      </c>
      <c r="BC3312" s="394"/>
      <c r="BD3312" s="381" t="s">
        <v>167</v>
      </c>
      <c r="BE3312" s="408" t="s">
        <v>175</v>
      </c>
      <c r="BF3312" s="385"/>
      <c r="BG3312" s="475">
        <v>1274</v>
      </c>
      <c r="BH3312" s="395"/>
      <c r="BI3312" s="395">
        <f t="shared" si="1265"/>
        <v>19.57198</v>
      </c>
    </row>
    <row r="3313" spans="1:61" s="358" customFormat="1" ht="19.2" x14ac:dyDescent="0.3">
      <c r="A3313" s="359" t="s">
        <v>4432</v>
      </c>
      <c r="B3313" s="602" t="s">
        <v>6204</v>
      </c>
      <c r="C3313" s="548" t="s">
        <v>6205</v>
      </c>
      <c r="D3313" s="360">
        <v>0.4</v>
      </c>
      <c r="E3313" s="528"/>
      <c r="F3313" s="523"/>
      <c r="G3313" s="393"/>
      <c r="H3313" s="394"/>
      <c r="I3313" s="394"/>
      <c r="J3313" s="394"/>
      <c r="K3313" s="394"/>
      <c r="L3313" s="394"/>
      <c r="M3313" s="394"/>
      <c r="N3313" s="394"/>
      <c r="O3313" s="394"/>
      <c r="P3313" s="394"/>
      <c r="Q3313" s="394"/>
      <c r="R3313" s="381"/>
      <c r="S3313" s="408"/>
      <c r="T3313" s="385"/>
      <c r="U3313" s="475"/>
      <c r="V3313" s="395"/>
      <c r="W3313" s="395"/>
      <c r="X3313" s="528"/>
      <c r="Y3313" s="523"/>
      <c r="Z3313" s="393"/>
      <c r="AA3313" s="394"/>
      <c r="AB3313" s="394"/>
      <c r="AC3313" s="394"/>
      <c r="AD3313" s="394"/>
      <c r="AE3313" s="394"/>
      <c r="AF3313" s="394"/>
      <c r="AG3313" s="394"/>
      <c r="AH3313" s="394"/>
      <c r="AI3313" s="394"/>
      <c r="AJ3313" s="394"/>
      <c r="AK3313" s="381"/>
      <c r="AL3313" s="408"/>
      <c r="AM3313" s="385"/>
      <c r="AN3313" s="475"/>
      <c r="AO3313" s="395"/>
      <c r="AP3313" s="395"/>
      <c r="AQ3313" s="528"/>
      <c r="AR3313" s="523">
        <v>1</v>
      </c>
      <c r="AS3313" s="393"/>
      <c r="AT3313" s="600">
        <v>19.57198</v>
      </c>
      <c r="AU3313" s="394">
        <v>16.321000000000002</v>
      </c>
      <c r="AV3313" s="394">
        <v>15.333270000000001</v>
      </c>
      <c r="AW3313" s="394"/>
      <c r="AX3313" s="394"/>
      <c r="AY3313" s="394">
        <v>0</v>
      </c>
      <c r="AZ3313" s="394">
        <v>0</v>
      </c>
      <c r="BA3313" s="394">
        <v>0.75790000000000002</v>
      </c>
      <c r="BB3313" s="394">
        <v>15.333270000000001</v>
      </c>
      <c r="BC3313" s="394"/>
      <c r="BD3313" s="381" t="s">
        <v>167</v>
      </c>
      <c r="BE3313" s="408" t="s">
        <v>175</v>
      </c>
      <c r="BF3313" s="385"/>
      <c r="BG3313" s="475">
        <v>1275</v>
      </c>
      <c r="BH3313" s="395"/>
      <c r="BI3313" s="395">
        <f t="shared" ref="BI3313" si="1299">AT3313/AR3313</f>
        <v>19.57198</v>
      </c>
    </row>
    <row r="3314" spans="1:61" s="358" customFormat="1" ht="19.2" x14ac:dyDescent="0.3">
      <c r="A3314" s="359" t="s">
        <v>4433</v>
      </c>
      <c r="B3314" s="602" t="s">
        <v>6206</v>
      </c>
      <c r="C3314" s="548" t="s">
        <v>6207</v>
      </c>
      <c r="D3314" s="360">
        <v>0.4</v>
      </c>
      <c r="E3314" s="528"/>
      <c r="F3314" s="523"/>
      <c r="G3314" s="393"/>
      <c r="H3314" s="394"/>
      <c r="I3314" s="394"/>
      <c r="J3314" s="394"/>
      <c r="K3314" s="394"/>
      <c r="L3314" s="394"/>
      <c r="M3314" s="394"/>
      <c r="N3314" s="394"/>
      <c r="O3314" s="394"/>
      <c r="P3314" s="394"/>
      <c r="Q3314" s="394"/>
      <c r="R3314" s="381"/>
      <c r="S3314" s="408"/>
      <c r="T3314" s="385"/>
      <c r="U3314" s="475"/>
      <c r="V3314" s="395"/>
      <c r="W3314" s="395"/>
      <c r="X3314" s="528"/>
      <c r="Y3314" s="523"/>
      <c r="Z3314" s="393"/>
      <c r="AA3314" s="394"/>
      <c r="AB3314" s="394"/>
      <c r="AC3314" s="394"/>
      <c r="AD3314" s="394"/>
      <c r="AE3314" s="394"/>
      <c r="AF3314" s="394"/>
      <c r="AG3314" s="394"/>
      <c r="AH3314" s="394"/>
      <c r="AI3314" s="394"/>
      <c r="AJ3314" s="394"/>
      <c r="AK3314" s="381"/>
      <c r="AL3314" s="408"/>
      <c r="AM3314" s="385"/>
      <c r="AN3314" s="475"/>
      <c r="AO3314" s="395"/>
      <c r="AP3314" s="395"/>
      <c r="AQ3314" s="528"/>
      <c r="AR3314" s="523">
        <v>1</v>
      </c>
      <c r="AS3314" s="393"/>
      <c r="AT3314" s="600">
        <v>19.57198</v>
      </c>
      <c r="AU3314" s="394">
        <v>16.321000000000002</v>
      </c>
      <c r="AV3314" s="394">
        <v>15.333270000000001</v>
      </c>
      <c r="AW3314" s="394"/>
      <c r="AX3314" s="394"/>
      <c r="AY3314" s="394">
        <v>0</v>
      </c>
      <c r="AZ3314" s="394">
        <v>0</v>
      </c>
      <c r="BA3314" s="394">
        <v>0.75790000000000002</v>
      </c>
      <c r="BB3314" s="394">
        <v>15.333270000000001</v>
      </c>
      <c r="BC3314" s="394"/>
      <c r="BD3314" s="381" t="s">
        <v>167</v>
      </c>
      <c r="BE3314" s="408" t="s">
        <v>175</v>
      </c>
      <c r="BF3314" s="385"/>
      <c r="BG3314" s="475">
        <v>1276</v>
      </c>
      <c r="BH3314" s="395"/>
      <c r="BI3314" s="395">
        <f t="shared" si="1265"/>
        <v>19.57198</v>
      </c>
    </row>
    <row r="3315" spans="1:61" s="358" customFormat="1" ht="19.2" x14ac:dyDescent="0.3">
      <c r="A3315" s="359" t="s">
        <v>4434</v>
      </c>
      <c r="B3315" s="602" t="s">
        <v>6208</v>
      </c>
      <c r="C3315" s="548" t="s">
        <v>6209</v>
      </c>
      <c r="D3315" s="360">
        <v>0.4</v>
      </c>
      <c r="E3315" s="528"/>
      <c r="F3315" s="523"/>
      <c r="G3315" s="393"/>
      <c r="H3315" s="394"/>
      <c r="I3315" s="394"/>
      <c r="J3315" s="394"/>
      <c r="K3315" s="394"/>
      <c r="L3315" s="394"/>
      <c r="M3315" s="394"/>
      <c r="N3315" s="394"/>
      <c r="O3315" s="394"/>
      <c r="P3315" s="394"/>
      <c r="Q3315" s="394"/>
      <c r="R3315" s="381"/>
      <c r="S3315" s="408"/>
      <c r="T3315" s="385"/>
      <c r="U3315" s="475"/>
      <c r="V3315" s="395"/>
      <c r="W3315" s="395"/>
      <c r="X3315" s="528"/>
      <c r="Y3315" s="523"/>
      <c r="Z3315" s="393"/>
      <c r="AA3315" s="394"/>
      <c r="AB3315" s="394"/>
      <c r="AC3315" s="394"/>
      <c r="AD3315" s="394"/>
      <c r="AE3315" s="394"/>
      <c r="AF3315" s="394"/>
      <c r="AG3315" s="394"/>
      <c r="AH3315" s="394"/>
      <c r="AI3315" s="394"/>
      <c r="AJ3315" s="394"/>
      <c r="AK3315" s="381"/>
      <c r="AL3315" s="408"/>
      <c r="AM3315" s="385"/>
      <c r="AN3315" s="475"/>
      <c r="AO3315" s="395"/>
      <c r="AP3315" s="395"/>
      <c r="AQ3315" s="528"/>
      <c r="AR3315" s="523">
        <v>1</v>
      </c>
      <c r="AS3315" s="393"/>
      <c r="AT3315" s="600">
        <v>19.57197</v>
      </c>
      <c r="AU3315" s="394">
        <v>16.320989999999998</v>
      </c>
      <c r="AV3315" s="394">
        <v>15.333270000000001</v>
      </c>
      <c r="AW3315" s="394"/>
      <c r="AX3315" s="394"/>
      <c r="AY3315" s="394">
        <v>0</v>
      </c>
      <c r="AZ3315" s="394">
        <v>0</v>
      </c>
      <c r="BA3315" s="394">
        <v>0.75790000000000002</v>
      </c>
      <c r="BB3315" s="394">
        <v>15.333270000000001</v>
      </c>
      <c r="BC3315" s="394"/>
      <c r="BD3315" s="381" t="s">
        <v>167</v>
      </c>
      <c r="BE3315" s="408" t="s">
        <v>175</v>
      </c>
      <c r="BF3315" s="385"/>
      <c r="BG3315" s="475">
        <v>1277</v>
      </c>
      <c r="BH3315" s="395"/>
      <c r="BI3315" s="395">
        <f t="shared" ref="BI3315" si="1300">AT3315/AR3315</f>
        <v>19.57197</v>
      </c>
    </row>
    <row r="3316" spans="1:61" s="358" customFormat="1" ht="19.2" x14ac:dyDescent="0.3">
      <c r="A3316" s="359" t="s">
        <v>4435</v>
      </c>
      <c r="B3316" s="602" t="s">
        <v>6210</v>
      </c>
      <c r="C3316" s="548" t="s">
        <v>6211</v>
      </c>
      <c r="D3316" s="360">
        <v>0.4</v>
      </c>
      <c r="E3316" s="528"/>
      <c r="F3316" s="523"/>
      <c r="G3316" s="393"/>
      <c r="H3316" s="394"/>
      <c r="I3316" s="394"/>
      <c r="J3316" s="394"/>
      <c r="K3316" s="394"/>
      <c r="L3316" s="394"/>
      <c r="M3316" s="394"/>
      <c r="N3316" s="394"/>
      <c r="O3316" s="394"/>
      <c r="P3316" s="394"/>
      <c r="Q3316" s="394"/>
      <c r="R3316" s="381"/>
      <c r="S3316" s="408"/>
      <c r="T3316" s="385"/>
      <c r="U3316" s="475"/>
      <c r="V3316" s="395"/>
      <c r="W3316" s="395"/>
      <c r="X3316" s="528"/>
      <c r="Y3316" s="523"/>
      <c r="Z3316" s="393"/>
      <c r="AA3316" s="394"/>
      <c r="AB3316" s="394"/>
      <c r="AC3316" s="394"/>
      <c r="AD3316" s="394"/>
      <c r="AE3316" s="394"/>
      <c r="AF3316" s="394"/>
      <c r="AG3316" s="394"/>
      <c r="AH3316" s="394"/>
      <c r="AI3316" s="394"/>
      <c r="AJ3316" s="394"/>
      <c r="AK3316" s="381"/>
      <c r="AL3316" s="408"/>
      <c r="AM3316" s="385"/>
      <c r="AN3316" s="475"/>
      <c r="AO3316" s="395"/>
      <c r="AP3316" s="395"/>
      <c r="AQ3316" s="528"/>
      <c r="AR3316" s="523">
        <v>1</v>
      </c>
      <c r="AS3316" s="393"/>
      <c r="AT3316" s="600">
        <v>19.57198</v>
      </c>
      <c r="AU3316" s="394">
        <v>16.321000000000002</v>
      </c>
      <c r="AV3316" s="394">
        <v>15.333270000000001</v>
      </c>
      <c r="AW3316" s="394"/>
      <c r="AX3316" s="394"/>
      <c r="AY3316" s="394">
        <v>0</v>
      </c>
      <c r="AZ3316" s="394">
        <v>0</v>
      </c>
      <c r="BA3316" s="394">
        <v>0.75790000000000002</v>
      </c>
      <c r="BB3316" s="394">
        <v>15.333270000000001</v>
      </c>
      <c r="BC3316" s="394"/>
      <c r="BD3316" s="381" t="s">
        <v>167</v>
      </c>
      <c r="BE3316" s="408" t="s">
        <v>175</v>
      </c>
      <c r="BF3316" s="385"/>
      <c r="BG3316" s="475">
        <v>1278</v>
      </c>
      <c r="BH3316" s="395"/>
      <c r="BI3316" s="395">
        <f t="shared" si="1265"/>
        <v>19.57198</v>
      </c>
    </row>
    <row r="3317" spans="1:61" s="358" customFormat="1" ht="19.2" x14ac:dyDescent="0.3">
      <c r="A3317" s="359" t="s">
        <v>4436</v>
      </c>
      <c r="B3317" s="602" t="s">
        <v>4913</v>
      </c>
      <c r="C3317" s="548" t="s">
        <v>4912</v>
      </c>
      <c r="D3317" s="360">
        <v>0.4</v>
      </c>
      <c r="E3317" s="528"/>
      <c r="F3317" s="523"/>
      <c r="G3317" s="393"/>
      <c r="H3317" s="394"/>
      <c r="I3317" s="394"/>
      <c r="J3317" s="394"/>
      <c r="K3317" s="394"/>
      <c r="L3317" s="394"/>
      <c r="M3317" s="394"/>
      <c r="N3317" s="394"/>
      <c r="O3317" s="394"/>
      <c r="P3317" s="394"/>
      <c r="Q3317" s="394"/>
      <c r="R3317" s="381"/>
      <c r="S3317" s="408"/>
      <c r="T3317" s="385"/>
      <c r="U3317" s="475"/>
      <c r="V3317" s="395"/>
      <c r="W3317" s="395"/>
      <c r="X3317" s="528"/>
      <c r="Y3317" s="523"/>
      <c r="Z3317" s="393"/>
      <c r="AA3317" s="394"/>
      <c r="AB3317" s="394"/>
      <c r="AC3317" s="394"/>
      <c r="AD3317" s="394"/>
      <c r="AE3317" s="394"/>
      <c r="AF3317" s="394"/>
      <c r="AG3317" s="394"/>
      <c r="AH3317" s="394"/>
      <c r="AI3317" s="394"/>
      <c r="AJ3317" s="394"/>
      <c r="AK3317" s="381"/>
      <c r="AL3317" s="408"/>
      <c r="AM3317" s="385"/>
      <c r="AN3317" s="475"/>
      <c r="AO3317" s="395"/>
      <c r="AP3317" s="395"/>
      <c r="AQ3317" s="528"/>
      <c r="AR3317" s="523">
        <v>1</v>
      </c>
      <c r="AS3317" s="393"/>
      <c r="AT3317" s="600">
        <v>19.57197</v>
      </c>
      <c r="AU3317" s="394">
        <v>16.320989999999998</v>
      </c>
      <c r="AV3317" s="394">
        <v>15.333270000000001</v>
      </c>
      <c r="AW3317" s="394"/>
      <c r="AX3317" s="394"/>
      <c r="AY3317" s="394">
        <v>0</v>
      </c>
      <c r="AZ3317" s="394">
        <v>0</v>
      </c>
      <c r="BA3317" s="394">
        <v>0.75790000000000002</v>
      </c>
      <c r="BB3317" s="394">
        <v>15.333270000000001</v>
      </c>
      <c r="BC3317" s="394"/>
      <c r="BD3317" s="381" t="s">
        <v>167</v>
      </c>
      <c r="BE3317" s="408" t="s">
        <v>175</v>
      </c>
      <c r="BF3317" s="385"/>
      <c r="BG3317" s="475">
        <v>1279</v>
      </c>
      <c r="BH3317" s="395"/>
      <c r="BI3317" s="395">
        <f t="shared" ref="BI3317" si="1301">AT3317/AR3317</f>
        <v>19.57197</v>
      </c>
    </row>
    <row r="3318" spans="1:61" s="358" customFormat="1" ht="19.2" x14ac:dyDescent="0.3">
      <c r="A3318" s="359" t="s">
        <v>4437</v>
      </c>
      <c r="B3318" s="602" t="s">
        <v>6212</v>
      </c>
      <c r="C3318" s="548" t="s">
        <v>6213</v>
      </c>
      <c r="D3318" s="360">
        <v>0.4</v>
      </c>
      <c r="E3318" s="528"/>
      <c r="F3318" s="523"/>
      <c r="G3318" s="393"/>
      <c r="H3318" s="394"/>
      <c r="I3318" s="394"/>
      <c r="J3318" s="394"/>
      <c r="K3318" s="394"/>
      <c r="L3318" s="394"/>
      <c r="M3318" s="394"/>
      <c r="N3318" s="394"/>
      <c r="O3318" s="394"/>
      <c r="P3318" s="394"/>
      <c r="Q3318" s="394"/>
      <c r="R3318" s="381"/>
      <c r="S3318" s="408"/>
      <c r="T3318" s="385"/>
      <c r="U3318" s="475"/>
      <c r="V3318" s="395"/>
      <c r="W3318" s="395"/>
      <c r="X3318" s="528"/>
      <c r="Y3318" s="523"/>
      <c r="Z3318" s="393"/>
      <c r="AA3318" s="394"/>
      <c r="AB3318" s="394"/>
      <c r="AC3318" s="394"/>
      <c r="AD3318" s="394"/>
      <c r="AE3318" s="394"/>
      <c r="AF3318" s="394"/>
      <c r="AG3318" s="394"/>
      <c r="AH3318" s="394"/>
      <c r="AI3318" s="394"/>
      <c r="AJ3318" s="394"/>
      <c r="AK3318" s="381"/>
      <c r="AL3318" s="408"/>
      <c r="AM3318" s="385"/>
      <c r="AN3318" s="475"/>
      <c r="AO3318" s="395"/>
      <c r="AP3318" s="395"/>
      <c r="AQ3318" s="528"/>
      <c r="AR3318" s="523">
        <v>1</v>
      </c>
      <c r="AS3318" s="393"/>
      <c r="AT3318" s="600">
        <v>15.237030000000001</v>
      </c>
      <c r="AU3318" s="394">
        <v>13.372019999999999</v>
      </c>
      <c r="AV3318" s="394">
        <v>13.365869999999999</v>
      </c>
      <c r="AW3318" s="394"/>
      <c r="AX3318" s="394"/>
      <c r="AY3318" s="394">
        <v>0</v>
      </c>
      <c r="AZ3318" s="394">
        <v>0</v>
      </c>
      <c r="BA3318" s="394">
        <v>0.43479000000000001</v>
      </c>
      <c r="BB3318" s="394">
        <v>13.365869999999999</v>
      </c>
      <c r="BC3318" s="394"/>
      <c r="BD3318" s="381" t="s">
        <v>167</v>
      </c>
      <c r="BE3318" s="408" t="s">
        <v>175</v>
      </c>
      <c r="BF3318" s="385"/>
      <c r="BG3318" s="475">
        <v>1280</v>
      </c>
      <c r="BH3318" s="395"/>
      <c r="BI3318" s="395">
        <f t="shared" si="1265"/>
        <v>15.237030000000001</v>
      </c>
    </row>
    <row r="3319" spans="1:61" s="358" customFormat="1" ht="19.2" x14ac:dyDescent="0.3">
      <c r="A3319" s="359" t="s">
        <v>4438</v>
      </c>
      <c r="B3319" s="602" t="s">
        <v>6214</v>
      </c>
      <c r="C3319" s="548" t="s">
        <v>6215</v>
      </c>
      <c r="D3319" s="360">
        <v>0.4</v>
      </c>
      <c r="E3319" s="528"/>
      <c r="F3319" s="523"/>
      <c r="G3319" s="393"/>
      <c r="H3319" s="394"/>
      <c r="I3319" s="394"/>
      <c r="J3319" s="394"/>
      <c r="K3319" s="394"/>
      <c r="L3319" s="394"/>
      <c r="M3319" s="394"/>
      <c r="N3319" s="394"/>
      <c r="O3319" s="394"/>
      <c r="P3319" s="394"/>
      <c r="Q3319" s="394"/>
      <c r="R3319" s="381"/>
      <c r="S3319" s="408"/>
      <c r="T3319" s="385"/>
      <c r="U3319" s="475"/>
      <c r="V3319" s="395"/>
      <c r="W3319" s="395"/>
      <c r="X3319" s="528"/>
      <c r="Y3319" s="523"/>
      <c r="Z3319" s="393"/>
      <c r="AA3319" s="394"/>
      <c r="AB3319" s="394"/>
      <c r="AC3319" s="394"/>
      <c r="AD3319" s="394"/>
      <c r="AE3319" s="394"/>
      <c r="AF3319" s="394"/>
      <c r="AG3319" s="394"/>
      <c r="AH3319" s="394"/>
      <c r="AI3319" s="394"/>
      <c r="AJ3319" s="394"/>
      <c r="AK3319" s="381"/>
      <c r="AL3319" s="408"/>
      <c r="AM3319" s="385"/>
      <c r="AN3319" s="475"/>
      <c r="AO3319" s="395"/>
      <c r="AP3319" s="395"/>
      <c r="AQ3319" s="528"/>
      <c r="AR3319" s="523">
        <v>1</v>
      </c>
      <c r="AS3319" s="393"/>
      <c r="AT3319" s="600">
        <v>19.57198</v>
      </c>
      <c r="AU3319" s="394">
        <v>16.321000000000002</v>
      </c>
      <c r="AV3319" s="394">
        <v>15.333270000000001</v>
      </c>
      <c r="AW3319" s="394"/>
      <c r="AX3319" s="394"/>
      <c r="AY3319" s="394">
        <v>0</v>
      </c>
      <c r="AZ3319" s="394">
        <v>0</v>
      </c>
      <c r="BA3319" s="394">
        <v>0.75790000000000002</v>
      </c>
      <c r="BB3319" s="394">
        <v>15.333270000000001</v>
      </c>
      <c r="BC3319" s="394"/>
      <c r="BD3319" s="381" t="s">
        <v>167</v>
      </c>
      <c r="BE3319" s="408" t="s">
        <v>175</v>
      </c>
      <c r="BF3319" s="385"/>
      <c r="BG3319" s="475">
        <v>1281</v>
      </c>
      <c r="BH3319" s="395"/>
      <c r="BI3319" s="395">
        <f t="shared" ref="BI3319" si="1302">AT3319/AR3319</f>
        <v>19.57198</v>
      </c>
    </row>
    <row r="3320" spans="1:61" s="358" customFormat="1" ht="19.2" x14ac:dyDescent="0.3">
      <c r="A3320" s="359" t="s">
        <v>4439</v>
      </c>
      <c r="B3320" s="602" t="s">
        <v>6216</v>
      </c>
      <c r="C3320" s="548" t="s">
        <v>6217</v>
      </c>
      <c r="D3320" s="360">
        <v>0.4</v>
      </c>
      <c r="E3320" s="528"/>
      <c r="F3320" s="523"/>
      <c r="G3320" s="393"/>
      <c r="H3320" s="394"/>
      <c r="I3320" s="394"/>
      <c r="J3320" s="394"/>
      <c r="K3320" s="394"/>
      <c r="L3320" s="394"/>
      <c r="M3320" s="394"/>
      <c r="N3320" s="394"/>
      <c r="O3320" s="394"/>
      <c r="P3320" s="394"/>
      <c r="Q3320" s="394"/>
      <c r="R3320" s="381"/>
      <c r="S3320" s="408"/>
      <c r="T3320" s="385"/>
      <c r="U3320" s="475"/>
      <c r="V3320" s="395"/>
      <c r="W3320" s="395"/>
      <c r="X3320" s="528"/>
      <c r="Y3320" s="523"/>
      <c r="Z3320" s="393"/>
      <c r="AA3320" s="394"/>
      <c r="AB3320" s="394"/>
      <c r="AC3320" s="394"/>
      <c r="AD3320" s="394"/>
      <c r="AE3320" s="394"/>
      <c r="AF3320" s="394"/>
      <c r="AG3320" s="394"/>
      <c r="AH3320" s="394"/>
      <c r="AI3320" s="394"/>
      <c r="AJ3320" s="394"/>
      <c r="AK3320" s="381"/>
      <c r="AL3320" s="408"/>
      <c r="AM3320" s="385"/>
      <c r="AN3320" s="475"/>
      <c r="AO3320" s="395"/>
      <c r="AP3320" s="395"/>
      <c r="AQ3320" s="528"/>
      <c r="AR3320" s="523">
        <v>1</v>
      </c>
      <c r="AS3320" s="393"/>
      <c r="AT3320" s="600">
        <v>19.57198</v>
      </c>
      <c r="AU3320" s="394">
        <v>16.321000000000002</v>
      </c>
      <c r="AV3320" s="394">
        <v>15.333270000000001</v>
      </c>
      <c r="AW3320" s="394"/>
      <c r="AX3320" s="394"/>
      <c r="AY3320" s="394">
        <v>0</v>
      </c>
      <c r="AZ3320" s="394">
        <v>0</v>
      </c>
      <c r="BA3320" s="394">
        <v>0.75790000000000002</v>
      </c>
      <c r="BB3320" s="394">
        <v>15.333270000000001</v>
      </c>
      <c r="BC3320" s="394"/>
      <c r="BD3320" s="381" t="s">
        <v>167</v>
      </c>
      <c r="BE3320" s="408" t="s">
        <v>175</v>
      </c>
      <c r="BF3320" s="385"/>
      <c r="BG3320" s="475">
        <v>1282</v>
      </c>
      <c r="BH3320" s="395"/>
      <c r="BI3320" s="395">
        <f t="shared" si="1265"/>
        <v>19.57198</v>
      </c>
    </row>
    <row r="3321" spans="1:61" s="358" customFormat="1" ht="19.2" x14ac:dyDescent="0.3">
      <c r="A3321" s="359" t="s">
        <v>4440</v>
      </c>
      <c r="B3321" s="602" t="s">
        <v>6218</v>
      </c>
      <c r="C3321" s="548" t="s">
        <v>6219</v>
      </c>
      <c r="D3321" s="360">
        <v>0.4</v>
      </c>
      <c r="E3321" s="528"/>
      <c r="F3321" s="523"/>
      <c r="G3321" s="393"/>
      <c r="H3321" s="394"/>
      <c r="I3321" s="394"/>
      <c r="J3321" s="394"/>
      <c r="K3321" s="394"/>
      <c r="L3321" s="394"/>
      <c r="M3321" s="394"/>
      <c r="N3321" s="394"/>
      <c r="O3321" s="394"/>
      <c r="P3321" s="394"/>
      <c r="Q3321" s="394"/>
      <c r="R3321" s="381"/>
      <c r="S3321" s="408"/>
      <c r="T3321" s="385"/>
      <c r="U3321" s="475"/>
      <c r="V3321" s="395"/>
      <c r="W3321" s="395"/>
      <c r="X3321" s="528"/>
      <c r="Y3321" s="523"/>
      <c r="Z3321" s="393"/>
      <c r="AA3321" s="394"/>
      <c r="AB3321" s="394"/>
      <c r="AC3321" s="394"/>
      <c r="AD3321" s="394"/>
      <c r="AE3321" s="394"/>
      <c r="AF3321" s="394"/>
      <c r="AG3321" s="394"/>
      <c r="AH3321" s="394"/>
      <c r="AI3321" s="394"/>
      <c r="AJ3321" s="394"/>
      <c r="AK3321" s="381"/>
      <c r="AL3321" s="408"/>
      <c r="AM3321" s="385"/>
      <c r="AN3321" s="475"/>
      <c r="AO3321" s="395"/>
      <c r="AP3321" s="395"/>
      <c r="AQ3321" s="528"/>
      <c r="AR3321" s="523">
        <v>1</v>
      </c>
      <c r="AS3321" s="393"/>
      <c r="AT3321" s="600">
        <v>19.571960000000001</v>
      </c>
      <c r="AU3321" s="394">
        <v>16.320979999999999</v>
      </c>
      <c r="AV3321" s="394">
        <v>15.333270000000001</v>
      </c>
      <c r="AW3321" s="394"/>
      <c r="AX3321" s="394"/>
      <c r="AY3321" s="394">
        <v>0</v>
      </c>
      <c r="AZ3321" s="394">
        <v>0</v>
      </c>
      <c r="BA3321" s="394">
        <v>0.75790000000000002</v>
      </c>
      <c r="BB3321" s="394">
        <v>15.333270000000001</v>
      </c>
      <c r="BC3321" s="394"/>
      <c r="BD3321" s="381" t="s">
        <v>167</v>
      </c>
      <c r="BE3321" s="408" t="s">
        <v>175</v>
      </c>
      <c r="BF3321" s="385"/>
      <c r="BG3321" s="475">
        <v>1283</v>
      </c>
      <c r="BH3321" s="395"/>
      <c r="BI3321" s="395">
        <f t="shared" ref="BI3321" si="1303">AT3321/AR3321</f>
        <v>19.571960000000001</v>
      </c>
    </row>
    <row r="3322" spans="1:61" s="358" customFormat="1" ht="19.2" x14ac:dyDescent="0.3">
      <c r="A3322" s="359" t="s">
        <v>4441</v>
      </c>
      <c r="B3322" s="602" t="s">
        <v>6220</v>
      </c>
      <c r="C3322" s="548" t="s">
        <v>6221</v>
      </c>
      <c r="D3322" s="360">
        <v>0.4</v>
      </c>
      <c r="E3322" s="528"/>
      <c r="F3322" s="523"/>
      <c r="G3322" s="393"/>
      <c r="H3322" s="394"/>
      <c r="I3322" s="394"/>
      <c r="J3322" s="394"/>
      <c r="K3322" s="394"/>
      <c r="L3322" s="394"/>
      <c r="M3322" s="394"/>
      <c r="N3322" s="394"/>
      <c r="O3322" s="394"/>
      <c r="P3322" s="394"/>
      <c r="Q3322" s="394"/>
      <c r="R3322" s="381"/>
      <c r="S3322" s="408"/>
      <c r="T3322" s="385"/>
      <c r="U3322" s="475"/>
      <c r="V3322" s="395"/>
      <c r="W3322" s="395"/>
      <c r="X3322" s="528"/>
      <c r="Y3322" s="523"/>
      <c r="Z3322" s="393"/>
      <c r="AA3322" s="394"/>
      <c r="AB3322" s="394"/>
      <c r="AC3322" s="394"/>
      <c r="AD3322" s="394"/>
      <c r="AE3322" s="394"/>
      <c r="AF3322" s="394"/>
      <c r="AG3322" s="394"/>
      <c r="AH3322" s="394"/>
      <c r="AI3322" s="394"/>
      <c r="AJ3322" s="394"/>
      <c r="AK3322" s="381"/>
      <c r="AL3322" s="408"/>
      <c r="AM3322" s="385"/>
      <c r="AN3322" s="475"/>
      <c r="AO3322" s="395"/>
      <c r="AP3322" s="395"/>
      <c r="AQ3322" s="528"/>
      <c r="AR3322" s="523">
        <v>1</v>
      </c>
      <c r="AS3322" s="393"/>
      <c r="AT3322" s="600">
        <v>19.57197</v>
      </c>
      <c r="AU3322" s="394">
        <v>16.320989999999998</v>
      </c>
      <c r="AV3322" s="394">
        <v>15.333270000000001</v>
      </c>
      <c r="AW3322" s="394"/>
      <c r="AX3322" s="394"/>
      <c r="AY3322" s="394">
        <v>0</v>
      </c>
      <c r="AZ3322" s="394">
        <v>0</v>
      </c>
      <c r="BA3322" s="394">
        <v>0.75790000000000002</v>
      </c>
      <c r="BB3322" s="394">
        <v>15.333270000000001</v>
      </c>
      <c r="BC3322" s="394"/>
      <c r="BD3322" s="381" t="s">
        <v>167</v>
      </c>
      <c r="BE3322" s="408" t="s">
        <v>175</v>
      </c>
      <c r="BF3322" s="385"/>
      <c r="BG3322" s="475">
        <v>1284</v>
      </c>
      <c r="BH3322" s="395"/>
      <c r="BI3322" s="395">
        <f t="shared" si="1265"/>
        <v>19.57197</v>
      </c>
    </row>
    <row r="3323" spans="1:61" s="358" customFormat="1" ht="19.2" x14ac:dyDescent="0.3">
      <c r="A3323" s="359" t="s">
        <v>4442</v>
      </c>
      <c r="B3323" s="602" t="s">
        <v>6222</v>
      </c>
      <c r="C3323" s="548" t="s">
        <v>6223</v>
      </c>
      <c r="D3323" s="360">
        <v>0.4</v>
      </c>
      <c r="E3323" s="528"/>
      <c r="F3323" s="523"/>
      <c r="G3323" s="393"/>
      <c r="H3323" s="394"/>
      <c r="I3323" s="394"/>
      <c r="J3323" s="394"/>
      <c r="K3323" s="394"/>
      <c r="L3323" s="394"/>
      <c r="M3323" s="394"/>
      <c r="N3323" s="394"/>
      <c r="O3323" s="394"/>
      <c r="P3323" s="394"/>
      <c r="Q3323" s="394"/>
      <c r="R3323" s="381"/>
      <c r="S3323" s="408"/>
      <c r="T3323" s="385"/>
      <c r="U3323" s="475"/>
      <c r="V3323" s="395"/>
      <c r="W3323" s="395"/>
      <c r="X3323" s="528"/>
      <c r="Y3323" s="523"/>
      <c r="Z3323" s="393"/>
      <c r="AA3323" s="394"/>
      <c r="AB3323" s="394"/>
      <c r="AC3323" s="394"/>
      <c r="AD3323" s="394"/>
      <c r="AE3323" s="394"/>
      <c r="AF3323" s="394"/>
      <c r="AG3323" s="394"/>
      <c r="AH3323" s="394"/>
      <c r="AI3323" s="394"/>
      <c r="AJ3323" s="394"/>
      <c r="AK3323" s="381"/>
      <c r="AL3323" s="408"/>
      <c r="AM3323" s="385"/>
      <c r="AN3323" s="475"/>
      <c r="AO3323" s="395"/>
      <c r="AP3323" s="395"/>
      <c r="AQ3323" s="528"/>
      <c r="AR3323" s="523">
        <v>1</v>
      </c>
      <c r="AS3323" s="393"/>
      <c r="AT3323" s="600">
        <v>19.57197</v>
      </c>
      <c r="AU3323" s="394">
        <v>16.320989999999998</v>
      </c>
      <c r="AV3323" s="394">
        <v>15.333270000000001</v>
      </c>
      <c r="AW3323" s="394"/>
      <c r="AX3323" s="394"/>
      <c r="AY3323" s="394">
        <v>0</v>
      </c>
      <c r="AZ3323" s="394">
        <v>0</v>
      </c>
      <c r="BA3323" s="394">
        <v>0.75790000000000002</v>
      </c>
      <c r="BB3323" s="394">
        <v>15.333270000000001</v>
      </c>
      <c r="BC3323" s="394"/>
      <c r="BD3323" s="381" t="s">
        <v>167</v>
      </c>
      <c r="BE3323" s="408" t="s">
        <v>175</v>
      </c>
      <c r="BF3323" s="385"/>
      <c r="BG3323" s="475">
        <v>1285</v>
      </c>
      <c r="BH3323" s="395"/>
      <c r="BI3323" s="395">
        <f t="shared" ref="BI3323" si="1304">AT3323/AR3323</f>
        <v>19.57197</v>
      </c>
    </row>
    <row r="3324" spans="1:61" s="358" customFormat="1" ht="19.2" x14ac:dyDescent="0.3">
      <c r="A3324" s="359" t="s">
        <v>4443</v>
      </c>
      <c r="B3324" s="602" t="s">
        <v>6224</v>
      </c>
      <c r="C3324" s="548" t="s">
        <v>6225</v>
      </c>
      <c r="D3324" s="360">
        <v>0.4</v>
      </c>
      <c r="E3324" s="528"/>
      <c r="F3324" s="523"/>
      <c r="G3324" s="393"/>
      <c r="H3324" s="394"/>
      <c r="I3324" s="394"/>
      <c r="J3324" s="394"/>
      <c r="K3324" s="394"/>
      <c r="L3324" s="394"/>
      <c r="M3324" s="394"/>
      <c r="N3324" s="394"/>
      <c r="O3324" s="394"/>
      <c r="P3324" s="394"/>
      <c r="Q3324" s="394"/>
      <c r="R3324" s="381"/>
      <c r="S3324" s="408"/>
      <c r="T3324" s="385"/>
      <c r="U3324" s="475"/>
      <c r="V3324" s="395"/>
      <c r="W3324" s="395"/>
      <c r="X3324" s="528"/>
      <c r="Y3324" s="523"/>
      <c r="Z3324" s="393"/>
      <c r="AA3324" s="394"/>
      <c r="AB3324" s="394"/>
      <c r="AC3324" s="394"/>
      <c r="AD3324" s="394"/>
      <c r="AE3324" s="394"/>
      <c r="AF3324" s="394"/>
      <c r="AG3324" s="394"/>
      <c r="AH3324" s="394"/>
      <c r="AI3324" s="394"/>
      <c r="AJ3324" s="394"/>
      <c r="AK3324" s="381"/>
      <c r="AL3324" s="408"/>
      <c r="AM3324" s="385"/>
      <c r="AN3324" s="475"/>
      <c r="AO3324" s="395"/>
      <c r="AP3324" s="395"/>
      <c r="AQ3324" s="528"/>
      <c r="AR3324" s="523">
        <v>1</v>
      </c>
      <c r="AS3324" s="393"/>
      <c r="AT3324" s="600">
        <v>19.571950000000001</v>
      </c>
      <c r="AU3324" s="394">
        <v>16.320969999999999</v>
      </c>
      <c r="AV3324" s="394">
        <v>15.333270000000001</v>
      </c>
      <c r="AW3324" s="394"/>
      <c r="AX3324" s="394"/>
      <c r="AY3324" s="394">
        <v>0</v>
      </c>
      <c r="AZ3324" s="394">
        <v>0</v>
      </c>
      <c r="BA3324" s="394">
        <v>0.75790000000000002</v>
      </c>
      <c r="BB3324" s="394">
        <v>15.333270000000001</v>
      </c>
      <c r="BC3324" s="394"/>
      <c r="BD3324" s="381" t="s">
        <v>167</v>
      </c>
      <c r="BE3324" s="408" t="s">
        <v>175</v>
      </c>
      <c r="BF3324" s="385"/>
      <c r="BG3324" s="475">
        <v>1286</v>
      </c>
      <c r="BH3324" s="395"/>
      <c r="BI3324" s="395">
        <f t="shared" si="1265"/>
        <v>19.571950000000001</v>
      </c>
    </row>
    <row r="3325" spans="1:61" s="358" customFormat="1" ht="19.2" x14ac:dyDescent="0.3">
      <c r="A3325" s="359" t="s">
        <v>4444</v>
      </c>
      <c r="B3325" s="602" t="s">
        <v>6224</v>
      </c>
      <c r="C3325" s="548" t="s">
        <v>6226</v>
      </c>
      <c r="D3325" s="360">
        <v>0.4</v>
      </c>
      <c r="E3325" s="528"/>
      <c r="F3325" s="523"/>
      <c r="G3325" s="393"/>
      <c r="H3325" s="394"/>
      <c r="I3325" s="394"/>
      <c r="J3325" s="394"/>
      <c r="K3325" s="394"/>
      <c r="L3325" s="394"/>
      <c r="M3325" s="394"/>
      <c r="N3325" s="394"/>
      <c r="O3325" s="394"/>
      <c r="P3325" s="394"/>
      <c r="Q3325" s="394"/>
      <c r="R3325" s="381"/>
      <c r="S3325" s="408"/>
      <c r="T3325" s="385"/>
      <c r="U3325" s="475"/>
      <c r="V3325" s="395"/>
      <c r="W3325" s="395"/>
      <c r="X3325" s="528"/>
      <c r="Y3325" s="523"/>
      <c r="Z3325" s="393"/>
      <c r="AA3325" s="394"/>
      <c r="AB3325" s="394"/>
      <c r="AC3325" s="394"/>
      <c r="AD3325" s="394"/>
      <c r="AE3325" s="394"/>
      <c r="AF3325" s="394"/>
      <c r="AG3325" s="394"/>
      <c r="AH3325" s="394"/>
      <c r="AI3325" s="394"/>
      <c r="AJ3325" s="394"/>
      <c r="AK3325" s="381"/>
      <c r="AL3325" s="408"/>
      <c r="AM3325" s="385"/>
      <c r="AN3325" s="475"/>
      <c r="AO3325" s="395"/>
      <c r="AP3325" s="395"/>
      <c r="AQ3325" s="528"/>
      <c r="AR3325" s="523">
        <v>1</v>
      </c>
      <c r="AS3325" s="393"/>
      <c r="AT3325" s="600">
        <v>19.57198</v>
      </c>
      <c r="AU3325" s="394">
        <v>16.321000000000002</v>
      </c>
      <c r="AV3325" s="394">
        <v>15.333270000000001</v>
      </c>
      <c r="AW3325" s="394"/>
      <c r="AX3325" s="394"/>
      <c r="AY3325" s="394">
        <v>0</v>
      </c>
      <c r="AZ3325" s="394">
        <v>0</v>
      </c>
      <c r="BA3325" s="394">
        <v>0.75790000000000002</v>
      </c>
      <c r="BB3325" s="394">
        <v>15.333270000000001</v>
      </c>
      <c r="BC3325" s="394"/>
      <c r="BD3325" s="381" t="s">
        <v>167</v>
      </c>
      <c r="BE3325" s="408" t="s">
        <v>175</v>
      </c>
      <c r="BF3325" s="385"/>
      <c r="BG3325" s="475">
        <v>1287</v>
      </c>
      <c r="BH3325" s="395"/>
      <c r="BI3325" s="395">
        <f t="shared" ref="BI3325" si="1305">AT3325/AR3325</f>
        <v>19.57198</v>
      </c>
    </row>
    <row r="3326" spans="1:61" s="358" customFormat="1" ht="19.2" x14ac:dyDescent="0.3">
      <c r="A3326" s="359" t="s">
        <v>4445</v>
      </c>
      <c r="B3326" s="602" t="s">
        <v>6227</v>
      </c>
      <c r="C3326" s="548" t="s">
        <v>6228</v>
      </c>
      <c r="D3326" s="360">
        <v>0.4</v>
      </c>
      <c r="E3326" s="528"/>
      <c r="F3326" s="523"/>
      <c r="G3326" s="393"/>
      <c r="H3326" s="394"/>
      <c r="I3326" s="394"/>
      <c r="J3326" s="394"/>
      <c r="K3326" s="394"/>
      <c r="L3326" s="394"/>
      <c r="M3326" s="394"/>
      <c r="N3326" s="394"/>
      <c r="O3326" s="394"/>
      <c r="P3326" s="394"/>
      <c r="Q3326" s="394"/>
      <c r="R3326" s="381"/>
      <c r="S3326" s="408"/>
      <c r="T3326" s="385"/>
      <c r="U3326" s="475"/>
      <c r="V3326" s="395"/>
      <c r="W3326" s="395"/>
      <c r="X3326" s="528"/>
      <c r="Y3326" s="523"/>
      <c r="Z3326" s="393"/>
      <c r="AA3326" s="394"/>
      <c r="AB3326" s="394"/>
      <c r="AC3326" s="394"/>
      <c r="AD3326" s="394"/>
      <c r="AE3326" s="394"/>
      <c r="AF3326" s="394"/>
      <c r="AG3326" s="394"/>
      <c r="AH3326" s="394"/>
      <c r="AI3326" s="394"/>
      <c r="AJ3326" s="394"/>
      <c r="AK3326" s="381"/>
      <c r="AL3326" s="408"/>
      <c r="AM3326" s="385"/>
      <c r="AN3326" s="475"/>
      <c r="AO3326" s="395"/>
      <c r="AP3326" s="395"/>
      <c r="AQ3326" s="528"/>
      <c r="AR3326" s="523">
        <v>1</v>
      </c>
      <c r="AS3326" s="393"/>
      <c r="AT3326" s="600">
        <v>19.57198</v>
      </c>
      <c r="AU3326" s="394">
        <v>16.321000000000002</v>
      </c>
      <c r="AV3326" s="394">
        <v>15.333270000000001</v>
      </c>
      <c r="AW3326" s="394"/>
      <c r="AX3326" s="394"/>
      <c r="AY3326" s="394">
        <v>0</v>
      </c>
      <c r="AZ3326" s="394">
        <v>0</v>
      </c>
      <c r="BA3326" s="394">
        <v>0.75790000000000002</v>
      </c>
      <c r="BB3326" s="394">
        <v>15.333270000000001</v>
      </c>
      <c r="BC3326" s="394"/>
      <c r="BD3326" s="381" t="s">
        <v>167</v>
      </c>
      <c r="BE3326" s="408" t="s">
        <v>175</v>
      </c>
      <c r="BF3326" s="385"/>
      <c r="BG3326" s="475">
        <v>1288</v>
      </c>
      <c r="BH3326" s="395"/>
      <c r="BI3326" s="395">
        <f t="shared" si="1265"/>
        <v>19.57198</v>
      </c>
    </row>
    <row r="3327" spans="1:61" s="358" customFormat="1" x14ac:dyDescent="0.3">
      <c r="A3327" s="359"/>
      <c r="B3327" s="378"/>
      <c r="C3327" s="546"/>
      <c r="D3327" s="360"/>
      <c r="E3327" s="393"/>
      <c r="F3327" s="523"/>
      <c r="G3327" s="393"/>
      <c r="H3327" s="394"/>
      <c r="I3327" s="394"/>
      <c r="J3327" s="394"/>
      <c r="K3327" s="394"/>
      <c r="L3327" s="394"/>
      <c r="M3327" s="394"/>
      <c r="N3327" s="394"/>
      <c r="O3327" s="394"/>
      <c r="P3327" s="394"/>
      <c r="Q3327" s="394"/>
      <c r="R3327" s="385"/>
      <c r="S3327" s="385"/>
      <c r="T3327" s="385"/>
      <c r="U3327" s="475"/>
      <c r="V3327" s="395"/>
      <c r="W3327" s="395" t="e">
        <f t="shared" si="1003"/>
        <v>#DIV/0!</v>
      </c>
      <c r="X3327" s="393"/>
      <c r="Y3327" s="523"/>
      <c r="Z3327" s="393"/>
      <c r="AA3327" s="394"/>
      <c r="AB3327" s="394"/>
      <c r="AC3327" s="394"/>
      <c r="AD3327" s="394"/>
      <c r="AE3327" s="394"/>
      <c r="AF3327" s="394"/>
      <c r="AG3327" s="394"/>
      <c r="AH3327" s="394"/>
      <c r="AI3327" s="394"/>
      <c r="AJ3327" s="394"/>
      <c r="AK3327" s="385"/>
      <c r="AL3327" s="385"/>
      <c r="AM3327" s="385"/>
      <c r="AN3327" s="475"/>
      <c r="AO3327" s="395"/>
      <c r="AP3327" s="395" t="e">
        <f t="shared" si="1058"/>
        <v>#DIV/0!</v>
      </c>
      <c r="AQ3327" s="393"/>
      <c r="AR3327" s="523"/>
      <c r="AS3327" s="393"/>
      <c r="AT3327" s="394"/>
      <c r="AU3327" s="394"/>
      <c r="AV3327" s="394"/>
      <c r="AW3327" s="394"/>
      <c r="AX3327" s="394"/>
      <c r="AY3327" s="394"/>
      <c r="AZ3327" s="394"/>
      <c r="BA3327" s="394"/>
      <c r="BB3327" s="394"/>
      <c r="BC3327" s="394"/>
      <c r="BD3327" s="385"/>
      <c r="BE3327" s="385"/>
      <c r="BF3327" s="385"/>
      <c r="BG3327" s="475"/>
      <c r="BH3327" s="395"/>
      <c r="BI3327" s="395" t="e">
        <f t="shared" si="1059"/>
        <v>#DIV/0!</v>
      </c>
    </row>
    <row r="3328" spans="1:61" s="358" customFormat="1" ht="57.6" x14ac:dyDescent="0.3">
      <c r="A3328" s="508" t="s">
        <v>6338</v>
      </c>
      <c r="B3328" s="516" t="s">
        <v>6336</v>
      </c>
      <c r="C3328" s="594"/>
      <c r="D3328" s="515">
        <v>0.4</v>
      </c>
      <c r="E3328" s="509">
        <f t="shared" ref="E3328:Q3328" si="1306">SUM(E3329:E3459)</f>
        <v>0</v>
      </c>
      <c r="F3328" s="509">
        <f t="shared" si="1306"/>
        <v>32</v>
      </c>
      <c r="G3328" s="509">
        <f t="shared" si="1306"/>
        <v>0</v>
      </c>
      <c r="H3328" s="510">
        <f t="shared" si="1306"/>
        <v>869.16361000000006</v>
      </c>
      <c r="I3328" s="510">
        <f t="shared" si="1306"/>
        <v>612.75450999999998</v>
      </c>
      <c r="J3328" s="510">
        <f t="shared" si="1306"/>
        <v>333.12485000000009</v>
      </c>
      <c r="K3328" s="510">
        <f t="shared" si="1306"/>
        <v>0</v>
      </c>
      <c r="L3328" s="510">
        <f t="shared" si="1306"/>
        <v>0</v>
      </c>
      <c r="M3328" s="510">
        <f t="shared" si="1306"/>
        <v>0</v>
      </c>
      <c r="N3328" s="510">
        <f t="shared" si="1306"/>
        <v>0</v>
      </c>
      <c r="O3328" s="510">
        <f t="shared" si="1306"/>
        <v>59.772200000000012</v>
      </c>
      <c r="P3328" s="510">
        <f t="shared" si="1306"/>
        <v>273.33327000000008</v>
      </c>
      <c r="Q3328" s="510">
        <f t="shared" si="1306"/>
        <v>0</v>
      </c>
      <c r="R3328" s="511"/>
      <c r="S3328" s="511"/>
      <c r="T3328" s="511"/>
      <c r="U3328" s="512"/>
      <c r="V3328" s="513"/>
      <c r="W3328" s="513">
        <f t="shared" si="1003"/>
        <v>27.161362812500002</v>
      </c>
      <c r="X3328" s="509">
        <f t="shared" ref="X3328:AJ3328" si="1307">SUM(X3329:X3459)</f>
        <v>0</v>
      </c>
      <c r="Y3328" s="509">
        <f t="shared" si="1307"/>
        <v>42</v>
      </c>
      <c r="Z3328" s="509">
        <f t="shared" si="1307"/>
        <v>0</v>
      </c>
      <c r="AA3328" s="510">
        <f t="shared" si="1307"/>
        <v>1187.8167399999998</v>
      </c>
      <c r="AB3328" s="510">
        <f t="shared" si="1307"/>
        <v>866.39168000000018</v>
      </c>
      <c r="AC3328" s="510">
        <f t="shared" si="1307"/>
        <v>521.49486000000013</v>
      </c>
      <c r="AD3328" s="510">
        <f t="shared" si="1307"/>
        <v>209.88350999999997</v>
      </c>
      <c r="AE3328" s="510">
        <f t="shared" si="1307"/>
        <v>0</v>
      </c>
      <c r="AF3328" s="510">
        <f t="shared" si="1307"/>
        <v>0</v>
      </c>
      <c r="AG3328" s="510">
        <f t="shared" si="1307"/>
        <v>0</v>
      </c>
      <c r="AH3328" s="510">
        <f t="shared" si="1307"/>
        <v>73.464679999999987</v>
      </c>
      <c r="AI3328" s="510">
        <f t="shared" si="1307"/>
        <v>416.51664000000011</v>
      </c>
      <c r="AJ3328" s="510">
        <f t="shared" si="1307"/>
        <v>79.29454000000004</v>
      </c>
      <c r="AK3328" s="511"/>
      <c r="AL3328" s="511"/>
      <c r="AM3328" s="511"/>
      <c r="AN3328" s="512"/>
      <c r="AO3328" s="513"/>
      <c r="AP3328" s="513">
        <f t="shared" si="1058"/>
        <v>28.281350952380947</v>
      </c>
      <c r="AQ3328" s="509">
        <f t="shared" ref="AQ3328:BC3328" si="1308">SUM(AQ3329:AQ3459)</f>
        <v>0</v>
      </c>
      <c r="AR3328" s="509">
        <f t="shared" si="1308"/>
        <v>56</v>
      </c>
      <c r="AS3328" s="509">
        <f t="shared" si="1308"/>
        <v>0</v>
      </c>
      <c r="AT3328" s="510">
        <f t="shared" si="1308"/>
        <v>1358.8844599999998</v>
      </c>
      <c r="AU3328" s="510">
        <f t="shared" si="1308"/>
        <v>968.25948000000005</v>
      </c>
      <c r="AV3328" s="510">
        <f t="shared" si="1308"/>
        <v>558.43452000000025</v>
      </c>
      <c r="AW3328" s="510">
        <f t="shared" si="1308"/>
        <v>190.39776000000001</v>
      </c>
      <c r="AX3328" s="510">
        <f t="shared" si="1308"/>
        <v>0</v>
      </c>
      <c r="AY3328" s="510">
        <f t="shared" si="1308"/>
        <v>0</v>
      </c>
      <c r="AZ3328" s="510">
        <f t="shared" si="1308"/>
        <v>0</v>
      </c>
      <c r="BA3328" s="510">
        <f t="shared" si="1308"/>
        <v>91.065880000000007</v>
      </c>
      <c r="BB3328" s="510">
        <f t="shared" si="1308"/>
        <v>537.17469000000006</v>
      </c>
      <c r="BC3328" s="510">
        <f t="shared" si="1308"/>
        <v>59.458200000000033</v>
      </c>
      <c r="BD3328" s="511"/>
      <c r="BE3328" s="511"/>
      <c r="BF3328" s="511"/>
      <c r="BG3328" s="512"/>
      <c r="BH3328" s="513"/>
      <c r="BI3328" s="513">
        <f t="shared" si="1059"/>
        <v>24.265793928571423</v>
      </c>
    </row>
    <row r="3329" spans="1:61" s="358" customFormat="1" ht="19.2" x14ac:dyDescent="0.3">
      <c r="A3329" s="359"/>
      <c r="B3329" s="537" t="s">
        <v>1837</v>
      </c>
      <c r="C3329" s="546" t="s">
        <v>918</v>
      </c>
      <c r="D3329" s="360">
        <v>0.4</v>
      </c>
      <c r="E3329" s="393"/>
      <c r="F3329" s="497">
        <v>1</v>
      </c>
      <c r="G3329" s="497"/>
      <c r="H3329" s="544">
        <v>16.956659999999999</v>
      </c>
      <c r="I3329" s="394">
        <v>13.378629999999999</v>
      </c>
      <c r="J3329" s="394">
        <v>8.5416100000000004</v>
      </c>
      <c r="K3329" s="394"/>
      <c r="L3329" s="394"/>
      <c r="M3329" s="394">
        <v>0</v>
      </c>
      <c r="N3329" s="394">
        <v>0</v>
      </c>
      <c r="O3329" s="394">
        <v>0.83413999999999999</v>
      </c>
      <c r="P3329" s="394">
        <v>8.5416100000000004</v>
      </c>
      <c r="Q3329" s="394"/>
      <c r="R3329" s="381" t="s">
        <v>167</v>
      </c>
      <c r="S3329" s="408" t="s">
        <v>175</v>
      </c>
      <c r="T3329" s="385"/>
      <c r="U3329" s="475">
        <v>1040</v>
      </c>
      <c r="V3329" s="395"/>
      <c r="W3329" s="395">
        <f t="shared" ref="W3329:W3460" si="1309">H3329/F3329</f>
        <v>16.956659999999999</v>
      </c>
      <c r="X3329" s="393"/>
      <c r="Y3329" s="497"/>
      <c r="Z3329" s="497"/>
      <c r="AA3329" s="544"/>
      <c r="AB3329" s="394"/>
      <c r="AC3329" s="394"/>
      <c r="AD3329" s="394"/>
      <c r="AE3329" s="394"/>
      <c r="AF3329" s="394"/>
      <c r="AG3329" s="394"/>
      <c r="AH3329" s="394"/>
      <c r="AI3329" s="394"/>
      <c r="AJ3329" s="394"/>
      <c r="AK3329" s="381"/>
      <c r="AL3329" s="408"/>
      <c r="AM3329" s="385"/>
      <c r="AN3329" s="475"/>
      <c r="AO3329" s="395"/>
      <c r="AP3329" s="395" t="e">
        <f t="shared" si="1058"/>
        <v>#DIV/0!</v>
      </c>
      <c r="AQ3329" s="393"/>
      <c r="AR3329" s="497"/>
      <c r="AS3329" s="497"/>
      <c r="AT3329" s="544"/>
      <c r="AU3329" s="394"/>
      <c r="AV3329" s="394"/>
      <c r="AW3329" s="394"/>
      <c r="AX3329" s="394"/>
      <c r="AY3329" s="394"/>
      <c r="AZ3329" s="394"/>
      <c r="BA3329" s="394"/>
      <c r="BB3329" s="394"/>
      <c r="BC3329" s="394"/>
      <c r="BD3329" s="381"/>
      <c r="BE3329" s="408"/>
      <c r="BF3329" s="385"/>
      <c r="BG3329" s="475"/>
      <c r="BH3329" s="395"/>
      <c r="BI3329" s="395" t="e">
        <f t="shared" si="1059"/>
        <v>#DIV/0!</v>
      </c>
    </row>
    <row r="3330" spans="1:61" s="358" customFormat="1" ht="19.2" x14ac:dyDescent="0.3">
      <c r="A3330" s="359" t="s">
        <v>182</v>
      </c>
      <c r="B3330" s="537" t="s">
        <v>627</v>
      </c>
      <c r="C3330" s="546" t="s">
        <v>503</v>
      </c>
      <c r="D3330" s="360">
        <v>0.4</v>
      </c>
      <c r="E3330" s="393"/>
      <c r="F3330" s="497">
        <v>1</v>
      </c>
      <c r="G3330" s="497"/>
      <c r="H3330" s="544">
        <v>15.95434</v>
      </c>
      <c r="I3330" s="394">
        <v>12.376289999999999</v>
      </c>
      <c r="J3330" s="394">
        <v>8.5416699999999999</v>
      </c>
      <c r="K3330" s="394"/>
      <c r="L3330" s="394"/>
      <c r="M3330" s="394">
        <v>0</v>
      </c>
      <c r="N3330" s="394">
        <v>0</v>
      </c>
      <c r="O3330" s="394">
        <v>0.83413999999999999</v>
      </c>
      <c r="P3330" s="394">
        <v>8.5416699999999999</v>
      </c>
      <c r="Q3330" s="394"/>
      <c r="R3330" s="381" t="s">
        <v>167</v>
      </c>
      <c r="S3330" s="408" t="s">
        <v>175</v>
      </c>
      <c r="T3330" s="385"/>
      <c r="U3330" s="475">
        <v>1041</v>
      </c>
      <c r="V3330" s="395"/>
      <c r="W3330" s="395">
        <f t="shared" ref="W3330:W3360" si="1310">H3330/F3330</f>
        <v>15.95434</v>
      </c>
      <c r="X3330" s="393"/>
      <c r="Y3330" s="497"/>
      <c r="Z3330" s="497"/>
      <c r="AA3330" s="544"/>
      <c r="AB3330" s="394"/>
      <c r="AC3330" s="394"/>
      <c r="AD3330" s="394"/>
      <c r="AE3330" s="394"/>
      <c r="AF3330" s="394"/>
      <c r="AG3330" s="394"/>
      <c r="AH3330" s="394"/>
      <c r="AI3330" s="394"/>
      <c r="AJ3330" s="394"/>
      <c r="AK3330" s="381"/>
      <c r="AL3330" s="408"/>
      <c r="AM3330" s="385"/>
      <c r="AN3330" s="475"/>
      <c r="AO3330" s="395"/>
      <c r="AP3330" s="395" t="e">
        <f t="shared" si="1058"/>
        <v>#DIV/0!</v>
      </c>
      <c r="AQ3330" s="393"/>
      <c r="AR3330" s="497"/>
      <c r="AS3330" s="497"/>
      <c r="AT3330" s="544"/>
      <c r="AU3330" s="394"/>
      <c r="AV3330" s="394"/>
      <c r="AW3330" s="394"/>
      <c r="AX3330" s="394"/>
      <c r="AY3330" s="394"/>
      <c r="AZ3330" s="394"/>
      <c r="BA3330" s="394"/>
      <c r="BB3330" s="394"/>
      <c r="BC3330" s="394"/>
      <c r="BD3330" s="381"/>
      <c r="BE3330" s="408"/>
      <c r="BF3330" s="385"/>
      <c r="BG3330" s="475"/>
      <c r="BH3330" s="395"/>
      <c r="BI3330" s="395" t="e">
        <f t="shared" si="1059"/>
        <v>#DIV/0!</v>
      </c>
    </row>
    <row r="3331" spans="1:61" s="358" customFormat="1" ht="19.2" x14ac:dyDescent="0.3">
      <c r="A3331" s="359" t="s">
        <v>328</v>
      </c>
      <c r="B3331" s="537" t="s">
        <v>1838</v>
      </c>
      <c r="C3331" s="546" t="s">
        <v>942</v>
      </c>
      <c r="D3331" s="360">
        <v>0.4</v>
      </c>
      <c r="E3331" s="393"/>
      <c r="F3331" s="497">
        <v>1</v>
      </c>
      <c r="G3331" s="497"/>
      <c r="H3331" s="544">
        <v>23.564599999999999</v>
      </c>
      <c r="I3331" s="394">
        <v>16.485029999999998</v>
      </c>
      <c r="J3331" s="394">
        <v>8.5416699999999999</v>
      </c>
      <c r="K3331" s="394"/>
      <c r="L3331" s="394"/>
      <c r="M3331" s="394">
        <v>0</v>
      </c>
      <c r="N3331" s="394">
        <v>0</v>
      </c>
      <c r="O3331" s="394">
        <v>1.65045</v>
      </c>
      <c r="P3331" s="394">
        <v>8.5416699999999999</v>
      </c>
      <c r="Q3331" s="394"/>
      <c r="R3331" s="381" t="s">
        <v>167</v>
      </c>
      <c r="S3331" s="408" t="s">
        <v>175</v>
      </c>
      <c r="T3331" s="385"/>
      <c r="U3331" s="475">
        <v>1042</v>
      </c>
      <c r="V3331" s="395"/>
      <c r="W3331" s="395">
        <f t="shared" ref="W3331:W3337" si="1311">H3331/F3331</f>
        <v>23.564599999999999</v>
      </c>
      <c r="X3331" s="393"/>
      <c r="Y3331" s="497"/>
      <c r="Z3331" s="497"/>
      <c r="AA3331" s="544"/>
      <c r="AB3331" s="394"/>
      <c r="AC3331" s="394"/>
      <c r="AD3331" s="394"/>
      <c r="AE3331" s="394"/>
      <c r="AF3331" s="394"/>
      <c r="AG3331" s="394"/>
      <c r="AH3331" s="394"/>
      <c r="AI3331" s="394"/>
      <c r="AJ3331" s="394"/>
      <c r="AK3331" s="381"/>
      <c r="AL3331" s="408"/>
      <c r="AM3331" s="385"/>
      <c r="AN3331" s="475"/>
      <c r="AO3331" s="395"/>
      <c r="AP3331" s="395" t="e">
        <f t="shared" si="1058"/>
        <v>#DIV/0!</v>
      </c>
      <c r="AQ3331" s="393"/>
      <c r="AR3331" s="497"/>
      <c r="AS3331" s="497"/>
      <c r="AT3331" s="544"/>
      <c r="AU3331" s="394"/>
      <c r="AV3331" s="394"/>
      <c r="AW3331" s="394"/>
      <c r="AX3331" s="394"/>
      <c r="AY3331" s="394"/>
      <c r="AZ3331" s="394"/>
      <c r="BA3331" s="394"/>
      <c r="BB3331" s="394"/>
      <c r="BC3331" s="394"/>
      <c r="BD3331" s="381"/>
      <c r="BE3331" s="408"/>
      <c r="BF3331" s="385"/>
      <c r="BG3331" s="475"/>
      <c r="BH3331" s="395"/>
      <c r="BI3331" s="395" t="e">
        <f t="shared" si="1059"/>
        <v>#DIV/0!</v>
      </c>
    </row>
    <row r="3332" spans="1:61" s="358" customFormat="1" ht="19.2" x14ac:dyDescent="0.3">
      <c r="A3332" s="359" t="s">
        <v>186</v>
      </c>
      <c r="B3332" s="537" t="s">
        <v>1839</v>
      </c>
      <c r="C3332" s="546" t="s">
        <v>1033</v>
      </c>
      <c r="D3332" s="360">
        <v>0.4</v>
      </c>
      <c r="E3332" s="393"/>
      <c r="F3332" s="497">
        <v>1</v>
      </c>
      <c r="G3332" s="497"/>
      <c r="H3332" s="544">
        <v>20.841999999999999</v>
      </c>
      <c r="I3332" s="394">
        <v>14.605399999999999</v>
      </c>
      <c r="J3332" s="394">
        <v>8.5416699999999999</v>
      </c>
      <c r="K3332" s="394"/>
      <c r="L3332" s="394"/>
      <c r="M3332" s="394">
        <v>0</v>
      </c>
      <c r="N3332" s="394">
        <v>0</v>
      </c>
      <c r="O3332" s="394">
        <v>1.4539</v>
      </c>
      <c r="P3332" s="394">
        <v>8.5416699999999999</v>
      </c>
      <c r="Q3332" s="394"/>
      <c r="R3332" s="381" t="s">
        <v>167</v>
      </c>
      <c r="S3332" s="408" t="s">
        <v>175</v>
      </c>
      <c r="T3332" s="385"/>
      <c r="U3332" s="475">
        <v>1044</v>
      </c>
      <c r="V3332" s="395"/>
      <c r="W3332" s="395">
        <f t="shared" si="1311"/>
        <v>20.841999999999999</v>
      </c>
      <c r="X3332" s="393"/>
      <c r="Y3332" s="497"/>
      <c r="Z3332" s="497"/>
      <c r="AA3332" s="544"/>
      <c r="AB3332" s="394"/>
      <c r="AC3332" s="394"/>
      <c r="AD3332" s="394"/>
      <c r="AE3332" s="394"/>
      <c r="AF3332" s="394"/>
      <c r="AG3332" s="394"/>
      <c r="AH3332" s="394"/>
      <c r="AI3332" s="394"/>
      <c r="AJ3332" s="394"/>
      <c r="AK3332" s="381"/>
      <c r="AL3332" s="408"/>
      <c r="AM3332" s="385"/>
      <c r="AN3332" s="475"/>
      <c r="AO3332" s="395"/>
      <c r="AP3332" s="395" t="e">
        <f t="shared" si="1058"/>
        <v>#DIV/0!</v>
      </c>
      <c r="AQ3332" s="393"/>
      <c r="AR3332" s="497"/>
      <c r="AS3332" s="497"/>
      <c r="AT3332" s="544"/>
      <c r="AU3332" s="394"/>
      <c r="AV3332" s="394"/>
      <c r="AW3332" s="394"/>
      <c r="AX3332" s="394"/>
      <c r="AY3332" s="394"/>
      <c r="AZ3332" s="394"/>
      <c r="BA3332" s="394"/>
      <c r="BB3332" s="394"/>
      <c r="BC3332" s="394"/>
      <c r="BD3332" s="381"/>
      <c r="BE3332" s="408"/>
      <c r="BF3332" s="385"/>
      <c r="BG3332" s="475"/>
      <c r="BH3332" s="395"/>
      <c r="BI3332" s="395" t="e">
        <f t="shared" si="1059"/>
        <v>#DIV/0!</v>
      </c>
    </row>
    <row r="3333" spans="1:61" s="358" customFormat="1" ht="19.2" x14ac:dyDescent="0.3">
      <c r="A3333" s="359" t="s">
        <v>189</v>
      </c>
      <c r="B3333" s="537" t="s">
        <v>1839</v>
      </c>
      <c r="C3333" s="546" t="s">
        <v>1034</v>
      </c>
      <c r="D3333" s="360">
        <v>0.4</v>
      </c>
      <c r="E3333" s="393"/>
      <c r="F3333" s="497">
        <v>1</v>
      </c>
      <c r="G3333" s="497"/>
      <c r="H3333" s="544">
        <v>20.841999999999999</v>
      </c>
      <c r="I3333" s="394">
        <v>14.605399999999999</v>
      </c>
      <c r="J3333" s="394">
        <v>8.5416699999999999</v>
      </c>
      <c r="K3333" s="394"/>
      <c r="L3333" s="394"/>
      <c r="M3333" s="394">
        <v>0</v>
      </c>
      <c r="N3333" s="394">
        <v>0</v>
      </c>
      <c r="O3333" s="394">
        <v>1.4539</v>
      </c>
      <c r="P3333" s="394">
        <v>8.5416699999999999</v>
      </c>
      <c r="Q3333" s="394"/>
      <c r="R3333" s="381" t="s">
        <v>167</v>
      </c>
      <c r="S3333" s="408" t="s">
        <v>175</v>
      </c>
      <c r="T3333" s="385"/>
      <c r="U3333" s="475">
        <v>1046</v>
      </c>
      <c r="V3333" s="395"/>
      <c r="W3333" s="395">
        <f t="shared" si="1311"/>
        <v>20.841999999999999</v>
      </c>
      <c r="X3333" s="393"/>
      <c r="Y3333" s="497"/>
      <c r="Z3333" s="497"/>
      <c r="AA3333" s="544"/>
      <c r="AB3333" s="394"/>
      <c r="AC3333" s="394"/>
      <c r="AD3333" s="394"/>
      <c r="AE3333" s="394"/>
      <c r="AF3333" s="394"/>
      <c r="AG3333" s="394"/>
      <c r="AH3333" s="394"/>
      <c r="AI3333" s="394"/>
      <c r="AJ3333" s="394"/>
      <c r="AK3333" s="381"/>
      <c r="AL3333" s="408"/>
      <c r="AM3333" s="385"/>
      <c r="AN3333" s="475"/>
      <c r="AO3333" s="395"/>
      <c r="AP3333" s="395" t="e">
        <f t="shared" si="1058"/>
        <v>#DIV/0!</v>
      </c>
      <c r="AQ3333" s="393"/>
      <c r="AR3333" s="497"/>
      <c r="AS3333" s="497"/>
      <c r="AT3333" s="544"/>
      <c r="AU3333" s="394"/>
      <c r="AV3333" s="394"/>
      <c r="AW3333" s="394"/>
      <c r="AX3333" s="394"/>
      <c r="AY3333" s="394"/>
      <c r="AZ3333" s="394"/>
      <c r="BA3333" s="394"/>
      <c r="BB3333" s="394"/>
      <c r="BC3333" s="394"/>
      <c r="BD3333" s="381"/>
      <c r="BE3333" s="408"/>
      <c r="BF3333" s="385"/>
      <c r="BG3333" s="475"/>
      <c r="BH3333" s="395"/>
      <c r="BI3333" s="395" t="e">
        <f t="shared" si="1059"/>
        <v>#DIV/0!</v>
      </c>
    </row>
    <row r="3334" spans="1:61" s="358" customFormat="1" ht="19.2" x14ac:dyDescent="0.3">
      <c r="A3334" s="359" t="s">
        <v>267</v>
      </c>
      <c r="B3334" s="537" t="s">
        <v>1840</v>
      </c>
      <c r="C3334" s="546" t="s">
        <v>1035</v>
      </c>
      <c r="D3334" s="360">
        <v>0.4</v>
      </c>
      <c r="E3334" s="393"/>
      <c r="F3334" s="497">
        <v>1</v>
      </c>
      <c r="G3334" s="497"/>
      <c r="H3334" s="544">
        <v>20.832000000000001</v>
      </c>
      <c r="I3334" s="394">
        <v>14.59591</v>
      </c>
      <c r="J3334" s="394">
        <v>8.5416600000000003</v>
      </c>
      <c r="K3334" s="394"/>
      <c r="L3334" s="394"/>
      <c r="M3334" s="394">
        <v>0</v>
      </c>
      <c r="N3334" s="394">
        <v>0</v>
      </c>
      <c r="O3334" s="394">
        <v>1.4539</v>
      </c>
      <c r="P3334" s="394">
        <v>8.5416600000000003</v>
      </c>
      <c r="Q3334" s="394"/>
      <c r="R3334" s="381" t="s">
        <v>167</v>
      </c>
      <c r="S3334" s="408" t="s">
        <v>175</v>
      </c>
      <c r="T3334" s="385"/>
      <c r="U3334" s="475">
        <v>1048</v>
      </c>
      <c r="V3334" s="395"/>
      <c r="W3334" s="395">
        <f t="shared" si="1311"/>
        <v>20.832000000000001</v>
      </c>
      <c r="X3334" s="393"/>
      <c r="Y3334" s="497"/>
      <c r="Z3334" s="497"/>
      <c r="AA3334" s="544"/>
      <c r="AB3334" s="394"/>
      <c r="AC3334" s="394"/>
      <c r="AD3334" s="394"/>
      <c r="AE3334" s="394"/>
      <c r="AF3334" s="394"/>
      <c r="AG3334" s="394"/>
      <c r="AH3334" s="394"/>
      <c r="AI3334" s="394"/>
      <c r="AJ3334" s="394"/>
      <c r="AK3334" s="381"/>
      <c r="AL3334" s="408"/>
      <c r="AM3334" s="385"/>
      <c r="AN3334" s="475"/>
      <c r="AO3334" s="395"/>
      <c r="AP3334" s="395" t="e">
        <f t="shared" si="1058"/>
        <v>#DIV/0!</v>
      </c>
      <c r="AQ3334" s="393"/>
      <c r="AR3334" s="497"/>
      <c r="AS3334" s="497"/>
      <c r="AT3334" s="544"/>
      <c r="AU3334" s="394"/>
      <c r="AV3334" s="394"/>
      <c r="AW3334" s="394"/>
      <c r="AX3334" s="394"/>
      <c r="AY3334" s="394"/>
      <c r="AZ3334" s="394"/>
      <c r="BA3334" s="394"/>
      <c r="BB3334" s="394"/>
      <c r="BC3334" s="394"/>
      <c r="BD3334" s="381"/>
      <c r="BE3334" s="408"/>
      <c r="BF3334" s="385"/>
      <c r="BG3334" s="475"/>
      <c r="BH3334" s="395"/>
      <c r="BI3334" s="395" t="e">
        <f t="shared" si="1059"/>
        <v>#DIV/0!</v>
      </c>
    </row>
    <row r="3335" spans="1:61" s="358" customFormat="1" ht="19.2" x14ac:dyDescent="0.3">
      <c r="A3335" s="359" t="s">
        <v>268</v>
      </c>
      <c r="B3335" s="537" t="s">
        <v>1841</v>
      </c>
      <c r="C3335" s="546" t="s">
        <v>1036</v>
      </c>
      <c r="D3335" s="360">
        <v>0.4</v>
      </c>
      <c r="E3335" s="393"/>
      <c r="F3335" s="497">
        <v>1</v>
      </c>
      <c r="G3335" s="497"/>
      <c r="H3335" s="544">
        <v>21.381</v>
      </c>
      <c r="I3335" s="394">
        <v>15.355320000000001</v>
      </c>
      <c r="J3335" s="394">
        <v>8.5416699999999999</v>
      </c>
      <c r="K3335" s="394"/>
      <c r="L3335" s="394"/>
      <c r="M3335" s="394">
        <v>0</v>
      </c>
      <c r="N3335" s="394">
        <v>0</v>
      </c>
      <c r="O3335" s="394">
        <v>1.4047700000000001</v>
      </c>
      <c r="P3335" s="394">
        <v>8.5416699999999999</v>
      </c>
      <c r="Q3335" s="394"/>
      <c r="R3335" s="381" t="s">
        <v>167</v>
      </c>
      <c r="S3335" s="408" t="s">
        <v>175</v>
      </c>
      <c r="T3335" s="385"/>
      <c r="U3335" s="475">
        <v>1050</v>
      </c>
      <c r="V3335" s="395"/>
      <c r="W3335" s="395">
        <f t="shared" si="1311"/>
        <v>21.381</v>
      </c>
      <c r="X3335" s="393"/>
      <c r="Y3335" s="497"/>
      <c r="Z3335" s="497"/>
      <c r="AA3335" s="544"/>
      <c r="AB3335" s="394"/>
      <c r="AC3335" s="394"/>
      <c r="AD3335" s="394"/>
      <c r="AE3335" s="394"/>
      <c r="AF3335" s="394"/>
      <c r="AG3335" s="394"/>
      <c r="AH3335" s="394"/>
      <c r="AI3335" s="394"/>
      <c r="AJ3335" s="394"/>
      <c r="AK3335" s="381"/>
      <c r="AL3335" s="408"/>
      <c r="AM3335" s="385"/>
      <c r="AN3335" s="475"/>
      <c r="AO3335" s="395"/>
      <c r="AP3335" s="395" t="e">
        <f t="shared" si="1058"/>
        <v>#DIV/0!</v>
      </c>
      <c r="AQ3335" s="393"/>
      <c r="AR3335" s="497"/>
      <c r="AS3335" s="497"/>
      <c r="AT3335" s="544"/>
      <c r="AU3335" s="394"/>
      <c r="AV3335" s="394"/>
      <c r="AW3335" s="394"/>
      <c r="AX3335" s="394"/>
      <c r="AY3335" s="394"/>
      <c r="AZ3335" s="394"/>
      <c r="BA3335" s="394"/>
      <c r="BB3335" s="394"/>
      <c r="BC3335" s="394"/>
      <c r="BD3335" s="381"/>
      <c r="BE3335" s="408"/>
      <c r="BF3335" s="385"/>
      <c r="BG3335" s="475"/>
      <c r="BH3335" s="395"/>
      <c r="BI3335" s="395" t="e">
        <f t="shared" si="1059"/>
        <v>#DIV/0!</v>
      </c>
    </row>
    <row r="3336" spans="1:61" s="358" customFormat="1" ht="19.2" x14ac:dyDescent="0.3">
      <c r="A3336" s="359" t="s">
        <v>269</v>
      </c>
      <c r="B3336" s="537" t="s">
        <v>613</v>
      </c>
      <c r="C3336" s="546" t="s">
        <v>487</v>
      </c>
      <c r="D3336" s="360">
        <v>0.4</v>
      </c>
      <c r="E3336" s="393"/>
      <c r="F3336" s="497">
        <v>1</v>
      </c>
      <c r="G3336" s="497"/>
      <c r="H3336" s="544">
        <v>20.832000000000001</v>
      </c>
      <c r="I3336" s="394">
        <v>14.59591</v>
      </c>
      <c r="J3336" s="394">
        <v>8.5416600000000003</v>
      </c>
      <c r="K3336" s="394"/>
      <c r="L3336" s="394"/>
      <c r="M3336" s="394">
        <v>0</v>
      </c>
      <c r="N3336" s="394">
        <v>0</v>
      </c>
      <c r="O3336" s="394">
        <v>1.4539</v>
      </c>
      <c r="P3336" s="394">
        <v>8.5416600000000003</v>
      </c>
      <c r="Q3336" s="394"/>
      <c r="R3336" s="381" t="s">
        <v>167</v>
      </c>
      <c r="S3336" s="408" t="s">
        <v>175</v>
      </c>
      <c r="T3336" s="385"/>
      <c r="U3336" s="475">
        <v>1052</v>
      </c>
      <c r="V3336" s="395"/>
      <c r="W3336" s="395">
        <f t="shared" si="1311"/>
        <v>20.832000000000001</v>
      </c>
      <c r="X3336" s="393"/>
      <c r="Y3336" s="497"/>
      <c r="Z3336" s="497"/>
      <c r="AA3336" s="544"/>
      <c r="AB3336" s="394"/>
      <c r="AC3336" s="394"/>
      <c r="AD3336" s="394"/>
      <c r="AE3336" s="394"/>
      <c r="AF3336" s="394"/>
      <c r="AG3336" s="394"/>
      <c r="AH3336" s="394"/>
      <c r="AI3336" s="394"/>
      <c r="AJ3336" s="394"/>
      <c r="AK3336" s="381"/>
      <c r="AL3336" s="408"/>
      <c r="AM3336" s="385"/>
      <c r="AN3336" s="475"/>
      <c r="AO3336" s="395"/>
      <c r="AP3336" s="395" t="e">
        <f t="shared" si="1058"/>
        <v>#DIV/0!</v>
      </c>
      <c r="AQ3336" s="393"/>
      <c r="AR3336" s="497"/>
      <c r="AS3336" s="497"/>
      <c r="AT3336" s="544"/>
      <c r="AU3336" s="394"/>
      <c r="AV3336" s="394"/>
      <c r="AW3336" s="394"/>
      <c r="AX3336" s="394"/>
      <c r="AY3336" s="394"/>
      <c r="AZ3336" s="394"/>
      <c r="BA3336" s="394"/>
      <c r="BB3336" s="394"/>
      <c r="BC3336" s="394"/>
      <c r="BD3336" s="381"/>
      <c r="BE3336" s="408"/>
      <c r="BF3336" s="385"/>
      <c r="BG3336" s="475"/>
      <c r="BH3336" s="395"/>
      <c r="BI3336" s="395" t="e">
        <f t="shared" si="1059"/>
        <v>#DIV/0!</v>
      </c>
    </row>
    <row r="3337" spans="1:61" s="358" customFormat="1" ht="19.2" x14ac:dyDescent="0.3">
      <c r="A3337" s="359" t="s">
        <v>270</v>
      </c>
      <c r="B3337" s="537" t="s">
        <v>1842</v>
      </c>
      <c r="C3337" s="546" t="s">
        <v>1037</v>
      </c>
      <c r="D3337" s="360">
        <v>0.4</v>
      </c>
      <c r="E3337" s="393"/>
      <c r="F3337" s="497">
        <v>1</v>
      </c>
      <c r="G3337" s="497"/>
      <c r="H3337" s="544">
        <v>20.593</v>
      </c>
      <c r="I3337" s="394">
        <v>14.567550000000001</v>
      </c>
      <c r="J3337" s="394">
        <v>8.5416699999999999</v>
      </c>
      <c r="K3337" s="394"/>
      <c r="L3337" s="394"/>
      <c r="M3337" s="394">
        <v>0</v>
      </c>
      <c r="N3337" s="394">
        <v>0</v>
      </c>
      <c r="O3337" s="394">
        <v>1.4047700000000001</v>
      </c>
      <c r="P3337" s="394">
        <v>8.5416699999999999</v>
      </c>
      <c r="Q3337" s="394"/>
      <c r="R3337" s="381" t="s">
        <v>167</v>
      </c>
      <c r="S3337" s="408" t="s">
        <v>175</v>
      </c>
      <c r="T3337" s="385"/>
      <c r="U3337" s="475">
        <v>1054</v>
      </c>
      <c r="V3337" s="395"/>
      <c r="W3337" s="395">
        <f t="shared" si="1311"/>
        <v>20.593</v>
      </c>
      <c r="X3337" s="393"/>
      <c r="Y3337" s="497"/>
      <c r="Z3337" s="497"/>
      <c r="AA3337" s="544"/>
      <c r="AB3337" s="394"/>
      <c r="AC3337" s="394"/>
      <c r="AD3337" s="394"/>
      <c r="AE3337" s="394"/>
      <c r="AF3337" s="394"/>
      <c r="AG3337" s="394"/>
      <c r="AH3337" s="394"/>
      <c r="AI3337" s="394"/>
      <c r="AJ3337" s="394"/>
      <c r="AK3337" s="381"/>
      <c r="AL3337" s="408"/>
      <c r="AM3337" s="385"/>
      <c r="AN3337" s="475"/>
      <c r="AO3337" s="395"/>
      <c r="AP3337" s="395" t="e">
        <f t="shared" si="1058"/>
        <v>#DIV/0!</v>
      </c>
      <c r="AQ3337" s="393"/>
      <c r="AR3337" s="497"/>
      <c r="AS3337" s="497"/>
      <c r="AT3337" s="544"/>
      <c r="AU3337" s="394"/>
      <c r="AV3337" s="394"/>
      <c r="AW3337" s="394"/>
      <c r="AX3337" s="394"/>
      <c r="AY3337" s="394"/>
      <c r="AZ3337" s="394"/>
      <c r="BA3337" s="394"/>
      <c r="BB3337" s="394"/>
      <c r="BC3337" s="394"/>
      <c r="BD3337" s="381"/>
      <c r="BE3337" s="408"/>
      <c r="BF3337" s="385"/>
      <c r="BG3337" s="475"/>
      <c r="BH3337" s="395"/>
      <c r="BI3337" s="395" t="e">
        <f t="shared" si="1059"/>
        <v>#DIV/0!</v>
      </c>
    </row>
    <row r="3338" spans="1:61" s="358" customFormat="1" ht="19.2" x14ac:dyDescent="0.3">
      <c r="A3338" s="359" t="s">
        <v>271</v>
      </c>
      <c r="B3338" s="537" t="s">
        <v>1843</v>
      </c>
      <c r="C3338" s="546" t="s">
        <v>1045</v>
      </c>
      <c r="D3338" s="360">
        <v>0.4</v>
      </c>
      <c r="E3338" s="393"/>
      <c r="F3338" s="497">
        <v>1</v>
      </c>
      <c r="G3338" s="497"/>
      <c r="H3338" s="544">
        <v>33.99</v>
      </c>
      <c r="I3338" s="394">
        <v>13.26183</v>
      </c>
      <c r="J3338" s="394">
        <v>8.5416699999999999</v>
      </c>
      <c r="K3338" s="394"/>
      <c r="L3338" s="394"/>
      <c r="M3338" s="394">
        <v>0</v>
      </c>
      <c r="N3338" s="394">
        <v>0</v>
      </c>
      <c r="O3338" s="394">
        <v>4.8323200000000002</v>
      </c>
      <c r="P3338" s="394">
        <v>8.5416699999999999</v>
      </c>
      <c r="Q3338" s="394"/>
      <c r="R3338" s="381" t="s">
        <v>167</v>
      </c>
      <c r="S3338" s="408" t="s">
        <v>175</v>
      </c>
      <c r="T3338" s="385"/>
      <c r="U3338" s="475">
        <v>1056</v>
      </c>
      <c r="V3338" s="395"/>
      <c r="W3338" s="395">
        <f t="shared" si="1310"/>
        <v>33.99</v>
      </c>
      <c r="X3338" s="393"/>
      <c r="Y3338" s="497"/>
      <c r="Z3338" s="497"/>
      <c r="AA3338" s="544"/>
      <c r="AB3338" s="394"/>
      <c r="AC3338" s="394"/>
      <c r="AD3338" s="394"/>
      <c r="AE3338" s="394"/>
      <c r="AF3338" s="394"/>
      <c r="AG3338" s="394"/>
      <c r="AH3338" s="394"/>
      <c r="AI3338" s="394"/>
      <c r="AJ3338" s="394"/>
      <c r="AK3338" s="381"/>
      <c r="AL3338" s="408"/>
      <c r="AM3338" s="385"/>
      <c r="AN3338" s="475"/>
      <c r="AO3338" s="395"/>
      <c r="AP3338" s="395" t="e">
        <f t="shared" ref="AP3338:AP3365" si="1312">AA3338/Y3338</f>
        <v>#DIV/0!</v>
      </c>
      <c r="AQ3338" s="393"/>
      <c r="AR3338" s="497"/>
      <c r="AS3338" s="497"/>
      <c r="AT3338" s="544"/>
      <c r="AU3338" s="394"/>
      <c r="AV3338" s="394"/>
      <c r="AW3338" s="394"/>
      <c r="AX3338" s="394"/>
      <c r="AY3338" s="394"/>
      <c r="AZ3338" s="394"/>
      <c r="BA3338" s="394"/>
      <c r="BB3338" s="394"/>
      <c r="BC3338" s="394"/>
      <c r="BD3338" s="381"/>
      <c r="BE3338" s="408"/>
      <c r="BF3338" s="385"/>
      <c r="BG3338" s="475"/>
      <c r="BH3338" s="395"/>
      <c r="BI3338" s="395" t="e">
        <f t="shared" si="1059"/>
        <v>#DIV/0!</v>
      </c>
    </row>
    <row r="3339" spans="1:61" s="358" customFormat="1" ht="43.2" x14ac:dyDescent="0.3">
      <c r="A3339" s="359" t="s">
        <v>272</v>
      </c>
      <c r="B3339" s="537" t="s">
        <v>2261</v>
      </c>
      <c r="C3339" s="546" t="s">
        <v>484</v>
      </c>
      <c r="D3339" s="360">
        <v>0.4</v>
      </c>
      <c r="E3339" s="393"/>
      <c r="F3339" s="497">
        <v>1</v>
      </c>
      <c r="G3339" s="497"/>
      <c r="H3339" s="544">
        <v>47.368000000000002</v>
      </c>
      <c r="I3339" s="394">
        <v>26.177209999999999</v>
      </c>
      <c r="J3339" s="394">
        <v>8.5416699999999999</v>
      </c>
      <c r="K3339" s="394"/>
      <c r="L3339" s="394"/>
      <c r="M3339" s="394">
        <v>0</v>
      </c>
      <c r="N3339" s="394">
        <v>0</v>
      </c>
      <c r="O3339" s="394">
        <v>4.94015</v>
      </c>
      <c r="P3339" s="394">
        <v>8.5416699999999999</v>
      </c>
      <c r="Q3339" s="394"/>
      <c r="R3339" s="381" t="s">
        <v>167</v>
      </c>
      <c r="S3339" s="408" t="s">
        <v>175</v>
      </c>
      <c r="T3339" s="385"/>
      <c r="U3339" s="475">
        <v>1058</v>
      </c>
      <c r="V3339" s="395"/>
      <c r="W3339" s="395">
        <f t="shared" ref="W3339:W3346" si="1313">H3339/F3339</f>
        <v>47.368000000000002</v>
      </c>
      <c r="X3339" s="393"/>
      <c r="Y3339" s="497"/>
      <c r="Z3339" s="497"/>
      <c r="AA3339" s="544"/>
      <c r="AB3339" s="394"/>
      <c r="AC3339" s="394"/>
      <c r="AD3339" s="394"/>
      <c r="AE3339" s="394"/>
      <c r="AF3339" s="394"/>
      <c r="AG3339" s="394"/>
      <c r="AH3339" s="394"/>
      <c r="AI3339" s="394"/>
      <c r="AJ3339" s="394"/>
      <c r="AK3339" s="381"/>
      <c r="AL3339" s="408"/>
      <c r="AM3339" s="385"/>
      <c r="AN3339" s="475"/>
      <c r="AO3339" s="395"/>
      <c r="AP3339" s="395" t="e">
        <f t="shared" si="1312"/>
        <v>#DIV/0!</v>
      </c>
      <c r="AQ3339" s="393"/>
      <c r="AR3339" s="497"/>
      <c r="AS3339" s="497"/>
      <c r="AT3339" s="544"/>
      <c r="AU3339" s="394"/>
      <c r="AV3339" s="394"/>
      <c r="AW3339" s="394"/>
      <c r="AX3339" s="394"/>
      <c r="AY3339" s="394"/>
      <c r="AZ3339" s="394"/>
      <c r="BA3339" s="394"/>
      <c r="BB3339" s="394"/>
      <c r="BC3339" s="394"/>
      <c r="BD3339" s="381"/>
      <c r="BE3339" s="408"/>
      <c r="BF3339" s="385"/>
      <c r="BG3339" s="475"/>
      <c r="BH3339" s="395"/>
      <c r="BI3339" s="395" t="e">
        <f t="shared" si="1059"/>
        <v>#DIV/0!</v>
      </c>
    </row>
    <row r="3340" spans="1:61" s="358" customFormat="1" ht="19.2" x14ac:dyDescent="0.3">
      <c r="A3340" s="359" t="s">
        <v>273</v>
      </c>
      <c r="B3340" s="537" t="s">
        <v>1844</v>
      </c>
      <c r="C3340" s="546" t="s">
        <v>1046</v>
      </c>
      <c r="D3340" s="360">
        <v>0.4</v>
      </c>
      <c r="E3340" s="393"/>
      <c r="F3340" s="497">
        <v>1</v>
      </c>
      <c r="G3340" s="497"/>
      <c r="H3340" s="544">
        <v>37.002000000000002</v>
      </c>
      <c r="I3340" s="394">
        <v>15.86199</v>
      </c>
      <c r="J3340" s="394">
        <v>8.5416799999999995</v>
      </c>
      <c r="K3340" s="394"/>
      <c r="L3340" s="394"/>
      <c r="M3340" s="394">
        <v>0</v>
      </c>
      <c r="N3340" s="394">
        <v>0</v>
      </c>
      <c r="O3340" s="394">
        <v>4.9284499999999998</v>
      </c>
      <c r="P3340" s="394">
        <v>8.5416799999999995</v>
      </c>
      <c r="Q3340" s="394"/>
      <c r="R3340" s="381" t="s">
        <v>167</v>
      </c>
      <c r="S3340" s="408" t="s">
        <v>175</v>
      </c>
      <c r="T3340" s="385"/>
      <c r="U3340" s="475">
        <v>1060</v>
      </c>
      <c r="V3340" s="395"/>
      <c r="W3340" s="395">
        <f t="shared" si="1313"/>
        <v>37.002000000000002</v>
      </c>
      <c r="X3340" s="393"/>
      <c r="Y3340" s="497"/>
      <c r="Z3340" s="497"/>
      <c r="AA3340" s="544"/>
      <c r="AB3340" s="394"/>
      <c r="AC3340" s="394"/>
      <c r="AD3340" s="394"/>
      <c r="AE3340" s="394"/>
      <c r="AF3340" s="394"/>
      <c r="AG3340" s="394"/>
      <c r="AH3340" s="394"/>
      <c r="AI3340" s="394"/>
      <c r="AJ3340" s="394"/>
      <c r="AK3340" s="381"/>
      <c r="AL3340" s="408"/>
      <c r="AM3340" s="385"/>
      <c r="AN3340" s="475"/>
      <c r="AO3340" s="395"/>
      <c r="AP3340" s="395" t="e">
        <f t="shared" si="1312"/>
        <v>#DIV/0!</v>
      </c>
      <c r="AQ3340" s="393"/>
      <c r="AR3340" s="497"/>
      <c r="AS3340" s="497"/>
      <c r="AT3340" s="544"/>
      <c r="AU3340" s="394"/>
      <c r="AV3340" s="394"/>
      <c r="AW3340" s="394"/>
      <c r="AX3340" s="394"/>
      <c r="AY3340" s="394"/>
      <c r="AZ3340" s="394"/>
      <c r="BA3340" s="394"/>
      <c r="BB3340" s="394"/>
      <c r="BC3340" s="394"/>
      <c r="BD3340" s="381"/>
      <c r="BE3340" s="408"/>
      <c r="BF3340" s="385"/>
      <c r="BG3340" s="475"/>
      <c r="BH3340" s="395"/>
      <c r="BI3340" s="395" t="e">
        <f t="shared" si="1059"/>
        <v>#DIV/0!</v>
      </c>
    </row>
    <row r="3341" spans="1:61" s="358" customFormat="1" ht="19.2" x14ac:dyDescent="0.3">
      <c r="A3341" s="359" t="s">
        <v>274</v>
      </c>
      <c r="B3341" s="537" t="s">
        <v>609</v>
      </c>
      <c r="C3341" s="546" t="s">
        <v>483</v>
      </c>
      <c r="D3341" s="360">
        <v>0.4</v>
      </c>
      <c r="E3341" s="393"/>
      <c r="F3341" s="497">
        <v>1</v>
      </c>
      <c r="G3341" s="497"/>
      <c r="H3341" s="544">
        <v>21.692</v>
      </c>
      <c r="I3341" s="394">
        <v>15.66672</v>
      </c>
      <c r="J3341" s="394">
        <v>8.5416699999999999</v>
      </c>
      <c r="K3341" s="394"/>
      <c r="L3341" s="394"/>
      <c r="M3341" s="394">
        <v>0</v>
      </c>
      <c r="N3341" s="394">
        <v>0</v>
      </c>
      <c r="O3341" s="394">
        <v>1.4047700000000001</v>
      </c>
      <c r="P3341" s="394">
        <v>8.5416699999999999</v>
      </c>
      <c r="Q3341" s="394"/>
      <c r="R3341" s="381" t="s">
        <v>167</v>
      </c>
      <c r="S3341" s="408" t="s">
        <v>175</v>
      </c>
      <c r="T3341" s="385"/>
      <c r="U3341" s="475">
        <v>1062</v>
      </c>
      <c r="V3341" s="395"/>
      <c r="W3341" s="395">
        <f t="shared" si="1313"/>
        <v>21.692</v>
      </c>
      <c r="X3341" s="393"/>
      <c r="Y3341" s="497"/>
      <c r="Z3341" s="497"/>
      <c r="AA3341" s="544"/>
      <c r="AB3341" s="394"/>
      <c r="AC3341" s="394"/>
      <c r="AD3341" s="394"/>
      <c r="AE3341" s="394"/>
      <c r="AF3341" s="394"/>
      <c r="AG3341" s="394"/>
      <c r="AH3341" s="394"/>
      <c r="AI3341" s="394"/>
      <c r="AJ3341" s="394"/>
      <c r="AK3341" s="381"/>
      <c r="AL3341" s="408"/>
      <c r="AM3341" s="385"/>
      <c r="AN3341" s="475"/>
      <c r="AO3341" s="395"/>
      <c r="AP3341" s="395" t="e">
        <f t="shared" si="1312"/>
        <v>#DIV/0!</v>
      </c>
      <c r="AQ3341" s="393"/>
      <c r="AR3341" s="497"/>
      <c r="AS3341" s="497"/>
      <c r="AT3341" s="544"/>
      <c r="AU3341" s="394"/>
      <c r="AV3341" s="394"/>
      <c r="AW3341" s="394"/>
      <c r="AX3341" s="394"/>
      <c r="AY3341" s="394"/>
      <c r="AZ3341" s="394"/>
      <c r="BA3341" s="394"/>
      <c r="BB3341" s="394"/>
      <c r="BC3341" s="394"/>
      <c r="BD3341" s="381"/>
      <c r="BE3341" s="408"/>
      <c r="BF3341" s="385"/>
      <c r="BG3341" s="475"/>
      <c r="BH3341" s="395"/>
      <c r="BI3341" s="395" t="e">
        <f t="shared" si="1059"/>
        <v>#DIV/0!</v>
      </c>
    </row>
    <row r="3342" spans="1:61" s="358" customFormat="1" ht="19.2" x14ac:dyDescent="0.3">
      <c r="A3342" s="359" t="s">
        <v>275</v>
      </c>
      <c r="B3342" s="537" t="s">
        <v>1845</v>
      </c>
      <c r="C3342" s="546" t="s">
        <v>1047</v>
      </c>
      <c r="D3342" s="360">
        <v>0.4</v>
      </c>
      <c r="E3342" s="393"/>
      <c r="F3342" s="497">
        <v>1</v>
      </c>
      <c r="G3342" s="497"/>
      <c r="H3342" s="544">
        <v>21.692</v>
      </c>
      <c r="I3342" s="394">
        <v>15.66672</v>
      </c>
      <c r="J3342" s="394">
        <v>8.5416699999999999</v>
      </c>
      <c r="K3342" s="394"/>
      <c r="L3342" s="394"/>
      <c r="M3342" s="394">
        <v>0</v>
      </c>
      <c r="N3342" s="394">
        <v>0</v>
      </c>
      <c r="O3342" s="394">
        <v>1.4047700000000001</v>
      </c>
      <c r="P3342" s="394">
        <v>8.5416699999999999</v>
      </c>
      <c r="Q3342" s="394"/>
      <c r="R3342" s="381" t="s">
        <v>167</v>
      </c>
      <c r="S3342" s="408" t="s">
        <v>175</v>
      </c>
      <c r="T3342" s="385"/>
      <c r="U3342" s="475">
        <v>1064</v>
      </c>
      <c r="V3342" s="395"/>
      <c r="W3342" s="395">
        <f t="shared" si="1313"/>
        <v>21.692</v>
      </c>
      <c r="X3342" s="393"/>
      <c r="Y3342" s="497"/>
      <c r="Z3342" s="497"/>
      <c r="AA3342" s="544"/>
      <c r="AB3342" s="394"/>
      <c r="AC3342" s="394"/>
      <c r="AD3342" s="394"/>
      <c r="AE3342" s="394"/>
      <c r="AF3342" s="394"/>
      <c r="AG3342" s="394"/>
      <c r="AH3342" s="394"/>
      <c r="AI3342" s="394"/>
      <c r="AJ3342" s="394"/>
      <c r="AK3342" s="381"/>
      <c r="AL3342" s="408"/>
      <c r="AM3342" s="385"/>
      <c r="AN3342" s="475"/>
      <c r="AO3342" s="395"/>
      <c r="AP3342" s="395" t="e">
        <f t="shared" si="1312"/>
        <v>#DIV/0!</v>
      </c>
      <c r="AQ3342" s="393"/>
      <c r="AR3342" s="497"/>
      <c r="AS3342" s="497"/>
      <c r="AT3342" s="544"/>
      <c r="AU3342" s="394"/>
      <c r="AV3342" s="394"/>
      <c r="AW3342" s="394"/>
      <c r="AX3342" s="394"/>
      <c r="AY3342" s="394"/>
      <c r="AZ3342" s="394"/>
      <c r="BA3342" s="394"/>
      <c r="BB3342" s="394"/>
      <c r="BC3342" s="394"/>
      <c r="BD3342" s="381"/>
      <c r="BE3342" s="408"/>
      <c r="BF3342" s="385"/>
      <c r="BG3342" s="475"/>
      <c r="BH3342" s="395"/>
      <c r="BI3342" s="395" t="e">
        <f t="shared" si="1059"/>
        <v>#DIV/0!</v>
      </c>
    </row>
    <row r="3343" spans="1:61" s="358" customFormat="1" ht="19.2" x14ac:dyDescent="0.3">
      <c r="A3343" s="359" t="s">
        <v>340</v>
      </c>
      <c r="B3343" s="537" t="s">
        <v>316</v>
      </c>
      <c r="C3343" s="546" t="s">
        <v>482</v>
      </c>
      <c r="D3343" s="360">
        <v>0.4</v>
      </c>
      <c r="E3343" s="393"/>
      <c r="F3343" s="497">
        <v>1</v>
      </c>
      <c r="G3343" s="497"/>
      <c r="H3343" s="544">
        <v>18.375</v>
      </c>
      <c r="I3343" s="394">
        <v>13.59779</v>
      </c>
      <c r="J3343" s="394">
        <v>8.5416699999999999</v>
      </c>
      <c r="K3343" s="394"/>
      <c r="L3343" s="394"/>
      <c r="M3343" s="394">
        <v>0</v>
      </c>
      <c r="N3343" s="394">
        <v>0</v>
      </c>
      <c r="O3343" s="394">
        <v>1.1137999999999999</v>
      </c>
      <c r="P3343" s="394">
        <v>8.5416699999999999</v>
      </c>
      <c r="Q3343" s="394"/>
      <c r="R3343" s="381" t="s">
        <v>167</v>
      </c>
      <c r="S3343" s="408" t="s">
        <v>175</v>
      </c>
      <c r="T3343" s="385"/>
      <c r="U3343" s="475">
        <v>1066</v>
      </c>
      <c r="V3343" s="395"/>
      <c r="W3343" s="395">
        <f t="shared" si="1313"/>
        <v>18.375</v>
      </c>
      <c r="X3343" s="393"/>
      <c r="Y3343" s="497"/>
      <c r="Z3343" s="497"/>
      <c r="AA3343" s="544"/>
      <c r="AB3343" s="394"/>
      <c r="AC3343" s="394"/>
      <c r="AD3343" s="394"/>
      <c r="AE3343" s="394"/>
      <c r="AF3343" s="394"/>
      <c r="AG3343" s="394"/>
      <c r="AH3343" s="394"/>
      <c r="AI3343" s="394"/>
      <c r="AJ3343" s="394"/>
      <c r="AK3343" s="381"/>
      <c r="AL3343" s="408"/>
      <c r="AM3343" s="385"/>
      <c r="AN3343" s="475"/>
      <c r="AO3343" s="395"/>
      <c r="AP3343" s="395" t="e">
        <f t="shared" si="1312"/>
        <v>#DIV/0!</v>
      </c>
      <c r="AQ3343" s="393"/>
      <c r="AR3343" s="497"/>
      <c r="AS3343" s="497"/>
      <c r="AT3343" s="544"/>
      <c r="AU3343" s="394"/>
      <c r="AV3343" s="394"/>
      <c r="AW3343" s="394"/>
      <c r="AX3343" s="394"/>
      <c r="AY3343" s="394"/>
      <c r="AZ3343" s="394"/>
      <c r="BA3343" s="394"/>
      <c r="BB3343" s="394"/>
      <c r="BC3343" s="394"/>
      <c r="BD3343" s="381"/>
      <c r="BE3343" s="408"/>
      <c r="BF3343" s="385"/>
      <c r="BG3343" s="475"/>
      <c r="BH3343" s="395"/>
      <c r="BI3343" s="395" t="e">
        <f t="shared" si="1059"/>
        <v>#DIV/0!</v>
      </c>
    </row>
    <row r="3344" spans="1:61" s="358" customFormat="1" ht="28.8" x14ac:dyDescent="0.3">
      <c r="A3344" s="359" t="s">
        <v>277</v>
      </c>
      <c r="B3344" s="537" t="s">
        <v>1846</v>
      </c>
      <c r="C3344" s="546" t="s">
        <v>1111</v>
      </c>
      <c r="D3344" s="360">
        <v>0.4</v>
      </c>
      <c r="E3344" s="393"/>
      <c r="F3344" s="497">
        <v>1</v>
      </c>
      <c r="G3344" s="497"/>
      <c r="H3344" s="544">
        <v>19.263020000000001</v>
      </c>
      <c r="I3344" s="394">
        <v>13.063190000000001</v>
      </c>
      <c r="J3344" s="394">
        <v>8.5416799999999995</v>
      </c>
      <c r="K3344" s="394"/>
      <c r="L3344" s="394"/>
      <c r="M3344" s="394">
        <v>0</v>
      </c>
      <c r="N3344" s="394">
        <v>0</v>
      </c>
      <c r="O3344" s="394">
        <v>1.44536</v>
      </c>
      <c r="P3344" s="394">
        <v>8.5416799999999995</v>
      </c>
      <c r="Q3344" s="394"/>
      <c r="R3344" s="381" t="s">
        <v>167</v>
      </c>
      <c r="S3344" s="408" t="s">
        <v>175</v>
      </c>
      <c r="T3344" s="385"/>
      <c r="U3344" s="475">
        <v>1067</v>
      </c>
      <c r="V3344" s="395"/>
      <c r="W3344" s="395">
        <f t="shared" si="1313"/>
        <v>19.263020000000001</v>
      </c>
      <c r="X3344" s="393"/>
      <c r="Y3344" s="497"/>
      <c r="Z3344" s="497"/>
      <c r="AA3344" s="544"/>
      <c r="AB3344" s="394"/>
      <c r="AC3344" s="394"/>
      <c r="AD3344" s="394"/>
      <c r="AE3344" s="394"/>
      <c r="AF3344" s="394"/>
      <c r="AG3344" s="394"/>
      <c r="AH3344" s="394"/>
      <c r="AI3344" s="394"/>
      <c r="AJ3344" s="394"/>
      <c r="AK3344" s="381"/>
      <c r="AL3344" s="408"/>
      <c r="AM3344" s="385"/>
      <c r="AN3344" s="475"/>
      <c r="AO3344" s="395"/>
      <c r="AP3344" s="395" t="e">
        <f t="shared" si="1312"/>
        <v>#DIV/0!</v>
      </c>
      <c r="AQ3344" s="393"/>
      <c r="AR3344" s="497"/>
      <c r="AS3344" s="497"/>
      <c r="AT3344" s="544"/>
      <c r="AU3344" s="394"/>
      <c r="AV3344" s="394"/>
      <c r="AW3344" s="394"/>
      <c r="AX3344" s="394"/>
      <c r="AY3344" s="394"/>
      <c r="AZ3344" s="394"/>
      <c r="BA3344" s="394"/>
      <c r="BB3344" s="394"/>
      <c r="BC3344" s="394"/>
      <c r="BD3344" s="381"/>
      <c r="BE3344" s="408"/>
      <c r="BF3344" s="385"/>
      <c r="BG3344" s="475"/>
      <c r="BH3344" s="395"/>
      <c r="BI3344" s="395" t="e">
        <f t="shared" si="1059"/>
        <v>#DIV/0!</v>
      </c>
    </row>
    <row r="3345" spans="1:61" s="358" customFormat="1" ht="28.8" x14ac:dyDescent="0.3">
      <c r="A3345" s="359" t="s">
        <v>178</v>
      </c>
      <c r="B3345" s="537" t="s">
        <v>1846</v>
      </c>
      <c r="C3345" s="546" t="s">
        <v>1112</v>
      </c>
      <c r="D3345" s="360">
        <v>0.4</v>
      </c>
      <c r="E3345" s="393"/>
      <c r="F3345" s="497">
        <v>1</v>
      </c>
      <c r="G3345" s="497"/>
      <c r="H3345" s="544">
        <v>17.35568</v>
      </c>
      <c r="I3345" s="394">
        <v>14.173299999999999</v>
      </c>
      <c r="J3345" s="394">
        <v>8.5416699999999999</v>
      </c>
      <c r="K3345" s="394"/>
      <c r="L3345" s="394"/>
      <c r="M3345" s="394">
        <v>0</v>
      </c>
      <c r="N3345" s="394">
        <v>0</v>
      </c>
      <c r="O3345" s="394">
        <v>0.73724000000000001</v>
      </c>
      <c r="P3345" s="394">
        <v>8.5416699999999999</v>
      </c>
      <c r="Q3345" s="394"/>
      <c r="R3345" s="381" t="s">
        <v>167</v>
      </c>
      <c r="S3345" s="408" t="s">
        <v>175</v>
      </c>
      <c r="T3345" s="385"/>
      <c r="U3345" s="475">
        <v>1068</v>
      </c>
      <c r="V3345" s="395"/>
      <c r="W3345" s="395">
        <f>H3345/F3345</f>
        <v>17.35568</v>
      </c>
      <c r="X3345" s="393"/>
      <c r="Y3345" s="497"/>
      <c r="Z3345" s="497"/>
      <c r="AA3345" s="544"/>
      <c r="AB3345" s="394"/>
      <c r="AC3345" s="394"/>
      <c r="AD3345" s="394"/>
      <c r="AE3345" s="394"/>
      <c r="AF3345" s="394"/>
      <c r="AG3345" s="394"/>
      <c r="AH3345" s="394"/>
      <c r="AI3345" s="394"/>
      <c r="AJ3345" s="394"/>
      <c r="AK3345" s="381"/>
      <c r="AL3345" s="408"/>
      <c r="AM3345" s="385"/>
      <c r="AN3345" s="475"/>
      <c r="AO3345" s="395"/>
      <c r="AP3345" s="395" t="e">
        <f t="shared" si="1312"/>
        <v>#DIV/0!</v>
      </c>
      <c r="AQ3345" s="393"/>
      <c r="AR3345" s="497"/>
      <c r="AS3345" s="497"/>
      <c r="AT3345" s="544"/>
      <c r="AU3345" s="394"/>
      <c r="AV3345" s="394"/>
      <c r="AW3345" s="394"/>
      <c r="AX3345" s="394"/>
      <c r="AY3345" s="394"/>
      <c r="AZ3345" s="394"/>
      <c r="BA3345" s="394"/>
      <c r="BB3345" s="394"/>
      <c r="BC3345" s="394"/>
      <c r="BD3345" s="381"/>
      <c r="BE3345" s="408"/>
      <c r="BF3345" s="385"/>
      <c r="BG3345" s="475"/>
      <c r="BH3345" s="395"/>
      <c r="BI3345" s="395" t="e">
        <f t="shared" si="1059"/>
        <v>#DIV/0!</v>
      </c>
    </row>
    <row r="3346" spans="1:61" s="358" customFormat="1" ht="19.2" x14ac:dyDescent="0.3">
      <c r="A3346" s="359" t="s">
        <v>327</v>
      </c>
      <c r="B3346" s="537" t="s">
        <v>620</v>
      </c>
      <c r="C3346" s="546" t="s">
        <v>495</v>
      </c>
      <c r="D3346" s="360">
        <v>0.4</v>
      </c>
      <c r="E3346" s="393"/>
      <c r="F3346" s="497">
        <v>1</v>
      </c>
      <c r="G3346" s="497"/>
      <c r="H3346" s="544">
        <v>26.42962</v>
      </c>
      <c r="I3346" s="394">
        <v>18.759070000000001</v>
      </c>
      <c r="J3346" s="394">
        <v>8.5416600000000003</v>
      </c>
      <c r="K3346" s="394"/>
      <c r="L3346" s="394"/>
      <c r="M3346" s="394">
        <v>0</v>
      </c>
      <c r="N3346" s="394">
        <v>0</v>
      </c>
      <c r="O3346" s="394">
        <v>1.7882199999999999</v>
      </c>
      <c r="P3346" s="394">
        <v>8.5416600000000003</v>
      </c>
      <c r="Q3346" s="394"/>
      <c r="R3346" s="381" t="s">
        <v>167</v>
      </c>
      <c r="S3346" s="408" t="s">
        <v>175</v>
      </c>
      <c r="T3346" s="385"/>
      <c r="U3346" s="475">
        <v>1069</v>
      </c>
      <c r="V3346" s="395"/>
      <c r="W3346" s="395">
        <f t="shared" si="1313"/>
        <v>26.42962</v>
      </c>
      <c r="X3346" s="393"/>
      <c r="Y3346" s="497"/>
      <c r="Z3346" s="497"/>
      <c r="AA3346" s="544"/>
      <c r="AB3346" s="394"/>
      <c r="AC3346" s="394"/>
      <c r="AD3346" s="394"/>
      <c r="AE3346" s="394"/>
      <c r="AF3346" s="394"/>
      <c r="AG3346" s="394"/>
      <c r="AH3346" s="394"/>
      <c r="AI3346" s="394"/>
      <c r="AJ3346" s="394"/>
      <c r="AK3346" s="381"/>
      <c r="AL3346" s="408"/>
      <c r="AM3346" s="385"/>
      <c r="AN3346" s="475"/>
      <c r="AO3346" s="395"/>
      <c r="AP3346" s="395" t="e">
        <f t="shared" si="1312"/>
        <v>#DIV/0!</v>
      </c>
      <c r="AQ3346" s="393"/>
      <c r="AR3346" s="497"/>
      <c r="AS3346" s="497"/>
      <c r="AT3346" s="544"/>
      <c r="AU3346" s="394"/>
      <c r="AV3346" s="394"/>
      <c r="AW3346" s="394"/>
      <c r="AX3346" s="394"/>
      <c r="AY3346" s="394"/>
      <c r="AZ3346" s="394"/>
      <c r="BA3346" s="394"/>
      <c r="BB3346" s="394"/>
      <c r="BC3346" s="394"/>
      <c r="BD3346" s="381"/>
      <c r="BE3346" s="408"/>
      <c r="BF3346" s="385"/>
      <c r="BG3346" s="475"/>
      <c r="BH3346" s="395"/>
      <c r="BI3346" s="395" t="e">
        <f t="shared" si="1059"/>
        <v>#DIV/0!</v>
      </c>
    </row>
    <row r="3347" spans="1:61" s="358" customFormat="1" ht="19.2" x14ac:dyDescent="0.3">
      <c r="A3347" s="359" t="s">
        <v>184</v>
      </c>
      <c r="B3347" s="537" t="s">
        <v>1847</v>
      </c>
      <c r="C3347" s="546" t="s">
        <v>1137</v>
      </c>
      <c r="D3347" s="360">
        <v>0.4</v>
      </c>
      <c r="E3347" s="393"/>
      <c r="F3347" s="497">
        <v>1</v>
      </c>
      <c r="G3347" s="497"/>
      <c r="H3347" s="544">
        <v>69.575729999999993</v>
      </c>
      <c r="I3347" s="394">
        <v>50.498080000000002</v>
      </c>
      <c r="J3347" s="394">
        <v>34.166559999999997</v>
      </c>
      <c r="K3347" s="394"/>
      <c r="L3347" s="394"/>
      <c r="M3347" s="394">
        <v>0</v>
      </c>
      <c r="N3347" s="394">
        <v>0</v>
      </c>
      <c r="O3347" s="394">
        <v>4.4475499999999997</v>
      </c>
      <c r="P3347" s="394">
        <v>8.5416399999999992</v>
      </c>
      <c r="Q3347" s="394"/>
      <c r="R3347" s="381" t="s">
        <v>167</v>
      </c>
      <c r="S3347" s="408" t="s">
        <v>175</v>
      </c>
      <c r="T3347" s="385"/>
      <c r="U3347" s="475">
        <v>1071</v>
      </c>
      <c r="V3347" s="395"/>
      <c r="W3347" s="395">
        <f t="shared" ref="W3347:W3357" si="1314">H3347/F3347</f>
        <v>69.575729999999993</v>
      </c>
      <c r="X3347" s="393"/>
      <c r="Y3347" s="497"/>
      <c r="Z3347" s="497"/>
      <c r="AA3347" s="544"/>
      <c r="AB3347" s="394"/>
      <c r="AC3347" s="394"/>
      <c r="AD3347" s="394"/>
      <c r="AE3347" s="394"/>
      <c r="AF3347" s="394"/>
      <c r="AG3347" s="394"/>
      <c r="AH3347" s="394"/>
      <c r="AI3347" s="394"/>
      <c r="AJ3347" s="394"/>
      <c r="AK3347" s="381"/>
      <c r="AL3347" s="408"/>
      <c r="AM3347" s="385"/>
      <c r="AN3347" s="475"/>
      <c r="AO3347" s="395"/>
      <c r="AP3347" s="395" t="e">
        <f t="shared" si="1312"/>
        <v>#DIV/0!</v>
      </c>
      <c r="AQ3347" s="393"/>
      <c r="AR3347" s="497"/>
      <c r="AS3347" s="497"/>
      <c r="AT3347" s="544"/>
      <c r="AU3347" s="394"/>
      <c r="AV3347" s="394"/>
      <c r="AW3347" s="394"/>
      <c r="AX3347" s="394"/>
      <c r="AY3347" s="394"/>
      <c r="AZ3347" s="394"/>
      <c r="BA3347" s="394"/>
      <c r="BB3347" s="394"/>
      <c r="BC3347" s="394"/>
      <c r="BD3347" s="381"/>
      <c r="BE3347" s="408"/>
      <c r="BF3347" s="385"/>
      <c r="BG3347" s="475"/>
      <c r="BH3347" s="395"/>
      <c r="BI3347" s="395" t="e">
        <f t="shared" si="1059"/>
        <v>#DIV/0!</v>
      </c>
    </row>
    <row r="3348" spans="1:61" s="358" customFormat="1" ht="19.2" x14ac:dyDescent="0.3">
      <c r="A3348" s="359" t="s">
        <v>329</v>
      </c>
      <c r="B3348" s="537" t="s">
        <v>1847</v>
      </c>
      <c r="C3348" s="546" t="s">
        <v>1138</v>
      </c>
      <c r="D3348" s="360">
        <v>0.4</v>
      </c>
      <c r="E3348" s="393"/>
      <c r="F3348" s="497">
        <v>1</v>
      </c>
      <c r="G3348" s="497"/>
      <c r="H3348" s="544">
        <v>34.427930000000003</v>
      </c>
      <c r="I3348" s="394">
        <v>25.227830000000001</v>
      </c>
      <c r="J3348" s="394">
        <v>17.083320000000001</v>
      </c>
      <c r="K3348" s="394"/>
      <c r="L3348" s="394"/>
      <c r="M3348" s="394">
        <v>0</v>
      </c>
      <c r="N3348" s="394">
        <v>0</v>
      </c>
      <c r="O3348" s="394">
        <v>2.1448100000000001</v>
      </c>
      <c r="P3348" s="394">
        <v>8.5416600000000003</v>
      </c>
      <c r="Q3348" s="394"/>
      <c r="R3348" s="381" t="s">
        <v>167</v>
      </c>
      <c r="S3348" s="408" t="s">
        <v>175</v>
      </c>
      <c r="T3348" s="385"/>
      <c r="U3348" s="475">
        <v>1072</v>
      </c>
      <c r="V3348" s="395"/>
      <c r="W3348" s="395">
        <f t="shared" si="1314"/>
        <v>34.427930000000003</v>
      </c>
      <c r="X3348" s="393"/>
      <c r="Y3348" s="497"/>
      <c r="Z3348" s="497"/>
      <c r="AA3348" s="544"/>
      <c r="AB3348" s="394"/>
      <c r="AC3348" s="394"/>
      <c r="AD3348" s="394"/>
      <c r="AE3348" s="394"/>
      <c r="AF3348" s="394"/>
      <c r="AG3348" s="394"/>
      <c r="AH3348" s="394"/>
      <c r="AI3348" s="394"/>
      <c r="AJ3348" s="394"/>
      <c r="AK3348" s="381"/>
      <c r="AL3348" s="408"/>
      <c r="AM3348" s="385"/>
      <c r="AN3348" s="475"/>
      <c r="AO3348" s="395"/>
      <c r="AP3348" s="395" t="e">
        <f t="shared" si="1312"/>
        <v>#DIV/0!</v>
      </c>
      <c r="AQ3348" s="393"/>
      <c r="AR3348" s="497"/>
      <c r="AS3348" s="497"/>
      <c r="AT3348" s="544"/>
      <c r="AU3348" s="394"/>
      <c r="AV3348" s="394"/>
      <c r="AW3348" s="394"/>
      <c r="AX3348" s="394"/>
      <c r="AY3348" s="394"/>
      <c r="AZ3348" s="394"/>
      <c r="BA3348" s="394"/>
      <c r="BB3348" s="394"/>
      <c r="BC3348" s="394"/>
      <c r="BD3348" s="381"/>
      <c r="BE3348" s="408"/>
      <c r="BF3348" s="385"/>
      <c r="BG3348" s="475"/>
      <c r="BH3348" s="395"/>
      <c r="BI3348" s="395" t="e">
        <f t="shared" si="1059"/>
        <v>#DIV/0!</v>
      </c>
    </row>
    <row r="3349" spans="1:61" s="358" customFormat="1" ht="19.2" x14ac:dyDescent="0.3">
      <c r="A3349" s="359" t="s">
        <v>330</v>
      </c>
      <c r="B3349" s="537" t="s">
        <v>1847</v>
      </c>
      <c r="C3349" s="546" t="s">
        <v>1139</v>
      </c>
      <c r="D3349" s="360">
        <v>0.4</v>
      </c>
      <c r="E3349" s="393"/>
      <c r="F3349" s="497">
        <v>1</v>
      </c>
      <c r="G3349" s="497"/>
      <c r="H3349" s="544">
        <v>34.42794</v>
      </c>
      <c r="I3349" s="394">
        <v>25.227830000000001</v>
      </c>
      <c r="J3349" s="394">
        <v>17.083320000000001</v>
      </c>
      <c r="K3349" s="394"/>
      <c r="L3349" s="394"/>
      <c r="M3349" s="394">
        <v>0</v>
      </c>
      <c r="N3349" s="394">
        <v>0</v>
      </c>
      <c r="O3349" s="394">
        <v>2.1448100000000001</v>
      </c>
      <c r="P3349" s="394">
        <v>8.5416600000000003</v>
      </c>
      <c r="Q3349" s="394"/>
      <c r="R3349" s="381" t="s">
        <v>167</v>
      </c>
      <c r="S3349" s="408" t="s">
        <v>175</v>
      </c>
      <c r="T3349" s="385"/>
      <c r="U3349" s="475">
        <v>1073</v>
      </c>
      <c r="V3349" s="395"/>
      <c r="W3349" s="395">
        <f t="shared" si="1314"/>
        <v>34.42794</v>
      </c>
      <c r="X3349" s="393"/>
      <c r="Y3349" s="497"/>
      <c r="Z3349" s="497"/>
      <c r="AA3349" s="544"/>
      <c r="AB3349" s="394"/>
      <c r="AC3349" s="394"/>
      <c r="AD3349" s="394"/>
      <c r="AE3349" s="394"/>
      <c r="AF3349" s="394"/>
      <c r="AG3349" s="394"/>
      <c r="AH3349" s="394"/>
      <c r="AI3349" s="394"/>
      <c r="AJ3349" s="394"/>
      <c r="AK3349" s="381"/>
      <c r="AL3349" s="408"/>
      <c r="AM3349" s="385"/>
      <c r="AN3349" s="475"/>
      <c r="AO3349" s="395"/>
      <c r="AP3349" s="395" t="e">
        <f t="shared" si="1312"/>
        <v>#DIV/0!</v>
      </c>
      <c r="AQ3349" s="393"/>
      <c r="AR3349" s="497"/>
      <c r="AS3349" s="497"/>
      <c r="AT3349" s="544"/>
      <c r="AU3349" s="394"/>
      <c r="AV3349" s="394"/>
      <c r="AW3349" s="394"/>
      <c r="AX3349" s="394"/>
      <c r="AY3349" s="394"/>
      <c r="AZ3349" s="394"/>
      <c r="BA3349" s="394"/>
      <c r="BB3349" s="394"/>
      <c r="BC3349" s="394"/>
      <c r="BD3349" s="381"/>
      <c r="BE3349" s="408"/>
      <c r="BF3349" s="385"/>
      <c r="BG3349" s="475"/>
      <c r="BH3349" s="395"/>
      <c r="BI3349" s="395" t="e">
        <f t="shared" si="1059"/>
        <v>#DIV/0!</v>
      </c>
    </row>
    <row r="3350" spans="1:61" s="358" customFormat="1" ht="19.2" x14ac:dyDescent="0.3">
      <c r="A3350" s="359" t="s">
        <v>331</v>
      </c>
      <c r="B3350" s="537" t="s">
        <v>1848</v>
      </c>
      <c r="C3350" s="546" t="s">
        <v>1140</v>
      </c>
      <c r="D3350" s="360">
        <v>0.4</v>
      </c>
      <c r="E3350" s="393"/>
      <c r="F3350" s="497">
        <v>1</v>
      </c>
      <c r="G3350" s="497"/>
      <c r="H3350" s="544">
        <v>17.21396</v>
      </c>
      <c r="I3350" s="394">
        <v>12.61392</v>
      </c>
      <c r="J3350" s="394">
        <v>8.5416500000000006</v>
      </c>
      <c r="K3350" s="394"/>
      <c r="L3350" s="394"/>
      <c r="M3350" s="394">
        <v>0</v>
      </c>
      <c r="N3350" s="394">
        <v>0</v>
      </c>
      <c r="O3350" s="394">
        <v>1.0724</v>
      </c>
      <c r="P3350" s="394">
        <v>8.5416500000000006</v>
      </c>
      <c r="Q3350" s="394"/>
      <c r="R3350" s="381" t="s">
        <v>167</v>
      </c>
      <c r="S3350" s="408" t="s">
        <v>175</v>
      </c>
      <c r="T3350" s="385"/>
      <c r="U3350" s="475">
        <v>1074</v>
      </c>
      <c r="V3350" s="395"/>
      <c r="W3350" s="395">
        <f t="shared" si="1314"/>
        <v>17.21396</v>
      </c>
      <c r="X3350" s="393"/>
      <c r="Y3350" s="497"/>
      <c r="Z3350" s="497"/>
      <c r="AA3350" s="544"/>
      <c r="AB3350" s="394"/>
      <c r="AC3350" s="394"/>
      <c r="AD3350" s="394"/>
      <c r="AE3350" s="394"/>
      <c r="AF3350" s="394"/>
      <c r="AG3350" s="394"/>
      <c r="AH3350" s="394"/>
      <c r="AI3350" s="394"/>
      <c r="AJ3350" s="394"/>
      <c r="AK3350" s="381"/>
      <c r="AL3350" s="408"/>
      <c r="AM3350" s="385"/>
      <c r="AN3350" s="475"/>
      <c r="AO3350" s="395"/>
      <c r="AP3350" s="395" t="e">
        <f t="shared" si="1312"/>
        <v>#DIV/0!</v>
      </c>
      <c r="AQ3350" s="393"/>
      <c r="AR3350" s="497"/>
      <c r="AS3350" s="497"/>
      <c r="AT3350" s="544"/>
      <c r="AU3350" s="394"/>
      <c r="AV3350" s="394"/>
      <c r="AW3350" s="394"/>
      <c r="AX3350" s="394"/>
      <c r="AY3350" s="394"/>
      <c r="AZ3350" s="394"/>
      <c r="BA3350" s="394"/>
      <c r="BB3350" s="394"/>
      <c r="BC3350" s="394"/>
      <c r="BD3350" s="381"/>
      <c r="BE3350" s="408"/>
      <c r="BF3350" s="385"/>
      <c r="BG3350" s="475"/>
      <c r="BH3350" s="395"/>
      <c r="BI3350" s="395" t="e">
        <f t="shared" si="1059"/>
        <v>#DIV/0!</v>
      </c>
    </row>
    <row r="3351" spans="1:61" s="358" customFormat="1" ht="19.2" x14ac:dyDescent="0.3">
      <c r="A3351" s="359" t="s">
        <v>332</v>
      </c>
      <c r="B3351" s="537" t="s">
        <v>622</v>
      </c>
      <c r="C3351" s="546" t="s">
        <v>497</v>
      </c>
      <c r="D3351" s="360">
        <v>0.4</v>
      </c>
      <c r="E3351" s="393"/>
      <c r="F3351" s="497">
        <v>1</v>
      </c>
      <c r="G3351" s="497"/>
      <c r="H3351" s="544">
        <v>20.53098</v>
      </c>
      <c r="I3351" s="394">
        <v>14.682840000000001</v>
      </c>
      <c r="J3351" s="394">
        <v>8.5416500000000006</v>
      </c>
      <c r="K3351" s="394"/>
      <c r="L3351" s="394"/>
      <c r="M3351" s="394">
        <v>0</v>
      </c>
      <c r="N3351" s="394">
        <v>0</v>
      </c>
      <c r="O3351" s="394">
        <v>1.36337</v>
      </c>
      <c r="P3351" s="394">
        <v>8.5416500000000006</v>
      </c>
      <c r="Q3351" s="394"/>
      <c r="R3351" s="381" t="s">
        <v>167</v>
      </c>
      <c r="S3351" s="408" t="s">
        <v>175</v>
      </c>
      <c r="T3351" s="385"/>
      <c r="U3351" s="475">
        <v>1075</v>
      </c>
      <c r="V3351" s="395"/>
      <c r="W3351" s="395">
        <f t="shared" si="1314"/>
        <v>20.53098</v>
      </c>
      <c r="X3351" s="393"/>
      <c r="Y3351" s="497"/>
      <c r="Z3351" s="497"/>
      <c r="AA3351" s="544"/>
      <c r="AB3351" s="394"/>
      <c r="AC3351" s="394"/>
      <c r="AD3351" s="394"/>
      <c r="AE3351" s="394"/>
      <c r="AF3351" s="394"/>
      <c r="AG3351" s="394"/>
      <c r="AH3351" s="394"/>
      <c r="AI3351" s="394"/>
      <c r="AJ3351" s="394"/>
      <c r="AK3351" s="381"/>
      <c r="AL3351" s="408"/>
      <c r="AM3351" s="385"/>
      <c r="AN3351" s="475"/>
      <c r="AO3351" s="395"/>
      <c r="AP3351" s="395" t="e">
        <f t="shared" si="1312"/>
        <v>#DIV/0!</v>
      </c>
      <c r="AQ3351" s="393"/>
      <c r="AR3351" s="497"/>
      <c r="AS3351" s="497"/>
      <c r="AT3351" s="544"/>
      <c r="AU3351" s="394"/>
      <c r="AV3351" s="394"/>
      <c r="AW3351" s="394"/>
      <c r="AX3351" s="394"/>
      <c r="AY3351" s="394"/>
      <c r="AZ3351" s="394"/>
      <c r="BA3351" s="394"/>
      <c r="BB3351" s="394"/>
      <c r="BC3351" s="394"/>
      <c r="BD3351" s="381"/>
      <c r="BE3351" s="408"/>
      <c r="BF3351" s="385"/>
      <c r="BG3351" s="475"/>
      <c r="BH3351" s="395"/>
      <c r="BI3351" s="395" t="e">
        <f t="shared" si="1059"/>
        <v>#DIV/0!</v>
      </c>
    </row>
    <row r="3352" spans="1:61" s="358" customFormat="1" ht="19.2" x14ac:dyDescent="0.3">
      <c r="A3352" s="359" t="s">
        <v>333</v>
      </c>
      <c r="B3352" s="537" t="s">
        <v>1849</v>
      </c>
      <c r="C3352" s="546" t="s">
        <v>1141</v>
      </c>
      <c r="D3352" s="360">
        <v>0.4</v>
      </c>
      <c r="E3352" s="393"/>
      <c r="F3352" s="497">
        <v>1</v>
      </c>
      <c r="G3352" s="497"/>
      <c r="H3352" s="544">
        <v>29.353809999999999</v>
      </c>
      <c r="I3352" s="394">
        <v>22.19191</v>
      </c>
      <c r="J3352" s="394">
        <v>8.5416600000000003</v>
      </c>
      <c r="K3352" s="394"/>
      <c r="L3352" s="394"/>
      <c r="M3352" s="394">
        <v>0</v>
      </c>
      <c r="N3352" s="394">
        <v>0</v>
      </c>
      <c r="O3352" s="394">
        <v>1.66964</v>
      </c>
      <c r="P3352" s="394">
        <v>8.5416600000000003</v>
      </c>
      <c r="Q3352" s="394"/>
      <c r="R3352" s="381" t="s">
        <v>167</v>
      </c>
      <c r="S3352" s="408" t="s">
        <v>175</v>
      </c>
      <c r="T3352" s="385"/>
      <c r="U3352" s="475">
        <v>1076</v>
      </c>
      <c r="V3352" s="395"/>
      <c r="W3352" s="395">
        <f t="shared" si="1314"/>
        <v>29.353809999999999</v>
      </c>
      <c r="X3352" s="393"/>
      <c r="Y3352" s="497"/>
      <c r="Z3352" s="497"/>
      <c r="AA3352" s="544"/>
      <c r="AB3352" s="394"/>
      <c r="AC3352" s="394"/>
      <c r="AD3352" s="394"/>
      <c r="AE3352" s="394"/>
      <c r="AF3352" s="394"/>
      <c r="AG3352" s="394"/>
      <c r="AH3352" s="394"/>
      <c r="AI3352" s="394"/>
      <c r="AJ3352" s="394"/>
      <c r="AK3352" s="381"/>
      <c r="AL3352" s="408"/>
      <c r="AM3352" s="385"/>
      <c r="AN3352" s="475"/>
      <c r="AO3352" s="395"/>
      <c r="AP3352" s="395" t="e">
        <f t="shared" si="1312"/>
        <v>#DIV/0!</v>
      </c>
      <c r="AQ3352" s="393"/>
      <c r="AR3352" s="497"/>
      <c r="AS3352" s="497"/>
      <c r="AT3352" s="544"/>
      <c r="AU3352" s="394"/>
      <c r="AV3352" s="394"/>
      <c r="AW3352" s="394"/>
      <c r="AX3352" s="394"/>
      <c r="AY3352" s="394"/>
      <c r="AZ3352" s="394"/>
      <c r="BA3352" s="394"/>
      <c r="BB3352" s="394"/>
      <c r="BC3352" s="394"/>
      <c r="BD3352" s="381"/>
      <c r="BE3352" s="408"/>
      <c r="BF3352" s="385"/>
      <c r="BG3352" s="475"/>
      <c r="BH3352" s="395"/>
      <c r="BI3352" s="395" t="e">
        <f t="shared" si="1059"/>
        <v>#DIV/0!</v>
      </c>
    </row>
    <row r="3353" spans="1:61" s="358" customFormat="1" ht="19.2" x14ac:dyDescent="0.3">
      <c r="A3353" s="359" t="s">
        <v>334</v>
      </c>
      <c r="B3353" s="537" t="s">
        <v>641</v>
      </c>
      <c r="C3353" s="546" t="s">
        <v>519</v>
      </c>
      <c r="D3353" s="360">
        <v>0.4</v>
      </c>
      <c r="E3353" s="393"/>
      <c r="F3353" s="497">
        <v>1</v>
      </c>
      <c r="G3353" s="497"/>
      <c r="H3353" s="544">
        <v>50.689399999999999</v>
      </c>
      <c r="I3353" s="394">
        <v>42.044469999999997</v>
      </c>
      <c r="J3353" s="394">
        <v>8.5416699999999999</v>
      </c>
      <c r="K3353" s="394"/>
      <c r="L3353" s="394"/>
      <c r="M3353" s="394">
        <v>0</v>
      </c>
      <c r="N3353" s="394">
        <v>0</v>
      </c>
      <c r="O3353" s="394">
        <v>2.0153799999999999</v>
      </c>
      <c r="P3353" s="394">
        <v>8.5416699999999999</v>
      </c>
      <c r="Q3353" s="394"/>
      <c r="R3353" s="381" t="s">
        <v>167</v>
      </c>
      <c r="S3353" s="408" t="s">
        <v>175</v>
      </c>
      <c r="T3353" s="385"/>
      <c r="U3353" s="475">
        <v>1078</v>
      </c>
      <c r="V3353" s="395"/>
      <c r="W3353" s="395">
        <f t="shared" si="1314"/>
        <v>50.689399999999999</v>
      </c>
      <c r="X3353" s="393"/>
      <c r="Y3353" s="497"/>
      <c r="Z3353" s="497"/>
      <c r="AA3353" s="544"/>
      <c r="AB3353" s="394"/>
      <c r="AC3353" s="394"/>
      <c r="AD3353" s="394"/>
      <c r="AE3353" s="394"/>
      <c r="AF3353" s="394"/>
      <c r="AG3353" s="394"/>
      <c r="AH3353" s="394"/>
      <c r="AI3353" s="394"/>
      <c r="AJ3353" s="394"/>
      <c r="AK3353" s="381"/>
      <c r="AL3353" s="408"/>
      <c r="AM3353" s="385"/>
      <c r="AN3353" s="475"/>
      <c r="AO3353" s="395"/>
      <c r="AP3353" s="395" t="e">
        <f t="shared" si="1312"/>
        <v>#DIV/0!</v>
      </c>
      <c r="AQ3353" s="393"/>
      <c r="AR3353" s="497"/>
      <c r="AS3353" s="497"/>
      <c r="AT3353" s="544"/>
      <c r="AU3353" s="394"/>
      <c r="AV3353" s="394"/>
      <c r="AW3353" s="394"/>
      <c r="AX3353" s="394"/>
      <c r="AY3353" s="394"/>
      <c r="AZ3353" s="394"/>
      <c r="BA3353" s="394"/>
      <c r="BB3353" s="394"/>
      <c r="BC3353" s="394"/>
      <c r="BD3353" s="381"/>
      <c r="BE3353" s="408"/>
      <c r="BF3353" s="385"/>
      <c r="BG3353" s="475"/>
      <c r="BH3353" s="395"/>
      <c r="BI3353" s="395" t="e">
        <f t="shared" si="1059"/>
        <v>#DIV/0!</v>
      </c>
    </row>
    <row r="3354" spans="1:61" s="358" customFormat="1" ht="19.2" x14ac:dyDescent="0.3">
      <c r="A3354" s="359" t="s">
        <v>335</v>
      </c>
      <c r="B3354" s="537" t="s">
        <v>1850</v>
      </c>
      <c r="C3354" s="546" t="s">
        <v>1142</v>
      </c>
      <c r="D3354" s="360">
        <v>0.4</v>
      </c>
      <c r="E3354" s="393"/>
      <c r="F3354" s="497">
        <v>1</v>
      </c>
      <c r="G3354" s="497"/>
      <c r="H3354" s="544">
        <v>21.180029999999999</v>
      </c>
      <c r="I3354" s="394">
        <v>17.22344</v>
      </c>
      <c r="J3354" s="394">
        <v>8.5416699999999999</v>
      </c>
      <c r="K3354" s="394"/>
      <c r="L3354" s="394"/>
      <c r="M3354" s="394">
        <v>0</v>
      </c>
      <c r="N3354" s="394">
        <v>0</v>
      </c>
      <c r="O3354" s="394">
        <v>0.92239000000000004</v>
      </c>
      <c r="P3354" s="394">
        <v>8.5416699999999999</v>
      </c>
      <c r="Q3354" s="394"/>
      <c r="R3354" s="381" t="s">
        <v>167</v>
      </c>
      <c r="S3354" s="408" t="s">
        <v>175</v>
      </c>
      <c r="T3354" s="385"/>
      <c r="U3354" s="475">
        <v>1080</v>
      </c>
      <c r="V3354" s="395"/>
      <c r="W3354" s="395">
        <f t="shared" si="1314"/>
        <v>21.180029999999999</v>
      </c>
      <c r="X3354" s="393"/>
      <c r="Y3354" s="497"/>
      <c r="Z3354" s="497"/>
      <c r="AA3354" s="544"/>
      <c r="AB3354" s="394"/>
      <c r="AC3354" s="394"/>
      <c r="AD3354" s="394"/>
      <c r="AE3354" s="394"/>
      <c r="AF3354" s="394"/>
      <c r="AG3354" s="394"/>
      <c r="AH3354" s="394"/>
      <c r="AI3354" s="394"/>
      <c r="AJ3354" s="394"/>
      <c r="AK3354" s="381"/>
      <c r="AL3354" s="408"/>
      <c r="AM3354" s="385"/>
      <c r="AN3354" s="475"/>
      <c r="AO3354" s="395"/>
      <c r="AP3354" s="395" t="e">
        <f t="shared" si="1312"/>
        <v>#DIV/0!</v>
      </c>
      <c r="AQ3354" s="393"/>
      <c r="AR3354" s="497"/>
      <c r="AS3354" s="497"/>
      <c r="AT3354" s="544"/>
      <c r="AU3354" s="394"/>
      <c r="AV3354" s="394"/>
      <c r="AW3354" s="394"/>
      <c r="AX3354" s="394"/>
      <c r="AY3354" s="394"/>
      <c r="AZ3354" s="394"/>
      <c r="BA3354" s="394"/>
      <c r="BB3354" s="394"/>
      <c r="BC3354" s="394"/>
      <c r="BD3354" s="381"/>
      <c r="BE3354" s="408"/>
      <c r="BF3354" s="385"/>
      <c r="BG3354" s="475"/>
      <c r="BH3354" s="395"/>
      <c r="BI3354" s="395" t="e">
        <f t="shared" si="1059"/>
        <v>#DIV/0!</v>
      </c>
    </row>
    <row r="3355" spans="1:61" s="358" customFormat="1" ht="19.2" x14ac:dyDescent="0.3">
      <c r="A3355" s="359" t="s">
        <v>336</v>
      </c>
      <c r="B3355" s="537" t="s">
        <v>631</v>
      </c>
      <c r="C3355" s="546" t="s">
        <v>507</v>
      </c>
      <c r="D3355" s="360">
        <v>0.4</v>
      </c>
      <c r="E3355" s="393"/>
      <c r="F3355" s="497">
        <v>1</v>
      </c>
      <c r="G3355" s="497"/>
      <c r="H3355" s="544">
        <v>25.519179999999999</v>
      </c>
      <c r="I3355" s="394">
        <v>19.26763</v>
      </c>
      <c r="J3355" s="394">
        <v>8.5416699999999999</v>
      </c>
      <c r="K3355" s="394"/>
      <c r="L3355" s="394"/>
      <c r="M3355" s="394">
        <v>0</v>
      </c>
      <c r="N3355" s="394">
        <v>0</v>
      </c>
      <c r="O3355" s="394">
        <v>1.4574100000000001</v>
      </c>
      <c r="P3355" s="394">
        <v>8.5416699999999999</v>
      </c>
      <c r="Q3355" s="394"/>
      <c r="R3355" s="381" t="s">
        <v>167</v>
      </c>
      <c r="S3355" s="408" t="s">
        <v>175</v>
      </c>
      <c r="T3355" s="385"/>
      <c r="U3355" s="475">
        <v>1081</v>
      </c>
      <c r="V3355" s="395"/>
      <c r="W3355" s="395">
        <f t="shared" si="1314"/>
        <v>25.519179999999999</v>
      </c>
      <c r="X3355" s="393"/>
      <c r="Y3355" s="497"/>
      <c r="Z3355" s="497"/>
      <c r="AA3355" s="544"/>
      <c r="AB3355" s="394"/>
      <c r="AC3355" s="394"/>
      <c r="AD3355" s="394"/>
      <c r="AE3355" s="394"/>
      <c r="AF3355" s="394"/>
      <c r="AG3355" s="394"/>
      <c r="AH3355" s="394"/>
      <c r="AI3355" s="394"/>
      <c r="AJ3355" s="394"/>
      <c r="AK3355" s="381"/>
      <c r="AL3355" s="408"/>
      <c r="AM3355" s="385"/>
      <c r="AN3355" s="475"/>
      <c r="AO3355" s="395"/>
      <c r="AP3355" s="395" t="e">
        <f t="shared" si="1312"/>
        <v>#DIV/0!</v>
      </c>
      <c r="AQ3355" s="393"/>
      <c r="AR3355" s="497"/>
      <c r="AS3355" s="497"/>
      <c r="AT3355" s="544"/>
      <c r="AU3355" s="394"/>
      <c r="AV3355" s="394"/>
      <c r="AW3355" s="394"/>
      <c r="AX3355" s="394"/>
      <c r="AY3355" s="394"/>
      <c r="AZ3355" s="394"/>
      <c r="BA3355" s="394"/>
      <c r="BB3355" s="394"/>
      <c r="BC3355" s="394"/>
      <c r="BD3355" s="381"/>
      <c r="BE3355" s="408"/>
      <c r="BF3355" s="385"/>
      <c r="BG3355" s="475"/>
      <c r="BH3355" s="395"/>
      <c r="BI3355" s="395" t="e">
        <f t="shared" si="1059"/>
        <v>#DIV/0!</v>
      </c>
    </row>
    <row r="3356" spans="1:61" s="358" customFormat="1" ht="19.2" x14ac:dyDescent="0.3">
      <c r="A3356" s="359" t="s">
        <v>337</v>
      </c>
      <c r="B3356" s="537" t="s">
        <v>1851</v>
      </c>
      <c r="C3356" s="546" t="s">
        <v>1156</v>
      </c>
      <c r="D3356" s="360">
        <v>0.4</v>
      </c>
      <c r="E3356" s="393"/>
      <c r="F3356" s="497">
        <v>1</v>
      </c>
      <c r="G3356" s="497"/>
      <c r="H3356" s="544">
        <v>49.482140000000001</v>
      </c>
      <c r="I3356" s="394">
        <v>35.12867</v>
      </c>
      <c r="J3356" s="394">
        <v>17.08334</v>
      </c>
      <c r="K3356" s="394"/>
      <c r="L3356" s="394"/>
      <c r="M3356" s="394">
        <v>0</v>
      </c>
      <c r="N3356" s="394">
        <v>0</v>
      </c>
      <c r="O3356" s="394">
        <v>3.3462100000000001</v>
      </c>
      <c r="P3356" s="394">
        <v>8.5416699999999999</v>
      </c>
      <c r="Q3356" s="394"/>
      <c r="R3356" s="381" t="s">
        <v>167</v>
      </c>
      <c r="S3356" s="408" t="s">
        <v>175</v>
      </c>
      <c r="T3356" s="385"/>
      <c r="U3356" s="475">
        <v>1083</v>
      </c>
      <c r="V3356" s="395"/>
      <c r="W3356" s="395">
        <f t="shared" si="1314"/>
        <v>49.482140000000001</v>
      </c>
      <c r="X3356" s="393"/>
      <c r="Y3356" s="497"/>
      <c r="Z3356" s="497"/>
      <c r="AA3356" s="544"/>
      <c r="AB3356" s="394"/>
      <c r="AC3356" s="394"/>
      <c r="AD3356" s="394"/>
      <c r="AE3356" s="394"/>
      <c r="AF3356" s="394"/>
      <c r="AG3356" s="394"/>
      <c r="AH3356" s="394"/>
      <c r="AI3356" s="394"/>
      <c r="AJ3356" s="394"/>
      <c r="AK3356" s="381"/>
      <c r="AL3356" s="408"/>
      <c r="AM3356" s="385"/>
      <c r="AN3356" s="475"/>
      <c r="AO3356" s="395"/>
      <c r="AP3356" s="395" t="e">
        <f t="shared" si="1312"/>
        <v>#DIV/0!</v>
      </c>
      <c r="AQ3356" s="393"/>
      <c r="AR3356" s="497"/>
      <c r="AS3356" s="497"/>
      <c r="AT3356" s="544"/>
      <c r="AU3356" s="394"/>
      <c r="AV3356" s="394"/>
      <c r="AW3356" s="394"/>
      <c r="AX3356" s="394"/>
      <c r="AY3356" s="394"/>
      <c r="AZ3356" s="394"/>
      <c r="BA3356" s="394"/>
      <c r="BB3356" s="394"/>
      <c r="BC3356" s="394"/>
      <c r="BD3356" s="381"/>
      <c r="BE3356" s="408"/>
      <c r="BF3356" s="385"/>
      <c r="BG3356" s="475"/>
      <c r="BH3356" s="395"/>
      <c r="BI3356" s="395" t="e">
        <f t="shared" si="1059"/>
        <v>#DIV/0!</v>
      </c>
    </row>
    <row r="3357" spans="1:61" s="358" customFormat="1" ht="19.2" x14ac:dyDescent="0.3">
      <c r="A3357" s="359" t="s">
        <v>338</v>
      </c>
      <c r="B3357" s="537" t="s">
        <v>1852</v>
      </c>
      <c r="C3357" s="546" t="s">
        <v>1157</v>
      </c>
      <c r="D3357" s="360">
        <v>0.4</v>
      </c>
      <c r="E3357" s="393"/>
      <c r="F3357" s="497">
        <v>1</v>
      </c>
      <c r="G3357" s="497"/>
      <c r="H3357" s="544">
        <v>34.32302</v>
      </c>
      <c r="I3357" s="394">
        <v>26.590679999999999</v>
      </c>
      <c r="J3357" s="394">
        <v>17.08334</v>
      </c>
      <c r="K3357" s="394"/>
      <c r="L3357" s="394"/>
      <c r="M3357" s="394">
        <v>0</v>
      </c>
      <c r="N3357" s="394">
        <v>0</v>
      </c>
      <c r="O3357" s="394">
        <v>1.80263</v>
      </c>
      <c r="P3357" s="394">
        <v>8.5416699999999999</v>
      </c>
      <c r="Q3357" s="394"/>
      <c r="R3357" s="381" t="s">
        <v>167</v>
      </c>
      <c r="S3357" s="408" t="s">
        <v>175</v>
      </c>
      <c r="T3357" s="385"/>
      <c r="U3357" s="475">
        <v>1085</v>
      </c>
      <c r="V3357" s="395"/>
      <c r="W3357" s="395">
        <f t="shared" si="1314"/>
        <v>34.32302</v>
      </c>
      <c r="X3357" s="393"/>
      <c r="Y3357" s="497"/>
      <c r="Z3357" s="497"/>
      <c r="AA3357" s="544"/>
      <c r="AB3357" s="394"/>
      <c r="AC3357" s="394"/>
      <c r="AD3357" s="394"/>
      <c r="AE3357" s="394"/>
      <c r="AF3357" s="394"/>
      <c r="AG3357" s="394"/>
      <c r="AH3357" s="394"/>
      <c r="AI3357" s="394"/>
      <c r="AJ3357" s="394"/>
      <c r="AK3357" s="381"/>
      <c r="AL3357" s="408"/>
      <c r="AM3357" s="385"/>
      <c r="AN3357" s="475"/>
      <c r="AO3357" s="395"/>
      <c r="AP3357" s="395" t="e">
        <f t="shared" si="1312"/>
        <v>#DIV/0!</v>
      </c>
      <c r="AQ3357" s="393"/>
      <c r="AR3357" s="497"/>
      <c r="AS3357" s="497"/>
      <c r="AT3357" s="544"/>
      <c r="AU3357" s="394"/>
      <c r="AV3357" s="394"/>
      <c r="AW3357" s="394"/>
      <c r="AX3357" s="394"/>
      <c r="AY3357" s="394"/>
      <c r="AZ3357" s="394"/>
      <c r="BA3357" s="394"/>
      <c r="BB3357" s="394"/>
      <c r="BC3357" s="394"/>
      <c r="BD3357" s="381"/>
      <c r="BE3357" s="408"/>
      <c r="BF3357" s="385"/>
      <c r="BG3357" s="475"/>
      <c r="BH3357" s="395"/>
      <c r="BI3357" s="395" t="e">
        <f t="shared" si="1059"/>
        <v>#DIV/0!</v>
      </c>
    </row>
    <row r="3358" spans="1:61" s="358" customFormat="1" ht="19.2" x14ac:dyDescent="0.3">
      <c r="A3358" s="359" t="s">
        <v>339</v>
      </c>
      <c r="B3358" s="537" t="s">
        <v>1853</v>
      </c>
      <c r="C3358" s="546" t="s">
        <v>1276</v>
      </c>
      <c r="D3358" s="360">
        <v>0.4</v>
      </c>
      <c r="E3358" s="393"/>
      <c r="F3358" s="497">
        <v>1</v>
      </c>
      <c r="G3358" s="497"/>
      <c r="H3358" s="544">
        <v>23.720980000000001</v>
      </c>
      <c r="I3358" s="394">
        <v>18.183499999999999</v>
      </c>
      <c r="J3358" s="394">
        <v>8.5416699999999999</v>
      </c>
      <c r="K3358" s="394"/>
      <c r="L3358" s="394"/>
      <c r="M3358" s="394">
        <v>0</v>
      </c>
      <c r="N3358" s="394">
        <v>0</v>
      </c>
      <c r="O3358" s="394">
        <v>1.29095</v>
      </c>
      <c r="P3358" s="394">
        <v>8.5416699999999999</v>
      </c>
      <c r="Q3358" s="394"/>
      <c r="R3358" s="381" t="s">
        <v>167</v>
      </c>
      <c r="S3358" s="408" t="s">
        <v>175</v>
      </c>
      <c r="T3358" s="385"/>
      <c r="U3358" s="475">
        <v>1086</v>
      </c>
      <c r="V3358" s="395"/>
      <c r="W3358" s="395">
        <f t="shared" si="1310"/>
        <v>23.720980000000001</v>
      </c>
      <c r="X3358" s="393"/>
      <c r="Y3358" s="497"/>
      <c r="Z3358" s="497"/>
      <c r="AA3358" s="544"/>
      <c r="AB3358" s="394"/>
      <c r="AC3358" s="394"/>
      <c r="AD3358" s="394"/>
      <c r="AE3358" s="394"/>
      <c r="AF3358" s="394"/>
      <c r="AG3358" s="394"/>
      <c r="AH3358" s="394"/>
      <c r="AI3358" s="394"/>
      <c r="AJ3358" s="394"/>
      <c r="AK3358" s="381"/>
      <c r="AL3358" s="408"/>
      <c r="AM3358" s="385"/>
      <c r="AN3358" s="475"/>
      <c r="AO3358" s="395"/>
      <c r="AP3358" s="395" t="e">
        <f t="shared" si="1312"/>
        <v>#DIV/0!</v>
      </c>
      <c r="AQ3358" s="393"/>
      <c r="AR3358" s="497"/>
      <c r="AS3358" s="497"/>
      <c r="AT3358" s="544"/>
      <c r="AU3358" s="394"/>
      <c r="AV3358" s="394"/>
      <c r="AW3358" s="394"/>
      <c r="AX3358" s="394"/>
      <c r="AY3358" s="394"/>
      <c r="AZ3358" s="394"/>
      <c r="BA3358" s="394"/>
      <c r="BB3358" s="394"/>
      <c r="BC3358" s="394"/>
      <c r="BD3358" s="381"/>
      <c r="BE3358" s="408"/>
      <c r="BF3358" s="385"/>
      <c r="BG3358" s="475"/>
      <c r="BH3358" s="395"/>
      <c r="BI3358" s="395" t="e">
        <f t="shared" si="1059"/>
        <v>#DIV/0!</v>
      </c>
    </row>
    <row r="3359" spans="1:61" s="358" customFormat="1" ht="19.2" x14ac:dyDescent="0.3">
      <c r="A3359" s="359" t="s">
        <v>276</v>
      </c>
      <c r="B3359" s="537" t="s">
        <v>1854</v>
      </c>
      <c r="C3359" s="546" t="s">
        <v>1277</v>
      </c>
      <c r="D3359" s="360">
        <v>0.4</v>
      </c>
      <c r="E3359" s="393"/>
      <c r="F3359" s="497">
        <v>1</v>
      </c>
      <c r="G3359" s="497"/>
      <c r="H3359" s="544">
        <v>15.936970000000001</v>
      </c>
      <c r="I3359" s="394">
        <v>12.38495</v>
      </c>
      <c r="J3359" s="394">
        <v>8.5416699999999999</v>
      </c>
      <c r="K3359" s="394"/>
      <c r="L3359" s="394"/>
      <c r="M3359" s="394">
        <v>0</v>
      </c>
      <c r="N3359" s="394">
        <v>0</v>
      </c>
      <c r="O3359" s="394">
        <v>0.82808000000000004</v>
      </c>
      <c r="P3359" s="394">
        <v>8.5416699999999999</v>
      </c>
      <c r="Q3359" s="394"/>
      <c r="R3359" s="381" t="s">
        <v>167</v>
      </c>
      <c r="S3359" s="408" t="s">
        <v>175</v>
      </c>
      <c r="T3359" s="385"/>
      <c r="U3359" s="475">
        <v>1087</v>
      </c>
      <c r="V3359" s="395"/>
      <c r="W3359" s="395">
        <f t="shared" si="1310"/>
        <v>15.936970000000001</v>
      </c>
      <c r="X3359" s="393"/>
      <c r="Y3359" s="497"/>
      <c r="Z3359" s="497"/>
      <c r="AA3359" s="544"/>
      <c r="AB3359" s="394"/>
      <c r="AC3359" s="394"/>
      <c r="AD3359" s="394"/>
      <c r="AE3359" s="394"/>
      <c r="AF3359" s="394"/>
      <c r="AG3359" s="394"/>
      <c r="AH3359" s="394"/>
      <c r="AI3359" s="394"/>
      <c r="AJ3359" s="394"/>
      <c r="AK3359" s="381"/>
      <c r="AL3359" s="408"/>
      <c r="AM3359" s="385"/>
      <c r="AN3359" s="475"/>
      <c r="AO3359" s="395"/>
      <c r="AP3359" s="395" t="e">
        <f t="shared" si="1312"/>
        <v>#DIV/0!</v>
      </c>
      <c r="AQ3359" s="393"/>
      <c r="AR3359" s="497"/>
      <c r="AS3359" s="497"/>
      <c r="AT3359" s="544"/>
      <c r="AU3359" s="394"/>
      <c r="AV3359" s="394"/>
      <c r="AW3359" s="394"/>
      <c r="AX3359" s="394"/>
      <c r="AY3359" s="394"/>
      <c r="AZ3359" s="394"/>
      <c r="BA3359" s="394"/>
      <c r="BB3359" s="394"/>
      <c r="BC3359" s="394"/>
      <c r="BD3359" s="381"/>
      <c r="BE3359" s="408"/>
      <c r="BF3359" s="385"/>
      <c r="BG3359" s="475"/>
      <c r="BH3359" s="395"/>
      <c r="BI3359" s="395" t="e">
        <f t="shared" si="1059"/>
        <v>#DIV/0!</v>
      </c>
    </row>
    <row r="3360" spans="1:61" s="358" customFormat="1" ht="19.2" x14ac:dyDescent="0.3">
      <c r="A3360" s="359" t="s">
        <v>341</v>
      </c>
      <c r="B3360" s="537" t="s">
        <v>1855</v>
      </c>
      <c r="C3360" s="546" t="s">
        <v>1278</v>
      </c>
      <c r="D3360" s="360">
        <v>0.4</v>
      </c>
      <c r="E3360" s="393"/>
      <c r="F3360" s="497">
        <v>1</v>
      </c>
      <c r="G3360" s="497"/>
      <c r="H3360" s="544">
        <v>17.81662</v>
      </c>
      <c r="I3360" s="394">
        <v>14.695499999999999</v>
      </c>
      <c r="J3360" s="394">
        <v>8.5416699999999999</v>
      </c>
      <c r="K3360" s="394"/>
      <c r="L3360" s="394"/>
      <c r="M3360" s="394">
        <v>0</v>
      </c>
      <c r="N3360" s="394">
        <v>0</v>
      </c>
      <c r="O3360" s="394">
        <v>0.72762000000000004</v>
      </c>
      <c r="P3360" s="394">
        <v>8.5416699999999999</v>
      </c>
      <c r="Q3360" s="394"/>
      <c r="R3360" s="381" t="s">
        <v>167</v>
      </c>
      <c r="S3360" s="408" t="s">
        <v>175</v>
      </c>
      <c r="T3360" s="385"/>
      <c r="U3360" s="475">
        <v>1088</v>
      </c>
      <c r="V3360" s="395"/>
      <c r="W3360" s="395">
        <f t="shared" si="1310"/>
        <v>17.81662</v>
      </c>
      <c r="X3360" s="393"/>
      <c r="Y3360" s="497"/>
      <c r="Z3360" s="497"/>
      <c r="AA3360" s="544"/>
      <c r="AB3360" s="394"/>
      <c r="AC3360" s="394"/>
      <c r="AD3360" s="394"/>
      <c r="AE3360" s="394"/>
      <c r="AF3360" s="394"/>
      <c r="AG3360" s="394"/>
      <c r="AH3360" s="394"/>
      <c r="AI3360" s="394"/>
      <c r="AJ3360" s="394"/>
      <c r="AK3360" s="381"/>
      <c r="AL3360" s="408"/>
      <c r="AM3360" s="385"/>
      <c r="AN3360" s="475"/>
      <c r="AO3360" s="395"/>
      <c r="AP3360" s="395" t="e">
        <f t="shared" si="1312"/>
        <v>#DIV/0!</v>
      </c>
      <c r="AQ3360" s="393"/>
      <c r="AR3360" s="497"/>
      <c r="AS3360" s="497"/>
      <c r="AT3360" s="544"/>
      <c r="AU3360" s="394"/>
      <c r="AV3360" s="394"/>
      <c r="AW3360" s="394"/>
      <c r="AX3360" s="394"/>
      <c r="AY3360" s="394"/>
      <c r="AZ3360" s="394"/>
      <c r="BA3360" s="394"/>
      <c r="BB3360" s="394"/>
      <c r="BC3360" s="394"/>
      <c r="BD3360" s="381"/>
      <c r="BE3360" s="408"/>
      <c r="BF3360" s="385"/>
      <c r="BG3360" s="475"/>
      <c r="BH3360" s="395"/>
      <c r="BI3360" s="395" t="e">
        <f t="shared" si="1059"/>
        <v>#DIV/0!</v>
      </c>
    </row>
    <row r="3361" spans="1:61" s="358" customFormat="1" ht="19.2" x14ac:dyDescent="0.3">
      <c r="A3361" s="359" t="s">
        <v>326</v>
      </c>
      <c r="B3361" s="572" t="s">
        <v>2572</v>
      </c>
      <c r="C3361" s="546" t="s">
        <v>2571</v>
      </c>
      <c r="D3361" s="598">
        <v>0.4</v>
      </c>
      <c r="E3361" s="393"/>
      <c r="F3361" s="523"/>
      <c r="G3361" s="393"/>
      <c r="H3361" s="573"/>
      <c r="I3361" s="394"/>
      <c r="J3361" s="394"/>
      <c r="K3361" s="394"/>
      <c r="L3361" s="394"/>
      <c r="M3361" s="394"/>
      <c r="N3361" s="394"/>
      <c r="O3361" s="394"/>
      <c r="P3361" s="394"/>
      <c r="Q3361" s="394"/>
      <c r="R3361" s="381"/>
      <c r="S3361" s="408"/>
      <c r="T3361" s="385"/>
      <c r="U3361" s="475"/>
      <c r="V3361" s="395"/>
      <c r="W3361" s="395"/>
      <c r="X3361" s="393"/>
      <c r="Y3361" s="523">
        <v>1</v>
      </c>
      <c r="Z3361" s="497"/>
      <c r="AA3361" s="573">
        <v>34.682650000000002</v>
      </c>
      <c r="AB3361" s="394">
        <v>27.74474</v>
      </c>
      <c r="AC3361" s="394">
        <v>8.5416500000000006</v>
      </c>
      <c r="AD3361" s="394">
        <f>3.82596+8.84145</f>
        <v>12.66741</v>
      </c>
      <c r="AE3361" s="394"/>
      <c r="AF3361" s="394">
        <v>0</v>
      </c>
      <c r="AG3361" s="394">
        <v>0</v>
      </c>
      <c r="AH3361" s="394">
        <v>1.6174299999999999</v>
      </c>
      <c r="AI3361" s="394">
        <v>8.5416500000000006</v>
      </c>
      <c r="AJ3361" s="394">
        <f>1.27532+8.84145</f>
        <v>10.116770000000001</v>
      </c>
      <c r="AK3361" s="381" t="s">
        <v>167</v>
      </c>
      <c r="AL3361" s="408" t="s">
        <v>175</v>
      </c>
      <c r="AM3361" s="385"/>
      <c r="AN3361" s="475">
        <v>1601</v>
      </c>
      <c r="AO3361" s="395"/>
      <c r="AP3361" s="395">
        <f t="shared" si="1312"/>
        <v>34.682650000000002</v>
      </c>
      <c r="AQ3361" s="393"/>
      <c r="AR3361" s="523"/>
      <c r="AS3361" s="497"/>
      <c r="AT3361" s="573"/>
      <c r="AU3361" s="394"/>
      <c r="AV3361" s="394"/>
      <c r="AW3361" s="394"/>
      <c r="AX3361" s="394"/>
      <c r="AY3361" s="394"/>
      <c r="AZ3361" s="394"/>
      <c r="BA3361" s="394"/>
      <c r="BB3361" s="394"/>
      <c r="BC3361" s="394"/>
      <c r="BD3361" s="381"/>
      <c r="BE3361" s="408"/>
      <c r="BF3361" s="385"/>
      <c r="BG3361" s="475"/>
      <c r="BH3361" s="395"/>
      <c r="BI3361" s="395" t="e">
        <f t="shared" si="1059"/>
        <v>#DIV/0!</v>
      </c>
    </row>
    <row r="3362" spans="1:61" s="358" customFormat="1" ht="19.2" x14ac:dyDescent="0.3">
      <c r="A3362" s="359" t="s">
        <v>182</v>
      </c>
      <c r="B3362" s="572" t="s">
        <v>2436</v>
      </c>
      <c r="C3362" s="546" t="s">
        <v>2435</v>
      </c>
      <c r="D3362" s="598">
        <v>0.4</v>
      </c>
      <c r="E3362" s="393"/>
      <c r="F3362" s="523"/>
      <c r="G3362" s="393"/>
      <c r="H3362" s="573"/>
      <c r="I3362" s="394"/>
      <c r="J3362" s="394"/>
      <c r="K3362" s="394"/>
      <c r="L3362" s="394"/>
      <c r="M3362" s="394"/>
      <c r="N3362" s="394"/>
      <c r="O3362" s="394"/>
      <c r="P3362" s="394"/>
      <c r="Q3362" s="394"/>
      <c r="R3362" s="381"/>
      <c r="S3362" s="408"/>
      <c r="T3362" s="385"/>
      <c r="U3362" s="475"/>
      <c r="V3362" s="395"/>
      <c r="W3362" s="395"/>
      <c r="X3362" s="393"/>
      <c r="Y3362" s="523">
        <v>1</v>
      </c>
      <c r="Z3362" s="497"/>
      <c r="AA3362" s="573">
        <v>24.126300000000001</v>
      </c>
      <c r="AB3362" s="394">
        <v>18.661799999999999</v>
      </c>
      <c r="AC3362" s="394">
        <v>9.1448099999999997</v>
      </c>
      <c r="AD3362" s="394">
        <v>6.0976600000000003</v>
      </c>
      <c r="AE3362" s="394"/>
      <c r="AF3362" s="394">
        <v>0</v>
      </c>
      <c r="AG3362" s="394">
        <v>0</v>
      </c>
      <c r="AH3362" s="394">
        <v>1.27393</v>
      </c>
      <c r="AI3362" s="394">
        <v>9.1448099999999997</v>
      </c>
      <c r="AJ3362" s="394">
        <v>6.0976600000000003</v>
      </c>
      <c r="AK3362" s="381" t="s">
        <v>167</v>
      </c>
      <c r="AL3362" s="408" t="s">
        <v>175</v>
      </c>
      <c r="AM3362" s="385"/>
      <c r="AN3362" s="475">
        <v>1602</v>
      </c>
      <c r="AO3362" s="395"/>
      <c r="AP3362" s="395">
        <f>AA3362/Y3362</f>
        <v>24.126300000000001</v>
      </c>
      <c r="AQ3362" s="393"/>
      <c r="AR3362" s="523"/>
      <c r="AS3362" s="497"/>
      <c r="AT3362" s="573"/>
      <c r="AU3362" s="394"/>
      <c r="AV3362" s="394"/>
      <c r="AW3362" s="394"/>
      <c r="AX3362" s="394"/>
      <c r="AY3362" s="394"/>
      <c r="AZ3362" s="394"/>
      <c r="BA3362" s="394"/>
      <c r="BB3362" s="394"/>
      <c r="BC3362" s="394"/>
      <c r="BD3362" s="381"/>
      <c r="BE3362" s="408"/>
      <c r="BF3362" s="385"/>
      <c r="BG3362" s="475"/>
      <c r="BH3362" s="395"/>
      <c r="BI3362" s="395" t="e">
        <f>AT3362/AR3362</f>
        <v>#DIV/0!</v>
      </c>
    </row>
    <row r="3363" spans="1:61" s="358" customFormat="1" ht="19.2" x14ac:dyDescent="0.3">
      <c r="A3363" s="359" t="s">
        <v>328</v>
      </c>
      <c r="B3363" s="572" t="s">
        <v>2438</v>
      </c>
      <c r="C3363" s="546" t="s">
        <v>2437</v>
      </c>
      <c r="D3363" s="598">
        <v>0.4</v>
      </c>
      <c r="E3363" s="393"/>
      <c r="F3363" s="523"/>
      <c r="G3363" s="393"/>
      <c r="H3363" s="573"/>
      <c r="I3363" s="394"/>
      <c r="J3363" s="394"/>
      <c r="K3363" s="394"/>
      <c r="L3363" s="394"/>
      <c r="M3363" s="394"/>
      <c r="N3363" s="394"/>
      <c r="O3363" s="394"/>
      <c r="P3363" s="394"/>
      <c r="Q3363" s="394"/>
      <c r="R3363" s="381"/>
      <c r="S3363" s="408"/>
      <c r="T3363" s="385"/>
      <c r="U3363" s="475"/>
      <c r="V3363" s="395"/>
      <c r="W3363" s="395"/>
      <c r="X3363" s="393"/>
      <c r="Y3363" s="523">
        <v>1</v>
      </c>
      <c r="Z3363" s="497"/>
      <c r="AA3363" s="573">
        <v>26.44998</v>
      </c>
      <c r="AB3363" s="394">
        <v>20.712350000000001</v>
      </c>
      <c r="AC3363" s="394">
        <v>9.1137099999999993</v>
      </c>
      <c r="AD3363" s="394">
        <v>3.9422700000000002</v>
      </c>
      <c r="AE3363" s="394"/>
      <c r="AF3363" s="394">
        <v>0</v>
      </c>
      <c r="AG3363" s="394">
        <v>0</v>
      </c>
      <c r="AH3363" s="394">
        <v>1.33761</v>
      </c>
      <c r="AI3363" s="394">
        <v>9.1137099999999993</v>
      </c>
      <c r="AJ3363" s="394">
        <v>1.31409</v>
      </c>
      <c r="AK3363" s="381" t="s">
        <v>167</v>
      </c>
      <c r="AL3363" s="408" t="s">
        <v>175</v>
      </c>
      <c r="AM3363" s="385"/>
      <c r="AN3363" s="475">
        <v>1603</v>
      </c>
      <c r="AO3363" s="395"/>
      <c r="AP3363" s="395">
        <f t="shared" ref="AP3363:AP3364" si="1315">AA3363/Y3363</f>
        <v>26.44998</v>
      </c>
      <c r="AQ3363" s="393"/>
      <c r="AR3363" s="523"/>
      <c r="AS3363" s="497"/>
      <c r="AT3363" s="573"/>
      <c r="AU3363" s="394"/>
      <c r="AV3363" s="394"/>
      <c r="AW3363" s="394"/>
      <c r="AX3363" s="394"/>
      <c r="AY3363" s="394"/>
      <c r="AZ3363" s="394"/>
      <c r="BA3363" s="394"/>
      <c r="BB3363" s="394"/>
      <c r="BC3363" s="394"/>
      <c r="BD3363" s="381"/>
      <c r="BE3363" s="408"/>
      <c r="BF3363" s="385"/>
      <c r="BG3363" s="475"/>
      <c r="BH3363" s="395"/>
      <c r="BI3363" s="395" t="e">
        <f t="shared" ref="BI3363:BI3365" si="1316">AT3363/AR3363</f>
        <v>#DIV/0!</v>
      </c>
    </row>
    <row r="3364" spans="1:61" s="358" customFormat="1" ht="19.2" x14ac:dyDescent="0.3">
      <c r="A3364" s="359" t="s">
        <v>186</v>
      </c>
      <c r="B3364" s="572" t="s">
        <v>3921</v>
      </c>
      <c r="C3364" s="546" t="s">
        <v>3026</v>
      </c>
      <c r="D3364" s="598">
        <v>0.4</v>
      </c>
      <c r="E3364" s="393"/>
      <c r="F3364" s="523"/>
      <c r="G3364" s="393"/>
      <c r="H3364" s="573"/>
      <c r="I3364" s="394"/>
      <c r="J3364" s="394"/>
      <c r="K3364" s="394"/>
      <c r="L3364" s="394"/>
      <c r="M3364" s="394"/>
      <c r="N3364" s="394"/>
      <c r="O3364" s="394"/>
      <c r="P3364" s="394"/>
      <c r="Q3364" s="394"/>
      <c r="R3364" s="381"/>
      <c r="S3364" s="408"/>
      <c r="T3364" s="385"/>
      <c r="U3364" s="475"/>
      <c r="V3364" s="395"/>
      <c r="W3364" s="395"/>
      <c r="X3364" s="393"/>
      <c r="Y3364" s="523">
        <v>1</v>
      </c>
      <c r="Z3364" s="497"/>
      <c r="AA3364" s="573">
        <v>18.845050000000001</v>
      </c>
      <c r="AB3364" s="394">
        <v>14.56921</v>
      </c>
      <c r="AC3364" s="394">
        <v>9.1006900000000002</v>
      </c>
      <c r="AD3364" s="394"/>
      <c r="AE3364" s="394"/>
      <c r="AF3364" s="394">
        <v>0</v>
      </c>
      <c r="AG3364" s="394">
        <v>0</v>
      </c>
      <c r="AH3364" s="394">
        <v>0.99682000000000004</v>
      </c>
      <c r="AI3364" s="394">
        <v>9.1006900000000002</v>
      </c>
      <c r="AJ3364" s="394"/>
      <c r="AK3364" s="381" t="s">
        <v>167</v>
      </c>
      <c r="AL3364" s="408" t="s">
        <v>175</v>
      </c>
      <c r="AM3364" s="385"/>
      <c r="AN3364" s="475">
        <v>1604</v>
      </c>
      <c r="AO3364" s="395"/>
      <c r="AP3364" s="395">
        <f t="shared" si="1315"/>
        <v>18.845050000000001</v>
      </c>
      <c r="AQ3364" s="393"/>
      <c r="AR3364" s="523"/>
      <c r="AS3364" s="497"/>
      <c r="AT3364" s="573"/>
      <c r="AU3364" s="394"/>
      <c r="AV3364" s="394"/>
      <c r="AW3364" s="394"/>
      <c r="AX3364" s="394"/>
      <c r="AY3364" s="394"/>
      <c r="AZ3364" s="394"/>
      <c r="BA3364" s="394"/>
      <c r="BB3364" s="394"/>
      <c r="BC3364" s="394"/>
      <c r="BD3364" s="381"/>
      <c r="BE3364" s="408"/>
      <c r="BF3364" s="385"/>
      <c r="BG3364" s="475"/>
      <c r="BH3364" s="395"/>
      <c r="BI3364" s="395" t="e">
        <f t="shared" si="1316"/>
        <v>#DIV/0!</v>
      </c>
    </row>
    <row r="3365" spans="1:61" s="358" customFormat="1" ht="19.2" x14ac:dyDescent="0.3">
      <c r="A3365" s="359" t="s">
        <v>189</v>
      </c>
      <c r="B3365" s="572" t="s">
        <v>2458</v>
      </c>
      <c r="C3365" s="546" t="s">
        <v>2457</v>
      </c>
      <c r="D3365" s="598">
        <v>0.4</v>
      </c>
      <c r="E3365" s="393"/>
      <c r="F3365" s="523"/>
      <c r="G3365" s="393"/>
      <c r="H3365" s="573"/>
      <c r="I3365" s="394"/>
      <c r="J3365" s="394"/>
      <c r="K3365" s="394"/>
      <c r="L3365" s="394"/>
      <c r="M3365" s="394"/>
      <c r="N3365" s="394"/>
      <c r="O3365" s="394"/>
      <c r="P3365" s="394"/>
      <c r="Q3365" s="394"/>
      <c r="R3365" s="381"/>
      <c r="S3365" s="408"/>
      <c r="T3365" s="385"/>
      <c r="U3365" s="475"/>
      <c r="V3365" s="395"/>
      <c r="W3365" s="395"/>
      <c r="X3365" s="393"/>
      <c r="Y3365" s="523">
        <v>1</v>
      </c>
      <c r="Z3365" s="497"/>
      <c r="AA3365" s="573">
        <v>18.696349999999999</v>
      </c>
      <c r="AB3365" s="394">
        <v>13.88275</v>
      </c>
      <c r="AC3365" s="394">
        <v>9.4125999999999994</v>
      </c>
      <c r="AD3365" s="394">
        <v>6.3190499999999998</v>
      </c>
      <c r="AE3365" s="394"/>
      <c r="AF3365" s="394">
        <v>0</v>
      </c>
      <c r="AG3365" s="394">
        <v>0</v>
      </c>
      <c r="AH3365" s="394">
        <v>1.13618</v>
      </c>
      <c r="AI3365" s="394">
        <v>9.4125999999999994</v>
      </c>
      <c r="AJ3365" s="394">
        <v>2.1063499999999999</v>
      </c>
      <c r="AK3365" s="381" t="s">
        <v>167</v>
      </c>
      <c r="AL3365" s="408" t="s">
        <v>175</v>
      </c>
      <c r="AM3365" s="385"/>
      <c r="AN3365" s="475">
        <v>1605</v>
      </c>
      <c r="AO3365" s="395"/>
      <c r="AP3365" s="395">
        <f t="shared" si="1312"/>
        <v>18.696349999999999</v>
      </c>
      <c r="AQ3365" s="393"/>
      <c r="AR3365" s="523"/>
      <c r="AS3365" s="497"/>
      <c r="AT3365" s="573"/>
      <c r="AU3365" s="394"/>
      <c r="AV3365" s="394"/>
      <c r="AW3365" s="394"/>
      <c r="AX3365" s="394"/>
      <c r="AY3365" s="394"/>
      <c r="AZ3365" s="394"/>
      <c r="BA3365" s="394"/>
      <c r="BB3365" s="394"/>
      <c r="BC3365" s="394"/>
      <c r="BD3365" s="381"/>
      <c r="BE3365" s="408"/>
      <c r="BF3365" s="385"/>
      <c r="BG3365" s="475"/>
      <c r="BH3365" s="395"/>
      <c r="BI3365" s="395" t="e">
        <f t="shared" si="1316"/>
        <v>#DIV/0!</v>
      </c>
    </row>
    <row r="3366" spans="1:61" s="358" customFormat="1" ht="19.2" x14ac:dyDescent="0.3">
      <c r="A3366" s="359" t="s">
        <v>267</v>
      </c>
      <c r="B3366" s="572" t="s">
        <v>4405</v>
      </c>
      <c r="C3366" s="546" t="s">
        <v>3085</v>
      </c>
      <c r="D3366" s="598">
        <v>0.4</v>
      </c>
      <c r="E3366" s="393"/>
      <c r="F3366" s="523"/>
      <c r="G3366" s="393"/>
      <c r="H3366" s="573"/>
      <c r="I3366" s="394"/>
      <c r="J3366" s="394"/>
      <c r="K3366" s="394"/>
      <c r="L3366" s="394"/>
      <c r="M3366" s="394"/>
      <c r="N3366" s="394"/>
      <c r="O3366" s="394"/>
      <c r="P3366" s="394"/>
      <c r="Q3366" s="394"/>
      <c r="R3366" s="381"/>
      <c r="S3366" s="408"/>
      <c r="T3366" s="385"/>
      <c r="U3366" s="475"/>
      <c r="V3366" s="395"/>
      <c r="W3366" s="395"/>
      <c r="X3366" s="393"/>
      <c r="Y3366" s="523">
        <v>1</v>
      </c>
      <c r="Z3366" s="497"/>
      <c r="AA3366" s="573">
        <v>18.696349999999999</v>
      </c>
      <c r="AB3366" s="394">
        <v>13.88275</v>
      </c>
      <c r="AC3366" s="394">
        <v>9.4125999999999994</v>
      </c>
      <c r="AD3366" s="394">
        <v>6.3190499999999998</v>
      </c>
      <c r="AE3366" s="394"/>
      <c r="AF3366" s="394">
        <v>0</v>
      </c>
      <c r="AG3366" s="394">
        <v>0</v>
      </c>
      <c r="AH3366" s="394">
        <v>1.13618</v>
      </c>
      <c r="AI3366" s="394">
        <v>9.4125999999999994</v>
      </c>
      <c r="AJ3366" s="394">
        <v>2.1063499999999999</v>
      </c>
      <c r="AK3366" s="381" t="s">
        <v>167</v>
      </c>
      <c r="AL3366" s="408" t="s">
        <v>175</v>
      </c>
      <c r="AM3366" s="385"/>
      <c r="AN3366" s="475">
        <v>1606</v>
      </c>
      <c r="AO3366" s="395"/>
      <c r="AP3366" s="395">
        <f>AA3366/Y3366</f>
        <v>18.696349999999999</v>
      </c>
      <c r="AQ3366" s="393"/>
      <c r="AR3366" s="523"/>
      <c r="AS3366" s="497"/>
      <c r="AT3366" s="573"/>
      <c r="AU3366" s="394"/>
      <c r="AV3366" s="394"/>
      <c r="AW3366" s="394"/>
      <c r="AX3366" s="394"/>
      <c r="AY3366" s="394"/>
      <c r="AZ3366" s="394"/>
      <c r="BA3366" s="394"/>
      <c r="BB3366" s="394"/>
      <c r="BC3366" s="394"/>
      <c r="BD3366" s="381"/>
      <c r="BE3366" s="408"/>
      <c r="BF3366" s="385"/>
      <c r="BG3366" s="475"/>
      <c r="BH3366" s="395"/>
      <c r="BI3366" s="395" t="e">
        <f>AT3366/AR3366</f>
        <v>#DIV/0!</v>
      </c>
    </row>
    <row r="3367" spans="1:61" s="358" customFormat="1" ht="19.2" x14ac:dyDescent="0.3">
      <c r="A3367" s="359" t="s">
        <v>268</v>
      </c>
      <c r="B3367" s="572" t="s">
        <v>2440</v>
      </c>
      <c r="C3367" s="546" t="s">
        <v>2439</v>
      </c>
      <c r="D3367" s="598">
        <v>0.4</v>
      </c>
      <c r="E3367" s="393"/>
      <c r="F3367" s="337"/>
      <c r="G3367" s="337"/>
      <c r="H3367" s="573"/>
      <c r="I3367" s="394"/>
      <c r="J3367" s="394"/>
      <c r="K3367" s="394"/>
      <c r="L3367" s="394"/>
      <c r="M3367" s="394"/>
      <c r="N3367" s="394"/>
      <c r="O3367" s="394"/>
      <c r="P3367" s="394"/>
      <c r="Q3367" s="394"/>
      <c r="R3367" s="381"/>
      <c r="S3367" s="408"/>
      <c r="T3367" s="385"/>
      <c r="U3367" s="475"/>
      <c r="V3367" s="395"/>
      <c r="W3367" s="395"/>
      <c r="X3367" s="393"/>
      <c r="Y3367" s="497">
        <v>1</v>
      </c>
      <c r="Z3367" s="497"/>
      <c r="AA3367" s="573">
        <v>23.937159999999999</v>
      </c>
      <c r="AB3367" s="394">
        <v>17.940829999999998</v>
      </c>
      <c r="AC3367" s="394">
        <v>9.4125800000000002</v>
      </c>
      <c r="AD3367" s="394">
        <v>3.8259599999999998</v>
      </c>
      <c r="AE3367" s="394"/>
      <c r="AF3367" s="394">
        <v>0</v>
      </c>
      <c r="AG3367" s="394">
        <v>0</v>
      </c>
      <c r="AH3367" s="394">
        <v>1.3979200000000001</v>
      </c>
      <c r="AI3367" s="394">
        <v>9.4125800000000002</v>
      </c>
      <c r="AJ3367" s="394">
        <v>1.27532</v>
      </c>
      <c r="AK3367" s="381" t="s">
        <v>167</v>
      </c>
      <c r="AL3367" s="408" t="s">
        <v>175</v>
      </c>
      <c r="AM3367" s="385"/>
      <c r="AN3367" s="475">
        <v>1607</v>
      </c>
      <c r="AO3367" s="395"/>
      <c r="AP3367" s="395">
        <f>AA3367/Y3367</f>
        <v>23.937159999999999</v>
      </c>
      <c r="AQ3367" s="393"/>
      <c r="AR3367" s="497"/>
      <c r="AS3367" s="497"/>
      <c r="AT3367" s="573"/>
      <c r="AU3367" s="394"/>
      <c r="AV3367" s="394"/>
      <c r="AW3367" s="394"/>
      <c r="AX3367" s="394"/>
      <c r="AY3367" s="394"/>
      <c r="AZ3367" s="394"/>
      <c r="BA3367" s="394"/>
      <c r="BB3367" s="394"/>
      <c r="BC3367" s="394"/>
      <c r="BD3367" s="381"/>
      <c r="BE3367" s="408"/>
      <c r="BF3367" s="385"/>
      <c r="BG3367" s="475"/>
      <c r="BH3367" s="395"/>
      <c r="BI3367" s="395" t="e">
        <f>AT3367/AR3367</f>
        <v>#DIV/0!</v>
      </c>
    </row>
    <row r="3368" spans="1:61" s="358" customFormat="1" ht="19.2" x14ac:dyDescent="0.3">
      <c r="A3368" s="359" t="s">
        <v>269</v>
      </c>
      <c r="B3368" s="572" t="s">
        <v>2599</v>
      </c>
      <c r="C3368" s="546" t="s">
        <v>2598</v>
      </c>
      <c r="D3368" s="598">
        <v>0.4</v>
      </c>
      <c r="E3368" s="393"/>
      <c r="F3368" s="523"/>
      <c r="G3368" s="393"/>
      <c r="H3368" s="573"/>
      <c r="I3368" s="394"/>
      <c r="J3368" s="394"/>
      <c r="K3368" s="394"/>
      <c r="L3368" s="394"/>
      <c r="M3368" s="394"/>
      <c r="N3368" s="394"/>
      <c r="O3368" s="394"/>
      <c r="P3368" s="394"/>
      <c r="Q3368" s="394"/>
      <c r="R3368" s="381"/>
      <c r="S3368" s="408"/>
      <c r="T3368" s="385"/>
      <c r="U3368" s="475"/>
      <c r="V3368" s="395"/>
      <c r="W3368" s="395"/>
      <c r="X3368" s="393"/>
      <c r="Y3368" s="523">
        <v>1</v>
      </c>
      <c r="Z3368" s="497"/>
      <c r="AA3368" s="573">
        <v>50.976619999999997</v>
      </c>
      <c r="AB3368" s="394">
        <v>32.401690000000002</v>
      </c>
      <c r="AC3368" s="394">
        <v>9.4124999999999996</v>
      </c>
      <c r="AD3368" s="394">
        <f>3.98796+4.95885+1.43574</f>
        <v>10.382549999999998</v>
      </c>
      <c r="AE3368" s="394"/>
      <c r="AF3368" s="394">
        <v>0</v>
      </c>
      <c r="AG3368" s="394">
        <v>0</v>
      </c>
      <c r="AH3368" s="394">
        <v>4.3303500000000001</v>
      </c>
      <c r="AI3368" s="394">
        <v>9.4124999999999996</v>
      </c>
      <c r="AJ3368" s="394">
        <f>1.32932+4.95885+0.47858</f>
        <v>6.76675</v>
      </c>
      <c r="AK3368" s="381" t="s">
        <v>167</v>
      </c>
      <c r="AL3368" s="408" t="s">
        <v>175</v>
      </c>
      <c r="AM3368" s="385"/>
      <c r="AN3368" s="475">
        <v>1608</v>
      </c>
      <c r="AO3368" s="395"/>
      <c r="AP3368" s="395">
        <f>AA3368/Y3368</f>
        <v>50.976619999999997</v>
      </c>
      <c r="AQ3368" s="393"/>
      <c r="AR3368" s="523"/>
      <c r="AS3368" s="497"/>
      <c r="AT3368" s="573"/>
      <c r="AU3368" s="394"/>
      <c r="AV3368" s="394"/>
      <c r="AW3368" s="394"/>
      <c r="AX3368" s="394"/>
      <c r="AY3368" s="394"/>
      <c r="AZ3368" s="394"/>
      <c r="BA3368" s="394"/>
      <c r="BB3368" s="394"/>
      <c r="BC3368" s="394"/>
      <c r="BD3368" s="381"/>
      <c r="BE3368" s="408"/>
      <c r="BF3368" s="385"/>
      <c r="BG3368" s="475"/>
      <c r="BH3368" s="395"/>
      <c r="BI3368" s="395" t="e">
        <f>AT3368/AR3368</f>
        <v>#DIV/0!</v>
      </c>
    </row>
    <row r="3369" spans="1:61" s="358" customFormat="1" ht="19.2" x14ac:dyDescent="0.3">
      <c r="A3369" s="359" t="s">
        <v>270</v>
      </c>
      <c r="B3369" s="572" t="s">
        <v>2594</v>
      </c>
      <c r="C3369" s="546" t="s">
        <v>2608</v>
      </c>
      <c r="D3369" s="598">
        <v>0.4</v>
      </c>
      <c r="E3369" s="393"/>
      <c r="F3369" s="337"/>
      <c r="G3369" s="337"/>
      <c r="H3369" s="573"/>
      <c r="I3369" s="394"/>
      <c r="J3369" s="394"/>
      <c r="K3369" s="394"/>
      <c r="L3369" s="394"/>
      <c r="M3369" s="394"/>
      <c r="N3369" s="394"/>
      <c r="O3369" s="394"/>
      <c r="P3369" s="394"/>
      <c r="Q3369" s="394"/>
      <c r="R3369" s="381"/>
      <c r="S3369" s="408"/>
      <c r="T3369" s="385"/>
      <c r="U3369" s="475"/>
      <c r="V3369" s="395"/>
      <c r="W3369" s="395"/>
      <c r="X3369" s="393"/>
      <c r="Y3369" s="497">
        <v>1</v>
      </c>
      <c r="Z3369" s="497"/>
      <c r="AA3369" s="573">
        <v>81.013149999999996</v>
      </c>
      <c r="AB3369" s="394">
        <v>57.703539999999997</v>
      </c>
      <c r="AC3369" s="394">
        <v>40.341479999999997</v>
      </c>
      <c r="AD3369" s="394">
        <v>15.303839999999999</v>
      </c>
      <c r="AE3369" s="394"/>
      <c r="AF3369" s="394">
        <v>0</v>
      </c>
      <c r="AG3369" s="394">
        <v>0</v>
      </c>
      <c r="AH3369" s="394">
        <v>5.4341400000000002</v>
      </c>
      <c r="AI3369" s="394">
        <v>10.085369999999999</v>
      </c>
      <c r="AJ3369" s="394">
        <v>1.27532</v>
      </c>
      <c r="AK3369" s="381" t="s">
        <v>167</v>
      </c>
      <c r="AL3369" s="408" t="s">
        <v>175</v>
      </c>
      <c r="AM3369" s="385"/>
      <c r="AN3369" s="475">
        <v>1610</v>
      </c>
      <c r="AO3369" s="395"/>
      <c r="AP3369" s="395">
        <f t="shared" ref="AP3369:AP3466" si="1317">AA3369/Y3369</f>
        <v>81.013149999999996</v>
      </c>
      <c r="AQ3369" s="393"/>
      <c r="AR3369" s="497"/>
      <c r="AS3369" s="497"/>
      <c r="AT3369" s="573"/>
      <c r="AU3369" s="394"/>
      <c r="AV3369" s="394"/>
      <c r="AW3369" s="394"/>
      <c r="AX3369" s="394"/>
      <c r="AY3369" s="394"/>
      <c r="AZ3369" s="394"/>
      <c r="BA3369" s="394"/>
      <c r="BB3369" s="394"/>
      <c r="BC3369" s="394"/>
      <c r="BD3369" s="381"/>
      <c r="BE3369" s="408"/>
      <c r="BF3369" s="385"/>
      <c r="BG3369" s="475"/>
      <c r="BH3369" s="395"/>
      <c r="BI3369" s="395" t="e">
        <f t="shared" ref="BI3369:BI3466" si="1318">AT3369/AR3369</f>
        <v>#DIV/0!</v>
      </c>
    </row>
    <row r="3370" spans="1:61" s="358" customFormat="1" ht="19.2" x14ac:dyDescent="0.3">
      <c r="A3370" s="359" t="s">
        <v>271</v>
      </c>
      <c r="B3370" s="572" t="s">
        <v>4406</v>
      </c>
      <c r="C3370" s="546" t="s">
        <v>3158</v>
      </c>
      <c r="D3370" s="598">
        <v>0.4</v>
      </c>
      <c r="E3370" s="393"/>
      <c r="F3370" s="337"/>
      <c r="G3370" s="337"/>
      <c r="H3370" s="573"/>
      <c r="I3370" s="394"/>
      <c r="J3370" s="394"/>
      <c r="K3370" s="394"/>
      <c r="L3370" s="394"/>
      <c r="M3370" s="394"/>
      <c r="N3370" s="394"/>
      <c r="O3370" s="394"/>
      <c r="P3370" s="394"/>
      <c r="Q3370" s="394"/>
      <c r="R3370" s="381"/>
      <c r="S3370" s="408"/>
      <c r="T3370" s="385"/>
      <c r="U3370" s="475"/>
      <c r="V3370" s="395"/>
      <c r="W3370" s="395"/>
      <c r="X3370" s="393"/>
      <c r="Y3370" s="497">
        <v>1</v>
      </c>
      <c r="Z3370" s="497"/>
      <c r="AA3370" s="573">
        <v>20.1145</v>
      </c>
      <c r="AB3370" s="394">
        <v>15.473000000000001</v>
      </c>
      <c r="AC3370" s="394">
        <v>4.125</v>
      </c>
      <c r="AD3370" s="394">
        <v>10.085319999999999</v>
      </c>
      <c r="AE3370" s="394"/>
      <c r="AF3370" s="394">
        <v>0</v>
      </c>
      <c r="AG3370" s="394">
        <v>0</v>
      </c>
      <c r="AH3370" s="394">
        <v>1.0820700000000001</v>
      </c>
      <c r="AI3370" s="394">
        <v>10.085319999999999</v>
      </c>
      <c r="AJ3370" s="394">
        <v>1.375</v>
      </c>
      <c r="AK3370" s="381" t="s">
        <v>167</v>
      </c>
      <c r="AL3370" s="408" t="s">
        <v>175</v>
      </c>
      <c r="AM3370" s="385"/>
      <c r="AN3370" s="475">
        <v>1611</v>
      </c>
      <c r="AO3370" s="395"/>
      <c r="AP3370" s="395">
        <f t="shared" si="1317"/>
        <v>20.1145</v>
      </c>
      <c r="AQ3370" s="393"/>
      <c r="AR3370" s="497"/>
      <c r="AS3370" s="497"/>
      <c r="AT3370" s="573"/>
      <c r="AU3370" s="394"/>
      <c r="AV3370" s="394"/>
      <c r="AW3370" s="394"/>
      <c r="AX3370" s="394"/>
      <c r="AY3370" s="394"/>
      <c r="AZ3370" s="394"/>
      <c r="BA3370" s="394"/>
      <c r="BB3370" s="394"/>
      <c r="BC3370" s="394"/>
      <c r="BD3370" s="381"/>
      <c r="BE3370" s="408"/>
      <c r="BF3370" s="385"/>
      <c r="BG3370" s="475"/>
      <c r="BH3370" s="395"/>
      <c r="BI3370" s="395" t="e">
        <f t="shared" si="1318"/>
        <v>#DIV/0!</v>
      </c>
    </row>
    <row r="3371" spans="1:61" s="358" customFormat="1" ht="19.2" x14ac:dyDescent="0.3">
      <c r="A3371" s="359" t="s">
        <v>272</v>
      </c>
      <c r="B3371" s="572" t="s">
        <v>4407</v>
      </c>
      <c r="C3371" s="550" t="s">
        <v>3160</v>
      </c>
      <c r="D3371" s="598">
        <v>0.4</v>
      </c>
      <c r="E3371" s="393"/>
      <c r="F3371" s="337"/>
      <c r="G3371" s="337"/>
      <c r="H3371" s="573"/>
      <c r="I3371" s="394"/>
      <c r="J3371" s="394"/>
      <c r="K3371" s="394"/>
      <c r="L3371" s="394"/>
      <c r="M3371" s="394"/>
      <c r="N3371" s="394"/>
      <c r="O3371" s="394"/>
      <c r="P3371" s="394"/>
      <c r="Q3371" s="394"/>
      <c r="R3371" s="381"/>
      <c r="S3371" s="408"/>
      <c r="T3371" s="385"/>
      <c r="U3371" s="475"/>
      <c r="V3371" s="395"/>
      <c r="W3371" s="395"/>
      <c r="X3371" s="393"/>
      <c r="Y3371" s="497">
        <v>1</v>
      </c>
      <c r="Z3371" s="497"/>
      <c r="AA3371" s="573">
        <v>23.783249999999999</v>
      </c>
      <c r="AB3371" s="394">
        <v>17.19397</v>
      </c>
      <c r="AC3371" s="394">
        <v>10.09497</v>
      </c>
      <c r="AD3371" s="394">
        <v>3.8163</v>
      </c>
      <c r="AE3371" s="394"/>
      <c r="AF3371" s="394">
        <v>0</v>
      </c>
      <c r="AG3371" s="394">
        <v>0</v>
      </c>
      <c r="AH3371" s="394">
        <v>1.5361499999999999</v>
      </c>
      <c r="AI3371" s="394">
        <v>10.09497</v>
      </c>
      <c r="AJ3371" s="394">
        <v>1.2721</v>
      </c>
      <c r="AK3371" s="381" t="s">
        <v>167</v>
      </c>
      <c r="AL3371" s="408" t="s">
        <v>175</v>
      </c>
      <c r="AM3371" s="385"/>
      <c r="AN3371" s="475">
        <v>1612</v>
      </c>
      <c r="AO3371" s="395"/>
      <c r="AP3371" s="395">
        <f t="shared" si="1317"/>
        <v>23.783249999999999</v>
      </c>
      <c r="AQ3371" s="393"/>
      <c r="AR3371" s="497"/>
      <c r="AS3371" s="497"/>
      <c r="AT3371" s="573"/>
      <c r="AU3371" s="394"/>
      <c r="AV3371" s="394"/>
      <c r="AW3371" s="394"/>
      <c r="AX3371" s="394"/>
      <c r="AY3371" s="394"/>
      <c r="AZ3371" s="394"/>
      <c r="BA3371" s="394"/>
      <c r="BB3371" s="394"/>
      <c r="BC3371" s="394"/>
      <c r="BD3371" s="381"/>
      <c r="BE3371" s="408"/>
      <c r="BF3371" s="385"/>
      <c r="BG3371" s="475"/>
      <c r="BH3371" s="395"/>
      <c r="BI3371" s="395" t="e">
        <f t="shared" si="1318"/>
        <v>#DIV/0!</v>
      </c>
    </row>
    <row r="3372" spans="1:61" s="358" customFormat="1" ht="19.2" x14ac:dyDescent="0.3">
      <c r="A3372" s="359" t="s">
        <v>273</v>
      </c>
      <c r="B3372" s="572" t="s">
        <v>4408</v>
      </c>
      <c r="C3372" s="546" t="s">
        <v>3169</v>
      </c>
      <c r="D3372" s="598">
        <v>0.4</v>
      </c>
      <c r="E3372" s="393"/>
      <c r="F3372" s="497"/>
      <c r="G3372" s="497"/>
      <c r="H3372" s="573"/>
      <c r="I3372" s="394"/>
      <c r="J3372" s="394"/>
      <c r="K3372" s="394"/>
      <c r="L3372" s="394"/>
      <c r="M3372" s="394"/>
      <c r="N3372" s="394"/>
      <c r="O3372" s="394"/>
      <c r="P3372" s="394"/>
      <c r="Q3372" s="394"/>
      <c r="R3372" s="381"/>
      <c r="S3372" s="408"/>
      <c r="T3372" s="385"/>
      <c r="U3372" s="475"/>
      <c r="V3372" s="395"/>
      <c r="W3372" s="395"/>
      <c r="X3372" s="393"/>
      <c r="Y3372" s="497">
        <v>1</v>
      </c>
      <c r="Z3372" s="497"/>
      <c r="AA3372" s="573">
        <v>20.241250000000001</v>
      </c>
      <c r="AB3372" s="394">
        <v>15.0068</v>
      </c>
      <c r="AC3372" s="394">
        <v>10.10802</v>
      </c>
      <c r="AD3372" s="394">
        <v>4.1377499999999996</v>
      </c>
      <c r="AE3372" s="394"/>
      <c r="AF3372" s="394">
        <v>0</v>
      </c>
      <c r="AG3372" s="394">
        <v>0</v>
      </c>
      <c r="AH3372" s="394">
        <v>1.2202999999999999</v>
      </c>
      <c r="AI3372" s="394">
        <v>10.10802</v>
      </c>
      <c r="AJ3372" s="394">
        <v>1.3792500000000001</v>
      </c>
      <c r="AK3372" s="381" t="s">
        <v>167</v>
      </c>
      <c r="AL3372" s="408" t="s">
        <v>175</v>
      </c>
      <c r="AM3372" s="385"/>
      <c r="AN3372" s="475">
        <v>1613</v>
      </c>
      <c r="AO3372" s="395"/>
      <c r="AP3372" s="395">
        <f t="shared" si="1317"/>
        <v>20.241250000000001</v>
      </c>
      <c r="AQ3372" s="393"/>
      <c r="AR3372" s="497"/>
      <c r="AS3372" s="497"/>
      <c r="AT3372" s="573"/>
      <c r="AU3372" s="394"/>
      <c r="AV3372" s="394"/>
      <c r="AW3372" s="394"/>
      <c r="AX3372" s="394"/>
      <c r="AY3372" s="394"/>
      <c r="AZ3372" s="394"/>
      <c r="BA3372" s="394"/>
      <c r="BB3372" s="394"/>
      <c r="BC3372" s="394"/>
      <c r="BD3372" s="381"/>
      <c r="BE3372" s="408"/>
      <c r="BF3372" s="385"/>
      <c r="BG3372" s="475"/>
      <c r="BH3372" s="395"/>
      <c r="BI3372" s="395" t="e">
        <f t="shared" si="1318"/>
        <v>#DIV/0!</v>
      </c>
    </row>
    <row r="3373" spans="1:61" s="358" customFormat="1" ht="19.2" x14ac:dyDescent="0.3">
      <c r="A3373" s="359" t="s">
        <v>274</v>
      </c>
      <c r="B3373" s="572" t="s">
        <v>4409</v>
      </c>
      <c r="C3373" s="546" t="s">
        <v>3179</v>
      </c>
      <c r="D3373" s="598">
        <v>0.4</v>
      </c>
      <c r="E3373" s="393"/>
      <c r="F3373" s="497"/>
      <c r="G3373" s="497"/>
      <c r="H3373" s="573"/>
      <c r="I3373" s="394"/>
      <c r="J3373" s="394"/>
      <c r="K3373" s="394"/>
      <c r="L3373" s="394"/>
      <c r="M3373" s="394"/>
      <c r="N3373" s="394"/>
      <c r="O3373" s="394"/>
      <c r="P3373" s="394"/>
      <c r="Q3373" s="394"/>
      <c r="R3373" s="381"/>
      <c r="S3373" s="408"/>
      <c r="T3373" s="385"/>
      <c r="U3373" s="475"/>
      <c r="V3373" s="395"/>
      <c r="W3373" s="395"/>
      <c r="X3373" s="393"/>
      <c r="Y3373" s="497">
        <v>1</v>
      </c>
      <c r="Z3373" s="497"/>
      <c r="AA3373" s="573">
        <v>19.572389999999999</v>
      </c>
      <c r="AB3373" s="394">
        <v>14.33794</v>
      </c>
      <c r="AC3373" s="394">
        <v>10.08536</v>
      </c>
      <c r="AD3373" s="394">
        <v>3.8259599999999998</v>
      </c>
      <c r="AE3373" s="394"/>
      <c r="AF3373" s="394">
        <v>0</v>
      </c>
      <c r="AG3373" s="394">
        <v>0</v>
      </c>
      <c r="AH3373" s="394">
        <v>1.2202999999999999</v>
      </c>
      <c r="AI3373" s="394">
        <v>10.08536</v>
      </c>
      <c r="AJ3373" s="394">
        <v>1.27532</v>
      </c>
      <c r="AK3373" s="381" t="s">
        <v>167</v>
      </c>
      <c r="AL3373" s="408" t="s">
        <v>175</v>
      </c>
      <c r="AM3373" s="385"/>
      <c r="AN3373" s="475">
        <v>1614</v>
      </c>
      <c r="AO3373" s="395"/>
      <c r="AP3373" s="395">
        <f t="shared" si="1317"/>
        <v>19.572389999999999</v>
      </c>
      <c r="AQ3373" s="393"/>
      <c r="AR3373" s="497"/>
      <c r="AS3373" s="497"/>
      <c r="AT3373" s="573"/>
      <c r="AU3373" s="394"/>
      <c r="AV3373" s="394"/>
      <c r="AW3373" s="394"/>
      <c r="AX3373" s="394"/>
      <c r="AY3373" s="394"/>
      <c r="AZ3373" s="394"/>
      <c r="BA3373" s="394"/>
      <c r="BB3373" s="394"/>
      <c r="BC3373" s="394"/>
      <c r="BD3373" s="381"/>
      <c r="BE3373" s="408"/>
      <c r="BF3373" s="385"/>
      <c r="BG3373" s="475"/>
      <c r="BH3373" s="395"/>
      <c r="BI3373" s="395" t="e">
        <f t="shared" si="1318"/>
        <v>#DIV/0!</v>
      </c>
    </row>
    <row r="3374" spans="1:61" s="358" customFormat="1" ht="19.2" x14ac:dyDescent="0.3">
      <c r="A3374" s="359" t="s">
        <v>275</v>
      </c>
      <c r="B3374" s="572" t="s">
        <v>2415</v>
      </c>
      <c r="C3374" s="546" t="s">
        <v>2461</v>
      </c>
      <c r="D3374" s="598">
        <v>0.4</v>
      </c>
      <c r="E3374" s="393"/>
      <c r="F3374" s="497"/>
      <c r="G3374" s="497"/>
      <c r="H3374" s="573"/>
      <c r="I3374" s="394"/>
      <c r="J3374" s="394"/>
      <c r="K3374" s="394"/>
      <c r="L3374" s="394"/>
      <c r="M3374" s="394"/>
      <c r="N3374" s="394"/>
      <c r="O3374" s="394"/>
      <c r="P3374" s="394"/>
      <c r="Q3374" s="394"/>
      <c r="R3374" s="381"/>
      <c r="S3374" s="408"/>
      <c r="T3374" s="385"/>
      <c r="U3374" s="475"/>
      <c r="V3374" s="395"/>
      <c r="W3374" s="395"/>
      <c r="X3374" s="393"/>
      <c r="Y3374" s="497">
        <v>1</v>
      </c>
      <c r="Z3374" s="497"/>
      <c r="AA3374" s="573">
        <v>23.783239999999999</v>
      </c>
      <c r="AB3374" s="394">
        <v>17.193960000000001</v>
      </c>
      <c r="AC3374" s="394">
        <v>10.09497</v>
      </c>
      <c r="AD3374" s="394">
        <v>3.8163</v>
      </c>
      <c r="AE3374" s="394"/>
      <c r="AF3374" s="394">
        <v>0</v>
      </c>
      <c r="AG3374" s="394">
        <v>0</v>
      </c>
      <c r="AH3374" s="394">
        <v>1.5361499999999999</v>
      </c>
      <c r="AI3374" s="394">
        <v>10.09497</v>
      </c>
      <c r="AJ3374" s="394">
        <v>1.2721</v>
      </c>
      <c r="AK3374" s="381" t="s">
        <v>167</v>
      </c>
      <c r="AL3374" s="408" t="s">
        <v>175</v>
      </c>
      <c r="AM3374" s="385"/>
      <c r="AN3374" s="475">
        <v>1615</v>
      </c>
      <c r="AO3374" s="395"/>
      <c r="AP3374" s="395">
        <f t="shared" si="1317"/>
        <v>23.783239999999999</v>
      </c>
      <c r="AQ3374" s="393"/>
      <c r="AR3374" s="497"/>
      <c r="AS3374" s="497"/>
      <c r="AT3374" s="573"/>
      <c r="AU3374" s="394"/>
      <c r="AV3374" s="394"/>
      <c r="AW3374" s="394"/>
      <c r="AX3374" s="394"/>
      <c r="AY3374" s="394"/>
      <c r="AZ3374" s="394"/>
      <c r="BA3374" s="394"/>
      <c r="BB3374" s="394"/>
      <c r="BC3374" s="394"/>
      <c r="BD3374" s="381"/>
      <c r="BE3374" s="408"/>
      <c r="BF3374" s="385"/>
      <c r="BG3374" s="475"/>
      <c r="BH3374" s="395"/>
      <c r="BI3374" s="395" t="e">
        <f t="shared" si="1318"/>
        <v>#DIV/0!</v>
      </c>
    </row>
    <row r="3375" spans="1:61" s="358" customFormat="1" ht="19.2" x14ac:dyDescent="0.3">
      <c r="A3375" s="359" t="s">
        <v>340</v>
      </c>
      <c r="B3375" s="572" t="s">
        <v>2446</v>
      </c>
      <c r="C3375" s="546" t="s">
        <v>2445</v>
      </c>
      <c r="D3375" s="598">
        <v>0.4</v>
      </c>
      <c r="E3375" s="393"/>
      <c r="F3375" s="497"/>
      <c r="G3375" s="497"/>
      <c r="H3375" s="573"/>
      <c r="I3375" s="394"/>
      <c r="J3375" s="394"/>
      <c r="K3375" s="394"/>
      <c r="L3375" s="394"/>
      <c r="M3375" s="394"/>
      <c r="N3375" s="394"/>
      <c r="O3375" s="394"/>
      <c r="P3375" s="394"/>
      <c r="Q3375" s="394"/>
      <c r="R3375" s="381"/>
      <c r="S3375" s="408"/>
      <c r="T3375" s="385"/>
      <c r="U3375" s="475"/>
      <c r="V3375" s="395"/>
      <c r="W3375" s="395"/>
      <c r="X3375" s="393"/>
      <c r="Y3375" s="497">
        <v>1</v>
      </c>
      <c r="Z3375" s="497"/>
      <c r="AA3375" s="573">
        <v>27.713419999999999</v>
      </c>
      <c r="AB3375" s="394">
        <v>18.866510000000002</v>
      </c>
      <c r="AC3375" s="394">
        <v>10.085279999999999</v>
      </c>
      <c r="AD3375" s="394">
        <v>3.8163</v>
      </c>
      <c r="AE3375" s="394"/>
      <c r="AF3375" s="394">
        <v>0</v>
      </c>
      <c r="AG3375" s="394">
        <v>0</v>
      </c>
      <c r="AH3375" s="394">
        <v>2.0624699999999998</v>
      </c>
      <c r="AI3375" s="394">
        <v>10.085279999999999</v>
      </c>
      <c r="AJ3375" s="394">
        <v>1.2721</v>
      </c>
      <c r="AK3375" s="381" t="s">
        <v>167</v>
      </c>
      <c r="AL3375" s="408" t="s">
        <v>175</v>
      </c>
      <c r="AM3375" s="385"/>
      <c r="AN3375" s="475">
        <v>1616</v>
      </c>
      <c r="AO3375" s="395"/>
      <c r="AP3375" s="395">
        <f t="shared" si="1317"/>
        <v>27.713419999999999</v>
      </c>
      <c r="AQ3375" s="393"/>
      <c r="AR3375" s="497"/>
      <c r="AS3375" s="497"/>
      <c r="AT3375" s="573"/>
      <c r="AU3375" s="394"/>
      <c r="AV3375" s="394"/>
      <c r="AW3375" s="394"/>
      <c r="AX3375" s="394"/>
      <c r="AY3375" s="394"/>
      <c r="AZ3375" s="394"/>
      <c r="BA3375" s="394"/>
      <c r="BB3375" s="394"/>
      <c r="BC3375" s="394"/>
      <c r="BD3375" s="381"/>
      <c r="BE3375" s="408"/>
      <c r="BF3375" s="385"/>
      <c r="BG3375" s="475"/>
      <c r="BH3375" s="395"/>
      <c r="BI3375" s="395" t="e">
        <f t="shared" si="1318"/>
        <v>#DIV/0!</v>
      </c>
    </row>
    <row r="3376" spans="1:61" s="358" customFormat="1" ht="19.2" x14ac:dyDescent="0.3">
      <c r="A3376" s="359" t="s">
        <v>277</v>
      </c>
      <c r="B3376" s="572" t="s">
        <v>2444</v>
      </c>
      <c r="C3376" s="546" t="s">
        <v>2443</v>
      </c>
      <c r="D3376" s="598">
        <v>0.4</v>
      </c>
      <c r="E3376" s="393"/>
      <c r="F3376" s="497"/>
      <c r="G3376" s="497"/>
      <c r="H3376" s="573"/>
      <c r="I3376" s="394"/>
      <c r="J3376" s="394"/>
      <c r="K3376" s="394"/>
      <c r="L3376" s="394"/>
      <c r="M3376" s="394"/>
      <c r="N3376" s="394"/>
      <c r="O3376" s="394"/>
      <c r="P3376" s="394"/>
      <c r="Q3376" s="394"/>
      <c r="R3376" s="381"/>
      <c r="S3376" s="408"/>
      <c r="T3376" s="385"/>
      <c r="U3376" s="475"/>
      <c r="V3376" s="395"/>
      <c r="W3376" s="395"/>
      <c r="X3376" s="393"/>
      <c r="Y3376" s="497">
        <v>1</v>
      </c>
      <c r="Z3376" s="497"/>
      <c r="AA3376" s="573">
        <v>28.206499999999998</v>
      </c>
      <c r="AB3376" s="394">
        <v>20.431319999999999</v>
      </c>
      <c r="AC3376" s="394">
        <v>10.107950000000001</v>
      </c>
      <c r="AD3376" s="394">
        <v>4.1377499999999996</v>
      </c>
      <c r="AE3376" s="394"/>
      <c r="AF3376" s="394">
        <v>0</v>
      </c>
      <c r="AG3376" s="394">
        <v>0</v>
      </c>
      <c r="AH3376" s="394">
        <v>1.8126199999999999</v>
      </c>
      <c r="AI3376" s="394">
        <v>10.107950000000001</v>
      </c>
      <c r="AJ3376" s="394">
        <v>1.3792500000000001</v>
      </c>
      <c r="AK3376" s="381" t="s">
        <v>167</v>
      </c>
      <c r="AL3376" s="408" t="s">
        <v>175</v>
      </c>
      <c r="AM3376" s="385"/>
      <c r="AN3376" s="475">
        <v>1617</v>
      </c>
      <c r="AO3376" s="395"/>
      <c r="AP3376" s="395">
        <f t="shared" si="1317"/>
        <v>28.206499999999998</v>
      </c>
      <c r="AQ3376" s="393"/>
      <c r="AR3376" s="497"/>
      <c r="AS3376" s="497"/>
      <c r="AT3376" s="573"/>
      <c r="AU3376" s="394"/>
      <c r="AV3376" s="394"/>
      <c r="AW3376" s="394"/>
      <c r="AX3376" s="394"/>
      <c r="AY3376" s="394"/>
      <c r="AZ3376" s="394"/>
      <c r="BA3376" s="394"/>
      <c r="BB3376" s="394"/>
      <c r="BC3376" s="394"/>
      <c r="BD3376" s="381"/>
      <c r="BE3376" s="408"/>
      <c r="BF3376" s="385"/>
      <c r="BG3376" s="475"/>
      <c r="BH3376" s="395"/>
      <c r="BI3376" s="395" t="e">
        <f t="shared" si="1318"/>
        <v>#DIV/0!</v>
      </c>
    </row>
    <row r="3377" spans="1:61" s="358" customFormat="1" ht="19.2" x14ac:dyDescent="0.3">
      <c r="A3377" s="359" t="s">
        <v>178</v>
      </c>
      <c r="B3377" s="572" t="s">
        <v>2442</v>
      </c>
      <c r="C3377" s="546" t="s">
        <v>2441</v>
      </c>
      <c r="D3377" s="598">
        <v>0.4</v>
      </c>
      <c r="E3377" s="393"/>
      <c r="F3377" s="497"/>
      <c r="G3377" s="497"/>
      <c r="H3377" s="573"/>
      <c r="I3377" s="394"/>
      <c r="J3377" s="394"/>
      <c r="K3377" s="394"/>
      <c r="L3377" s="394"/>
      <c r="M3377" s="394"/>
      <c r="N3377" s="394"/>
      <c r="O3377" s="394"/>
      <c r="P3377" s="394"/>
      <c r="Q3377" s="394"/>
      <c r="R3377" s="381"/>
      <c r="S3377" s="408"/>
      <c r="T3377" s="385"/>
      <c r="U3377" s="475"/>
      <c r="V3377" s="395"/>
      <c r="W3377" s="395"/>
      <c r="X3377" s="393"/>
      <c r="Y3377" s="497">
        <v>1</v>
      </c>
      <c r="Z3377" s="497"/>
      <c r="AA3377" s="573">
        <v>19.567070000000001</v>
      </c>
      <c r="AB3377" s="394">
        <v>14.33262</v>
      </c>
      <c r="AC3377" s="394">
        <v>10.08536</v>
      </c>
      <c r="AD3377" s="394">
        <v>3.8163</v>
      </c>
      <c r="AE3377" s="394"/>
      <c r="AF3377" s="394">
        <v>0</v>
      </c>
      <c r="AG3377" s="394">
        <v>0</v>
      </c>
      <c r="AH3377" s="394">
        <v>1.2202999999999999</v>
      </c>
      <c r="AI3377" s="394">
        <v>10.08536</v>
      </c>
      <c r="AJ3377" s="394">
        <v>1.2721</v>
      </c>
      <c r="AK3377" s="381" t="s">
        <v>167</v>
      </c>
      <c r="AL3377" s="408" t="s">
        <v>175</v>
      </c>
      <c r="AM3377" s="385"/>
      <c r="AN3377" s="475">
        <v>1618</v>
      </c>
      <c r="AO3377" s="395"/>
      <c r="AP3377" s="395">
        <f t="shared" si="1317"/>
        <v>19.567070000000001</v>
      </c>
      <c r="AQ3377" s="393"/>
      <c r="AR3377" s="497"/>
      <c r="AS3377" s="497"/>
      <c r="AT3377" s="573"/>
      <c r="AU3377" s="394"/>
      <c r="AV3377" s="394"/>
      <c r="AW3377" s="394"/>
      <c r="AX3377" s="394"/>
      <c r="AY3377" s="394"/>
      <c r="AZ3377" s="394"/>
      <c r="BA3377" s="394"/>
      <c r="BB3377" s="394"/>
      <c r="BC3377" s="394"/>
      <c r="BD3377" s="381"/>
      <c r="BE3377" s="408"/>
      <c r="BF3377" s="385"/>
      <c r="BG3377" s="475"/>
      <c r="BH3377" s="395"/>
      <c r="BI3377" s="395" t="e">
        <f t="shared" si="1318"/>
        <v>#DIV/0!</v>
      </c>
    </row>
    <row r="3378" spans="1:61" s="358" customFormat="1" ht="19.2" x14ac:dyDescent="0.3">
      <c r="A3378" s="359" t="s">
        <v>327</v>
      </c>
      <c r="B3378" s="572" t="s">
        <v>4410</v>
      </c>
      <c r="C3378" s="546" t="s">
        <v>2579</v>
      </c>
      <c r="D3378" s="598">
        <v>0.4</v>
      </c>
      <c r="E3378" s="393"/>
      <c r="F3378" s="497"/>
      <c r="G3378" s="497"/>
      <c r="H3378" s="573"/>
      <c r="I3378" s="394"/>
      <c r="J3378" s="394"/>
      <c r="K3378" s="394"/>
      <c r="L3378" s="394"/>
      <c r="M3378" s="394"/>
      <c r="N3378" s="394"/>
      <c r="O3378" s="394"/>
      <c r="P3378" s="394"/>
      <c r="Q3378" s="394"/>
      <c r="R3378" s="381"/>
      <c r="S3378" s="408"/>
      <c r="T3378" s="385"/>
      <c r="U3378" s="475"/>
      <c r="V3378" s="395"/>
      <c r="W3378" s="395"/>
      <c r="X3378" s="393"/>
      <c r="Y3378" s="497">
        <v>1</v>
      </c>
      <c r="Z3378" s="497"/>
      <c r="AA3378" s="573">
        <v>19.739660000000001</v>
      </c>
      <c r="AB3378" s="394">
        <v>14.50521</v>
      </c>
      <c r="AC3378" s="394">
        <v>10.08536</v>
      </c>
      <c r="AD3378" s="394">
        <v>4.1377499999999996</v>
      </c>
      <c r="AE3378" s="394"/>
      <c r="AF3378" s="394">
        <v>0</v>
      </c>
      <c r="AG3378" s="394">
        <v>0</v>
      </c>
      <c r="AH3378" s="394">
        <v>1.2202999999999999</v>
      </c>
      <c r="AI3378" s="394">
        <v>10.08536</v>
      </c>
      <c r="AJ3378" s="394">
        <v>1.3792500000000001</v>
      </c>
      <c r="AK3378" s="381" t="s">
        <v>167</v>
      </c>
      <c r="AL3378" s="408" t="s">
        <v>175</v>
      </c>
      <c r="AM3378" s="385"/>
      <c r="AN3378" s="475">
        <v>1619</v>
      </c>
      <c r="AO3378" s="395"/>
      <c r="AP3378" s="395">
        <f t="shared" si="1317"/>
        <v>19.739660000000001</v>
      </c>
      <c r="AQ3378" s="393"/>
      <c r="AR3378" s="497"/>
      <c r="AS3378" s="497"/>
      <c r="AT3378" s="573"/>
      <c r="AU3378" s="394"/>
      <c r="AV3378" s="394"/>
      <c r="AW3378" s="394"/>
      <c r="AX3378" s="394"/>
      <c r="AY3378" s="394"/>
      <c r="AZ3378" s="394"/>
      <c r="BA3378" s="394"/>
      <c r="BB3378" s="394"/>
      <c r="BC3378" s="394"/>
      <c r="BD3378" s="381"/>
      <c r="BE3378" s="408"/>
      <c r="BF3378" s="385"/>
      <c r="BG3378" s="475"/>
      <c r="BH3378" s="395"/>
      <c r="BI3378" s="395" t="e">
        <f t="shared" si="1318"/>
        <v>#DIV/0!</v>
      </c>
    </row>
    <row r="3379" spans="1:61" s="358" customFormat="1" ht="19.2" x14ac:dyDescent="0.3">
      <c r="A3379" s="359" t="s">
        <v>344</v>
      </c>
      <c r="B3379" s="572" t="s">
        <v>3687</v>
      </c>
      <c r="C3379" s="546" t="s">
        <v>2773</v>
      </c>
      <c r="D3379" s="598">
        <v>0.4</v>
      </c>
      <c r="E3379" s="393"/>
      <c r="F3379" s="497"/>
      <c r="G3379" s="497"/>
      <c r="H3379" s="573"/>
      <c r="I3379" s="394"/>
      <c r="J3379" s="394"/>
      <c r="K3379" s="394"/>
      <c r="L3379" s="394"/>
      <c r="M3379" s="394"/>
      <c r="N3379" s="394"/>
      <c r="O3379" s="394"/>
      <c r="P3379" s="394"/>
      <c r="Q3379" s="394"/>
      <c r="R3379" s="381"/>
      <c r="S3379" s="408"/>
      <c r="T3379" s="385"/>
      <c r="U3379" s="475"/>
      <c r="V3379" s="395"/>
      <c r="W3379" s="395"/>
      <c r="X3379" s="393"/>
      <c r="Y3379" s="497">
        <v>1</v>
      </c>
      <c r="Z3379" s="497"/>
      <c r="AA3379" s="573">
        <v>20.93787</v>
      </c>
      <c r="AB3379" s="394">
        <v>14.848459999999999</v>
      </c>
      <c r="AC3379" s="394">
        <v>10.08536</v>
      </c>
      <c r="AD3379" s="394">
        <v>3.8259599999999998</v>
      </c>
      <c r="AE3379" s="394"/>
      <c r="AF3379" s="394">
        <v>0</v>
      </c>
      <c r="AG3379" s="394">
        <v>0</v>
      </c>
      <c r="AH3379" s="394">
        <v>1.4196200000000001</v>
      </c>
      <c r="AI3379" s="394">
        <v>10.08536</v>
      </c>
      <c r="AJ3379" s="394">
        <v>1.27532</v>
      </c>
      <c r="AK3379" s="381" t="s">
        <v>167</v>
      </c>
      <c r="AL3379" s="408" t="s">
        <v>175</v>
      </c>
      <c r="AM3379" s="385"/>
      <c r="AN3379" s="475">
        <v>1620</v>
      </c>
      <c r="AO3379" s="395"/>
      <c r="AP3379" s="395">
        <f t="shared" si="1317"/>
        <v>20.93787</v>
      </c>
      <c r="AQ3379" s="393"/>
      <c r="AR3379" s="497"/>
      <c r="AS3379" s="497"/>
      <c r="AT3379" s="573"/>
      <c r="AU3379" s="394"/>
      <c r="AV3379" s="394"/>
      <c r="AW3379" s="394"/>
      <c r="AX3379" s="394"/>
      <c r="AY3379" s="394"/>
      <c r="AZ3379" s="394"/>
      <c r="BA3379" s="394"/>
      <c r="BB3379" s="394"/>
      <c r="BC3379" s="394"/>
      <c r="BD3379" s="381"/>
      <c r="BE3379" s="408"/>
      <c r="BF3379" s="385"/>
      <c r="BG3379" s="475"/>
      <c r="BH3379" s="395"/>
      <c r="BI3379" s="395" t="e">
        <f t="shared" si="1318"/>
        <v>#DIV/0!</v>
      </c>
    </row>
    <row r="3380" spans="1:61" s="358" customFormat="1" ht="19.2" x14ac:dyDescent="0.3">
      <c r="A3380" s="359" t="s">
        <v>329</v>
      </c>
      <c r="B3380" s="572" t="s">
        <v>2574</v>
      </c>
      <c r="C3380" s="546" t="s">
        <v>2573</v>
      </c>
      <c r="D3380" s="598">
        <v>0.4</v>
      </c>
      <c r="E3380" s="393"/>
      <c r="F3380" s="497"/>
      <c r="G3380" s="497"/>
      <c r="H3380" s="573"/>
      <c r="I3380" s="394"/>
      <c r="J3380" s="394"/>
      <c r="K3380" s="394"/>
      <c r="L3380" s="394"/>
      <c r="M3380" s="394"/>
      <c r="N3380" s="394"/>
      <c r="O3380" s="394"/>
      <c r="P3380" s="394"/>
      <c r="Q3380" s="394"/>
      <c r="R3380" s="381"/>
      <c r="S3380" s="408"/>
      <c r="T3380" s="385"/>
      <c r="U3380" s="475"/>
      <c r="V3380" s="395"/>
      <c r="W3380" s="395"/>
      <c r="X3380" s="393"/>
      <c r="Y3380" s="497">
        <v>1</v>
      </c>
      <c r="Z3380" s="497"/>
      <c r="AA3380" s="573">
        <v>29.78163</v>
      </c>
      <c r="AB3380" s="394">
        <v>20.934719999999999</v>
      </c>
      <c r="AC3380" s="394">
        <v>10.085330000000001</v>
      </c>
      <c r="AD3380" s="394">
        <v>3.8259599999999998</v>
      </c>
      <c r="AE3380" s="394"/>
      <c r="AF3380" s="394">
        <v>0</v>
      </c>
      <c r="AG3380" s="394">
        <v>0</v>
      </c>
      <c r="AH3380" s="394">
        <v>2.0624699999999998</v>
      </c>
      <c r="AI3380" s="394">
        <v>10.085330000000001</v>
      </c>
      <c r="AJ3380" s="394">
        <v>1.27532</v>
      </c>
      <c r="AK3380" s="381" t="s">
        <v>167</v>
      </c>
      <c r="AL3380" s="408" t="s">
        <v>175</v>
      </c>
      <c r="AM3380" s="385"/>
      <c r="AN3380" s="475">
        <v>1621</v>
      </c>
      <c r="AO3380" s="395"/>
      <c r="AP3380" s="395">
        <f t="shared" si="1317"/>
        <v>29.78163</v>
      </c>
      <c r="AQ3380" s="393"/>
      <c r="AR3380" s="497"/>
      <c r="AS3380" s="497"/>
      <c r="AT3380" s="573"/>
      <c r="AU3380" s="394"/>
      <c r="AV3380" s="394"/>
      <c r="AW3380" s="394"/>
      <c r="AX3380" s="394"/>
      <c r="AY3380" s="394"/>
      <c r="AZ3380" s="394"/>
      <c r="BA3380" s="394"/>
      <c r="BB3380" s="394"/>
      <c r="BC3380" s="394"/>
      <c r="BD3380" s="381"/>
      <c r="BE3380" s="408"/>
      <c r="BF3380" s="385"/>
      <c r="BG3380" s="475"/>
      <c r="BH3380" s="395"/>
      <c r="BI3380" s="395" t="e">
        <f t="shared" si="1318"/>
        <v>#DIV/0!</v>
      </c>
    </row>
    <row r="3381" spans="1:61" s="358" customFormat="1" ht="19.2" x14ac:dyDescent="0.3">
      <c r="A3381" s="359" t="s">
        <v>330</v>
      </c>
      <c r="B3381" s="572" t="s">
        <v>2450</v>
      </c>
      <c r="C3381" s="546" t="s">
        <v>2449</v>
      </c>
      <c r="D3381" s="598">
        <v>0.4</v>
      </c>
      <c r="E3381" s="393"/>
      <c r="F3381" s="497"/>
      <c r="G3381" s="497"/>
      <c r="H3381" s="573"/>
      <c r="I3381" s="394"/>
      <c r="J3381" s="394"/>
      <c r="K3381" s="394"/>
      <c r="L3381" s="394"/>
      <c r="M3381" s="394"/>
      <c r="N3381" s="394"/>
      <c r="O3381" s="394"/>
      <c r="P3381" s="394"/>
      <c r="Q3381" s="394"/>
      <c r="R3381" s="381"/>
      <c r="S3381" s="408"/>
      <c r="T3381" s="385"/>
      <c r="U3381" s="475"/>
      <c r="V3381" s="395"/>
      <c r="W3381" s="395"/>
      <c r="X3381" s="393"/>
      <c r="Y3381" s="497">
        <v>1</v>
      </c>
      <c r="Z3381" s="497"/>
      <c r="AA3381" s="573">
        <v>43.05856</v>
      </c>
      <c r="AB3381" s="394">
        <v>32.600020000000001</v>
      </c>
      <c r="AC3381" s="394">
        <v>10.085330000000001</v>
      </c>
      <c r="AD3381" s="394">
        <f>4.1604+8.84147</f>
        <v>13.00187</v>
      </c>
      <c r="AE3381" s="394"/>
      <c r="AF3381" s="394">
        <v>0</v>
      </c>
      <c r="AG3381" s="394">
        <v>0</v>
      </c>
      <c r="AH3381" s="394">
        <v>2.4381900000000001</v>
      </c>
      <c r="AI3381" s="394">
        <v>10.085330000000001</v>
      </c>
      <c r="AJ3381" s="394">
        <f>1.3868+8.84147</f>
        <v>10.228269999999998</v>
      </c>
      <c r="AK3381" s="381" t="s">
        <v>167</v>
      </c>
      <c r="AL3381" s="408" t="s">
        <v>175</v>
      </c>
      <c r="AM3381" s="385"/>
      <c r="AN3381" s="475">
        <v>1622</v>
      </c>
      <c r="AO3381" s="395"/>
      <c r="AP3381" s="395">
        <f t="shared" si="1317"/>
        <v>43.05856</v>
      </c>
      <c r="AQ3381" s="393"/>
      <c r="AR3381" s="497"/>
      <c r="AS3381" s="497"/>
      <c r="AT3381" s="573"/>
      <c r="AU3381" s="394"/>
      <c r="AV3381" s="394"/>
      <c r="AW3381" s="394"/>
      <c r="AX3381" s="394"/>
      <c r="AY3381" s="394"/>
      <c r="AZ3381" s="394"/>
      <c r="BA3381" s="394"/>
      <c r="BB3381" s="394"/>
      <c r="BC3381" s="394"/>
      <c r="BD3381" s="381"/>
      <c r="BE3381" s="408"/>
      <c r="BF3381" s="385"/>
      <c r="BG3381" s="475"/>
      <c r="BH3381" s="395"/>
      <c r="BI3381" s="395" t="e">
        <f t="shared" si="1318"/>
        <v>#DIV/0!</v>
      </c>
    </row>
    <row r="3382" spans="1:61" s="358" customFormat="1" ht="19.2" x14ac:dyDescent="0.3">
      <c r="A3382" s="359" t="s">
        <v>331</v>
      </c>
      <c r="B3382" s="572" t="s">
        <v>2451</v>
      </c>
      <c r="C3382" s="546" t="s">
        <v>2453</v>
      </c>
      <c r="D3382" s="598">
        <v>0.4</v>
      </c>
      <c r="E3382" s="393"/>
      <c r="F3382" s="497"/>
      <c r="G3382" s="497"/>
      <c r="H3382" s="573"/>
      <c r="I3382" s="394"/>
      <c r="J3382" s="394"/>
      <c r="K3382" s="394"/>
      <c r="L3382" s="394"/>
      <c r="M3382" s="394"/>
      <c r="N3382" s="394"/>
      <c r="O3382" s="394"/>
      <c r="P3382" s="394"/>
      <c r="Q3382" s="394"/>
      <c r="R3382" s="381"/>
      <c r="S3382" s="408"/>
      <c r="T3382" s="385"/>
      <c r="U3382" s="475"/>
      <c r="V3382" s="395"/>
      <c r="W3382" s="395"/>
      <c r="X3382" s="393"/>
      <c r="Y3382" s="497">
        <v>1</v>
      </c>
      <c r="Z3382" s="497"/>
      <c r="AA3382" s="573">
        <v>45.375279999999997</v>
      </c>
      <c r="AB3382" s="394">
        <v>40.427979999999998</v>
      </c>
      <c r="AC3382" s="394">
        <v>40.341160000000002</v>
      </c>
      <c r="AD3382" s="394"/>
      <c r="AE3382" s="394"/>
      <c r="AF3382" s="394">
        <v>0</v>
      </c>
      <c r="AG3382" s="394">
        <v>0</v>
      </c>
      <c r="AH3382" s="394">
        <v>1.1533599999999999</v>
      </c>
      <c r="AI3382" s="394">
        <v>10.085290000000001</v>
      </c>
      <c r="AJ3382" s="394"/>
      <c r="AK3382" s="381" t="s">
        <v>167</v>
      </c>
      <c r="AL3382" s="408" t="s">
        <v>175</v>
      </c>
      <c r="AM3382" s="385"/>
      <c r="AN3382" s="475">
        <v>1624</v>
      </c>
      <c r="AO3382" s="395"/>
      <c r="AP3382" s="395">
        <f t="shared" si="1317"/>
        <v>45.375279999999997</v>
      </c>
      <c r="AQ3382" s="393"/>
      <c r="AR3382" s="497"/>
      <c r="AS3382" s="497"/>
      <c r="AT3382" s="573"/>
      <c r="AU3382" s="394"/>
      <c r="AV3382" s="394"/>
      <c r="AW3382" s="394"/>
      <c r="AX3382" s="394"/>
      <c r="AY3382" s="394"/>
      <c r="AZ3382" s="394"/>
      <c r="BA3382" s="394"/>
      <c r="BB3382" s="394"/>
      <c r="BC3382" s="394"/>
      <c r="BD3382" s="381"/>
      <c r="BE3382" s="408"/>
      <c r="BF3382" s="385"/>
      <c r="BG3382" s="475"/>
      <c r="BH3382" s="395"/>
      <c r="BI3382" s="395" t="e">
        <f t="shared" si="1318"/>
        <v>#DIV/0!</v>
      </c>
    </row>
    <row r="3383" spans="1:61" s="358" customFormat="1" ht="19.2" x14ac:dyDescent="0.3">
      <c r="A3383" s="359" t="s">
        <v>332</v>
      </c>
      <c r="B3383" s="572" t="s">
        <v>601</v>
      </c>
      <c r="C3383" s="546" t="s">
        <v>2611</v>
      </c>
      <c r="D3383" s="598">
        <v>0.4</v>
      </c>
      <c r="E3383" s="393"/>
      <c r="F3383" s="497"/>
      <c r="G3383" s="497"/>
      <c r="H3383" s="573"/>
      <c r="I3383" s="394"/>
      <c r="J3383" s="394"/>
      <c r="K3383" s="394"/>
      <c r="L3383" s="394"/>
      <c r="M3383" s="394"/>
      <c r="N3383" s="394"/>
      <c r="O3383" s="394"/>
      <c r="P3383" s="394"/>
      <c r="Q3383" s="394"/>
      <c r="R3383" s="381"/>
      <c r="S3383" s="408"/>
      <c r="T3383" s="385"/>
      <c r="U3383" s="475"/>
      <c r="V3383" s="395"/>
      <c r="W3383" s="395"/>
      <c r="X3383" s="393"/>
      <c r="Y3383" s="497">
        <v>1</v>
      </c>
      <c r="Z3383" s="497"/>
      <c r="AA3383" s="573">
        <v>22.793990000000001</v>
      </c>
      <c r="AB3383" s="394">
        <v>20.196660000000001</v>
      </c>
      <c r="AC3383" s="394">
        <v>20.17062</v>
      </c>
      <c r="AD3383" s="394"/>
      <c r="AE3383" s="394"/>
      <c r="AF3383" s="394">
        <v>0</v>
      </c>
      <c r="AG3383" s="394">
        <v>0</v>
      </c>
      <c r="AH3383" s="394">
        <v>0.60550999999999999</v>
      </c>
      <c r="AI3383" s="394">
        <v>10.08531</v>
      </c>
      <c r="AJ3383" s="394"/>
      <c r="AK3383" s="381" t="s">
        <v>167</v>
      </c>
      <c r="AL3383" s="408" t="s">
        <v>175</v>
      </c>
      <c r="AM3383" s="385"/>
      <c r="AN3383" s="475">
        <v>1625</v>
      </c>
      <c r="AO3383" s="395"/>
      <c r="AP3383" s="395">
        <f t="shared" si="1317"/>
        <v>22.793990000000001</v>
      </c>
      <c r="AQ3383" s="393"/>
      <c r="AR3383" s="497"/>
      <c r="AS3383" s="497"/>
      <c r="AT3383" s="573"/>
      <c r="AU3383" s="394"/>
      <c r="AV3383" s="394"/>
      <c r="AW3383" s="394"/>
      <c r="AX3383" s="394"/>
      <c r="AY3383" s="394"/>
      <c r="AZ3383" s="394"/>
      <c r="BA3383" s="394"/>
      <c r="BB3383" s="394"/>
      <c r="BC3383" s="394"/>
      <c r="BD3383" s="381"/>
      <c r="BE3383" s="408"/>
      <c r="BF3383" s="385"/>
      <c r="BG3383" s="475"/>
      <c r="BH3383" s="395"/>
      <c r="BI3383" s="395" t="e">
        <f t="shared" si="1318"/>
        <v>#DIV/0!</v>
      </c>
    </row>
    <row r="3384" spans="1:61" s="358" customFormat="1" ht="19.2" x14ac:dyDescent="0.3">
      <c r="A3384" s="359" t="s">
        <v>333</v>
      </c>
      <c r="B3384" s="572" t="s">
        <v>4411</v>
      </c>
      <c r="C3384" s="546" t="s">
        <v>3251</v>
      </c>
      <c r="D3384" s="598">
        <v>0.4</v>
      </c>
      <c r="E3384" s="393"/>
      <c r="F3384" s="497"/>
      <c r="G3384" s="497"/>
      <c r="H3384" s="573"/>
      <c r="I3384" s="394"/>
      <c r="J3384" s="394"/>
      <c r="K3384" s="394"/>
      <c r="L3384" s="394"/>
      <c r="M3384" s="394"/>
      <c r="N3384" s="394"/>
      <c r="O3384" s="394"/>
      <c r="P3384" s="394"/>
      <c r="Q3384" s="394"/>
      <c r="R3384" s="381"/>
      <c r="S3384" s="408"/>
      <c r="T3384" s="385"/>
      <c r="U3384" s="475"/>
      <c r="V3384" s="395"/>
      <c r="W3384" s="395"/>
      <c r="X3384" s="393"/>
      <c r="Y3384" s="497">
        <v>1</v>
      </c>
      <c r="Z3384" s="497"/>
      <c r="AA3384" s="573">
        <v>29.392130000000002</v>
      </c>
      <c r="AB3384" s="394">
        <v>20.422409999999999</v>
      </c>
      <c r="AC3384" s="394">
        <v>10.085279999999999</v>
      </c>
      <c r="AD3384" s="394">
        <v>3.69285</v>
      </c>
      <c r="AE3384" s="394"/>
      <c r="AF3384" s="394">
        <v>0</v>
      </c>
      <c r="AG3384" s="394">
        <v>0</v>
      </c>
      <c r="AH3384" s="394">
        <v>2.0911</v>
      </c>
      <c r="AI3384" s="394">
        <v>10.085279999999999</v>
      </c>
      <c r="AJ3384" s="394">
        <v>1.23095</v>
      </c>
      <c r="AK3384" s="381" t="s">
        <v>167</v>
      </c>
      <c r="AL3384" s="408" t="s">
        <v>175</v>
      </c>
      <c r="AM3384" s="385"/>
      <c r="AN3384" s="475">
        <v>1626</v>
      </c>
      <c r="AO3384" s="395"/>
      <c r="AP3384" s="395">
        <f t="shared" si="1317"/>
        <v>29.392130000000002</v>
      </c>
      <c r="AQ3384" s="393"/>
      <c r="AR3384" s="497"/>
      <c r="AS3384" s="497"/>
      <c r="AT3384" s="573"/>
      <c r="AU3384" s="394"/>
      <c r="AV3384" s="394"/>
      <c r="AW3384" s="394"/>
      <c r="AX3384" s="394"/>
      <c r="AY3384" s="394"/>
      <c r="AZ3384" s="394"/>
      <c r="BA3384" s="394"/>
      <c r="BB3384" s="394"/>
      <c r="BC3384" s="394"/>
      <c r="BD3384" s="381"/>
      <c r="BE3384" s="408"/>
      <c r="BF3384" s="385"/>
      <c r="BG3384" s="475"/>
      <c r="BH3384" s="395"/>
      <c r="BI3384" s="395" t="e">
        <f t="shared" si="1318"/>
        <v>#DIV/0!</v>
      </c>
    </row>
    <row r="3385" spans="1:61" s="358" customFormat="1" ht="19.2" x14ac:dyDescent="0.3">
      <c r="A3385" s="359" t="s">
        <v>334</v>
      </c>
      <c r="B3385" s="572" t="s">
        <v>302</v>
      </c>
      <c r="C3385" s="546" t="s">
        <v>2577</v>
      </c>
      <c r="D3385" s="598">
        <v>0.4</v>
      </c>
      <c r="E3385" s="393"/>
      <c r="F3385" s="497"/>
      <c r="G3385" s="497"/>
      <c r="H3385" s="573"/>
      <c r="I3385" s="394"/>
      <c r="J3385" s="394"/>
      <c r="K3385" s="394"/>
      <c r="L3385" s="394"/>
      <c r="M3385" s="394"/>
      <c r="N3385" s="394"/>
      <c r="O3385" s="394"/>
      <c r="P3385" s="394"/>
      <c r="Q3385" s="394"/>
      <c r="R3385" s="381"/>
      <c r="S3385" s="408"/>
      <c r="T3385" s="385"/>
      <c r="U3385" s="475"/>
      <c r="V3385" s="395"/>
      <c r="W3385" s="395"/>
      <c r="X3385" s="393"/>
      <c r="Y3385" s="497">
        <v>1</v>
      </c>
      <c r="Z3385" s="497"/>
      <c r="AA3385" s="573">
        <v>28.313009999999998</v>
      </c>
      <c r="AB3385" s="394">
        <v>20.53783</v>
      </c>
      <c r="AC3385" s="394">
        <v>10.0853</v>
      </c>
      <c r="AD3385" s="394">
        <v>4.1073000000000004</v>
      </c>
      <c r="AE3385" s="394"/>
      <c r="AF3385" s="394">
        <v>0</v>
      </c>
      <c r="AG3385" s="394">
        <v>0</v>
      </c>
      <c r="AH3385" s="394">
        <v>1.8126199999999999</v>
      </c>
      <c r="AI3385" s="394">
        <v>10.0853</v>
      </c>
      <c r="AJ3385" s="394">
        <v>1.3691</v>
      </c>
      <c r="AK3385" s="381" t="s">
        <v>167</v>
      </c>
      <c r="AL3385" s="408" t="s">
        <v>175</v>
      </c>
      <c r="AM3385" s="385"/>
      <c r="AN3385" s="475">
        <v>1627</v>
      </c>
      <c r="AO3385" s="395"/>
      <c r="AP3385" s="395">
        <f t="shared" si="1317"/>
        <v>28.313009999999998</v>
      </c>
      <c r="AQ3385" s="393"/>
      <c r="AR3385" s="497"/>
      <c r="AS3385" s="497"/>
      <c r="AT3385" s="573"/>
      <c r="AU3385" s="394"/>
      <c r="AV3385" s="394"/>
      <c r="AW3385" s="394"/>
      <c r="AX3385" s="394"/>
      <c r="AY3385" s="394"/>
      <c r="AZ3385" s="394"/>
      <c r="BA3385" s="394"/>
      <c r="BB3385" s="394"/>
      <c r="BC3385" s="394"/>
      <c r="BD3385" s="381"/>
      <c r="BE3385" s="408"/>
      <c r="BF3385" s="385"/>
      <c r="BG3385" s="475"/>
      <c r="BH3385" s="395"/>
      <c r="BI3385" s="395" t="e">
        <f t="shared" si="1318"/>
        <v>#DIV/0!</v>
      </c>
    </row>
    <row r="3386" spans="1:61" s="358" customFormat="1" ht="19.2" x14ac:dyDescent="0.3">
      <c r="A3386" s="359" t="s">
        <v>335</v>
      </c>
      <c r="B3386" s="572" t="s">
        <v>302</v>
      </c>
      <c r="C3386" s="546" t="s">
        <v>2578</v>
      </c>
      <c r="D3386" s="598">
        <v>0.4</v>
      </c>
      <c r="E3386" s="393"/>
      <c r="F3386" s="497"/>
      <c r="G3386" s="497"/>
      <c r="H3386" s="573"/>
      <c r="I3386" s="394"/>
      <c r="J3386" s="394"/>
      <c r="K3386" s="394"/>
      <c r="L3386" s="394"/>
      <c r="M3386" s="394"/>
      <c r="N3386" s="394"/>
      <c r="O3386" s="394"/>
      <c r="P3386" s="394"/>
      <c r="Q3386" s="394"/>
      <c r="R3386" s="381"/>
      <c r="S3386" s="408"/>
      <c r="T3386" s="385"/>
      <c r="U3386" s="475"/>
      <c r="V3386" s="395"/>
      <c r="W3386" s="395"/>
      <c r="X3386" s="393"/>
      <c r="Y3386" s="497">
        <v>1</v>
      </c>
      <c r="Z3386" s="497"/>
      <c r="AA3386" s="573">
        <v>27.49437</v>
      </c>
      <c r="AB3386" s="394">
        <v>19.719190000000001</v>
      </c>
      <c r="AC3386" s="394">
        <v>10.0853</v>
      </c>
      <c r="AD3386" s="394">
        <v>4.1073000000000004</v>
      </c>
      <c r="AE3386" s="394"/>
      <c r="AF3386" s="394">
        <v>0</v>
      </c>
      <c r="AG3386" s="394">
        <v>0</v>
      </c>
      <c r="AH3386" s="394">
        <v>1.8126199999999999</v>
      </c>
      <c r="AI3386" s="394">
        <v>10.0853</v>
      </c>
      <c r="AJ3386" s="394">
        <v>1.3691</v>
      </c>
      <c r="AK3386" s="381" t="s">
        <v>167</v>
      </c>
      <c r="AL3386" s="408" t="s">
        <v>175</v>
      </c>
      <c r="AM3386" s="385"/>
      <c r="AN3386" s="475">
        <v>1628</v>
      </c>
      <c r="AO3386" s="395"/>
      <c r="AP3386" s="395">
        <f t="shared" si="1317"/>
        <v>27.49437</v>
      </c>
      <c r="AQ3386" s="393"/>
      <c r="AR3386" s="497"/>
      <c r="AS3386" s="497"/>
      <c r="AT3386" s="573"/>
      <c r="AU3386" s="394"/>
      <c r="AV3386" s="394"/>
      <c r="AW3386" s="394"/>
      <c r="AX3386" s="394"/>
      <c r="AY3386" s="394"/>
      <c r="AZ3386" s="394"/>
      <c r="BA3386" s="394"/>
      <c r="BB3386" s="394"/>
      <c r="BC3386" s="394"/>
      <c r="BD3386" s="381"/>
      <c r="BE3386" s="408"/>
      <c r="BF3386" s="385"/>
      <c r="BG3386" s="475"/>
      <c r="BH3386" s="395"/>
      <c r="BI3386" s="395" t="e">
        <f t="shared" si="1318"/>
        <v>#DIV/0!</v>
      </c>
    </row>
    <row r="3387" spans="1:61" s="358" customFormat="1" ht="19.2" x14ac:dyDescent="0.3">
      <c r="A3387" s="359" t="s">
        <v>336</v>
      </c>
      <c r="B3387" s="572" t="s">
        <v>4412</v>
      </c>
      <c r="C3387" s="546" t="s">
        <v>3312</v>
      </c>
      <c r="D3387" s="598">
        <v>0.4</v>
      </c>
      <c r="E3387" s="393"/>
      <c r="F3387" s="497"/>
      <c r="G3387" s="497"/>
      <c r="H3387" s="573"/>
      <c r="I3387" s="394"/>
      <c r="J3387" s="394"/>
      <c r="K3387" s="394"/>
      <c r="L3387" s="394"/>
      <c r="M3387" s="394"/>
      <c r="N3387" s="394"/>
      <c r="O3387" s="394"/>
      <c r="P3387" s="394"/>
      <c r="Q3387" s="394"/>
      <c r="R3387" s="381"/>
      <c r="S3387" s="408"/>
      <c r="T3387" s="385"/>
      <c r="U3387" s="475"/>
      <c r="V3387" s="395"/>
      <c r="W3387" s="395"/>
      <c r="X3387" s="393"/>
      <c r="Y3387" s="497">
        <v>1</v>
      </c>
      <c r="Z3387" s="497"/>
      <c r="AA3387" s="573">
        <v>30.740559999999999</v>
      </c>
      <c r="AB3387" s="394">
        <v>21.77084</v>
      </c>
      <c r="AC3387" s="394">
        <v>10.085279999999999</v>
      </c>
      <c r="AD3387" s="394">
        <v>4.1073000000000004</v>
      </c>
      <c r="AE3387" s="394"/>
      <c r="AF3387" s="394">
        <v>0</v>
      </c>
      <c r="AG3387" s="394">
        <v>0</v>
      </c>
      <c r="AH3387" s="394">
        <v>2.0911</v>
      </c>
      <c r="AI3387" s="394">
        <v>10.085279999999999</v>
      </c>
      <c r="AJ3387" s="394">
        <v>1.3691</v>
      </c>
      <c r="AK3387" s="381" t="s">
        <v>167</v>
      </c>
      <c r="AL3387" s="408" t="s">
        <v>175</v>
      </c>
      <c r="AM3387" s="385"/>
      <c r="AN3387" s="475">
        <v>1629</v>
      </c>
      <c r="AO3387" s="395"/>
      <c r="AP3387" s="395">
        <f t="shared" si="1317"/>
        <v>30.740559999999999</v>
      </c>
      <c r="AQ3387" s="393"/>
      <c r="AR3387" s="497"/>
      <c r="AS3387" s="497"/>
      <c r="AT3387" s="573"/>
      <c r="AU3387" s="394"/>
      <c r="AV3387" s="394"/>
      <c r="AW3387" s="394"/>
      <c r="AX3387" s="394"/>
      <c r="AY3387" s="394"/>
      <c r="AZ3387" s="394"/>
      <c r="BA3387" s="394"/>
      <c r="BB3387" s="394"/>
      <c r="BC3387" s="394"/>
      <c r="BD3387" s="381"/>
      <c r="BE3387" s="408"/>
      <c r="BF3387" s="385"/>
      <c r="BG3387" s="475"/>
      <c r="BH3387" s="395"/>
      <c r="BI3387" s="395" t="e">
        <f t="shared" si="1318"/>
        <v>#DIV/0!</v>
      </c>
    </row>
    <row r="3388" spans="1:61" s="358" customFormat="1" ht="19.2" x14ac:dyDescent="0.3">
      <c r="A3388" s="359" t="s">
        <v>337</v>
      </c>
      <c r="B3388" s="572" t="s">
        <v>322</v>
      </c>
      <c r="C3388" s="546" t="s">
        <v>2592</v>
      </c>
      <c r="D3388" s="598">
        <v>0.4</v>
      </c>
      <c r="E3388" s="393"/>
      <c r="F3388" s="497"/>
      <c r="G3388" s="497"/>
      <c r="H3388" s="573"/>
      <c r="I3388" s="394"/>
      <c r="J3388" s="394"/>
      <c r="K3388" s="394"/>
      <c r="L3388" s="394"/>
      <c r="M3388" s="394"/>
      <c r="N3388" s="394"/>
      <c r="O3388" s="394"/>
      <c r="P3388" s="394"/>
      <c r="Q3388" s="394"/>
      <c r="R3388" s="381"/>
      <c r="S3388" s="408"/>
      <c r="T3388" s="385"/>
      <c r="U3388" s="475"/>
      <c r="V3388" s="395"/>
      <c r="W3388" s="395"/>
      <c r="X3388" s="393"/>
      <c r="Y3388" s="497">
        <v>1</v>
      </c>
      <c r="Z3388" s="497"/>
      <c r="AA3388" s="573">
        <v>24.44049</v>
      </c>
      <c r="AB3388" s="394">
        <v>20.187989999999999</v>
      </c>
      <c r="AC3388" s="394">
        <v>20.17062</v>
      </c>
      <c r="AD3388" s="394"/>
      <c r="AE3388" s="394"/>
      <c r="AF3388" s="394">
        <v>0</v>
      </c>
      <c r="AG3388" s="394">
        <v>0</v>
      </c>
      <c r="AH3388" s="394">
        <v>0.99138000000000004</v>
      </c>
      <c r="AI3388" s="394">
        <v>10.08531</v>
      </c>
      <c r="AJ3388" s="394"/>
      <c r="AK3388" s="381" t="s">
        <v>167</v>
      </c>
      <c r="AL3388" s="408" t="s">
        <v>175</v>
      </c>
      <c r="AM3388" s="385"/>
      <c r="AN3388" s="475">
        <v>1630</v>
      </c>
      <c r="AO3388" s="395"/>
      <c r="AP3388" s="395">
        <f t="shared" si="1317"/>
        <v>24.44049</v>
      </c>
      <c r="AQ3388" s="393"/>
      <c r="AR3388" s="497"/>
      <c r="AS3388" s="497"/>
      <c r="AT3388" s="573"/>
      <c r="AU3388" s="394"/>
      <c r="AV3388" s="394"/>
      <c r="AW3388" s="394"/>
      <c r="AX3388" s="394"/>
      <c r="AY3388" s="394"/>
      <c r="AZ3388" s="394"/>
      <c r="BA3388" s="394"/>
      <c r="BB3388" s="394"/>
      <c r="BC3388" s="394"/>
      <c r="BD3388" s="381"/>
      <c r="BE3388" s="408"/>
      <c r="BF3388" s="385"/>
      <c r="BG3388" s="475"/>
      <c r="BH3388" s="395"/>
      <c r="BI3388" s="395" t="e">
        <f t="shared" si="1318"/>
        <v>#DIV/0!</v>
      </c>
    </row>
    <row r="3389" spans="1:61" s="358" customFormat="1" ht="19.2" x14ac:dyDescent="0.3">
      <c r="A3389" s="359" t="s">
        <v>338</v>
      </c>
      <c r="B3389" s="572" t="s">
        <v>304</v>
      </c>
      <c r="C3389" s="546" t="s">
        <v>3364</v>
      </c>
      <c r="D3389" s="598">
        <v>0.4</v>
      </c>
      <c r="E3389" s="393"/>
      <c r="F3389" s="497"/>
      <c r="G3389" s="497"/>
      <c r="H3389" s="573"/>
      <c r="I3389" s="394"/>
      <c r="J3389" s="394"/>
      <c r="K3389" s="394"/>
      <c r="L3389" s="394"/>
      <c r="M3389" s="394"/>
      <c r="N3389" s="394"/>
      <c r="O3389" s="394"/>
      <c r="P3389" s="394"/>
      <c r="Q3389" s="394"/>
      <c r="R3389" s="381"/>
      <c r="S3389" s="408"/>
      <c r="T3389" s="385"/>
      <c r="U3389" s="475"/>
      <c r="V3389" s="395"/>
      <c r="W3389" s="395"/>
      <c r="X3389" s="393"/>
      <c r="Y3389" s="497">
        <v>1</v>
      </c>
      <c r="Z3389" s="497"/>
      <c r="AA3389" s="573">
        <v>39.825850000000003</v>
      </c>
      <c r="AB3389" s="394">
        <v>27.874569999999999</v>
      </c>
      <c r="AC3389" s="394">
        <v>20.170580000000001</v>
      </c>
      <c r="AD3389" s="394">
        <v>7.6519199999999996</v>
      </c>
      <c r="AE3389" s="394"/>
      <c r="AF3389" s="394">
        <v>0</v>
      </c>
      <c r="AG3389" s="394">
        <v>0</v>
      </c>
      <c r="AH3389" s="394">
        <v>2.7861899999999999</v>
      </c>
      <c r="AI3389" s="394">
        <v>10.085290000000001</v>
      </c>
      <c r="AJ3389" s="394">
        <v>1.27532</v>
      </c>
      <c r="AK3389" s="381" t="s">
        <v>167</v>
      </c>
      <c r="AL3389" s="408" t="s">
        <v>175</v>
      </c>
      <c r="AM3389" s="385"/>
      <c r="AN3389" s="475">
        <v>1631</v>
      </c>
      <c r="AO3389" s="395"/>
      <c r="AP3389" s="395">
        <f t="shared" si="1317"/>
        <v>39.825850000000003</v>
      </c>
      <c r="AQ3389" s="393"/>
      <c r="AR3389" s="497"/>
      <c r="AS3389" s="497"/>
      <c r="AT3389" s="573"/>
      <c r="AU3389" s="394"/>
      <c r="AV3389" s="394"/>
      <c r="AW3389" s="394"/>
      <c r="AX3389" s="394"/>
      <c r="AY3389" s="394"/>
      <c r="AZ3389" s="394"/>
      <c r="BA3389" s="394"/>
      <c r="BB3389" s="394"/>
      <c r="BC3389" s="394"/>
      <c r="BD3389" s="381"/>
      <c r="BE3389" s="408"/>
      <c r="BF3389" s="385"/>
      <c r="BG3389" s="475"/>
      <c r="BH3389" s="395"/>
      <c r="BI3389" s="395" t="e">
        <f t="shared" si="1318"/>
        <v>#DIV/0!</v>
      </c>
    </row>
    <row r="3390" spans="1:61" s="358" customFormat="1" ht="19.2" x14ac:dyDescent="0.3">
      <c r="A3390" s="359" t="s">
        <v>339</v>
      </c>
      <c r="B3390" s="572" t="s">
        <v>4410</v>
      </c>
      <c r="C3390" s="546" t="s">
        <v>4629</v>
      </c>
      <c r="D3390" s="598">
        <v>0.4</v>
      </c>
      <c r="E3390" s="393"/>
      <c r="F3390" s="497"/>
      <c r="G3390" s="497"/>
      <c r="H3390" s="573"/>
      <c r="I3390" s="394"/>
      <c r="J3390" s="394"/>
      <c r="K3390" s="394"/>
      <c r="L3390" s="394"/>
      <c r="M3390" s="394"/>
      <c r="N3390" s="394"/>
      <c r="O3390" s="394"/>
      <c r="P3390" s="394"/>
      <c r="Q3390" s="394"/>
      <c r="R3390" s="381"/>
      <c r="S3390" s="408"/>
      <c r="T3390" s="385"/>
      <c r="U3390" s="475"/>
      <c r="V3390" s="395"/>
      <c r="W3390" s="395"/>
      <c r="X3390" s="393"/>
      <c r="Y3390" s="497">
        <v>1</v>
      </c>
      <c r="Z3390" s="497"/>
      <c r="AA3390" s="573">
        <v>27.913139999999999</v>
      </c>
      <c r="AB3390" s="394">
        <v>18.94342</v>
      </c>
      <c r="AC3390" s="394">
        <v>10.0853</v>
      </c>
      <c r="AD3390" s="394">
        <v>4.1073000000000004</v>
      </c>
      <c r="AE3390" s="394"/>
      <c r="AF3390" s="394">
        <v>0</v>
      </c>
      <c r="AG3390" s="394">
        <v>0</v>
      </c>
      <c r="AH3390" s="394">
        <v>2.0911</v>
      </c>
      <c r="AI3390" s="394">
        <v>10.0853</v>
      </c>
      <c r="AJ3390" s="394">
        <v>1.3691</v>
      </c>
      <c r="AK3390" s="381" t="s">
        <v>167</v>
      </c>
      <c r="AL3390" s="408" t="s">
        <v>175</v>
      </c>
      <c r="AM3390" s="385"/>
      <c r="AN3390" s="475">
        <v>1632</v>
      </c>
      <c r="AO3390" s="395"/>
      <c r="AP3390" s="395">
        <f t="shared" si="1317"/>
        <v>27.913139999999999</v>
      </c>
      <c r="AQ3390" s="393"/>
      <c r="AR3390" s="497"/>
      <c r="AS3390" s="497"/>
      <c r="AT3390" s="573"/>
      <c r="AU3390" s="394"/>
      <c r="AV3390" s="394"/>
      <c r="AW3390" s="394"/>
      <c r="AX3390" s="394"/>
      <c r="AY3390" s="394"/>
      <c r="AZ3390" s="394"/>
      <c r="BA3390" s="394"/>
      <c r="BB3390" s="394"/>
      <c r="BC3390" s="394"/>
      <c r="BD3390" s="381"/>
      <c r="BE3390" s="408"/>
      <c r="BF3390" s="385"/>
      <c r="BG3390" s="475"/>
      <c r="BH3390" s="395"/>
      <c r="BI3390" s="395" t="e">
        <f t="shared" si="1318"/>
        <v>#DIV/0!</v>
      </c>
    </row>
    <row r="3391" spans="1:61" s="358" customFormat="1" ht="19.2" x14ac:dyDescent="0.3">
      <c r="A3391" s="317"/>
      <c r="B3391" s="572" t="s">
        <v>4413</v>
      </c>
      <c r="C3391" s="546" t="s">
        <v>3399</v>
      </c>
      <c r="D3391" s="598">
        <v>0.4</v>
      </c>
      <c r="E3391" s="393"/>
      <c r="F3391" s="497"/>
      <c r="G3391" s="497"/>
      <c r="H3391" s="573"/>
      <c r="I3391" s="394"/>
      <c r="J3391" s="394"/>
      <c r="K3391" s="394"/>
      <c r="L3391" s="394"/>
      <c r="M3391" s="394"/>
      <c r="N3391" s="394"/>
      <c r="O3391" s="394"/>
      <c r="P3391" s="394"/>
      <c r="Q3391" s="394"/>
      <c r="R3391" s="381"/>
      <c r="S3391" s="408"/>
      <c r="T3391" s="385"/>
      <c r="U3391" s="475"/>
      <c r="V3391" s="395"/>
      <c r="W3391" s="395"/>
      <c r="X3391" s="393"/>
      <c r="Y3391" s="497">
        <v>1</v>
      </c>
      <c r="Z3391" s="497"/>
      <c r="AA3391" s="573">
        <v>20.8705</v>
      </c>
      <c r="AB3391" s="394">
        <v>14.450150000000001</v>
      </c>
      <c r="AC3391" s="394">
        <v>10.085319999999999</v>
      </c>
      <c r="AD3391" s="394">
        <v>4.1073000000000004</v>
      </c>
      <c r="AE3391" s="394"/>
      <c r="AF3391" s="394">
        <v>0</v>
      </c>
      <c r="AG3391" s="394">
        <v>0</v>
      </c>
      <c r="AH3391" s="394">
        <v>1.4967699999999999</v>
      </c>
      <c r="AI3391" s="394">
        <v>10.085319999999999</v>
      </c>
      <c r="AJ3391" s="394">
        <v>1.3691</v>
      </c>
      <c r="AK3391" s="381" t="s">
        <v>167</v>
      </c>
      <c r="AL3391" s="408" t="s">
        <v>175</v>
      </c>
      <c r="AM3391" s="385"/>
      <c r="AN3391" s="475">
        <v>1633</v>
      </c>
      <c r="AO3391" s="395"/>
      <c r="AP3391" s="395">
        <f t="shared" si="1317"/>
        <v>20.8705</v>
      </c>
      <c r="AQ3391" s="393"/>
      <c r="AR3391" s="497"/>
      <c r="AS3391" s="497"/>
      <c r="AT3391" s="573"/>
      <c r="AU3391" s="394"/>
      <c r="AV3391" s="394"/>
      <c r="AW3391" s="394"/>
      <c r="AX3391" s="394"/>
      <c r="AY3391" s="394"/>
      <c r="AZ3391" s="394"/>
      <c r="BA3391" s="394"/>
      <c r="BB3391" s="394"/>
      <c r="BC3391" s="394"/>
      <c r="BD3391" s="381"/>
      <c r="BE3391" s="408"/>
      <c r="BF3391" s="385"/>
      <c r="BG3391" s="475"/>
      <c r="BH3391" s="395"/>
      <c r="BI3391" s="395" t="e">
        <f t="shared" si="1318"/>
        <v>#DIV/0!</v>
      </c>
    </row>
    <row r="3392" spans="1:61" s="358" customFormat="1" ht="19.2" x14ac:dyDescent="0.3">
      <c r="A3392" s="359" t="s">
        <v>341</v>
      </c>
      <c r="B3392" s="572" t="s">
        <v>4413</v>
      </c>
      <c r="C3392" s="546" t="s">
        <v>3400</v>
      </c>
      <c r="D3392" s="598">
        <v>0.4</v>
      </c>
      <c r="E3392" s="393"/>
      <c r="F3392" s="497"/>
      <c r="G3392" s="497"/>
      <c r="H3392" s="573"/>
      <c r="I3392" s="394"/>
      <c r="J3392" s="394"/>
      <c r="K3392" s="394"/>
      <c r="L3392" s="394"/>
      <c r="M3392" s="394"/>
      <c r="N3392" s="394"/>
      <c r="O3392" s="394"/>
      <c r="P3392" s="394"/>
      <c r="Q3392" s="394"/>
      <c r="R3392" s="381"/>
      <c r="S3392" s="408"/>
      <c r="T3392" s="385"/>
      <c r="U3392" s="475"/>
      <c r="V3392" s="395"/>
      <c r="W3392" s="395"/>
      <c r="X3392" s="393"/>
      <c r="Y3392" s="497">
        <v>1</v>
      </c>
      <c r="Z3392" s="497"/>
      <c r="AA3392" s="573">
        <v>20.8705</v>
      </c>
      <c r="AB3392" s="394">
        <v>14.450150000000001</v>
      </c>
      <c r="AC3392" s="394">
        <v>10.085319999999999</v>
      </c>
      <c r="AD3392" s="394">
        <v>4.1073000000000004</v>
      </c>
      <c r="AE3392" s="394"/>
      <c r="AF3392" s="394">
        <v>0</v>
      </c>
      <c r="AG3392" s="394">
        <v>0</v>
      </c>
      <c r="AH3392" s="394">
        <v>1.4967699999999999</v>
      </c>
      <c r="AI3392" s="394">
        <v>10.085319999999999</v>
      </c>
      <c r="AJ3392" s="394">
        <v>1.3691</v>
      </c>
      <c r="AK3392" s="381" t="s">
        <v>167</v>
      </c>
      <c r="AL3392" s="408" t="s">
        <v>175</v>
      </c>
      <c r="AM3392" s="385"/>
      <c r="AN3392" s="475">
        <v>1634</v>
      </c>
      <c r="AO3392" s="395"/>
      <c r="AP3392" s="395">
        <f t="shared" si="1317"/>
        <v>20.8705</v>
      </c>
      <c r="AQ3392" s="393"/>
      <c r="AR3392" s="497"/>
      <c r="AS3392" s="497"/>
      <c r="AT3392" s="573"/>
      <c r="AU3392" s="394"/>
      <c r="AV3392" s="394"/>
      <c r="AW3392" s="394"/>
      <c r="AX3392" s="394"/>
      <c r="AY3392" s="394"/>
      <c r="AZ3392" s="394"/>
      <c r="BA3392" s="394"/>
      <c r="BB3392" s="394"/>
      <c r="BC3392" s="394"/>
      <c r="BD3392" s="381"/>
      <c r="BE3392" s="408"/>
      <c r="BF3392" s="385"/>
      <c r="BG3392" s="475"/>
      <c r="BH3392" s="395"/>
      <c r="BI3392" s="395" t="e">
        <f t="shared" si="1318"/>
        <v>#DIV/0!</v>
      </c>
    </row>
    <row r="3393" spans="1:61" s="358" customFormat="1" ht="19.2" x14ac:dyDescent="0.3">
      <c r="A3393" s="359" t="s">
        <v>326</v>
      </c>
      <c r="B3393" s="572" t="s">
        <v>4413</v>
      </c>
      <c r="C3393" s="546" t="s">
        <v>3401</v>
      </c>
      <c r="D3393" s="598">
        <v>0.4</v>
      </c>
      <c r="E3393" s="393"/>
      <c r="F3393" s="497"/>
      <c r="G3393" s="497"/>
      <c r="H3393" s="573"/>
      <c r="I3393" s="394"/>
      <c r="J3393" s="394"/>
      <c r="K3393" s="394"/>
      <c r="L3393" s="394"/>
      <c r="M3393" s="394"/>
      <c r="N3393" s="394"/>
      <c r="O3393" s="394"/>
      <c r="P3393" s="394"/>
      <c r="Q3393" s="394"/>
      <c r="R3393" s="381"/>
      <c r="S3393" s="408"/>
      <c r="T3393" s="385"/>
      <c r="U3393" s="475"/>
      <c r="V3393" s="395"/>
      <c r="W3393" s="395"/>
      <c r="X3393" s="393"/>
      <c r="Y3393" s="497">
        <v>1</v>
      </c>
      <c r="Z3393" s="497"/>
      <c r="AA3393" s="573">
        <v>20.87049</v>
      </c>
      <c r="AB3393" s="394">
        <v>14.450139999999999</v>
      </c>
      <c r="AC3393" s="394">
        <v>10.085319999999999</v>
      </c>
      <c r="AD3393" s="394">
        <v>4.1073000000000004</v>
      </c>
      <c r="AE3393" s="394"/>
      <c r="AF3393" s="394">
        <v>0</v>
      </c>
      <c r="AG3393" s="394">
        <v>0</v>
      </c>
      <c r="AH3393" s="394">
        <v>1.4967699999999999</v>
      </c>
      <c r="AI3393" s="394">
        <v>10.085319999999999</v>
      </c>
      <c r="AJ3393" s="394">
        <v>1.3691</v>
      </c>
      <c r="AK3393" s="381" t="s">
        <v>167</v>
      </c>
      <c r="AL3393" s="408" t="s">
        <v>175</v>
      </c>
      <c r="AM3393" s="385"/>
      <c r="AN3393" s="475">
        <v>1635</v>
      </c>
      <c r="AO3393" s="395"/>
      <c r="AP3393" s="395">
        <f t="shared" si="1317"/>
        <v>20.87049</v>
      </c>
      <c r="AQ3393" s="393"/>
      <c r="AR3393" s="497"/>
      <c r="AS3393" s="497"/>
      <c r="AT3393" s="573"/>
      <c r="AU3393" s="394"/>
      <c r="AV3393" s="394"/>
      <c r="AW3393" s="394"/>
      <c r="AX3393" s="394"/>
      <c r="AY3393" s="394"/>
      <c r="AZ3393" s="394"/>
      <c r="BA3393" s="394"/>
      <c r="BB3393" s="394"/>
      <c r="BC3393" s="394"/>
      <c r="BD3393" s="381"/>
      <c r="BE3393" s="408"/>
      <c r="BF3393" s="385"/>
      <c r="BG3393" s="475"/>
      <c r="BH3393" s="395"/>
      <c r="BI3393" s="395" t="e">
        <f t="shared" si="1318"/>
        <v>#DIV/0!</v>
      </c>
    </row>
    <row r="3394" spans="1:61" s="358" customFormat="1" ht="19.2" x14ac:dyDescent="0.3">
      <c r="A3394" s="359" t="s">
        <v>343</v>
      </c>
      <c r="B3394" s="572" t="s">
        <v>4414</v>
      </c>
      <c r="C3394" s="546" t="s">
        <v>3415</v>
      </c>
      <c r="D3394" s="598">
        <v>0.4</v>
      </c>
      <c r="E3394" s="393"/>
      <c r="F3394" s="497"/>
      <c r="G3394" s="497"/>
      <c r="H3394" s="573"/>
      <c r="I3394" s="394"/>
      <c r="J3394" s="394"/>
      <c r="K3394" s="394"/>
      <c r="L3394" s="394"/>
      <c r="M3394" s="394"/>
      <c r="N3394" s="394"/>
      <c r="O3394" s="394"/>
      <c r="P3394" s="394"/>
      <c r="Q3394" s="394"/>
      <c r="R3394" s="381"/>
      <c r="S3394" s="408"/>
      <c r="T3394" s="385"/>
      <c r="U3394" s="475"/>
      <c r="V3394" s="395"/>
      <c r="W3394" s="395"/>
      <c r="X3394" s="393"/>
      <c r="Y3394" s="497">
        <v>1</v>
      </c>
      <c r="Z3394" s="497"/>
      <c r="AA3394" s="573">
        <v>20.95374</v>
      </c>
      <c r="AB3394" s="394">
        <v>14.533390000000001</v>
      </c>
      <c r="AC3394" s="394">
        <v>10.08531</v>
      </c>
      <c r="AD3394" s="394">
        <v>3.6928399999999999</v>
      </c>
      <c r="AE3394" s="394"/>
      <c r="AF3394" s="394">
        <v>0</v>
      </c>
      <c r="AG3394" s="394">
        <v>0</v>
      </c>
      <c r="AH3394" s="394">
        <v>1.4967699999999999</v>
      </c>
      <c r="AI3394" s="394">
        <v>10.08531</v>
      </c>
      <c r="AJ3394" s="394">
        <v>1.23095</v>
      </c>
      <c r="AK3394" s="381" t="s">
        <v>167</v>
      </c>
      <c r="AL3394" s="408" t="s">
        <v>175</v>
      </c>
      <c r="AM3394" s="385"/>
      <c r="AN3394" s="475">
        <v>1636</v>
      </c>
      <c r="AO3394" s="395"/>
      <c r="AP3394" s="395">
        <f t="shared" si="1317"/>
        <v>20.95374</v>
      </c>
      <c r="AQ3394" s="393"/>
      <c r="AR3394" s="497"/>
      <c r="AS3394" s="497"/>
      <c r="AT3394" s="573"/>
      <c r="AU3394" s="394"/>
      <c r="AV3394" s="394"/>
      <c r="AW3394" s="394"/>
      <c r="AX3394" s="394"/>
      <c r="AY3394" s="394"/>
      <c r="AZ3394" s="394"/>
      <c r="BA3394" s="394"/>
      <c r="BB3394" s="394"/>
      <c r="BC3394" s="394"/>
      <c r="BD3394" s="381"/>
      <c r="BE3394" s="408"/>
      <c r="BF3394" s="385"/>
      <c r="BG3394" s="475"/>
      <c r="BH3394" s="395"/>
      <c r="BI3394" s="395" t="e">
        <f t="shared" si="1318"/>
        <v>#DIV/0!</v>
      </c>
    </row>
    <row r="3395" spans="1:61" s="358" customFormat="1" ht="19.2" x14ac:dyDescent="0.3">
      <c r="A3395" s="359"/>
      <c r="B3395" s="572" t="s">
        <v>2582</v>
      </c>
      <c r="C3395" s="546" t="s">
        <v>2581</v>
      </c>
      <c r="D3395" s="598">
        <v>0.4</v>
      </c>
      <c r="E3395" s="393"/>
      <c r="F3395" s="497"/>
      <c r="G3395" s="497"/>
      <c r="H3395" s="573"/>
      <c r="I3395" s="394"/>
      <c r="J3395" s="394"/>
      <c r="K3395" s="394"/>
      <c r="L3395" s="394"/>
      <c r="M3395" s="394"/>
      <c r="N3395" s="394"/>
      <c r="O3395" s="394"/>
      <c r="P3395" s="394"/>
      <c r="Q3395" s="394"/>
      <c r="R3395" s="381"/>
      <c r="S3395" s="408"/>
      <c r="T3395" s="385"/>
      <c r="U3395" s="475"/>
      <c r="V3395" s="395"/>
      <c r="W3395" s="395"/>
      <c r="X3395" s="393"/>
      <c r="Y3395" s="497">
        <v>1</v>
      </c>
      <c r="Z3395" s="497"/>
      <c r="AA3395" s="573">
        <v>31.836569999999998</v>
      </c>
      <c r="AB3395" s="394">
        <v>24.061389999999999</v>
      </c>
      <c r="AC3395" s="394">
        <v>10.085330000000001</v>
      </c>
      <c r="AD3395" s="394">
        <v>4.1073000000000004</v>
      </c>
      <c r="AE3395" s="394"/>
      <c r="AF3395" s="394">
        <v>0</v>
      </c>
      <c r="AG3395" s="394">
        <v>0</v>
      </c>
      <c r="AH3395" s="394">
        <v>1.8126199999999999</v>
      </c>
      <c r="AI3395" s="394">
        <v>10.085330000000001</v>
      </c>
      <c r="AJ3395" s="394">
        <v>1.3691</v>
      </c>
      <c r="AK3395" s="381" t="s">
        <v>167</v>
      </c>
      <c r="AL3395" s="408" t="s">
        <v>175</v>
      </c>
      <c r="AM3395" s="385"/>
      <c r="AN3395" s="475">
        <v>1637</v>
      </c>
      <c r="AO3395" s="395"/>
      <c r="AP3395" s="395">
        <f t="shared" si="1317"/>
        <v>31.836569999999998</v>
      </c>
      <c r="AQ3395" s="393"/>
      <c r="AR3395" s="497"/>
      <c r="AS3395" s="497"/>
      <c r="AT3395" s="573"/>
      <c r="AU3395" s="394"/>
      <c r="AV3395" s="394"/>
      <c r="AW3395" s="394"/>
      <c r="AX3395" s="394"/>
      <c r="AY3395" s="394"/>
      <c r="AZ3395" s="394"/>
      <c r="BA3395" s="394"/>
      <c r="BB3395" s="394"/>
      <c r="BC3395" s="394"/>
      <c r="BD3395" s="381"/>
      <c r="BE3395" s="408"/>
      <c r="BF3395" s="385"/>
      <c r="BG3395" s="475"/>
      <c r="BH3395" s="395"/>
      <c r="BI3395" s="395" t="e">
        <f t="shared" si="1318"/>
        <v>#DIV/0!</v>
      </c>
    </row>
    <row r="3396" spans="1:61" s="358" customFormat="1" ht="19.2" x14ac:dyDescent="0.3">
      <c r="A3396" s="359" t="s">
        <v>345</v>
      </c>
      <c r="B3396" s="572" t="s">
        <v>4415</v>
      </c>
      <c r="C3396" s="546" t="s">
        <v>3449</v>
      </c>
      <c r="D3396" s="598">
        <v>0.4</v>
      </c>
      <c r="E3396" s="393"/>
      <c r="F3396" s="497"/>
      <c r="G3396" s="497"/>
      <c r="H3396" s="573"/>
      <c r="I3396" s="394"/>
      <c r="J3396" s="394"/>
      <c r="K3396" s="394"/>
      <c r="L3396" s="394"/>
      <c r="M3396" s="394"/>
      <c r="N3396" s="394"/>
      <c r="O3396" s="394"/>
      <c r="P3396" s="394"/>
      <c r="Q3396" s="394"/>
      <c r="R3396" s="381"/>
      <c r="S3396" s="408"/>
      <c r="T3396" s="385"/>
      <c r="U3396" s="475"/>
      <c r="V3396" s="395"/>
      <c r="W3396" s="395"/>
      <c r="X3396" s="393"/>
      <c r="Y3396" s="497">
        <v>1</v>
      </c>
      <c r="Z3396" s="497"/>
      <c r="AA3396" s="573">
        <v>25.302530000000001</v>
      </c>
      <c r="AB3396" s="394">
        <v>17.24287</v>
      </c>
      <c r="AC3396" s="394">
        <v>10.085319999999999</v>
      </c>
      <c r="AD3396" s="394">
        <v>3.69285</v>
      </c>
      <c r="AE3396" s="394"/>
      <c r="AF3396" s="394">
        <v>0</v>
      </c>
      <c r="AG3396" s="394">
        <v>0</v>
      </c>
      <c r="AH3396" s="394">
        <v>1.8789400000000001</v>
      </c>
      <c r="AI3396" s="394">
        <v>10.085319999999999</v>
      </c>
      <c r="AJ3396" s="394">
        <v>1.23095</v>
      </c>
      <c r="AK3396" s="381" t="s">
        <v>167</v>
      </c>
      <c r="AL3396" s="408" t="s">
        <v>175</v>
      </c>
      <c r="AM3396" s="385"/>
      <c r="AN3396" s="475">
        <v>1638</v>
      </c>
      <c r="AO3396" s="395"/>
      <c r="AP3396" s="395">
        <f t="shared" si="1317"/>
        <v>25.302530000000001</v>
      </c>
      <c r="AQ3396" s="393"/>
      <c r="AR3396" s="497"/>
      <c r="AS3396" s="497"/>
      <c r="AT3396" s="573"/>
      <c r="AU3396" s="394"/>
      <c r="AV3396" s="394"/>
      <c r="AW3396" s="394"/>
      <c r="AX3396" s="394"/>
      <c r="AY3396" s="394"/>
      <c r="AZ3396" s="394"/>
      <c r="BA3396" s="394"/>
      <c r="BB3396" s="394"/>
      <c r="BC3396" s="394"/>
      <c r="BD3396" s="381"/>
      <c r="BE3396" s="408"/>
      <c r="BF3396" s="385"/>
      <c r="BG3396" s="475"/>
      <c r="BH3396" s="395"/>
      <c r="BI3396" s="395" t="e">
        <f t="shared" si="1318"/>
        <v>#DIV/0!</v>
      </c>
    </row>
    <row r="3397" spans="1:61" s="358" customFormat="1" ht="19.2" x14ac:dyDescent="0.3">
      <c r="A3397" s="359" t="s">
        <v>346</v>
      </c>
      <c r="B3397" s="572" t="s">
        <v>4416</v>
      </c>
      <c r="C3397" s="546" t="s">
        <v>3471</v>
      </c>
      <c r="D3397" s="598">
        <v>0.4</v>
      </c>
      <c r="E3397" s="393"/>
      <c r="F3397" s="497"/>
      <c r="G3397" s="497"/>
      <c r="H3397" s="573"/>
      <c r="I3397" s="394"/>
      <c r="J3397" s="394"/>
      <c r="K3397" s="394"/>
      <c r="L3397" s="394"/>
      <c r="M3397" s="394"/>
      <c r="N3397" s="394"/>
      <c r="O3397" s="394"/>
      <c r="P3397" s="394"/>
      <c r="Q3397" s="394"/>
      <c r="R3397" s="381"/>
      <c r="S3397" s="408"/>
      <c r="T3397" s="385"/>
      <c r="U3397" s="475"/>
      <c r="V3397" s="395"/>
      <c r="W3397" s="395"/>
      <c r="X3397" s="393"/>
      <c r="Y3397" s="497">
        <v>1</v>
      </c>
      <c r="Z3397" s="497"/>
      <c r="AA3397" s="573">
        <v>42.736409999999999</v>
      </c>
      <c r="AB3397" s="394">
        <v>29.895700000000001</v>
      </c>
      <c r="AC3397" s="394">
        <v>20.170639999999999</v>
      </c>
      <c r="AD3397" s="394">
        <v>8.2146000000000008</v>
      </c>
      <c r="AE3397" s="394"/>
      <c r="AF3397" s="394">
        <v>0</v>
      </c>
      <c r="AG3397" s="394">
        <v>0</v>
      </c>
      <c r="AH3397" s="394">
        <v>2.9935399999999999</v>
      </c>
      <c r="AI3397" s="394">
        <v>10.085319999999999</v>
      </c>
      <c r="AJ3397" s="394">
        <v>1.3691</v>
      </c>
      <c r="AK3397" s="381" t="s">
        <v>167</v>
      </c>
      <c r="AL3397" s="408" t="s">
        <v>175</v>
      </c>
      <c r="AM3397" s="385"/>
      <c r="AN3397" s="475">
        <v>1639</v>
      </c>
      <c r="AO3397" s="395"/>
      <c r="AP3397" s="395">
        <f t="shared" si="1317"/>
        <v>42.736409999999999</v>
      </c>
      <c r="AQ3397" s="393"/>
      <c r="AR3397" s="497"/>
      <c r="AS3397" s="497"/>
      <c r="AT3397" s="573"/>
      <c r="AU3397" s="394"/>
      <c r="AV3397" s="394"/>
      <c r="AW3397" s="394"/>
      <c r="AX3397" s="394"/>
      <c r="AY3397" s="394"/>
      <c r="AZ3397" s="394"/>
      <c r="BA3397" s="394"/>
      <c r="BB3397" s="394"/>
      <c r="BC3397" s="394"/>
      <c r="BD3397" s="381"/>
      <c r="BE3397" s="408"/>
      <c r="BF3397" s="385"/>
      <c r="BG3397" s="475"/>
      <c r="BH3397" s="395"/>
      <c r="BI3397" s="395" t="e">
        <f t="shared" si="1318"/>
        <v>#DIV/0!</v>
      </c>
    </row>
    <row r="3398" spans="1:61" s="358" customFormat="1" ht="19.2" x14ac:dyDescent="0.3">
      <c r="A3398" s="359" t="s">
        <v>347</v>
      </c>
      <c r="B3398" s="572" t="s">
        <v>4417</v>
      </c>
      <c r="C3398" s="546" t="s">
        <v>3472</v>
      </c>
      <c r="D3398" s="598">
        <v>0.4</v>
      </c>
      <c r="E3398" s="393"/>
      <c r="F3398" s="497"/>
      <c r="G3398" s="497"/>
      <c r="H3398" s="573"/>
      <c r="I3398" s="394"/>
      <c r="J3398" s="394"/>
      <c r="K3398" s="394"/>
      <c r="L3398" s="394"/>
      <c r="M3398" s="394"/>
      <c r="N3398" s="394"/>
      <c r="O3398" s="394"/>
      <c r="P3398" s="394"/>
      <c r="Q3398" s="394"/>
      <c r="R3398" s="381"/>
      <c r="S3398" s="408"/>
      <c r="T3398" s="385"/>
      <c r="U3398" s="475"/>
      <c r="V3398" s="395"/>
      <c r="W3398" s="395"/>
      <c r="X3398" s="393"/>
      <c r="Y3398" s="497">
        <v>1</v>
      </c>
      <c r="Z3398" s="497"/>
      <c r="AA3398" s="573">
        <v>31.351949999999999</v>
      </c>
      <c r="AB3398" s="394">
        <v>23.57677</v>
      </c>
      <c r="AC3398" s="394">
        <v>10.085330000000001</v>
      </c>
      <c r="AD3398" s="394">
        <v>3.6226799999999999</v>
      </c>
      <c r="AE3398" s="394"/>
      <c r="AF3398" s="394">
        <v>0</v>
      </c>
      <c r="AG3398" s="394">
        <v>0</v>
      </c>
      <c r="AH3398" s="394">
        <v>1.8126199999999999</v>
      </c>
      <c r="AI3398" s="394">
        <v>10.085330000000001</v>
      </c>
      <c r="AJ3398" s="394">
        <v>1.20756</v>
      </c>
      <c r="AK3398" s="381" t="s">
        <v>167</v>
      </c>
      <c r="AL3398" s="408" t="s">
        <v>175</v>
      </c>
      <c r="AM3398" s="385"/>
      <c r="AN3398" s="475">
        <v>1640</v>
      </c>
      <c r="AO3398" s="395"/>
      <c r="AP3398" s="395">
        <f t="shared" si="1317"/>
        <v>31.351949999999999</v>
      </c>
      <c r="AQ3398" s="393"/>
      <c r="AR3398" s="497"/>
      <c r="AS3398" s="497"/>
      <c r="AT3398" s="573"/>
      <c r="AU3398" s="394"/>
      <c r="AV3398" s="394"/>
      <c r="AW3398" s="394"/>
      <c r="AX3398" s="394"/>
      <c r="AY3398" s="394"/>
      <c r="AZ3398" s="394"/>
      <c r="BA3398" s="394"/>
      <c r="BB3398" s="394"/>
      <c r="BC3398" s="394"/>
      <c r="BD3398" s="381"/>
      <c r="BE3398" s="408"/>
      <c r="BF3398" s="385"/>
      <c r="BG3398" s="475"/>
      <c r="BH3398" s="395"/>
      <c r="BI3398" s="395" t="e">
        <f t="shared" si="1318"/>
        <v>#DIV/0!</v>
      </c>
    </row>
    <row r="3399" spans="1:61" s="358" customFormat="1" ht="19.2" x14ac:dyDescent="0.3">
      <c r="A3399" s="359" t="s">
        <v>348</v>
      </c>
      <c r="B3399" s="572" t="s">
        <v>4418</v>
      </c>
      <c r="C3399" s="546" t="s">
        <v>3486</v>
      </c>
      <c r="D3399" s="598">
        <v>0.4</v>
      </c>
      <c r="E3399" s="393"/>
      <c r="F3399" s="497"/>
      <c r="G3399" s="497"/>
      <c r="H3399" s="573"/>
      <c r="I3399" s="394"/>
      <c r="J3399" s="394"/>
      <c r="K3399" s="394"/>
      <c r="L3399" s="394"/>
      <c r="M3399" s="394"/>
      <c r="N3399" s="394"/>
      <c r="O3399" s="394"/>
      <c r="P3399" s="394"/>
      <c r="Q3399" s="394"/>
      <c r="R3399" s="381"/>
      <c r="S3399" s="408"/>
      <c r="T3399" s="385"/>
      <c r="U3399" s="475"/>
      <c r="V3399" s="395"/>
      <c r="W3399" s="395"/>
      <c r="X3399" s="393"/>
      <c r="Y3399" s="497">
        <v>1</v>
      </c>
      <c r="Z3399" s="497"/>
      <c r="AA3399" s="573">
        <v>20.838000000000001</v>
      </c>
      <c r="AB3399" s="394">
        <v>14.41765</v>
      </c>
      <c r="AC3399" s="394">
        <v>10.08531</v>
      </c>
      <c r="AD3399" s="394">
        <v>3.8259599999999998</v>
      </c>
      <c r="AE3399" s="394"/>
      <c r="AF3399" s="394">
        <v>0</v>
      </c>
      <c r="AG3399" s="394">
        <v>0</v>
      </c>
      <c r="AH3399" s="394"/>
      <c r="AI3399" s="394">
        <v>10.08531</v>
      </c>
      <c r="AJ3399" s="394">
        <v>1.27532</v>
      </c>
      <c r="AK3399" s="381" t="s">
        <v>167</v>
      </c>
      <c r="AL3399" s="408" t="s">
        <v>175</v>
      </c>
      <c r="AM3399" s="385"/>
      <c r="AN3399" s="475">
        <v>1641</v>
      </c>
      <c r="AO3399" s="395"/>
      <c r="AP3399" s="395">
        <f t="shared" si="1317"/>
        <v>20.838000000000001</v>
      </c>
      <c r="AQ3399" s="393"/>
      <c r="AR3399" s="497"/>
      <c r="AS3399" s="497"/>
      <c r="AT3399" s="573"/>
      <c r="AU3399" s="394"/>
      <c r="AV3399" s="394"/>
      <c r="AW3399" s="394"/>
      <c r="AX3399" s="394"/>
      <c r="AY3399" s="394"/>
      <c r="AZ3399" s="394"/>
      <c r="BA3399" s="394"/>
      <c r="BB3399" s="394"/>
      <c r="BC3399" s="394"/>
      <c r="BD3399" s="381"/>
      <c r="BE3399" s="408"/>
      <c r="BF3399" s="385"/>
      <c r="BG3399" s="475"/>
      <c r="BH3399" s="395"/>
      <c r="BI3399" s="395" t="e">
        <f t="shared" si="1318"/>
        <v>#DIV/0!</v>
      </c>
    </row>
    <row r="3400" spans="1:61" s="358" customFormat="1" ht="19.2" x14ac:dyDescent="0.3">
      <c r="A3400" s="359" t="s">
        <v>349</v>
      </c>
      <c r="B3400" s="572" t="s">
        <v>4366</v>
      </c>
      <c r="C3400" s="546" t="s">
        <v>3522</v>
      </c>
      <c r="D3400" s="598">
        <v>0.4</v>
      </c>
      <c r="E3400" s="393"/>
      <c r="F3400" s="497"/>
      <c r="G3400" s="497"/>
      <c r="H3400" s="573"/>
      <c r="I3400" s="394"/>
      <c r="J3400" s="394"/>
      <c r="K3400" s="394"/>
      <c r="L3400" s="394"/>
      <c r="M3400" s="394"/>
      <c r="N3400" s="394"/>
      <c r="O3400" s="394"/>
      <c r="P3400" s="394"/>
      <c r="Q3400" s="394"/>
      <c r="R3400" s="381"/>
      <c r="S3400" s="408"/>
      <c r="T3400" s="385"/>
      <c r="U3400" s="475"/>
      <c r="V3400" s="395"/>
      <c r="W3400" s="395"/>
      <c r="X3400" s="393"/>
      <c r="Y3400" s="497">
        <v>1</v>
      </c>
      <c r="Z3400" s="497"/>
      <c r="AA3400" s="573">
        <v>41.243290000000002</v>
      </c>
      <c r="AB3400" s="394">
        <v>28.40258</v>
      </c>
      <c r="AC3400" s="394">
        <v>20.170660000000002</v>
      </c>
      <c r="AD3400" s="394">
        <v>8.2146000000000008</v>
      </c>
      <c r="AE3400" s="394"/>
      <c r="AF3400" s="394">
        <v>0</v>
      </c>
      <c r="AG3400" s="394">
        <v>0</v>
      </c>
      <c r="AH3400" s="394">
        <v>2.9935399999999999</v>
      </c>
      <c r="AI3400" s="394">
        <v>10.085330000000001</v>
      </c>
      <c r="AJ3400" s="394">
        <v>1.3691</v>
      </c>
      <c r="AK3400" s="381" t="s">
        <v>167</v>
      </c>
      <c r="AL3400" s="408" t="s">
        <v>175</v>
      </c>
      <c r="AM3400" s="385"/>
      <c r="AN3400" s="475">
        <v>1642</v>
      </c>
      <c r="AO3400" s="395"/>
      <c r="AP3400" s="395">
        <f t="shared" si="1317"/>
        <v>41.243290000000002</v>
      </c>
      <c r="AQ3400" s="393"/>
      <c r="AR3400" s="497"/>
      <c r="AS3400" s="497"/>
      <c r="AT3400" s="573"/>
      <c r="AU3400" s="394"/>
      <c r="AV3400" s="394"/>
      <c r="AW3400" s="394"/>
      <c r="AX3400" s="394"/>
      <c r="AY3400" s="394"/>
      <c r="AZ3400" s="394"/>
      <c r="BA3400" s="394"/>
      <c r="BB3400" s="394"/>
      <c r="BC3400" s="394"/>
      <c r="BD3400" s="381"/>
      <c r="BE3400" s="408"/>
      <c r="BF3400" s="385"/>
      <c r="BG3400" s="475"/>
      <c r="BH3400" s="395"/>
      <c r="BI3400" s="395" t="e">
        <f t="shared" si="1318"/>
        <v>#DIV/0!</v>
      </c>
    </row>
    <row r="3401" spans="1:61" s="358" customFormat="1" ht="19.2" x14ac:dyDescent="0.3">
      <c r="A3401" s="359" t="s">
        <v>350</v>
      </c>
      <c r="B3401" s="572" t="s">
        <v>4419</v>
      </c>
      <c r="C3401" s="546" t="s">
        <v>3533</v>
      </c>
      <c r="D3401" s="598">
        <v>0.4</v>
      </c>
      <c r="E3401" s="393"/>
      <c r="F3401" s="497"/>
      <c r="G3401" s="497"/>
      <c r="H3401" s="573"/>
      <c r="I3401" s="394"/>
      <c r="J3401" s="394"/>
      <c r="K3401" s="394"/>
      <c r="L3401" s="394"/>
      <c r="M3401" s="394"/>
      <c r="N3401" s="394"/>
      <c r="O3401" s="394"/>
      <c r="P3401" s="394"/>
      <c r="Q3401" s="394"/>
      <c r="R3401" s="381"/>
      <c r="S3401" s="408"/>
      <c r="T3401" s="385"/>
      <c r="U3401" s="475"/>
      <c r="V3401" s="395"/>
      <c r="W3401" s="395"/>
      <c r="X3401" s="393"/>
      <c r="Y3401" s="497">
        <v>1</v>
      </c>
      <c r="Z3401" s="497"/>
      <c r="AA3401" s="573">
        <v>20.593979999999998</v>
      </c>
      <c r="AB3401" s="394">
        <v>13.889150000000001</v>
      </c>
      <c r="AC3401" s="394">
        <v>10.085319999999999</v>
      </c>
      <c r="AD3401" s="394">
        <v>3.69285</v>
      </c>
      <c r="AE3401" s="394"/>
      <c r="AF3401" s="394">
        <v>0</v>
      </c>
      <c r="AG3401" s="394">
        <v>0</v>
      </c>
      <c r="AH3401" s="394">
        <v>1.5630900000000001</v>
      </c>
      <c r="AI3401" s="394">
        <v>10.085319999999999</v>
      </c>
      <c r="AJ3401" s="394">
        <v>1.23095</v>
      </c>
      <c r="AK3401" s="381" t="s">
        <v>167</v>
      </c>
      <c r="AL3401" s="408" t="s">
        <v>175</v>
      </c>
      <c r="AM3401" s="385"/>
      <c r="AN3401" s="475">
        <v>1643</v>
      </c>
      <c r="AO3401" s="395"/>
      <c r="AP3401" s="395">
        <f t="shared" si="1317"/>
        <v>20.593979999999998</v>
      </c>
      <c r="AQ3401" s="393"/>
      <c r="AR3401" s="497"/>
      <c r="AS3401" s="497"/>
      <c r="AT3401" s="573"/>
      <c r="AU3401" s="394"/>
      <c r="AV3401" s="394"/>
      <c r="AW3401" s="394"/>
      <c r="AX3401" s="394"/>
      <c r="AY3401" s="394"/>
      <c r="AZ3401" s="394"/>
      <c r="BA3401" s="394"/>
      <c r="BB3401" s="394"/>
      <c r="BC3401" s="394"/>
      <c r="BD3401" s="381"/>
      <c r="BE3401" s="408"/>
      <c r="BF3401" s="385"/>
      <c r="BG3401" s="475"/>
      <c r="BH3401" s="395"/>
      <c r="BI3401" s="395" t="e">
        <f t="shared" si="1318"/>
        <v>#DIV/0!</v>
      </c>
    </row>
    <row r="3402" spans="1:61" s="358" customFormat="1" ht="19.2" x14ac:dyDescent="0.3">
      <c r="A3402" s="359" t="s">
        <v>351</v>
      </c>
      <c r="B3402" s="572" t="s">
        <v>4420</v>
      </c>
      <c r="C3402" s="546" t="s">
        <v>3542</v>
      </c>
      <c r="D3402" s="598">
        <v>0.4</v>
      </c>
      <c r="E3402" s="393"/>
      <c r="F3402" s="497"/>
      <c r="G3402" s="497"/>
      <c r="H3402" s="573"/>
      <c r="I3402" s="394"/>
      <c r="J3402" s="394"/>
      <c r="K3402" s="394"/>
      <c r="L3402" s="394"/>
      <c r="M3402" s="394"/>
      <c r="N3402" s="394"/>
      <c r="O3402" s="394"/>
      <c r="P3402" s="394"/>
      <c r="Q3402" s="394"/>
      <c r="R3402" s="381"/>
      <c r="S3402" s="408"/>
      <c r="T3402" s="385"/>
      <c r="U3402" s="475"/>
      <c r="V3402" s="395"/>
      <c r="W3402" s="395"/>
      <c r="X3402" s="393"/>
      <c r="Y3402" s="497">
        <v>1</v>
      </c>
      <c r="Z3402" s="497"/>
      <c r="AA3402" s="573">
        <v>20.13701</v>
      </c>
      <c r="AB3402" s="394">
        <v>13.716659999999999</v>
      </c>
      <c r="AC3402" s="394">
        <v>10.085330000000001</v>
      </c>
      <c r="AD3402" s="394">
        <v>3.6226500000000001</v>
      </c>
      <c r="AE3402" s="394"/>
      <c r="AF3402" s="394">
        <v>0</v>
      </c>
      <c r="AG3402" s="394">
        <v>0</v>
      </c>
      <c r="AH3402" s="394">
        <v>1.4967699999999999</v>
      </c>
      <c r="AI3402" s="394">
        <v>10.085330000000001</v>
      </c>
      <c r="AJ3402" s="394">
        <v>1.2075499999999999</v>
      </c>
      <c r="AK3402" s="381" t="s">
        <v>167</v>
      </c>
      <c r="AL3402" s="408" t="s">
        <v>175</v>
      </c>
      <c r="AM3402" s="385"/>
      <c r="AN3402" s="475">
        <v>1644</v>
      </c>
      <c r="AO3402" s="395"/>
      <c r="AP3402" s="395">
        <f t="shared" si="1317"/>
        <v>20.13701</v>
      </c>
      <c r="AQ3402" s="393"/>
      <c r="AR3402" s="497"/>
      <c r="AS3402" s="497"/>
      <c r="AT3402" s="573"/>
      <c r="AU3402" s="394"/>
      <c r="AV3402" s="394"/>
      <c r="AW3402" s="394"/>
      <c r="AX3402" s="394"/>
      <c r="AY3402" s="394"/>
      <c r="AZ3402" s="394"/>
      <c r="BA3402" s="394"/>
      <c r="BB3402" s="394"/>
      <c r="BC3402" s="394"/>
      <c r="BD3402" s="381"/>
      <c r="BE3402" s="408"/>
      <c r="BF3402" s="385"/>
      <c r="BG3402" s="475"/>
      <c r="BH3402" s="395"/>
      <c r="BI3402" s="395" t="e">
        <f t="shared" si="1318"/>
        <v>#DIV/0!</v>
      </c>
    </row>
    <row r="3403" spans="1:61" s="358" customFormat="1" ht="19.2" x14ac:dyDescent="0.3">
      <c r="A3403" s="359" t="s">
        <v>178</v>
      </c>
      <c r="B3403" s="602" t="s">
        <v>6229</v>
      </c>
      <c r="C3403" s="548" t="s">
        <v>6230</v>
      </c>
      <c r="D3403" s="598">
        <v>0.4</v>
      </c>
      <c r="E3403" s="528"/>
      <c r="F3403" s="523"/>
      <c r="G3403" s="393"/>
      <c r="H3403" s="394"/>
      <c r="I3403" s="394"/>
      <c r="J3403" s="394"/>
      <c r="K3403" s="394"/>
      <c r="L3403" s="394"/>
      <c r="M3403" s="394"/>
      <c r="N3403" s="394"/>
      <c r="O3403" s="394"/>
      <c r="P3403" s="394"/>
      <c r="Q3403" s="394"/>
      <c r="R3403" s="381"/>
      <c r="S3403" s="408"/>
      <c r="T3403" s="385"/>
      <c r="U3403" s="475"/>
      <c r="V3403" s="395"/>
      <c r="W3403" s="395"/>
      <c r="X3403" s="528"/>
      <c r="Y3403" s="523"/>
      <c r="Z3403" s="393"/>
      <c r="AA3403" s="394"/>
      <c r="AB3403" s="394"/>
      <c r="AC3403" s="394"/>
      <c r="AD3403" s="394"/>
      <c r="AE3403" s="394"/>
      <c r="AF3403" s="394"/>
      <c r="AG3403" s="394"/>
      <c r="AH3403" s="394"/>
      <c r="AI3403" s="394"/>
      <c r="AJ3403" s="394"/>
      <c r="AK3403" s="381"/>
      <c r="AL3403" s="408"/>
      <c r="AM3403" s="385"/>
      <c r="AN3403" s="475"/>
      <c r="AO3403" s="395"/>
      <c r="AP3403" s="395"/>
      <c r="AQ3403" s="528"/>
      <c r="AR3403" s="497">
        <v>1</v>
      </c>
      <c r="AS3403" s="393"/>
      <c r="AT3403" s="600">
        <v>24.904620000000001</v>
      </c>
      <c r="AU3403" s="394">
        <v>18.220369999999999</v>
      </c>
      <c r="AV3403" s="394">
        <v>10.0853</v>
      </c>
      <c r="AW3403" s="394">
        <v>3.2500800000000001</v>
      </c>
      <c r="AX3403" s="394"/>
      <c r="AY3403" s="394">
        <v>0</v>
      </c>
      <c r="AZ3403" s="394">
        <v>0</v>
      </c>
      <c r="BA3403" s="394">
        <v>1.55829</v>
      </c>
      <c r="BB3403" s="394">
        <v>10.0853</v>
      </c>
      <c r="BC3403" s="394">
        <v>1.0833600000000001</v>
      </c>
      <c r="BD3403" s="381" t="s">
        <v>167</v>
      </c>
      <c r="BE3403" s="408" t="s">
        <v>175</v>
      </c>
      <c r="BF3403" s="385"/>
      <c r="BG3403" s="475">
        <v>1289</v>
      </c>
      <c r="BH3403" s="395"/>
      <c r="BI3403" s="395">
        <f t="shared" si="1318"/>
        <v>24.904620000000001</v>
      </c>
    </row>
    <row r="3404" spans="1:61" s="358" customFormat="1" ht="19.2" x14ac:dyDescent="0.3">
      <c r="A3404" s="359" t="s">
        <v>182</v>
      </c>
      <c r="B3404" s="602" t="s">
        <v>6231</v>
      </c>
      <c r="C3404" s="548" t="s">
        <v>6232</v>
      </c>
      <c r="D3404" s="598">
        <v>0.4</v>
      </c>
      <c r="E3404" s="528"/>
      <c r="F3404" s="523"/>
      <c r="G3404" s="393"/>
      <c r="H3404" s="394"/>
      <c r="I3404" s="394"/>
      <c r="J3404" s="394"/>
      <c r="K3404" s="394"/>
      <c r="L3404" s="394"/>
      <c r="M3404" s="394"/>
      <c r="N3404" s="394"/>
      <c r="O3404" s="394"/>
      <c r="P3404" s="394"/>
      <c r="Q3404" s="394"/>
      <c r="R3404" s="381"/>
      <c r="S3404" s="408"/>
      <c r="T3404" s="385"/>
      <c r="U3404" s="475"/>
      <c r="V3404" s="395"/>
      <c r="W3404" s="395"/>
      <c r="X3404" s="528"/>
      <c r="Y3404" s="523"/>
      <c r="Z3404" s="393"/>
      <c r="AA3404" s="394"/>
      <c r="AB3404" s="394"/>
      <c r="AC3404" s="394"/>
      <c r="AD3404" s="394"/>
      <c r="AE3404" s="394"/>
      <c r="AF3404" s="394"/>
      <c r="AG3404" s="394"/>
      <c r="AH3404" s="394"/>
      <c r="AI3404" s="394"/>
      <c r="AJ3404" s="394"/>
      <c r="AK3404" s="381"/>
      <c r="AL3404" s="408"/>
      <c r="AM3404" s="385"/>
      <c r="AN3404" s="475"/>
      <c r="AO3404" s="395"/>
      <c r="AP3404" s="395"/>
      <c r="AQ3404" s="528"/>
      <c r="AR3404" s="497">
        <v>1</v>
      </c>
      <c r="AS3404" s="393"/>
      <c r="AT3404" s="600">
        <v>20.91075</v>
      </c>
      <c r="AU3404" s="394">
        <v>15.391819999999999</v>
      </c>
      <c r="AV3404" s="394">
        <v>10.0853</v>
      </c>
      <c r="AW3404" s="394">
        <v>3.69285</v>
      </c>
      <c r="AX3404" s="394"/>
      <c r="AY3404" s="394">
        <v>0</v>
      </c>
      <c r="AZ3404" s="394">
        <v>0</v>
      </c>
      <c r="BA3404" s="394">
        <v>1.2866200000000001</v>
      </c>
      <c r="BB3404" s="394">
        <v>10.0853</v>
      </c>
      <c r="BC3404" s="394">
        <v>1.23095</v>
      </c>
      <c r="BD3404" s="381" t="s">
        <v>167</v>
      </c>
      <c r="BE3404" s="408" t="s">
        <v>175</v>
      </c>
      <c r="BF3404" s="385"/>
      <c r="BG3404" s="475">
        <v>1290</v>
      </c>
      <c r="BH3404" s="395"/>
      <c r="BI3404" s="395">
        <f t="shared" ref="BI3404" si="1319">AT3404/AR3404</f>
        <v>20.91075</v>
      </c>
    </row>
    <row r="3405" spans="1:61" s="358" customFormat="1" ht="19.2" x14ac:dyDescent="0.3">
      <c r="A3405" s="359" t="s">
        <v>184</v>
      </c>
      <c r="B3405" s="602" t="s">
        <v>4679</v>
      </c>
      <c r="C3405" s="548" t="s">
        <v>4678</v>
      </c>
      <c r="D3405" s="598">
        <v>0.4</v>
      </c>
      <c r="E3405" s="528"/>
      <c r="F3405" s="523"/>
      <c r="G3405" s="393"/>
      <c r="H3405" s="394"/>
      <c r="I3405" s="394"/>
      <c r="J3405" s="394"/>
      <c r="K3405" s="394"/>
      <c r="L3405" s="394"/>
      <c r="M3405" s="394"/>
      <c r="N3405" s="394"/>
      <c r="O3405" s="394"/>
      <c r="P3405" s="394"/>
      <c r="Q3405" s="394"/>
      <c r="R3405" s="381"/>
      <c r="S3405" s="408"/>
      <c r="T3405" s="385"/>
      <c r="U3405" s="475"/>
      <c r="V3405" s="395"/>
      <c r="W3405" s="395"/>
      <c r="X3405" s="528"/>
      <c r="Y3405" s="523"/>
      <c r="Z3405" s="393"/>
      <c r="AA3405" s="394"/>
      <c r="AB3405" s="394"/>
      <c r="AC3405" s="394"/>
      <c r="AD3405" s="394"/>
      <c r="AE3405" s="394"/>
      <c r="AF3405" s="394"/>
      <c r="AG3405" s="394"/>
      <c r="AH3405" s="394"/>
      <c r="AI3405" s="394"/>
      <c r="AJ3405" s="394"/>
      <c r="AK3405" s="381"/>
      <c r="AL3405" s="408"/>
      <c r="AM3405" s="385"/>
      <c r="AN3405" s="475"/>
      <c r="AO3405" s="395"/>
      <c r="AP3405" s="395"/>
      <c r="AQ3405" s="528"/>
      <c r="AR3405" s="497">
        <v>1</v>
      </c>
      <c r="AS3405" s="393"/>
      <c r="AT3405" s="600">
        <v>24.347079999999998</v>
      </c>
      <c r="AU3405" s="394">
        <v>18.090309999999999</v>
      </c>
      <c r="AV3405" s="394">
        <v>10.0853</v>
      </c>
      <c r="AW3405" s="394">
        <v>4.1073000000000004</v>
      </c>
      <c r="AX3405" s="394"/>
      <c r="AY3405" s="394">
        <v>0</v>
      </c>
      <c r="AZ3405" s="394">
        <v>0</v>
      </c>
      <c r="BA3405" s="394">
        <v>1.4586300000000001</v>
      </c>
      <c r="BB3405" s="394">
        <v>10.0853</v>
      </c>
      <c r="BC3405" s="394">
        <v>1.3691</v>
      </c>
      <c r="BD3405" s="381" t="s">
        <v>167</v>
      </c>
      <c r="BE3405" s="408" t="s">
        <v>175</v>
      </c>
      <c r="BF3405" s="385"/>
      <c r="BG3405" s="475">
        <v>1291</v>
      </c>
      <c r="BH3405" s="395"/>
      <c r="BI3405" s="395">
        <f t="shared" si="1318"/>
        <v>24.347079999999998</v>
      </c>
    </row>
    <row r="3406" spans="1:61" s="358" customFormat="1" ht="19.2" x14ac:dyDescent="0.3">
      <c r="A3406" s="359" t="s">
        <v>186</v>
      </c>
      <c r="B3406" s="602" t="s">
        <v>4643</v>
      </c>
      <c r="C3406" s="548" t="s">
        <v>6233</v>
      </c>
      <c r="D3406" s="598">
        <v>0.4</v>
      </c>
      <c r="E3406" s="528"/>
      <c r="F3406" s="523"/>
      <c r="G3406" s="393"/>
      <c r="H3406" s="394"/>
      <c r="I3406" s="394"/>
      <c r="J3406" s="394"/>
      <c r="K3406" s="394"/>
      <c r="L3406" s="394"/>
      <c r="M3406" s="394"/>
      <c r="N3406" s="394"/>
      <c r="O3406" s="394"/>
      <c r="P3406" s="394"/>
      <c r="Q3406" s="394"/>
      <c r="R3406" s="381"/>
      <c r="S3406" s="408"/>
      <c r="T3406" s="385"/>
      <c r="U3406" s="475"/>
      <c r="V3406" s="395"/>
      <c r="W3406" s="395"/>
      <c r="X3406" s="528"/>
      <c r="Y3406" s="523"/>
      <c r="Z3406" s="393"/>
      <c r="AA3406" s="394"/>
      <c r="AB3406" s="394"/>
      <c r="AC3406" s="394"/>
      <c r="AD3406" s="394"/>
      <c r="AE3406" s="394"/>
      <c r="AF3406" s="394"/>
      <c r="AG3406" s="394"/>
      <c r="AH3406" s="394"/>
      <c r="AI3406" s="394"/>
      <c r="AJ3406" s="394"/>
      <c r="AK3406" s="381"/>
      <c r="AL3406" s="408"/>
      <c r="AM3406" s="385"/>
      <c r="AN3406" s="475"/>
      <c r="AO3406" s="395"/>
      <c r="AP3406" s="395"/>
      <c r="AQ3406" s="528"/>
      <c r="AR3406" s="497">
        <v>1</v>
      </c>
      <c r="AS3406" s="393"/>
      <c r="AT3406" s="600">
        <v>41.243299999999998</v>
      </c>
      <c r="AU3406" s="394">
        <v>28.40259</v>
      </c>
      <c r="AV3406" s="394">
        <v>20.170660000000002</v>
      </c>
      <c r="AW3406" s="394">
        <v>8.2146000000000008</v>
      </c>
      <c r="AX3406" s="394"/>
      <c r="AY3406" s="394">
        <v>0</v>
      </c>
      <c r="AZ3406" s="394">
        <v>0</v>
      </c>
      <c r="BA3406" s="394">
        <v>2.9935399999999999</v>
      </c>
      <c r="BB3406" s="394">
        <v>10.0853</v>
      </c>
      <c r="BC3406" s="394">
        <v>1.3691</v>
      </c>
      <c r="BD3406" s="381" t="s">
        <v>167</v>
      </c>
      <c r="BE3406" s="408" t="s">
        <v>175</v>
      </c>
      <c r="BF3406" s="385"/>
      <c r="BG3406" s="475">
        <v>1292</v>
      </c>
      <c r="BH3406" s="395"/>
      <c r="BI3406" s="395">
        <f t="shared" ref="BI3406" si="1320">AT3406/AR3406</f>
        <v>41.243299999999998</v>
      </c>
    </row>
    <row r="3407" spans="1:61" s="358" customFormat="1" ht="19.2" x14ac:dyDescent="0.3">
      <c r="A3407" s="359" t="s">
        <v>189</v>
      </c>
      <c r="B3407" s="602" t="s">
        <v>4749</v>
      </c>
      <c r="C3407" s="548" t="s">
        <v>4748</v>
      </c>
      <c r="D3407" s="598">
        <v>0.4</v>
      </c>
      <c r="E3407" s="528"/>
      <c r="F3407" s="523"/>
      <c r="G3407" s="393"/>
      <c r="H3407" s="394"/>
      <c r="I3407" s="394"/>
      <c r="J3407" s="394"/>
      <c r="K3407" s="394"/>
      <c r="L3407" s="394"/>
      <c r="M3407" s="394"/>
      <c r="N3407" s="394"/>
      <c r="O3407" s="394"/>
      <c r="P3407" s="394"/>
      <c r="Q3407" s="394"/>
      <c r="R3407" s="381"/>
      <c r="S3407" s="408"/>
      <c r="T3407" s="385"/>
      <c r="U3407" s="475"/>
      <c r="V3407" s="395"/>
      <c r="W3407" s="395"/>
      <c r="X3407" s="528"/>
      <c r="Y3407" s="523"/>
      <c r="Z3407" s="393"/>
      <c r="AA3407" s="394"/>
      <c r="AB3407" s="394"/>
      <c r="AC3407" s="394"/>
      <c r="AD3407" s="394"/>
      <c r="AE3407" s="394"/>
      <c r="AF3407" s="394"/>
      <c r="AG3407" s="394"/>
      <c r="AH3407" s="394"/>
      <c r="AI3407" s="394"/>
      <c r="AJ3407" s="394"/>
      <c r="AK3407" s="381"/>
      <c r="AL3407" s="408"/>
      <c r="AM3407" s="385"/>
      <c r="AN3407" s="475"/>
      <c r="AO3407" s="395"/>
      <c r="AP3407" s="395"/>
      <c r="AQ3407" s="528"/>
      <c r="AR3407" s="497">
        <v>1</v>
      </c>
      <c r="AS3407" s="393"/>
      <c r="AT3407" s="600">
        <v>24.562560000000001</v>
      </c>
      <c r="AU3407" s="394">
        <v>18.305789999999998</v>
      </c>
      <c r="AV3407" s="394">
        <v>10.085319999999999</v>
      </c>
      <c r="AW3407" s="394">
        <v>3.0452400000000002</v>
      </c>
      <c r="AX3407" s="394"/>
      <c r="AY3407" s="394">
        <v>0</v>
      </c>
      <c r="AZ3407" s="394">
        <v>0</v>
      </c>
      <c r="BA3407" s="394">
        <v>1.4586300000000001</v>
      </c>
      <c r="BB3407" s="394">
        <v>10.085319999999999</v>
      </c>
      <c r="BC3407" s="394">
        <v>1.01508</v>
      </c>
      <c r="BD3407" s="381" t="s">
        <v>167</v>
      </c>
      <c r="BE3407" s="408" t="s">
        <v>175</v>
      </c>
      <c r="BF3407" s="385"/>
      <c r="BG3407" s="475">
        <v>1293</v>
      </c>
      <c r="BH3407" s="395"/>
      <c r="BI3407" s="395">
        <f t="shared" si="1318"/>
        <v>24.562560000000001</v>
      </c>
    </row>
    <row r="3408" spans="1:61" s="358" customFormat="1" ht="19.2" x14ac:dyDescent="0.3">
      <c r="A3408" s="359" t="s">
        <v>267</v>
      </c>
      <c r="B3408" s="602" t="s">
        <v>5036</v>
      </c>
      <c r="C3408" s="548" t="s">
        <v>6234</v>
      </c>
      <c r="D3408" s="598">
        <v>0.4</v>
      </c>
      <c r="E3408" s="528"/>
      <c r="F3408" s="523"/>
      <c r="G3408" s="393"/>
      <c r="H3408" s="394"/>
      <c r="I3408" s="394"/>
      <c r="J3408" s="394"/>
      <c r="K3408" s="394"/>
      <c r="L3408" s="394"/>
      <c r="M3408" s="394"/>
      <c r="N3408" s="394"/>
      <c r="O3408" s="394"/>
      <c r="P3408" s="394"/>
      <c r="Q3408" s="394"/>
      <c r="R3408" s="381"/>
      <c r="S3408" s="408"/>
      <c r="T3408" s="385"/>
      <c r="U3408" s="475"/>
      <c r="V3408" s="395"/>
      <c r="W3408" s="395"/>
      <c r="X3408" s="528"/>
      <c r="Y3408" s="523"/>
      <c r="Z3408" s="393"/>
      <c r="AA3408" s="394"/>
      <c r="AB3408" s="394"/>
      <c r="AC3408" s="394"/>
      <c r="AD3408" s="394"/>
      <c r="AE3408" s="394"/>
      <c r="AF3408" s="394"/>
      <c r="AG3408" s="394"/>
      <c r="AH3408" s="394"/>
      <c r="AI3408" s="394"/>
      <c r="AJ3408" s="394"/>
      <c r="AK3408" s="381"/>
      <c r="AL3408" s="408"/>
      <c r="AM3408" s="385"/>
      <c r="AN3408" s="475"/>
      <c r="AO3408" s="395"/>
      <c r="AP3408" s="395"/>
      <c r="AQ3408" s="528"/>
      <c r="AR3408" s="497">
        <v>1</v>
      </c>
      <c r="AS3408" s="393"/>
      <c r="AT3408" s="600">
        <v>19.853829999999999</v>
      </c>
      <c r="AU3408" s="394">
        <v>14.61938</v>
      </c>
      <c r="AV3408" s="394">
        <v>10.08531</v>
      </c>
      <c r="AW3408" s="394">
        <v>3.69285</v>
      </c>
      <c r="AX3408" s="394"/>
      <c r="AY3408" s="394">
        <v>0</v>
      </c>
      <c r="AZ3408" s="394">
        <v>0</v>
      </c>
      <c r="BA3408" s="394">
        <v>1.2202999999999999</v>
      </c>
      <c r="BB3408" s="394">
        <v>10.08531</v>
      </c>
      <c r="BC3408" s="394">
        <v>1.2039500000000001</v>
      </c>
      <c r="BD3408" s="381" t="s">
        <v>167</v>
      </c>
      <c r="BE3408" s="408" t="s">
        <v>175</v>
      </c>
      <c r="BF3408" s="385"/>
      <c r="BG3408" s="475">
        <v>1294</v>
      </c>
      <c r="BH3408" s="395"/>
      <c r="BI3408" s="395">
        <f t="shared" ref="BI3408" si="1321">AT3408/AR3408</f>
        <v>19.853829999999999</v>
      </c>
    </row>
    <row r="3409" spans="1:61" s="358" customFormat="1" ht="19.2" x14ac:dyDescent="0.3">
      <c r="A3409" s="359" t="s">
        <v>268</v>
      </c>
      <c r="B3409" s="602" t="s">
        <v>4758</v>
      </c>
      <c r="C3409" s="548" t="s">
        <v>6235</v>
      </c>
      <c r="D3409" s="598">
        <v>0.4</v>
      </c>
      <c r="E3409" s="528"/>
      <c r="F3409" s="523"/>
      <c r="G3409" s="393"/>
      <c r="H3409" s="394"/>
      <c r="I3409" s="394"/>
      <c r="J3409" s="394"/>
      <c r="K3409" s="394"/>
      <c r="L3409" s="394"/>
      <c r="M3409" s="394"/>
      <c r="N3409" s="394"/>
      <c r="O3409" s="394"/>
      <c r="P3409" s="394"/>
      <c r="Q3409" s="394"/>
      <c r="R3409" s="381"/>
      <c r="S3409" s="408"/>
      <c r="T3409" s="385"/>
      <c r="U3409" s="475"/>
      <c r="V3409" s="395"/>
      <c r="W3409" s="395"/>
      <c r="X3409" s="528"/>
      <c r="Y3409" s="523"/>
      <c r="Z3409" s="393"/>
      <c r="AA3409" s="394"/>
      <c r="AB3409" s="394"/>
      <c r="AC3409" s="394"/>
      <c r="AD3409" s="394"/>
      <c r="AE3409" s="394"/>
      <c r="AF3409" s="394"/>
      <c r="AG3409" s="394"/>
      <c r="AH3409" s="394"/>
      <c r="AI3409" s="394"/>
      <c r="AJ3409" s="394"/>
      <c r="AK3409" s="381"/>
      <c r="AL3409" s="408"/>
      <c r="AM3409" s="385"/>
      <c r="AN3409" s="475"/>
      <c r="AO3409" s="395"/>
      <c r="AP3409" s="395"/>
      <c r="AQ3409" s="528"/>
      <c r="AR3409" s="497">
        <v>1</v>
      </c>
      <c r="AS3409" s="393"/>
      <c r="AT3409" s="600">
        <v>23.743950000000002</v>
      </c>
      <c r="AU3409" s="394">
        <v>17.487179999999999</v>
      </c>
      <c r="AV3409" s="394">
        <v>10.085330000000001</v>
      </c>
      <c r="AW3409" s="394">
        <v>3.0452400000000002</v>
      </c>
      <c r="AX3409" s="394"/>
      <c r="AY3409" s="394">
        <v>0</v>
      </c>
      <c r="AZ3409" s="394">
        <v>0</v>
      </c>
      <c r="BA3409" s="394">
        <v>1.4586300000000001</v>
      </c>
      <c r="BB3409" s="394">
        <v>10.085330000000001</v>
      </c>
      <c r="BC3409" s="394">
        <v>1.01508</v>
      </c>
      <c r="BD3409" s="381" t="s">
        <v>167</v>
      </c>
      <c r="BE3409" s="408" t="s">
        <v>175</v>
      </c>
      <c r="BF3409" s="385"/>
      <c r="BG3409" s="475">
        <v>1295</v>
      </c>
      <c r="BH3409" s="395"/>
      <c r="BI3409" s="395">
        <f t="shared" si="1318"/>
        <v>23.743950000000002</v>
      </c>
    </row>
    <row r="3410" spans="1:61" s="358" customFormat="1" ht="19.2" x14ac:dyDescent="0.3">
      <c r="A3410" s="359" t="s">
        <v>269</v>
      </c>
      <c r="B3410" s="602" t="s">
        <v>4693</v>
      </c>
      <c r="C3410" s="548" t="s">
        <v>4694</v>
      </c>
      <c r="D3410" s="598">
        <v>0.4</v>
      </c>
      <c r="E3410" s="528"/>
      <c r="F3410" s="523"/>
      <c r="G3410" s="393"/>
      <c r="H3410" s="394"/>
      <c r="I3410" s="394"/>
      <c r="J3410" s="394"/>
      <c r="K3410" s="394"/>
      <c r="L3410" s="394"/>
      <c r="M3410" s="394"/>
      <c r="N3410" s="394"/>
      <c r="O3410" s="394"/>
      <c r="P3410" s="394"/>
      <c r="Q3410" s="394"/>
      <c r="R3410" s="381"/>
      <c r="S3410" s="408"/>
      <c r="T3410" s="385"/>
      <c r="U3410" s="475"/>
      <c r="V3410" s="395"/>
      <c r="W3410" s="395"/>
      <c r="X3410" s="528"/>
      <c r="Y3410" s="523"/>
      <c r="Z3410" s="393"/>
      <c r="AA3410" s="394"/>
      <c r="AB3410" s="394"/>
      <c r="AC3410" s="394"/>
      <c r="AD3410" s="394"/>
      <c r="AE3410" s="394"/>
      <c r="AF3410" s="394"/>
      <c r="AG3410" s="394"/>
      <c r="AH3410" s="394"/>
      <c r="AI3410" s="394"/>
      <c r="AJ3410" s="394"/>
      <c r="AK3410" s="381"/>
      <c r="AL3410" s="408"/>
      <c r="AM3410" s="385"/>
      <c r="AN3410" s="475"/>
      <c r="AO3410" s="395"/>
      <c r="AP3410" s="395"/>
      <c r="AQ3410" s="528"/>
      <c r="AR3410" s="497">
        <v>1</v>
      </c>
      <c r="AS3410" s="393"/>
      <c r="AT3410" s="600">
        <v>23.743939999999998</v>
      </c>
      <c r="AU3410" s="394">
        <v>17.487169999999999</v>
      </c>
      <c r="AV3410" s="394">
        <v>10.085330000000001</v>
      </c>
      <c r="AW3410" s="394">
        <v>3.0452400000000002</v>
      </c>
      <c r="AX3410" s="394"/>
      <c r="AY3410" s="394">
        <v>0</v>
      </c>
      <c r="AZ3410" s="394">
        <v>0</v>
      </c>
      <c r="BA3410" s="394">
        <v>1.4586300000000001</v>
      </c>
      <c r="BB3410" s="394">
        <v>10.085330000000001</v>
      </c>
      <c r="BC3410" s="394">
        <v>1.01508</v>
      </c>
      <c r="BD3410" s="381" t="s">
        <v>167</v>
      </c>
      <c r="BE3410" s="408" t="s">
        <v>175</v>
      </c>
      <c r="BF3410" s="385"/>
      <c r="BG3410" s="475">
        <v>1296</v>
      </c>
      <c r="BH3410" s="395"/>
      <c r="BI3410" s="395">
        <f t="shared" ref="BI3410" si="1322">AT3410/AR3410</f>
        <v>23.743939999999998</v>
      </c>
    </row>
    <row r="3411" spans="1:61" s="358" customFormat="1" ht="19.2" x14ac:dyDescent="0.3">
      <c r="A3411" s="359" t="s">
        <v>270</v>
      </c>
      <c r="B3411" s="602" t="s">
        <v>6236</v>
      </c>
      <c r="C3411" s="548" t="s">
        <v>6237</v>
      </c>
      <c r="D3411" s="598">
        <v>0.4</v>
      </c>
      <c r="E3411" s="528"/>
      <c r="F3411" s="523"/>
      <c r="G3411" s="393"/>
      <c r="H3411" s="394"/>
      <c r="I3411" s="394"/>
      <c r="J3411" s="394"/>
      <c r="K3411" s="394"/>
      <c r="L3411" s="394"/>
      <c r="M3411" s="394"/>
      <c r="N3411" s="394"/>
      <c r="O3411" s="394"/>
      <c r="P3411" s="394"/>
      <c r="Q3411" s="394"/>
      <c r="R3411" s="381"/>
      <c r="S3411" s="408"/>
      <c r="T3411" s="385"/>
      <c r="U3411" s="475"/>
      <c r="V3411" s="395"/>
      <c r="W3411" s="395"/>
      <c r="X3411" s="528"/>
      <c r="Y3411" s="523"/>
      <c r="Z3411" s="393"/>
      <c r="AA3411" s="394"/>
      <c r="AB3411" s="394"/>
      <c r="AC3411" s="394"/>
      <c r="AD3411" s="394"/>
      <c r="AE3411" s="394"/>
      <c r="AF3411" s="394"/>
      <c r="AG3411" s="394"/>
      <c r="AH3411" s="394"/>
      <c r="AI3411" s="394"/>
      <c r="AJ3411" s="394"/>
      <c r="AK3411" s="381"/>
      <c r="AL3411" s="408"/>
      <c r="AM3411" s="385"/>
      <c r="AN3411" s="475"/>
      <c r="AO3411" s="395"/>
      <c r="AP3411" s="395"/>
      <c r="AQ3411" s="528"/>
      <c r="AR3411" s="497">
        <v>1</v>
      </c>
      <c r="AS3411" s="393"/>
      <c r="AT3411" s="600">
        <v>24.391539999999999</v>
      </c>
      <c r="AU3411" s="394">
        <v>18.13477</v>
      </c>
      <c r="AV3411" s="394">
        <v>10.085319999999999</v>
      </c>
      <c r="AW3411" s="394">
        <v>3.69285</v>
      </c>
      <c r="AX3411" s="394"/>
      <c r="AY3411" s="394">
        <v>0</v>
      </c>
      <c r="AZ3411" s="394">
        <v>0</v>
      </c>
      <c r="BA3411" s="394">
        <v>1.4586300000000001</v>
      </c>
      <c r="BB3411" s="394">
        <v>10.085319999999999</v>
      </c>
      <c r="BC3411" s="394">
        <v>1.23095</v>
      </c>
      <c r="BD3411" s="381" t="s">
        <v>167</v>
      </c>
      <c r="BE3411" s="408" t="s">
        <v>175</v>
      </c>
      <c r="BF3411" s="385"/>
      <c r="BG3411" s="475">
        <v>1297</v>
      </c>
      <c r="BH3411" s="395"/>
      <c r="BI3411" s="395">
        <f t="shared" si="1318"/>
        <v>24.391539999999999</v>
      </c>
    </row>
    <row r="3412" spans="1:61" s="358" customFormat="1" ht="19.2" x14ac:dyDescent="0.3">
      <c r="A3412" s="359" t="s">
        <v>271</v>
      </c>
      <c r="B3412" s="602" t="s">
        <v>6238</v>
      </c>
      <c r="C3412" s="548" t="s">
        <v>6239</v>
      </c>
      <c r="D3412" s="598">
        <v>0.4</v>
      </c>
      <c r="E3412" s="528"/>
      <c r="F3412" s="523"/>
      <c r="G3412" s="393"/>
      <c r="H3412" s="394"/>
      <c r="I3412" s="394"/>
      <c r="J3412" s="394"/>
      <c r="K3412" s="394"/>
      <c r="L3412" s="394"/>
      <c r="M3412" s="394"/>
      <c r="N3412" s="394"/>
      <c r="O3412" s="394"/>
      <c r="P3412" s="394"/>
      <c r="Q3412" s="394"/>
      <c r="R3412" s="381"/>
      <c r="S3412" s="408"/>
      <c r="T3412" s="385"/>
      <c r="U3412" s="475"/>
      <c r="V3412" s="395"/>
      <c r="W3412" s="395"/>
      <c r="X3412" s="528"/>
      <c r="Y3412" s="523"/>
      <c r="Z3412" s="393"/>
      <c r="AA3412" s="394"/>
      <c r="AB3412" s="394"/>
      <c r="AC3412" s="394"/>
      <c r="AD3412" s="394"/>
      <c r="AE3412" s="394"/>
      <c r="AF3412" s="394"/>
      <c r="AG3412" s="394"/>
      <c r="AH3412" s="394"/>
      <c r="AI3412" s="394"/>
      <c r="AJ3412" s="394"/>
      <c r="AK3412" s="381"/>
      <c r="AL3412" s="408"/>
      <c r="AM3412" s="385"/>
      <c r="AN3412" s="475"/>
      <c r="AO3412" s="395"/>
      <c r="AP3412" s="395"/>
      <c r="AQ3412" s="528"/>
      <c r="AR3412" s="497">
        <v>1</v>
      </c>
      <c r="AS3412" s="393"/>
      <c r="AT3412" s="600">
        <v>19.853829999999999</v>
      </c>
      <c r="AU3412" s="394">
        <v>14.61938</v>
      </c>
      <c r="AV3412" s="394">
        <v>10.08531</v>
      </c>
      <c r="AW3412" s="394">
        <v>3.69285</v>
      </c>
      <c r="AX3412" s="394"/>
      <c r="AY3412" s="394">
        <v>0</v>
      </c>
      <c r="AZ3412" s="394">
        <v>0</v>
      </c>
      <c r="BA3412" s="394">
        <v>1.2202999999999999</v>
      </c>
      <c r="BB3412" s="394">
        <v>10.08531</v>
      </c>
      <c r="BC3412" s="394">
        <v>1.2039500000000001</v>
      </c>
      <c r="BD3412" s="381" t="s">
        <v>167</v>
      </c>
      <c r="BE3412" s="408" t="s">
        <v>175</v>
      </c>
      <c r="BF3412" s="385"/>
      <c r="BG3412" s="475">
        <v>1298</v>
      </c>
      <c r="BH3412" s="395"/>
      <c r="BI3412" s="395">
        <f t="shared" ref="BI3412" si="1323">AT3412/AR3412</f>
        <v>19.853829999999999</v>
      </c>
    </row>
    <row r="3413" spans="1:61" s="358" customFormat="1" ht="19.2" x14ac:dyDescent="0.3">
      <c r="A3413" s="359" t="s">
        <v>272</v>
      </c>
      <c r="B3413" s="602" t="s">
        <v>1842</v>
      </c>
      <c r="C3413" s="548" t="s">
        <v>4689</v>
      </c>
      <c r="D3413" s="598">
        <v>0.4</v>
      </c>
      <c r="E3413" s="528"/>
      <c r="F3413" s="523"/>
      <c r="G3413" s="393"/>
      <c r="H3413" s="394"/>
      <c r="I3413" s="394"/>
      <c r="J3413" s="394"/>
      <c r="K3413" s="394"/>
      <c r="L3413" s="394"/>
      <c r="M3413" s="394"/>
      <c r="N3413" s="394"/>
      <c r="O3413" s="394"/>
      <c r="P3413" s="394"/>
      <c r="Q3413" s="394"/>
      <c r="R3413" s="381"/>
      <c r="S3413" s="408"/>
      <c r="T3413" s="385"/>
      <c r="U3413" s="475"/>
      <c r="V3413" s="395"/>
      <c r="W3413" s="395"/>
      <c r="X3413" s="528"/>
      <c r="Y3413" s="523"/>
      <c r="Z3413" s="393"/>
      <c r="AA3413" s="394"/>
      <c r="AB3413" s="394"/>
      <c r="AC3413" s="394"/>
      <c r="AD3413" s="394"/>
      <c r="AE3413" s="394"/>
      <c r="AF3413" s="394"/>
      <c r="AG3413" s="394"/>
      <c r="AH3413" s="394"/>
      <c r="AI3413" s="394"/>
      <c r="AJ3413" s="394"/>
      <c r="AK3413" s="381"/>
      <c r="AL3413" s="408"/>
      <c r="AM3413" s="385"/>
      <c r="AN3413" s="475"/>
      <c r="AO3413" s="395"/>
      <c r="AP3413" s="395"/>
      <c r="AQ3413" s="528"/>
      <c r="AR3413" s="497">
        <v>1</v>
      </c>
      <c r="AS3413" s="393"/>
      <c r="AT3413" s="600">
        <v>23.743939999999998</v>
      </c>
      <c r="AU3413" s="394">
        <v>17.487169999999999</v>
      </c>
      <c r="AV3413" s="394">
        <v>10.085330000000001</v>
      </c>
      <c r="AW3413" s="394">
        <v>3.0452400000000002</v>
      </c>
      <c r="AX3413" s="394"/>
      <c r="AY3413" s="394">
        <v>0</v>
      </c>
      <c r="AZ3413" s="394">
        <v>0</v>
      </c>
      <c r="BA3413" s="394">
        <v>1.4586300000000001</v>
      </c>
      <c r="BB3413" s="394">
        <v>10.085330000000001</v>
      </c>
      <c r="BC3413" s="394">
        <v>1.01508</v>
      </c>
      <c r="BD3413" s="381" t="s">
        <v>167</v>
      </c>
      <c r="BE3413" s="408" t="s">
        <v>175</v>
      </c>
      <c r="BF3413" s="385"/>
      <c r="BG3413" s="475">
        <v>1299</v>
      </c>
      <c r="BH3413" s="395"/>
      <c r="BI3413" s="395">
        <f t="shared" si="1318"/>
        <v>23.743939999999998</v>
      </c>
    </row>
    <row r="3414" spans="1:61" s="358" customFormat="1" ht="28.8" x14ac:dyDescent="0.3">
      <c r="A3414" s="359" t="s">
        <v>273</v>
      </c>
      <c r="B3414" s="602" t="s">
        <v>6240</v>
      </c>
      <c r="C3414" s="548" t="s">
        <v>4692</v>
      </c>
      <c r="D3414" s="598">
        <v>0.4</v>
      </c>
      <c r="E3414" s="528"/>
      <c r="F3414" s="523"/>
      <c r="G3414" s="393"/>
      <c r="H3414" s="394"/>
      <c r="I3414" s="394"/>
      <c r="J3414" s="394"/>
      <c r="K3414" s="394"/>
      <c r="L3414" s="394"/>
      <c r="M3414" s="394"/>
      <c r="N3414" s="394"/>
      <c r="O3414" s="394"/>
      <c r="P3414" s="394"/>
      <c r="Q3414" s="394"/>
      <c r="R3414" s="381"/>
      <c r="S3414" s="408"/>
      <c r="T3414" s="385"/>
      <c r="U3414" s="475"/>
      <c r="V3414" s="395"/>
      <c r="W3414" s="395"/>
      <c r="X3414" s="528"/>
      <c r="Y3414" s="523"/>
      <c r="Z3414" s="393"/>
      <c r="AA3414" s="394"/>
      <c r="AB3414" s="394"/>
      <c r="AC3414" s="394"/>
      <c r="AD3414" s="394"/>
      <c r="AE3414" s="394"/>
      <c r="AF3414" s="394"/>
      <c r="AG3414" s="394"/>
      <c r="AH3414" s="394"/>
      <c r="AI3414" s="394"/>
      <c r="AJ3414" s="394"/>
      <c r="AK3414" s="381"/>
      <c r="AL3414" s="408"/>
      <c r="AM3414" s="385"/>
      <c r="AN3414" s="475"/>
      <c r="AO3414" s="395"/>
      <c r="AP3414" s="395"/>
      <c r="AQ3414" s="528"/>
      <c r="AR3414" s="497">
        <v>1</v>
      </c>
      <c r="AS3414" s="393"/>
      <c r="AT3414" s="600">
        <v>24.562570000000001</v>
      </c>
      <c r="AU3414" s="394">
        <v>18.305800000000001</v>
      </c>
      <c r="AV3414" s="394">
        <v>10.085319999999999</v>
      </c>
      <c r="AW3414" s="394">
        <v>3.0452400000000002</v>
      </c>
      <c r="AX3414" s="394"/>
      <c r="AY3414" s="394">
        <v>0</v>
      </c>
      <c r="AZ3414" s="394">
        <v>0</v>
      </c>
      <c r="BA3414" s="394">
        <v>1.4586300000000001</v>
      </c>
      <c r="BB3414" s="394">
        <v>10.085319999999999</v>
      </c>
      <c r="BC3414" s="394">
        <v>1.01508</v>
      </c>
      <c r="BD3414" s="381" t="s">
        <v>167</v>
      </c>
      <c r="BE3414" s="408" t="s">
        <v>175</v>
      </c>
      <c r="BF3414" s="385"/>
      <c r="BG3414" s="475">
        <v>1300</v>
      </c>
      <c r="BH3414" s="395"/>
      <c r="BI3414" s="395">
        <f t="shared" ref="BI3414" si="1324">AT3414/AR3414</f>
        <v>24.562570000000001</v>
      </c>
    </row>
    <row r="3415" spans="1:61" s="358" customFormat="1" ht="28.8" x14ac:dyDescent="0.3">
      <c r="A3415" s="359" t="s">
        <v>274</v>
      </c>
      <c r="B3415" s="602" t="s">
        <v>6240</v>
      </c>
      <c r="C3415" s="548" t="s">
        <v>6241</v>
      </c>
      <c r="D3415" s="598">
        <v>0.4</v>
      </c>
      <c r="E3415" s="528"/>
      <c r="F3415" s="523"/>
      <c r="G3415" s="393"/>
      <c r="H3415" s="394"/>
      <c r="I3415" s="394"/>
      <c r="J3415" s="394"/>
      <c r="K3415" s="394"/>
      <c r="L3415" s="394"/>
      <c r="M3415" s="394"/>
      <c r="N3415" s="394"/>
      <c r="O3415" s="394"/>
      <c r="P3415" s="394"/>
      <c r="Q3415" s="394"/>
      <c r="R3415" s="381"/>
      <c r="S3415" s="408"/>
      <c r="T3415" s="385"/>
      <c r="U3415" s="475"/>
      <c r="V3415" s="395"/>
      <c r="W3415" s="395"/>
      <c r="X3415" s="528"/>
      <c r="Y3415" s="523"/>
      <c r="Z3415" s="393"/>
      <c r="AA3415" s="394"/>
      <c r="AB3415" s="394"/>
      <c r="AC3415" s="394"/>
      <c r="AD3415" s="394"/>
      <c r="AE3415" s="394"/>
      <c r="AF3415" s="394"/>
      <c r="AG3415" s="394"/>
      <c r="AH3415" s="394"/>
      <c r="AI3415" s="394"/>
      <c r="AJ3415" s="394"/>
      <c r="AK3415" s="381"/>
      <c r="AL3415" s="408"/>
      <c r="AM3415" s="385"/>
      <c r="AN3415" s="475"/>
      <c r="AO3415" s="395"/>
      <c r="AP3415" s="395"/>
      <c r="AQ3415" s="528"/>
      <c r="AR3415" s="497">
        <v>1</v>
      </c>
      <c r="AS3415" s="393"/>
      <c r="AT3415" s="600">
        <v>24.562550000000002</v>
      </c>
      <c r="AU3415" s="394">
        <v>18.305779999999999</v>
      </c>
      <c r="AV3415" s="394">
        <v>10.085319999999999</v>
      </c>
      <c r="AW3415" s="394">
        <v>3.0452400000000002</v>
      </c>
      <c r="AX3415" s="394"/>
      <c r="AY3415" s="394">
        <v>0</v>
      </c>
      <c r="AZ3415" s="394">
        <v>0</v>
      </c>
      <c r="BA3415" s="394">
        <v>1.4586300000000001</v>
      </c>
      <c r="BB3415" s="394">
        <v>10.085319999999999</v>
      </c>
      <c r="BC3415" s="394">
        <v>1.01508</v>
      </c>
      <c r="BD3415" s="381" t="s">
        <v>167</v>
      </c>
      <c r="BE3415" s="408" t="s">
        <v>175</v>
      </c>
      <c r="BF3415" s="385"/>
      <c r="BG3415" s="475">
        <v>1301</v>
      </c>
      <c r="BH3415" s="395"/>
      <c r="BI3415" s="395">
        <f t="shared" si="1318"/>
        <v>24.562550000000002</v>
      </c>
    </row>
    <row r="3416" spans="1:61" s="358" customFormat="1" ht="28.8" x14ac:dyDescent="0.3">
      <c r="A3416" s="359" t="s">
        <v>275</v>
      </c>
      <c r="B3416" s="602" t="s">
        <v>6240</v>
      </c>
      <c r="C3416" s="548" t="s">
        <v>4686</v>
      </c>
      <c r="D3416" s="598">
        <v>0.4</v>
      </c>
      <c r="E3416" s="528"/>
      <c r="F3416" s="523"/>
      <c r="G3416" s="393"/>
      <c r="H3416" s="394"/>
      <c r="I3416" s="394"/>
      <c r="J3416" s="394"/>
      <c r="K3416" s="394"/>
      <c r="L3416" s="394"/>
      <c r="M3416" s="394"/>
      <c r="N3416" s="394"/>
      <c r="O3416" s="394"/>
      <c r="P3416" s="394"/>
      <c r="Q3416" s="394"/>
      <c r="R3416" s="381"/>
      <c r="S3416" s="408"/>
      <c r="T3416" s="385"/>
      <c r="U3416" s="475"/>
      <c r="V3416" s="395"/>
      <c r="W3416" s="395"/>
      <c r="X3416" s="528"/>
      <c r="Y3416" s="523"/>
      <c r="Z3416" s="393"/>
      <c r="AA3416" s="394"/>
      <c r="AB3416" s="394"/>
      <c r="AC3416" s="394"/>
      <c r="AD3416" s="394"/>
      <c r="AE3416" s="394"/>
      <c r="AF3416" s="394"/>
      <c r="AG3416" s="394"/>
      <c r="AH3416" s="394"/>
      <c r="AI3416" s="394"/>
      <c r="AJ3416" s="394"/>
      <c r="AK3416" s="381"/>
      <c r="AL3416" s="408"/>
      <c r="AM3416" s="385"/>
      <c r="AN3416" s="475"/>
      <c r="AO3416" s="395"/>
      <c r="AP3416" s="395"/>
      <c r="AQ3416" s="528"/>
      <c r="AR3416" s="497">
        <v>1</v>
      </c>
      <c r="AS3416" s="393"/>
      <c r="AT3416" s="600">
        <v>24.562580000000001</v>
      </c>
      <c r="AU3416" s="394">
        <v>18.305810000000001</v>
      </c>
      <c r="AV3416" s="394">
        <v>10.085319999999999</v>
      </c>
      <c r="AW3416" s="394">
        <v>3.0452400000000002</v>
      </c>
      <c r="AX3416" s="394"/>
      <c r="AY3416" s="394">
        <v>0</v>
      </c>
      <c r="AZ3416" s="394">
        <v>0</v>
      </c>
      <c r="BA3416" s="394">
        <v>1.4586300000000001</v>
      </c>
      <c r="BB3416" s="394">
        <v>10.085319999999999</v>
      </c>
      <c r="BC3416" s="394">
        <v>1.01508</v>
      </c>
      <c r="BD3416" s="381" t="s">
        <v>167</v>
      </c>
      <c r="BE3416" s="408" t="s">
        <v>175</v>
      </c>
      <c r="BF3416" s="385"/>
      <c r="BG3416" s="475">
        <v>1302</v>
      </c>
      <c r="BH3416" s="395"/>
      <c r="BI3416" s="395">
        <f t="shared" ref="BI3416" si="1325">AT3416/AR3416</f>
        <v>24.562580000000001</v>
      </c>
    </row>
    <row r="3417" spans="1:61" s="358" customFormat="1" ht="28.8" x14ac:dyDescent="0.3">
      <c r="A3417" s="359" t="s">
        <v>276</v>
      </c>
      <c r="B3417" s="602" t="s">
        <v>6240</v>
      </c>
      <c r="C3417" s="548" t="s">
        <v>4688</v>
      </c>
      <c r="D3417" s="598">
        <v>0.4</v>
      </c>
      <c r="E3417" s="528"/>
      <c r="F3417" s="523"/>
      <c r="G3417" s="393"/>
      <c r="H3417" s="394"/>
      <c r="I3417" s="394"/>
      <c r="J3417" s="394"/>
      <c r="K3417" s="394"/>
      <c r="L3417" s="394"/>
      <c r="M3417" s="394"/>
      <c r="N3417" s="394"/>
      <c r="O3417" s="394"/>
      <c r="P3417" s="394"/>
      <c r="Q3417" s="394"/>
      <c r="R3417" s="381"/>
      <c r="S3417" s="408"/>
      <c r="T3417" s="385"/>
      <c r="U3417" s="475"/>
      <c r="V3417" s="395"/>
      <c r="W3417" s="395"/>
      <c r="X3417" s="528"/>
      <c r="Y3417" s="523"/>
      <c r="Z3417" s="393"/>
      <c r="AA3417" s="394"/>
      <c r="AB3417" s="394"/>
      <c r="AC3417" s="394"/>
      <c r="AD3417" s="394"/>
      <c r="AE3417" s="394"/>
      <c r="AF3417" s="394"/>
      <c r="AG3417" s="394"/>
      <c r="AH3417" s="394"/>
      <c r="AI3417" s="394"/>
      <c r="AJ3417" s="394"/>
      <c r="AK3417" s="381"/>
      <c r="AL3417" s="408"/>
      <c r="AM3417" s="385"/>
      <c r="AN3417" s="475"/>
      <c r="AO3417" s="395"/>
      <c r="AP3417" s="395"/>
      <c r="AQ3417" s="528"/>
      <c r="AR3417" s="497">
        <v>1</v>
      </c>
      <c r="AS3417" s="393"/>
      <c r="AT3417" s="600">
        <v>24.562580000000001</v>
      </c>
      <c r="AU3417" s="394">
        <v>18.305810000000001</v>
      </c>
      <c r="AV3417" s="394">
        <v>10.085319999999999</v>
      </c>
      <c r="AW3417" s="394">
        <v>3.0452400000000002</v>
      </c>
      <c r="AX3417" s="394"/>
      <c r="AY3417" s="394">
        <v>0</v>
      </c>
      <c r="AZ3417" s="394">
        <v>0</v>
      </c>
      <c r="BA3417" s="394">
        <v>1.4586300000000001</v>
      </c>
      <c r="BB3417" s="394">
        <v>10.085319999999999</v>
      </c>
      <c r="BC3417" s="394">
        <v>1.01508</v>
      </c>
      <c r="BD3417" s="381" t="s">
        <v>167</v>
      </c>
      <c r="BE3417" s="408" t="s">
        <v>175</v>
      </c>
      <c r="BF3417" s="385"/>
      <c r="BG3417" s="475">
        <v>1303</v>
      </c>
      <c r="BH3417" s="395"/>
      <c r="BI3417" s="395">
        <f t="shared" si="1318"/>
        <v>24.562580000000001</v>
      </c>
    </row>
    <row r="3418" spans="1:61" s="358" customFormat="1" ht="19.2" x14ac:dyDescent="0.3">
      <c r="A3418" s="359" t="s">
        <v>277</v>
      </c>
      <c r="B3418" s="602" t="s">
        <v>4386</v>
      </c>
      <c r="C3418" s="548" t="s">
        <v>6242</v>
      </c>
      <c r="D3418" s="598">
        <v>0.4</v>
      </c>
      <c r="E3418" s="528"/>
      <c r="F3418" s="523"/>
      <c r="G3418" s="393"/>
      <c r="H3418" s="394"/>
      <c r="I3418" s="394"/>
      <c r="J3418" s="394"/>
      <c r="K3418" s="394"/>
      <c r="L3418" s="394"/>
      <c r="M3418" s="394"/>
      <c r="N3418" s="394"/>
      <c r="O3418" s="394"/>
      <c r="P3418" s="394"/>
      <c r="Q3418" s="394"/>
      <c r="R3418" s="381"/>
      <c r="S3418" s="408"/>
      <c r="T3418" s="385"/>
      <c r="U3418" s="475"/>
      <c r="V3418" s="395"/>
      <c r="W3418" s="395"/>
      <c r="X3418" s="528"/>
      <c r="Y3418" s="523"/>
      <c r="Z3418" s="393"/>
      <c r="AA3418" s="394"/>
      <c r="AB3418" s="394"/>
      <c r="AC3418" s="394"/>
      <c r="AD3418" s="394"/>
      <c r="AE3418" s="394"/>
      <c r="AF3418" s="394"/>
      <c r="AG3418" s="394"/>
      <c r="AH3418" s="394"/>
      <c r="AI3418" s="394"/>
      <c r="AJ3418" s="394"/>
      <c r="AK3418" s="381"/>
      <c r="AL3418" s="408"/>
      <c r="AM3418" s="385"/>
      <c r="AN3418" s="475"/>
      <c r="AO3418" s="395"/>
      <c r="AP3418" s="395"/>
      <c r="AQ3418" s="528"/>
      <c r="AR3418" s="497">
        <v>1</v>
      </c>
      <c r="AS3418" s="393"/>
      <c r="AT3418" s="600">
        <v>26.26388</v>
      </c>
      <c r="AU3418" s="394">
        <v>19.01596</v>
      </c>
      <c r="AV3418" s="394">
        <v>10.085319999999999</v>
      </c>
      <c r="AW3418" s="394">
        <v>3.29772</v>
      </c>
      <c r="AX3418" s="394"/>
      <c r="AY3418" s="394">
        <v>0</v>
      </c>
      <c r="AZ3418" s="394">
        <v>0</v>
      </c>
      <c r="BA3418" s="394">
        <v>1.6897</v>
      </c>
      <c r="BB3418" s="394">
        <v>10.085319999999999</v>
      </c>
      <c r="BC3418" s="394">
        <v>1.09924</v>
      </c>
      <c r="BD3418" s="381" t="s">
        <v>167</v>
      </c>
      <c r="BE3418" s="408" t="s">
        <v>175</v>
      </c>
      <c r="BF3418" s="385"/>
      <c r="BG3418" s="475">
        <v>1304</v>
      </c>
      <c r="BH3418" s="395"/>
      <c r="BI3418" s="395">
        <f t="shared" ref="BI3418" si="1326">AT3418/AR3418</f>
        <v>26.26388</v>
      </c>
    </row>
    <row r="3419" spans="1:61" s="358" customFormat="1" ht="19.2" x14ac:dyDescent="0.3">
      <c r="A3419" s="359" t="s">
        <v>326</v>
      </c>
      <c r="B3419" s="602" t="s">
        <v>4751</v>
      </c>
      <c r="C3419" s="548" t="s">
        <v>4750</v>
      </c>
      <c r="D3419" s="598">
        <v>0.4</v>
      </c>
      <c r="E3419" s="528"/>
      <c r="F3419" s="523"/>
      <c r="G3419" s="393"/>
      <c r="H3419" s="394"/>
      <c r="I3419" s="394"/>
      <c r="J3419" s="394"/>
      <c r="K3419" s="394"/>
      <c r="L3419" s="394"/>
      <c r="M3419" s="394"/>
      <c r="N3419" s="394"/>
      <c r="O3419" s="394"/>
      <c r="P3419" s="394"/>
      <c r="Q3419" s="394"/>
      <c r="R3419" s="381"/>
      <c r="S3419" s="408"/>
      <c r="T3419" s="385"/>
      <c r="U3419" s="475"/>
      <c r="V3419" s="395"/>
      <c r="W3419" s="395"/>
      <c r="X3419" s="528"/>
      <c r="Y3419" s="523"/>
      <c r="Z3419" s="393"/>
      <c r="AA3419" s="394"/>
      <c r="AB3419" s="394"/>
      <c r="AC3419" s="394"/>
      <c r="AD3419" s="394"/>
      <c r="AE3419" s="394"/>
      <c r="AF3419" s="394"/>
      <c r="AG3419" s="394"/>
      <c r="AH3419" s="394"/>
      <c r="AI3419" s="394"/>
      <c r="AJ3419" s="394"/>
      <c r="AK3419" s="381"/>
      <c r="AL3419" s="408"/>
      <c r="AM3419" s="385"/>
      <c r="AN3419" s="475"/>
      <c r="AO3419" s="395"/>
      <c r="AP3419" s="395"/>
      <c r="AQ3419" s="528"/>
      <c r="AR3419" s="497">
        <v>1</v>
      </c>
      <c r="AS3419" s="393"/>
      <c r="AT3419" s="600">
        <v>29.093990000000002</v>
      </c>
      <c r="AU3419" s="394">
        <v>21.846070000000001</v>
      </c>
      <c r="AV3419" s="394">
        <v>10.085330000000001</v>
      </c>
      <c r="AW3419" s="394">
        <v>2.73129</v>
      </c>
      <c r="AX3419" s="394"/>
      <c r="AY3419" s="394">
        <v>0</v>
      </c>
      <c r="AZ3419" s="394">
        <v>0</v>
      </c>
      <c r="BA3419" s="394">
        <v>1.6897</v>
      </c>
      <c r="BB3419" s="394">
        <v>10.085330000000001</v>
      </c>
      <c r="BC3419" s="394">
        <v>0.91042999999999996</v>
      </c>
      <c r="BD3419" s="381" t="s">
        <v>167</v>
      </c>
      <c r="BE3419" s="408" t="s">
        <v>175</v>
      </c>
      <c r="BF3419" s="385"/>
      <c r="BG3419" s="475">
        <v>1305</v>
      </c>
      <c r="BH3419" s="395"/>
      <c r="BI3419" s="395">
        <f t="shared" si="1318"/>
        <v>29.093990000000002</v>
      </c>
    </row>
    <row r="3420" spans="1:61" s="358" customFormat="1" ht="19.2" x14ac:dyDescent="0.3">
      <c r="A3420" s="359" t="s">
        <v>327</v>
      </c>
      <c r="B3420" s="602" t="s">
        <v>6243</v>
      </c>
      <c r="C3420" s="548" t="s">
        <v>6244</v>
      </c>
      <c r="D3420" s="598">
        <v>0.4</v>
      </c>
      <c r="E3420" s="528"/>
      <c r="F3420" s="523"/>
      <c r="G3420" s="393"/>
      <c r="H3420" s="394"/>
      <c r="I3420" s="394"/>
      <c r="J3420" s="394"/>
      <c r="K3420" s="394"/>
      <c r="L3420" s="394"/>
      <c r="M3420" s="394"/>
      <c r="N3420" s="394"/>
      <c r="O3420" s="394"/>
      <c r="P3420" s="394"/>
      <c r="Q3420" s="394"/>
      <c r="R3420" s="381"/>
      <c r="S3420" s="408"/>
      <c r="T3420" s="385"/>
      <c r="U3420" s="475"/>
      <c r="V3420" s="395"/>
      <c r="W3420" s="395"/>
      <c r="X3420" s="528"/>
      <c r="Y3420" s="523"/>
      <c r="Z3420" s="393"/>
      <c r="AA3420" s="394"/>
      <c r="AB3420" s="394"/>
      <c r="AC3420" s="394"/>
      <c r="AD3420" s="394"/>
      <c r="AE3420" s="394"/>
      <c r="AF3420" s="394"/>
      <c r="AG3420" s="394"/>
      <c r="AH3420" s="394"/>
      <c r="AI3420" s="394"/>
      <c r="AJ3420" s="394"/>
      <c r="AK3420" s="381"/>
      <c r="AL3420" s="408"/>
      <c r="AM3420" s="385"/>
      <c r="AN3420" s="475"/>
      <c r="AO3420" s="395"/>
      <c r="AP3420" s="395"/>
      <c r="AQ3420" s="528"/>
      <c r="AR3420" s="497">
        <v>1</v>
      </c>
      <c r="AS3420" s="393"/>
      <c r="AT3420" s="600">
        <v>10.635439999999999</v>
      </c>
      <c r="AU3420" s="394">
        <v>4.9742300000000004</v>
      </c>
      <c r="AV3420" s="394"/>
      <c r="AW3420" s="394">
        <v>2.7321900000000001</v>
      </c>
      <c r="AX3420" s="394"/>
      <c r="AY3420" s="394">
        <v>0</v>
      </c>
      <c r="AZ3420" s="394">
        <v>0</v>
      </c>
      <c r="BA3420" s="394">
        <v>1.31979</v>
      </c>
      <c r="BB3420" s="394"/>
      <c r="BC3420" s="394">
        <v>0.91073000000000004</v>
      </c>
      <c r="BD3420" s="381" t="s">
        <v>167</v>
      </c>
      <c r="BE3420" s="408" t="s">
        <v>175</v>
      </c>
      <c r="BF3420" s="385"/>
      <c r="BG3420" s="475">
        <v>1306</v>
      </c>
      <c r="BH3420" s="395"/>
      <c r="BI3420" s="395">
        <f t="shared" ref="BI3420" si="1327">AT3420/AR3420</f>
        <v>10.635439999999999</v>
      </c>
    </row>
    <row r="3421" spans="1:61" s="358" customFormat="1" ht="19.2" x14ac:dyDescent="0.3">
      <c r="A3421" s="359" t="s">
        <v>328</v>
      </c>
      <c r="B3421" s="602" t="s">
        <v>4770</v>
      </c>
      <c r="C3421" s="548" t="s">
        <v>6245</v>
      </c>
      <c r="D3421" s="598">
        <v>0.4</v>
      </c>
      <c r="E3421" s="528"/>
      <c r="F3421" s="523"/>
      <c r="G3421" s="393"/>
      <c r="H3421" s="394"/>
      <c r="I3421" s="394"/>
      <c r="J3421" s="394"/>
      <c r="K3421" s="394"/>
      <c r="L3421" s="394"/>
      <c r="M3421" s="394"/>
      <c r="N3421" s="394"/>
      <c r="O3421" s="394"/>
      <c r="P3421" s="394"/>
      <c r="Q3421" s="394"/>
      <c r="R3421" s="381"/>
      <c r="S3421" s="408"/>
      <c r="T3421" s="385"/>
      <c r="U3421" s="475"/>
      <c r="V3421" s="395"/>
      <c r="W3421" s="395"/>
      <c r="X3421" s="528"/>
      <c r="Y3421" s="523"/>
      <c r="Z3421" s="393"/>
      <c r="AA3421" s="394"/>
      <c r="AB3421" s="394"/>
      <c r="AC3421" s="394"/>
      <c r="AD3421" s="394"/>
      <c r="AE3421" s="394"/>
      <c r="AF3421" s="394"/>
      <c r="AG3421" s="394"/>
      <c r="AH3421" s="394"/>
      <c r="AI3421" s="394"/>
      <c r="AJ3421" s="394"/>
      <c r="AK3421" s="381"/>
      <c r="AL3421" s="408"/>
      <c r="AM3421" s="385"/>
      <c r="AN3421" s="475"/>
      <c r="AO3421" s="395"/>
      <c r="AP3421" s="395"/>
      <c r="AQ3421" s="528"/>
      <c r="AR3421" s="497">
        <v>1</v>
      </c>
      <c r="AS3421" s="393"/>
      <c r="AT3421" s="600">
        <v>28.24033</v>
      </c>
      <c r="AU3421" s="394">
        <v>20.99241</v>
      </c>
      <c r="AV3421" s="394">
        <v>10.085319999999999</v>
      </c>
      <c r="AW3421" s="394">
        <v>3.8259599999999998</v>
      </c>
      <c r="AX3421" s="394"/>
      <c r="AY3421" s="394">
        <v>0</v>
      </c>
      <c r="AZ3421" s="394">
        <v>0</v>
      </c>
      <c r="BA3421" s="394">
        <v>1.6897</v>
      </c>
      <c r="BB3421" s="394">
        <v>10.085319999999999</v>
      </c>
      <c r="BC3421" s="394">
        <v>1.27532</v>
      </c>
      <c r="BD3421" s="381" t="s">
        <v>167</v>
      </c>
      <c r="BE3421" s="408" t="s">
        <v>175</v>
      </c>
      <c r="BF3421" s="385"/>
      <c r="BG3421" s="475">
        <v>1307</v>
      </c>
      <c r="BH3421" s="395"/>
      <c r="BI3421" s="395">
        <f t="shared" si="1318"/>
        <v>28.24033</v>
      </c>
    </row>
    <row r="3422" spans="1:61" s="358" customFormat="1" ht="19.2" x14ac:dyDescent="0.3">
      <c r="A3422" s="359" t="s">
        <v>329</v>
      </c>
      <c r="B3422" s="602" t="s">
        <v>6246</v>
      </c>
      <c r="C3422" s="548" t="s">
        <v>6247</v>
      </c>
      <c r="D3422" s="598">
        <v>0.4</v>
      </c>
      <c r="E3422" s="528"/>
      <c r="F3422" s="523"/>
      <c r="G3422" s="393"/>
      <c r="H3422" s="394"/>
      <c r="I3422" s="394"/>
      <c r="J3422" s="394"/>
      <c r="K3422" s="394"/>
      <c r="L3422" s="394"/>
      <c r="M3422" s="394"/>
      <c r="N3422" s="394"/>
      <c r="O3422" s="394"/>
      <c r="P3422" s="394"/>
      <c r="Q3422" s="394"/>
      <c r="R3422" s="381"/>
      <c r="S3422" s="408"/>
      <c r="T3422" s="385"/>
      <c r="U3422" s="475"/>
      <c r="V3422" s="395"/>
      <c r="W3422" s="395"/>
      <c r="X3422" s="528"/>
      <c r="Y3422" s="523"/>
      <c r="Z3422" s="393"/>
      <c r="AA3422" s="394"/>
      <c r="AB3422" s="394"/>
      <c r="AC3422" s="394"/>
      <c r="AD3422" s="394"/>
      <c r="AE3422" s="394"/>
      <c r="AF3422" s="394"/>
      <c r="AG3422" s="394"/>
      <c r="AH3422" s="394"/>
      <c r="AI3422" s="394"/>
      <c r="AJ3422" s="394"/>
      <c r="AK3422" s="381"/>
      <c r="AL3422" s="408"/>
      <c r="AM3422" s="385"/>
      <c r="AN3422" s="475"/>
      <c r="AO3422" s="395"/>
      <c r="AP3422" s="395"/>
      <c r="AQ3422" s="528"/>
      <c r="AR3422" s="497">
        <v>1</v>
      </c>
      <c r="AS3422" s="393"/>
      <c r="AT3422" s="600">
        <v>27.06692</v>
      </c>
      <c r="AU3422" s="394">
        <v>19.818999999999999</v>
      </c>
      <c r="AV3422" s="394">
        <v>10.085319999999999</v>
      </c>
      <c r="AW3422" s="394">
        <v>2.73129</v>
      </c>
      <c r="AX3422" s="394"/>
      <c r="AY3422" s="394">
        <v>0</v>
      </c>
      <c r="AZ3422" s="394">
        <v>0</v>
      </c>
      <c r="BA3422" s="394">
        <v>1.6897</v>
      </c>
      <c r="BB3422" s="394">
        <v>10.085319999999999</v>
      </c>
      <c r="BC3422" s="394">
        <v>0.91042999999999996</v>
      </c>
      <c r="BD3422" s="381" t="s">
        <v>167</v>
      </c>
      <c r="BE3422" s="408" t="s">
        <v>175</v>
      </c>
      <c r="BF3422" s="385"/>
      <c r="BG3422" s="475">
        <v>1308</v>
      </c>
      <c r="BH3422" s="395"/>
      <c r="BI3422" s="395">
        <f t="shared" ref="BI3422" si="1328">AT3422/AR3422</f>
        <v>27.06692</v>
      </c>
    </row>
    <row r="3423" spans="1:61" s="358" customFormat="1" ht="19.2" x14ac:dyDescent="0.3">
      <c r="A3423" s="359" t="s">
        <v>330</v>
      </c>
      <c r="B3423" s="602" t="s">
        <v>6248</v>
      </c>
      <c r="C3423" s="548" t="s">
        <v>6249</v>
      </c>
      <c r="D3423" s="598">
        <v>0.4</v>
      </c>
      <c r="E3423" s="528"/>
      <c r="F3423" s="523"/>
      <c r="G3423" s="393"/>
      <c r="H3423" s="394"/>
      <c r="I3423" s="394"/>
      <c r="J3423" s="394"/>
      <c r="K3423" s="394"/>
      <c r="L3423" s="394"/>
      <c r="M3423" s="394"/>
      <c r="N3423" s="394"/>
      <c r="O3423" s="394"/>
      <c r="P3423" s="394"/>
      <c r="Q3423" s="394"/>
      <c r="R3423" s="381"/>
      <c r="S3423" s="408"/>
      <c r="T3423" s="385"/>
      <c r="U3423" s="475"/>
      <c r="V3423" s="395"/>
      <c r="W3423" s="395"/>
      <c r="X3423" s="528"/>
      <c r="Y3423" s="523"/>
      <c r="Z3423" s="393"/>
      <c r="AA3423" s="394"/>
      <c r="AB3423" s="394"/>
      <c r="AC3423" s="394"/>
      <c r="AD3423" s="394"/>
      <c r="AE3423" s="394"/>
      <c r="AF3423" s="394"/>
      <c r="AG3423" s="394"/>
      <c r="AH3423" s="394"/>
      <c r="AI3423" s="394"/>
      <c r="AJ3423" s="394"/>
      <c r="AK3423" s="381"/>
      <c r="AL3423" s="408"/>
      <c r="AM3423" s="385"/>
      <c r="AN3423" s="475"/>
      <c r="AO3423" s="395"/>
      <c r="AP3423" s="395"/>
      <c r="AQ3423" s="528"/>
      <c r="AR3423" s="497">
        <v>1</v>
      </c>
      <c r="AS3423" s="393"/>
      <c r="AT3423" s="600">
        <v>26.523769999999999</v>
      </c>
      <c r="AU3423" s="394">
        <v>18.945799999999998</v>
      </c>
      <c r="AV3423" s="394">
        <v>10.085330000000001</v>
      </c>
      <c r="AW3423" s="394">
        <v>3.0444</v>
      </c>
      <c r="AX3423" s="394"/>
      <c r="AY3423" s="394">
        <v>0</v>
      </c>
      <c r="AZ3423" s="394">
        <v>0</v>
      </c>
      <c r="BA3423" s="394">
        <v>1.76664</v>
      </c>
      <c r="BB3423" s="394">
        <v>10.085330000000001</v>
      </c>
      <c r="BC3423" s="394">
        <v>1.0147999999999999</v>
      </c>
      <c r="BD3423" s="381" t="s">
        <v>167</v>
      </c>
      <c r="BE3423" s="408" t="s">
        <v>175</v>
      </c>
      <c r="BF3423" s="385"/>
      <c r="BG3423" s="475">
        <v>1309</v>
      </c>
      <c r="BH3423" s="395"/>
      <c r="BI3423" s="395">
        <f t="shared" si="1318"/>
        <v>26.523769999999999</v>
      </c>
    </row>
    <row r="3424" spans="1:61" s="358" customFormat="1" ht="19.2" x14ac:dyDescent="0.3">
      <c r="A3424" s="359" t="s">
        <v>331</v>
      </c>
      <c r="B3424" s="602" t="s">
        <v>6250</v>
      </c>
      <c r="C3424" s="548" t="s">
        <v>6251</v>
      </c>
      <c r="D3424" s="598">
        <v>0.4</v>
      </c>
      <c r="E3424" s="528"/>
      <c r="F3424" s="523"/>
      <c r="G3424" s="393"/>
      <c r="H3424" s="394"/>
      <c r="I3424" s="394"/>
      <c r="J3424" s="394"/>
      <c r="K3424" s="394"/>
      <c r="L3424" s="394"/>
      <c r="M3424" s="394"/>
      <c r="N3424" s="394"/>
      <c r="O3424" s="394"/>
      <c r="P3424" s="394"/>
      <c r="Q3424" s="394"/>
      <c r="R3424" s="381"/>
      <c r="S3424" s="408"/>
      <c r="T3424" s="385"/>
      <c r="U3424" s="475"/>
      <c r="V3424" s="395"/>
      <c r="W3424" s="395"/>
      <c r="X3424" s="528"/>
      <c r="Y3424" s="523"/>
      <c r="Z3424" s="393"/>
      <c r="AA3424" s="394"/>
      <c r="AB3424" s="394"/>
      <c r="AC3424" s="394"/>
      <c r="AD3424" s="394"/>
      <c r="AE3424" s="394"/>
      <c r="AF3424" s="394"/>
      <c r="AG3424" s="394"/>
      <c r="AH3424" s="394"/>
      <c r="AI3424" s="394"/>
      <c r="AJ3424" s="394"/>
      <c r="AK3424" s="381"/>
      <c r="AL3424" s="408"/>
      <c r="AM3424" s="385"/>
      <c r="AN3424" s="475"/>
      <c r="AO3424" s="395"/>
      <c r="AP3424" s="395"/>
      <c r="AQ3424" s="528"/>
      <c r="AR3424" s="497">
        <v>1</v>
      </c>
      <c r="AS3424" s="393"/>
      <c r="AT3424" s="600">
        <v>26.343889999999998</v>
      </c>
      <c r="AU3424" s="394">
        <v>19.095970000000001</v>
      </c>
      <c r="AV3424" s="394">
        <v>10.085319999999999</v>
      </c>
      <c r="AW3424" s="394">
        <v>2.76938</v>
      </c>
      <c r="AX3424" s="394"/>
      <c r="AY3424" s="394">
        <v>0</v>
      </c>
      <c r="AZ3424" s="394">
        <v>0</v>
      </c>
      <c r="BA3424" s="394">
        <v>1.6897</v>
      </c>
      <c r="BB3424" s="394">
        <v>10.085319999999999</v>
      </c>
      <c r="BC3424" s="394">
        <v>0.92313000000000001</v>
      </c>
      <c r="BD3424" s="381" t="s">
        <v>167</v>
      </c>
      <c r="BE3424" s="408" t="s">
        <v>175</v>
      </c>
      <c r="BF3424" s="385"/>
      <c r="BG3424" s="475">
        <v>1310</v>
      </c>
      <c r="BH3424" s="395"/>
      <c r="BI3424" s="395">
        <f t="shared" ref="BI3424" si="1329">AT3424/AR3424</f>
        <v>26.343889999999998</v>
      </c>
    </row>
    <row r="3425" spans="1:61" s="358" customFormat="1" ht="19.2" x14ac:dyDescent="0.3">
      <c r="A3425" s="359" t="s">
        <v>332</v>
      </c>
      <c r="B3425" s="602" t="s">
        <v>6252</v>
      </c>
      <c r="C3425" s="548" t="s">
        <v>6253</v>
      </c>
      <c r="D3425" s="598">
        <v>0.4</v>
      </c>
      <c r="E3425" s="528"/>
      <c r="F3425" s="523"/>
      <c r="G3425" s="393"/>
      <c r="H3425" s="394"/>
      <c r="I3425" s="394"/>
      <c r="J3425" s="394"/>
      <c r="K3425" s="394"/>
      <c r="L3425" s="394"/>
      <c r="M3425" s="394"/>
      <c r="N3425" s="394"/>
      <c r="O3425" s="394"/>
      <c r="P3425" s="394"/>
      <c r="Q3425" s="394"/>
      <c r="R3425" s="381"/>
      <c r="S3425" s="408"/>
      <c r="T3425" s="385"/>
      <c r="U3425" s="475"/>
      <c r="V3425" s="395"/>
      <c r="W3425" s="395"/>
      <c r="X3425" s="528"/>
      <c r="Y3425" s="523"/>
      <c r="Z3425" s="393"/>
      <c r="AA3425" s="394"/>
      <c r="AB3425" s="394"/>
      <c r="AC3425" s="394"/>
      <c r="AD3425" s="394"/>
      <c r="AE3425" s="394"/>
      <c r="AF3425" s="394"/>
      <c r="AG3425" s="394"/>
      <c r="AH3425" s="394"/>
      <c r="AI3425" s="394"/>
      <c r="AJ3425" s="394"/>
      <c r="AK3425" s="381"/>
      <c r="AL3425" s="408"/>
      <c r="AM3425" s="385"/>
      <c r="AN3425" s="475"/>
      <c r="AO3425" s="395"/>
      <c r="AP3425" s="395"/>
      <c r="AQ3425" s="528"/>
      <c r="AR3425" s="497">
        <v>1</v>
      </c>
      <c r="AS3425" s="393"/>
      <c r="AT3425" s="600">
        <v>19.111519999999999</v>
      </c>
      <c r="AU3425" s="394">
        <v>13.047879999999999</v>
      </c>
      <c r="AV3425" s="394">
        <v>10.085319999999999</v>
      </c>
      <c r="AW3425" s="394">
        <v>2.7693599999999998</v>
      </c>
      <c r="AX3425" s="394"/>
      <c r="AY3425" s="394">
        <v>0</v>
      </c>
      <c r="AZ3425" s="394">
        <v>0</v>
      </c>
      <c r="BA3425" s="394">
        <v>1.41361</v>
      </c>
      <c r="BB3425" s="394">
        <v>10.085319999999999</v>
      </c>
      <c r="BC3425" s="394">
        <v>0.92312000000000005</v>
      </c>
      <c r="BD3425" s="381" t="s">
        <v>167</v>
      </c>
      <c r="BE3425" s="408" t="s">
        <v>175</v>
      </c>
      <c r="BF3425" s="385"/>
      <c r="BG3425" s="475">
        <v>1311</v>
      </c>
      <c r="BH3425" s="395"/>
      <c r="BI3425" s="395">
        <f t="shared" si="1318"/>
        <v>19.111519999999999</v>
      </c>
    </row>
    <row r="3426" spans="1:61" s="358" customFormat="1" ht="19.2" x14ac:dyDescent="0.3">
      <c r="A3426" s="359" t="s">
        <v>333</v>
      </c>
      <c r="B3426" s="602" t="s">
        <v>4718</v>
      </c>
      <c r="C3426" s="548" t="s">
        <v>6254</v>
      </c>
      <c r="D3426" s="598">
        <v>0.4</v>
      </c>
      <c r="E3426" s="528"/>
      <c r="F3426" s="523"/>
      <c r="G3426" s="393"/>
      <c r="H3426" s="394"/>
      <c r="I3426" s="394"/>
      <c r="J3426" s="394"/>
      <c r="K3426" s="394"/>
      <c r="L3426" s="394"/>
      <c r="M3426" s="394"/>
      <c r="N3426" s="394"/>
      <c r="O3426" s="394"/>
      <c r="P3426" s="394"/>
      <c r="Q3426" s="394"/>
      <c r="R3426" s="381"/>
      <c r="S3426" s="408"/>
      <c r="T3426" s="385"/>
      <c r="U3426" s="475"/>
      <c r="V3426" s="395"/>
      <c r="W3426" s="395"/>
      <c r="X3426" s="528"/>
      <c r="Y3426" s="523"/>
      <c r="Z3426" s="393"/>
      <c r="AA3426" s="394"/>
      <c r="AB3426" s="394"/>
      <c r="AC3426" s="394"/>
      <c r="AD3426" s="394"/>
      <c r="AE3426" s="394"/>
      <c r="AF3426" s="394"/>
      <c r="AG3426" s="394"/>
      <c r="AH3426" s="394"/>
      <c r="AI3426" s="394"/>
      <c r="AJ3426" s="394"/>
      <c r="AK3426" s="381"/>
      <c r="AL3426" s="408"/>
      <c r="AM3426" s="385"/>
      <c r="AN3426" s="475"/>
      <c r="AO3426" s="395"/>
      <c r="AP3426" s="395"/>
      <c r="AQ3426" s="528"/>
      <c r="AR3426" s="497">
        <v>1</v>
      </c>
      <c r="AS3426" s="393"/>
      <c r="AT3426" s="600">
        <v>26.882470000000001</v>
      </c>
      <c r="AU3426" s="394">
        <v>19.634550000000001</v>
      </c>
      <c r="AV3426" s="394">
        <v>10.085319999999999</v>
      </c>
      <c r="AW3426" s="394">
        <v>3.29772</v>
      </c>
      <c r="AX3426" s="394"/>
      <c r="AY3426" s="394">
        <v>0</v>
      </c>
      <c r="AZ3426" s="394">
        <v>0</v>
      </c>
      <c r="BA3426" s="394">
        <v>1.6897</v>
      </c>
      <c r="BB3426" s="394">
        <v>10.085319999999999</v>
      </c>
      <c r="BC3426" s="394">
        <v>1.09924</v>
      </c>
      <c r="BD3426" s="381" t="s">
        <v>167</v>
      </c>
      <c r="BE3426" s="408" t="s">
        <v>175</v>
      </c>
      <c r="BF3426" s="385"/>
      <c r="BG3426" s="475">
        <v>1312</v>
      </c>
      <c r="BH3426" s="395"/>
      <c r="BI3426" s="395">
        <f t="shared" ref="BI3426" si="1330">AT3426/AR3426</f>
        <v>26.882470000000001</v>
      </c>
    </row>
    <row r="3427" spans="1:61" s="358" customFormat="1" ht="19.2" x14ac:dyDescent="0.3">
      <c r="A3427" s="359" t="s">
        <v>334</v>
      </c>
      <c r="B3427" s="602" t="s">
        <v>4718</v>
      </c>
      <c r="C3427" s="548" t="s">
        <v>4719</v>
      </c>
      <c r="D3427" s="598">
        <v>0.4</v>
      </c>
      <c r="E3427" s="528"/>
      <c r="F3427" s="523"/>
      <c r="G3427" s="393"/>
      <c r="H3427" s="394"/>
      <c r="I3427" s="394"/>
      <c r="J3427" s="394"/>
      <c r="K3427" s="394"/>
      <c r="L3427" s="394"/>
      <c r="M3427" s="394"/>
      <c r="N3427" s="394"/>
      <c r="O3427" s="394"/>
      <c r="P3427" s="394"/>
      <c r="Q3427" s="394"/>
      <c r="R3427" s="381"/>
      <c r="S3427" s="408"/>
      <c r="T3427" s="385"/>
      <c r="U3427" s="475"/>
      <c r="V3427" s="395"/>
      <c r="W3427" s="395"/>
      <c r="X3427" s="528"/>
      <c r="Y3427" s="523"/>
      <c r="Z3427" s="393"/>
      <c r="AA3427" s="394"/>
      <c r="AB3427" s="394"/>
      <c r="AC3427" s="394"/>
      <c r="AD3427" s="394"/>
      <c r="AE3427" s="394"/>
      <c r="AF3427" s="394"/>
      <c r="AG3427" s="394"/>
      <c r="AH3427" s="394"/>
      <c r="AI3427" s="394"/>
      <c r="AJ3427" s="394"/>
      <c r="AK3427" s="381"/>
      <c r="AL3427" s="408"/>
      <c r="AM3427" s="385"/>
      <c r="AN3427" s="475"/>
      <c r="AO3427" s="395"/>
      <c r="AP3427" s="395"/>
      <c r="AQ3427" s="528"/>
      <c r="AR3427" s="497">
        <v>1</v>
      </c>
      <c r="AS3427" s="393"/>
      <c r="AT3427" s="600">
        <v>26.882480000000001</v>
      </c>
      <c r="AU3427" s="394">
        <v>19.63456</v>
      </c>
      <c r="AV3427" s="394">
        <v>10.085319999999999</v>
      </c>
      <c r="AW3427" s="394">
        <v>3.29772</v>
      </c>
      <c r="AX3427" s="394"/>
      <c r="AY3427" s="394">
        <v>0</v>
      </c>
      <c r="AZ3427" s="394">
        <v>0</v>
      </c>
      <c r="BA3427" s="394">
        <v>1.6897</v>
      </c>
      <c r="BB3427" s="394">
        <v>10.085319999999999</v>
      </c>
      <c r="BC3427" s="394">
        <v>1.09924</v>
      </c>
      <c r="BD3427" s="381" t="s">
        <v>167</v>
      </c>
      <c r="BE3427" s="408" t="s">
        <v>175</v>
      </c>
      <c r="BF3427" s="385"/>
      <c r="BG3427" s="475">
        <v>1313</v>
      </c>
      <c r="BH3427" s="395"/>
      <c r="BI3427" s="395">
        <f t="shared" si="1318"/>
        <v>26.882480000000001</v>
      </c>
    </row>
    <row r="3428" spans="1:61" s="358" customFormat="1" ht="19.2" x14ac:dyDescent="0.3">
      <c r="A3428" s="359" t="s">
        <v>335</v>
      </c>
      <c r="B3428" s="602" t="s">
        <v>549</v>
      </c>
      <c r="C3428" s="548" t="s">
        <v>6255</v>
      </c>
      <c r="D3428" s="598">
        <v>0.4</v>
      </c>
      <c r="E3428" s="528"/>
      <c r="F3428" s="523"/>
      <c r="G3428" s="393"/>
      <c r="H3428" s="394"/>
      <c r="I3428" s="394"/>
      <c r="J3428" s="394"/>
      <c r="K3428" s="394"/>
      <c r="L3428" s="394"/>
      <c r="M3428" s="394"/>
      <c r="N3428" s="394"/>
      <c r="O3428" s="394"/>
      <c r="P3428" s="394"/>
      <c r="Q3428" s="394"/>
      <c r="R3428" s="381"/>
      <c r="S3428" s="408"/>
      <c r="T3428" s="385"/>
      <c r="U3428" s="475"/>
      <c r="V3428" s="395"/>
      <c r="W3428" s="395"/>
      <c r="X3428" s="528"/>
      <c r="Y3428" s="523"/>
      <c r="Z3428" s="393"/>
      <c r="AA3428" s="394"/>
      <c r="AB3428" s="394"/>
      <c r="AC3428" s="394"/>
      <c r="AD3428" s="394"/>
      <c r="AE3428" s="394"/>
      <c r="AF3428" s="394"/>
      <c r="AG3428" s="394"/>
      <c r="AH3428" s="394"/>
      <c r="AI3428" s="394"/>
      <c r="AJ3428" s="394"/>
      <c r="AK3428" s="381"/>
      <c r="AL3428" s="408"/>
      <c r="AM3428" s="385"/>
      <c r="AN3428" s="475"/>
      <c r="AO3428" s="395"/>
      <c r="AP3428" s="395"/>
      <c r="AQ3428" s="528"/>
      <c r="AR3428" s="497">
        <v>1</v>
      </c>
      <c r="AS3428" s="393"/>
      <c r="AT3428" s="600">
        <v>19.111509999999999</v>
      </c>
      <c r="AU3428" s="394">
        <v>13.04787</v>
      </c>
      <c r="AV3428" s="394">
        <v>10.085319999999999</v>
      </c>
      <c r="AW3428" s="394">
        <v>2.7693599999999998</v>
      </c>
      <c r="AX3428" s="394"/>
      <c r="AY3428" s="394">
        <v>0</v>
      </c>
      <c r="AZ3428" s="394">
        <v>0</v>
      </c>
      <c r="BA3428" s="394">
        <v>1.41361</v>
      </c>
      <c r="BB3428" s="394">
        <v>10.085319999999999</v>
      </c>
      <c r="BC3428" s="394">
        <v>0.92312000000000005</v>
      </c>
      <c r="BD3428" s="381" t="s">
        <v>167</v>
      </c>
      <c r="BE3428" s="408" t="s">
        <v>175</v>
      </c>
      <c r="BF3428" s="385"/>
      <c r="BG3428" s="475">
        <v>1314</v>
      </c>
      <c r="BH3428" s="395"/>
      <c r="BI3428" s="395">
        <f t="shared" ref="BI3428" si="1331">AT3428/AR3428</f>
        <v>19.111509999999999</v>
      </c>
    </row>
    <row r="3429" spans="1:61" s="358" customFormat="1" ht="19.2" x14ac:dyDescent="0.3">
      <c r="A3429" s="359" t="s">
        <v>336</v>
      </c>
      <c r="B3429" s="602" t="s">
        <v>2582</v>
      </c>
      <c r="C3429" s="548" t="s">
        <v>6256</v>
      </c>
      <c r="D3429" s="598">
        <v>0.4</v>
      </c>
      <c r="E3429" s="528"/>
      <c r="F3429" s="523"/>
      <c r="G3429" s="393"/>
      <c r="H3429" s="394"/>
      <c r="I3429" s="394"/>
      <c r="J3429" s="394"/>
      <c r="K3429" s="394"/>
      <c r="L3429" s="394"/>
      <c r="M3429" s="394"/>
      <c r="N3429" s="394"/>
      <c r="O3429" s="394"/>
      <c r="P3429" s="394"/>
      <c r="Q3429" s="394"/>
      <c r="R3429" s="381"/>
      <c r="S3429" s="408"/>
      <c r="T3429" s="385"/>
      <c r="U3429" s="475"/>
      <c r="V3429" s="395"/>
      <c r="W3429" s="395"/>
      <c r="X3429" s="528"/>
      <c r="Y3429" s="523"/>
      <c r="Z3429" s="393"/>
      <c r="AA3429" s="394"/>
      <c r="AB3429" s="394"/>
      <c r="AC3429" s="394"/>
      <c r="AD3429" s="394"/>
      <c r="AE3429" s="394"/>
      <c r="AF3429" s="394"/>
      <c r="AG3429" s="394"/>
      <c r="AH3429" s="394"/>
      <c r="AI3429" s="394"/>
      <c r="AJ3429" s="394"/>
      <c r="AK3429" s="381"/>
      <c r="AL3429" s="408"/>
      <c r="AM3429" s="385"/>
      <c r="AN3429" s="475"/>
      <c r="AO3429" s="395"/>
      <c r="AP3429" s="395"/>
      <c r="AQ3429" s="528"/>
      <c r="AR3429" s="497">
        <v>1</v>
      </c>
      <c r="AS3429" s="393"/>
      <c r="AT3429" s="600">
        <v>19.292960000000001</v>
      </c>
      <c r="AU3429" s="394">
        <v>13.22932</v>
      </c>
      <c r="AV3429" s="394">
        <v>10.085319999999999</v>
      </c>
      <c r="AW3429" s="394">
        <v>2.7693599999999998</v>
      </c>
      <c r="AX3429" s="394"/>
      <c r="AY3429" s="394">
        <v>0</v>
      </c>
      <c r="AZ3429" s="394">
        <v>0</v>
      </c>
      <c r="BA3429" s="394">
        <v>1.41361</v>
      </c>
      <c r="BB3429" s="394">
        <v>10.085319999999999</v>
      </c>
      <c r="BC3429" s="394">
        <v>0.92312000000000005</v>
      </c>
      <c r="BD3429" s="381" t="s">
        <v>167</v>
      </c>
      <c r="BE3429" s="408" t="s">
        <v>175</v>
      </c>
      <c r="BF3429" s="385"/>
      <c r="BG3429" s="475">
        <v>1315</v>
      </c>
      <c r="BH3429" s="395"/>
      <c r="BI3429" s="395">
        <f t="shared" si="1318"/>
        <v>19.292960000000001</v>
      </c>
    </row>
    <row r="3430" spans="1:61" s="358" customFormat="1" ht="19.2" x14ac:dyDescent="0.3">
      <c r="A3430" s="359" t="s">
        <v>337</v>
      </c>
      <c r="B3430" s="602" t="s">
        <v>4833</v>
      </c>
      <c r="C3430" s="548" t="s">
        <v>4832</v>
      </c>
      <c r="D3430" s="598">
        <v>0.4</v>
      </c>
      <c r="E3430" s="528"/>
      <c r="F3430" s="523"/>
      <c r="G3430" s="393"/>
      <c r="H3430" s="394"/>
      <c r="I3430" s="394"/>
      <c r="J3430" s="394"/>
      <c r="K3430" s="394"/>
      <c r="L3430" s="394"/>
      <c r="M3430" s="394"/>
      <c r="N3430" s="394"/>
      <c r="O3430" s="394"/>
      <c r="P3430" s="394"/>
      <c r="Q3430" s="394"/>
      <c r="R3430" s="381"/>
      <c r="S3430" s="408"/>
      <c r="T3430" s="385"/>
      <c r="U3430" s="475"/>
      <c r="V3430" s="395"/>
      <c r="W3430" s="395"/>
      <c r="X3430" s="528"/>
      <c r="Y3430" s="523"/>
      <c r="Z3430" s="393"/>
      <c r="AA3430" s="394"/>
      <c r="AB3430" s="394"/>
      <c r="AC3430" s="394"/>
      <c r="AD3430" s="394"/>
      <c r="AE3430" s="394"/>
      <c r="AF3430" s="394"/>
      <c r="AG3430" s="394"/>
      <c r="AH3430" s="394"/>
      <c r="AI3430" s="394"/>
      <c r="AJ3430" s="394"/>
      <c r="AK3430" s="381"/>
      <c r="AL3430" s="408"/>
      <c r="AM3430" s="385"/>
      <c r="AN3430" s="475"/>
      <c r="AO3430" s="395"/>
      <c r="AP3430" s="395"/>
      <c r="AQ3430" s="528"/>
      <c r="AR3430" s="497">
        <v>1</v>
      </c>
      <c r="AS3430" s="393"/>
      <c r="AT3430" s="600">
        <v>26.354120000000002</v>
      </c>
      <c r="AU3430" s="394">
        <v>19.106200000000001</v>
      </c>
      <c r="AV3430" s="394">
        <v>10.085319999999999</v>
      </c>
      <c r="AW3430" s="394">
        <v>2.76938</v>
      </c>
      <c r="AX3430" s="394"/>
      <c r="AY3430" s="394">
        <v>0</v>
      </c>
      <c r="AZ3430" s="394">
        <v>0</v>
      </c>
      <c r="BA3430" s="394">
        <v>1.6897</v>
      </c>
      <c r="BB3430" s="394">
        <v>10.085319999999999</v>
      </c>
      <c r="BC3430" s="394">
        <v>0.92313000000000001</v>
      </c>
      <c r="BD3430" s="381" t="s">
        <v>167</v>
      </c>
      <c r="BE3430" s="408" t="s">
        <v>175</v>
      </c>
      <c r="BF3430" s="385"/>
      <c r="BG3430" s="475">
        <v>1316</v>
      </c>
      <c r="BH3430" s="395"/>
      <c r="BI3430" s="395">
        <f t="shared" ref="BI3430" si="1332">AT3430/AR3430</f>
        <v>26.354120000000002</v>
      </c>
    </row>
    <row r="3431" spans="1:61" s="358" customFormat="1" ht="19.2" x14ac:dyDescent="0.3">
      <c r="A3431" s="359" t="s">
        <v>338</v>
      </c>
      <c r="B3431" s="602" t="s">
        <v>6257</v>
      </c>
      <c r="C3431" s="548" t="s">
        <v>6258</v>
      </c>
      <c r="D3431" s="598">
        <v>0.4</v>
      </c>
      <c r="E3431" s="528"/>
      <c r="F3431" s="523"/>
      <c r="G3431" s="393"/>
      <c r="H3431" s="394"/>
      <c r="I3431" s="394"/>
      <c r="J3431" s="394"/>
      <c r="K3431" s="394"/>
      <c r="L3431" s="394"/>
      <c r="M3431" s="394"/>
      <c r="N3431" s="394"/>
      <c r="O3431" s="394"/>
      <c r="P3431" s="394"/>
      <c r="Q3431" s="394"/>
      <c r="R3431" s="381"/>
      <c r="S3431" s="408"/>
      <c r="T3431" s="385"/>
      <c r="U3431" s="475"/>
      <c r="V3431" s="395"/>
      <c r="W3431" s="395"/>
      <c r="X3431" s="528"/>
      <c r="Y3431" s="523"/>
      <c r="Z3431" s="393"/>
      <c r="AA3431" s="394"/>
      <c r="AB3431" s="394"/>
      <c r="AC3431" s="394"/>
      <c r="AD3431" s="394"/>
      <c r="AE3431" s="394"/>
      <c r="AF3431" s="394"/>
      <c r="AG3431" s="394"/>
      <c r="AH3431" s="394"/>
      <c r="AI3431" s="394"/>
      <c r="AJ3431" s="394"/>
      <c r="AK3431" s="381"/>
      <c r="AL3431" s="408"/>
      <c r="AM3431" s="385"/>
      <c r="AN3431" s="475"/>
      <c r="AO3431" s="395"/>
      <c r="AP3431" s="395"/>
      <c r="AQ3431" s="528"/>
      <c r="AR3431" s="497">
        <v>1</v>
      </c>
      <c r="AS3431" s="393"/>
      <c r="AT3431" s="600">
        <v>19.111529999999998</v>
      </c>
      <c r="AU3431" s="394">
        <v>13.047890000000001</v>
      </c>
      <c r="AV3431" s="394">
        <v>10.085319999999999</v>
      </c>
      <c r="AW3431" s="394">
        <v>2.7693599999999998</v>
      </c>
      <c r="AX3431" s="394"/>
      <c r="AY3431" s="394">
        <v>0</v>
      </c>
      <c r="AZ3431" s="394">
        <v>0</v>
      </c>
      <c r="BA3431" s="394">
        <v>1.41361</v>
      </c>
      <c r="BB3431" s="394">
        <v>10.085319999999999</v>
      </c>
      <c r="BC3431" s="394">
        <v>0.92312000000000005</v>
      </c>
      <c r="BD3431" s="381" t="s">
        <v>167</v>
      </c>
      <c r="BE3431" s="408" t="s">
        <v>175</v>
      </c>
      <c r="BF3431" s="385"/>
      <c r="BG3431" s="475">
        <v>1317</v>
      </c>
      <c r="BH3431" s="395"/>
      <c r="BI3431" s="395">
        <f t="shared" si="1318"/>
        <v>19.111529999999998</v>
      </c>
    </row>
    <row r="3432" spans="1:61" s="358" customFormat="1" ht="19.2" x14ac:dyDescent="0.3">
      <c r="A3432" s="359" t="s">
        <v>339</v>
      </c>
      <c r="B3432" s="602" t="s">
        <v>4743</v>
      </c>
      <c r="C3432" s="548" t="s">
        <v>4798</v>
      </c>
      <c r="D3432" s="598">
        <v>0.4</v>
      </c>
      <c r="E3432" s="528"/>
      <c r="F3432" s="523"/>
      <c r="G3432" s="393"/>
      <c r="H3432" s="394"/>
      <c r="I3432" s="394"/>
      <c r="J3432" s="394"/>
      <c r="K3432" s="394"/>
      <c r="L3432" s="394"/>
      <c r="M3432" s="394"/>
      <c r="N3432" s="394"/>
      <c r="O3432" s="394"/>
      <c r="P3432" s="394"/>
      <c r="Q3432" s="394"/>
      <c r="R3432" s="381"/>
      <c r="S3432" s="408"/>
      <c r="T3432" s="385"/>
      <c r="U3432" s="475"/>
      <c r="V3432" s="395"/>
      <c r="W3432" s="395"/>
      <c r="X3432" s="528"/>
      <c r="Y3432" s="523"/>
      <c r="Z3432" s="393"/>
      <c r="AA3432" s="394"/>
      <c r="AB3432" s="394"/>
      <c r="AC3432" s="394"/>
      <c r="AD3432" s="394"/>
      <c r="AE3432" s="394"/>
      <c r="AF3432" s="394"/>
      <c r="AG3432" s="394"/>
      <c r="AH3432" s="394"/>
      <c r="AI3432" s="394"/>
      <c r="AJ3432" s="394"/>
      <c r="AK3432" s="381"/>
      <c r="AL3432" s="408"/>
      <c r="AM3432" s="385"/>
      <c r="AN3432" s="475"/>
      <c r="AO3432" s="395"/>
      <c r="AP3432" s="395"/>
      <c r="AQ3432" s="528"/>
      <c r="AR3432" s="497">
        <v>1</v>
      </c>
      <c r="AS3432" s="393"/>
      <c r="AT3432" s="600">
        <v>26.626919999999998</v>
      </c>
      <c r="AU3432" s="394">
        <v>19.379000000000001</v>
      </c>
      <c r="AV3432" s="394">
        <v>10.085319999999999</v>
      </c>
      <c r="AW3432" s="394">
        <v>3.04217</v>
      </c>
      <c r="AX3432" s="394"/>
      <c r="AY3432" s="394">
        <v>0</v>
      </c>
      <c r="AZ3432" s="394">
        <v>0</v>
      </c>
      <c r="BA3432" s="394">
        <v>1.6897</v>
      </c>
      <c r="BB3432" s="394">
        <v>10.085319999999999</v>
      </c>
      <c r="BC3432" s="394">
        <v>1.01406</v>
      </c>
      <c r="BD3432" s="381" t="s">
        <v>167</v>
      </c>
      <c r="BE3432" s="408" t="s">
        <v>175</v>
      </c>
      <c r="BF3432" s="385"/>
      <c r="BG3432" s="475">
        <v>1318</v>
      </c>
      <c r="BH3432" s="395"/>
      <c r="BI3432" s="395">
        <f t="shared" si="1318"/>
        <v>26.626919999999998</v>
      </c>
    </row>
    <row r="3433" spans="1:61" s="358" customFormat="1" ht="19.2" x14ac:dyDescent="0.3">
      <c r="A3433" s="359" t="s">
        <v>340</v>
      </c>
      <c r="B3433" s="602" t="s">
        <v>6259</v>
      </c>
      <c r="C3433" s="548" t="s">
        <v>6260</v>
      </c>
      <c r="D3433" s="598">
        <v>0.4</v>
      </c>
      <c r="E3433" s="528"/>
      <c r="F3433" s="523"/>
      <c r="G3433" s="393"/>
      <c r="H3433" s="394"/>
      <c r="I3433" s="394"/>
      <c r="J3433" s="394"/>
      <c r="K3433" s="394"/>
      <c r="L3433" s="394"/>
      <c r="M3433" s="394"/>
      <c r="N3433" s="394"/>
      <c r="O3433" s="394"/>
      <c r="P3433" s="394"/>
      <c r="Q3433" s="394"/>
      <c r="R3433" s="381"/>
      <c r="S3433" s="408"/>
      <c r="T3433" s="385"/>
      <c r="U3433" s="475"/>
      <c r="V3433" s="395"/>
      <c r="W3433" s="395"/>
      <c r="X3433" s="528"/>
      <c r="Y3433" s="523"/>
      <c r="Z3433" s="393"/>
      <c r="AA3433" s="394"/>
      <c r="AB3433" s="394"/>
      <c r="AC3433" s="394"/>
      <c r="AD3433" s="394"/>
      <c r="AE3433" s="394"/>
      <c r="AF3433" s="394"/>
      <c r="AG3433" s="394"/>
      <c r="AH3433" s="394"/>
      <c r="AI3433" s="394"/>
      <c r="AJ3433" s="394"/>
      <c r="AK3433" s="381"/>
      <c r="AL3433" s="408"/>
      <c r="AM3433" s="385"/>
      <c r="AN3433" s="475"/>
      <c r="AO3433" s="395"/>
      <c r="AP3433" s="395"/>
      <c r="AQ3433" s="528"/>
      <c r="AR3433" s="497">
        <v>1</v>
      </c>
      <c r="AS3433" s="393"/>
      <c r="AT3433" s="600">
        <v>26.626909999999999</v>
      </c>
      <c r="AU3433" s="394">
        <v>19.378900000000002</v>
      </c>
      <c r="AV3433" s="394">
        <v>10.085319999999999</v>
      </c>
      <c r="AW3433" s="394">
        <v>3.04217</v>
      </c>
      <c r="AX3433" s="394"/>
      <c r="AY3433" s="394">
        <v>0</v>
      </c>
      <c r="AZ3433" s="394">
        <v>0</v>
      </c>
      <c r="BA3433" s="394">
        <v>1.6897</v>
      </c>
      <c r="BB3433" s="394">
        <v>10.085319999999999</v>
      </c>
      <c r="BC3433" s="394">
        <v>1.01406</v>
      </c>
      <c r="BD3433" s="381" t="s">
        <v>167</v>
      </c>
      <c r="BE3433" s="408" t="s">
        <v>175</v>
      </c>
      <c r="BF3433" s="385"/>
      <c r="BG3433" s="475">
        <v>1319</v>
      </c>
      <c r="BH3433" s="395"/>
      <c r="BI3433" s="395">
        <f t="shared" si="1318"/>
        <v>26.626909999999999</v>
      </c>
    </row>
    <row r="3434" spans="1:61" s="358" customFormat="1" ht="19.2" x14ac:dyDescent="0.3">
      <c r="A3434" s="359" t="s">
        <v>341</v>
      </c>
      <c r="B3434" s="602" t="s">
        <v>6261</v>
      </c>
      <c r="C3434" s="548" t="s">
        <v>6262</v>
      </c>
      <c r="D3434" s="598">
        <v>0.4</v>
      </c>
      <c r="E3434" s="528"/>
      <c r="F3434" s="523"/>
      <c r="G3434" s="393"/>
      <c r="H3434" s="394"/>
      <c r="I3434" s="394"/>
      <c r="J3434" s="394"/>
      <c r="K3434" s="394"/>
      <c r="L3434" s="394"/>
      <c r="M3434" s="394"/>
      <c r="N3434" s="394"/>
      <c r="O3434" s="394"/>
      <c r="P3434" s="394"/>
      <c r="Q3434" s="394"/>
      <c r="R3434" s="381"/>
      <c r="S3434" s="408"/>
      <c r="T3434" s="385"/>
      <c r="U3434" s="475"/>
      <c r="V3434" s="395"/>
      <c r="W3434" s="395"/>
      <c r="X3434" s="528"/>
      <c r="Y3434" s="523"/>
      <c r="Z3434" s="393"/>
      <c r="AA3434" s="394"/>
      <c r="AB3434" s="394"/>
      <c r="AC3434" s="394"/>
      <c r="AD3434" s="394"/>
      <c r="AE3434" s="394"/>
      <c r="AF3434" s="394"/>
      <c r="AG3434" s="394"/>
      <c r="AH3434" s="394"/>
      <c r="AI3434" s="394"/>
      <c r="AJ3434" s="394"/>
      <c r="AK3434" s="381"/>
      <c r="AL3434" s="408"/>
      <c r="AM3434" s="385"/>
      <c r="AN3434" s="475"/>
      <c r="AO3434" s="395"/>
      <c r="AP3434" s="395"/>
      <c r="AQ3434" s="528"/>
      <c r="AR3434" s="497">
        <v>1</v>
      </c>
      <c r="AS3434" s="393"/>
      <c r="AT3434" s="600">
        <v>8.4364600000000003</v>
      </c>
      <c r="AU3434" s="394">
        <v>2.7752500000000002</v>
      </c>
      <c r="AV3434" s="394"/>
      <c r="AW3434" s="394">
        <v>2.76939</v>
      </c>
      <c r="AX3434" s="394"/>
      <c r="AY3434" s="394">
        <v>0</v>
      </c>
      <c r="AZ3434" s="394">
        <v>0</v>
      </c>
      <c r="BA3434" s="394">
        <v>1.31979</v>
      </c>
      <c r="BB3434" s="394"/>
      <c r="BC3434" s="394">
        <v>0.92313000000000001</v>
      </c>
      <c r="BD3434" s="381" t="s">
        <v>167</v>
      </c>
      <c r="BE3434" s="408" t="s">
        <v>175</v>
      </c>
      <c r="BF3434" s="385"/>
      <c r="BG3434" s="475">
        <v>1320</v>
      </c>
      <c r="BH3434" s="395"/>
      <c r="BI3434" s="395">
        <f t="shared" si="1318"/>
        <v>8.4364600000000003</v>
      </c>
    </row>
    <row r="3435" spans="1:61" s="358" customFormat="1" ht="19.2" x14ac:dyDescent="0.3">
      <c r="A3435" s="359" t="s">
        <v>342</v>
      </c>
      <c r="B3435" s="602" t="s">
        <v>6263</v>
      </c>
      <c r="C3435" s="548" t="s">
        <v>6264</v>
      </c>
      <c r="D3435" s="598">
        <v>0.4</v>
      </c>
      <c r="E3435" s="528"/>
      <c r="F3435" s="523"/>
      <c r="G3435" s="393"/>
      <c r="H3435" s="394"/>
      <c r="I3435" s="394"/>
      <c r="J3435" s="394"/>
      <c r="K3435" s="394"/>
      <c r="L3435" s="394"/>
      <c r="M3435" s="394"/>
      <c r="N3435" s="394"/>
      <c r="O3435" s="394"/>
      <c r="P3435" s="394"/>
      <c r="Q3435" s="394"/>
      <c r="R3435" s="381"/>
      <c r="S3435" s="408"/>
      <c r="T3435" s="385"/>
      <c r="U3435" s="475"/>
      <c r="V3435" s="395"/>
      <c r="W3435" s="395"/>
      <c r="X3435" s="528"/>
      <c r="Y3435" s="523"/>
      <c r="Z3435" s="393"/>
      <c r="AA3435" s="394"/>
      <c r="AB3435" s="394"/>
      <c r="AC3435" s="394"/>
      <c r="AD3435" s="394"/>
      <c r="AE3435" s="394"/>
      <c r="AF3435" s="394"/>
      <c r="AG3435" s="394"/>
      <c r="AH3435" s="394"/>
      <c r="AI3435" s="394"/>
      <c r="AJ3435" s="394"/>
      <c r="AK3435" s="381"/>
      <c r="AL3435" s="408"/>
      <c r="AM3435" s="385"/>
      <c r="AN3435" s="475"/>
      <c r="AO3435" s="395"/>
      <c r="AP3435" s="395"/>
      <c r="AQ3435" s="528"/>
      <c r="AR3435" s="497">
        <v>1</v>
      </c>
      <c r="AS3435" s="393"/>
      <c r="AT3435" s="600">
        <v>19.747170000000001</v>
      </c>
      <c r="AU3435" s="394">
        <v>13.683529999999999</v>
      </c>
      <c r="AV3435" s="394">
        <v>10.085319999999999</v>
      </c>
      <c r="AW3435" s="394">
        <v>3.04217</v>
      </c>
      <c r="AX3435" s="394"/>
      <c r="AY3435" s="394">
        <v>0</v>
      </c>
      <c r="AZ3435" s="394">
        <v>0</v>
      </c>
      <c r="BA3435" s="394">
        <v>1.41361</v>
      </c>
      <c r="BB3435" s="394">
        <v>10.085319999999999</v>
      </c>
      <c r="BC3435" s="394">
        <v>1.01406</v>
      </c>
      <c r="BD3435" s="381" t="s">
        <v>167</v>
      </c>
      <c r="BE3435" s="408" t="s">
        <v>175</v>
      </c>
      <c r="BF3435" s="385"/>
      <c r="BG3435" s="475">
        <v>1321</v>
      </c>
      <c r="BH3435" s="395"/>
      <c r="BI3435" s="395">
        <f t="shared" si="1318"/>
        <v>19.747170000000001</v>
      </c>
    </row>
    <row r="3436" spans="1:61" s="358" customFormat="1" ht="19.2" x14ac:dyDescent="0.3">
      <c r="A3436" s="359" t="s">
        <v>343</v>
      </c>
      <c r="B3436" s="602" t="s">
        <v>314</v>
      </c>
      <c r="C3436" s="548" t="s">
        <v>6265</v>
      </c>
      <c r="D3436" s="598">
        <v>0.4</v>
      </c>
      <c r="E3436" s="528"/>
      <c r="F3436" s="523"/>
      <c r="G3436" s="393"/>
      <c r="H3436" s="394"/>
      <c r="I3436" s="394"/>
      <c r="J3436" s="394"/>
      <c r="K3436" s="394"/>
      <c r="L3436" s="394"/>
      <c r="M3436" s="394"/>
      <c r="N3436" s="394"/>
      <c r="O3436" s="394"/>
      <c r="P3436" s="394"/>
      <c r="Q3436" s="394"/>
      <c r="R3436" s="381"/>
      <c r="S3436" s="408"/>
      <c r="T3436" s="385"/>
      <c r="U3436" s="475"/>
      <c r="V3436" s="395"/>
      <c r="W3436" s="395"/>
      <c r="X3436" s="528"/>
      <c r="Y3436" s="523"/>
      <c r="Z3436" s="393"/>
      <c r="AA3436" s="394"/>
      <c r="AB3436" s="394"/>
      <c r="AC3436" s="394"/>
      <c r="AD3436" s="394"/>
      <c r="AE3436" s="394"/>
      <c r="AF3436" s="394"/>
      <c r="AG3436" s="394"/>
      <c r="AH3436" s="394"/>
      <c r="AI3436" s="394"/>
      <c r="AJ3436" s="394"/>
      <c r="AK3436" s="381"/>
      <c r="AL3436" s="408"/>
      <c r="AM3436" s="385"/>
      <c r="AN3436" s="475"/>
      <c r="AO3436" s="395"/>
      <c r="AP3436" s="395"/>
      <c r="AQ3436" s="528"/>
      <c r="AR3436" s="497">
        <v>1</v>
      </c>
      <c r="AS3436" s="393"/>
      <c r="AT3436" s="600">
        <v>19.98667</v>
      </c>
      <c r="AU3436" s="394">
        <v>13.923030000000001</v>
      </c>
      <c r="AV3436" s="394">
        <v>10.0853</v>
      </c>
      <c r="AW3436" s="394">
        <v>3.8259500000000002</v>
      </c>
      <c r="AX3436" s="394"/>
      <c r="AY3436" s="394">
        <v>0</v>
      </c>
      <c r="AZ3436" s="394">
        <v>0</v>
      </c>
      <c r="BA3436" s="394">
        <v>1.41361</v>
      </c>
      <c r="BB3436" s="394">
        <v>10.0853</v>
      </c>
      <c r="BC3436" s="394">
        <v>1.27532</v>
      </c>
      <c r="BD3436" s="381" t="s">
        <v>167</v>
      </c>
      <c r="BE3436" s="408" t="s">
        <v>175</v>
      </c>
      <c r="BF3436" s="385"/>
      <c r="BG3436" s="475">
        <v>1322</v>
      </c>
      <c r="BH3436" s="395"/>
      <c r="BI3436" s="395">
        <f t="shared" si="1318"/>
        <v>19.98667</v>
      </c>
    </row>
    <row r="3437" spans="1:61" s="358" customFormat="1" ht="19.2" x14ac:dyDescent="0.3">
      <c r="A3437" s="359" t="s">
        <v>344</v>
      </c>
      <c r="B3437" s="602" t="s">
        <v>4842</v>
      </c>
      <c r="C3437" s="548" t="s">
        <v>6266</v>
      </c>
      <c r="D3437" s="598">
        <v>0.4</v>
      </c>
      <c r="E3437" s="528"/>
      <c r="F3437" s="523"/>
      <c r="G3437" s="393"/>
      <c r="H3437" s="394"/>
      <c r="I3437" s="394"/>
      <c r="J3437" s="394"/>
      <c r="K3437" s="394"/>
      <c r="L3437" s="394"/>
      <c r="M3437" s="394"/>
      <c r="N3437" s="394"/>
      <c r="O3437" s="394"/>
      <c r="P3437" s="394"/>
      <c r="Q3437" s="394"/>
      <c r="R3437" s="381"/>
      <c r="S3437" s="408"/>
      <c r="T3437" s="385"/>
      <c r="U3437" s="475"/>
      <c r="V3437" s="395"/>
      <c r="W3437" s="395"/>
      <c r="X3437" s="528"/>
      <c r="Y3437" s="523"/>
      <c r="Z3437" s="393"/>
      <c r="AA3437" s="394"/>
      <c r="AB3437" s="394"/>
      <c r="AC3437" s="394"/>
      <c r="AD3437" s="394"/>
      <c r="AE3437" s="394"/>
      <c r="AF3437" s="394"/>
      <c r="AG3437" s="394"/>
      <c r="AH3437" s="394"/>
      <c r="AI3437" s="394"/>
      <c r="AJ3437" s="394"/>
      <c r="AK3437" s="381"/>
      <c r="AL3437" s="408"/>
      <c r="AM3437" s="385"/>
      <c r="AN3437" s="475"/>
      <c r="AO3437" s="395"/>
      <c r="AP3437" s="395"/>
      <c r="AQ3437" s="528"/>
      <c r="AR3437" s="497">
        <v>1</v>
      </c>
      <c r="AS3437" s="393"/>
      <c r="AT3437" s="600">
        <v>19.20288</v>
      </c>
      <c r="AU3437" s="394">
        <v>13.139239999999999</v>
      </c>
      <c r="AV3437" s="394">
        <v>10.0853</v>
      </c>
      <c r="AW3437" s="394">
        <v>3.0421800000000001</v>
      </c>
      <c r="AX3437" s="394"/>
      <c r="AY3437" s="394">
        <v>0</v>
      </c>
      <c r="AZ3437" s="394">
        <v>0</v>
      </c>
      <c r="BA3437" s="394">
        <v>1.41361</v>
      </c>
      <c r="BB3437" s="394">
        <v>10.0853</v>
      </c>
      <c r="BC3437" s="394">
        <v>1.01406</v>
      </c>
      <c r="BD3437" s="381" t="s">
        <v>167</v>
      </c>
      <c r="BE3437" s="408" t="s">
        <v>175</v>
      </c>
      <c r="BF3437" s="385"/>
      <c r="BG3437" s="475">
        <v>1323</v>
      </c>
      <c r="BH3437" s="395"/>
      <c r="BI3437" s="395">
        <f t="shared" si="1318"/>
        <v>19.20288</v>
      </c>
    </row>
    <row r="3438" spans="1:61" s="358" customFormat="1" ht="19.2" x14ac:dyDescent="0.3">
      <c r="A3438" s="359" t="s">
        <v>345</v>
      </c>
      <c r="B3438" s="602" t="s">
        <v>4831</v>
      </c>
      <c r="C3438" s="548" t="s">
        <v>4830</v>
      </c>
      <c r="D3438" s="598">
        <v>0.4</v>
      </c>
      <c r="E3438" s="528"/>
      <c r="F3438" s="523"/>
      <c r="G3438" s="393"/>
      <c r="H3438" s="394"/>
      <c r="I3438" s="394"/>
      <c r="J3438" s="394"/>
      <c r="K3438" s="394"/>
      <c r="L3438" s="394"/>
      <c r="M3438" s="394"/>
      <c r="N3438" s="394"/>
      <c r="O3438" s="394"/>
      <c r="P3438" s="394"/>
      <c r="Q3438" s="394"/>
      <c r="R3438" s="381"/>
      <c r="S3438" s="408"/>
      <c r="T3438" s="385"/>
      <c r="U3438" s="475"/>
      <c r="V3438" s="395"/>
      <c r="W3438" s="395"/>
      <c r="X3438" s="528"/>
      <c r="Y3438" s="523"/>
      <c r="Z3438" s="393"/>
      <c r="AA3438" s="394"/>
      <c r="AB3438" s="394"/>
      <c r="AC3438" s="394"/>
      <c r="AD3438" s="394"/>
      <c r="AE3438" s="394"/>
      <c r="AF3438" s="394"/>
      <c r="AG3438" s="394"/>
      <c r="AH3438" s="394"/>
      <c r="AI3438" s="394"/>
      <c r="AJ3438" s="394"/>
      <c r="AK3438" s="381"/>
      <c r="AL3438" s="408"/>
      <c r="AM3438" s="385"/>
      <c r="AN3438" s="475"/>
      <c r="AO3438" s="395"/>
      <c r="AP3438" s="395"/>
      <c r="AQ3438" s="528"/>
      <c r="AR3438" s="497">
        <v>1</v>
      </c>
      <c r="AS3438" s="393"/>
      <c r="AT3438" s="600">
        <v>27.315989999999999</v>
      </c>
      <c r="AU3438" s="394">
        <v>20.068069999999999</v>
      </c>
      <c r="AV3438" s="394">
        <v>10.09104</v>
      </c>
      <c r="AW3438" s="394">
        <v>2.9061300000000001</v>
      </c>
      <c r="AX3438" s="394"/>
      <c r="AY3438" s="394">
        <v>0</v>
      </c>
      <c r="AZ3438" s="394">
        <v>0</v>
      </c>
      <c r="BA3438" s="394">
        <v>1.6897</v>
      </c>
      <c r="BB3438" s="394">
        <v>10.09104</v>
      </c>
      <c r="BC3438" s="394">
        <v>0.96870999999999996</v>
      </c>
      <c r="BD3438" s="381" t="s">
        <v>167</v>
      </c>
      <c r="BE3438" s="408" t="s">
        <v>175</v>
      </c>
      <c r="BF3438" s="385"/>
      <c r="BG3438" s="475">
        <v>1324</v>
      </c>
      <c r="BH3438" s="395"/>
      <c r="BI3438" s="395">
        <f t="shared" si="1318"/>
        <v>27.315989999999999</v>
      </c>
    </row>
    <row r="3439" spans="1:61" s="358" customFormat="1" ht="19.2" x14ac:dyDescent="0.3">
      <c r="A3439" s="359" t="s">
        <v>346</v>
      </c>
      <c r="B3439" s="602" t="s">
        <v>2415</v>
      </c>
      <c r="C3439" s="548" t="s">
        <v>6267</v>
      </c>
      <c r="D3439" s="598">
        <v>0.4</v>
      </c>
      <c r="E3439" s="528"/>
      <c r="F3439" s="523"/>
      <c r="G3439" s="393"/>
      <c r="H3439" s="394"/>
      <c r="I3439" s="394"/>
      <c r="J3439" s="394"/>
      <c r="K3439" s="394"/>
      <c r="L3439" s="394"/>
      <c r="M3439" s="394"/>
      <c r="N3439" s="394"/>
      <c r="O3439" s="394"/>
      <c r="P3439" s="394"/>
      <c r="Q3439" s="394"/>
      <c r="R3439" s="381"/>
      <c r="S3439" s="408"/>
      <c r="T3439" s="385"/>
      <c r="U3439" s="475"/>
      <c r="V3439" s="395"/>
      <c r="W3439" s="395"/>
      <c r="X3439" s="528"/>
      <c r="Y3439" s="523"/>
      <c r="Z3439" s="393"/>
      <c r="AA3439" s="394"/>
      <c r="AB3439" s="394"/>
      <c r="AC3439" s="394"/>
      <c r="AD3439" s="394"/>
      <c r="AE3439" s="394"/>
      <c r="AF3439" s="394"/>
      <c r="AG3439" s="394"/>
      <c r="AH3439" s="394"/>
      <c r="AI3439" s="394"/>
      <c r="AJ3439" s="394"/>
      <c r="AK3439" s="381"/>
      <c r="AL3439" s="408"/>
      <c r="AM3439" s="385"/>
      <c r="AN3439" s="475"/>
      <c r="AO3439" s="395"/>
      <c r="AP3439" s="395"/>
      <c r="AQ3439" s="528"/>
      <c r="AR3439" s="497">
        <v>1</v>
      </c>
      <c r="AS3439" s="393"/>
      <c r="AT3439" s="600">
        <v>8.7151200000000006</v>
      </c>
      <c r="AU3439" s="394">
        <v>3.0539100000000001</v>
      </c>
      <c r="AV3439" s="394"/>
      <c r="AW3439" s="394">
        <v>3.0421800000000001</v>
      </c>
      <c r="AX3439" s="394"/>
      <c r="AY3439" s="394">
        <v>0</v>
      </c>
      <c r="AZ3439" s="394">
        <v>0</v>
      </c>
      <c r="BA3439" s="394">
        <v>1.31979</v>
      </c>
      <c r="BB3439" s="394"/>
      <c r="BC3439" s="394">
        <v>1.01406</v>
      </c>
      <c r="BD3439" s="381" t="s">
        <v>167</v>
      </c>
      <c r="BE3439" s="408" t="s">
        <v>175</v>
      </c>
      <c r="BF3439" s="385"/>
      <c r="BG3439" s="475">
        <v>1325</v>
      </c>
      <c r="BH3439" s="395"/>
      <c r="BI3439" s="395">
        <f t="shared" si="1318"/>
        <v>8.7151200000000006</v>
      </c>
    </row>
    <row r="3440" spans="1:61" s="358" customFormat="1" ht="19.2" x14ac:dyDescent="0.3">
      <c r="A3440" s="359" t="s">
        <v>347</v>
      </c>
      <c r="B3440" s="602" t="s">
        <v>6268</v>
      </c>
      <c r="C3440" s="548" t="s">
        <v>4855</v>
      </c>
      <c r="D3440" s="598">
        <v>0.4</v>
      </c>
      <c r="E3440" s="528"/>
      <c r="F3440" s="523"/>
      <c r="G3440" s="393"/>
      <c r="H3440" s="394"/>
      <c r="I3440" s="394"/>
      <c r="J3440" s="394"/>
      <c r="K3440" s="394"/>
      <c r="L3440" s="394"/>
      <c r="M3440" s="394"/>
      <c r="N3440" s="394"/>
      <c r="O3440" s="394"/>
      <c r="P3440" s="394"/>
      <c r="Q3440" s="394"/>
      <c r="R3440" s="381"/>
      <c r="S3440" s="408"/>
      <c r="T3440" s="385"/>
      <c r="U3440" s="475"/>
      <c r="V3440" s="395"/>
      <c r="W3440" s="395"/>
      <c r="X3440" s="528"/>
      <c r="Y3440" s="523"/>
      <c r="Z3440" s="393"/>
      <c r="AA3440" s="394"/>
      <c r="AB3440" s="394"/>
      <c r="AC3440" s="394"/>
      <c r="AD3440" s="394"/>
      <c r="AE3440" s="394"/>
      <c r="AF3440" s="394"/>
      <c r="AG3440" s="394"/>
      <c r="AH3440" s="394"/>
      <c r="AI3440" s="394"/>
      <c r="AJ3440" s="394"/>
      <c r="AK3440" s="381"/>
      <c r="AL3440" s="408"/>
      <c r="AM3440" s="385"/>
      <c r="AN3440" s="475"/>
      <c r="AO3440" s="395"/>
      <c r="AP3440" s="395"/>
      <c r="AQ3440" s="528"/>
      <c r="AR3440" s="497">
        <v>1</v>
      </c>
      <c r="AS3440" s="393"/>
      <c r="AT3440" s="600">
        <v>27.72512</v>
      </c>
      <c r="AU3440" s="394">
        <v>19.98124</v>
      </c>
      <c r="AV3440" s="394">
        <v>10.085330000000001</v>
      </c>
      <c r="AW3440" s="394">
        <v>2.9061300000000001</v>
      </c>
      <c r="AX3440" s="394"/>
      <c r="AY3440" s="394">
        <v>0</v>
      </c>
      <c r="AZ3440" s="394">
        <v>0</v>
      </c>
      <c r="BA3440" s="394">
        <v>1.80532</v>
      </c>
      <c r="BB3440" s="394">
        <v>10.085330000000001</v>
      </c>
      <c r="BC3440" s="394">
        <v>0.96870999999999996</v>
      </c>
      <c r="BD3440" s="381" t="s">
        <v>167</v>
      </c>
      <c r="BE3440" s="408" t="s">
        <v>175</v>
      </c>
      <c r="BF3440" s="385"/>
      <c r="BG3440" s="475">
        <v>1326</v>
      </c>
      <c r="BH3440" s="395"/>
      <c r="BI3440" s="395">
        <f t="shared" si="1318"/>
        <v>27.72512</v>
      </c>
    </row>
    <row r="3441" spans="1:61" s="358" customFormat="1" ht="19.2" x14ac:dyDescent="0.3">
      <c r="A3441" s="359" t="s">
        <v>348</v>
      </c>
      <c r="B3441" s="602" t="s">
        <v>6269</v>
      </c>
      <c r="C3441" s="548" t="s">
        <v>6270</v>
      </c>
      <c r="D3441" s="598">
        <v>0.4</v>
      </c>
      <c r="E3441" s="528"/>
      <c r="F3441" s="523"/>
      <c r="G3441" s="393"/>
      <c r="H3441" s="394"/>
      <c r="I3441" s="394"/>
      <c r="J3441" s="394"/>
      <c r="K3441" s="394"/>
      <c r="L3441" s="394"/>
      <c r="M3441" s="394"/>
      <c r="N3441" s="394"/>
      <c r="O3441" s="394"/>
      <c r="P3441" s="394"/>
      <c r="Q3441" s="394"/>
      <c r="R3441" s="381"/>
      <c r="S3441" s="408"/>
      <c r="T3441" s="385"/>
      <c r="U3441" s="475"/>
      <c r="V3441" s="395"/>
      <c r="W3441" s="395"/>
      <c r="X3441" s="528"/>
      <c r="Y3441" s="523"/>
      <c r="Z3441" s="393"/>
      <c r="AA3441" s="394"/>
      <c r="AB3441" s="394"/>
      <c r="AC3441" s="394"/>
      <c r="AD3441" s="394"/>
      <c r="AE3441" s="394"/>
      <c r="AF3441" s="394"/>
      <c r="AG3441" s="394"/>
      <c r="AH3441" s="394"/>
      <c r="AI3441" s="394"/>
      <c r="AJ3441" s="394"/>
      <c r="AK3441" s="381"/>
      <c r="AL3441" s="408"/>
      <c r="AM3441" s="385"/>
      <c r="AN3441" s="475"/>
      <c r="AO3441" s="395"/>
      <c r="AP3441" s="395"/>
      <c r="AQ3441" s="528"/>
      <c r="AR3441" s="497">
        <v>1</v>
      </c>
      <c r="AS3441" s="393"/>
      <c r="AT3441" s="600">
        <v>8.5734899999999996</v>
      </c>
      <c r="AU3441" s="394">
        <v>2.91228</v>
      </c>
      <c r="AV3441" s="394"/>
      <c r="AW3441" s="394">
        <v>2.9061300000000001</v>
      </c>
      <c r="AX3441" s="394"/>
      <c r="AY3441" s="394">
        <v>0</v>
      </c>
      <c r="AZ3441" s="394">
        <v>0</v>
      </c>
      <c r="BA3441" s="394">
        <v>1.31979</v>
      </c>
      <c r="BB3441" s="394"/>
      <c r="BC3441" s="394">
        <v>0.96870999999999996</v>
      </c>
      <c r="BD3441" s="381" t="s">
        <v>167</v>
      </c>
      <c r="BE3441" s="408" t="s">
        <v>175</v>
      </c>
      <c r="BF3441" s="385"/>
      <c r="BG3441" s="475">
        <v>1327</v>
      </c>
      <c r="BH3441" s="395"/>
      <c r="BI3441" s="395">
        <f t="shared" si="1318"/>
        <v>8.5734899999999996</v>
      </c>
    </row>
    <row r="3442" spans="1:61" s="358" customFormat="1" ht="19.2" x14ac:dyDescent="0.3">
      <c r="A3442" s="359" t="s">
        <v>349</v>
      </c>
      <c r="B3442" s="602" t="s">
        <v>6271</v>
      </c>
      <c r="C3442" s="548" t="s">
        <v>6272</v>
      </c>
      <c r="D3442" s="598">
        <v>0.4</v>
      </c>
      <c r="E3442" s="528"/>
      <c r="F3442" s="523"/>
      <c r="G3442" s="393"/>
      <c r="H3442" s="394"/>
      <c r="I3442" s="394"/>
      <c r="J3442" s="394"/>
      <c r="K3442" s="394"/>
      <c r="L3442" s="394"/>
      <c r="M3442" s="394"/>
      <c r="N3442" s="394"/>
      <c r="O3442" s="394"/>
      <c r="P3442" s="394"/>
      <c r="Q3442" s="394"/>
      <c r="R3442" s="381"/>
      <c r="S3442" s="408"/>
      <c r="T3442" s="385"/>
      <c r="U3442" s="475"/>
      <c r="V3442" s="395"/>
      <c r="W3442" s="395"/>
      <c r="X3442" s="528"/>
      <c r="Y3442" s="523"/>
      <c r="Z3442" s="393"/>
      <c r="AA3442" s="394"/>
      <c r="AB3442" s="394"/>
      <c r="AC3442" s="394"/>
      <c r="AD3442" s="394"/>
      <c r="AE3442" s="394"/>
      <c r="AF3442" s="394"/>
      <c r="AG3442" s="394"/>
      <c r="AH3442" s="394"/>
      <c r="AI3442" s="394"/>
      <c r="AJ3442" s="394"/>
      <c r="AK3442" s="381"/>
      <c r="AL3442" s="408"/>
      <c r="AM3442" s="385"/>
      <c r="AN3442" s="475"/>
      <c r="AO3442" s="395"/>
      <c r="AP3442" s="395"/>
      <c r="AQ3442" s="528"/>
      <c r="AR3442" s="497">
        <v>1</v>
      </c>
      <c r="AS3442" s="393"/>
      <c r="AT3442" s="600">
        <v>20.170729999999999</v>
      </c>
      <c r="AU3442" s="394">
        <v>14.107089999999999</v>
      </c>
      <c r="AV3442" s="394">
        <v>10.085319999999999</v>
      </c>
      <c r="AW3442" s="394">
        <v>4.0094700000000003</v>
      </c>
      <c r="AX3442" s="394"/>
      <c r="AY3442" s="394">
        <v>0</v>
      </c>
      <c r="AZ3442" s="394">
        <v>0</v>
      </c>
      <c r="BA3442" s="394">
        <v>1.41361</v>
      </c>
      <c r="BB3442" s="394">
        <v>10.085319999999999</v>
      </c>
      <c r="BC3442" s="394">
        <v>1.33649</v>
      </c>
      <c r="BD3442" s="381" t="s">
        <v>167</v>
      </c>
      <c r="BE3442" s="408" t="s">
        <v>175</v>
      </c>
      <c r="BF3442" s="385"/>
      <c r="BG3442" s="475">
        <v>1328</v>
      </c>
      <c r="BH3442" s="395"/>
      <c r="BI3442" s="395">
        <f t="shared" si="1318"/>
        <v>20.170729999999999</v>
      </c>
    </row>
    <row r="3443" spans="1:61" s="358" customFormat="1" ht="28.8" x14ac:dyDescent="0.3">
      <c r="A3443" s="359" t="s">
        <v>350</v>
      </c>
      <c r="B3443" s="602" t="s">
        <v>6273</v>
      </c>
      <c r="C3443" s="548" t="s">
        <v>6274</v>
      </c>
      <c r="D3443" s="598">
        <v>0.4</v>
      </c>
      <c r="E3443" s="528"/>
      <c r="F3443" s="523"/>
      <c r="G3443" s="393"/>
      <c r="H3443" s="394"/>
      <c r="I3443" s="394"/>
      <c r="J3443" s="394"/>
      <c r="K3443" s="394"/>
      <c r="L3443" s="394"/>
      <c r="M3443" s="394"/>
      <c r="N3443" s="394"/>
      <c r="O3443" s="394"/>
      <c r="P3443" s="394"/>
      <c r="Q3443" s="394"/>
      <c r="R3443" s="381"/>
      <c r="S3443" s="408"/>
      <c r="T3443" s="385"/>
      <c r="U3443" s="475"/>
      <c r="V3443" s="395"/>
      <c r="W3443" s="395"/>
      <c r="X3443" s="528"/>
      <c r="Y3443" s="523"/>
      <c r="Z3443" s="393"/>
      <c r="AA3443" s="394"/>
      <c r="AB3443" s="394"/>
      <c r="AC3443" s="394"/>
      <c r="AD3443" s="394"/>
      <c r="AE3443" s="394"/>
      <c r="AF3443" s="394"/>
      <c r="AG3443" s="394"/>
      <c r="AH3443" s="394"/>
      <c r="AI3443" s="394"/>
      <c r="AJ3443" s="394"/>
      <c r="AK3443" s="381"/>
      <c r="AL3443" s="408"/>
      <c r="AM3443" s="385"/>
      <c r="AN3443" s="475"/>
      <c r="AO3443" s="395"/>
      <c r="AP3443" s="395"/>
      <c r="AQ3443" s="528"/>
      <c r="AR3443" s="497">
        <v>1</v>
      </c>
      <c r="AS3443" s="393"/>
      <c r="AT3443" s="600">
        <v>19.56438</v>
      </c>
      <c r="AU3443" s="394">
        <v>13.50074</v>
      </c>
      <c r="AV3443" s="394">
        <v>10.085279999999999</v>
      </c>
      <c r="AW3443" s="394">
        <v>3.0421800000000001</v>
      </c>
      <c r="AX3443" s="394"/>
      <c r="AY3443" s="394">
        <v>0</v>
      </c>
      <c r="AZ3443" s="394">
        <v>0</v>
      </c>
      <c r="BA3443" s="394">
        <v>1.41361</v>
      </c>
      <c r="BB3443" s="394">
        <v>10.085279999999999</v>
      </c>
      <c r="BC3443" s="394">
        <v>1.01406</v>
      </c>
      <c r="BD3443" s="381" t="s">
        <v>167</v>
      </c>
      <c r="BE3443" s="408" t="s">
        <v>175</v>
      </c>
      <c r="BF3443" s="385"/>
      <c r="BG3443" s="475">
        <v>1329</v>
      </c>
      <c r="BH3443" s="395"/>
      <c r="BI3443" s="395">
        <f t="shared" si="1318"/>
        <v>19.56438</v>
      </c>
    </row>
    <row r="3444" spans="1:61" s="358" customFormat="1" ht="28.8" x14ac:dyDescent="0.3">
      <c r="A3444" s="359" t="s">
        <v>351</v>
      </c>
      <c r="B3444" s="602" t="s">
        <v>6273</v>
      </c>
      <c r="C3444" s="548" t="s">
        <v>6275</v>
      </c>
      <c r="D3444" s="598">
        <v>0.4</v>
      </c>
      <c r="E3444" s="528"/>
      <c r="F3444" s="523"/>
      <c r="G3444" s="393"/>
      <c r="H3444" s="394"/>
      <c r="I3444" s="394"/>
      <c r="J3444" s="394"/>
      <c r="K3444" s="394"/>
      <c r="L3444" s="394"/>
      <c r="M3444" s="394"/>
      <c r="N3444" s="394"/>
      <c r="O3444" s="394"/>
      <c r="P3444" s="394"/>
      <c r="Q3444" s="394"/>
      <c r="R3444" s="381"/>
      <c r="S3444" s="408"/>
      <c r="T3444" s="385"/>
      <c r="U3444" s="475"/>
      <c r="V3444" s="395"/>
      <c r="W3444" s="395"/>
      <c r="X3444" s="528"/>
      <c r="Y3444" s="523"/>
      <c r="Z3444" s="393"/>
      <c r="AA3444" s="394"/>
      <c r="AB3444" s="394"/>
      <c r="AC3444" s="394"/>
      <c r="AD3444" s="394"/>
      <c r="AE3444" s="394"/>
      <c r="AF3444" s="394"/>
      <c r="AG3444" s="394"/>
      <c r="AH3444" s="394"/>
      <c r="AI3444" s="394"/>
      <c r="AJ3444" s="394"/>
      <c r="AK3444" s="381"/>
      <c r="AL3444" s="408"/>
      <c r="AM3444" s="385"/>
      <c r="AN3444" s="475"/>
      <c r="AO3444" s="395"/>
      <c r="AP3444" s="395"/>
      <c r="AQ3444" s="528"/>
      <c r="AR3444" s="497">
        <v>1</v>
      </c>
      <c r="AS3444" s="393"/>
      <c r="AT3444" s="600">
        <v>19.74484</v>
      </c>
      <c r="AU3444" s="394">
        <v>13.6812</v>
      </c>
      <c r="AV3444" s="394">
        <v>10.085279999999999</v>
      </c>
      <c r="AW3444" s="394">
        <v>3.0421800000000001</v>
      </c>
      <c r="AX3444" s="394"/>
      <c r="AY3444" s="394">
        <v>0</v>
      </c>
      <c r="AZ3444" s="394">
        <v>0</v>
      </c>
      <c r="BA3444" s="394">
        <v>1.41361</v>
      </c>
      <c r="BB3444" s="394">
        <v>10.085279999999999</v>
      </c>
      <c r="BC3444" s="394">
        <v>1.01406</v>
      </c>
      <c r="BD3444" s="381" t="s">
        <v>167</v>
      </c>
      <c r="BE3444" s="408" t="s">
        <v>175</v>
      </c>
      <c r="BF3444" s="385"/>
      <c r="BG3444" s="475">
        <v>1330</v>
      </c>
      <c r="BH3444" s="395"/>
      <c r="BI3444" s="395">
        <f t="shared" si="1318"/>
        <v>19.74484</v>
      </c>
    </row>
    <row r="3445" spans="1:61" s="358" customFormat="1" ht="19.2" x14ac:dyDescent="0.3">
      <c r="A3445" s="359" t="s">
        <v>352</v>
      </c>
      <c r="B3445" s="602" t="s">
        <v>6276</v>
      </c>
      <c r="C3445" s="548" t="s">
        <v>6277</v>
      </c>
      <c r="D3445" s="598">
        <v>0.4</v>
      </c>
      <c r="E3445" s="528"/>
      <c r="F3445" s="523"/>
      <c r="G3445" s="393"/>
      <c r="H3445" s="394"/>
      <c r="I3445" s="394"/>
      <c r="J3445" s="394"/>
      <c r="K3445" s="394"/>
      <c r="L3445" s="394"/>
      <c r="M3445" s="394"/>
      <c r="N3445" s="394"/>
      <c r="O3445" s="394"/>
      <c r="P3445" s="394"/>
      <c r="Q3445" s="394"/>
      <c r="R3445" s="381"/>
      <c r="S3445" s="408"/>
      <c r="T3445" s="385"/>
      <c r="U3445" s="475"/>
      <c r="V3445" s="395"/>
      <c r="W3445" s="395"/>
      <c r="X3445" s="528"/>
      <c r="Y3445" s="523"/>
      <c r="Z3445" s="393"/>
      <c r="AA3445" s="394"/>
      <c r="AB3445" s="394"/>
      <c r="AC3445" s="394"/>
      <c r="AD3445" s="394"/>
      <c r="AE3445" s="394"/>
      <c r="AF3445" s="394"/>
      <c r="AG3445" s="394"/>
      <c r="AH3445" s="394"/>
      <c r="AI3445" s="394"/>
      <c r="AJ3445" s="394"/>
      <c r="AK3445" s="381"/>
      <c r="AL3445" s="408"/>
      <c r="AM3445" s="385"/>
      <c r="AN3445" s="475"/>
      <c r="AO3445" s="395"/>
      <c r="AP3445" s="395"/>
      <c r="AQ3445" s="528"/>
      <c r="AR3445" s="497">
        <v>1</v>
      </c>
      <c r="AS3445" s="393"/>
      <c r="AT3445" s="600">
        <v>27.15814</v>
      </c>
      <c r="AU3445" s="394">
        <v>19.910219999999999</v>
      </c>
      <c r="AV3445" s="394">
        <v>10.085330000000001</v>
      </c>
      <c r="AW3445" s="394">
        <v>4.0094700000000003</v>
      </c>
      <c r="AX3445" s="394"/>
      <c r="AY3445" s="394">
        <v>0</v>
      </c>
      <c r="AZ3445" s="394">
        <v>0</v>
      </c>
      <c r="BA3445" s="394">
        <v>1.6897</v>
      </c>
      <c r="BB3445" s="394">
        <v>10.085330000000001</v>
      </c>
      <c r="BC3445" s="394">
        <v>1.33649</v>
      </c>
      <c r="BD3445" s="381" t="s">
        <v>167</v>
      </c>
      <c r="BE3445" s="408" t="s">
        <v>175</v>
      </c>
      <c r="BF3445" s="385"/>
      <c r="BG3445" s="475">
        <v>1331</v>
      </c>
      <c r="BH3445" s="395"/>
      <c r="BI3445" s="395">
        <f t="shared" si="1318"/>
        <v>27.15814</v>
      </c>
    </row>
    <row r="3446" spans="1:61" s="358" customFormat="1" ht="19.2" x14ac:dyDescent="0.3">
      <c r="A3446" s="359" t="s">
        <v>353</v>
      </c>
      <c r="B3446" s="602" t="s">
        <v>6278</v>
      </c>
      <c r="C3446" s="548" t="s">
        <v>6279</v>
      </c>
      <c r="D3446" s="598">
        <v>0.4</v>
      </c>
      <c r="E3446" s="528"/>
      <c r="F3446" s="523"/>
      <c r="G3446" s="393"/>
      <c r="H3446" s="394"/>
      <c r="I3446" s="394"/>
      <c r="J3446" s="394"/>
      <c r="K3446" s="394"/>
      <c r="L3446" s="394"/>
      <c r="M3446" s="394"/>
      <c r="N3446" s="394"/>
      <c r="O3446" s="394"/>
      <c r="P3446" s="394"/>
      <c r="Q3446" s="394"/>
      <c r="R3446" s="381"/>
      <c r="S3446" s="408"/>
      <c r="T3446" s="385"/>
      <c r="U3446" s="475"/>
      <c r="V3446" s="395"/>
      <c r="W3446" s="395"/>
      <c r="X3446" s="528"/>
      <c r="Y3446" s="523"/>
      <c r="Z3446" s="393"/>
      <c r="AA3446" s="394"/>
      <c r="AB3446" s="394"/>
      <c r="AC3446" s="394"/>
      <c r="AD3446" s="394"/>
      <c r="AE3446" s="394"/>
      <c r="AF3446" s="394"/>
      <c r="AG3446" s="394"/>
      <c r="AH3446" s="394"/>
      <c r="AI3446" s="394"/>
      <c r="AJ3446" s="394"/>
      <c r="AK3446" s="381"/>
      <c r="AL3446" s="408"/>
      <c r="AM3446" s="385"/>
      <c r="AN3446" s="475"/>
      <c r="AO3446" s="395"/>
      <c r="AP3446" s="395"/>
      <c r="AQ3446" s="528"/>
      <c r="AR3446" s="497">
        <v>1</v>
      </c>
      <c r="AS3446" s="393"/>
      <c r="AT3446" s="600">
        <v>19.744859999999999</v>
      </c>
      <c r="AU3446" s="394">
        <v>13.68122</v>
      </c>
      <c r="AV3446" s="394">
        <v>10.085279999999999</v>
      </c>
      <c r="AW3446" s="394">
        <v>3.0421800000000001</v>
      </c>
      <c r="AX3446" s="394"/>
      <c r="AY3446" s="394">
        <v>0</v>
      </c>
      <c r="AZ3446" s="394">
        <v>0</v>
      </c>
      <c r="BA3446" s="394">
        <v>1.41361</v>
      </c>
      <c r="BB3446" s="394">
        <v>10.085279999999999</v>
      </c>
      <c r="BC3446" s="394">
        <v>1.01406</v>
      </c>
      <c r="BD3446" s="381" t="s">
        <v>167</v>
      </c>
      <c r="BE3446" s="408" t="s">
        <v>175</v>
      </c>
      <c r="BF3446" s="385"/>
      <c r="BG3446" s="475">
        <v>1332</v>
      </c>
      <c r="BH3446" s="395"/>
      <c r="BI3446" s="395">
        <f t="shared" si="1318"/>
        <v>19.744859999999999</v>
      </c>
    </row>
    <row r="3447" spans="1:61" s="358" customFormat="1" ht="19.2" x14ac:dyDescent="0.3">
      <c r="A3447" s="359" t="s">
        <v>354</v>
      </c>
      <c r="B3447" s="602" t="s">
        <v>4888</v>
      </c>
      <c r="C3447" s="548" t="s">
        <v>4887</v>
      </c>
      <c r="D3447" s="598">
        <v>0.4</v>
      </c>
      <c r="E3447" s="528"/>
      <c r="F3447" s="523"/>
      <c r="G3447" s="393"/>
      <c r="H3447" s="394"/>
      <c r="I3447" s="394"/>
      <c r="J3447" s="394"/>
      <c r="K3447" s="394"/>
      <c r="L3447" s="394"/>
      <c r="M3447" s="394"/>
      <c r="N3447" s="394"/>
      <c r="O3447" s="394"/>
      <c r="P3447" s="394"/>
      <c r="Q3447" s="394"/>
      <c r="R3447" s="381"/>
      <c r="S3447" s="408"/>
      <c r="T3447" s="385"/>
      <c r="U3447" s="475"/>
      <c r="V3447" s="395"/>
      <c r="W3447" s="395"/>
      <c r="X3447" s="528"/>
      <c r="Y3447" s="523"/>
      <c r="Z3447" s="393"/>
      <c r="AA3447" s="394"/>
      <c r="AB3447" s="394"/>
      <c r="AC3447" s="394"/>
      <c r="AD3447" s="394"/>
      <c r="AE3447" s="394"/>
      <c r="AF3447" s="394"/>
      <c r="AG3447" s="394"/>
      <c r="AH3447" s="394"/>
      <c r="AI3447" s="394"/>
      <c r="AJ3447" s="394"/>
      <c r="AK3447" s="381"/>
      <c r="AL3447" s="408"/>
      <c r="AM3447" s="385"/>
      <c r="AN3447" s="475"/>
      <c r="AO3447" s="395"/>
      <c r="AP3447" s="395"/>
      <c r="AQ3447" s="528"/>
      <c r="AR3447" s="497">
        <v>1</v>
      </c>
      <c r="AS3447" s="393"/>
      <c r="AT3447" s="600">
        <v>40.632800000000003</v>
      </c>
      <c r="AU3447" s="394">
        <v>29.861139999999999</v>
      </c>
      <c r="AV3447" s="394">
        <v>10.925420000000001</v>
      </c>
      <c r="AW3447" s="394">
        <v>3.0421800000000001</v>
      </c>
      <c r="AX3447" s="394"/>
      <c r="AY3447" s="394">
        <v>0</v>
      </c>
      <c r="AZ3447" s="394">
        <v>0</v>
      </c>
      <c r="BA3447" s="394">
        <v>2.51118</v>
      </c>
      <c r="BB3447" s="394">
        <v>10.925420000000001</v>
      </c>
      <c r="BC3447" s="394">
        <v>1.01406</v>
      </c>
      <c r="BD3447" s="381" t="s">
        <v>167</v>
      </c>
      <c r="BE3447" s="408" t="s">
        <v>175</v>
      </c>
      <c r="BF3447" s="385"/>
      <c r="BG3447" s="475">
        <v>1333</v>
      </c>
      <c r="BH3447" s="395"/>
      <c r="BI3447" s="395">
        <f t="shared" si="1318"/>
        <v>40.632800000000003</v>
      </c>
    </row>
    <row r="3448" spans="1:61" s="358" customFormat="1" ht="19.2" x14ac:dyDescent="0.3">
      <c r="A3448" s="359" t="s">
        <v>355</v>
      </c>
      <c r="B3448" s="602" t="s">
        <v>6280</v>
      </c>
      <c r="C3448" s="548" t="s">
        <v>6281</v>
      </c>
      <c r="D3448" s="598">
        <v>0.4</v>
      </c>
      <c r="E3448" s="528"/>
      <c r="F3448" s="523"/>
      <c r="G3448" s="393"/>
      <c r="H3448" s="394"/>
      <c r="I3448" s="394"/>
      <c r="J3448" s="394"/>
      <c r="K3448" s="394"/>
      <c r="L3448" s="394"/>
      <c r="M3448" s="394"/>
      <c r="N3448" s="394"/>
      <c r="O3448" s="394"/>
      <c r="P3448" s="394"/>
      <c r="Q3448" s="394"/>
      <c r="R3448" s="381"/>
      <c r="S3448" s="408"/>
      <c r="T3448" s="385"/>
      <c r="U3448" s="475"/>
      <c r="V3448" s="395"/>
      <c r="W3448" s="395"/>
      <c r="X3448" s="528"/>
      <c r="Y3448" s="523"/>
      <c r="Z3448" s="393"/>
      <c r="AA3448" s="394"/>
      <c r="AB3448" s="394"/>
      <c r="AC3448" s="394"/>
      <c r="AD3448" s="394"/>
      <c r="AE3448" s="394"/>
      <c r="AF3448" s="394"/>
      <c r="AG3448" s="394"/>
      <c r="AH3448" s="394"/>
      <c r="AI3448" s="394"/>
      <c r="AJ3448" s="394"/>
      <c r="AK3448" s="381"/>
      <c r="AL3448" s="408"/>
      <c r="AM3448" s="385"/>
      <c r="AN3448" s="475"/>
      <c r="AO3448" s="395"/>
      <c r="AP3448" s="395"/>
      <c r="AQ3448" s="528"/>
      <c r="AR3448" s="497">
        <v>1</v>
      </c>
      <c r="AS3448" s="393"/>
      <c r="AT3448" s="600">
        <v>29.719470000000001</v>
      </c>
      <c r="AU3448" s="394">
        <v>21.727609999999999</v>
      </c>
      <c r="AV3448" s="394">
        <v>11.17449</v>
      </c>
      <c r="AW3448" s="394">
        <v>2.95872</v>
      </c>
      <c r="AX3448" s="394"/>
      <c r="AY3448" s="394">
        <v>0</v>
      </c>
      <c r="AZ3448" s="394">
        <v>0</v>
      </c>
      <c r="BA3448" s="394">
        <v>1.86313</v>
      </c>
      <c r="BB3448" s="394">
        <v>11.17449</v>
      </c>
      <c r="BC3448" s="394">
        <v>0.98624000000000001</v>
      </c>
      <c r="BD3448" s="381" t="s">
        <v>167</v>
      </c>
      <c r="BE3448" s="408" t="s">
        <v>175</v>
      </c>
      <c r="BF3448" s="385"/>
      <c r="BG3448" s="475">
        <v>1335</v>
      </c>
      <c r="BH3448" s="395"/>
      <c r="BI3448" s="395">
        <f t="shared" si="1318"/>
        <v>29.719470000000001</v>
      </c>
    </row>
    <row r="3449" spans="1:61" s="358" customFormat="1" ht="19.2" x14ac:dyDescent="0.3">
      <c r="A3449" s="359" t="s">
        <v>356</v>
      </c>
      <c r="B3449" s="602" t="s">
        <v>6282</v>
      </c>
      <c r="C3449" s="548" t="s">
        <v>6283</v>
      </c>
      <c r="D3449" s="598">
        <v>0.4</v>
      </c>
      <c r="E3449" s="528"/>
      <c r="F3449" s="523"/>
      <c r="G3449" s="393"/>
      <c r="H3449" s="394"/>
      <c r="I3449" s="394"/>
      <c r="J3449" s="394"/>
      <c r="K3449" s="394"/>
      <c r="L3449" s="394"/>
      <c r="M3449" s="394"/>
      <c r="N3449" s="394"/>
      <c r="O3449" s="394"/>
      <c r="P3449" s="394"/>
      <c r="Q3449" s="394"/>
      <c r="R3449" s="381"/>
      <c r="S3449" s="408"/>
      <c r="T3449" s="385"/>
      <c r="U3449" s="475"/>
      <c r="V3449" s="395"/>
      <c r="W3449" s="395"/>
      <c r="X3449" s="528"/>
      <c r="Y3449" s="523"/>
      <c r="Z3449" s="393"/>
      <c r="AA3449" s="394"/>
      <c r="AB3449" s="394"/>
      <c r="AC3449" s="394"/>
      <c r="AD3449" s="394"/>
      <c r="AE3449" s="394"/>
      <c r="AF3449" s="394"/>
      <c r="AG3449" s="394"/>
      <c r="AH3449" s="394"/>
      <c r="AI3449" s="394"/>
      <c r="AJ3449" s="394"/>
      <c r="AK3449" s="381"/>
      <c r="AL3449" s="408"/>
      <c r="AM3449" s="385"/>
      <c r="AN3449" s="475"/>
      <c r="AO3449" s="395"/>
      <c r="AP3449" s="395"/>
      <c r="AQ3449" s="528"/>
      <c r="AR3449" s="497">
        <v>1</v>
      </c>
      <c r="AS3449" s="393"/>
      <c r="AT3449" s="600">
        <v>28.75996</v>
      </c>
      <c r="AU3449" s="394">
        <v>21.512039999999999</v>
      </c>
      <c r="AV3449" s="394">
        <v>11.08601</v>
      </c>
      <c r="AW3449" s="394">
        <v>2.9061300000000001</v>
      </c>
      <c r="AX3449" s="394"/>
      <c r="AY3449" s="394">
        <v>0</v>
      </c>
      <c r="AZ3449" s="394">
        <v>0</v>
      </c>
      <c r="BA3449" s="394">
        <v>1.6897</v>
      </c>
      <c r="BB3449" s="394">
        <v>11.08601</v>
      </c>
      <c r="BC3449" s="394">
        <v>0.96870999999999996</v>
      </c>
      <c r="BD3449" s="381" t="s">
        <v>167</v>
      </c>
      <c r="BE3449" s="408" t="s">
        <v>175</v>
      </c>
      <c r="BF3449" s="385"/>
      <c r="BG3449" s="475">
        <v>1336</v>
      </c>
      <c r="BH3449" s="395"/>
      <c r="BI3449" s="395">
        <f t="shared" si="1318"/>
        <v>28.75996</v>
      </c>
    </row>
    <row r="3450" spans="1:61" s="358" customFormat="1" ht="19.2" x14ac:dyDescent="0.3">
      <c r="A3450" s="359" t="s">
        <v>357</v>
      </c>
      <c r="B3450" s="602" t="s">
        <v>4872</v>
      </c>
      <c r="C3450" s="548" t="s">
        <v>4871</v>
      </c>
      <c r="D3450" s="598">
        <v>0.4</v>
      </c>
      <c r="E3450" s="528"/>
      <c r="F3450" s="523"/>
      <c r="G3450" s="393"/>
      <c r="H3450" s="394"/>
      <c r="I3450" s="394"/>
      <c r="J3450" s="394"/>
      <c r="K3450" s="394"/>
      <c r="L3450" s="394"/>
      <c r="M3450" s="394"/>
      <c r="N3450" s="394"/>
      <c r="O3450" s="394"/>
      <c r="P3450" s="394"/>
      <c r="Q3450" s="394"/>
      <c r="R3450" s="381"/>
      <c r="S3450" s="408"/>
      <c r="T3450" s="385"/>
      <c r="U3450" s="475"/>
      <c r="V3450" s="395"/>
      <c r="W3450" s="395"/>
      <c r="X3450" s="528"/>
      <c r="Y3450" s="523"/>
      <c r="Z3450" s="393"/>
      <c r="AA3450" s="394"/>
      <c r="AB3450" s="394"/>
      <c r="AC3450" s="394"/>
      <c r="AD3450" s="394"/>
      <c r="AE3450" s="394"/>
      <c r="AF3450" s="394"/>
      <c r="AG3450" s="394"/>
      <c r="AH3450" s="394"/>
      <c r="AI3450" s="394"/>
      <c r="AJ3450" s="394"/>
      <c r="AK3450" s="381"/>
      <c r="AL3450" s="408"/>
      <c r="AM3450" s="385"/>
      <c r="AN3450" s="475"/>
      <c r="AO3450" s="395"/>
      <c r="AP3450" s="395"/>
      <c r="AQ3450" s="528"/>
      <c r="AR3450" s="497">
        <v>1</v>
      </c>
      <c r="AS3450" s="393"/>
      <c r="AT3450" s="600">
        <v>28.411940000000001</v>
      </c>
      <c r="AU3450" s="394">
        <v>20.420079999999999</v>
      </c>
      <c r="AV3450" s="394">
        <v>11.17449</v>
      </c>
      <c r="AW3450" s="394">
        <v>3.29772</v>
      </c>
      <c r="AX3450" s="394"/>
      <c r="AY3450" s="394">
        <v>0</v>
      </c>
      <c r="AZ3450" s="394">
        <v>0</v>
      </c>
      <c r="BA3450" s="394">
        <v>1.86313</v>
      </c>
      <c r="BB3450" s="394">
        <v>11.17449</v>
      </c>
      <c r="BC3450" s="394">
        <v>1.09924</v>
      </c>
      <c r="BD3450" s="381" t="s">
        <v>167</v>
      </c>
      <c r="BE3450" s="408" t="s">
        <v>175</v>
      </c>
      <c r="BF3450" s="385"/>
      <c r="BG3450" s="475">
        <v>1337</v>
      </c>
      <c r="BH3450" s="395"/>
      <c r="BI3450" s="395">
        <f t="shared" si="1318"/>
        <v>28.411940000000001</v>
      </c>
    </row>
    <row r="3451" spans="1:61" s="358" customFormat="1" ht="19.2" x14ac:dyDescent="0.3">
      <c r="A3451" s="359" t="s">
        <v>358</v>
      </c>
      <c r="B3451" s="602" t="s">
        <v>4270</v>
      </c>
      <c r="C3451" s="548" t="s">
        <v>3414</v>
      </c>
      <c r="D3451" s="598">
        <v>0.4</v>
      </c>
      <c r="E3451" s="528"/>
      <c r="F3451" s="523"/>
      <c r="G3451" s="393"/>
      <c r="H3451" s="394"/>
      <c r="I3451" s="394"/>
      <c r="J3451" s="394"/>
      <c r="K3451" s="394"/>
      <c r="L3451" s="394"/>
      <c r="M3451" s="394"/>
      <c r="N3451" s="394"/>
      <c r="O3451" s="394"/>
      <c r="P3451" s="394"/>
      <c r="Q3451" s="394"/>
      <c r="R3451" s="381"/>
      <c r="S3451" s="408"/>
      <c r="T3451" s="385"/>
      <c r="U3451" s="475"/>
      <c r="V3451" s="395"/>
      <c r="W3451" s="395"/>
      <c r="X3451" s="528"/>
      <c r="Y3451" s="523"/>
      <c r="Z3451" s="393"/>
      <c r="AA3451" s="394"/>
      <c r="AB3451" s="394"/>
      <c r="AC3451" s="394"/>
      <c r="AD3451" s="394"/>
      <c r="AE3451" s="394"/>
      <c r="AF3451" s="394"/>
      <c r="AG3451" s="394"/>
      <c r="AH3451" s="394"/>
      <c r="AI3451" s="394"/>
      <c r="AJ3451" s="394"/>
      <c r="AK3451" s="381"/>
      <c r="AL3451" s="408"/>
      <c r="AM3451" s="385"/>
      <c r="AN3451" s="475"/>
      <c r="AO3451" s="395"/>
      <c r="AP3451" s="395"/>
      <c r="AQ3451" s="528"/>
      <c r="AR3451" s="497">
        <v>1</v>
      </c>
      <c r="AS3451" s="393"/>
      <c r="AT3451" s="600">
        <v>43.579250000000002</v>
      </c>
      <c r="AU3451" s="394">
        <v>31.45196</v>
      </c>
      <c r="AV3451" s="394">
        <v>22.348939999999999</v>
      </c>
      <c r="AW3451" s="394">
        <v>7.9159199999999998</v>
      </c>
      <c r="AX3451" s="394"/>
      <c r="AY3451" s="394">
        <v>0</v>
      </c>
      <c r="AZ3451" s="394">
        <v>0</v>
      </c>
      <c r="BA3451" s="394">
        <v>2.8272200000000001</v>
      </c>
      <c r="BB3451" s="394">
        <v>11.174469999999999</v>
      </c>
      <c r="BC3451" s="394">
        <v>1.3293200000000001</v>
      </c>
      <c r="BD3451" s="381" t="s">
        <v>167</v>
      </c>
      <c r="BE3451" s="408" t="s">
        <v>175</v>
      </c>
      <c r="BF3451" s="385"/>
      <c r="BG3451" s="475">
        <v>1338</v>
      </c>
      <c r="BH3451" s="395"/>
      <c r="BI3451" s="395">
        <f t="shared" si="1318"/>
        <v>43.579250000000002</v>
      </c>
    </row>
    <row r="3452" spans="1:61" s="358" customFormat="1" ht="19.2" x14ac:dyDescent="0.3">
      <c r="A3452" s="359" t="s">
        <v>359</v>
      </c>
      <c r="B3452" s="602" t="s">
        <v>1615</v>
      </c>
      <c r="C3452" s="548" t="s">
        <v>6284</v>
      </c>
      <c r="D3452" s="598">
        <v>0.4</v>
      </c>
      <c r="E3452" s="528"/>
      <c r="F3452" s="523"/>
      <c r="G3452" s="393"/>
      <c r="H3452" s="394"/>
      <c r="I3452" s="394"/>
      <c r="J3452" s="394"/>
      <c r="K3452" s="394"/>
      <c r="L3452" s="394"/>
      <c r="M3452" s="394"/>
      <c r="N3452" s="394"/>
      <c r="O3452" s="394"/>
      <c r="P3452" s="394"/>
      <c r="Q3452" s="394"/>
      <c r="R3452" s="381"/>
      <c r="S3452" s="408"/>
      <c r="T3452" s="385"/>
      <c r="U3452" s="475"/>
      <c r="V3452" s="395"/>
      <c r="W3452" s="395"/>
      <c r="X3452" s="528"/>
      <c r="Y3452" s="523"/>
      <c r="Z3452" s="393"/>
      <c r="AA3452" s="394"/>
      <c r="AB3452" s="394"/>
      <c r="AC3452" s="394"/>
      <c r="AD3452" s="394"/>
      <c r="AE3452" s="394"/>
      <c r="AF3452" s="394"/>
      <c r="AG3452" s="394"/>
      <c r="AH3452" s="394"/>
      <c r="AI3452" s="394"/>
      <c r="AJ3452" s="394"/>
      <c r="AK3452" s="381"/>
      <c r="AL3452" s="408"/>
      <c r="AM3452" s="385"/>
      <c r="AN3452" s="475"/>
      <c r="AO3452" s="395"/>
      <c r="AP3452" s="395"/>
      <c r="AQ3452" s="528"/>
      <c r="AR3452" s="497">
        <v>1</v>
      </c>
      <c r="AS3452" s="393"/>
      <c r="AT3452" s="600">
        <v>28.896190000000001</v>
      </c>
      <c r="AU3452" s="394">
        <v>20.904330000000002</v>
      </c>
      <c r="AV3452" s="394">
        <v>11.17449</v>
      </c>
      <c r="AW3452" s="394">
        <v>2.95872</v>
      </c>
      <c r="AX3452" s="394"/>
      <c r="AY3452" s="394">
        <v>0</v>
      </c>
      <c r="AZ3452" s="394">
        <v>0</v>
      </c>
      <c r="BA3452" s="394">
        <v>1.86313</v>
      </c>
      <c r="BB3452" s="394">
        <v>11.17449</v>
      </c>
      <c r="BC3452" s="394">
        <v>0.98624000000000001</v>
      </c>
      <c r="BD3452" s="381" t="s">
        <v>167</v>
      </c>
      <c r="BE3452" s="408" t="s">
        <v>175</v>
      </c>
      <c r="BF3452" s="385"/>
      <c r="BG3452" s="475">
        <v>1339</v>
      </c>
      <c r="BH3452" s="395"/>
      <c r="BI3452" s="395">
        <f t="shared" si="1318"/>
        <v>28.896190000000001</v>
      </c>
    </row>
    <row r="3453" spans="1:61" s="358" customFormat="1" ht="19.2" x14ac:dyDescent="0.3">
      <c r="A3453" s="359" t="s">
        <v>360</v>
      </c>
      <c r="B3453" s="602" t="s">
        <v>6285</v>
      </c>
      <c r="C3453" s="548" t="s">
        <v>6286</v>
      </c>
      <c r="D3453" s="598">
        <v>0.4</v>
      </c>
      <c r="E3453" s="528"/>
      <c r="F3453" s="523"/>
      <c r="G3453" s="393"/>
      <c r="H3453" s="394"/>
      <c r="I3453" s="394"/>
      <c r="J3453" s="394"/>
      <c r="K3453" s="394"/>
      <c r="L3453" s="394"/>
      <c r="M3453" s="394"/>
      <c r="N3453" s="394"/>
      <c r="O3453" s="394"/>
      <c r="P3453" s="394"/>
      <c r="Q3453" s="394"/>
      <c r="R3453" s="381"/>
      <c r="S3453" s="408"/>
      <c r="T3453" s="385"/>
      <c r="U3453" s="475"/>
      <c r="V3453" s="395"/>
      <c r="W3453" s="395"/>
      <c r="X3453" s="528"/>
      <c r="Y3453" s="523"/>
      <c r="Z3453" s="393"/>
      <c r="AA3453" s="394"/>
      <c r="AB3453" s="394"/>
      <c r="AC3453" s="394"/>
      <c r="AD3453" s="394"/>
      <c r="AE3453" s="394"/>
      <c r="AF3453" s="394"/>
      <c r="AG3453" s="394"/>
      <c r="AH3453" s="394"/>
      <c r="AI3453" s="394"/>
      <c r="AJ3453" s="394"/>
      <c r="AK3453" s="381"/>
      <c r="AL3453" s="408"/>
      <c r="AM3453" s="385"/>
      <c r="AN3453" s="475"/>
      <c r="AO3453" s="395"/>
      <c r="AP3453" s="395"/>
      <c r="AQ3453" s="528"/>
      <c r="AR3453" s="497">
        <v>1</v>
      </c>
      <c r="AS3453" s="393"/>
      <c r="AT3453" s="600">
        <v>20.944130000000001</v>
      </c>
      <c r="AU3453" s="394">
        <v>14.88049</v>
      </c>
      <c r="AV3453" s="394">
        <v>11.174469999999999</v>
      </c>
      <c r="AW3453" s="394">
        <v>2.95872</v>
      </c>
      <c r="AX3453" s="394"/>
      <c r="AY3453" s="394">
        <v>0</v>
      </c>
      <c r="AZ3453" s="394">
        <v>0</v>
      </c>
      <c r="BA3453" s="394">
        <v>1.41361</v>
      </c>
      <c r="BB3453" s="394">
        <v>11.174469999999999</v>
      </c>
      <c r="BC3453" s="394">
        <v>0.98624000000000001</v>
      </c>
      <c r="BD3453" s="381" t="s">
        <v>167</v>
      </c>
      <c r="BE3453" s="408" t="s">
        <v>175</v>
      </c>
      <c r="BF3453" s="385"/>
      <c r="BG3453" s="475">
        <v>1340</v>
      </c>
      <c r="BH3453" s="395"/>
      <c r="BI3453" s="395">
        <f t="shared" ref="BI3453" si="1333">AT3453/AR3453</f>
        <v>20.944130000000001</v>
      </c>
    </row>
    <row r="3454" spans="1:61" s="358" customFormat="1" ht="19.2" x14ac:dyDescent="0.3">
      <c r="A3454" s="359" t="s">
        <v>361</v>
      </c>
      <c r="B3454" s="602" t="s">
        <v>4921</v>
      </c>
      <c r="C3454" s="548" t="s">
        <v>4920</v>
      </c>
      <c r="D3454" s="598">
        <v>0.4</v>
      </c>
      <c r="E3454" s="528"/>
      <c r="F3454" s="523"/>
      <c r="G3454" s="393"/>
      <c r="H3454" s="394"/>
      <c r="I3454" s="394"/>
      <c r="J3454" s="394"/>
      <c r="K3454" s="394"/>
      <c r="L3454" s="394"/>
      <c r="M3454" s="394"/>
      <c r="N3454" s="394"/>
      <c r="O3454" s="394"/>
      <c r="P3454" s="394"/>
      <c r="Q3454" s="394"/>
      <c r="R3454" s="381"/>
      <c r="S3454" s="408"/>
      <c r="T3454" s="385"/>
      <c r="U3454" s="475"/>
      <c r="V3454" s="395"/>
      <c r="W3454" s="395"/>
      <c r="X3454" s="528"/>
      <c r="Y3454" s="523"/>
      <c r="Z3454" s="393"/>
      <c r="AA3454" s="394"/>
      <c r="AB3454" s="394"/>
      <c r="AC3454" s="394"/>
      <c r="AD3454" s="394"/>
      <c r="AE3454" s="394"/>
      <c r="AF3454" s="394"/>
      <c r="AG3454" s="394"/>
      <c r="AH3454" s="394"/>
      <c r="AI3454" s="394"/>
      <c r="AJ3454" s="394"/>
      <c r="AK3454" s="381"/>
      <c r="AL3454" s="408"/>
      <c r="AM3454" s="385"/>
      <c r="AN3454" s="475"/>
      <c r="AO3454" s="395"/>
      <c r="AP3454" s="395"/>
      <c r="AQ3454" s="528"/>
      <c r="AR3454" s="497">
        <v>1</v>
      </c>
      <c r="AS3454" s="393"/>
      <c r="AT3454" s="600">
        <v>27.154389999999999</v>
      </c>
      <c r="AU3454" s="394">
        <v>19.906469999999999</v>
      </c>
      <c r="AV3454" s="394">
        <v>11.17449</v>
      </c>
      <c r="AW3454" s="394">
        <v>2.95872</v>
      </c>
      <c r="AX3454" s="394"/>
      <c r="AY3454" s="394">
        <v>0</v>
      </c>
      <c r="AZ3454" s="394">
        <v>0</v>
      </c>
      <c r="BA3454" s="394">
        <v>1.6897</v>
      </c>
      <c r="BB3454" s="394">
        <v>11.17449</v>
      </c>
      <c r="BC3454" s="394">
        <v>0.98624000000000001</v>
      </c>
      <c r="BD3454" s="381" t="s">
        <v>167</v>
      </c>
      <c r="BE3454" s="408" t="s">
        <v>175</v>
      </c>
      <c r="BF3454" s="385"/>
      <c r="BG3454" s="475">
        <v>1341</v>
      </c>
      <c r="BH3454" s="395"/>
      <c r="BI3454" s="395">
        <f t="shared" si="1318"/>
        <v>27.154389999999999</v>
      </c>
    </row>
    <row r="3455" spans="1:61" s="358" customFormat="1" ht="19.2" x14ac:dyDescent="0.3">
      <c r="A3455" s="359" t="s">
        <v>362</v>
      </c>
      <c r="B3455" s="602" t="s">
        <v>2333</v>
      </c>
      <c r="C3455" s="548" t="s">
        <v>4834</v>
      </c>
      <c r="D3455" s="598">
        <v>0.4</v>
      </c>
      <c r="E3455" s="528"/>
      <c r="F3455" s="523"/>
      <c r="G3455" s="393"/>
      <c r="H3455" s="394"/>
      <c r="I3455" s="394"/>
      <c r="J3455" s="394"/>
      <c r="K3455" s="394"/>
      <c r="L3455" s="394"/>
      <c r="M3455" s="394"/>
      <c r="N3455" s="394"/>
      <c r="O3455" s="394"/>
      <c r="P3455" s="394"/>
      <c r="Q3455" s="394"/>
      <c r="R3455" s="381"/>
      <c r="S3455" s="408"/>
      <c r="T3455" s="385"/>
      <c r="U3455" s="475"/>
      <c r="V3455" s="395"/>
      <c r="W3455" s="395"/>
      <c r="X3455" s="528"/>
      <c r="Y3455" s="523"/>
      <c r="Z3455" s="393"/>
      <c r="AA3455" s="394"/>
      <c r="AB3455" s="394"/>
      <c r="AC3455" s="394"/>
      <c r="AD3455" s="394"/>
      <c r="AE3455" s="394"/>
      <c r="AF3455" s="394"/>
      <c r="AG3455" s="394"/>
      <c r="AH3455" s="394"/>
      <c r="AI3455" s="394"/>
      <c r="AJ3455" s="394"/>
      <c r="AK3455" s="381"/>
      <c r="AL3455" s="408"/>
      <c r="AM3455" s="385"/>
      <c r="AN3455" s="475"/>
      <c r="AO3455" s="395"/>
      <c r="AP3455" s="395"/>
      <c r="AQ3455" s="528"/>
      <c r="AR3455" s="497">
        <v>1</v>
      </c>
      <c r="AS3455" s="393"/>
      <c r="AT3455" s="600">
        <v>26.67014</v>
      </c>
      <c r="AU3455" s="394">
        <v>19.422219999999999</v>
      </c>
      <c r="AV3455" s="394">
        <v>11.174530000000001</v>
      </c>
      <c r="AW3455" s="394">
        <v>3.42021</v>
      </c>
      <c r="AX3455" s="394"/>
      <c r="AY3455" s="394">
        <v>0</v>
      </c>
      <c r="AZ3455" s="394">
        <v>0</v>
      </c>
      <c r="BA3455" s="394">
        <v>1.6897</v>
      </c>
      <c r="BB3455" s="394">
        <v>11.174530000000001</v>
      </c>
      <c r="BC3455" s="394">
        <v>1.1400699999999999</v>
      </c>
      <c r="BD3455" s="381" t="s">
        <v>167</v>
      </c>
      <c r="BE3455" s="408" t="s">
        <v>175</v>
      </c>
      <c r="BF3455" s="385"/>
      <c r="BG3455" s="475">
        <v>1342</v>
      </c>
      <c r="BH3455" s="395"/>
      <c r="BI3455" s="395">
        <f t="shared" ref="BI3455:BI3458" si="1334">AT3455/AR3455</f>
        <v>26.67014</v>
      </c>
    </row>
    <row r="3456" spans="1:61" s="358" customFormat="1" ht="19.2" x14ac:dyDescent="0.3">
      <c r="A3456" s="359" t="s">
        <v>363</v>
      </c>
      <c r="B3456" s="602" t="s">
        <v>4900</v>
      </c>
      <c r="C3456" s="548" t="s">
        <v>6287</v>
      </c>
      <c r="D3456" s="598">
        <v>0.4</v>
      </c>
      <c r="E3456" s="528"/>
      <c r="F3456" s="523"/>
      <c r="G3456" s="393"/>
      <c r="H3456" s="394"/>
      <c r="I3456" s="394"/>
      <c r="J3456" s="394"/>
      <c r="K3456" s="394"/>
      <c r="L3456" s="394"/>
      <c r="M3456" s="394"/>
      <c r="N3456" s="394"/>
      <c r="O3456" s="394"/>
      <c r="P3456" s="394"/>
      <c r="Q3456" s="394"/>
      <c r="R3456" s="381"/>
      <c r="S3456" s="408"/>
      <c r="T3456" s="385"/>
      <c r="U3456" s="475"/>
      <c r="V3456" s="395"/>
      <c r="W3456" s="395"/>
      <c r="X3456" s="528"/>
      <c r="Y3456" s="523"/>
      <c r="Z3456" s="393"/>
      <c r="AA3456" s="394"/>
      <c r="AB3456" s="394"/>
      <c r="AC3456" s="394"/>
      <c r="AD3456" s="394"/>
      <c r="AE3456" s="394"/>
      <c r="AF3456" s="394"/>
      <c r="AG3456" s="394"/>
      <c r="AH3456" s="394"/>
      <c r="AI3456" s="394"/>
      <c r="AJ3456" s="394"/>
      <c r="AK3456" s="381"/>
      <c r="AL3456" s="408"/>
      <c r="AM3456" s="385"/>
      <c r="AN3456" s="475"/>
      <c r="AO3456" s="395"/>
      <c r="AP3456" s="395"/>
      <c r="AQ3456" s="528"/>
      <c r="AR3456" s="497">
        <v>1</v>
      </c>
      <c r="AS3456" s="393"/>
      <c r="AT3456" s="600">
        <v>31.31082</v>
      </c>
      <c r="AU3456" s="394">
        <v>19.58596</v>
      </c>
      <c r="AV3456" s="394">
        <v>11.174440000000001</v>
      </c>
      <c r="AW3456" s="394">
        <v>7.6519199999999996</v>
      </c>
      <c r="AX3456" s="394"/>
      <c r="AY3456" s="394">
        <v>0</v>
      </c>
      <c r="AZ3456" s="394">
        <v>0</v>
      </c>
      <c r="BA3456" s="394">
        <v>2.7334000000000001</v>
      </c>
      <c r="BB3456" s="394">
        <v>11.174440000000001</v>
      </c>
      <c r="BC3456" s="394">
        <v>1.27532</v>
      </c>
      <c r="BD3456" s="381" t="s">
        <v>167</v>
      </c>
      <c r="BE3456" s="408" t="s">
        <v>175</v>
      </c>
      <c r="BF3456" s="385"/>
      <c r="BG3456" s="475">
        <v>1343</v>
      </c>
      <c r="BH3456" s="395"/>
      <c r="BI3456" s="395">
        <f t="shared" si="1334"/>
        <v>31.31082</v>
      </c>
    </row>
    <row r="3457" spans="1:61" s="358" customFormat="1" ht="19.2" x14ac:dyDescent="0.3">
      <c r="A3457" s="359" t="s">
        <v>364</v>
      </c>
      <c r="B3457" s="602" t="s">
        <v>4870</v>
      </c>
      <c r="C3457" s="548" t="s">
        <v>4869</v>
      </c>
      <c r="D3457" s="598">
        <v>0.4</v>
      </c>
      <c r="E3457" s="528"/>
      <c r="F3457" s="523"/>
      <c r="G3457" s="393"/>
      <c r="H3457" s="394"/>
      <c r="I3457" s="394"/>
      <c r="J3457" s="394"/>
      <c r="K3457" s="394"/>
      <c r="L3457" s="394"/>
      <c r="M3457" s="394"/>
      <c r="N3457" s="394"/>
      <c r="O3457" s="394"/>
      <c r="P3457" s="394"/>
      <c r="Q3457" s="394"/>
      <c r="R3457" s="381"/>
      <c r="S3457" s="408"/>
      <c r="T3457" s="385"/>
      <c r="U3457" s="475"/>
      <c r="V3457" s="395"/>
      <c r="W3457" s="395"/>
      <c r="X3457" s="528"/>
      <c r="Y3457" s="523"/>
      <c r="Z3457" s="393"/>
      <c r="AA3457" s="394"/>
      <c r="AB3457" s="394"/>
      <c r="AC3457" s="394"/>
      <c r="AD3457" s="394"/>
      <c r="AE3457" s="394"/>
      <c r="AF3457" s="394"/>
      <c r="AG3457" s="394"/>
      <c r="AH3457" s="394"/>
      <c r="AI3457" s="394"/>
      <c r="AJ3457" s="394"/>
      <c r="AK3457" s="381"/>
      <c r="AL3457" s="408"/>
      <c r="AM3457" s="385"/>
      <c r="AN3457" s="475"/>
      <c r="AO3457" s="395"/>
      <c r="AP3457" s="395"/>
      <c r="AQ3457" s="528"/>
      <c r="AR3457" s="497">
        <v>1</v>
      </c>
      <c r="AS3457" s="393"/>
      <c r="AT3457" s="600">
        <v>26.67014</v>
      </c>
      <c r="AU3457" s="394">
        <v>19.422219999999999</v>
      </c>
      <c r="AV3457" s="394">
        <v>11.174530000000001</v>
      </c>
      <c r="AW3457" s="394">
        <v>3.42021</v>
      </c>
      <c r="AX3457" s="394"/>
      <c r="AY3457" s="394">
        <v>0</v>
      </c>
      <c r="AZ3457" s="394">
        <v>0</v>
      </c>
      <c r="BA3457" s="394">
        <v>1.6897</v>
      </c>
      <c r="BB3457" s="394">
        <v>11.174530000000001</v>
      </c>
      <c r="BC3457" s="394">
        <v>1.1400699999999999</v>
      </c>
      <c r="BD3457" s="381" t="s">
        <v>167</v>
      </c>
      <c r="BE3457" s="408" t="s">
        <v>175</v>
      </c>
      <c r="BF3457" s="385"/>
      <c r="BG3457" s="475">
        <v>1344</v>
      </c>
      <c r="BH3457" s="395"/>
      <c r="BI3457" s="395">
        <f t="shared" ref="BI3457" si="1335">AT3457/AR3457</f>
        <v>26.67014</v>
      </c>
    </row>
    <row r="3458" spans="1:61" s="358" customFormat="1" ht="19.2" x14ac:dyDescent="0.3">
      <c r="A3458" s="359" t="s">
        <v>365</v>
      </c>
      <c r="B3458" s="602" t="s">
        <v>6288</v>
      </c>
      <c r="C3458" s="548" t="s">
        <v>6289</v>
      </c>
      <c r="D3458" s="598">
        <v>0.4</v>
      </c>
      <c r="E3458" s="528"/>
      <c r="F3458" s="523"/>
      <c r="G3458" s="393"/>
      <c r="H3458" s="394"/>
      <c r="I3458" s="394"/>
      <c r="J3458" s="394"/>
      <c r="K3458" s="394"/>
      <c r="L3458" s="394"/>
      <c r="M3458" s="394"/>
      <c r="N3458" s="394"/>
      <c r="O3458" s="394"/>
      <c r="P3458" s="394"/>
      <c r="Q3458" s="394"/>
      <c r="R3458" s="381"/>
      <c r="S3458" s="408"/>
      <c r="T3458" s="385"/>
      <c r="U3458" s="475"/>
      <c r="V3458" s="395"/>
      <c r="W3458" s="395"/>
      <c r="X3458" s="528"/>
      <c r="Y3458" s="523"/>
      <c r="Z3458" s="393"/>
      <c r="AA3458" s="394"/>
      <c r="AB3458" s="394"/>
      <c r="AC3458" s="394"/>
      <c r="AD3458" s="394"/>
      <c r="AE3458" s="394"/>
      <c r="AF3458" s="394"/>
      <c r="AG3458" s="394"/>
      <c r="AH3458" s="394"/>
      <c r="AI3458" s="394"/>
      <c r="AJ3458" s="394"/>
      <c r="AK3458" s="381"/>
      <c r="AL3458" s="408"/>
      <c r="AM3458" s="385"/>
      <c r="AN3458" s="475"/>
      <c r="AO3458" s="395"/>
      <c r="AP3458" s="395"/>
      <c r="AQ3458" s="528"/>
      <c r="AR3458" s="497">
        <v>1</v>
      </c>
      <c r="AS3458" s="393"/>
      <c r="AT3458" s="600">
        <v>26.331119999999999</v>
      </c>
      <c r="AU3458" s="394">
        <v>19.083200000000001</v>
      </c>
      <c r="AV3458" s="394">
        <v>11.174530000000001</v>
      </c>
      <c r="AW3458" s="394">
        <v>2.95872</v>
      </c>
      <c r="AX3458" s="394"/>
      <c r="AY3458" s="394">
        <v>0</v>
      </c>
      <c r="AZ3458" s="394">
        <v>0</v>
      </c>
      <c r="BA3458" s="394">
        <v>1.6897</v>
      </c>
      <c r="BB3458" s="394">
        <v>11.174530000000001</v>
      </c>
      <c r="BC3458" s="394">
        <v>0.98624000000000001</v>
      </c>
      <c r="BD3458" s="381" t="s">
        <v>167</v>
      </c>
      <c r="BE3458" s="408" t="s">
        <v>175</v>
      </c>
      <c r="BF3458" s="385"/>
      <c r="BG3458" s="475">
        <v>1345</v>
      </c>
      <c r="BH3458" s="395"/>
      <c r="BI3458" s="395">
        <f t="shared" si="1334"/>
        <v>26.331119999999999</v>
      </c>
    </row>
    <row r="3459" spans="1:61" s="358" customFormat="1" x14ac:dyDescent="0.3">
      <c r="A3459" s="359"/>
      <c r="B3459" s="378"/>
      <c r="C3459" s="546"/>
      <c r="D3459" s="360"/>
      <c r="E3459" s="393"/>
      <c r="F3459" s="523"/>
      <c r="G3459" s="393"/>
      <c r="H3459" s="394"/>
      <c r="I3459" s="394"/>
      <c r="J3459" s="394"/>
      <c r="K3459" s="394"/>
      <c r="L3459" s="394"/>
      <c r="M3459" s="394"/>
      <c r="N3459" s="394"/>
      <c r="O3459" s="394"/>
      <c r="P3459" s="394"/>
      <c r="Q3459" s="394"/>
      <c r="R3459" s="385"/>
      <c r="S3459" s="385"/>
      <c r="T3459" s="385"/>
      <c r="U3459" s="475"/>
      <c r="V3459" s="395"/>
      <c r="W3459" s="395" t="e">
        <f t="shared" si="1309"/>
        <v>#DIV/0!</v>
      </c>
      <c r="X3459" s="393"/>
      <c r="Y3459" s="523"/>
      <c r="Z3459" s="393"/>
      <c r="AA3459" s="394"/>
      <c r="AB3459" s="394"/>
      <c r="AC3459" s="394"/>
      <c r="AD3459" s="394"/>
      <c r="AE3459" s="394"/>
      <c r="AF3459" s="394"/>
      <c r="AG3459" s="394"/>
      <c r="AH3459" s="394"/>
      <c r="AI3459" s="394"/>
      <c r="AJ3459" s="394"/>
      <c r="AK3459" s="385"/>
      <c r="AL3459" s="385"/>
      <c r="AM3459" s="385"/>
      <c r="AN3459" s="475"/>
      <c r="AO3459" s="395"/>
      <c r="AP3459" s="395" t="e">
        <f t="shared" si="1317"/>
        <v>#DIV/0!</v>
      </c>
      <c r="AQ3459" s="393"/>
      <c r="AR3459" s="523"/>
      <c r="AS3459" s="393"/>
      <c r="AT3459" s="394"/>
      <c r="AU3459" s="394"/>
      <c r="AV3459" s="394"/>
      <c r="AW3459" s="394"/>
      <c r="AX3459" s="394"/>
      <c r="AY3459" s="394"/>
      <c r="AZ3459" s="394"/>
      <c r="BA3459" s="394"/>
      <c r="BB3459" s="394"/>
      <c r="BC3459" s="394"/>
      <c r="BD3459" s="385"/>
      <c r="BE3459" s="385"/>
      <c r="BF3459" s="385"/>
      <c r="BG3459" s="475"/>
      <c r="BH3459" s="395"/>
      <c r="BI3459" s="395" t="e">
        <f t="shared" si="1318"/>
        <v>#DIV/0!</v>
      </c>
    </row>
    <row r="3460" spans="1:61" s="358" customFormat="1" ht="43.2" x14ac:dyDescent="0.3">
      <c r="A3460" s="508" t="s">
        <v>6339</v>
      </c>
      <c r="B3460" s="516" t="s">
        <v>6337</v>
      </c>
      <c r="C3460" s="594"/>
      <c r="D3460" s="515">
        <v>6</v>
      </c>
      <c r="E3460" s="509">
        <f t="shared" ref="E3460:Q3460" si="1336">SUM(E3461:E3466)</f>
        <v>0</v>
      </c>
      <c r="F3460" s="509">
        <f t="shared" si="1336"/>
        <v>1</v>
      </c>
      <c r="G3460" s="509">
        <f t="shared" si="1336"/>
        <v>0</v>
      </c>
      <c r="H3460" s="510">
        <f t="shared" si="1336"/>
        <v>225.84481</v>
      </c>
      <c r="I3460" s="510">
        <f t="shared" si="1336"/>
        <v>223.15</v>
      </c>
      <c r="J3460" s="510">
        <f t="shared" si="1336"/>
        <v>223.15</v>
      </c>
      <c r="K3460" s="510">
        <f t="shared" si="1336"/>
        <v>0</v>
      </c>
      <c r="L3460" s="510">
        <f t="shared" si="1336"/>
        <v>0</v>
      </c>
      <c r="M3460" s="510">
        <f t="shared" si="1336"/>
        <v>0</v>
      </c>
      <c r="N3460" s="510">
        <f t="shared" si="1336"/>
        <v>0</v>
      </c>
      <c r="O3460" s="510">
        <f t="shared" si="1336"/>
        <v>0.62824000000000002</v>
      </c>
      <c r="P3460" s="510">
        <f t="shared" si="1336"/>
        <v>223.15</v>
      </c>
      <c r="Q3460" s="510">
        <f t="shared" si="1336"/>
        <v>0</v>
      </c>
      <c r="R3460" s="511"/>
      <c r="S3460" s="511"/>
      <c r="T3460" s="511"/>
      <c r="U3460" s="512"/>
      <c r="V3460" s="513"/>
      <c r="W3460" s="513">
        <f t="shared" si="1309"/>
        <v>225.84481</v>
      </c>
      <c r="X3460" s="509">
        <f t="shared" ref="X3460:AJ3460" si="1337">SUM(X3461:X3466)</f>
        <v>0</v>
      </c>
      <c r="Y3460" s="509">
        <f t="shared" si="1337"/>
        <v>3</v>
      </c>
      <c r="Z3460" s="509">
        <f t="shared" si="1337"/>
        <v>0</v>
      </c>
      <c r="AA3460" s="510">
        <f t="shared" si="1337"/>
        <v>1219.8211900000001</v>
      </c>
      <c r="AB3460" s="510">
        <f t="shared" si="1337"/>
        <v>1210.5583300000001</v>
      </c>
      <c r="AC3460" s="510">
        <f t="shared" si="1337"/>
        <v>1210.55843</v>
      </c>
      <c r="AD3460" s="510">
        <f t="shared" si="1337"/>
        <v>0</v>
      </c>
      <c r="AE3460" s="510">
        <f t="shared" si="1337"/>
        <v>0</v>
      </c>
      <c r="AF3460" s="510">
        <f t="shared" si="1337"/>
        <v>0</v>
      </c>
      <c r="AG3460" s="510">
        <f t="shared" si="1337"/>
        <v>0</v>
      </c>
      <c r="AH3460" s="510">
        <f t="shared" si="1337"/>
        <v>2.15944</v>
      </c>
      <c r="AI3460" s="510">
        <f t="shared" si="1337"/>
        <v>605.27917000000002</v>
      </c>
      <c r="AJ3460" s="510">
        <f t="shared" si="1337"/>
        <v>0</v>
      </c>
      <c r="AK3460" s="511"/>
      <c r="AL3460" s="511"/>
      <c r="AM3460" s="511"/>
      <c r="AN3460" s="512"/>
      <c r="AO3460" s="513"/>
      <c r="AP3460" s="513">
        <f t="shared" si="1317"/>
        <v>406.60706333333337</v>
      </c>
      <c r="AQ3460" s="509">
        <f t="shared" ref="AQ3460:BC3460" si="1338">SUM(AQ3461:AQ3466)</f>
        <v>0</v>
      </c>
      <c r="AR3460" s="509">
        <f t="shared" si="1338"/>
        <v>1</v>
      </c>
      <c r="AS3460" s="509">
        <f t="shared" si="1338"/>
        <v>0</v>
      </c>
      <c r="AT3460" s="510">
        <f t="shared" si="1338"/>
        <v>0</v>
      </c>
      <c r="AU3460" s="510">
        <f t="shared" si="1338"/>
        <v>0</v>
      </c>
      <c r="AV3460" s="510">
        <f t="shared" si="1338"/>
        <v>0</v>
      </c>
      <c r="AW3460" s="510">
        <f t="shared" si="1338"/>
        <v>0</v>
      </c>
      <c r="AX3460" s="510">
        <f t="shared" si="1338"/>
        <v>0</v>
      </c>
      <c r="AY3460" s="510">
        <f t="shared" si="1338"/>
        <v>0</v>
      </c>
      <c r="AZ3460" s="510">
        <f t="shared" si="1338"/>
        <v>0</v>
      </c>
      <c r="BA3460" s="510">
        <f t="shared" si="1338"/>
        <v>0</v>
      </c>
      <c r="BB3460" s="510">
        <f t="shared" si="1338"/>
        <v>0</v>
      </c>
      <c r="BC3460" s="510">
        <f t="shared" si="1338"/>
        <v>0</v>
      </c>
      <c r="BD3460" s="511"/>
      <c r="BE3460" s="511"/>
      <c r="BF3460" s="511"/>
      <c r="BG3460" s="512"/>
      <c r="BH3460" s="513"/>
      <c r="BI3460" s="513">
        <f t="shared" si="1318"/>
        <v>0</v>
      </c>
    </row>
    <row r="3461" spans="1:61" s="358" customFormat="1" ht="46.8" x14ac:dyDescent="0.3">
      <c r="A3461" s="359"/>
      <c r="B3461" s="537" t="s">
        <v>2259</v>
      </c>
      <c r="C3461" s="546" t="s">
        <v>2260</v>
      </c>
      <c r="D3461" s="360">
        <v>6</v>
      </c>
      <c r="E3461" s="393"/>
      <c r="F3461" s="337">
        <v>1</v>
      </c>
      <c r="G3461" s="337"/>
      <c r="H3461" s="544">
        <v>225.84481</v>
      </c>
      <c r="I3461" s="394">
        <v>223.15</v>
      </c>
      <c r="J3461" s="394">
        <v>223.15</v>
      </c>
      <c r="K3461" s="394"/>
      <c r="L3461" s="394"/>
      <c r="M3461" s="394">
        <v>0</v>
      </c>
      <c r="N3461" s="394">
        <v>0</v>
      </c>
      <c r="O3461" s="394">
        <v>0.62824000000000002</v>
      </c>
      <c r="P3461" s="394">
        <v>223.15</v>
      </c>
      <c r="Q3461" s="394"/>
      <c r="R3461" s="381"/>
      <c r="S3461" s="408"/>
      <c r="T3461" s="385"/>
      <c r="U3461" s="475">
        <v>1089</v>
      </c>
      <c r="V3461" s="395"/>
      <c r="W3461" s="395">
        <f t="shared" ref="W3461:W3466" si="1339">H3461/F3461</f>
        <v>225.84481</v>
      </c>
      <c r="X3461" s="393"/>
      <c r="Y3461" s="337">
        <v>1</v>
      </c>
      <c r="Z3461" s="337"/>
      <c r="AA3461" s="544"/>
      <c r="AB3461" s="394"/>
      <c r="AC3461" s="394"/>
      <c r="AD3461" s="394"/>
      <c r="AE3461" s="394"/>
      <c r="AF3461" s="394"/>
      <c r="AG3461" s="394"/>
      <c r="AH3461" s="394"/>
      <c r="AI3461" s="394"/>
      <c r="AJ3461" s="394"/>
      <c r="AK3461" s="381"/>
      <c r="AL3461" s="408"/>
      <c r="AM3461" s="385"/>
      <c r="AN3461" s="475"/>
      <c r="AO3461" s="395"/>
      <c r="AP3461" s="395">
        <f t="shared" si="1317"/>
        <v>0</v>
      </c>
      <c r="AQ3461" s="393"/>
      <c r="AR3461" s="337">
        <v>1</v>
      </c>
      <c r="AS3461" s="337"/>
      <c r="AT3461" s="544"/>
      <c r="AU3461" s="394"/>
      <c r="AV3461" s="394"/>
      <c r="AW3461" s="394"/>
      <c r="AX3461" s="394"/>
      <c r="AY3461" s="394"/>
      <c r="AZ3461" s="394"/>
      <c r="BA3461" s="394"/>
      <c r="BB3461" s="394"/>
      <c r="BC3461" s="394"/>
      <c r="BD3461" s="381"/>
      <c r="BE3461" s="408"/>
      <c r="BF3461" s="385"/>
      <c r="BG3461" s="475"/>
      <c r="BH3461" s="395"/>
      <c r="BI3461" s="395">
        <f t="shared" si="1318"/>
        <v>0</v>
      </c>
    </row>
    <row r="3462" spans="1:61" s="358" customFormat="1" ht="19.2" x14ac:dyDescent="0.3">
      <c r="A3462" s="359"/>
      <c r="B3462" s="572" t="s">
        <v>4422</v>
      </c>
      <c r="C3462" s="546"/>
      <c r="D3462" s="360">
        <v>6</v>
      </c>
      <c r="E3462" s="393"/>
      <c r="F3462" s="337"/>
      <c r="G3462" s="337"/>
      <c r="H3462" s="573"/>
      <c r="I3462" s="394"/>
      <c r="J3462" s="394"/>
      <c r="K3462" s="394"/>
      <c r="L3462" s="394"/>
      <c r="M3462" s="394"/>
      <c r="N3462" s="394"/>
      <c r="O3462" s="394"/>
      <c r="P3462" s="394"/>
      <c r="Q3462" s="394"/>
      <c r="R3462" s="381"/>
      <c r="S3462" s="408"/>
      <c r="T3462" s="385"/>
      <c r="U3462" s="475"/>
      <c r="V3462" s="395"/>
      <c r="W3462" s="395"/>
      <c r="X3462" s="393"/>
      <c r="Y3462" s="337">
        <v>1</v>
      </c>
      <c r="Z3462" s="337"/>
      <c r="AA3462" s="573">
        <v>225.24596</v>
      </c>
      <c r="AB3462" s="394">
        <v>223.15</v>
      </c>
      <c r="AC3462" s="394">
        <v>223.15</v>
      </c>
      <c r="AD3462" s="394"/>
      <c r="AE3462" s="394"/>
      <c r="AF3462" s="394">
        <v>0</v>
      </c>
      <c r="AG3462" s="394">
        <v>0</v>
      </c>
      <c r="AH3462" s="394">
        <v>0.48863000000000001</v>
      </c>
      <c r="AI3462" s="394">
        <v>223.15</v>
      </c>
      <c r="AJ3462" s="394"/>
      <c r="AK3462" s="381" t="s">
        <v>167</v>
      </c>
      <c r="AL3462" s="408" t="s">
        <v>175</v>
      </c>
      <c r="AM3462" s="385"/>
      <c r="AN3462" s="475">
        <v>1645</v>
      </c>
      <c r="AO3462" s="395"/>
      <c r="AP3462" s="395">
        <f t="shared" si="1317"/>
        <v>225.24596</v>
      </c>
      <c r="AQ3462" s="393"/>
      <c r="AR3462" s="337"/>
      <c r="AS3462" s="337"/>
      <c r="AT3462" s="573"/>
      <c r="AU3462" s="394"/>
      <c r="AV3462" s="394"/>
      <c r="AW3462" s="394"/>
      <c r="AX3462" s="394"/>
      <c r="AY3462" s="394"/>
      <c r="AZ3462" s="394"/>
      <c r="BA3462" s="394"/>
      <c r="BB3462" s="394"/>
      <c r="BC3462" s="394"/>
      <c r="BD3462" s="381"/>
      <c r="BE3462" s="408"/>
      <c r="BF3462" s="385"/>
      <c r="BG3462" s="475"/>
      <c r="BH3462" s="395"/>
      <c r="BI3462" s="395" t="e">
        <f t="shared" si="1318"/>
        <v>#DIV/0!</v>
      </c>
    </row>
    <row r="3463" spans="1:61" s="358" customFormat="1" ht="19.2" x14ac:dyDescent="0.3">
      <c r="A3463" s="359"/>
      <c r="B3463" s="572" t="s">
        <v>4422</v>
      </c>
      <c r="C3463" s="546"/>
      <c r="D3463" s="360">
        <v>6</v>
      </c>
      <c r="E3463" s="393"/>
      <c r="F3463" s="337"/>
      <c r="G3463" s="337"/>
      <c r="H3463" s="573"/>
      <c r="I3463" s="394"/>
      <c r="J3463" s="394"/>
      <c r="K3463" s="394"/>
      <c r="L3463" s="394"/>
      <c r="M3463" s="394"/>
      <c r="N3463" s="394"/>
      <c r="O3463" s="394"/>
      <c r="P3463" s="394"/>
      <c r="Q3463" s="394"/>
      <c r="R3463" s="381"/>
      <c r="S3463" s="408"/>
      <c r="T3463" s="385"/>
      <c r="U3463" s="475"/>
      <c r="V3463" s="395"/>
      <c r="W3463" s="395"/>
      <c r="X3463" s="393"/>
      <c r="Y3463" s="337">
        <v>1</v>
      </c>
      <c r="Z3463" s="337"/>
      <c r="AA3463" s="573">
        <v>994.57523000000003</v>
      </c>
      <c r="AB3463" s="394">
        <v>987.40832999999998</v>
      </c>
      <c r="AC3463" s="394">
        <f>764.25834+223.15009</f>
        <v>987.40842999999995</v>
      </c>
      <c r="AD3463" s="394"/>
      <c r="AE3463" s="394"/>
      <c r="AF3463" s="394">
        <v>0</v>
      </c>
      <c r="AG3463" s="394">
        <v>0</v>
      </c>
      <c r="AH3463" s="394">
        <v>1.6708099999999999</v>
      </c>
      <c r="AI3463" s="394">
        <v>382.12916999999999</v>
      </c>
      <c r="AJ3463" s="394"/>
      <c r="AK3463" s="381" t="s">
        <v>167</v>
      </c>
      <c r="AL3463" s="408" t="s">
        <v>175</v>
      </c>
      <c r="AM3463" s="385"/>
      <c r="AN3463" s="475">
        <v>1646</v>
      </c>
      <c r="AO3463" s="395"/>
      <c r="AP3463" s="395">
        <f t="shared" si="1317"/>
        <v>994.57523000000003</v>
      </c>
      <c r="AQ3463" s="393"/>
      <c r="AR3463" s="337"/>
      <c r="AS3463" s="337"/>
      <c r="AT3463" s="573"/>
      <c r="AU3463" s="394"/>
      <c r="AV3463" s="394"/>
      <c r="AW3463" s="394"/>
      <c r="AX3463" s="394"/>
      <c r="AY3463" s="394"/>
      <c r="AZ3463" s="394"/>
      <c r="BA3463" s="394"/>
      <c r="BB3463" s="394"/>
      <c r="BC3463" s="394"/>
      <c r="BD3463" s="381"/>
      <c r="BE3463" s="408"/>
      <c r="BF3463" s="385"/>
      <c r="BG3463" s="475"/>
      <c r="BH3463" s="395"/>
      <c r="BI3463" s="395" t="e">
        <f t="shared" si="1318"/>
        <v>#DIV/0!</v>
      </c>
    </row>
    <row r="3464" spans="1:61" s="358" customFormat="1" x14ac:dyDescent="0.3">
      <c r="A3464" s="359"/>
      <c r="B3464" s="602"/>
      <c r="C3464" s="548"/>
      <c r="D3464" s="360">
        <v>6</v>
      </c>
      <c r="E3464" s="528"/>
      <c r="F3464" s="523"/>
      <c r="G3464" s="393"/>
      <c r="H3464" s="394"/>
      <c r="I3464" s="394"/>
      <c r="J3464" s="394"/>
      <c r="K3464" s="394"/>
      <c r="L3464" s="394"/>
      <c r="M3464" s="394"/>
      <c r="N3464" s="394"/>
      <c r="O3464" s="394"/>
      <c r="P3464" s="394"/>
      <c r="Q3464" s="394"/>
      <c r="R3464" s="381"/>
      <c r="S3464" s="408"/>
      <c r="T3464" s="385"/>
      <c r="U3464" s="475"/>
      <c r="V3464" s="395"/>
      <c r="W3464" s="395"/>
      <c r="X3464" s="528"/>
      <c r="Y3464" s="523"/>
      <c r="Z3464" s="393"/>
      <c r="AA3464" s="394"/>
      <c r="AB3464" s="394"/>
      <c r="AC3464" s="394"/>
      <c r="AD3464" s="394"/>
      <c r="AE3464" s="394"/>
      <c r="AF3464" s="394"/>
      <c r="AG3464" s="394"/>
      <c r="AH3464" s="394"/>
      <c r="AI3464" s="394"/>
      <c r="AJ3464" s="394"/>
      <c r="AK3464" s="381"/>
      <c r="AL3464" s="408"/>
      <c r="AM3464" s="385"/>
      <c r="AN3464" s="475"/>
      <c r="AO3464" s="395"/>
      <c r="AP3464" s="395"/>
      <c r="AQ3464" s="528"/>
      <c r="AR3464" s="523"/>
      <c r="AS3464" s="393"/>
      <c r="AT3464" s="600"/>
      <c r="AU3464" s="394"/>
      <c r="AV3464" s="394"/>
      <c r="AW3464" s="394"/>
      <c r="AX3464" s="394"/>
      <c r="AY3464" s="394"/>
      <c r="AZ3464" s="394"/>
      <c r="BA3464" s="394"/>
      <c r="BB3464" s="394"/>
      <c r="BC3464" s="394"/>
      <c r="BD3464" s="381"/>
      <c r="BE3464" s="408"/>
      <c r="BF3464" s="385"/>
      <c r="BG3464" s="475"/>
      <c r="BH3464" s="395"/>
      <c r="BI3464" s="395" t="e">
        <f t="shared" si="1318"/>
        <v>#DIV/0!</v>
      </c>
    </row>
    <row r="3465" spans="1:61" s="358" customFormat="1" x14ac:dyDescent="0.3">
      <c r="A3465" s="359"/>
      <c r="B3465" s="378"/>
      <c r="C3465" s="546"/>
      <c r="D3465" s="360"/>
      <c r="E3465" s="393"/>
      <c r="F3465" s="337"/>
      <c r="G3465" s="337"/>
      <c r="H3465" s="522"/>
      <c r="I3465" s="394"/>
      <c r="J3465" s="394"/>
      <c r="K3465" s="394"/>
      <c r="L3465" s="394"/>
      <c r="M3465" s="394"/>
      <c r="N3465" s="394"/>
      <c r="O3465" s="394"/>
      <c r="P3465" s="394"/>
      <c r="Q3465" s="394"/>
      <c r="R3465" s="381"/>
      <c r="S3465" s="408"/>
      <c r="T3465" s="385"/>
      <c r="U3465" s="475"/>
      <c r="V3465" s="395"/>
      <c r="W3465" s="395" t="e">
        <f t="shared" si="1339"/>
        <v>#DIV/0!</v>
      </c>
      <c r="X3465" s="393"/>
      <c r="Y3465" s="337"/>
      <c r="Z3465" s="337"/>
      <c r="AA3465" s="522"/>
      <c r="AB3465" s="394"/>
      <c r="AC3465" s="394"/>
      <c r="AD3465" s="394"/>
      <c r="AE3465" s="394"/>
      <c r="AF3465" s="394"/>
      <c r="AG3465" s="394"/>
      <c r="AH3465" s="394"/>
      <c r="AI3465" s="394"/>
      <c r="AJ3465" s="394"/>
      <c r="AK3465" s="381"/>
      <c r="AL3465" s="408"/>
      <c r="AM3465" s="385"/>
      <c r="AN3465" s="475"/>
      <c r="AO3465" s="395"/>
      <c r="AP3465" s="395" t="e">
        <f t="shared" si="1317"/>
        <v>#DIV/0!</v>
      </c>
      <c r="AQ3465" s="393"/>
      <c r="AR3465" s="337"/>
      <c r="AS3465" s="337"/>
      <c r="AT3465" s="522"/>
      <c r="AU3465" s="394"/>
      <c r="AV3465" s="394"/>
      <c r="AW3465" s="394"/>
      <c r="AX3465" s="394"/>
      <c r="AY3465" s="394"/>
      <c r="AZ3465" s="394"/>
      <c r="BA3465" s="394"/>
      <c r="BB3465" s="394"/>
      <c r="BC3465" s="394"/>
      <c r="BD3465" s="381"/>
      <c r="BE3465" s="408"/>
      <c r="BF3465" s="385"/>
      <c r="BG3465" s="475"/>
      <c r="BH3465" s="395"/>
      <c r="BI3465" s="395" t="e">
        <f t="shared" si="1318"/>
        <v>#DIV/0!</v>
      </c>
    </row>
    <row r="3466" spans="1:61" s="358" customFormat="1" x14ac:dyDescent="0.3">
      <c r="A3466" s="359"/>
      <c r="B3466" s="378"/>
      <c r="C3466" s="546"/>
      <c r="D3466" s="360"/>
      <c r="E3466" s="393"/>
      <c r="F3466" s="523"/>
      <c r="G3466" s="393"/>
      <c r="H3466" s="394"/>
      <c r="I3466" s="394"/>
      <c r="J3466" s="394"/>
      <c r="K3466" s="394"/>
      <c r="L3466" s="394"/>
      <c r="M3466" s="394"/>
      <c r="N3466" s="394"/>
      <c r="O3466" s="394"/>
      <c r="P3466" s="394"/>
      <c r="Q3466" s="394"/>
      <c r="R3466" s="385"/>
      <c r="S3466" s="385"/>
      <c r="T3466" s="385"/>
      <c r="U3466" s="475"/>
      <c r="V3466" s="395"/>
      <c r="W3466" s="395" t="e">
        <f t="shared" si="1339"/>
        <v>#DIV/0!</v>
      </c>
      <c r="X3466" s="393"/>
      <c r="Y3466" s="523"/>
      <c r="Z3466" s="393"/>
      <c r="AA3466" s="394"/>
      <c r="AB3466" s="394"/>
      <c r="AC3466" s="394"/>
      <c r="AD3466" s="394"/>
      <c r="AE3466" s="394"/>
      <c r="AF3466" s="394"/>
      <c r="AG3466" s="394"/>
      <c r="AH3466" s="394"/>
      <c r="AI3466" s="394"/>
      <c r="AJ3466" s="394"/>
      <c r="AK3466" s="385"/>
      <c r="AL3466" s="385"/>
      <c r="AM3466" s="385"/>
      <c r="AN3466" s="475"/>
      <c r="AO3466" s="395"/>
      <c r="AP3466" s="395" t="e">
        <f t="shared" si="1317"/>
        <v>#DIV/0!</v>
      </c>
      <c r="AQ3466" s="393"/>
      <c r="AR3466" s="523"/>
      <c r="AS3466" s="393"/>
      <c r="AT3466" s="394"/>
      <c r="AU3466" s="394"/>
      <c r="AV3466" s="394"/>
      <c r="AW3466" s="394"/>
      <c r="AX3466" s="394"/>
      <c r="AY3466" s="394"/>
      <c r="AZ3466" s="394"/>
      <c r="BA3466" s="394"/>
      <c r="BB3466" s="394"/>
      <c r="BC3466" s="394"/>
      <c r="BD3466" s="385"/>
      <c r="BE3466" s="385"/>
      <c r="BF3466" s="385"/>
      <c r="BG3466" s="475"/>
      <c r="BH3466" s="395"/>
      <c r="BI3466" s="395" t="e">
        <f t="shared" si="1318"/>
        <v>#DIV/0!</v>
      </c>
    </row>
    <row r="3467" spans="1:61" s="46" customFormat="1" x14ac:dyDescent="0.3">
      <c r="A3467" s="317"/>
      <c r="B3467" s="312"/>
      <c r="C3467" s="455"/>
      <c r="D3467" s="370"/>
      <c r="E3467" s="386"/>
      <c r="F3467" s="387"/>
      <c r="G3467" s="387"/>
      <c r="H3467" s="386"/>
      <c r="I3467" s="386"/>
      <c r="J3467" s="386"/>
      <c r="K3467" s="386"/>
      <c r="L3467" s="386"/>
      <c r="M3467" s="386"/>
      <c r="N3467" s="386"/>
      <c r="O3467" s="386"/>
      <c r="P3467" s="386"/>
      <c r="Q3467" s="386"/>
      <c r="R3467" s="386"/>
      <c r="S3467" s="386"/>
      <c r="T3467" s="386"/>
      <c r="U3467" s="387"/>
      <c r="V3467" s="386"/>
      <c r="W3467" s="386"/>
      <c r="X3467" s="386"/>
      <c r="Y3467" s="387"/>
      <c r="Z3467" s="387"/>
      <c r="AA3467" s="386"/>
      <c r="AB3467" s="386"/>
      <c r="AC3467" s="386"/>
      <c r="AD3467" s="386"/>
      <c r="AE3467" s="386"/>
      <c r="AF3467" s="386"/>
      <c r="AG3467" s="386"/>
      <c r="AH3467" s="386"/>
      <c r="AI3467" s="386"/>
      <c r="AJ3467" s="386"/>
      <c r="AK3467" s="386"/>
      <c r="AL3467" s="386"/>
      <c r="AM3467" s="386"/>
      <c r="AN3467" s="387"/>
      <c r="AO3467" s="386"/>
      <c r="AP3467" s="386"/>
      <c r="AQ3467" s="386"/>
      <c r="AR3467" s="387"/>
      <c r="AS3467" s="387"/>
      <c r="AT3467" s="386"/>
      <c r="AU3467" s="386"/>
      <c r="AV3467" s="386"/>
      <c r="AW3467" s="386"/>
      <c r="AX3467" s="386"/>
      <c r="AY3467" s="386"/>
      <c r="AZ3467" s="386"/>
      <c r="BA3467" s="386"/>
      <c r="BB3467" s="386"/>
      <c r="BC3467" s="386"/>
      <c r="BD3467" s="386"/>
      <c r="BE3467" s="386"/>
      <c r="BF3467" s="386"/>
      <c r="BG3467" s="387"/>
      <c r="BH3467" s="386"/>
      <c r="BI3467" s="386"/>
    </row>
    <row r="3468" spans="1:61" s="46" customFormat="1" x14ac:dyDescent="0.3">
      <c r="A3468" s="317"/>
      <c r="B3468" s="312"/>
      <c r="C3468" s="455"/>
      <c r="D3468" s="370"/>
      <c r="E3468" s="386"/>
      <c r="F3468" s="387"/>
      <c r="G3468" s="387"/>
      <c r="H3468" s="386"/>
      <c r="I3468" s="386"/>
      <c r="J3468" s="386"/>
      <c r="K3468" s="386"/>
      <c r="L3468" s="386"/>
      <c r="M3468" s="386"/>
      <c r="N3468" s="386"/>
      <c r="O3468" s="386"/>
      <c r="P3468" s="386"/>
      <c r="Q3468" s="386"/>
      <c r="R3468" s="386"/>
      <c r="S3468" s="386"/>
      <c r="T3468" s="386"/>
      <c r="U3468" s="387"/>
      <c r="V3468" s="386"/>
      <c r="W3468" s="386"/>
      <c r="X3468" s="386"/>
      <c r="Y3468" s="387"/>
      <c r="Z3468" s="387"/>
      <c r="AA3468" s="386"/>
      <c r="AB3468" s="386"/>
      <c r="AC3468" s="386"/>
      <c r="AD3468" s="386"/>
      <c r="AE3468" s="386"/>
      <c r="AF3468" s="386"/>
      <c r="AG3468" s="386"/>
      <c r="AH3468" s="386"/>
      <c r="AI3468" s="386"/>
      <c r="AJ3468" s="386"/>
      <c r="AK3468" s="386"/>
      <c r="AL3468" s="386"/>
      <c r="AM3468" s="386"/>
      <c r="AN3468" s="387"/>
      <c r="AO3468" s="386"/>
      <c r="AP3468" s="386"/>
      <c r="AQ3468" s="386"/>
      <c r="AR3468" s="387"/>
      <c r="AS3468" s="387"/>
      <c r="AT3468" s="386"/>
      <c r="AU3468" s="386"/>
      <c r="AV3468" s="386"/>
      <c r="AW3468" s="386"/>
      <c r="AX3468" s="386"/>
      <c r="AY3468" s="386"/>
      <c r="AZ3468" s="386"/>
      <c r="BA3468" s="386"/>
      <c r="BB3468" s="386"/>
      <c r="BC3468" s="386"/>
      <c r="BD3468" s="386"/>
      <c r="BE3468" s="386"/>
      <c r="BF3468" s="386"/>
      <c r="BG3468" s="387"/>
      <c r="BH3468" s="386"/>
      <c r="BI3468" s="386"/>
    </row>
    <row r="3469" spans="1:61" s="46" customFormat="1" x14ac:dyDescent="0.3">
      <c r="A3469" s="317"/>
      <c r="B3469" s="312"/>
      <c r="C3469" s="455"/>
      <c r="D3469" s="370"/>
      <c r="E3469" s="386"/>
      <c r="F3469" s="387"/>
      <c r="G3469" s="387"/>
      <c r="H3469" s="386"/>
      <c r="I3469" s="386"/>
      <c r="J3469" s="386"/>
      <c r="K3469" s="386"/>
      <c r="L3469" s="386"/>
      <c r="M3469" s="386"/>
      <c r="N3469" s="386"/>
      <c r="O3469" s="386"/>
      <c r="P3469" s="386"/>
      <c r="Q3469" s="386"/>
      <c r="R3469" s="386"/>
      <c r="S3469" s="386"/>
      <c r="T3469" s="386"/>
      <c r="U3469" s="387"/>
      <c r="V3469" s="386"/>
      <c r="W3469" s="386"/>
      <c r="X3469" s="386"/>
      <c r="Y3469" s="387"/>
      <c r="Z3469" s="387"/>
      <c r="AA3469" s="386"/>
      <c r="AB3469" s="386"/>
      <c r="AC3469" s="386"/>
      <c r="AD3469" s="386"/>
      <c r="AE3469" s="386"/>
      <c r="AF3469" s="386"/>
      <c r="AG3469" s="386"/>
      <c r="AH3469" s="386"/>
      <c r="AI3469" s="386"/>
      <c r="AJ3469" s="386"/>
      <c r="AK3469" s="386"/>
      <c r="AL3469" s="386"/>
      <c r="AM3469" s="386"/>
      <c r="AN3469" s="387"/>
      <c r="AO3469" s="386"/>
      <c r="AP3469" s="386"/>
      <c r="AQ3469" s="386"/>
      <c r="AR3469" s="387"/>
      <c r="AS3469" s="387"/>
      <c r="AT3469" s="386"/>
      <c r="AU3469" s="386"/>
      <c r="AV3469" s="386"/>
      <c r="AW3469" s="386"/>
      <c r="AX3469" s="386"/>
      <c r="AY3469" s="386"/>
      <c r="AZ3469" s="386"/>
      <c r="BA3469" s="386"/>
      <c r="BB3469" s="386"/>
      <c r="BC3469" s="386"/>
      <c r="BD3469" s="386"/>
      <c r="BE3469" s="386"/>
      <c r="BF3469" s="386"/>
      <c r="BG3469" s="387"/>
      <c r="BH3469" s="386"/>
      <c r="BI3469" s="386"/>
    </row>
    <row r="3470" spans="1:61" s="46" customFormat="1" x14ac:dyDescent="0.3">
      <c r="A3470" s="317"/>
      <c r="B3470" s="312"/>
      <c r="C3470" s="455"/>
      <c r="D3470" s="370"/>
      <c r="E3470" s="386"/>
      <c r="F3470" s="387"/>
      <c r="G3470" s="387"/>
      <c r="H3470" s="386"/>
      <c r="I3470" s="386"/>
      <c r="J3470" s="386"/>
      <c r="K3470" s="386"/>
      <c r="L3470" s="386"/>
      <c r="M3470" s="386"/>
      <c r="N3470" s="386"/>
      <c r="O3470" s="386"/>
      <c r="P3470" s="386"/>
      <c r="Q3470" s="386"/>
      <c r="R3470" s="386"/>
      <c r="S3470" s="386"/>
      <c r="T3470" s="386"/>
      <c r="U3470" s="387"/>
      <c r="V3470" s="386"/>
      <c r="W3470" s="386"/>
      <c r="X3470" s="386"/>
      <c r="Y3470" s="387"/>
      <c r="Z3470" s="387"/>
      <c r="AA3470" s="386"/>
      <c r="AB3470" s="386"/>
      <c r="AC3470" s="386"/>
      <c r="AD3470" s="386"/>
      <c r="AE3470" s="386"/>
      <c r="AF3470" s="386"/>
      <c r="AG3470" s="386"/>
      <c r="AH3470" s="386"/>
      <c r="AI3470" s="386"/>
      <c r="AJ3470" s="386"/>
      <c r="AK3470" s="386"/>
      <c r="AL3470" s="386"/>
      <c r="AM3470" s="386"/>
      <c r="AN3470" s="387"/>
      <c r="AO3470" s="386"/>
      <c r="AP3470" s="386"/>
      <c r="AQ3470" s="386"/>
      <c r="AR3470" s="387"/>
      <c r="AS3470" s="387"/>
      <c r="AT3470" s="386"/>
      <c r="AU3470" s="386"/>
      <c r="AV3470" s="386"/>
      <c r="AW3470" s="386"/>
      <c r="AX3470" s="386"/>
      <c r="AY3470" s="386"/>
      <c r="AZ3470" s="386"/>
      <c r="BA3470" s="386"/>
      <c r="BB3470" s="386"/>
      <c r="BC3470" s="386"/>
      <c r="BD3470" s="386"/>
      <c r="BE3470" s="386"/>
      <c r="BF3470" s="386"/>
      <c r="BG3470" s="387"/>
      <c r="BH3470" s="386"/>
      <c r="BI3470" s="386"/>
    </row>
    <row r="3471" spans="1:61" s="46" customFormat="1" x14ac:dyDescent="0.3">
      <c r="A3471" s="359"/>
      <c r="B3471" s="312"/>
      <c r="C3471" s="455"/>
      <c r="D3471" s="370"/>
      <c r="E3471" s="386"/>
      <c r="F3471" s="387"/>
      <c r="G3471" s="387"/>
      <c r="H3471" s="386"/>
      <c r="I3471" s="386"/>
      <c r="J3471" s="386"/>
      <c r="K3471" s="386"/>
      <c r="L3471" s="386"/>
      <c r="M3471" s="386"/>
      <c r="N3471" s="386"/>
      <c r="O3471" s="386"/>
      <c r="P3471" s="386"/>
      <c r="Q3471" s="386"/>
      <c r="R3471" s="386"/>
      <c r="S3471" s="386"/>
      <c r="T3471" s="386"/>
      <c r="U3471" s="387"/>
      <c r="V3471" s="386"/>
      <c r="W3471" s="386"/>
      <c r="X3471" s="386"/>
      <c r="Y3471" s="387"/>
      <c r="Z3471" s="387"/>
      <c r="AA3471" s="386"/>
      <c r="AB3471" s="386"/>
      <c r="AC3471" s="386"/>
      <c r="AD3471" s="386"/>
      <c r="AE3471" s="386"/>
      <c r="AF3471" s="386"/>
      <c r="AG3471" s="386"/>
      <c r="AH3471" s="386"/>
      <c r="AI3471" s="386"/>
      <c r="AJ3471" s="386"/>
      <c r="AK3471" s="386"/>
      <c r="AL3471" s="386"/>
      <c r="AM3471" s="386"/>
      <c r="AN3471" s="387"/>
      <c r="AO3471" s="386"/>
      <c r="AP3471" s="386"/>
      <c r="AQ3471" s="386"/>
      <c r="AR3471" s="387"/>
      <c r="AS3471" s="387"/>
      <c r="AT3471" s="386"/>
      <c r="AU3471" s="386"/>
      <c r="AV3471" s="386"/>
      <c r="AW3471" s="386"/>
      <c r="AX3471" s="386"/>
      <c r="AY3471" s="386"/>
      <c r="AZ3471" s="386"/>
      <c r="BA3471" s="386"/>
      <c r="BB3471" s="386"/>
      <c r="BC3471" s="386"/>
      <c r="BD3471" s="386"/>
      <c r="BE3471" s="386"/>
      <c r="BF3471" s="386"/>
      <c r="BG3471" s="387"/>
      <c r="BH3471" s="386"/>
      <c r="BI3471" s="386"/>
    </row>
    <row r="3472" spans="1:61" s="46" customFormat="1" x14ac:dyDescent="0.3">
      <c r="A3472" s="317"/>
      <c r="B3472" s="312"/>
      <c r="C3472" s="455"/>
      <c r="D3472" s="370"/>
      <c r="E3472" s="386"/>
      <c r="F3472" s="387"/>
      <c r="G3472" s="387"/>
      <c r="H3472" s="386"/>
      <c r="I3472" s="386"/>
      <c r="J3472" s="386"/>
      <c r="K3472" s="386"/>
      <c r="L3472" s="386"/>
      <c r="M3472" s="386"/>
      <c r="N3472" s="386"/>
      <c r="O3472" s="386"/>
      <c r="P3472" s="386"/>
      <c r="Q3472" s="386"/>
      <c r="R3472" s="386"/>
      <c r="S3472" s="386"/>
      <c r="T3472" s="386"/>
      <c r="U3472" s="387"/>
      <c r="V3472" s="386"/>
      <c r="W3472" s="386"/>
      <c r="X3472" s="386"/>
      <c r="Y3472" s="387"/>
      <c r="Z3472" s="387"/>
      <c r="AA3472" s="386"/>
      <c r="AB3472" s="386"/>
      <c r="AC3472" s="386"/>
      <c r="AD3472" s="386"/>
      <c r="AE3472" s="386"/>
      <c r="AF3472" s="386"/>
      <c r="AG3472" s="386"/>
      <c r="AH3472" s="386"/>
      <c r="AI3472" s="386"/>
      <c r="AJ3472" s="386"/>
      <c r="AK3472" s="386"/>
      <c r="AL3472" s="386"/>
      <c r="AM3472" s="386"/>
      <c r="AN3472" s="387"/>
      <c r="AO3472" s="386"/>
      <c r="AP3472" s="386"/>
      <c r="AQ3472" s="386"/>
      <c r="AR3472" s="387"/>
      <c r="AS3472" s="387"/>
      <c r="AT3472" s="386"/>
      <c r="AU3472" s="386"/>
      <c r="AV3472" s="386"/>
      <c r="AW3472" s="386"/>
      <c r="AX3472" s="386"/>
      <c r="AY3472" s="386"/>
      <c r="AZ3472" s="386"/>
      <c r="BA3472" s="386"/>
      <c r="BB3472" s="386"/>
      <c r="BC3472" s="386"/>
      <c r="BD3472" s="386"/>
      <c r="BE3472" s="386"/>
      <c r="BF3472" s="386"/>
      <c r="BG3472" s="387"/>
      <c r="BH3472" s="386"/>
      <c r="BI3472" s="386"/>
    </row>
    <row r="3473" spans="1:61" s="46" customFormat="1" x14ac:dyDescent="0.3">
      <c r="A3473" s="359"/>
      <c r="B3473" s="312"/>
      <c r="C3473" s="455"/>
      <c r="D3473" s="370"/>
      <c r="E3473" s="386"/>
      <c r="F3473" s="387"/>
      <c r="G3473" s="387"/>
      <c r="H3473" s="386"/>
      <c r="I3473" s="386"/>
      <c r="J3473" s="386"/>
      <c r="K3473" s="386"/>
      <c r="L3473" s="386"/>
      <c r="M3473" s="386"/>
      <c r="N3473" s="386"/>
      <c r="O3473" s="386"/>
      <c r="P3473" s="386"/>
      <c r="Q3473" s="386"/>
      <c r="R3473" s="386"/>
      <c r="S3473" s="386"/>
      <c r="T3473" s="386"/>
      <c r="U3473" s="387"/>
      <c r="V3473" s="386"/>
      <c r="W3473" s="386"/>
      <c r="X3473" s="386"/>
      <c r="Y3473" s="387"/>
      <c r="Z3473" s="387"/>
      <c r="AA3473" s="386"/>
      <c r="AB3473" s="386"/>
      <c r="AC3473" s="386"/>
      <c r="AD3473" s="386"/>
      <c r="AE3473" s="386"/>
      <c r="AF3473" s="386"/>
      <c r="AG3473" s="386"/>
      <c r="AH3473" s="386"/>
      <c r="AI3473" s="386"/>
      <c r="AJ3473" s="386"/>
      <c r="AK3473" s="386"/>
      <c r="AL3473" s="386"/>
      <c r="AM3473" s="386"/>
      <c r="AN3473" s="387"/>
      <c r="AO3473" s="386"/>
      <c r="AP3473" s="386"/>
      <c r="AQ3473" s="386"/>
      <c r="AR3473" s="387"/>
      <c r="AS3473" s="387"/>
      <c r="AT3473" s="386"/>
      <c r="AU3473" s="386"/>
      <c r="AV3473" s="386"/>
      <c r="AW3473" s="386"/>
      <c r="AX3473" s="386"/>
      <c r="AY3473" s="386"/>
      <c r="AZ3473" s="386"/>
      <c r="BA3473" s="386"/>
      <c r="BB3473" s="386"/>
      <c r="BC3473" s="386"/>
      <c r="BD3473" s="386"/>
      <c r="BE3473" s="386"/>
      <c r="BF3473" s="386"/>
      <c r="BG3473" s="387"/>
      <c r="BH3473" s="386"/>
      <c r="BI3473" s="386"/>
    </row>
    <row r="3474" spans="1:61" s="46" customFormat="1" x14ac:dyDescent="0.3">
      <c r="A3474" s="317"/>
      <c r="B3474" s="312"/>
      <c r="C3474" s="455"/>
      <c r="D3474" s="370"/>
      <c r="E3474" s="386"/>
      <c r="F3474" s="387"/>
      <c r="G3474" s="387"/>
      <c r="H3474" s="386"/>
      <c r="I3474" s="386"/>
      <c r="J3474" s="386"/>
      <c r="K3474" s="386"/>
      <c r="L3474" s="386"/>
      <c r="M3474" s="386"/>
      <c r="N3474" s="386"/>
      <c r="O3474" s="386"/>
      <c r="P3474" s="386"/>
      <c r="Q3474" s="386"/>
      <c r="R3474" s="386"/>
      <c r="S3474" s="386"/>
      <c r="T3474" s="386"/>
      <c r="U3474" s="387"/>
      <c r="V3474" s="386"/>
      <c r="W3474" s="386"/>
      <c r="X3474" s="386"/>
      <c r="Y3474" s="387"/>
      <c r="Z3474" s="387"/>
      <c r="AA3474" s="386"/>
      <c r="AB3474" s="386"/>
      <c r="AC3474" s="386"/>
      <c r="AD3474" s="386"/>
      <c r="AE3474" s="386"/>
      <c r="AF3474" s="386"/>
      <c r="AG3474" s="386"/>
      <c r="AH3474" s="386"/>
      <c r="AI3474" s="386"/>
      <c r="AJ3474" s="386"/>
      <c r="AK3474" s="386"/>
      <c r="AL3474" s="386"/>
      <c r="AM3474" s="386"/>
      <c r="AN3474" s="387"/>
      <c r="AO3474" s="386"/>
      <c r="AP3474" s="386"/>
      <c r="AQ3474" s="386"/>
      <c r="AR3474" s="387"/>
      <c r="AS3474" s="387"/>
      <c r="AT3474" s="386"/>
      <c r="AU3474" s="386"/>
      <c r="AV3474" s="386"/>
      <c r="AW3474" s="386"/>
      <c r="AX3474" s="386"/>
      <c r="AY3474" s="386"/>
      <c r="AZ3474" s="386"/>
      <c r="BA3474" s="386"/>
      <c r="BB3474" s="386"/>
      <c r="BC3474" s="386"/>
      <c r="BD3474" s="386"/>
      <c r="BE3474" s="386"/>
      <c r="BF3474" s="386"/>
      <c r="BG3474" s="387"/>
      <c r="BH3474" s="386"/>
      <c r="BI3474" s="386"/>
    </row>
    <row r="3475" spans="1:61" s="46" customFormat="1" x14ac:dyDescent="0.3">
      <c r="A3475" s="317"/>
      <c r="B3475" s="312"/>
      <c r="C3475" s="455"/>
      <c r="D3475" s="370"/>
      <c r="E3475" s="386"/>
      <c r="F3475" s="387"/>
      <c r="G3475" s="387"/>
      <c r="H3475" s="386"/>
      <c r="I3475" s="386"/>
      <c r="J3475" s="386"/>
      <c r="K3475" s="386"/>
      <c r="L3475" s="386"/>
      <c r="M3475" s="386"/>
      <c r="N3475" s="386"/>
      <c r="O3475" s="386"/>
      <c r="P3475" s="386"/>
      <c r="Q3475" s="386"/>
      <c r="R3475" s="386"/>
      <c r="S3475" s="386"/>
      <c r="T3475" s="386"/>
      <c r="U3475" s="387"/>
      <c r="V3475" s="386"/>
      <c r="W3475" s="386"/>
      <c r="X3475" s="386"/>
      <c r="Y3475" s="387"/>
      <c r="Z3475" s="387"/>
      <c r="AA3475" s="386"/>
      <c r="AB3475" s="386"/>
      <c r="AC3475" s="386"/>
      <c r="AD3475" s="386"/>
      <c r="AE3475" s="386"/>
      <c r="AF3475" s="386"/>
      <c r="AG3475" s="386"/>
      <c r="AH3475" s="386"/>
      <c r="AI3475" s="386"/>
      <c r="AJ3475" s="386"/>
      <c r="AK3475" s="386"/>
      <c r="AL3475" s="386"/>
      <c r="AM3475" s="386"/>
      <c r="AN3475" s="387"/>
      <c r="AO3475" s="386"/>
      <c r="AP3475" s="386"/>
      <c r="AQ3475" s="386"/>
      <c r="AR3475" s="387"/>
      <c r="AS3475" s="387"/>
      <c r="AT3475" s="386"/>
      <c r="AU3475" s="386"/>
      <c r="AV3475" s="386"/>
      <c r="AW3475" s="386"/>
      <c r="AX3475" s="386"/>
      <c r="AY3475" s="386"/>
      <c r="AZ3475" s="386"/>
      <c r="BA3475" s="386"/>
      <c r="BB3475" s="386"/>
      <c r="BC3475" s="386"/>
      <c r="BD3475" s="386"/>
      <c r="BE3475" s="386"/>
      <c r="BF3475" s="386"/>
      <c r="BG3475" s="387"/>
      <c r="BH3475" s="386"/>
      <c r="BI3475" s="386"/>
    </row>
    <row r="3476" spans="1:61" s="46" customFormat="1" x14ac:dyDescent="0.3">
      <c r="A3476" s="317"/>
      <c r="B3476" s="312"/>
      <c r="C3476" s="455"/>
      <c r="D3476" s="370"/>
      <c r="E3476" s="386"/>
      <c r="F3476" s="387"/>
      <c r="G3476" s="387"/>
      <c r="H3476" s="386"/>
      <c r="I3476" s="386"/>
      <c r="J3476" s="386"/>
      <c r="K3476" s="386"/>
      <c r="L3476" s="386"/>
      <c r="M3476" s="386"/>
      <c r="N3476" s="386"/>
      <c r="O3476" s="386"/>
      <c r="P3476" s="386"/>
      <c r="Q3476" s="386"/>
      <c r="R3476" s="386"/>
      <c r="S3476" s="386"/>
      <c r="T3476" s="386"/>
      <c r="U3476" s="387"/>
      <c r="V3476" s="386"/>
      <c r="W3476" s="386"/>
      <c r="X3476" s="386"/>
      <c r="Y3476" s="387"/>
      <c r="Z3476" s="387"/>
      <c r="AA3476" s="386"/>
      <c r="AB3476" s="386"/>
      <c r="AC3476" s="386"/>
      <c r="AD3476" s="386"/>
      <c r="AE3476" s="386"/>
      <c r="AF3476" s="386"/>
      <c r="AG3476" s="386"/>
      <c r="AH3476" s="386"/>
      <c r="AI3476" s="386"/>
      <c r="AJ3476" s="386"/>
      <c r="AK3476" s="386"/>
      <c r="AL3476" s="386"/>
      <c r="AM3476" s="386"/>
      <c r="AN3476" s="387"/>
      <c r="AO3476" s="386"/>
      <c r="AP3476" s="386"/>
      <c r="AQ3476" s="386"/>
      <c r="AR3476" s="387"/>
      <c r="AS3476" s="387"/>
      <c r="AT3476" s="386"/>
      <c r="AU3476" s="386"/>
      <c r="AV3476" s="386"/>
      <c r="AW3476" s="386"/>
      <c r="AX3476" s="386"/>
      <c r="AY3476" s="386"/>
      <c r="AZ3476" s="386"/>
      <c r="BA3476" s="386"/>
      <c r="BB3476" s="386"/>
      <c r="BC3476" s="386"/>
      <c r="BD3476" s="386"/>
      <c r="BE3476" s="386"/>
      <c r="BF3476" s="386"/>
      <c r="BG3476" s="387"/>
      <c r="BH3476" s="386"/>
      <c r="BI3476" s="386"/>
    </row>
    <row r="3477" spans="1:61" s="46" customFormat="1" x14ac:dyDescent="0.3">
      <c r="A3477" s="317"/>
      <c r="B3477" s="312"/>
      <c r="C3477" s="455"/>
      <c r="D3477" s="370"/>
      <c r="E3477" s="386"/>
      <c r="F3477" s="387"/>
      <c r="G3477" s="387"/>
      <c r="H3477" s="386"/>
      <c r="I3477" s="386"/>
      <c r="J3477" s="386"/>
      <c r="K3477" s="386"/>
      <c r="L3477" s="386"/>
      <c r="M3477" s="386"/>
      <c r="N3477" s="386"/>
      <c r="O3477" s="386"/>
      <c r="P3477" s="386"/>
      <c r="Q3477" s="386"/>
      <c r="R3477" s="386"/>
      <c r="S3477" s="386"/>
      <c r="T3477" s="386"/>
      <c r="U3477" s="387"/>
      <c r="V3477" s="386"/>
      <c r="W3477" s="386"/>
      <c r="X3477" s="386"/>
      <c r="Y3477" s="387"/>
      <c r="Z3477" s="387"/>
      <c r="AA3477" s="386"/>
      <c r="AB3477" s="386"/>
      <c r="AC3477" s="386"/>
      <c r="AD3477" s="386"/>
      <c r="AE3477" s="386"/>
      <c r="AF3477" s="386"/>
      <c r="AG3477" s="386"/>
      <c r="AH3477" s="386"/>
      <c r="AI3477" s="386"/>
      <c r="AJ3477" s="386"/>
      <c r="AK3477" s="386"/>
      <c r="AL3477" s="386"/>
      <c r="AM3477" s="386"/>
      <c r="AN3477" s="387"/>
      <c r="AO3477" s="386"/>
      <c r="AP3477" s="386"/>
      <c r="AQ3477" s="386"/>
      <c r="AR3477" s="387"/>
      <c r="AS3477" s="387"/>
      <c r="AT3477" s="386"/>
      <c r="AU3477" s="386"/>
      <c r="AV3477" s="386"/>
      <c r="AW3477" s="386"/>
      <c r="AX3477" s="386"/>
      <c r="AY3477" s="386"/>
      <c r="AZ3477" s="386"/>
      <c r="BA3477" s="386"/>
      <c r="BB3477" s="386"/>
      <c r="BC3477" s="386"/>
      <c r="BD3477" s="386"/>
      <c r="BE3477" s="386"/>
      <c r="BF3477" s="386"/>
      <c r="BG3477" s="387"/>
      <c r="BH3477" s="386"/>
      <c r="BI3477" s="386"/>
    </row>
    <row r="3478" spans="1:61" s="46" customFormat="1" x14ac:dyDescent="0.3">
      <c r="A3478" s="317"/>
      <c r="B3478" s="312"/>
      <c r="C3478" s="455"/>
      <c r="D3478" s="370"/>
      <c r="E3478" s="386"/>
      <c r="F3478" s="387"/>
      <c r="G3478" s="387"/>
      <c r="H3478" s="386"/>
      <c r="I3478" s="386"/>
      <c r="J3478" s="386"/>
      <c r="K3478" s="386"/>
      <c r="L3478" s="386"/>
      <c r="M3478" s="386"/>
      <c r="N3478" s="386"/>
      <c r="O3478" s="386"/>
      <c r="P3478" s="386"/>
      <c r="Q3478" s="386"/>
      <c r="R3478" s="386"/>
      <c r="S3478" s="386"/>
      <c r="T3478" s="386"/>
      <c r="U3478" s="387"/>
      <c r="V3478" s="386"/>
      <c r="W3478" s="386"/>
      <c r="X3478" s="386"/>
      <c r="Y3478" s="387"/>
      <c r="Z3478" s="387"/>
      <c r="AA3478" s="386"/>
      <c r="AB3478" s="386"/>
      <c r="AC3478" s="386"/>
      <c r="AD3478" s="386"/>
      <c r="AE3478" s="386"/>
      <c r="AF3478" s="386"/>
      <c r="AG3478" s="386"/>
      <c r="AH3478" s="386"/>
      <c r="AI3478" s="386"/>
      <c r="AJ3478" s="386"/>
      <c r="AK3478" s="386"/>
      <c r="AL3478" s="386"/>
      <c r="AM3478" s="386"/>
      <c r="AN3478" s="387"/>
      <c r="AO3478" s="386"/>
      <c r="AP3478" s="386"/>
      <c r="AQ3478" s="386"/>
      <c r="AR3478" s="387"/>
      <c r="AS3478" s="387"/>
      <c r="AT3478" s="386"/>
      <c r="AU3478" s="386"/>
      <c r="AV3478" s="386"/>
      <c r="AW3478" s="386"/>
      <c r="AX3478" s="386"/>
      <c r="AY3478" s="386"/>
      <c r="AZ3478" s="386"/>
      <c r="BA3478" s="386"/>
      <c r="BB3478" s="386"/>
      <c r="BC3478" s="386"/>
      <c r="BD3478" s="386"/>
      <c r="BE3478" s="386"/>
      <c r="BF3478" s="386"/>
      <c r="BG3478" s="387"/>
      <c r="BH3478" s="386"/>
      <c r="BI3478" s="386"/>
    </row>
    <row r="3479" spans="1:61" s="46" customFormat="1" x14ac:dyDescent="0.3">
      <c r="A3479" s="317"/>
      <c r="B3479" s="312"/>
      <c r="C3479" s="455"/>
      <c r="D3479" s="370"/>
      <c r="E3479" s="386"/>
      <c r="F3479" s="387"/>
      <c r="G3479" s="387"/>
      <c r="H3479" s="386"/>
      <c r="I3479" s="386"/>
      <c r="J3479" s="386"/>
      <c r="K3479" s="386"/>
      <c r="L3479" s="386"/>
      <c r="M3479" s="386"/>
      <c r="N3479" s="386"/>
      <c r="O3479" s="386"/>
      <c r="P3479" s="386"/>
      <c r="Q3479" s="386"/>
      <c r="R3479" s="386"/>
      <c r="S3479" s="386"/>
      <c r="T3479" s="386"/>
      <c r="U3479" s="387"/>
      <c r="V3479" s="386"/>
      <c r="W3479" s="386"/>
      <c r="X3479" s="386"/>
      <c r="Y3479" s="387"/>
      <c r="Z3479" s="387"/>
      <c r="AA3479" s="386"/>
      <c r="AB3479" s="386"/>
      <c r="AC3479" s="386"/>
      <c r="AD3479" s="386"/>
      <c r="AE3479" s="386"/>
      <c r="AF3479" s="386"/>
      <c r="AG3479" s="386"/>
      <c r="AH3479" s="386"/>
      <c r="AI3479" s="386"/>
      <c r="AJ3479" s="386"/>
      <c r="AK3479" s="386"/>
      <c r="AL3479" s="386"/>
      <c r="AM3479" s="386"/>
      <c r="AN3479" s="387"/>
      <c r="AO3479" s="386"/>
      <c r="AP3479" s="386"/>
      <c r="AQ3479" s="386"/>
      <c r="AR3479" s="387"/>
      <c r="AS3479" s="387"/>
      <c r="AT3479" s="386"/>
      <c r="AU3479" s="386"/>
      <c r="AV3479" s="386"/>
      <c r="AW3479" s="386"/>
      <c r="AX3479" s="386"/>
      <c r="AY3479" s="386"/>
      <c r="AZ3479" s="386"/>
      <c r="BA3479" s="386"/>
      <c r="BB3479" s="386"/>
      <c r="BC3479" s="386"/>
      <c r="BD3479" s="386"/>
      <c r="BE3479" s="386"/>
      <c r="BF3479" s="386"/>
      <c r="BG3479" s="387"/>
      <c r="BH3479" s="386"/>
      <c r="BI3479" s="386"/>
    </row>
    <row r="3480" spans="1:61" s="46" customFormat="1" x14ac:dyDescent="0.3">
      <c r="A3480" s="317"/>
      <c r="B3480" s="312"/>
      <c r="C3480" s="455"/>
      <c r="D3480" s="370"/>
      <c r="E3480" s="386"/>
      <c r="F3480" s="387"/>
      <c r="G3480" s="387"/>
      <c r="H3480" s="386"/>
      <c r="I3480" s="386"/>
      <c r="J3480" s="386"/>
      <c r="K3480" s="386"/>
      <c r="L3480" s="386"/>
      <c r="M3480" s="386"/>
      <c r="N3480" s="386"/>
      <c r="O3480" s="386"/>
      <c r="P3480" s="386"/>
      <c r="Q3480" s="386"/>
      <c r="R3480" s="386"/>
      <c r="S3480" s="386"/>
      <c r="T3480" s="386"/>
      <c r="U3480" s="387"/>
      <c r="V3480" s="386"/>
      <c r="W3480" s="386"/>
      <c r="X3480" s="386"/>
      <c r="Y3480" s="387"/>
      <c r="Z3480" s="387"/>
      <c r="AA3480" s="386"/>
      <c r="AB3480" s="386"/>
      <c r="AC3480" s="386"/>
      <c r="AD3480" s="386"/>
      <c r="AE3480" s="386"/>
      <c r="AF3480" s="386"/>
      <c r="AG3480" s="386"/>
      <c r="AH3480" s="386"/>
      <c r="AI3480" s="386"/>
      <c r="AJ3480" s="386"/>
      <c r="AK3480" s="386"/>
      <c r="AL3480" s="386"/>
      <c r="AM3480" s="386"/>
      <c r="AN3480" s="387"/>
      <c r="AO3480" s="386"/>
      <c r="AP3480" s="386"/>
      <c r="AQ3480" s="386"/>
      <c r="AR3480" s="387"/>
      <c r="AS3480" s="387"/>
      <c r="AT3480" s="386"/>
      <c r="AU3480" s="386"/>
      <c r="AV3480" s="386"/>
      <c r="AW3480" s="386"/>
      <c r="AX3480" s="386"/>
      <c r="AY3480" s="386"/>
      <c r="AZ3480" s="386"/>
      <c r="BA3480" s="386"/>
      <c r="BB3480" s="386"/>
      <c r="BC3480" s="386"/>
      <c r="BD3480" s="386"/>
      <c r="BE3480" s="386"/>
      <c r="BF3480" s="386"/>
      <c r="BG3480" s="387"/>
      <c r="BH3480" s="386"/>
      <c r="BI3480" s="386"/>
    </row>
    <row r="3481" spans="1:61" s="46" customFormat="1" x14ac:dyDescent="0.3">
      <c r="A3481" s="317"/>
      <c r="B3481" s="312"/>
      <c r="C3481" s="455"/>
      <c r="D3481" s="370"/>
      <c r="E3481" s="386"/>
      <c r="F3481" s="387"/>
      <c r="G3481" s="387"/>
      <c r="H3481" s="386"/>
      <c r="I3481" s="386"/>
      <c r="J3481" s="386"/>
      <c r="K3481" s="386"/>
      <c r="L3481" s="386"/>
      <c r="M3481" s="386"/>
      <c r="N3481" s="386"/>
      <c r="O3481" s="386"/>
      <c r="P3481" s="386"/>
      <c r="Q3481" s="386"/>
      <c r="R3481" s="386"/>
      <c r="S3481" s="386"/>
      <c r="T3481" s="386"/>
      <c r="U3481" s="387"/>
      <c r="V3481" s="386"/>
      <c r="W3481" s="386"/>
      <c r="X3481" s="386"/>
      <c r="Y3481" s="387"/>
      <c r="Z3481" s="387"/>
      <c r="AA3481" s="386"/>
      <c r="AB3481" s="386"/>
      <c r="AC3481" s="386"/>
      <c r="AD3481" s="386"/>
      <c r="AE3481" s="386"/>
      <c r="AF3481" s="386"/>
      <c r="AG3481" s="386"/>
      <c r="AH3481" s="386"/>
      <c r="AI3481" s="386"/>
      <c r="AJ3481" s="386"/>
      <c r="AK3481" s="386"/>
      <c r="AL3481" s="386"/>
      <c r="AM3481" s="386"/>
      <c r="AN3481" s="387"/>
      <c r="AO3481" s="386"/>
      <c r="AP3481" s="386"/>
      <c r="AQ3481" s="386"/>
      <c r="AR3481" s="387"/>
      <c r="AS3481" s="387"/>
      <c r="AT3481" s="386"/>
      <c r="AU3481" s="386"/>
      <c r="AV3481" s="386"/>
      <c r="AW3481" s="386"/>
      <c r="AX3481" s="386"/>
      <c r="AY3481" s="386"/>
      <c r="AZ3481" s="386"/>
      <c r="BA3481" s="386"/>
      <c r="BB3481" s="386"/>
      <c r="BC3481" s="386"/>
      <c r="BD3481" s="386"/>
      <c r="BE3481" s="386"/>
      <c r="BF3481" s="386"/>
      <c r="BG3481" s="387"/>
      <c r="BH3481" s="386"/>
      <c r="BI3481" s="386"/>
    </row>
    <row r="3482" spans="1:61" s="46" customFormat="1" x14ac:dyDescent="0.3">
      <c r="A3482" s="317"/>
      <c r="B3482" s="312"/>
      <c r="C3482" s="455"/>
      <c r="D3482" s="370"/>
      <c r="E3482" s="386"/>
      <c r="F3482" s="387"/>
      <c r="G3482" s="387"/>
      <c r="H3482" s="386"/>
      <c r="I3482" s="386"/>
      <c r="J3482" s="386"/>
      <c r="K3482" s="386"/>
      <c r="L3482" s="386"/>
      <c r="M3482" s="386"/>
      <c r="N3482" s="386"/>
      <c r="O3482" s="386"/>
      <c r="P3482" s="386"/>
      <c r="Q3482" s="386"/>
      <c r="R3482" s="386"/>
      <c r="S3482" s="386"/>
      <c r="T3482" s="386"/>
      <c r="U3482" s="387"/>
      <c r="V3482" s="386"/>
      <c r="W3482" s="386"/>
      <c r="X3482" s="386"/>
      <c r="Y3482" s="387"/>
      <c r="Z3482" s="387"/>
      <c r="AA3482" s="386"/>
      <c r="AB3482" s="386"/>
      <c r="AC3482" s="386"/>
      <c r="AD3482" s="386"/>
      <c r="AE3482" s="386"/>
      <c r="AF3482" s="386"/>
      <c r="AG3482" s="386"/>
      <c r="AH3482" s="386"/>
      <c r="AI3482" s="386"/>
      <c r="AJ3482" s="386"/>
      <c r="AK3482" s="386"/>
      <c r="AL3482" s="386"/>
      <c r="AM3482" s="386"/>
      <c r="AN3482" s="387"/>
      <c r="AO3482" s="386"/>
      <c r="AP3482" s="386"/>
      <c r="AQ3482" s="386"/>
      <c r="AR3482" s="387"/>
      <c r="AS3482" s="387"/>
      <c r="AT3482" s="386"/>
      <c r="AU3482" s="386"/>
      <c r="AV3482" s="386"/>
      <c r="AW3482" s="386"/>
      <c r="AX3482" s="386"/>
      <c r="AY3482" s="386"/>
      <c r="AZ3482" s="386"/>
      <c r="BA3482" s="386"/>
      <c r="BB3482" s="386"/>
      <c r="BC3482" s="386"/>
      <c r="BD3482" s="386"/>
      <c r="BE3482" s="386"/>
      <c r="BF3482" s="386"/>
      <c r="BG3482" s="387"/>
      <c r="BH3482" s="386"/>
      <c r="BI3482" s="386"/>
    </row>
    <row r="3483" spans="1:61" s="46" customFormat="1" x14ac:dyDescent="0.3">
      <c r="A3483" s="317"/>
      <c r="B3483" s="312"/>
      <c r="C3483" s="455"/>
      <c r="D3483" s="370"/>
      <c r="E3483" s="386"/>
      <c r="F3483" s="387"/>
      <c r="G3483" s="387"/>
      <c r="H3483" s="386"/>
      <c r="I3483" s="386"/>
      <c r="J3483" s="386"/>
      <c r="K3483" s="386"/>
      <c r="L3483" s="386"/>
      <c r="M3483" s="386"/>
      <c r="N3483" s="386"/>
      <c r="O3483" s="386"/>
      <c r="P3483" s="386"/>
      <c r="Q3483" s="386"/>
      <c r="R3483" s="386"/>
      <c r="S3483" s="386"/>
      <c r="T3483" s="386"/>
      <c r="U3483" s="387"/>
      <c r="V3483" s="386"/>
      <c r="W3483" s="386"/>
      <c r="X3483" s="386"/>
      <c r="Y3483" s="387"/>
      <c r="Z3483" s="387"/>
      <c r="AA3483" s="386"/>
      <c r="AB3483" s="386"/>
      <c r="AC3483" s="386"/>
      <c r="AD3483" s="386"/>
      <c r="AE3483" s="386"/>
      <c r="AF3483" s="386"/>
      <c r="AG3483" s="386"/>
      <c r="AH3483" s="386"/>
      <c r="AI3483" s="386"/>
      <c r="AJ3483" s="386"/>
      <c r="AK3483" s="386"/>
      <c r="AL3483" s="386"/>
      <c r="AM3483" s="386"/>
      <c r="AN3483" s="387"/>
      <c r="AO3483" s="386"/>
      <c r="AP3483" s="386"/>
      <c r="AQ3483" s="386"/>
      <c r="AR3483" s="387"/>
      <c r="AS3483" s="387"/>
      <c r="AT3483" s="386"/>
      <c r="AU3483" s="386"/>
      <c r="AV3483" s="386"/>
      <c r="AW3483" s="386"/>
      <c r="AX3483" s="386"/>
      <c r="AY3483" s="386"/>
      <c r="AZ3483" s="386"/>
      <c r="BA3483" s="386"/>
      <c r="BB3483" s="386"/>
      <c r="BC3483" s="386"/>
      <c r="BD3483" s="386"/>
      <c r="BE3483" s="386"/>
      <c r="BF3483" s="386"/>
      <c r="BG3483" s="387"/>
      <c r="BH3483" s="386"/>
      <c r="BI3483" s="386"/>
    </row>
    <row r="3484" spans="1:61" s="46" customFormat="1" x14ac:dyDescent="0.3">
      <c r="A3484" s="317"/>
      <c r="B3484" s="312"/>
      <c r="C3484" s="455"/>
      <c r="D3484" s="370"/>
      <c r="E3484" s="386"/>
      <c r="F3484" s="387"/>
      <c r="G3484" s="387"/>
      <c r="H3484" s="386"/>
      <c r="I3484" s="386"/>
      <c r="J3484" s="386"/>
      <c r="K3484" s="386"/>
      <c r="L3484" s="386"/>
      <c r="M3484" s="386"/>
      <c r="N3484" s="386"/>
      <c r="O3484" s="386"/>
      <c r="P3484" s="386"/>
      <c r="Q3484" s="386"/>
      <c r="R3484" s="386"/>
      <c r="S3484" s="386"/>
      <c r="T3484" s="386"/>
      <c r="U3484" s="387"/>
      <c r="V3484" s="386"/>
      <c r="W3484" s="386"/>
      <c r="X3484" s="386"/>
      <c r="Y3484" s="387"/>
      <c r="Z3484" s="387"/>
      <c r="AA3484" s="386"/>
      <c r="AB3484" s="386"/>
      <c r="AC3484" s="386"/>
      <c r="AD3484" s="386"/>
      <c r="AE3484" s="386"/>
      <c r="AF3484" s="386"/>
      <c r="AG3484" s="386"/>
      <c r="AH3484" s="386"/>
      <c r="AI3484" s="386"/>
      <c r="AJ3484" s="386"/>
      <c r="AK3484" s="386"/>
      <c r="AL3484" s="386"/>
      <c r="AM3484" s="386"/>
      <c r="AN3484" s="387"/>
      <c r="AO3484" s="386"/>
      <c r="AP3484" s="386"/>
      <c r="AQ3484" s="386"/>
      <c r="AR3484" s="387"/>
      <c r="AS3484" s="387"/>
      <c r="AT3484" s="386"/>
      <c r="AU3484" s="386"/>
      <c r="AV3484" s="386"/>
      <c r="AW3484" s="386"/>
      <c r="AX3484" s="386"/>
      <c r="AY3484" s="386"/>
      <c r="AZ3484" s="386"/>
      <c r="BA3484" s="386"/>
      <c r="BB3484" s="386"/>
      <c r="BC3484" s="386"/>
      <c r="BD3484" s="386"/>
      <c r="BE3484" s="386"/>
      <c r="BF3484" s="386"/>
      <c r="BG3484" s="387"/>
      <c r="BH3484" s="386"/>
      <c r="BI3484" s="386"/>
    </row>
    <row r="3485" spans="1:61" s="46" customFormat="1" x14ac:dyDescent="0.3">
      <c r="A3485" s="317"/>
      <c r="B3485" s="312"/>
      <c r="C3485" s="455"/>
      <c r="D3485" s="370"/>
      <c r="E3485" s="386"/>
      <c r="F3485" s="387"/>
      <c r="G3485" s="387"/>
      <c r="H3485" s="386"/>
      <c r="I3485" s="386"/>
      <c r="J3485" s="386"/>
      <c r="K3485" s="386"/>
      <c r="L3485" s="386"/>
      <c r="M3485" s="386"/>
      <c r="N3485" s="386"/>
      <c r="O3485" s="386"/>
      <c r="P3485" s="386"/>
      <c r="Q3485" s="386"/>
      <c r="R3485" s="386"/>
      <c r="S3485" s="386"/>
      <c r="T3485" s="386"/>
      <c r="U3485" s="387"/>
      <c r="V3485" s="386"/>
      <c r="W3485" s="386"/>
      <c r="X3485" s="386"/>
      <c r="Y3485" s="387"/>
      <c r="Z3485" s="387"/>
      <c r="AA3485" s="386"/>
      <c r="AB3485" s="386"/>
      <c r="AC3485" s="386"/>
      <c r="AD3485" s="386"/>
      <c r="AE3485" s="386"/>
      <c r="AF3485" s="386"/>
      <c r="AG3485" s="386"/>
      <c r="AH3485" s="386"/>
      <c r="AI3485" s="386"/>
      <c r="AJ3485" s="386"/>
      <c r="AK3485" s="386"/>
      <c r="AL3485" s="386"/>
      <c r="AM3485" s="386"/>
      <c r="AN3485" s="387"/>
      <c r="AO3485" s="386"/>
      <c r="AP3485" s="386"/>
      <c r="AQ3485" s="386"/>
      <c r="AR3485" s="387"/>
      <c r="AS3485" s="387"/>
      <c r="AT3485" s="386"/>
      <c r="AU3485" s="386"/>
      <c r="AV3485" s="386"/>
      <c r="AW3485" s="386"/>
      <c r="AX3485" s="386"/>
      <c r="AY3485" s="386"/>
      <c r="AZ3485" s="386"/>
      <c r="BA3485" s="386"/>
      <c r="BB3485" s="386"/>
      <c r="BC3485" s="386"/>
      <c r="BD3485" s="386"/>
      <c r="BE3485" s="386"/>
      <c r="BF3485" s="386"/>
      <c r="BG3485" s="387"/>
      <c r="BH3485" s="386"/>
      <c r="BI3485" s="386"/>
    </row>
    <row r="3486" spans="1:61" s="46" customFormat="1" x14ac:dyDescent="0.3">
      <c r="A3486" s="317"/>
      <c r="B3486" s="312"/>
      <c r="C3486" s="455"/>
      <c r="D3486" s="370"/>
      <c r="E3486" s="386"/>
      <c r="F3486" s="387"/>
      <c r="G3486" s="387"/>
      <c r="H3486" s="386"/>
      <c r="I3486" s="386"/>
      <c r="J3486" s="386"/>
      <c r="K3486" s="386"/>
      <c r="L3486" s="386"/>
      <c r="M3486" s="386"/>
      <c r="N3486" s="386"/>
      <c r="O3486" s="386"/>
      <c r="P3486" s="386"/>
      <c r="Q3486" s="386"/>
      <c r="R3486" s="386"/>
      <c r="S3486" s="386"/>
      <c r="T3486" s="386"/>
      <c r="U3486" s="387"/>
      <c r="V3486" s="386"/>
      <c r="W3486" s="386"/>
      <c r="X3486" s="386"/>
      <c r="Y3486" s="387"/>
      <c r="Z3486" s="387"/>
      <c r="AA3486" s="386"/>
      <c r="AB3486" s="386"/>
      <c r="AC3486" s="386"/>
      <c r="AD3486" s="386"/>
      <c r="AE3486" s="386"/>
      <c r="AF3486" s="386"/>
      <c r="AG3486" s="386"/>
      <c r="AH3486" s="386"/>
      <c r="AI3486" s="386"/>
      <c r="AJ3486" s="386"/>
      <c r="AK3486" s="386"/>
      <c r="AL3486" s="386"/>
      <c r="AM3486" s="386"/>
      <c r="AN3486" s="387"/>
      <c r="AO3486" s="386"/>
      <c r="AP3486" s="386"/>
      <c r="AQ3486" s="386"/>
      <c r="AR3486" s="387"/>
      <c r="AS3486" s="387"/>
      <c r="AT3486" s="386"/>
      <c r="AU3486" s="386"/>
      <c r="AV3486" s="386"/>
      <c r="AW3486" s="386"/>
      <c r="AX3486" s="386"/>
      <c r="AY3486" s="386"/>
      <c r="AZ3486" s="386"/>
      <c r="BA3486" s="386"/>
      <c r="BB3486" s="386"/>
      <c r="BC3486" s="386"/>
      <c r="BD3486" s="386"/>
      <c r="BE3486" s="386"/>
      <c r="BF3486" s="386"/>
      <c r="BG3486" s="387"/>
      <c r="BH3486" s="386"/>
      <c r="BI3486" s="386"/>
    </row>
    <row r="3487" spans="1:61" s="46" customFormat="1" x14ac:dyDescent="0.3">
      <c r="A3487" s="317"/>
      <c r="B3487" s="312"/>
      <c r="C3487" s="455"/>
      <c r="D3487" s="370"/>
      <c r="E3487" s="386"/>
      <c r="F3487" s="387"/>
      <c r="G3487" s="387"/>
      <c r="H3487" s="386"/>
      <c r="I3487" s="386"/>
      <c r="J3487" s="386"/>
      <c r="K3487" s="386"/>
      <c r="L3487" s="386"/>
      <c r="M3487" s="386"/>
      <c r="N3487" s="386"/>
      <c r="O3487" s="386"/>
      <c r="P3487" s="386"/>
      <c r="Q3487" s="386"/>
      <c r="R3487" s="386"/>
      <c r="S3487" s="386"/>
      <c r="T3487" s="386"/>
      <c r="U3487" s="387"/>
      <c r="V3487" s="386"/>
      <c r="W3487" s="386"/>
      <c r="X3487" s="386"/>
      <c r="Y3487" s="387"/>
      <c r="Z3487" s="387"/>
      <c r="AA3487" s="386"/>
      <c r="AB3487" s="386"/>
      <c r="AC3487" s="386"/>
      <c r="AD3487" s="386"/>
      <c r="AE3487" s="386"/>
      <c r="AF3487" s="386"/>
      <c r="AG3487" s="386"/>
      <c r="AH3487" s="386"/>
      <c r="AI3487" s="386"/>
      <c r="AJ3487" s="386"/>
      <c r="AK3487" s="386"/>
      <c r="AL3487" s="386"/>
      <c r="AM3487" s="386"/>
      <c r="AN3487" s="387"/>
      <c r="AO3487" s="386"/>
      <c r="AP3487" s="386"/>
      <c r="AQ3487" s="386"/>
      <c r="AR3487" s="387"/>
      <c r="AS3487" s="387"/>
      <c r="AT3487" s="386"/>
      <c r="AU3487" s="386"/>
      <c r="AV3487" s="386"/>
      <c r="AW3487" s="386"/>
      <c r="AX3487" s="386"/>
      <c r="AY3487" s="386"/>
      <c r="AZ3487" s="386"/>
      <c r="BA3487" s="386"/>
      <c r="BB3487" s="386"/>
      <c r="BC3487" s="386"/>
      <c r="BD3487" s="386"/>
      <c r="BE3487" s="386"/>
      <c r="BF3487" s="386"/>
      <c r="BG3487" s="387"/>
      <c r="BH3487" s="386"/>
      <c r="BI3487" s="386"/>
    </row>
    <row r="3488" spans="1:61" s="46" customFormat="1" x14ac:dyDescent="0.3">
      <c r="A3488" s="317"/>
      <c r="B3488" s="312"/>
      <c r="C3488" s="455"/>
      <c r="D3488" s="370"/>
      <c r="E3488" s="386"/>
      <c r="F3488" s="387"/>
      <c r="G3488" s="387"/>
      <c r="H3488" s="386"/>
      <c r="I3488" s="386"/>
      <c r="J3488" s="386"/>
      <c r="K3488" s="386"/>
      <c r="L3488" s="386"/>
      <c r="M3488" s="386"/>
      <c r="N3488" s="386"/>
      <c r="O3488" s="386"/>
      <c r="P3488" s="386"/>
      <c r="Q3488" s="386"/>
      <c r="R3488" s="386"/>
      <c r="S3488" s="386"/>
      <c r="T3488" s="386"/>
      <c r="U3488" s="387"/>
      <c r="V3488" s="386"/>
      <c r="W3488" s="386"/>
      <c r="X3488" s="386"/>
      <c r="Y3488" s="387"/>
      <c r="Z3488" s="387"/>
      <c r="AA3488" s="386"/>
      <c r="AB3488" s="386"/>
      <c r="AC3488" s="386"/>
      <c r="AD3488" s="386"/>
      <c r="AE3488" s="386"/>
      <c r="AF3488" s="386"/>
      <c r="AG3488" s="386"/>
      <c r="AH3488" s="386"/>
      <c r="AI3488" s="386"/>
      <c r="AJ3488" s="386"/>
      <c r="AK3488" s="386"/>
      <c r="AL3488" s="386"/>
      <c r="AM3488" s="386"/>
      <c r="AN3488" s="387"/>
      <c r="AO3488" s="386"/>
      <c r="AP3488" s="386"/>
      <c r="AQ3488" s="386"/>
      <c r="AR3488" s="387"/>
      <c r="AS3488" s="387"/>
      <c r="AT3488" s="386"/>
      <c r="AU3488" s="386"/>
      <c r="AV3488" s="386"/>
      <c r="AW3488" s="386"/>
      <c r="AX3488" s="386"/>
      <c r="AY3488" s="386"/>
      <c r="AZ3488" s="386"/>
      <c r="BA3488" s="386"/>
      <c r="BB3488" s="386"/>
      <c r="BC3488" s="386"/>
      <c r="BD3488" s="386"/>
      <c r="BE3488" s="386"/>
      <c r="BF3488" s="386"/>
      <c r="BG3488" s="387"/>
      <c r="BH3488" s="386"/>
      <c r="BI3488" s="386"/>
    </row>
    <row r="3489" spans="1:61" s="46" customFormat="1" x14ac:dyDescent="0.3">
      <c r="A3489" s="317"/>
      <c r="B3489" s="312"/>
      <c r="C3489" s="455"/>
      <c r="D3489" s="370"/>
      <c r="E3489" s="386"/>
      <c r="F3489" s="387"/>
      <c r="G3489" s="387"/>
      <c r="H3489" s="386"/>
      <c r="I3489" s="386"/>
      <c r="J3489" s="386"/>
      <c r="K3489" s="386"/>
      <c r="L3489" s="386"/>
      <c r="M3489" s="386"/>
      <c r="N3489" s="386"/>
      <c r="O3489" s="386"/>
      <c r="P3489" s="386"/>
      <c r="Q3489" s="386"/>
      <c r="R3489" s="386"/>
      <c r="S3489" s="386"/>
      <c r="T3489" s="386"/>
      <c r="U3489" s="387"/>
      <c r="V3489" s="386"/>
      <c r="W3489" s="386"/>
      <c r="X3489" s="386"/>
      <c r="Y3489" s="387"/>
      <c r="Z3489" s="387"/>
      <c r="AA3489" s="386"/>
      <c r="AB3489" s="386"/>
      <c r="AC3489" s="386"/>
      <c r="AD3489" s="386"/>
      <c r="AE3489" s="386"/>
      <c r="AF3489" s="386"/>
      <c r="AG3489" s="386"/>
      <c r="AH3489" s="386"/>
      <c r="AI3489" s="386"/>
      <c r="AJ3489" s="386"/>
      <c r="AK3489" s="386"/>
      <c r="AL3489" s="386"/>
      <c r="AM3489" s="386"/>
      <c r="AN3489" s="387"/>
      <c r="AO3489" s="386"/>
      <c r="AP3489" s="386"/>
      <c r="AQ3489" s="386"/>
      <c r="AR3489" s="387"/>
      <c r="AS3489" s="387"/>
      <c r="AT3489" s="386"/>
      <c r="AU3489" s="386"/>
      <c r="AV3489" s="386"/>
      <c r="AW3489" s="386"/>
      <c r="AX3489" s="386"/>
      <c r="AY3489" s="386"/>
      <c r="AZ3489" s="386"/>
      <c r="BA3489" s="386"/>
      <c r="BB3489" s="386"/>
      <c r="BC3489" s="386"/>
      <c r="BD3489" s="386"/>
      <c r="BE3489" s="386"/>
      <c r="BF3489" s="386"/>
      <c r="BG3489" s="387"/>
      <c r="BH3489" s="386"/>
      <c r="BI3489" s="386"/>
    </row>
    <row r="3490" spans="1:61" s="46" customFormat="1" x14ac:dyDescent="0.3">
      <c r="A3490" s="317"/>
      <c r="B3490" s="312"/>
      <c r="C3490" s="455"/>
      <c r="D3490" s="370"/>
      <c r="E3490" s="386"/>
      <c r="F3490" s="387"/>
      <c r="G3490" s="387"/>
      <c r="H3490" s="386"/>
      <c r="I3490" s="386"/>
      <c r="J3490" s="386"/>
      <c r="K3490" s="386"/>
      <c r="L3490" s="386"/>
      <c r="M3490" s="386"/>
      <c r="N3490" s="386"/>
      <c r="O3490" s="386"/>
      <c r="P3490" s="386"/>
      <c r="Q3490" s="386"/>
      <c r="R3490" s="386"/>
      <c r="S3490" s="386"/>
      <c r="T3490" s="386"/>
      <c r="U3490" s="387"/>
      <c r="V3490" s="386"/>
      <c r="W3490" s="386"/>
      <c r="X3490" s="386"/>
      <c r="Y3490" s="387"/>
      <c r="Z3490" s="387"/>
      <c r="AA3490" s="386"/>
      <c r="AB3490" s="386"/>
      <c r="AC3490" s="386"/>
      <c r="AD3490" s="386"/>
      <c r="AE3490" s="386"/>
      <c r="AF3490" s="386"/>
      <c r="AG3490" s="386"/>
      <c r="AH3490" s="386"/>
      <c r="AI3490" s="386"/>
      <c r="AJ3490" s="386"/>
      <c r="AK3490" s="386"/>
      <c r="AL3490" s="386"/>
      <c r="AM3490" s="386"/>
      <c r="AN3490" s="387"/>
      <c r="AO3490" s="386"/>
      <c r="AP3490" s="386"/>
      <c r="AQ3490" s="386"/>
      <c r="AR3490" s="387"/>
      <c r="AS3490" s="387"/>
      <c r="AT3490" s="386"/>
      <c r="AU3490" s="386"/>
      <c r="AV3490" s="386"/>
      <c r="AW3490" s="386"/>
      <c r="AX3490" s="386"/>
      <c r="AY3490" s="386"/>
      <c r="AZ3490" s="386"/>
      <c r="BA3490" s="386"/>
      <c r="BB3490" s="386"/>
      <c r="BC3490" s="386"/>
      <c r="BD3490" s="386"/>
      <c r="BE3490" s="386"/>
      <c r="BF3490" s="386"/>
      <c r="BG3490" s="387"/>
      <c r="BH3490" s="386"/>
      <c r="BI3490" s="386"/>
    </row>
    <row r="3491" spans="1:61" s="46" customFormat="1" x14ac:dyDescent="0.3">
      <c r="A3491" s="317"/>
      <c r="B3491" s="312"/>
      <c r="C3491" s="455"/>
      <c r="D3491" s="370"/>
      <c r="E3491" s="386"/>
      <c r="F3491" s="387"/>
      <c r="G3491" s="387"/>
      <c r="H3491" s="386"/>
      <c r="I3491" s="386"/>
      <c r="J3491" s="386"/>
      <c r="K3491" s="386"/>
      <c r="L3491" s="386"/>
      <c r="M3491" s="386"/>
      <c r="N3491" s="386"/>
      <c r="O3491" s="386"/>
      <c r="P3491" s="386"/>
      <c r="Q3491" s="386"/>
      <c r="R3491" s="386"/>
      <c r="S3491" s="386"/>
      <c r="T3491" s="386"/>
      <c r="U3491" s="387"/>
      <c r="V3491" s="386"/>
      <c r="W3491" s="386"/>
      <c r="X3491" s="386"/>
      <c r="Y3491" s="387"/>
      <c r="Z3491" s="387"/>
      <c r="AA3491" s="386"/>
      <c r="AB3491" s="386"/>
      <c r="AC3491" s="386"/>
      <c r="AD3491" s="386"/>
      <c r="AE3491" s="386"/>
      <c r="AF3491" s="386"/>
      <c r="AG3491" s="386"/>
      <c r="AH3491" s="386"/>
      <c r="AI3491" s="386"/>
      <c r="AJ3491" s="386"/>
      <c r="AK3491" s="386"/>
      <c r="AL3491" s="386"/>
      <c r="AM3491" s="386"/>
      <c r="AN3491" s="387"/>
      <c r="AO3491" s="386"/>
      <c r="AP3491" s="386"/>
      <c r="AQ3491" s="386"/>
      <c r="AR3491" s="387"/>
      <c r="AS3491" s="387"/>
      <c r="AT3491" s="386"/>
      <c r="AU3491" s="386"/>
      <c r="AV3491" s="386"/>
      <c r="AW3491" s="386"/>
      <c r="AX3491" s="386"/>
      <c r="AY3491" s="386"/>
      <c r="AZ3491" s="386"/>
      <c r="BA3491" s="386"/>
      <c r="BB3491" s="386"/>
      <c r="BC3491" s="386"/>
      <c r="BD3491" s="386"/>
      <c r="BE3491" s="386"/>
      <c r="BF3491" s="386"/>
      <c r="BG3491" s="387"/>
      <c r="BH3491" s="386"/>
      <c r="BI3491" s="386"/>
    </row>
    <row r="3492" spans="1:61" s="46" customFormat="1" x14ac:dyDescent="0.3">
      <c r="A3492" s="317"/>
      <c r="B3492" s="312"/>
      <c r="C3492" s="455"/>
      <c r="D3492" s="370"/>
      <c r="E3492" s="386"/>
      <c r="F3492" s="387"/>
      <c r="G3492" s="387"/>
      <c r="H3492" s="386"/>
      <c r="I3492" s="386"/>
      <c r="J3492" s="386"/>
      <c r="K3492" s="386"/>
      <c r="L3492" s="386"/>
      <c r="M3492" s="386"/>
      <c r="N3492" s="386"/>
      <c r="O3492" s="386"/>
      <c r="P3492" s="386"/>
      <c r="Q3492" s="386"/>
      <c r="R3492" s="386"/>
      <c r="S3492" s="386"/>
      <c r="T3492" s="386"/>
      <c r="U3492" s="387"/>
      <c r="V3492" s="386"/>
      <c r="W3492" s="386"/>
      <c r="X3492" s="386"/>
      <c r="Y3492" s="387"/>
      <c r="Z3492" s="387"/>
      <c r="AA3492" s="386"/>
      <c r="AB3492" s="386"/>
      <c r="AC3492" s="386"/>
      <c r="AD3492" s="386"/>
      <c r="AE3492" s="386"/>
      <c r="AF3492" s="386"/>
      <c r="AG3492" s="386"/>
      <c r="AH3492" s="386"/>
      <c r="AI3492" s="386"/>
      <c r="AJ3492" s="386"/>
      <c r="AK3492" s="386"/>
      <c r="AL3492" s="386"/>
      <c r="AM3492" s="386"/>
      <c r="AN3492" s="387"/>
      <c r="AO3492" s="386"/>
      <c r="AP3492" s="386"/>
      <c r="AQ3492" s="386"/>
      <c r="AR3492" s="387"/>
      <c r="AS3492" s="387"/>
      <c r="AT3492" s="386"/>
      <c r="AU3492" s="386"/>
      <c r="AV3492" s="386"/>
      <c r="AW3492" s="386"/>
      <c r="AX3492" s="386"/>
      <c r="AY3492" s="386"/>
      <c r="AZ3492" s="386"/>
      <c r="BA3492" s="386"/>
      <c r="BB3492" s="386"/>
      <c r="BC3492" s="386"/>
      <c r="BD3492" s="386"/>
      <c r="BE3492" s="386"/>
      <c r="BF3492" s="386"/>
      <c r="BG3492" s="387"/>
      <c r="BH3492" s="386"/>
      <c r="BI3492" s="386"/>
    </row>
    <row r="3493" spans="1:61" s="46" customFormat="1" x14ac:dyDescent="0.3">
      <c r="A3493" s="317"/>
      <c r="B3493" s="312"/>
      <c r="C3493" s="455"/>
      <c r="D3493" s="370"/>
      <c r="E3493" s="386"/>
      <c r="F3493" s="387"/>
      <c r="G3493" s="387"/>
      <c r="H3493" s="386"/>
      <c r="I3493" s="386"/>
      <c r="J3493" s="386"/>
      <c r="K3493" s="386"/>
      <c r="L3493" s="386"/>
      <c r="M3493" s="386"/>
      <c r="N3493" s="386"/>
      <c r="O3493" s="386"/>
      <c r="P3493" s="386"/>
      <c r="Q3493" s="386"/>
      <c r="R3493" s="386"/>
      <c r="S3493" s="386"/>
      <c r="T3493" s="386"/>
      <c r="U3493" s="387"/>
      <c r="V3493" s="386"/>
      <c r="W3493" s="386"/>
      <c r="X3493" s="386"/>
      <c r="Y3493" s="387"/>
      <c r="Z3493" s="387"/>
      <c r="AA3493" s="386"/>
      <c r="AB3493" s="386"/>
      <c r="AC3493" s="386"/>
      <c r="AD3493" s="386"/>
      <c r="AE3493" s="386"/>
      <c r="AF3493" s="386"/>
      <c r="AG3493" s="386"/>
      <c r="AH3493" s="386"/>
      <c r="AI3493" s="386"/>
      <c r="AJ3493" s="386"/>
      <c r="AK3493" s="386"/>
      <c r="AL3493" s="386"/>
      <c r="AM3493" s="386"/>
      <c r="AN3493" s="387"/>
      <c r="AO3493" s="386"/>
      <c r="AP3493" s="386"/>
      <c r="AQ3493" s="386"/>
      <c r="AR3493" s="387"/>
      <c r="AS3493" s="387"/>
      <c r="AT3493" s="386"/>
      <c r="AU3493" s="386"/>
      <c r="AV3493" s="386"/>
      <c r="AW3493" s="386"/>
      <c r="AX3493" s="386"/>
      <c r="AY3493" s="386"/>
      <c r="AZ3493" s="386"/>
      <c r="BA3493" s="386"/>
      <c r="BB3493" s="386"/>
      <c r="BC3493" s="386"/>
      <c r="BD3493" s="386"/>
      <c r="BE3493" s="386"/>
      <c r="BF3493" s="386"/>
      <c r="BG3493" s="387"/>
      <c r="BH3493" s="386"/>
      <c r="BI3493" s="386"/>
    </row>
    <row r="3494" spans="1:61" s="46" customFormat="1" x14ac:dyDescent="0.3">
      <c r="A3494" s="317"/>
      <c r="B3494" s="312"/>
      <c r="C3494" s="455"/>
      <c r="D3494" s="370"/>
      <c r="E3494" s="386"/>
      <c r="F3494" s="387"/>
      <c r="G3494" s="387"/>
      <c r="H3494" s="386"/>
      <c r="I3494" s="386"/>
      <c r="J3494" s="386"/>
      <c r="K3494" s="386"/>
      <c r="L3494" s="386"/>
      <c r="M3494" s="386"/>
      <c r="N3494" s="386"/>
      <c r="O3494" s="386"/>
      <c r="P3494" s="386"/>
      <c r="Q3494" s="386"/>
      <c r="R3494" s="386"/>
      <c r="S3494" s="386"/>
      <c r="T3494" s="386"/>
      <c r="U3494" s="387"/>
      <c r="V3494" s="386"/>
      <c r="W3494" s="386"/>
      <c r="X3494" s="386"/>
      <c r="Y3494" s="387"/>
      <c r="Z3494" s="387"/>
      <c r="AA3494" s="386"/>
      <c r="AB3494" s="386"/>
      <c r="AC3494" s="386"/>
      <c r="AD3494" s="386"/>
      <c r="AE3494" s="386"/>
      <c r="AF3494" s="386"/>
      <c r="AG3494" s="386"/>
      <c r="AH3494" s="386"/>
      <c r="AI3494" s="386"/>
      <c r="AJ3494" s="386"/>
      <c r="AK3494" s="386"/>
      <c r="AL3494" s="386"/>
      <c r="AM3494" s="386"/>
      <c r="AN3494" s="387"/>
      <c r="AO3494" s="386"/>
      <c r="AP3494" s="386"/>
      <c r="AQ3494" s="386"/>
      <c r="AR3494" s="387"/>
      <c r="AS3494" s="387"/>
      <c r="AT3494" s="386"/>
      <c r="AU3494" s="386"/>
      <c r="AV3494" s="386"/>
      <c r="AW3494" s="386"/>
      <c r="AX3494" s="386"/>
      <c r="AY3494" s="386"/>
      <c r="AZ3494" s="386"/>
      <c r="BA3494" s="386"/>
      <c r="BB3494" s="386"/>
      <c r="BC3494" s="386"/>
      <c r="BD3494" s="386"/>
      <c r="BE3494" s="386"/>
      <c r="BF3494" s="386"/>
      <c r="BG3494" s="387"/>
      <c r="BH3494" s="386"/>
      <c r="BI3494" s="386"/>
    </row>
    <row r="3495" spans="1:61" s="46" customFormat="1" x14ac:dyDescent="0.3">
      <c r="A3495" s="317"/>
      <c r="B3495" s="312"/>
      <c r="C3495" s="455"/>
      <c r="D3495" s="370"/>
      <c r="E3495" s="386"/>
      <c r="F3495" s="387"/>
      <c r="G3495" s="387"/>
      <c r="H3495" s="386"/>
      <c r="I3495" s="386"/>
      <c r="J3495" s="386"/>
      <c r="K3495" s="386"/>
      <c r="L3495" s="386"/>
      <c r="M3495" s="386"/>
      <c r="N3495" s="386"/>
      <c r="O3495" s="386"/>
      <c r="P3495" s="386"/>
      <c r="Q3495" s="386"/>
      <c r="R3495" s="386"/>
      <c r="S3495" s="386"/>
      <c r="T3495" s="386"/>
      <c r="U3495" s="387"/>
      <c r="V3495" s="386"/>
      <c r="W3495" s="386"/>
      <c r="X3495" s="386"/>
      <c r="Y3495" s="387"/>
      <c r="Z3495" s="387"/>
      <c r="AA3495" s="386"/>
      <c r="AB3495" s="386"/>
      <c r="AC3495" s="386"/>
      <c r="AD3495" s="386"/>
      <c r="AE3495" s="386"/>
      <c r="AF3495" s="386"/>
      <c r="AG3495" s="386"/>
      <c r="AH3495" s="386"/>
      <c r="AI3495" s="386"/>
      <c r="AJ3495" s="386"/>
      <c r="AK3495" s="386"/>
      <c r="AL3495" s="386"/>
      <c r="AM3495" s="386"/>
      <c r="AN3495" s="387"/>
      <c r="AO3495" s="386"/>
      <c r="AP3495" s="386"/>
      <c r="AQ3495" s="386"/>
      <c r="AR3495" s="387"/>
      <c r="AS3495" s="387"/>
      <c r="AT3495" s="386"/>
      <c r="AU3495" s="386"/>
      <c r="AV3495" s="386"/>
      <c r="AW3495" s="386"/>
      <c r="AX3495" s="386"/>
      <c r="AY3495" s="386"/>
      <c r="AZ3495" s="386"/>
      <c r="BA3495" s="386"/>
      <c r="BB3495" s="386"/>
      <c r="BC3495" s="386"/>
      <c r="BD3495" s="386"/>
      <c r="BE3495" s="386"/>
      <c r="BF3495" s="386"/>
      <c r="BG3495" s="387"/>
      <c r="BH3495" s="386"/>
      <c r="BI3495" s="386"/>
    </row>
    <row r="3496" spans="1:61" s="46" customFormat="1" x14ac:dyDescent="0.3">
      <c r="A3496" s="317"/>
      <c r="B3496" s="312"/>
      <c r="C3496" s="455"/>
      <c r="D3496" s="370"/>
      <c r="E3496" s="386"/>
      <c r="F3496" s="387"/>
      <c r="G3496" s="387"/>
      <c r="H3496" s="386"/>
      <c r="I3496" s="386"/>
      <c r="J3496" s="386"/>
      <c r="K3496" s="386"/>
      <c r="L3496" s="386"/>
      <c r="M3496" s="386"/>
      <c r="N3496" s="386"/>
      <c r="O3496" s="386"/>
      <c r="P3496" s="386"/>
      <c r="Q3496" s="386"/>
      <c r="R3496" s="386"/>
      <c r="S3496" s="386"/>
      <c r="T3496" s="386"/>
      <c r="U3496" s="387"/>
      <c r="V3496" s="386"/>
      <c r="W3496" s="386"/>
      <c r="X3496" s="386"/>
      <c r="Y3496" s="387"/>
      <c r="Z3496" s="387"/>
      <c r="AA3496" s="386"/>
      <c r="AB3496" s="386"/>
      <c r="AC3496" s="386"/>
      <c r="AD3496" s="386"/>
      <c r="AE3496" s="386"/>
      <c r="AF3496" s="386"/>
      <c r="AG3496" s="386"/>
      <c r="AH3496" s="386"/>
      <c r="AI3496" s="386"/>
      <c r="AJ3496" s="386"/>
      <c r="AK3496" s="386"/>
      <c r="AL3496" s="386"/>
      <c r="AM3496" s="386"/>
      <c r="AN3496" s="387"/>
      <c r="AO3496" s="386"/>
      <c r="AP3496" s="386"/>
      <c r="AQ3496" s="386"/>
      <c r="AR3496" s="387"/>
      <c r="AS3496" s="387"/>
      <c r="AT3496" s="386"/>
      <c r="AU3496" s="386"/>
      <c r="AV3496" s="386"/>
      <c r="AW3496" s="386"/>
      <c r="AX3496" s="386"/>
      <c r="AY3496" s="386"/>
      <c r="AZ3496" s="386"/>
      <c r="BA3496" s="386"/>
      <c r="BB3496" s="386"/>
      <c r="BC3496" s="386"/>
      <c r="BD3496" s="386"/>
      <c r="BE3496" s="386"/>
      <c r="BF3496" s="386"/>
      <c r="BG3496" s="387"/>
      <c r="BH3496" s="386"/>
      <c r="BI3496" s="386"/>
    </row>
    <row r="3497" spans="1:61" s="46" customFormat="1" x14ac:dyDescent="0.3">
      <c r="A3497" s="317"/>
      <c r="B3497" s="312"/>
      <c r="C3497" s="455"/>
      <c r="D3497" s="370"/>
      <c r="E3497" s="386"/>
      <c r="F3497" s="387"/>
      <c r="G3497" s="387"/>
      <c r="H3497" s="386"/>
      <c r="I3497" s="386"/>
      <c r="J3497" s="386"/>
      <c r="K3497" s="386"/>
      <c r="L3497" s="386"/>
      <c r="M3497" s="386"/>
      <c r="N3497" s="386"/>
      <c r="O3497" s="386"/>
      <c r="P3497" s="386"/>
      <c r="Q3497" s="386"/>
      <c r="R3497" s="386"/>
      <c r="S3497" s="386"/>
      <c r="T3497" s="386"/>
      <c r="U3497" s="387"/>
      <c r="V3497" s="386"/>
      <c r="W3497" s="386"/>
      <c r="X3497" s="386"/>
      <c r="Y3497" s="387"/>
      <c r="Z3497" s="387"/>
      <c r="AA3497" s="386"/>
      <c r="AB3497" s="386"/>
      <c r="AC3497" s="386"/>
      <c r="AD3497" s="386"/>
      <c r="AE3497" s="386"/>
      <c r="AF3497" s="386"/>
      <c r="AG3497" s="386"/>
      <c r="AH3497" s="386"/>
      <c r="AI3497" s="386"/>
      <c r="AJ3497" s="386"/>
      <c r="AK3497" s="386"/>
      <c r="AL3497" s="386"/>
      <c r="AM3497" s="386"/>
      <c r="AN3497" s="387"/>
      <c r="AO3497" s="386"/>
      <c r="AP3497" s="386"/>
      <c r="AQ3497" s="386"/>
      <c r="AR3497" s="387"/>
      <c r="AS3497" s="387"/>
      <c r="AT3497" s="386"/>
      <c r="AU3497" s="386"/>
      <c r="AV3497" s="386"/>
      <c r="AW3497" s="386"/>
      <c r="AX3497" s="386"/>
      <c r="AY3497" s="386"/>
      <c r="AZ3497" s="386"/>
      <c r="BA3497" s="386"/>
      <c r="BB3497" s="386"/>
      <c r="BC3497" s="386"/>
      <c r="BD3497" s="386"/>
      <c r="BE3497" s="386"/>
      <c r="BF3497" s="386"/>
      <c r="BG3497" s="387"/>
      <c r="BH3497" s="386"/>
      <c r="BI3497" s="386"/>
    </row>
    <row r="3498" spans="1:61" s="46" customFormat="1" x14ac:dyDescent="0.3">
      <c r="A3498" s="317"/>
      <c r="B3498" s="312"/>
      <c r="C3498" s="455"/>
      <c r="D3498" s="370"/>
      <c r="E3498" s="386"/>
      <c r="F3498" s="387"/>
      <c r="G3498" s="387"/>
      <c r="H3498" s="386"/>
      <c r="I3498" s="386"/>
      <c r="J3498" s="386"/>
      <c r="K3498" s="386"/>
      <c r="L3498" s="386"/>
      <c r="M3498" s="386"/>
      <c r="N3498" s="386"/>
      <c r="O3498" s="386"/>
      <c r="P3498" s="386"/>
      <c r="Q3498" s="386"/>
      <c r="R3498" s="386"/>
      <c r="S3498" s="386"/>
      <c r="T3498" s="386"/>
      <c r="U3498" s="387"/>
      <c r="V3498" s="386"/>
      <c r="W3498" s="386"/>
      <c r="X3498" s="386"/>
      <c r="Y3498" s="387"/>
      <c r="Z3498" s="387"/>
      <c r="AA3498" s="386"/>
      <c r="AB3498" s="386"/>
      <c r="AC3498" s="386"/>
      <c r="AD3498" s="386"/>
      <c r="AE3498" s="386"/>
      <c r="AF3498" s="386"/>
      <c r="AG3498" s="386"/>
      <c r="AH3498" s="386"/>
      <c r="AI3498" s="386"/>
      <c r="AJ3498" s="386"/>
      <c r="AK3498" s="386"/>
      <c r="AL3498" s="386"/>
      <c r="AM3498" s="386"/>
      <c r="AN3498" s="387"/>
      <c r="AO3498" s="386"/>
      <c r="AP3498" s="386"/>
      <c r="AQ3498" s="386"/>
      <c r="AR3498" s="387"/>
      <c r="AS3498" s="387"/>
      <c r="AT3498" s="386"/>
      <c r="AU3498" s="386"/>
      <c r="AV3498" s="386"/>
      <c r="AW3498" s="386"/>
      <c r="AX3498" s="386"/>
      <c r="AY3498" s="386"/>
      <c r="AZ3498" s="386"/>
      <c r="BA3498" s="386"/>
      <c r="BB3498" s="386"/>
      <c r="BC3498" s="386"/>
      <c r="BD3498" s="386"/>
      <c r="BE3498" s="386"/>
      <c r="BF3498" s="386"/>
      <c r="BG3498" s="387"/>
      <c r="BH3498" s="386"/>
      <c r="BI3498" s="386"/>
    </row>
    <row r="3499" spans="1:61" s="46" customFormat="1" x14ac:dyDescent="0.3">
      <c r="A3499" s="317"/>
      <c r="B3499" s="312"/>
      <c r="C3499" s="455"/>
      <c r="D3499" s="370"/>
      <c r="E3499" s="386"/>
      <c r="F3499" s="387"/>
      <c r="G3499" s="387"/>
      <c r="H3499" s="386"/>
      <c r="I3499" s="386"/>
      <c r="J3499" s="386"/>
      <c r="K3499" s="386"/>
      <c r="L3499" s="386"/>
      <c r="M3499" s="386"/>
      <c r="N3499" s="386"/>
      <c r="O3499" s="386"/>
      <c r="P3499" s="386"/>
      <c r="Q3499" s="386"/>
      <c r="R3499" s="386"/>
      <c r="S3499" s="386"/>
      <c r="T3499" s="386"/>
      <c r="U3499" s="387"/>
      <c r="V3499" s="386"/>
      <c r="W3499" s="386"/>
      <c r="X3499" s="386"/>
      <c r="Y3499" s="387"/>
      <c r="Z3499" s="387"/>
      <c r="AA3499" s="386"/>
      <c r="AB3499" s="386"/>
      <c r="AC3499" s="386"/>
      <c r="AD3499" s="386"/>
      <c r="AE3499" s="386"/>
      <c r="AF3499" s="386"/>
      <c r="AG3499" s="386"/>
      <c r="AH3499" s="386"/>
      <c r="AI3499" s="386"/>
      <c r="AJ3499" s="386"/>
      <c r="AK3499" s="386"/>
      <c r="AL3499" s="386"/>
      <c r="AM3499" s="386"/>
      <c r="AN3499" s="387"/>
      <c r="AO3499" s="386"/>
      <c r="AP3499" s="386"/>
      <c r="AQ3499" s="386"/>
      <c r="AR3499" s="387"/>
      <c r="AS3499" s="387"/>
      <c r="AT3499" s="386"/>
      <c r="AU3499" s="386"/>
      <c r="AV3499" s="386"/>
      <c r="AW3499" s="386"/>
      <c r="AX3499" s="386"/>
      <c r="AY3499" s="386"/>
      <c r="AZ3499" s="386"/>
      <c r="BA3499" s="386"/>
      <c r="BB3499" s="386"/>
      <c r="BC3499" s="386"/>
      <c r="BD3499" s="386"/>
      <c r="BE3499" s="386"/>
      <c r="BF3499" s="386"/>
      <c r="BG3499" s="387"/>
      <c r="BH3499" s="386"/>
      <c r="BI3499" s="386"/>
    </row>
    <row r="3500" spans="1:61" s="46" customFormat="1" x14ac:dyDescent="0.3">
      <c r="A3500" s="317"/>
      <c r="B3500" s="312"/>
      <c r="C3500" s="455"/>
      <c r="D3500" s="370"/>
      <c r="E3500" s="386"/>
      <c r="F3500" s="387"/>
      <c r="G3500" s="387"/>
      <c r="H3500" s="386"/>
      <c r="I3500" s="386"/>
      <c r="J3500" s="386"/>
      <c r="K3500" s="386"/>
      <c r="L3500" s="386"/>
      <c r="M3500" s="386"/>
      <c r="N3500" s="386"/>
      <c r="O3500" s="386"/>
      <c r="P3500" s="386"/>
      <c r="Q3500" s="386"/>
      <c r="R3500" s="386"/>
      <c r="S3500" s="386"/>
      <c r="T3500" s="386"/>
      <c r="U3500" s="387"/>
      <c r="V3500" s="386"/>
      <c r="W3500" s="386"/>
      <c r="X3500" s="386"/>
      <c r="Y3500" s="387"/>
      <c r="Z3500" s="387"/>
      <c r="AA3500" s="386"/>
      <c r="AB3500" s="386"/>
      <c r="AC3500" s="386"/>
      <c r="AD3500" s="386"/>
      <c r="AE3500" s="386"/>
      <c r="AF3500" s="386"/>
      <c r="AG3500" s="386"/>
      <c r="AH3500" s="386"/>
      <c r="AI3500" s="386"/>
      <c r="AJ3500" s="386"/>
      <c r="AK3500" s="386"/>
      <c r="AL3500" s="386"/>
      <c r="AM3500" s="386"/>
      <c r="AN3500" s="387"/>
      <c r="AO3500" s="386"/>
      <c r="AP3500" s="386"/>
      <c r="AQ3500" s="386"/>
      <c r="AR3500" s="387"/>
      <c r="AS3500" s="387"/>
      <c r="AT3500" s="386"/>
      <c r="AU3500" s="386"/>
      <c r="AV3500" s="386"/>
      <c r="AW3500" s="386"/>
      <c r="AX3500" s="386"/>
      <c r="AY3500" s="386"/>
      <c r="AZ3500" s="386"/>
      <c r="BA3500" s="386"/>
      <c r="BB3500" s="386"/>
      <c r="BC3500" s="386"/>
      <c r="BD3500" s="386"/>
      <c r="BE3500" s="386"/>
      <c r="BF3500" s="386"/>
      <c r="BG3500" s="387"/>
      <c r="BH3500" s="386"/>
      <c r="BI3500" s="386"/>
    </row>
    <row r="3501" spans="1:61" s="46" customFormat="1" x14ac:dyDescent="0.3">
      <c r="A3501" s="317"/>
      <c r="B3501" s="312"/>
      <c r="C3501" s="455"/>
      <c r="D3501" s="370"/>
      <c r="E3501" s="386"/>
      <c r="F3501" s="387"/>
      <c r="G3501" s="387"/>
      <c r="H3501" s="386"/>
      <c r="I3501" s="386"/>
      <c r="J3501" s="386"/>
      <c r="K3501" s="386"/>
      <c r="L3501" s="386"/>
      <c r="M3501" s="386"/>
      <c r="N3501" s="386"/>
      <c r="O3501" s="386"/>
      <c r="P3501" s="386"/>
      <c r="Q3501" s="386"/>
      <c r="R3501" s="386"/>
      <c r="S3501" s="386"/>
      <c r="T3501" s="386"/>
      <c r="U3501" s="387"/>
      <c r="V3501" s="386"/>
      <c r="W3501" s="386"/>
      <c r="X3501" s="386"/>
      <c r="Y3501" s="387"/>
      <c r="Z3501" s="387"/>
      <c r="AA3501" s="386"/>
      <c r="AB3501" s="386"/>
      <c r="AC3501" s="386"/>
      <c r="AD3501" s="386"/>
      <c r="AE3501" s="386"/>
      <c r="AF3501" s="386"/>
      <c r="AG3501" s="386"/>
      <c r="AH3501" s="386"/>
      <c r="AI3501" s="386"/>
      <c r="AJ3501" s="386"/>
      <c r="AK3501" s="386"/>
      <c r="AL3501" s="386"/>
      <c r="AM3501" s="386"/>
      <c r="AN3501" s="387"/>
      <c r="AO3501" s="386"/>
      <c r="AP3501" s="386"/>
      <c r="AQ3501" s="386"/>
      <c r="AR3501" s="387"/>
      <c r="AS3501" s="387"/>
      <c r="AT3501" s="386"/>
      <c r="AU3501" s="386"/>
      <c r="AV3501" s="386"/>
      <c r="AW3501" s="386"/>
      <c r="AX3501" s="386"/>
      <c r="AY3501" s="386"/>
      <c r="AZ3501" s="386"/>
      <c r="BA3501" s="386"/>
      <c r="BB3501" s="386"/>
      <c r="BC3501" s="386"/>
      <c r="BD3501" s="386"/>
      <c r="BE3501" s="386"/>
      <c r="BF3501" s="386"/>
      <c r="BG3501" s="387"/>
      <c r="BH3501" s="386"/>
      <c r="BI3501" s="386"/>
    </row>
    <row r="3502" spans="1:61" s="46" customFormat="1" x14ac:dyDescent="0.3">
      <c r="A3502" s="317"/>
      <c r="B3502" s="312"/>
      <c r="C3502" s="455"/>
      <c r="D3502" s="370"/>
      <c r="E3502" s="386"/>
      <c r="F3502" s="387"/>
      <c r="G3502" s="387"/>
      <c r="H3502" s="386"/>
      <c r="I3502" s="386"/>
      <c r="J3502" s="386"/>
      <c r="K3502" s="386"/>
      <c r="L3502" s="386"/>
      <c r="M3502" s="386"/>
      <c r="N3502" s="386"/>
      <c r="O3502" s="386"/>
      <c r="P3502" s="386"/>
      <c r="Q3502" s="386"/>
      <c r="R3502" s="386"/>
      <c r="S3502" s="386"/>
      <c r="T3502" s="386"/>
      <c r="U3502" s="387"/>
      <c r="V3502" s="386"/>
      <c r="W3502" s="386"/>
      <c r="X3502" s="386"/>
      <c r="Y3502" s="387"/>
      <c r="Z3502" s="387"/>
      <c r="AA3502" s="386"/>
      <c r="AB3502" s="386"/>
      <c r="AC3502" s="386"/>
      <c r="AD3502" s="386"/>
      <c r="AE3502" s="386"/>
      <c r="AF3502" s="386"/>
      <c r="AG3502" s="386"/>
      <c r="AH3502" s="386"/>
      <c r="AI3502" s="386"/>
      <c r="AJ3502" s="386"/>
      <c r="AK3502" s="386"/>
      <c r="AL3502" s="386"/>
      <c r="AM3502" s="386"/>
      <c r="AN3502" s="387"/>
      <c r="AO3502" s="386"/>
      <c r="AP3502" s="386"/>
      <c r="AQ3502" s="386"/>
      <c r="AR3502" s="387"/>
      <c r="AS3502" s="387"/>
      <c r="AT3502" s="386"/>
      <c r="AU3502" s="386"/>
      <c r="AV3502" s="386"/>
      <c r="AW3502" s="386"/>
      <c r="AX3502" s="386"/>
      <c r="AY3502" s="386"/>
      <c r="AZ3502" s="386"/>
      <c r="BA3502" s="386"/>
      <c r="BB3502" s="386"/>
      <c r="BC3502" s="386"/>
      <c r="BD3502" s="386"/>
      <c r="BE3502" s="386"/>
      <c r="BF3502" s="386"/>
      <c r="BG3502" s="387"/>
      <c r="BH3502" s="386"/>
      <c r="BI3502" s="386"/>
    </row>
    <row r="3503" spans="1:61" s="46" customFormat="1" x14ac:dyDescent="0.3">
      <c r="A3503" s="317"/>
      <c r="B3503" s="312"/>
      <c r="C3503" s="455"/>
      <c r="D3503" s="370"/>
      <c r="E3503" s="386"/>
      <c r="F3503" s="387"/>
      <c r="G3503" s="387"/>
      <c r="H3503" s="386"/>
      <c r="I3503" s="386"/>
      <c r="J3503" s="386"/>
      <c r="K3503" s="386"/>
      <c r="L3503" s="386"/>
      <c r="M3503" s="386"/>
      <c r="N3503" s="386"/>
      <c r="O3503" s="386"/>
      <c r="P3503" s="386"/>
      <c r="Q3503" s="386"/>
      <c r="R3503" s="386"/>
      <c r="S3503" s="386"/>
      <c r="T3503" s="386"/>
      <c r="U3503" s="387"/>
      <c r="V3503" s="386"/>
      <c r="W3503" s="386"/>
      <c r="X3503" s="386"/>
      <c r="Y3503" s="387"/>
      <c r="Z3503" s="387"/>
      <c r="AA3503" s="386"/>
      <c r="AB3503" s="386"/>
      <c r="AC3503" s="386"/>
      <c r="AD3503" s="386"/>
      <c r="AE3503" s="386"/>
      <c r="AF3503" s="386"/>
      <c r="AG3503" s="386"/>
      <c r="AH3503" s="386"/>
      <c r="AI3503" s="386"/>
      <c r="AJ3503" s="386"/>
      <c r="AK3503" s="386"/>
      <c r="AL3503" s="386"/>
      <c r="AM3503" s="386"/>
      <c r="AN3503" s="387"/>
      <c r="AO3503" s="386"/>
      <c r="AP3503" s="386"/>
      <c r="AQ3503" s="386"/>
      <c r="AR3503" s="387"/>
      <c r="AS3503" s="387"/>
      <c r="AT3503" s="386"/>
      <c r="AU3503" s="386"/>
      <c r="AV3503" s="386"/>
      <c r="AW3503" s="386"/>
      <c r="AX3503" s="386"/>
      <c r="AY3503" s="386"/>
      <c r="AZ3503" s="386"/>
      <c r="BA3503" s="386"/>
      <c r="BB3503" s="386"/>
      <c r="BC3503" s="386"/>
      <c r="BD3503" s="386"/>
      <c r="BE3503" s="386"/>
      <c r="BF3503" s="386"/>
      <c r="BG3503" s="387"/>
      <c r="BH3503" s="386"/>
      <c r="BI3503" s="386"/>
    </row>
    <row r="3504" spans="1:61" s="46" customFormat="1" x14ac:dyDescent="0.3">
      <c r="A3504" s="317"/>
      <c r="B3504" s="312"/>
      <c r="C3504" s="455"/>
      <c r="D3504" s="370"/>
      <c r="E3504" s="386"/>
      <c r="F3504" s="387"/>
      <c r="G3504" s="387"/>
      <c r="H3504" s="386"/>
      <c r="I3504" s="386"/>
      <c r="J3504" s="386"/>
      <c r="K3504" s="386"/>
      <c r="L3504" s="386"/>
      <c r="M3504" s="386"/>
      <c r="N3504" s="386"/>
      <c r="O3504" s="386"/>
      <c r="P3504" s="386"/>
      <c r="Q3504" s="386"/>
      <c r="R3504" s="386"/>
      <c r="S3504" s="386"/>
      <c r="T3504" s="386"/>
      <c r="U3504" s="387"/>
      <c r="V3504" s="386"/>
      <c r="W3504" s="386"/>
      <c r="X3504" s="386"/>
      <c r="Y3504" s="387"/>
      <c r="Z3504" s="387"/>
      <c r="AA3504" s="386"/>
      <c r="AB3504" s="386"/>
      <c r="AC3504" s="386"/>
      <c r="AD3504" s="386"/>
      <c r="AE3504" s="386"/>
      <c r="AF3504" s="386"/>
      <c r="AG3504" s="386"/>
      <c r="AH3504" s="386"/>
      <c r="AI3504" s="386"/>
      <c r="AJ3504" s="386"/>
      <c r="AK3504" s="386"/>
      <c r="AL3504" s="386"/>
      <c r="AM3504" s="386"/>
      <c r="AN3504" s="387"/>
      <c r="AO3504" s="386"/>
      <c r="AP3504" s="386"/>
      <c r="AQ3504" s="386"/>
      <c r="AR3504" s="387"/>
      <c r="AS3504" s="387"/>
      <c r="AT3504" s="386"/>
      <c r="AU3504" s="386"/>
      <c r="AV3504" s="386"/>
      <c r="AW3504" s="386"/>
      <c r="AX3504" s="386"/>
      <c r="AY3504" s="386"/>
      <c r="AZ3504" s="386"/>
      <c r="BA3504" s="386"/>
      <c r="BB3504" s="386"/>
      <c r="BC3504" s="386"/>
      <c r="BD3504" s="386"/>
      <c r="BE3504" s="386"/>
      <c r="BF3504" s="386"/>
      <c r="BG3504" s="387"/>
      <c r="BH3504" s="386"/>
      <c r="BI3504" s="386"/>
    </row>
    <row r="3505" spans="1:61" s="46" customFormat="1" x14ac:dyDescent="0.3">
      <c r="A3505" s="317"/>
      <c r="B3505" s="312"/>
      <c r="C3505" s="455"/>
      <c r="D3505" s="370"/>
      <c r="E3505" s="386"/>
      <c r="F3505" s="387"/>
      <c r="G3505" s="387"/>
      <c r="H3505" s="386"/>
      <c r="I3505" s="386"/>
      <c r="J3505" s="386"/>
      <c r="K3505" s="386"/>
      <c r="L3505" s="386"/>
      <c r="M3505" s="386"/>
      <c r="N3505" s="386"/>
      <c r="O3505" s="386"/>
      <c r="P3505" s="386"/>
      <c r="Q3505" s="386"/>
      <c r="R3505" s="386"/>
      <c r="S3505" s="386"/>
      <c r="T3505" s="386"/>
      <c r="U3505" s="387"/>
      <c r="V3505" s="386"/>
      <c r="W3505" s="386"/>
      <c r="X3505" s="386"/>
      <c r="Y3505" s="387"/>
      <c r="Z3505" s="387"/>
      <c r="AA3505" s="386"/>
      <c r="AB3505" s="386"/>
      <c r="AC3505" s="386"/>
      <c r="AD3505" s="386"/>
      <c r="AE3505" s="386"/>
      <c r="AF3505" s="386"/>
      <c r="AG3505" s="386"/>
      <c r="AH3505" s="386"/>
      <c r="AI3505" s="386"/>
      <c r="AJ3505" s="386"/>
      <c r="AK3505" s="386"/>
      <c r="AL3505" s="386"/>
      <c r="AM3505" s="386"/>
      <c r="AN3505" s="387"/>
      <c r="AO3505" s="386"/>
      <c r="AP3505" s="386"/>
      <c r="AQ3505" s="386"/>
      <c r="AR3505" s="387"/>
      <c r="AS3505" s="387"/>
      <c r="AT3505" s="386"/>
      <c r="AU3505" s="386"/>
      <c r="AV3505" s="386"/>
      <c r="AW3505" s="386"/>
      <c r="AX3505" s="386"/>
      <c r="AY3505" s="386"/>
      <c r="AZ3505" s="386"/>
      <c r="BA3505" s="386"/>
      <c r="BB3505" s="386"/>
      <c r="BC3505" s="386"/>
      <c r="BD3505" s="386"/>
      <c r="BE3505" s="386"/>
      <c r="BF3505" s="386"/>
      <c r="BG3505" s="387"/>
      <c r="BH3505" s="386"/>
      <c r="BI3505" s="386"/>
    </row>
    <row r="3506" spans="1:61" s="46" customFormat="1" x14ac:dyDescent="0.3">
      <c r="A3506" s="317"/>
      <c r="B3506" s="312"/>
      <c r="C3506" s="455"/>
      <c r="D3506" s="370"/>
      <c r="E3506" s="386"/>
      <c r="F3506" s="387"/>
      <c r="G3506" s="387"/>
      <c r="H3506" s="386"/>
      <c r="I3506" s="386"/>
      <c r="J3506" s="386"/>
      <c r="K3506" s="386"/>
      <c r="L3506" s="386"/>
      <c r="M3506" s="386"/>
      <c r="N3506" s="386"/>
      <c r="O3506" s="386"/>
      <c r="P3506" s="386"/>
      <c r="Q3506" s="386"/>
      <c r="R3506" s="386"/>
      <c r="S3506" s="386"/>
      <c r="T3506" s="386"/>
      <c r="U3506" s="387"/>
      <c r="V3506" s="386"/>
      <c r="W3506" s="386"/>
      <c r="X3506" s="386"/>
      <c r="Y3506" s="387"/>
      <c r="Z3506" s="387"/>
      <c r="AA3506" s="386"/>
      <c r="AB3506" s="386"/>
      <c r="AC3506" s="386"/>
      <c r="AD3506" s="386"/>
      <c r="AE3506" s="386"/>
      <c r="AF3506" s="386"/>
      <c r="AG3506" s="386"/>
      <c r="AH3506" s="386"/>
      <c r="AI3506" s="386"/>
      <c r="AJ3506" s="386"/>
      <c r="AK3506" s="386"/>
      <c r="AL3506" s="386"/>
      <c r="AM3506" s="386"/>
      <c r="AN3506" s="387"/>
      <c r="AO3506" s="386"/>
      <c r="AP3506" s="386"/>
      <c r="AQ3506" s="386"/>
      <c r="AR3506" s="387"/>
      <c r="AS3506" s="387"/>
      <c r="AT3506" s="386"/>
      <c r="AU3506" s="386"/>
      <c r="AV3506" s="386"/>
      <c r="AW3506" s="386"/>
      <c r="AX3506" s="386"/>
      <c r="AY3506" s="386"/>
      <c r="AZ3506" s="386"/>
      <c r="BA3506" s="386"/>
      <c r="BB3506" s="386"/>
      <c r="BC3506" s="386"/>
      <c r="BD3506" s="386"/>
      <c r="BE3506" s="386"/>
      <c r="BF3506" s="386"/>
      <c r="BG3506" s="387"/>
      <c r="BH3506" s="386"/>
      <c r="BI3506" s="386"/>
    </row>
    <row r="3507" spans="1:61" s="46" customFormat="1" x14ac:dyDescent="0.3">
      <c r="A3507" s="317"/>
      <c r="B3507" s="312"/>
      <c r="C3507" s="455"/>
      <c r="D3507" s="370"/>
      <c r="E3507" s="386"/>
      <c r="F3507" s="387"/>
      <c r="G3507" s="387"/>
      <c r="H3507" s="386"/>
      <c r="I3507" s="386"/>
      <c r="J3507" s="386"/>
      <c r="K3507" s="386"/>
      <c r="L3507" s="386"/>
      <c r="M3507" s="386"/>
      <c r="N3507" s="386"/>
      <c r="O3507" s="386"/>
      <c r="P3507" s="386"/>
      <c r="Q3507" s="386"/>
      <c r="R3507" s="386"/>
      <c r="S3507" s="386"/>
      <c r="T3507" s="386"/>
      <c r="U3507" s="387"/>
      <c r="V3507" s="386"/>
      <c r="W3507" s="386"/>
      <c r="X3507" s="386"/>
      <c r="Y3507" s="387"/>
      <c r="Z3507" s="387"/>
      <c r="AA3507" s="386"/>
      <c r="AB3507" s="386"/>
      <c r="AC3507" s="386"/>
      <c r="AD3507" s="386"/>
      <c r="AE3507" s="386"/>
      <c r="AF3507" s="386"/>
      <c r="AG3507" s="386"/>
      <c r="AH3507" s="386"/>
      <c r="AI3507" s="386"/>
      <c r="AJ3507" s="386"/>
      <c r="AK3507" s="386"/>
      <c r="AL3507" s="386"/>
      <c r="AM3507" s="386"/>
      <c r="AN3507" s="387"/>
      <c r="AO3507" s="386"/>
      <c r="AP3507" s="386"/>
      <c r="AQ3507" s="386"/>
      <c r="AR3507" s="387"/>
      <c r="AS3507" s="387"/>
      <c r="AT3507" s="386"/>
      <c r="AU3507" s="386"/>
      <c r="AV3507" s="386"/>
      <c r="AW3507" s="386"/>
      <c r="AX3507" s="386"/>
      <c r="AY3507" s="386"/>
      <c r="AZ3507" s="386"/>
      <c r="BA3507" s="386"/>
      <c r="BB3507" s="386"/>
      <c r="BC3507" s="386"/>
      <c r="BD3507" s="386"/>
      <c r="BE3507" s="386"/>
      <c r="BF3507" s="386"/>
      <c r="BG3507" s="387"/>
      <c r="BH3507" s="386"/>
      <c r="BI3507" s="386"/>
    </row>
    <row r="3508" spans="1:61" s="46" customFormat="1" x14ac:dyDescent="0.3">
      <c r="A3508" s="317"/>
      <c r="B3508" s="312"/>
      <c r="C3508" s="455"/>
      <c r="D3508" s="370"/>
      <c r="E3508" s="386"/>
      <c r="F3508" s="387"/>
      <c r="G3508" s="387"/>
      <c r="H3508" s="386"/>
      <c r="I3508" s="386"/>
      <c r="J3508" s="386"/>
      <c r="K3508" s="386"/>
      <c r="L3508" s="386"/>
      <c r="M3508" s="386"/>
      <c r="N3508" s="386"/>
      <c r="O3508" s="386"/>
      <c r="P3508" s="386"/>
      <c r="Q3508" s="386"/>
      <c r="R3508" s="386"/>
      <c r="S3508" s="386"/>
      <c r="T3508" s="386"/>
      <c r="U3508" s="387"/>
      <c r="V3508" s="386"/>
      <c r="W3508" s="386"/>
      <c r="X3508" s="386"/>
      <c r="Y3508" s="387"/>
      <c r="Z3508" s="387"/>
      <c r="AA3508" s="386"/>
      <c r="AB3508" s="386"/>
      <c r="AC3508" s="386"/>
      <c r="AD3508" s="386"/>
      <c r="AE3508" s="386"/>
      <c r="AF3508" s="386"/>
      <c r="AG3508" s="386"/>
      <c r="AH3508" s="386"/>
      <c r="AI3508" s="386"/>
      <c r="AJ3508" s="386"/>
      <c r="AK3508" s="386"/>
      <c r="AL3508" s="386"/>
      <c r="AM3508" s="386"/>
      <c r="AN3508" s="387"/>
      <c r="AO3508" s="386"/>
      <c r="AP3508" s="386"/>
      <c r="AQ3508" s="386"/>
      <c r="AR3508" s="387"/>
      <c r="AS3508" s="387"/>
      <c r="AT3508" s="386"/>
      <c r="AU3508" s="386"/>
      <c r="AV3508" s="386"/>
      <c r="AW3508" s="386"/>
      <c r="AX3508" s="386"/>
      <c r="AY3508" s="386"/>
      <c r="AZ3508" s="386"/>
      <c r="BA3508" s="386"/>
      <c r="BB3508" s="386"/>
      <c r="BC3508" s="386"/>
      <c r="BD3508" s="386"/>
      <c r="BE3508" s="386"/>
      <c r="BF3508" s="386"/>
      <c r="BG3508" s="387"/>
      <c r="BH3508" s="386"/>
      <c r="BI3508" s="386"/>
    </row>
    <row r="3509" spans="1:61" s="46" customFormat="1" x14ac:dyDescent="0.3">
      <c r="A3509" s="317"/>
      <c r="B3509" s="312"/>
      <c r="C3509" s="455"/>
      <c r="D3509" s="370"/>
      <c r="E3509" s="386"/>
      <c r="F3509" s="387"/>
      <c r="G3509" s="387"/>
      <c r="H3509" s="386"/>
      <c r="I3509" s="386"/>
      <c r="J3509" s="386"/>
      <c r="K3509" s="386"/>
      <c r="L3509" s="386"/>
      <c r="M3509" s="386"/>
      <c r="N3509" s="386"/>
      <c r="O3509" s="386"/>
      <c r="P3509" s="386"/>
      <c r="Q3509" s="386"/>
      <c r="R3509" s="386"/>
      <c r="S3509" s="386"/>
      <c r="T3509" s="386"/>
      <c r="U3509" s="387"/>
      <c r="V3509" s="386"/>
      <c r="W3509" s="386"/>
      <c r="X3509" s="386"/>
      <c r="Y3509" s="387"/>
      <c r="Z3509" s="387"/>
      <c r="AA3509" s="386"/>
      <c r="AB3509" s="386"/>
      <c r="AC3509" s="386"/>
      <c r="AD3509" s="386"/>
      <c r="AE3509" s="386"/>
      <c r="AF3509" s="386"/>
      <c r="AG3509" s="386"/>
      <c r="AH3509" s="386"/>
      <c r="AI3509" s="386"/>
      <c r="AJ3509" s="386"/>
      <c r="AK3509" s="386"/>
      <c r="AL3509" s="386"/>
      <c r="AM3509" s="386"/>
      <c r="AN3509" s="387"/>
      <c r="AO3509" s="386"/>
      <c r="AP3509" s="386"/>
      <c r="AQ3509" s="386"/>
      <c r="AR3509" s="387"/>
      <c r="AS3509" s="387"/>
      <c r="AT3509" s="386"/>
      <c r="AU3509" s="386"/>
      <c r="AV3509" s="386"/>
      <c r="AW3509" s="386"/>
      <c r="AX3509" s="386"/>
      <c r="AY3509" s="386"/>
      <c r="AZ3509" s="386"/>
      <c r="BA3509" s="386"/>
      <c r="BB3509" s="386"/>
      <c r="BC3509" s="386"/>
      <c r="BD3509" s="386"/>
      <c r="BE3509" s="386"/>
      <c r="BF3509" s="386"/>
      <c r="BG3509" s="387"/>
      <c r="BH3509" s="386"/>
      <c r="BI3509" s="386"/>
    </row>
    <row r="3510" spans="1:61" s="46" customFormat="1" x14ac:dyDescent="0.3">
      <c r="A3510" s="317"/>
      <c r="B3510" s="312"/>
      <c r="C3510" s="455"/>
      <c r="D3510" s="370"/>
      <c r="E3510" s="386"/>
      <c r="F3510" s="387"/>
      <c r="G3510" s="387"/>
      <c r="H3510" s="386"/>
      <c r="I3510" s="386"/>
      <c r="J3510" s="386"/>
      <c r="K3510" s="386"/>
      <c r="L3510" s="386"/>
      <c r="M3510" s="386"/>
      <c r="N3510" s="386"/>
      <c r="O3510" s="386"/>
      <c r="P3510" s="386"/>
      <c r="Q3510" s="386"/>
      <c r="R3510" s="386"/>
      <c r="S3510" s="386"/>
      <c r="T3510" s="386"/>
      <c r="U3510" s="387"/>
      <c r="V3510" s="386"/>
      <c r="W3510" s="386"/>
      <c r="X3510" s="386"/>
      <c r="Y3510" s="387"/>
      <c r="Z3510" s="387"/>
      <c r="AA3510" s="386"/>
      <c r="AB3510" s="386"/>
      <c r="AC3510" s="386"/>
      <c r="AD3510" s="386"/>
      <c r="AE3510" s="386"/>
      <c r="AF3510" s="386"/>
      <c r="AG3510" s="386"/>
      <c r="AH3510" s="386"/>
      <c r="AI3510" s="386"/>
      <c r="AJ3510" s="386"/>
      <c r="AK3510" s="386"/>
      <c r="AL3510" s="386"/>
      <c r="AM3510" s="386"/>
      <c r="AN3510" s="387"/>
      <c r="AO3510" s="386"/>
      <c r="AP3510" s="386"/>
      <c r="AQ3510" s="386"/>
      <c r="AR3510" s="387"/>
      <c r="AS3510" s="387"/>
      <c r="AT3510" s="386"/>
      <c r="AU3510" s="386"/>
      <c r="AV3510" s="386"/>
      <c r="AW3510" s="386"/>
      <c r="AX3510" s="386"/>
      <c r="AY3510" s="386"/>
      <c r="AZ3510" s="386"/>
      <c r="BA3510" s="386"/>
      <c r="BB3510" s="386"/>
      <c r="BC3510" s="386"/>
      <c r="BD3510" s="386"/>
      <c r="BE3510" s="386"/>
      <c r="BF3510" s="386"/>
      <c r="BG3510" s="387"/>
      <c r="BH3510" s="386"/>
      <c r="BI3510" s="386"/>
    </row>
    <row r="3511" spans="1:61" s="46" customFormat="1" x14ac:dyDescent="0.3">
      <c r="A3511" s="317"/>
      <c r="B3511" s="312"/>
      <c r="C3511" s="455"/>
      <c r="D3511" s="370"/>
      <c r="E3511" s="386"/>
      <c r="F3511" s="387"/>
      <c r="G3511" s="387"/>
      <c r="H3511" s="386"/>
      <c r="I3511" s="386"/>
      <c r="J3511" s="386"/>
      <c r="K3511" s="386"/>
      <c r="L3511" s="386"/>
      <c r="M3511" s="386"/>
      <c r="N3511" s="386"/>
      <c r="O3511" s="386"/>
      <c r="P3511" s="386"/>
      <c r="Q3511" s="386"/>
      <c r="R3511" s="386"/>
      <c r="S3511" s="386"/>
      <c r="T3511" s="386"/>
      <c r="U3511" s="387"/>
      <c r="V3511" s="386"/>
      <c r="W3511" s="386"/>
      <c r="X3511" s="386"/>
      <c r="Y3511" s="387"/>
      <c r="Z3511" s="387"/>
      <c r="AA3511" s="386"/>
      <c r="AB3511" s="386"/>
      <c r="AC3511" s="386"/>
      <c r="AD3511" s="386"/>
      <c r="AE3511" s="386"/>
      <c r="AF3511" s="386"/>
      <c r="AG3511" s="386"/>
      <c r="AH3511" s="386"/>
      <c r="AI3511" s="386"/>
      <c r="AJ3511" s="386"/>
      <c r="AK3511" s="386"/>
      <c r="AL3511" s="386"/>
      <c r="AM3511" s="386"/>
      <c r="AN3511" s="387"/>
      <c r="AO3511" s="386"/>
      <c r="AP3511" s="386"/>
      <c r="AQ3511" s="386"/>
      <c r="AR3511" s="387"/>
      <c r="AS3511" s="387"/>
      <c r="AT3511" s="386"/>
      <c r="AU3511" s="386"/>
      <c r="AV3511" s="386"/>
      <c r="AW3511" s="386"/>
      <c r="AX3511" s="386"/>
      <c r="AY3511" s="386"/>
      <c r="AZ3511" s="386"/>
      <c r="BA3511" s="386"/>
      <c r="BB3511" s="386"/>
      <c r="BC3511" s="386"/>
      <c r="BD3511" s="386"/>
      <c r="BE3511" s="386"/>
      <c r="BF3511" s="386"/>
      <c r="BG3511" s="387"/>
      <c r="BH3511" s="386"/>
      <c r="BI3511" s="386"/>
    </row>
    <row r="3512" spans="1:61" s="46" customFormat="1" x14ac:dyDescent="0.3">
      <c r="A3512" s="317"/>
      <c r="B3512" s="312"/>
      <c r="C3512" s="455"/>
      <c r="D3512" s="370"/>
      <c r="E3512" s="386"/>
      <c r="F3512" s="387"/>
      <c r="G3512" s="387"/>
      <c r="H3512" s="386"/>
      <c r="I3512" s="386"/>
      <c r="J3512" s="386"/>
      <c r="K3512" s="386"/>
      <c r="L3512" s="386"/>
      <c r="M3512" s="386"/>
      <c r="N3512" s="386"/>
      <c r="O3512" s="386"/>
      <c r="P3512" s="386"/>
      <c r="Q3512" s="386"/>
      <c r="R3512" s="386"/>
      <c r="S3512" s="386"/>
      <c r="T3512" s="386"/>
      <c r="U3512" s="387"/>
      <c r="V3512" s="386"/>
      <c r="W3512" s="386"/>
      <c r="X3512" s="386"/>
      <c r="Y3512" s="387"/>
      <c r="Z3512" s="387"/>
      <c r="AA3512" s="386"/>
      <c r="AB3512" s="386"/>
      <c r="AC3512" s="386"/>
      <c r="AD3512" s="386"/>
      <c r="AE3512" s="386"/>
      <c r="AF3512" s="386"/>
      <c r="AG3512" s="386"/>
      <c r="AH3512" s="386"/>
      <c r="AI3512" s="386"/>
      <c r="AJ3512" s="386"/>
      <c r="AK3512" s="386"/>
      <c r="AL3512" s="386"/>
      <c r="AM3512" s="386"/>
      <c r="AN3512" s="387"/>
      <c r="AO3512" s="386"/>
      <c r="AP3512" s="386"/>
      <c r="AQ3512" s="386"/>
      <c r="AR3512" s="387"/>
      <c r="AS3512" s="387"/>
      <c r="AT3512" s="386"/>
      <c r="AU3512" s="386"/>
      <c r="AV3512" s="386"/>
      <c r="AW3512" s="386"/>
      <c r="AX3512" s="386"/>
      <c r="AY3512" s="386"/>
      <c r="AZ3512" s="386"/>
      <c r="BA3512" s="386"/>
      <c r="BB3512" s="386"/>
      <c r="BC3512" s="386"/>
      <c r="BD3512" s="386"/>
      <c r="BE3512" s="386"/>
      <c r="BF3512" s="386"/>
      <c r="BG3512" s="387"/>
      <c r="BH3512" s="386"/>
      <c r="BI3512" s="386"/>
    </row>
    <row r="3513" spans="1:61" s="46" customFormat="1" x14ac:dyDescent="0.3">
      <c r="A3513" s="317"/>
      <c r="B3513" s="312"/>
      <c r="C3513" s="455"/>
      <c r="D3513" s="370"/>
      <c r="E3513" s="386"/>
      <c r="F3513" s="387"/>
      <c r="G3513" s="387"/>
      <c r="H3513" s="386"/>
      <c r="I3513" s="386"/>
      <c r="J3513" s="386"/>
      <c r="K3513" s="386"/>
      <c r="L3513" s="386"/>
      <c r="M3513" s="386"/>
      <c r="N3513" s="386"/>
      <c r="O3513" s="386"/>
      <c r="P3513" s="386"/>
      <c r="Q3513" s="386"/>
      <c r="R3513" s="386"/>
      <c r="S3513" s="386"/>
      <c r="T3513" s="386"/>
      <c r="U3513" s="387"/>
      <c r="V3513" s="386"/>
      <c r="W3513" s="386"/>
      <c r="X3513" s="386"/>
      <c r="Y3513" s="387"/>
      <c r="Z3513" s="387"/>
      <c r="AA3513" s="386"/>
      <c r="AB3513" s="386"/>
      <c r="AC3513" s="386"/>
      <c r="AD3513" s="386"/>
      <c r="AE3513" s="386"/>
      <c r="AF3513" s="386"/>
      <c r="AG3513" s="386"/>
      <c r="AH3513" s="386"/>
      <c r="AI3513" s="386"/>
      <c r="AJ3513" s="386"/>
      <c r="AK3513" s="386"/>
      <c r="AL3513" s="386"/>
      <c r="AM3513" s="386"/>
      <c r="AN3513" s="387"/>
      <c r="AO3513" s="386"/>
      <c r="AP3513" s="386"/>
      <c r="AQ3513" s="386"/>
      <c r="AR3513" s="387"/>
      <c r="AS3513" s="387"/>
      <c r="AT3513" s="386"/>
      <c r="AU3513" s="386"/>
      <c r="AV3513" s="386"/>
      <c r="AW3513" s="386"/>
      <c r="AX3513" s="386"/>
      <c r="AY3513" s="386"/>
      <c r="AZ3513" s="386"/>
      <c r="BA3513" s="386"/>
      <c r="BB3513" s="386"/>
      <c r="BC3513" s="386"/>
      <c r="BD3513" s="386"/>
      <c r="BE3513" s="386"/>
      <c r="BF3513" s="386"/>
      <c r="BG3513" s="387"/>
      <c r="BH3513" s="386"/>
      <c r="BI3513" s="386"/>
    </row>
    <row r="3514" spans="1:61" s="46" customFormat="1" x14ac:dyDescent="0.3">
      <c r="A3514" s="317"/>
      <c r="B3514" s="312"/>
      <c r="C3514" s="455"/>
      <c r="D3514" s="370"/>
      <c r="E3514" s="386"/>
      <c r="F3514" s="387"/>
      <c r="G3514" s="387"/>
      <c r="H3514" s="386"/>
      <c r="I3514" s="386"/>
      <c r="J3514" s="386"/>
      <c r="K3514" s="386"/>
      <c r="L3514" s="386"/>
      <c r="M3514" s="386"/>
      <c r="N3514" s="386"/>
      <c r="O3514" s="386"/>
      <c r="P3514" s="386"/>
      <c r="Q3514" s="386"/>
      <c r="R3514" s="386"/>
      <c r="S3514" s="386"/>
      <c r="T3514" s="386"/>
      <c r="U3514" s="387"/>
      <c r="V3514" s="386"/>
      <c r="W3514" s="386"/>
      <c r="X3514" s="386"/>
      <c r="Y3514" s="387"/>
      <c r="Z3514" s="387"/>
      <c r="AA3514" s="386"/>
      <c r="AB3514" s="386"/>
      <c r="AC3514" s="386"/>
      <c r="AD3514" s="386"/>
      <c r="AE3514" s="386"/>
      <c r="AF3514" s="386"/>
      <c r="AG3514" s="386"/>
      <c r="AH3514" s="386"/>
      <c r="AI3514" s="386"/>
      <c r="AJ3514" s="386"/>
      <c r="AK3514" s="386"/>
      <c r="AL3514" s="386"/>
      <c r="AM3514" s="386"/>
      <c r="AN3514" s="387"/>
      <c r="AO3514" s="386"/>
      <c r="AP3514" s="386"/>
      <c r="AQ3514" s="386"/>
      <c r="AR3514" s="387"/>
      <c r="AS3514" s="387"/>
      <c r="AT3514" s="386"/>
      <c r="AU3514" s="386"/>
      <c r="AV3514" s="386"/>
      <c r="AW3514" s="386"/>
      <c r="AX3514" s="386"/>
      <c r="AY3514" s="386"/>
      <c r="AZ3514" s="386"/>
      <c r="BA3514" s="386"/>
      <c r="BB3514" s="386"/>
      <c r="BC3514" s="386"/>
      <c r="BD3514" s="386"/>
      <c r="BE3514" s="386"/>
      <c r="BF3514" s="386"/>
      <c r="BG3514" s="387"/>
      <c r="BH3514" s="386"/>
      <c r="BI3514" s="386"/>
    </row>
    <row r="3515" spans="1:61" s="46" customFormat="1" x14ac:dyDescent="0.3">
      <c r="A3515" s="317"/>
      <c r="B3515" s="312"/>
      <c r="C3515" s="455"/>
      <c r="D3515" s="370"/>
      <c r="E3515" s="386"/>
      <c r="F3515" s="387"/>
      <c r="G3515" s="387"/>
      <c r="H3515" s="386"/>
      <c r="I3515" s="386"/>
      <c r="J3515" s="386"/>
      <c r="K3515" s="386"/>
      <c r="L3515" s="386"/>
      <c r="M3515" s="386"/>
      <c r="N3515" s="386"/>
      <c r="O3515" s="386"/>
      <c r="P3515" s="386"/>
      <c r="Q3515" s="386"/>
      <c r="R3515" s="386"/>
      <c r="S3515" s="386"/>
      <c r="T3515" s="386"/>
      <c r="U3515" s="387"/>
      <c r="V3515" s="386"/>
      <c r="W3515" s="386"/>
      <c r="X3515" s="386"/>
      <c r="Y3515" s="387"/>
      <c r="Z3515" s="387"/>
      <c r="AA3515" s="386"/>
      <c r="AB3515" s="386"/>
      <c r="AC3515" s="386"/>
      <c r="AD3515" s="386"/>
      <c r="AE3515" s="386"/>
      <c r="AF3515" s="386"/>
      <c r="AG3515" s="386"/>
      <c r="AH3515" s="386"/>
      <c r="AI3515" s="386"/>
      <c r="AJ3515" s="386"/>
      <c r="AK3515" s="386"/>
      <c r="AL3515" s="386"/>
      <c r="AM3515" s="386"/>
      <c r="AN3515" s="387"/>
      <c r="AO3515" s="386"/>
      <c r="AP3515" s="386"/>
      <c r="AQ3515" s="386"/>
      <c r="AR3515" s="387"/>
      <c r="AS3515" s="387"/>
      <c r="AT3515" s="386"/>
      <c r="AU3515" s="386"/>
      <c r="AV3515" s="386"/>
      <c r="AW3515" s="386"/>
      <c r="AX3515" s="386"/>
      <c r="AY3515" s="386"/>
      <c r="AZ3515" s="386"/>
      <c r="BA3515" s="386"/>
      <c r="BB3515" s="386"/>
      <c r="BC3515" s="386"/>
      <c r="BD3515" s="386"/>
      <c r="BE3515" s="386"/>
      <c r="BF3515" s="386"/>
      <c r="BG3515" s="387"/>
      <c r="BH3515" s="386"/>
      <c r="BI3515" s="386"/>
    </row>
    <row r="3516" spans="1:61" s="46" customFormat="1" x14ac:dyDescent="0.3">
      <c r="A3516" s="317"/>
      <c r="B3516" s="312"/>
      <c r="C3516" s="455"/>
      <c r="D3516" s="370"/>
      <c r="E3516" s="386"/>
      <c r="F3516" s="387"/>
      <c r="G3516" s="387"/>
      <c r="H3516" s="386"/>
      <c r="I3516" s="386"/>
      <c r="J3516" s="386"/>
      <c r="K3516" s="386"/>
      <c r="L3516" s="386"/>
      <c r="M3516" s="386"/>
      <c r="N3516" s="386"/>
      <c r="O3516" s="386"/>
      <c r="P3516" s="386"/>
      <c r="Q3516" s="386"/>
      <c r="R3516" s="386"/>
      <c r="S3516" s="386"/>
      <c r="T3516" s="386"/>
      <c r="U3516" s="387"/>
      <c r="V3516" s="386"/>
      <c r="W3516" s="386"/>
      <c r="X3516" s="386"/>
      <c r="Y3516" s="387"/>
      <c r="Z3516" s="387"/>
      <c r="AA3516" s="386"/>
      <c r="AB3516" s="386"/>
      <c r="AC3516" s="386"/>
      <c r="AD3516" s="386"/>
      <c r="AE3516" s="386"/>
      <c r="AF3516" s="386"/>
      <c r="AG3516" s="386"/>
      <c r="AH3516" s="386"/>
      <c r="AI3516" s="386"/>
      <c r="AJ3516" s="386"/>
      <c r="AK3516" s="386"/>
      <c r="AL3516" s="386"/>
      <c r="AM3516" s="386"/>
      <c r="AN3516" s="387"/>
      <c r="AO3516" s="386"/>
      <c r="AP3516" s="386"/>
      <c r="AQ3516" s="386"/>
      <c r="AR3516" s="387"/>
      <c r="AS3516" s="387"/>
      <c r="AT3516" s="386"/>
      <c r="AU3516" s="386"/>
      <c r="AV3516" s="386"/>
      <c r="AW3516" s="386"/>
      <c r="AX3516" s="386"/>
      <c r="AY3516" s="386"/>
      <c r="AZ3516" s="386"/>
      <c r="BA3516" s="386"/>
      <c r="BB3516" s="386"/>
      <c r="BC3516" s="386"/>
      <c r="BD3516" s="386"/>
      <c r="BE3516" s="386"/>
      <c r="BF3516" s="386"/>
      <c r="BG3516" s="387"/>
      <c r="BH3516" s="386"/>
      <c r="BI3516" s="386"/>
    </row>
    <row r="3517" spans="1:61" s="46" customFormat="1" x14ac:dyDescent="0.3">
      <c r="A3517" s="317"/>
      <c r="B3517" s="312"/>
      <c r="C3517" s="455"/>
      <c r="D3517" s="370"/>
      <c r="E3517" s="386"/>
      <c r="F3517" s="387"/>
      <c r="G3517" s="387"/>
      <c r="H3517" s="386"/>
      <c r="I3517" s="386"/>
      <c r="J3517" s="386"/>
      <c r="K3517" s="386"/>
      <c r="L3517" s="386"/>
      <c r="M3517" s="386"/>
      <c r="N3517" s="386"/>
      <c r="O3517" s="386"/>
      <c r="P3517" s="386"/>
      <c r="Q3517" s="386"/>
      <c r="R3517" s="386"/>
      <c r="S3517" s="386"/>
      <c r="T3517" s="386"/>
      <c r="U3517" s="387"/>
      <c r="V3517" s="386"/>
      <c r="W3517" s="386"/>
      <c r="X3517" s="386"/>
      <c r="Y3517" s="387"/>
      <c r="Z3517" s="387"/>
      <c r="AA3517" s="386"/>
      <c r="AB3517" s="386"/>
      <c r="AC3517" s="386"/>
      <c r="AD3517" s="386"/>
      <c r="AE3517" s="386"/>
      <c r="AF3517" s="386"/>
      <c r="AG3517" s="386"/>
      <c r="AH3517" s="386"/>
      <c r="AI3517" s="386"/>
      <c r="AJ3517" s="386"/>
      <c r="AK3517" s="386"/>
      <c r="AL3517" s="386"/>
      <c r="AM3517" s="386"/>
      <c r="AN3517" s="387"/>
      <c r="AO3517" s="386"/>
      <c r="AP3517" s="386"/>
      <c r="AQ3517" s="386"/>
      <c r="AR3517" s="387"/>
      <c r="AS3517" s="387"/>
      <c r="AT3517" s="386"/>
      <c r="AU3517" s="386"/>
      <c r="AV3517" s="386"/>
      <c r="AW3517" s="386"/>
      <c r="AX3517" s="386"/>
      <c r="AY3517" s="386"/>
      <c r="AZ3517" s="386"/>
      <c r="BA3517" s="386"/>
      <c r="BB3517" s="386"/>
      <c r="BC3517" s="386"/>
      <c r="BD3517" s="386"/>
      <c r="BE3517" s="386"/>
      <c r="BF3517" s="386"/>
      <c r="BG3517" s="387"/>
      <c r="BH3517" s="386"/>
      <c r="BI3517" s="386"/>
    </row>
    <row r="3518" spans="1:61" s="46" customFormat="1" x14ac:dyDescent="0.3">
      <c r="A3518" s="317"/>
      <c r="B3518" s="312"/>
      <c r="C3518" s="455"/>
      <c r="D3518" s="370"/>
      <c r="E3518" s="386"/>
      <c r="F3518" s="387"/>
      <c r="G3518" s="387"/>
      <c r="H3518" s="386"/>
      <c r="I3518" s="386"/>
      <c r="J3518" s="386"/>
      <c r="K3518" s="386"/>
      <c r="L3518" s="386"/>
      <c r="M3518" s="386"/>
      <c r="N3518" s="386"/>
      <c r="O3518" s="386"/>
      <c r="P3518" s="386"/>
      <c r="Q3518" s="386"/>
      <c r="R3518" s="386"/>
      <c r="S3518" s="386"/>
      <c r="T3518" s="386"/>
      <c r="U3518" s="387"/>
      <c r="V3518" s="386"/>
      <c r="W3518" s="386"/>
      <c r="X3518" s="386"/>
      <c r="Y3518" s="387"/>
      <c r="Z3518" s="387"/>
      <c r="AA3518" s="386"/>
      <c r="AB3518" s="386"/>
      <c r="AC3518" s="386"/>
      <c r="AD3518" s="386"/>
      <c r="AE3518" s="386"/>
      <c r="AF3518" s="386"/>
      <c r="AG3518" s="386"/>
      <c r="AH3518" s="386"/>
      <c r="AI3518" s="386"/>
      <c r="AJ3518" s="386"/>
      <c r="AK3518" s="386"/>
      <c r="AL3518" s="386"/>
      <c r="AM3518" s="386"/>
      <c r="AN3518" s="387"/>
      <c r="AO3518" s="386"/>
      <c r="AP3518" s="386"/>
      <c r="AQ3518" s="386"/>
      <c r="AR3518" s="387"/>
      <c r="AS3518" s="387"/>
      <c r="AT3518" s="386"/>
      <c r="AU3518" s="386"/>
      <c r="AV3518" s="386"/>
      <c r="AW3518" s="386"/>
      <c r="AX3518" s="386"/>
      <c r="AY3518" s="386"/>
      <c r="AZ3518" s="386"/>
      <c r="BA3518" s="386"/>
      <c r="BB3518" s="386"/>
      <c r="BC3518" s="386"/>
      <c r="BD3518" s="386"/>
      <c r="BE3518" s="386"/>
      <c r="BF3518" s="386"/>
      <c r="BG3518" s="387"/>
      <c r="BH3518" s="386"/>
      <c r="BI3518" s="386"/>
    </row>
    <row r="3519" spans="1:61" s="46" customFormat="1" x14ac:dyDescent="0.3">
      <c r="A3519" s="317"/>
      <c r="B3519" s="312"/>
      <c r="C3519" s="455"/>
      <c r="D3519" s="370"/>
      <c r="E3519" s="386"/>
      <c r="F3519" s="387"/>
      <c r="G3519" s="387"/>
      <c r="H3519" s="386"/>
      <c r="I3519" s="386"/>
      <c r="J3519" s="386"/>
      <c r="K3519" s="386"/>
      <c r="L3519" s="386"/>
      <c r="M3519" s="386"/>
      <c r="N3519" s="386"/>
      <c r="O3519" s="386"/>
      <c r="P3519" s="386"/>
      <c r="Q3519" s="386"/>
      <c r="R3519" s="386"/>
      <c r="S3519" s="386"/>
      <c r="T3519" s="386"/>
      <c r="U3519" s="387"/>
      <c r="V3519" s="386"/>
      <c r="W3519" s="386"/>
      <c r="X3519" s="386"/>
      <c r="Y3519" s="387"/>
      <c r="Z3519" s="387"/>
      <c r="AA3519" s="386"/>
      <c r="AB3519" s="386"/>
      <c r="AC3519" s="386"/>
      <c r="AD3519" s="386"/>
      <c r="AE3519" s="386"/>
      <c r="AF3519" s="386"/>
      <c r="AG3519" s="386"/>
      <c r="AH3519" s="386"/>
      <c r="AI3519" s="386"/>
      <c r="AJ3519" s="386"/>
      <c r="AK3519" s="386"/>
      <c r="AL3519" s="386"/>
      <c r="AM3519" s="386"/>
      <c r="AN3519" s="387"/>
      <c r="AO3519" s="386"/>
      <c r="AP3519" s="386"/>
      <c r="AQ3519" s="386"/>
      <c r="AR3519" s="387"/>
      <c r="AS3519" s="387"/>
      <c r="AT3519" s="386"/>
      <c r="AU3519" s="386"/>
      <c r="AV3519" s="386"/>
      <c r="AW3519" s="386"/>
      <c r="AX3519" s="386"/>
      <c r="AY3519" s="386"/>
      <c r="AZ3519" s="386"/>
      <c r="BA3519" s="386"/>
      <c r="BB3519" s="386"/>
      <c r="BC3519" s="386"/>
      <c r="BD3519" s="386"/>
      <c r="BE3519" s="386"/>
      <c r="BF3519" s="386"/>
      <c r="BG3519" s="387"/>
      <c r="BH3519" s="386"/>
      <c r="BI3519" s="386"/>
    </row>
    <row r="3520" spans="1:61" s="46" customFormat="1" x14ac:dyDescent="0.3">
      <c r="A3520" s="317"/>
      <c r="B3520" s="312"/>
      <c r="C3520" s="455"/>
      <c r="D3520" s="370"/>
      <c r="E3520" s="386"/>
      <c r="F3520" s="387"/>
      <c r="G3520" s="387"/>
      <c r="H3520" s="386"/>
      <c r="I3520" s="386"/>
      <c r="J3520" s="386"/>
      <c r="K3520" s="386"/>
      <c r="L3520" s="386"/>
      <c r="M3520" s="386"/>
      <c r="N3520" s="386"/>
      <c r="O3520" s="386"/>
      <c r="P3520" s="386"/>
      <c r="Q3520" s="386"/>
      <c r="R3520" s="386"/>
      <c r="S3520" s="386"/>
      <c r="T3520" s="386"/>
      <c r="U3520" s="387"/>
      <c r="V3520" s="386"/>
      <c r="W3520" s="386"/>
      <c r="X3520" s="386"/>
      <c r="Y3520" s="387"/>
      <c r="Z3520" s="387"/>
      <c r="AA3520" s="386"/>
      <c r="AB3520" s="386"/>
      <c r="AC3520" s="386"/>
      <c r="AD3520" s="386"/>
      <c r="AE3520" s="386"/>
      <c r="AF3520" s="386"/>
      <c r="AG3520" s="386"/>
      <c r="AH3520" s="386"/>
      <c r="AI3520" s="386"/>
      <c r="AJ3520" s="386"/>
      <c r="AK3520" s="386"/>
      <c r="AL3520" s="386"/>
      <c r="AM3520" s="386"/>
      <c r="AN3520" s="387"/>
      <c r="AO3520" s="386"/>
      <c r="AP3520" s="386"/>
      <c r="AQ3520" s="386"/>
      <c r="AR3520" s="387"/>
      <c r="AS3520" s="387"/>
      <c r="AT3520" s="386"/>
      <c r="AU3520" s="386"/>
      <c r="AV3520" s="386"/>
      <c r="AW3520" s="386"/>
      <c r="AX3520" s="386"/>
      <c r="AY3520" s="386"/>
      <c r="AZ3520" s="386"/>
      <c r="BA3520" s="386"/>
      <c r="BB3520" s="386"/>
      <c r="BC3520" s="386"/>
      <c r="BD3520" s="386"/>
      <c r="BE3520" s="386"/>
      <c r="BF3520" s="386"/>
      <c r="BG3520" s="387"/>
      <c r="BH3520" s="386"/>
      <c r="BI3520" s="386"/>
    </row>
    <row r="3521" spans="1:61" s="46" customFormat="1" x14ac:dyDescent="0.3">
      <c r="A3521" s="317"/>
      <c r="B3521" s="312"/>
      <c r="C3521" s="455"/>
      <c r="D3521" s="370"/>
      <c r="E3521" s="386"/>
      <c r="F3521" s="387"/>
      <c r="G3521" s="387"/>
      <c r="H3521" s="386"/>
      <c r="I3521" s="386"/>
      <c r="J3521" s="386"/>
      <c r="K3521" s="386"/>
      <c r="L3521" s="386"/>
      <c r="M3521" s="386"/>
      <c r="N3521" s="386"/>
      <c r="O3521" s="386"/>
      <c r="P3521" s="386"/>
      <c r="Q3521" s="386"/>
      <c r="R3521" s="386"/>
      <c r="S3521" s="386"/>
      <c r="T3521" s="386"/>
      <c r="U3521" s="387"/>
      <c r="V3521" s="386"/>
      <c r="W3521" s="386"/>
      <c r="X3521" s="386"/>
      <c r="Y3521" s="387"/>
      <c r="Z3521" s="387"/>
      <c r="AA3521" s="386"/>
      <c r="AB3521" s="386"/>
      <c r="AC3521" s="386"/>
      <c r="AD3521" s="386"/>
      <c r="AE3521" s="386"/>
      <c r="AF3521" s="386"/>
      <c r="AG3521" s="386"/>
      <c r="AH3521" s="386"/>
      <c r="AI3521" s="386"/>
      <c r="AJ3521" s="386"/>
      <c r="AK3521" s="386"/>
      <c r="AL3521" s="386"/>
      <c r="AM3521" s="386"/>
      <c r="AN3521" s="387"/>
      <c r="AO3521" s="386"/>
      <c r="AP3521" s="386"/>
      <c r="AQ3521" s="386"/>
      <c r="AR3521" s="387"/>
      <c r="AS3521" s="387"/>
      <c r="AT3521" s="386"/>
      <c r="AU3521" s="386"/>
      <c r="AV3521" s="386"/>
      <c r="AW3521" s="386"/>
      <c r="AX3521" s="386"/>
      <c r="AY3521" s="386"/>
      <c r="AZ3521" s="386"/>
      <c r="BA3521" s="386"/>
      <c r="BB3521" s="386"/>
      <c r="BC3521" s="386"/>
      <c r="BD3521" s="386"/>
      <c r="BE3521" s="386"/>
      <c r="BF3521" s="386"/>
      <c r="BG3521" s="387"/>
      <c r="BH3521" s="386"/>
      <c r="BI3521" s="386"/>
    </row>
    <row r="3522" spans="1:61" s="46" customFormat="1" x14ac:dyDescent="0.3">
      <c r="A3522" s="317"/>
      <c r="B3522" s="312"/>
      <c r="C3522" s="455"/>
      <c r="D3522" s="370"/>
      <c r="E3522" s="386"/>
      <c r="F3522" s="387"/>
      <c r="G3522" s="387"/>
      <c r="H3522" s="386"/>
      <c r="I3522" s="386"/>
      <c r="J3522" s="386"/>
      <c r="K3522" s="386"/>
      <c r="L3522" s="386"/>
      <c r="M3522" s="386"/>
      <c r="N3522" s="386"/>
      <c r="O3522" s="386"/>
      <c r="P3522" s="386"/>
      <c r="Q3522" s="386"/>
      <c r="R3522" s="386"/>
      <c r="S3522" s="386"/>
      <c r="T3522" s="386"/>
      <c r="U3522" s="387"/>
      <c r="V3522" s="386"/>
      <c r="W3522" s="386"/>
      <c r="X3522" s="386"/>
      <c r="Y3522" s="387"/>
      <c r="Z3522" s="387"/>
      <c r="AA3522" s="386"/>
      <c r="AB3522" s="386"/>
      <c r="AC3522" s="386"/>
      <c r="AD3522" s="386"/>
      <c r="AE3522" s="386"/>
      <c r="AF3522" s="386"/>
      <c r="AG3522" s="386"/>
      <c r="AH3522" s="386"/>
      <c r="AI3522" s="386"/>
      <c r="AJ3522" s="386"/>
      <c r="AK3522" s="386"/>
      <c r="AL3522" s="386"/>
      <c r="AM3522" s="386"/>
      <c r="AN3522" s="387"/>
      <c r="AO3522" s="386"/>
      <c r="AP3522" s="386"/>
      <c r="AQ3522" s="386"/>
      <c r="AR3522" s="387"/>
      <c r="AS3522" s="387"/>
      <c r="AT3522" s="386"/>
      <c r="AU3522" s="386"/>
      <c r="AV3522" s="386"/>
      <c r="AW3522" s="386"/>
      <c r="AX3522" s="386"/>
      <c r="AY3522" s="386"/>
      <c r="AZ3522" s="386"/>
      <c r="BA3522" s="386"/>
      <c r="BB3522" s="386"/>
      <c r="BC3522" s="386"/>
      <c r="BD3522" s="386"/>
      <c r="BE3522" s="386"/>
      <c r="BF3522" s="386"/>
      <c r="BG3522" s="387"/>
      <c r="BH3522" s="386"/>
      <c r="BI3522" s="386"/>
    </row>
    <row r="3523" spans="1:61" s="46" customFormat="1" x14ac:dyDescent="0.3">
      <c r="A3523" s="317"/>
      <c r="B3523" s="312"/>
      <c r="C3523" s="455"/>
      <c r="D3523" s="370"/>
      <c r="E3523" s="386"/>
      <c r="F3523" s="387"/>
      <c r="G3523" s="387"/>
      <c r="H3523" s="386"/>
      <c r="I3523" s="386"/>
      <c r="J3523" s="386"/>
      <c r="K3523" s="386"/>
      <c r="L3523" s="386"/>
      <c r="M3523" s="386"/>
      <c r="N3523" s="386"/>
      <c r="O3523" s="386"/>
      <c r="P3523" s="386"/>
      <c r="Q3523" s="386"/>
      <c r="R3523" s="386"/>
      <c r="S3523" s="386"/>
      <c r="T3523" s="386"/>
      <c r="U3523" s="387"/>
      <c r="V3523" s="386"/>
      <c r="W3523" s="386"/>
      <c r="X3523" s="386"/>
      <c r="Y3523" s="387"/>
      <c r="Z3523" s="387"/>
      <c r="AA3523" s="386"/>
      <c r="AB3523" s="386"/>
      <c r="AC3523" s="386"/>
      <c r="AD3523" s="386"/>
      <c r="AE3523" s="386"/>
      <c r="AF3523" s="386"/>
      <c r="AG3523" s="386"/>
      <c r="AH3523" s="386"/>
      <c r="AI3523" s="386"/>
      <c r="AJ3523" s="386"/>
      <c r="AK3523" s="386"/>
      <c r="AL3523" s="386"/>
      <c r="AM3523" s="386"/>
      <c r="AN3523" s="387"/>
      <c r="AO3523" s="386"/>
      <c r="AP3523" s="386"/>
      <c r="AQ3523" s="386"/>
      <c r="AR3523" s="387"/>
      <c r="AS3523" s="387"/>
      <c r="AT3523" s="386"/>
      <c r="AU3523" s="386"/>
      <c r="AV3523" s="386"/>
      <c r="AW3523" s="386"/>
      <c r="AX3523" s="386"/>
      <c r="AY3523" s="386"/>
      <c r="AZ3523" s="386"/>
      <c r="BA3523" s="386"/>
      <c r="BB3523" s="386"/>
      <c r="BC3523" s="386"/>
      <c r="BD3523" s="386"/>
      <c r="BE3523" s="386"/>
      <c r="BF3523" s="386"/>
      <c r="BG3523" s="387"/>
      <c r="BH3523" s="386"/>
      <c r="BI3523" s="386"/>
    </row>
    <row r="3524" spans="1:61" s="46" customFormat="1" x14ac:dyDescent="0.3">
      <c r="A3524" s="317"/>
      <c r="B3524" s="312"/>
      <c r="C3524" s="455"/>
      <c r="D3524" s="370"/>
      <c r="E3524" s="386"/>
      <c r="F3524" s="387"/>
      <c r="G3524" s="387"/>
      <c r="H3524" s="386"/>
      <c r="I3524" s="386"/>
      <c r="J3524" s="386"/>
      <c r="K3524" s="386"/>
      <c r="L3524" s="386"/>
      <c r="M3524" s="386"/>
      <c r="N3524" s="386"/>
      <c r="O3524" s="386"/>
      <c r="P3524" s="386"/>
      <c r="Q3524" s="386"/>
      <c r="R3524" s="386"/>
      <c r="S3524" s="386"/>
      <c r="T3524" s="386"/>
      <c r="U3524" s="387"/>
      <c r="V3524" s="386"/>
      <c r="W3524" s="386"/>
      <c r="X3524" s="386"/>
      <c r="Y3524" s="387"/>
      <c r="Z3524" s="387"/>
      <c r="AA3524" s="386"/>
      <c r="AB3524" s="386"/>
      <c r="AC3524" s="386"/>
      <c r="AD3524" s="386"/>
      <c r="AE3524" s="386"/>
      <c r="AF3524" s="386"/>
      <c r="AG3524" s="386"/>
      <c r="AH3524" s="386"/>
      <c r="AI3524" s="386"/>
      <c r="AJ3524" s="386"/>
      <c r="AK3524" s="386"/>
      <c r="AL3524" s="386"/>
      <c r="AM3524" s="386"/>
      <c r="AN3524" s="387"/>
      <c r="AO3524" s="386"/>
      <c r="AP3524" s="386"/>
      <c r="AQ3524" s="386"/>
      <c r="AR3524" s="387"/>
      <c r="AS3524" s="387"/>
      <c r="AT3524" s="386"/>
      <c r="AU3524" s="386"/>
      <c r="AV3524" s="386"/>
      <c r="AW3524" s="386"/>
      <c r="AX3524" s="386"/>
      <c r="AY3524" s="386"/>
      <c r="AZ3524" s="386"/>
      <c r="BA3524" s="386"/>
      <c r="BB3524" s="386"/>
      <c r="BC3524" s="386"/>
      <c r="BD3524" s="386"/>
      <c r="BE3524" s="386"/>
      <c r="BF3524" s="386"/>
      <c r="BG3524" s="387"/>
      <c r="BH3524" s="386"/>
      <c r="BI3524" s="386"/>
    </row>
    <row r="3525" spans="1:61" s="46" customFormat="1" x14ac:dyDescent="0.3">
      <c r="A3525" s="317"/>
      <c r="B3525" s="312"/>
      <c r="C3525" s="455"/>
      <c r="D3525" s="370"/>
      <c r="E3525" s="386"/>
      <c r="F3525" s="387"/>
      <c r="G3525" s="387"/>
      <c r="H3525" s="386"/>
      <c r="I3525" s="386"/>
      <c r="J3525" s="386"/>
      <c r="K3525" s="386"/>
      <c r="L3525" s="386"/>
      <c r="M3525" s="386"/>
      <c r="N3525" s="386"/>
      <c r="O3525" s="386"/>
      <c r="P3525" s="386"/>
      <c r="Q3525" s="386"/>
      <c r="R3525" s="386"/>
      <c r="S3525" s="386"/>
      <c r="T3525" s="386"/>
      <c r="U3525" s="387"/>
      <c r="V3525" s="386"/>
      <c r="W3525" s="386"/>
      <c r="X3525" s="386"/>
      <c r="Y3525" s="387"/>
      <c r="Z3525" s="387"/>
      <c r="AA3525" s="386"/>
      <c r="AB3525" s="386"/>
      <c r="AC3525" s="386"/>
      <c r="AD3525" s="386"/>
      <c r="AE3525" s="386"/>
      <c r="AF3525" s="386"/>
      <c r="AG3525" s="386"/>
      <c r="AH3525" s="386"/>
      <c r="AI3525" s="386"/>
      <c r="AJ3525" s="386"/>
      <c r="AK3525" s="386"/>
      <c r="AL3525" s="386"/>
      <c r="AM3525" s="386"/>
      <c r="AN3525" s="387"/>
      <c r="AO3525" s="386"/>
      <c r="AP3525" s="386"/>
      <c r="AQ3525" s="386"/>
      <c r="AR3525" s="387"/>
      <c r="AS3525" s="387"/>
      <c r="AT3525" s="386"/>
      <c r="AU3525" s="386"/>
      <c r="AV3525" s="386"/>
      <c r="AW3525" s="386"/>
      <c r="AX3525" s="386"/>
      <c r="AY3525" s="386"/>
      <c r="AZ3525" s="386"/>
      <c r="BA3525" s="386"/>
      <c r="BB3525" s="386"/>
      <c r="BC3525" s="386"/>
      <c r="BD3525" s="386"/>
      <c r="BE3525" s="386"/>
      <c r="BF3525" s="386"/>
      <c r="BG3525" s="387"/>
      <c r="BH3525" s="386"/>
      <c r="BI3525" s="386"/>
    </row>
    <row r="3526" spans="1:61" s="46" customFormat="1" x14ac:dyDescent="0.3">
      <c r="A3526" s="317"/>
      <c r="B3526" s="312"/>
      <c r="C3526" s="455"/>
      <c r="D3526" s="370"/>
      <c r="E3526" s="386"/>
      <c r="F3526" s="387"/>
      <c r="G3526" s="387"/>
      <c r="H3526" s="386"/>
      <c r="I3526" s="386"/>
      <c r="J3526" s="386"/>
      <c r="K3526" s="386"/>
      <c r="L3526" s="386"/>
      <c r="M3526" s="386"/>
      <c r="N3526" s="386"/>
      <c r="O3526" s="386"/>
      <c r="P3526" s="386"/>
      <c r="Q3526" s="386"/>
      <c r="R3526" s="386"/>
      <c r="S3526" s="386"/>
      <c r="T3526" s="386"/>
      <c r="U3526" s="387"/>
      <c r="V3526" s="386"/>
      <c r="W3526" s="386"/>
      <c r="X3526" s="386"/>
      <c r="Y3526" s="387"/>
      <c r="Z3526" s="387"/>
      <c r="AA3526" s="386"/>
      <c r="AB3526" s="386"/>
      <c r="AC3526" s="386"/>
      <c r="AD3526" s="386"/>
      <c r="AE3526" s="386"/>
      <c r="AF3526" s="386"/>
      <c r="AG3526" s="386"/>
      <c r="AH3526" s="386"/>
      <c r="AI3526" s="386"/>
      <c r="AJ3526" s="386"/>
      <c r="AK3526" s="386"/>
      <c r="AL3526" s="386"/>
      <c r="AM3526" s="386"/>
      <c r="AN3526" s="387"/>
      <c r="AO3526" s="386"/>
      <c r="AP3526" s="386"/>
      <c r="AQ3526" s="386"/>
      <c r="AR3526" s="387"/>
      <c r="AS3526" s="387"/>
      <c r="AT3526" s="386"/>
      <c r="AU3526" s="386"/>
      <c r="AV3526" s="386"/>
      <c r="AW3526" s="386"/>
      <c r="AX3526" s="386"/>
      <c r="AY3526" s="386"/>
      <c r="AZ3526" s="386"/>
      <c r="BA3526" s="386"/>
      <c r="BB3526" s="386"/>
      <c r="BC3526" s="386"/>
      <c r="BD3526" s="386"/>
      <c r="BE3526" s="386"/>
      <c r="BF3526" s="386"/>
      <c r="BG3526" s="387"/>
      <c r="BH3526" s="386"/>
      <c r="BI3526" s="386"/>
    </row>
    <row r="3527" spans="1:61" s="46" customFormat="1" x14ac:dyDescent="0.3">
      <c r="A3527" s="317"/>
      <c r="B3527" s="312"/>
      <c r="C3527" s="455"/>
      <c r="D3527" s="370"/>
      <c r="E3527" s="386"/>
      <c r="F3527" s="387"/>
      <c r="G3527" s="387"/>
      <c r="H3527" s="386"/>
      <c r="I3527" s="386"/>
      <c r="J3527" s="386"/>
      <c r="K3527" s="386"/>
      <c r="L3527" s="386"/>
      <c r="M3527" s="386"/>
      <c r="N3527" s="386"/>
      <c r="O3527" s="386"/>
      <c r="P3527" s="386"/>
      <c r="Q3527" s="386"/>
      <c r="R3527" s="386"/>
      <c r="S3527" s="386"/>
      <c r="T3527" s="386"/>
      <c r="U3527" s="387"/>
      <c r="V3527" s="386"/>
      <c r="W3527" s="386"/>
      <c r="X3527" s="386"/>
      <c r="Y3527" s="387"/>
      <c r="Z3527" s="387"/>
      <c r="AA3527" s="386"/>
      <c r="AB3527" s="386"/>
      <c r="AC3527" s="386"/>
      <c r="AD3527" s="386"/>
      <c r="AE3527" s="386"/>
      <c r="AF3527" s="386"/>
      <c r="AG3527" s="386"/>
      <c r="AH3527" s="386"/>
      <c r="AI3527" s="386"/>
      <c r="AJ3527" s="386"/>
      <c r="AK3527" s="386"/>
      <c r="AL3527" s="386"/>
      <c r="AM3527" s="386"/>
      <c r="AN3527" s="387"/>
      <c r="AO3527" s="386"/>
      <c r="AP3527" s="386"/>
      <c r="AQ3527" s="386"/>
      <c r="AR3527" s="387"/>
      <c r="AS3527" s="387"/>
      <c r="AT3527" s="386"/>
      <c r="AU3527" s="386"/>
      <c r="AV3527" s="386"/>
      <c r="AW3527" s="386"/>
      <c r="AX3527" s="386"/>
      <c r="AY3527" s="386"/>
      <c r="AZ3527" s="386"/>
      <c r="BA3527" s="386"/>
      <c r="BB3527" s="386"/>
      <c r="BC3527" s="386"/>
      <c r="BD3527" s="386"/>
      <c r="BE3527" s="386"/>
      <c r="BF3527" s="386"/>
      <c r="BG3527" s="387"/>
      <c r="BH3527" s="386"/>
      <c r="BI3527" s="386"/>
    </row>
    <row r="3528" spans="1:61" s="46" customFormat="1" x14ac:dyDescent="0.3">
      <c r="A3528" s="317"/>
      <c r="B3528" s="312"/>
      <c r="C3528" s="455"/>
      <c r="D3528" s="370"/>
      <c r="E3528" s="386"/>
      <c r="F3528" s="387"/>
      <c r="G3528" s="387"/>
      <c r="H3528" s="386"/>
      <c r="I3528" s="386"/>
      <c r="J3528" s="386"/>
      <c r="K3528" s="386"/>
      <c r="L3528" s="386"/>
      <c r="M3528" s="386"/>
      <c r="N3528" s="386"/>
      <c r="O3528" s="386"/>
      <c r="P3528" s="386"/>
      <c r="Q3528" s="386"/>
      <c r="R3528" s="386"/>
      <c r="S3528" s="386"/>
      <c r="T3528" s="386"/>
      <c r="U3528" s="387"/>
      <c r="V3528" s="386"/>
      <c r="W3528" s="386"/>
      <c r="X3528" s="386"/>
      <c r="Y3528" s="387"/>
      <c r="Z3528" s="387"/>
      <c r="AA3528" s="386"/>
      <c r="AB3528" s="386"/>
      <c r="AC3528" s="386"/>
      <c r="AD3528" s="386"/>
      <c r="AE3528" s="386"/>
      <c r="AF3528" s="386"/>
      <c r="AG3528" s="386"/>
      <c r="AH3528" s="386"/>
      <c r="AI3528" s="386"/>
      <c r="AJ3528" s="386"/>
      <c r="AK3528" s="386"/>
      <c r="AL3528" s="386"/>
      <c r="AM3528" s="386"/>
      <c r="AN3528" s="387"/>
      <c r="AO3528" s="386"/>
      <c r="AP3528" s="386"/>
      <c r="AQ3528" s="386"/>
      <c r="AR3528" s="387"/>
      <c r="AS3528" s="387"/>
      <c r="AT3528" s="386"/>
      <c r="AU3528" s="386"/>
      <c r="AV3528" s="386"/>
      <c r="AW3528" s="386"/>
      <c r="AX3528" s="386"/>
      <c r="AY3528" s="386"/>
      <c r="AZ3528" s="386"/>
      <c r="BA3528" s="386"/>
      <c r="BB3528" s="386"/>
      <c r="BC3528" s="386"/>
      <c r="BD3528" s="386"/>
      <c r="BE3528" s="386"/>
      <c r="BF3528" s="386"/>
      <c r="BG3528" s="387"/>
      <c r="BH3528" s="386"/>
      <c r="BI3528" s="386"/>
    </row>
    <row r="3529" spans="1:61" s="46" customFormat="1" x14ac:dyDescent="0.3">
      <c r="A3529" s="317"/>
      <c r="B3529" s="312"/>
      <c r="C3529" s="455"/>
      <c r="D3529" s="370"/>
      <c r="E3529" s="386"/>
      <c r="F3529" s="387"/>
      <c r="G3529" s="387"/>
      <c r="H3529" s="386"/>
      <c r="I3529" s="386"/>
      <c r="J3529" s="386"/>
      <c r="K3529" s="386"/>
      <c r="L3529" s="386"/>
      <c r="M3529" s="386"/>
      <c r="N3529" s="386"/>
      <c r="O3529" s="386"/>
      <c r="P3529" s="386"/>
      <c r="Q3529" s="386"/>
      <c r="R3529" s="386"/>
      <c r="S3529" s="386"/>
      <c r="T3529" s="386"/>
      <c r="U3529" s="387"/>
      <c r="V3529" s="386"/>
      <c r="W3529" s="386"/>
      <c r="X3529" s="386"/>
      <c r="Y3529" s="387"/>
      <c r="Z3529" s="387"/>
      <c r="AA3529" s="386"/>
      <c r="AB3529" s="386"/>
      <c r="AC3529" s="386"/>
      <c r="AD3529" s="386"/>
      <c r="AE3529" s="386"/>
      <c r="AF3529" s="386"/>
      <c r="AG3529" s="386"/>
      <c r="AH3529" s="386"/>
      <c r="AI3529" s="386"/>
      <c r="AJ3529" s="386"/>
      <c r="AK3529" s="386"/>
      <c r="AL3529" s="386"/>
      <c r="AM3529" s="386"/>
      <c r="AN3529" s="387"/>
      <c r="AO3529" s="386"/>
      <c r="AP3529" s="386"/>
      <c r="AQ3529" s="386"/>
      <c r="AR3529" s="387"/>
      <c r="AS3529" s="387"/>
      <c r="AT3529" s="386"/>
      <c r="AU3529" s="386"/>
      <c r="AV3529" s="386"/>
      <c r="AW3529" s="386"/>
      <c r="AX3529" s="386"/>
      <c r="AY3529" s="386"/>
      <c r="AZ3529" s="386"/>
      <c r="BA3529" s="386"/>
      <c r="BB3529" s="386"/>
      <c r="BC3529" s="386"/>
      <c r="BD3529" s="386"/>
      <c r="BE3529" s="386"/>
      <c r="BF3529" s="386"/>
      <c r="BG3529" s="387"/>
      <c r="BH3529" s="386"/>
      <c r="BI3529" s="386"/>
    </row>
    <row r="3530" spans="1:61" s="46" customFormat="1" x14ac:dyDescent="0.3">
      <c r="A3530" s="317"/>
      <c r="B3530" s="312"/>
      <c r="C3530" s="455"/>
      <c r="D3530" s="370"/>
      <c r="E3530" s="386"/>
      <c r="F3530" s="387"/>
      <c r="G3530" s="387"/>
      <c r="H3530" s="386"/>
      <c r="I3530" s="386"/>
      <c r="J3530" s="386"/>
      <c r="K3530" s="386"/>
      <c r="L3530" s="386"/>
      <c r="M3530" s="386"/>
      <c r="N3530" s="386"/>
      <c r="O3530" s="386"/>
      <c r="P3530" s="386"/>
      <c r="Q3530" s="386"/>
      <c r="R3530" s="386"/>
      <c r="S3530" s="386"/>
      <c r="T3530" s="386"/>
      <c r="U3530" s="387"/>
      <c r="V3530" s="386"/>
      <c r="W3530" s="386"/>
      <c r="X3530" s="386"/>
      <c r="Y3530" s="387"/>
      <c r="Z3530" s="387"/>
      <c r="AA3530" s="386"/>
      <c r="AB3530" s="386"/>
      <c r="AC3530" s="386"/>
      <c r="AD3530" s="386"/>
      <c r="AE3530" s="386"/>
      <c r="AF3530" s="386"/>
      <c r="AG3530" s="386"/>
      <c r="AH3530" s="386"/>
      <c r="AI3530" s="386"/>
      <c r="AJ3530" s="386"/>
      <c r="AK3530" s="386"/>
      <c r="AL3530" s="386"/>
      <c r="AM3530" s="386"/>
      <c r="AN3530" s="387"/>
      <c r="AO3530" s="386"/>
      <c r="AP3530" s="386"/>
      <c r="AQ3530" s="386"/>
      <c r="AR3530" s="387"/>
      <c r="AS3530" s="387"/>
      <c r="AT3530" s="386"/>
      <c r="AU3530" s="386"/>
      <c r="AV3530" s="386"/>
      <c r="AW3530" s="386"/>
      <c r="AX3530" s="386"/>
      <c r="AY3530" s="386"/>
      <c r="AZ3530" s="386"/>
      <c r="BA3530" s="386"/>
      <c r="BB3530" s="386"/>
      <c r="BC3530" s="386"/>
      <c r="BD3530" s="386"/>
      <c r="BE3530" s="386"/>
      <c r="BF3530" s="386"/>
      <c r="BG3530" s="387"/>
      <c r="BH3530" s="386"/>
      <c r="BI3530" s="386"/>
    </row>
    <row r="3531" spans="1:61" s="46" customFormat="1" x14ac:dyDescent="0.3">
      <c r="A3531" s="317"/>
      <c r="B3531" s="312"/>
      <c r="C3531" s="455"/>
      <c r="D3531" s="370"/>
      <c r="E3531" s="386"/>
      <c r="F3531" s="387"/>
      <c r="G3531" s="387"/>
      <c r="H3531" s="386"/>
      <c r="I3531" s="386"/>
      <c r="J3531" s="386"/>
      <c r="K3531" s="386"/>
      <c r="L3531" s="386"/>
      <c r="M3531" s="386"/>
      <c r="N3531" s="386"/>
      <c r="O3531" s="386"/>
      <c r="P3531" s="386"/>
      <c r="Q3531" s="386"/>
      <c r="R3531" s="386"/>
      <c r="S3531" s="386"/>
      <c r="T3531" s="386"/>
      <c r="U3531" s="387"/>
      <c r="V3531" s="386"/>
      <c r="W3531" s="386"/>
      <c r="X3531" s="386"/>
      <c r="Y3531" s="387"/>
      <c r="Z3531" s="387"/>
      <c r="AA3531" s="386"/>
      <c r="AB3531" s="386"/>
      <c r="AC3531" s="386"/>
      <c r="AD3531" s="386"/>
      <c r="AE3531" s="386"/>
      <c r="AF3531" s="386"/>
      <c r="AG3531" s="386"/>
      <c r="AH3531" s="386"/>
      <c r="AI3531" s="386"/>
      <c r="AJ3531" s="386"/>
      <c r="AK3531" s="386"/>
      <c r="AL3531" s="386"/>
      <c r="AM3531" s="386"/>
      <c r="AN3531" s="387"/>
      <c r="AO3531" s="386"/>
      <c r="AP3531" s="386"/>
      <c r="AQ3531" s="386"/>
      <c r="AR3531" s="387"/>
      <c r="AS3531" s="387"/>
      <c r="AT3531" s="386"/>
      <c r="AU3531" s="386"/>
      <c r="AV3531" s="386"/>
      <c r="AW3531" s="386"/>
      <c r="AX3531" s="386"/>
      <c r="AY3531" s="386"/>
      <c r="AZ3531" s="386"/>
      <c r="BA3531" s="386"/>
      <c r="BB3531" s="386"/>
      <c r="BC3531" s="386"/>
      <c r="BD3531" s="386"/>
      <c r="BE3531" s="386"/>
      <c r="BF3531" s="386"/>
      <c r="BG3531" s="387"/>
      <c r="BH3531" s="386"/>
      <c r="BI3531" s="386"/>
    </row>
    <row r="3532" spans="1:61" s="46" customFormat="1" x14ac:dyDescent="0.3">
      <c r="A3532" s="317"/>
      <c r="B3532" s="312"/>
      <c r="C3532" s="455"/>
      <c r="D3532" s="370"/>
      <c r="E3532" s="386"/>
      <c r="F3532" s="387"/>
      <c r="G3532" s="387"/>
      <c r="H3532" s="386"/>
      <c r="I3532" s="386"/>
      <c r="J3532" s="386"/>
      <c r="K3532" s="386"/>
      <c r="L3532" s="386"/>
      <c r="M3532" s="386"/>
      <c r="N3532" s="386"/>
      <c r="O3532" s="386"/>
      <c r="P3532" s="386"/>
      <c r="Q3532" s="386"/>
      <c r="R3532" s="386"/>
      <c r="S3532" s="386"/>
      <c r="T3532" s="386"/>
      <c r="U3532" s="387"/>
      <c r="V3532" s="386"/>
      <c r="W3532" s="386"/>
      <c r="X3532" s="386"/>
      <c r="Y3532" s="387"/>
      <c r="Z3532" s="387"/>
      <c r="AA3532" s="386"/>
      <c r="AB3532" s="386"/>
      <c r="AC3532" s="386"/>
      <c r="AD3532" s="386"/>
      <c r="AE3532" s="386"/>
      <c r="AF3532" s="386"/>
      <c r="AG3532" s="386"/>
      <c r="AH3532" s="386"/>
      <c r="AI3532" s="386"/>
      <c r="AJ3532" s="386"/>
      <c r="AK3532" s="386"/>
      <c r="AL3532" s="386"/>
      <c r="AM3532" s="386"/>
      <c r="AN3532" s="387"/>
      <c r="AO3532" s="386"/>
      <c r="AP3532" s="386"/>
      <c r="AQ3532" s="386"/>
      <c r="AR3532" s="387"/>
      <c r="AS3532" s="387"/>
      <c r="AT3532" s="386"/>
      <c r="AU3532" s="386"/>
      <c r="AV3532" s="386"/>
      <c r="AW3532" s="386"/>
      <c r="AX3532" s="386"/>
      <c r="AY3532" s="386"/>
      <c r="AZ3532" s="386"/>
      <c r="BA3532" s="386"/>
      <c r="BB3532" s="386"/>
      <c r="BC3532" s="386"/>
      <c r="BD3532" s="386"/>
      <c r="BE3532" s="386"/>
      <c r="BF3532" s="386"/>
      <c r="BG3532" s="387"/>
      <c r="BH3532" s="386"/>
      <c r="BI3532" s="386"/>
    </row>
    <row r="3533" spans="1:61" s="46" customFormat="1" x14ac:dyDescent="0.3">
      <c r="A3533" s="317"/>
      <c r="B3533" s="312"/>
      <c r="C3533" s="455"/>
      <c r="D3533" s="370"/>
      <c r="E3533" s="386"/>
      <c r="F3533" s="387"/>
      <c r="G3533" s="387"/>
      <c r="H3533" s="386"/>
      <c r="I3533" s="386"/>
      <c r="J3533" s="386"/>
      <c r="K3533" s="386"/>
      <c r="L3533" s="386"/>
      <c r="M3533" s="386"/>
      <c r="N3533" s="386"/>
      <c r="O3533" s="386"/>
      <c r="P3533" s="386"/>
      <c r="Q3533" s="386"/>
      <c r="R3533" s="386"/>
      <c r="S3533" s="386"/>
      <c r="T3533" s="386"/>
      <c r="U3533" s="387"/>
      <c r="V3533" s="386"/>
      <c r="W3533" s="386"/>
      <c r="X3533" s="386"/>
      <c r="Y3533" s="387"/>
      <c r="Z3533" s="387"/>
      <c r="AA3533" s="386"/>
      <c r="AB3533" s="386"/>
      <c r="AC3533" s="386"/>
      <c r="AD3533" s="386"/>
      <c r="AE3533" s="386"/>
      <c r="AF3533" s="386"/>
      <c r="AG3533" s="386"/>
      <c r="AH3533" s="386"/>
      <c r="AI3533" s="386"/>
      <c r="AJ3533" s="386"/>
      <c r="AK3533" s="386"/>
      <c r="AL3533" s="386"/>
      <c r="AM3533" s="386"/>
      <c r="AN3533" s="387"/>
      <c r="AO3533" s="386"/>
      <c r="AP3533" s="386"/>
      <c r="AQ3533" s="386"/>
      <c r="AR3533" s="387"/>
      <c r="AS3533" s="387"/>
      <c r="AT3533" s="386"/>
      <c r="AU3533" s="386"/>
      <c r="AV3533" s="386"/>
      <c r="AW3533" s="386"/>
      <c r="AX3533" s="386"/>
      <c r="AY3533" s="386"/>
      <c r="AZ3533" s="386"/>
      <c r="BA3533" s="386"/>
      <c r="BB3533" s="386"/>
      <c r="BC3533" s="386"/>
      <c r="BD3533" s="386"/>
      <c r="BE3533" s="386"/>
      <c r="BF3533" s="386"/>
      <c r="BG3533" s="387"/>
      <c r="BH3533" s="386"/>
      <c r="BI3533" s="386"/>
    </row>
    <row r="3534" spans="1:61" s="46" customFormat="1" x14ac:dyDescent="0.3">
      <c r="A3534" s="317"/>
      <c r="B3534" s="312"/>
      <c r="C3534" s="455"/>
      <c r="D3534" s="370"/>
      <c r="E3534" s="386"/>
      <c r="F3534" s="387"/>
      <c r="G3534" s="387"/>
      <c r="H3534" s="386"/>
      <c r="I3534" s="386"/>
      <c r="J3534" s="386"/>
      <c r="K3534" s="386"/>
      <c r="L3534" s="386"/>
      <c r="M3534" s="386"/>
      <c r="N3534" s="386"/>
      <c r="O3534" s="386"/>
      <c r="P3534" s="386"/>
      <c r="Q3534" s="386"/>
      <c r="R3534" s="386"/>
      <c r="S3534" s="386"/>
      <c r="T3534" s="386"/>
      <c r="U3534" s="387"/>
      <c r="V3534" s="386"/>
      <c r="W3534" s="386"/>
      <c r="X3534" s="386"/>
      <c r="Y3534" s="387"/>
      <c r="Z3534" s="387"/>
      <c r="AA3534" s="386"/>
      <c r="AB3534" s="386"/>
      <c r="AC3534" s="386"/>
      <c r="AD3534" s="386"/>
      <c r="AE3534" s="386"/>
      <c r="AF3534" s="386"/>
      <c r="AG3534" s="386"/>
      <c r="AH3534" s="386"/>
      <c r="AI3534" s="386"/>
      <c r="AJ3534" s="386"/>
      <c r="AK3534" s="386"/>
      <c r="AL3534" s="386"/>
      <c r="AM3534" s="386"/>
      <c r="AN3534" s="387"/>
      <c r="AO3534" s="386"/>
      <c r="AP3534" s="386"/>
      <c r="AQ3534" s="386"/>
      <c r="AR3534" s="387"/>
      <c r="AS3534" s="387"/>
      <c r="AT3534" s="386"/>
      <c r="AU3534" s="386"/>
      <c r="AV3534" s="386"/>
      <c r="AW3534" s="386"/>
      <c r="AX3534" s="386"/>
      <c r="AY3534" s="386"/>
      <c r="AZ3534" s="386"/>
      <c r="BA3534" s="386"/>
      <c r="BB3534" s="386"/>
      <c r="BC3534" s="386"/>
      <c r="BD3534" s="386"/>
      <c r="BE3534" s="386"/>
      <c r="BF3534" s="386"/>
      <c r="BG3534" s="387"/>
      <c r="BH3534" s="386"/>
      <c r="BI3534" s="386"/>
    </row>
    <row r="3535" spans="1:61" s="46" customFormat="1" x14ac:dyDescent="0.3">
      <c r="A3535" s="317"/>
      <c r="B3535" s="312"/>
      <c r="C3535" s="455"/>
      <c r="D3535" s="370"/>
      <c r="E3535" s="386"/>
      <c r="F3535" s="387"/>
      <c r="G3535" s="387"/>
      <c r="H3535" s="386"/>
      <c r="I3535" s="386"/>
      <c r="J3535" s="386"/>
      <c r="K3535" s="386"/>
      <c r="L3535" s="386"/>
      <c r="M3535" s="386"/>
      <c r="N3535" s="386"/>
      <c r="O3535" s="386"/>
      <c r="P3535" s="386"/>
      <c r="Q3535" s="386"/>
      <c r="R3535" s="386"/>
      <c r="S3535" s="386"/>
      <c r="T3535" s="386"/>
      <c r="U3535" s="387"/>
      <c r="V3535" s="386"/>
      <c r="W3535" s="386"/>
      <c r="X3535" s="386"/>
      <c r="Y3535" s="387"/>
      <c r="Z3535" s="387"/>
      <c r="AA3535" s="386"/>
      <c r="AB3535" s="386"/>
      <c r="AC3535" s="386"/>
      <c r="AD3535" s="386"/>
      <c r="AE3535" s="386"/>
      <c r="AF3535" s="386"/>
      <c r="AG3535" s="386"/>
      <c r="AH3535" s="386"/>
      <c r="AI3535" s="386"/>
      <c r="AJ3535" s="386"/>
      <c r="AK3535" s="386"/>
      <c r="AL3535" s="386"/>
      <c r="AM3535" s="386"/>
      <c r="AN3535" s="387"/>
      <c r="AO3535" s="386"/>
      <c r="AP3535" s="386"/>
      <c r="AQ3535" s="386"/>
      <c r="AR3535" s="387"/>
      <c r="AS3535" s="387"/>
      <c r="AT3535" s="386"/>
      <c r="AU3535" s="386"/>
      <c r="AV3535" s="386"/>
      <c r="AW3535" s="386"/>
      <c r="AX3535" s="386"/>
      <c r="AY3535" s="386"/>
      <c r="AZ3535" s="386"/>
      <c r="BA3535" s="386"/>
      <c r="BB3535" s="386"/>
      <c r="BC3535" s="386"/>
      <c r="BD3535" s="386"/>
      <c r="BE3535" s="386"/>
      <c r="BF3535" s="386"/>
      <c r="BG3535" s="387"/>
      <c r="BH3535" s="386"/>
      <c r="BI3535" s="386"/>
    </row>
    <row r="3536" spans="1:61" s="46" customFormat="1" x14ac:dyDescent="0.3">
      <c r="A3536" s="317"/>
      <c r="B3536" s="312"/>
      <c r="C3536" s="455"/>
      <c r="D3536" s="370"/>
      <c r="E3536" s="386"/>
      <c r="F3536" s="387"/>
      <c r="G3536" s="387"/>
      <c r="H3536" s="386"/>
      <c r="I3536" s="386"/>
      <c r="J3536" s="386"/>
      <c r="K3536" s="386"/>
      <c r="L3536" s="386"/>
      <c r="M3536" s="386"/>
      <c r="N3536" s="386"/>
      <c r="O3536" s="386"/>
      <c r="P3536" s="386"/>
      <c r="Q3536" s="386"/>
      <c r="R3536" s="386"/>
      <c r="S3536" s="386"/>
      <c r="T3536" s="386"/>
      <c r="U3536" s="387"/>
      <c r="V3536" s="386"/>
      <c r="W3536" s="386"/>
      <c r="X3536" s="386"/>
      <c r="Y3536" s="387"/>
      <c r="Z3536" s="387"/>
      <c r="AA3536" s="386"/>
      <c r="AB3536" s="386"/>
      <c r="AC3536" s="386"/>
      <c r="AD3536" s="386"/>
      <c r="AE3536" s="386"/>
      <c r="AF3536" s="386"/>
      <c r="AG3536" s="386"/>
      <c r="AH3536" s="386"/>
      <c r="AI3536" s="386"/>
      <c r="AJ3536" s="386"/>
      <c r="AK3536" s="386"/>
      <c r="AL3536" s="386"/>
      <c r="AM3536" s="386"/>
      <c r="AN3536" s="387"/>
      <c r="AO3536" s="386"/>
      <c r="AP3536" s="386"/>
      <c r="AQ3536" s="386"/>
      <c r="AR3536" s="387"/>
      <c r="AS3536" s="387"/>
      <c r="AT3536" s="386"/>
      <c r="AU3536" s="386"/>
      <c r="AV3536" s="386"/>
      <c r="AW3536" s="386"/>
      <c r="AX3536" s="386"/>
      <c r="AY3536" s="386"/>
      <c r="AZ3536" s="386"/>
      <c r="BA3536" s="386"/>
      <c r="BB3536" s="386"/>
      <c r="BC3536" s="386"/>
      <c r="BD3536" s="386"/>
      <c r="BE3536" s="386"/>
      <c r="BF3536" s="386"/>
      <c r="BG3536" s="387"/>
      <c r="BH3536" s="386"/>
      <c r="BI3536" s="386"/>
    </row>
    <row r="3537" spans="1:61" s="46" customFormat="1" x14ac:dyDescent="0.3">
      <c r="A3537" s="317"/>
      <c r="B3537" s="312"/>
      <c r="C3537" s="455"/>
      <c r="D3537" s="370"/>
      <c r="E3537" s="386"/>
      <c r="F3537" s="387"/>
      <c r="G3537" s="387"/>
      <c r="H3537" s="386"/>
      <c r="I3537" s="386"/>
      <c r="J3537" s="386"/>
      <c r="K3537" s="386"/>
      <c r="L3537" s="386"/>
      <c r="M3537" s="386"/>
      <c r="N3537" s="386"/>
      <c r="O3537" s="386"/>
      <c r="P3537" s="386"/>
      <c r="Q3537" s="386"/>
      <c r="R3537" s="386"/>
      <c r="S3537" s="386"/>
      <c r="T3537" s="386"/>
      <c r="U3537" s="387"/>
      <c r="V3537" s="386"/>
      <c r="W3537" s="386"/>
      <c r="X3537" s="386"/>
      <c r="Y3537" s="387"/>
      <c r="Z3537" s="387"/>
      <c r="AA3537" s="386"/>
      <c r="AB3537" s="386"/>
      <c r="AC3537" s="386"/>
      <c r="AD3537" s="386"/>
      <c r="AE3537" s="386"/>
      <c r="AF3537" s="386"/>
      <c r="AG3537" s="386"/>
      <c r="AH3537" s="386"/>
      <c r="AI3537" s="386"/>
      <c r="AJ3537" s="386"/>
      <c r="AK3537" s="386"/>
      <c r="AL3537" s="386"/>
      <c r="AM3537" s="386"/>
      <c r="AN3537" s="387"/>
      <c r="AO3537" s="386"/>
      <c r="AP3537" s="386"/>
      <c r="AQ3537" s="386"/>
      <c r="AR3537" s="387"/>
      <c r="AS3537" s="387"/>
      <c r="AT3537" s="386"/>
      <c r="AU3537" s="386"/>
      <c r="AV3537" s="386"/>
      <c r="AW3537" s="386"/>
      <c r="AX3537" s="386"/>
      <c r="AY3537" s="386"/>
      <c r="AZ3537" s="386"/>
      <c r="BA3537" s="386"/>
      <c r="BB3537" s="386"/>
      <c r="BC3537" s="386"/>
      <c r="BD3537" s="386"/>
      <c r="BE3537" s="386"/>
      <c r="BF3537" s="386"/>
      <c r="BG3537" s="387"/>
      <c r="BH3537" s="386"/>
      <c r="BI3537" s="386"/>
    </row>
    <row r="3538" spans="1:61" s="46" customFormat="1" x14ac:dyDescent="0.3">
      <c r="A3538" s="317"/>
      <c r="B3538" s="312"/>
      <c r="C3538" s="455"/>
      <c r="D3538" s="370"/>
      <c r="E3538" s="386"/>
      <c r="F3538" s="387"/>
      <c r="G3538" s="387"/>
      <c r="H3538" s="386"/>
      <c r="I3538" s="386"/>
      <c r="J3538" s="386"/>
      <c r="K3538" s="386"/>
      <c r="L3538" s="386"/>
      <c r="M3538" s="386"/>
      <c r="N3538" s="386"/>
      <c r="O3538" s="386"/>
      <c r="P3538" s="386"/>
      <c r="Q3538" s="386"/>
      <c r="R3538" s="386"/>
      <c r="S3538" s="386"/>
      <c r="T3538" s="386"/>
      <c r="U3538" s="387"/>
      <c r="V3538" s="386"/>
      <c r="W3538" s="386"/>
      <c r="X3538" s="386"/>
      <c r="Y3538" s="387"/>
      <c r="Z3538" s="387"/>
      <c r="AA3538" s="386"/>
      <c r="AB3538" s="386"/>
      <c r="AC3538" s="386"/>
      <c r="AD3538" s="386"/>
      <c r="AE3538" s="386"/>
      <c r="AF3538" s="386"/>
      <c r="AG3538" s="386"/>
      <c r="AH3538" s="386"/>
      <c r="AI3538" s="386"/>
      <c r="AJ3538" s="386"/>
      <c r="AK3538" s="386"/>
      <c r="AL3538" s="386"/>
      <c r="AM3538" s="386"/>
      <c r="AN3538" s="387"/>
      <c r="AO3538" s="386"/>
      <c r="AP3538" s="386"/>
      <c r="AQ3538" s="386"/>
      <c r="AR3538" s="387"/>
      <c r="AS3538" s="387"/>
      <c r="AT3538" s="386"/>
      <c r="AU3538" s="386"/>
      <c r="AV3538" s="386"/>
      <c r="AW3538" s="386"/>
      <c r="AX3538" s="386"/>
      <c r="AY3538" s="386"/>
      <c r="AZ3538" s="386"/>
      <c r="BA3538" s="386"/>
      <c r="BB3538" s="386"/>
      <c r="BC3538" s="386"/>
      <c r="BD3538" s="386"/>
      <c r="BE3538" s="386"/>
      <c r="BF3538" s="386"/>
      <c r="BG3538" s="387"/>
      <c r="BH3538" s="386"/>
      <c r="BI3538" s="386"/>
    </row>
    <row r="3539" spans="1:61" s="46" customFormat="1" x14ac:dyDescent="0.3">
      <c r="A3539" s="317"/>
      <c r="B3539" s="312"/>
      <c r="C3539" s="455"/>
      <c r="D3539" s="370"/>
      <c r="E3539" s="386"/>
      <c r="F3539" s="387"/>
      <c r="G3539" s="387"/>
      <c r="H3539" s="386"/>
      <c r="I3539" s="386"/>
      <c r="J3539" s="386"/>
      <c r="K3539" s="386"/>
      <c r="L3539" s="386"/>
      <c r="M3539" s="386"/>
      <c r="N3539" s="386"/>
      <c r="O3539" s="386"/>
      <c r="P3539" s="386"/>
      <c r="Q3539" s="386"/>
      <c r="R3539" s="386"/>
      <c r="S3539" s="386"/>
      <c r="T3539" s="386"/>
      <c r="U3539" s="387"/>
      <c r="V3539" s="386"/>
      <c r="W3539" s="386"/>
      <c r="X3539" s="386"/>
      <c r="Y3539" s="387"/>
      <c r="Z3539" s="387"/>
      <c r="AA3539" s="386"/>
      <c r="AB3539" s="386"/>
      <c r="AC3539" s="386"/>
      <c r="AD3539" s="386"/>
      <c r="AE3539" s="386"/>
      <c r="AF3539" s="386"/>
      <c r="AG3539" s="386"/>
      <c r="AH3539" s="386"/>
      <c r="AI3539" s="386"/>
      <c r="AJ3539" s="386"/>
      <c r="AK3539" s="386"/>
      <c r="AL3539" s="386"/>
      <c r="AM3539" s="386"/>
      <c r="AN3539" s="387"/>
      <c r="AO3539" s="386"/>
      <c r="AP3539" s="386"/>
      <c r="AQ3539" s="386"/>
      <c r="AR3539" s="387"/>
      <c r="AS3539" s="387"/>
      <c r="AT3539" s="386"/>
      <c r="AU3539" s="386"/>
      <c r="AV3539" s="386"/>
      <c r="AW3539" s="386"/>
      <c r="AX3539" s="386"/>
      <c r="AY3539" s="386"/>
      <c r="AZ3539" s="386"/>
      <c r="BA3539" s="386"/>
      <c r="BB3539" s="386"/>
      <c r="BC3539" s="386"/>
      <c r="BD3539" s="386"/>
      <c r="BE3539" s="386"/>
      <c r="BF3539" s="386"/>
      <c r="BG3539" s="387"/>
      <c r="BH3539" s="386"/>
      <c r="BI3539" s="386"/>
    </row>
    <row r="3540" spans="1:61" s="46" customFormat="1" x14ac:dyDescent="0.3">
      <c r="A3540" s="317"/>
      <c r="B3540" s="312"/>
      <c r="C3540" s="455"/>
      <c r="D3540" s="370"/>
      <c r="E3540" s="386"/>
      <c r="F3540" s="387"/>
      <c r="G3540" s="387"/>
      <c r="H3540" s="386"/>
      <c r="I3540" s="386"/>
      <c r="J3540" s="386"/>
      <c r="K3540" s="386"/>
      <c r="L3540" s="386"/>
      <c r="M3540" s="386"/>
      <c r="N3540" s="386"/>
      <c r="O3540" s="386"/>
      <c r="P3540" s="386"/>
      <c r="Q3540" s="386"/>
      <c r="R3540" s="386"/>
      <c r="S3540" s="386"/>
      <c r="T3540" s="386"/>
      <c r="U3540" s="387"/>
      <c r="V3540" s="386"/>
      <c r="W3540" s="386"/>
      <c r="X3540" s="386"/>
      <c r="Y3540" s="387"/>
      <c r="Z3540" s="387"/>
      <c r="AA3540" s="386"/>
      <c r="AB3540" s="386"/>
      <c r="AC3540" s="386"/>
      <c r="AD3540" s="386"/>
      <c r="AE3540" s="386"/>
      <c r="AF3540" s="386"/>
      <c r="AG3540" s="386"/>
      <c r="AH3540" s="386"/>
      <c r="AI3540" s="386"/>
      <c r="AJ3540" s="386"/>
      <c r="AK3540" s="386"/>
      <c r="AL3540" s="386"/>
      <c r="AM3540" s="386"/>
      <c r="AN3540" s="387"/>
      <c r="AO3540" s="386"/>
      <c r="AP3540" s="386"/>
      <c r="AQ3540" s="386"/>
      <c r="AR3540" s="387"/>
      <c r="AS3540" s="387"/>
      <c r="AT3540" s="386"/>
      <c r="AU3540" s="386"/>
      <c r="AV3540" s="386"/>
      <c r="AW3540" s="386"/>
      <c r="AX3540" s="386"/>
      <c r="AY3540" s="386"/>
      <c r="AZ3540" s="386"/>
      <c r="BA3540" s="386"/>
      <c r="BB3540" s="386"/>
      <c r="BC3540" s="386"/>
      <c r="BD3540" s="386"/>
      <c r="BE3540" s="386"/>
      <c r="BF3540" s="386"/>
      <c r="BG3540" s="387"/>
      <c r="BH3540" s="386"/>
      <c r="BI3540" s="386"/>
    </row>
    <row r="3541" spans="1:61" s="46" customFormat="1" x14ac:dyDescent="0.3">
      <c r="A3541" s="317"/>
      <c r="B3541" s="312"/>
      <c r="C3541" s="455"/>
      <c r="D3541" s="370"/>
      <c r="E3541" s="386"/>
      <c r="F3541" s="387"/>
      <c r="G3541" s="387"/>
      <c r="H3541" s="386"/>
      <c r="I3541" s="386"/>
      <c r="J3541" s="386"/>
      <c r="K3541" s="386"/>
      <c r="L3541" s="386"/>
      <c r="M3541" s="386"/>
      <c r="N3541" s="386"/>
      <c r="O3541" s="386"/>
      <c r="P3541" s="386"/>
      <c r="Q3541" s="386"/>
      <c r="R3541" s="386"/>
      <c r="S3541" s="386"/>
      <c r="T3541" s="386"/>
      <c r="U3541" s="387"/>
      <c r="V3541" s="386"/>
      <c r="W3541" s="386"/>
      <c r="X3541" s="386"/>
      <c r="Y3541" s="387"/>
      <c r="Z3541" s="387"/>
      <c r="AA3541" s="386"/>
      <c r="AB3541" s="386"/>
      <c r="AC3541" s="386"/>
      <c r="AD3541" s="386"/>
      <c r="AE3541" s="386"/>
      <c r="AF3541" s="386"/>
      <c r="AG3541" s="386"/>
      <c r="AH3541" s="386"/>
      <c r="AI3541" s="386"/>
      <c r="AJ3541" s="386"/>
      <c r="AK3541" s="386"/>
      <c r="AL3541" s="386"/>
      <c r="AM3541" s="386"/>
      <c r="AN3541" s="387"/>
      <c r="AO3541" s="386"/>
      <c r="AP3541" s="386"/>
      <c r="AQ3541" s="386"/>
      <c r="AR3541" s="387"/>
      <c r="AS3541" s="387"/>
      <c r="AT3541" s="386"/>
      <c r="AU3541" s="386"/>
      <c r="AV3541" s="386"/>
      <c r="AW3541" s="386"/>
      <c r="AX3541" s="386"/>
      <c r="AY3541" s="386"/>
      <c r="AZ3541" s="386"/>
      <c r="BA3541" s="386"/>
      <c r="BB3541" s="386"/>
      <c r="BC3541" s="386"/>
      <c r="BD3541" s="386"/>
      <c r="BE3541" s="386"/>
      <c r="BF3541" s="386"/>
      <c r="BG3541" s="387"/>
      <c r="BH3541" s="386"/>
      <c r="BI3541" s="386"/>
    </row>
    <row r="3542" spans="1:61" s="46" customFormat="1" x14ac:dyDescent="0.3">
      <c r="A3542" s="317"/>
      <c r="B3542" s="312"/>
      <c r="C3542" s="455"/>
      <c r="D3542" s="370"/>
      <c r="E3542" s="386"/>
      <c r="F3542" s="387"/>
      <c r="G3542" s="387"/>
      <c r="H3542" s="386"/>
      <c r="I3542" s="386"/>
      <c r="J3542" s="386"/>
      <c r="K3542" s="386"/>
      <c r="L3542" s="386"/>
      <c r="M3542" s="386"/>
      <c r="N3542" s="386"/>
      <c r="O3542" s="386"/>
      <c r="P3542" s="386"/>
      <c r="Q3542" s="386"/>
      <c r="R3542" s="386"/>
      <c r="S3542" s="386"/>
      <c r="T3542" s="386"/>
      <c r="U3542" s="387"/>
      <c r="V3542" s="386"/>
      <c r="W3542" s="386"/>
      <c r="X3542" s="386"/>
      <c r="Y3542" s="387"/>
      <c r="Z3542" s="387"/>
      <c r="AA3542" s="386"/>
      <c r="AB3542" s="386"/>
      <c r="AC3542" s="386"/>
      <c r="AD3542" s="386"/>
      <c r="AE3542" s="386"/>
      <c r="AF3542" s="386"/>
      <c r="AG3542" s="386"/>
      <c r="AH3542" s="386"/>
      <c r="AI3542" s="386"/>
      <c r="AJ3542" s="386"/>
      <c r="AK3542" s="386"/>
      <c r="AL3542" s="386"/>
      <c r="AM3542" s="386"/>
      <c r="AN3542" s="387"/>
      <c r="AO3542" s="386"/>
      <c r="AP3542" s="386"/>
      <c r="AQ3542" s="386"/>
      <c r="AR3542" s="387"/>
      <c r="AS3542" s="387"/>
      <c r="AT3542" s="386"/>
      <c r="AU3542" s="386"/>
      <c r="AV3542" s="386"/>
      <c r="AW3542" s="386"/>
      <c r="AX3542" s="386"/>
      <c r="AY3542" s="386"/>
      <c r="AZ3542" s="386"/>
      <c r="BA3542" s="386"/>
      <c r="BB3542" s="386"/>
      <c r="BC3542" s="386"/>
      <c r="BD3542" s="386"/>
      <c r="BE3542" s="386"/>
      <c r="BF3542" s="386"/>
      <c r="BG3542" s="387"/>
      <c r="BH3542" s="386"/>
      <c r="BI3542" s="386"/>
    </row>
    <row r="3543" spans="1:61" s="46" customFormat="1" x14ac:dyDescent="0.3">
      <c r="A3543" s="317"/>
      <c r="B3543" s="312"/>
      <c r="C3543" s="455"/>
      <c r="D3543" s="370"/>
      <c r="E3543" s="386"/>
      <c r="F3543" s="387"/>
      <c r="G3543" s="387"/>
      <c r="H3543" s="386"/>
      <c r="I3543" s="386"/>
      <c r="J3543" s="386"/>
      <c r="K3543" s="386"/>
      <c r="L3543" s="386"/>
      <c r="M3543" s="386"/>
      <c r="N3543" s="386"/>
      <c r="O3543" s="386"/>
      <c r="P3543" s="386"/>
      <c r="Q3543" s="386"/>
      <c r="R3543" s="386"/>
      <c r="S3543" s="386"/>
      <c r="T3543" s="386"/>
      <c r="U3543" s="387"/>
      <c r="V3543" s="386"/>
      <c r="W3543" s="386"/>
      <c r="X3543" s="386"/>
      <c r="Y3543" s="387"/>
      <c r="Z3543" s="387"/>
      <c r="AA3543" s="386"/>
      <c r="AB3543" s="386"/>
      <c r="AC3543" s="386"/>
      <c r="AD3543" s="386"/>
      <c r="AE3543" s="386"/>
      <c r="AF3543" s="386"/>
      <c r="AG3543" s="386"/>
      <c r="AH3543" s="386"/>
      <c r="AI3543" s="386"/>
      <c r="AJ3543" s="386"/>
      <c r="AK3543" s="386"/>
      <c r="AL3543" s="386"/>
      <c r="AM3543" s="386"/>
      <c r="AN3543" s="387"/>
      <c r="AO3543" s="386"/>
      <c r="AP3543" s="386"/>
      <c r="AQ3543" s="386"/>
      <c r="AR3543" s="387"/>
      <c r="AS3543" s="387"/>
      <c r="AT3543" s="386"/>
      <c r="AU3543" s="386"/>
      <c r="AV3543" s="386"/>
      <c r="AW3543" s="386"/>
      <c r="AX3543" s="386"/>
      <c r="AY3543" s="386"/>
      <c r="AZ3543" s="386"/>
      <c r="BA3543" s="386"/>
      <c r="BB3543" s="386"/>
      <c r="BC3543" s="386"/>
      <c r="BD3543" s="386"/>
      <c r="BE3543" s="386"/>
      <c r="BF3543" s="386"/>
      <c r="BG3543" s="387"/>
      <c r="BH3543" s="386"/>
      <c r="BI3543" s="386"/>
    </row>
    <row r="3544" spans="1:61" s="46" customFormat="1" x14ac:dyDescent="0.3">
      <c r="A3544" s="317"/>
      <c r="B3544" s="312"/>
      <c r="C3544" s="455"/>
      <c r="D3544" s="370"/>
      <c r="E3544" s="386"/>
      <c r="F3544" s="387"/>
      <c r="G3544" s="387"/>
      <c r="H3544" s="386"/>
      <c r="I3544" s="386"/>
      <c r="J3544" s="386"/>
      <c r="K3544" s="386"/>
      <c r="L3544" s="386"/>
      <c r="M3544" s="386"/>
      <c r="N3544" s="386"/>
      <c r="O3544" s="386"/>
      <c r="P3544" s="386"/>
      <c r="Q3544" s="386"/>
      <c r="R3544" s="386"/>
      <c r="S3544" s="386"/>
      <c r="T3544" s="386"/>
      <c r="U3544" s="387"/>
      <c r="V3544" s="386"/>
      <c r="W3544" s="386"/>
      <c r="X3544" s="386"/>
      <c r="Y3544" s="387"/>
      <c r="Z3544" s="387"/>
      <c r="AA3544" s="386"/>
      <c r="AB3544" s="386"/>
      <c r="AC3544" s="386"/>
      <c r="AD3544" s="386"/>
      <c r="AE3544" s="386"/>
      <c r="AF3544" s="386"/>
      <c r="AG3544" s="386"/>
      <c r="AH3544" s="386"/>
      <c r="AI3544" s="386"/>
      <c r="AJ3544" s="386"/>
      <c r="AK3544" s="386"/>
      <c r="AL3544" s="386"/>
      <c r="AM3544" s="386"/>
      <c r="AN3544" s="387"/>
      <c r="AO3544" s="386"/>
      <c r="AP3544" s="386"/>
      <c r="AQ3544" s="386"/>
      <c r="AR3544" s="387"/>
      <c r="AS3544" s="387"/>
      <c r="AT3544" s="386"/>
      <c r="AU3544" s="386"/>
      <c r="AV3544" s="386"/>
      <c r="AW3544" s="386"/>
      <c r="AX3544" s="386"/>
      <c r="AY3544" s="386"/>
      <c r="AZ3544" s="386"/>
      <c r="BA3544" s="386"/>
      <c r="BB3544" s="386"/>
      <c r="BC3544" s="386"/>
      <c r="BD3544" s="386"/>
      <c r="BE3544" s="386"/>
      <c r="BF3544" s="386"/>
      <c r="BG3544" s="387"/>
      <c r="BH3544" s="386"/>
      <c r="BI3544" s="386"/>
    </row>
    <row r="3545" spans="1:61" s="46" customFormat="1" x14ac:dyDescent="0.3">
      <c r="A3545" s="317"/>
      <c r="B3545" s="312"/>
      <c r="C3545" s="455"/>
      <c r="D3545" s="370"/>
      <c r="E3545" s="386"/>
      <c r="F3545" s="387"/>
      <c r="G3545" s="387"/>
      <c r="H3545" s="386"/>
      <c r="I3545" s="386"/>
      <c r="J3545" s="386"/>
      <c r="K3545" s="386"/>
      <c r="L3545" s="386"/>
      <c r="M3545" s="386"/>
      <c r="N3545" s="386"/>
      <c r="O3545" s="386"/>
      <c r="P3545" s="386"/>
      <c r="Q3545" s="386"/>
      <c r="R3545" s="386"/>
      <c r="S3545" s="386"/>
      <c r="T3545" s="386"/>
      <c r="U3545" s="387"/>
      <c r="V3545" s="386"/>
      <c r="W3545" s="386"/>
      <c r="X3545" s="386"/>
      <c r="Y3545" s="387"/>
      <c r="Z3545" s="387"/>
      <c r="AA3545" s="386"/>
      <c r="AB3545" s="386"/>
      <c r="AC3545" s="386"/>
      <c r="AD3545" s="386"/>
      <c r="AE3545" s="386"/>
      <c r="AF3545" s="386"/>
      <c r="AG3545" s="386"/>
      <c r="AH3545" s="386"/>
      <c r="AI3545" s="386"/>
      <c r="AJ3545" s="386"/>
      <c r="AK3545" s="386"/>
      <c r="AL3545" s="386"/>
      <c r="AM3545" s="386"/>
      <c r="AN3545" s="387"/>
      <c r="AO3545" s="386"/>
      <c r="AP3545" s="386"/>
      <c r="AQ3545" s="386"/>
      <c r="AR3545" s="387"/>
      <c r="AS3545" s="387"/>
      <c r="AT3545" s="386"/>
      <c r="AU3545" s="386"/>
      <c r="AV3545" s="386"/>
      <c r="AW3545" s="386"/>
      <c r="AX3545" s="386"/>
      <c r="AY3545" s="386"/>
      <c r="AZ3545" s="386"/>
      <c r="BA3545" s="386"/>
      <c r="BB3545" s="386"/>
      <c r="BC3545" s="386"/>
      <c r="BD3545" s="386"/>
      <c r="BE3545" s="386"/>
      <c r="BF3545" s="386"/>
      <c r="BG3545" s="387"/>
      <c r="BH3545" s="386"/>
      <c r="BI3545" s="386"/>
    </row>
    <row r="3546" spans="1:61" s="46" customFormat="1" x14ac:dyDescent="0.3">
      <c r="A3546" s="317"/>
      <c r="B3546" s="312"/>
      <c r="C3546" s="455"/>
      <c r="D3546" s="370"/>
      <c r="E3546" s="386"/>
      <c r="F3546" s="387"/>
      <c r="G3546" s="387"/>
      <c r="H3546" s="386"/>
      <c r="I3546" s="386"/>
      <c r="J3546" s="386"/>
      <c r="K3546" s="386"/>
      <c r="L3546" s="386"/>
      <c r="M3546" s="386"/>
      <c r="N3546" s="386"/>
      <c r="O3546" s="386"/>
      <c r="P3546" s="386"/>
      <c r="Q3546" s="386"/>
      <c r="R3546" s="386"/>
      <c r="S3546" s="386"/>
      <c r="T3546" s="386"/>
      <c r="U3546" s="387"/>
      <c r="V3546" s="386"/>
      <c r="W3546" s="386"/>
      <c r="X3546" s="386"/>
      <c r="Y3546" s="387"/>
      <c r="Z3546" s="387"/>
      <c r="AA3546" s="386"/>
      <c r="AB3546" s="386"/>
      <c r="AC3546" s="386"/>
      <c r="AD3546" s="386"/>
      <c r="AE3546" s="386"/>
      <c r="AF3546" s="386"/>
      <c r="AG3546" s="386"/>
      <c r="AH3546" s="386"/>
      <c r="AI3546" s="386"/>
      <c r="AJ3546" s="386"/>
      <c r="AK3546" s="386"/>
      <c r="AL3546" s="386"/>
      <c r="AM3546" s="386"/>
      <c r="AN3546" s="387"/>
      <c r="AO3546" s="386"/>
      <c r="AP3546" s="386"/>
      <c r="AQ3546" s="386"/>
      <c r="AR3546" s="387"/>
      <c r="AS3546" s="387"/>
      <c r="AT3546" s="386"/>
      <c r="AU3546" s="386"/>
      <c r="AV3546" s="386"/>
      <c r="AW3546" s="386"/>
      <c r="AX3546" s="386"/>
      <c r="AY3546" s="386"/>
      <c r="AZ3546" s="386"/>
      <c r="BA3546" s="386"/>
      <c r="BB3546" s="386"/>
      <c r="BC3546" s="386"/>
      <c r="BD3546" s="386"/>
      <c r="BE3546" s="386"/>
      <c r="BF3546" s="386"/>
      <c r="BG3546" s="387"/>
      <c r="BH3546" s="386"/>
      <c r="BI3546" s="386"/>
    </row>
    <row r="3547" spans="1:61" s="46" customFormat="1" x14ac:dyDescent="0.3">
      <c r="A3547" s="317"/>
      <c r="B3547" s="312"/>
      <c r="C3547" s="455"/>
      <c r="D3547" s="370"/>
      <c r="E3547" s="386"/>
      <c r="F3547" s="387"/>
      <c r="G3547" s="387"/>
      <c r="H3547" s="386"/>
      <c r="I3547" s="386"/>
      <c r="J3547" s="386"/>
      <c r="K3547" s="386"/>
      <c r="L3547" s="386"/>
      <c r="M3547" s="386"/>
      <c r="N3547" s="386"/>
      <c r="O3547" s="386"/>
      <c r="P3547" s="386"/>
      <c r="Q3547" s="386"/>
      <c r="R3547" s="386"/>
      <c r="S3547" s="386"/>
      <c r="T3547" s="386"/>
      <c r="U3547" s="387"/>
      <c r="V3547" s="386"/>
      <c r="W3547" s="386"/>
      <c r="X3547" s="386"/>
      <c r="Y3547" s="387"/>
      <c r="Z3547" s="387"/>
      <c r="AA3547" s="386"/>
      <c r="AB3547" s="386"/>
      <c r="AC3547" s="386"/>
      <c r="AD3547" s="386"/>
      <c r="AE3547" s="386"/>
      <c r="AF3547" s="386"/>
      <c r="AG3547" s="386"/>
      <c r="AH3547" s="386"/>
      <c r="AI3547" s="386"/>
      <c r="AJ3547" s="386"/>
      <c r="AK3547" s="386"/>
      <c r="AL3547" s="386"/>
      <c r="AM3547" s="386"/>
      <c r="AN3547" s="387"/>
      <c r="AO3547" s="386"/>
      <c r="AP3547" s="386"/>
      <c r="AQ3547" s="386"/>
      <c r="AR3547" s="387"/>
      <c r="AS3547" s="387"/>
      <c r="AT3547" s="386"/>
      <c r="AU3547" s="386"/>
      <c r="AV3547" s="386"/>
      <c r="AW3547" s="386"/>
      <c r="AX3547" s="386"/>
      <c r="AY3547" s="386"/>
      <c r="AZ3547" s="386"/>
      <c r="BA3547" s="386"/>
      <c r="BB3547" s="386"/>
      <c r="BC3547" s="386"/>
      <c r="BD3547" s="386"/>
      <c r="BE3547" s="386"/>
      <c r="BF3547" s="386"/>
      <c r="BG3547" s="387"/>
      <c r="BH3547" s="386"/>
      <c r="BI3547" s="386"/>
    </row>
    <row r="3548" spans="1:61" s="46" customFormat="1" x14ac:dyDescent="0.3">
      <c r="A3548" s="317"/>
      <c r="B3548" s="312"/>
      <c r="C3548" s="455"/>
      <c r="D3548" s="370"/>
      <c r="E3548" s="386"/>
      <c r="F3548" s="387"/>
      <c r="G3548" s="387"/>
      <c r="H3548" s="386"/>
      <c r="I3548" s="386"/>
      <c r="J3548" s="386"/>
      <c r="K3548" s="386"/>
      <c r="L3548" s="386"/>
      <c r="M3548" s="386"/>
      <c r="N3548" s="386"/>
      <c r="O3548" s="386"/>
      <c r="P3548" s="386"/>
      <c r="Q3548" s="386"/>
      <c r="R3548" s="386"/>
      <c r="S3548" s="386"/>
      <c r="T3548" s="386"/>
      <c r="U3548" s="387"/>
      <c r="V3548" s="386"/>
      <c r="W3548" s="386"/>
      <c r="X3548" s="386"/>
      <c r="Y3548" s="387"/>
      <c r="Z3548" s="387"/>
      <c r="AA3548" s="386"/>
      <c r="AB3548" s="386"/>
      <c r="AC3548" s="386"/>
      <c r="AD3548" s="386"/>
      <c r="AE3548" s="386"/>
      <c r="AF3548" s="386"/>
      <c r="AG3548" s="386"/>
      <c r="AH3548" s="386"/>
      <c r="AI3548" s="386"/>
      <c r="AJ3548" s="386"/>
      <c r="AK3548" s="386"/>
      <c r="AL3548" s="386"/>
      <c r="AM3548" s="386"/>
      <c r="AN3548" s="387"/>
      <c r="AO3548" s="386"/>
      <c r="AP3548" s="386"/>
      <c r="AQ3548" s="386"/>
      <c r="AR3548" s="387"/>
      <c r="AS3548" s="387"/>
      <c r="AT3548" s="386"/>
      <c r="AU3548" s="386"/>
      <c r="AV3548" s="386"/>
      <c r="AW3548" s="386"/>
      <c r="AX3548" s="386"/>
      <c r="AY3548" s="386"/>
      <c r="AZ3548" s="386"/>
      <c r="BA3548" s="386"/>
      <c r="BB3548" s="386"/>
      <c r="BC3548" s="386"/>
      <c r="BD3548" s="386"/>
      <c r="BE3548" s="386"/>
      <c r="BF3548" s="386"/>
      <c r="BG3548" s="387"/>
      <c r="BH3548" s="386"/>
      <c r="BI3548" s="386"/>
    </row>
    <row r="3549" spans="1:61" s="46" customFormat="1" x14ac:dyDescent="0.3">
      <c r="A3549" s="317"/>
      <c r="B3549" s="312"/>
      <c r="C3549" s="455"/>
      <c r="D3549" s="370"/>
      <c r="E3549" s="386"/>
      <c r="F3549" s="387"/>
      <c r="G3549" s="387"/>
      <c r="H3549" s="386"/>
      <c r="I3549" s="386"/>
      <c r="J3549" s="386"/>
      <c r="K3549" s="386"/>
      <c r="L3549" s="386"/>
      <c r="M3549" s="386"/>
      <c r="N3549" s="386"/>
      <c r="O3549" s="386"/>
      <c r="P3549" s="386"/>
      <c r="Q3549" s="386"/>
      <c r="R3549" s="386"/>
      <c r="S3549" s="386"/>
      <c r="T3549" s="386"/>
      <c r="U3549" s="387"/>
      <c r="V3549" s="386"/>
      <c r="W3549" s="386"/>
      <c r="X3549" s="386"/>
      <c r="Y3549" s="387"/>
      <c r="Z3549" s="387"/>
      <c r="AA3549" s="386"/>
      <c r="AB3549" s="386"/>
      <c r="AC3549" s="386"/>
      <c r="AD3549" s="386"/>
      <c r="AE3549" s="386"/>
      <c r="AF3549" s="386"/>
      <c r="AG3549" s="386"/>
      <c r="AH3549" s="386"/>
      <c r="AI3549" s="386"/>
      <c r="AJ3549" s="386"/>
      <c r="AK3549" s="386"/>
      <c r="AL3549" s="386"/>
      <c r="AM3549" s="386"/>
      <c r="AN3549" s="387"/>
      <c r="AO3549" s="386"/>
      <c r="AP3549" s="386"/>
      <c r="AQ3549" s="386"/>
      <c r="AR3549" s="387"/>
      <c r="AS3549" s="387"/>
      <c r="AT3549" s="386"/>
      <c r="AU3549" s="386"/>
      <c r="AV3549" s="386"/>
      <c r="AW3549" s="386"/>
      <c r="AX3549" s="386"/>
      <c r="AY3549" s="386"/>
      <c r="AZ3549" s="386"/>
      <c r="BA3549" s="386"/>
      <c r="BB3549" s="386"/>
      <c r="BC3549" s="386"/>
      <c r="BD3549" s="386"/>
      <c r="BE3549" s="386"/>
      <c r="BF3549" s="386"/>
      <c r="BG3549" s="387"/>
      <c r="BH3549" s="386"/>
      <c r="BI3549" s="386"/>
    </row>
    <row r="3550" spans="1:61" s="46" customFormat="1" x14ac:dyDescent="0.3">
      <c r="A3550" s="317"/>
      <c r="B3550" s="312"/>
      <c r="C3550" s="455"/>
      <c r="D3550" s="370"/>
      <c r="E3550" s="386"/>
      <c r="F3550" s="387"/>
      <c r="G3550" s="387"/>
      <c r="H3550" s="386"/>
      <c r="I3550" s="386"/>
      <c r="J3550" s="386"/>
      <c r="K3550" s="386"/>
      <c r="L3550" s="386"/>
      <c r="M3550" s="386"/>
      <c r="N3550" s="386"/>
      <c r="O3550" s="386"/>
      <c r="P3550" s="386"/>
      <c r="Q3550" s="386"/>
      <c r="R3550" s="386"/>
      <c r="S3550" s="386"/>
      <c r="T3550" s="386"/>
      <c r="U3550" s="387"/>
      <c r="V3550" s="386"/>
      <c r="W3550" s="386"/>
      <c r="X3550" s="386"/>
      <c r="Y3550" s="387"/>
      <c r="Z3550" s="387"/>
      <c r="AA3550" s="386"/>
      <c r="AB3550" s="386"/>
      <c r="AC3550" s="386"/>
      <c r="AD3550" s="386"/>
      <c r="AE3550" s="386"/>
      <c r="AF3550" s="386"/>
      <c r="AG3550" s="386"/>
      <c r="AH3550" s="386"/>
      <c r="AI3550" s="386"/>
      <c r="AJ3550" s="386"/>
      <c r="AK3550" s="386"/>
      <c r="AL3550" s="386"/>
      <c r="AM3550" s="386"/>
      <c r="AN3550" s="387"/>
      <c r="AO3550" s="386"/>
      <c r="AP3550" s="386"/>
      <c r="AQ3550" s="386"/>
      <c r="AR3550" s="387"/>
      <c r="AS3550" s="387"/>
      <c r="AT3550" s="386"/>
      <c r="AU3550" s="386"/>
      <c r="AV3550" s="386"/>
      <c r="AW3550" s="386"/>
      <c r="AX3550" s="386"/>
      <c r="AY3550" s="386"/>
      <c r="AZ3550" s="386"/>
      <c r="BA3550" s="386"/>
      <c r="BB3550" s="386"/>
      <c r="BC3550" s="386"/>
      <c r="BD3550" s="386"/>
      <c r="BE3550" s="386"/>
      <c r="BF3550" s="386"/>
      <c r="BG3550" s="387"/>
      <c r="BH3550" s="386"/>
      <c r="BI3550" s="386"/>
    </row>
    <row r="3551" spans="1:61" s="46" customFormat="1" x14ac:dyDescent="0.3">
      <c r="A3551" s="317"/>
      <c r="B3551" s="312"/>
      <c r="C3551" s="455"/>
      <c r="D3551" s="370"/>
      <c r="E3551" s="386"/>
      <c r="F3551" s="387"/>
      <c r="G3551" s="387"/>
      <c r="H3551" s="386"/>
      <c r="I3551" s="386"/>
      <c r="J3551" s="386"/>
      <c r="K3551" s="386"/>
      <c r="L3551" s="386"/>
      <c r="M3551" s="386"/>
      <c r="N3551" s="386"/>
      <c r="O3551" s="386"/>
      <c r="P3551" s="386"/>
      <c r="Q3551" s="386"/>
      <c r="R3551" s="386"/>
      <c r="S3551" s="386"/>
      <c r="T3551" s="386"/>
      <c r="U3551" s="387"/>
      <c r="V3551" s="386"/>
      <c r="W3551" s="386"/>
      <c r="X3551" s="386"/>
      <c r="Y3551" s="387"/>
      <c r="Z3551" s="387"/>
      <c r="AA3551" s="386"/>
      <c r="AB3551" s="386"/>
      <c r="AC3551" s="386"/>
      <c r="AD3551" s="386"/>
      <c r="AE3551" s="386"/>
      <c r="AF3551" s="386"/>
      <c r="AG3551" s="386"/>
      <c r="AH3551" s="386"/>
      <c r="AI3551" s="386"/>
      <c r="AJ3551" s="386"/>
      <c r="AK3551" s="386"/>
      <c r="AL3551" s="386"/>
      <c r="AM3551" s="386"/>
      <c r="AN3551" s="387"/>
      <c r="AO3551" s="386"/>
      <c r="AP3551" s="386"/>
      <c r="AQ3551" s="386"/>
      <c r="AR3551" s="387"/>
      <c r="AS3551" s="387"/>
      <c r="AT3551" s="386"/>
      <c r="AU3551" s="386"/>
      <c r="AV3551" s="386"/>
      <c r="AW3551" s="386"/>
      <c r="AX3551" s="386"/>
      <c r="AY3551" s="386"/>
      <c r="AZ3551" s="386"/>
      <c r="BA3551" s="386"/>
      <c r="BB3551" s="386"/>
      <c r="BC3551" s="386"/>
      <c r="BD3551" s="386"/>
      <c r="BE3551" s="386"/>
      <c r="BF3551" s="386"/>
      <c r="BG3551" s="387"/>
      <c r="BH3551" s="386"/>
      <c r="BI3551" s="386"/>
    </row>
    <row r="3552" spans="1:61" s="46" customFormat="1" x14ac:dyDescent="0.3">
      <c r="A3552" s="317"/>
      <c r="B3552" s="312"/>
      <c r="C3552" s="455"/>
      <c r="D3552" s="370"/>
      <c r="E3552" s="386"/>
      <c r="F3552" s="387"/>
      <c r="G3552" s="387"/>
      <c r="H3552" s="386"/>
      <c r="I3552" s="386"/>
      <c r="J3552" s="386"/>
      <c r="K3552" s="386"/>
      <c r="L3552" s="386"/>
      <c r="M3552" s="386"/>
      <c r="N3552" s="386"/>
      <c r="O3552" s="386"/>
      <c r="P3552" s="386"/>
      <c r="Q3552" s="386"/>
      <c r="R3552" s="386"/>
      <c r="S3552" s="386"/>
      <c r="T3552" s="386"/>
      <c r="U3552" s="387"/>
      <c r="V3552" s="386"/>
      <c r="W3552" s="386"/>
      <c r="X3552" s="386"/>
      <c r="Y3552" s="387"/>
      <c r="Z3552" s="387"/>
      <c r="AA3552" s="386"/>
      <c r="AB3552" s="386"/>
      <c r="AC3552" s="386"/>
      <c r="AD3552" s="386"/>
      <c r="AE3552" s="386"/>
      <c r="AF3552" s="386"/>
      <c r="AG3552" s="386"/>
      <c r="AH3552" s="386"/>
      <c r="AI3552" s="386"/>
      <c r="AJ3552" s="386"/>
      <c r="AK3552" s="386"/>
      <c r="AL3552" s="386"/>
      <c r="AM3552" s="386"/>
      <c r="AN3552" s="387"/>
      <c r="AO3552" s="386"/>
      <c r="AP3552" s="386"/>
      <c r="AQ3552" s="386"/>
      <c r="AR3552" s="387"/>
      <c r="AS3552" s="387"/>
      <c r="AT3552" s="386"/>
      <c r="AU3552" s="386"/>
      <c r="AV3552" s="386"/>
      <c r="AW3552" s="386"/>
      <c r="AX3552" s="386"/>
      <c r="AY3552" s="386"/>
      <c r="AZ3552" s="386"/>
      <c r="BA3552" s="386"/>
      <c r="BB3552" s="386"/>
      <c r="BC3552" s="386"/>
      <c r="BD3552" s="386"/>
      <c r="BE3552" s="386"/>
      <c r="BF3552" s="386"/>
      <c r="BG3552" s="387"/>
      <c r="BH3552" s="386"/>
      <c r="BI3552" s="386"/>
    </row>
    <row r="3553" spans="1:61" s="46" customFormat="1" x14ac:dyDescent="0.3">
      <c r="A3553" s="317"/>
      <c r="B3553" s="312"/>
      <c r="C3553" s="455"/>
      <c r="D3553" s="370"/>
      <c r="E3553" s="386"/>
      <c r="F3553" s="387"/>
      <c r="G3553" s="387"/>
      <c r="H3553" s="386"/>
      <c r="I3553" s="386"/>
      <c r="J3553" s="386"/>
      <c r="K3553" s="386"/>
      <c r="L3553" s="386"/>
      <c r="M3553" s="386"/>
      <c r="N3553" s="386"/>
      <c r="O3553" s="386"/>
      <c r="P3553" s="386"/>
      <c r="Q3553" s="386"/>
      <c r="R3553" s="386"/>
      <c r="S3553" s="386"/>
      <c r="T3553" s="386"/>
      <c r="U3553" s="387"/>
      <c r="V3553" s="386"/>
      <c r="W3553" s="386"/>
      <c r="X3553" s="386"/>
      <c r="Y3553" s="387"/>
      <c r="Z3553" s="387"/>
      <c r="AA3553" s="386"/>
      <c r="AB3553" s="386"/>
      <c r="AC3553" s="386"/>
      <c r="AD3553" s="386"/>
      <c r="AE3553" s="386"/>
      <c r="AF3553" s="386"/>
      <c r="AG3553" s="386"/>
      <c r="AH3553" s="386"/>
      <c r="AI3553" s="386"/>
      <c r="AJ3553" s="386"/>
      <c r="AK3553" s="386"/>
      <c r="AL3553" s="386"/>
      <c r="AM3553" s="386"/>
      <c r="AN3553" s="387"/>
      <c r="AO3553" s="386"/>
      <c r="AP3553" s="386"/>
      <c r="AQ3553" s="386"/>
      <c r="AR3553" s="387"/>
      <c r="AS3553" s="387"/>
      <c r="AT3553" s="386"/>
      <c r="AU3553" s="386"/>
      <c r="AV3553" s="386"/>
      <c r="AW3553" s="386"/>
      <c r="AX3553" s="386"/>
      <c r="AY3553" s="386"/>
      <c r="AZ3553" s="386"/>
      <c r="BA3553" s="386"/>
      <c r="BB3553" s="386"/>
      <c r="BC3553" s="386"/>
      <c r="BD3553" s="386"/>
      <c r="BE3553" s="386"/>
      <c r="BF3553" s="386"/>
      <c r="BG3553" s="387"/>
      <c r="BH3553" s="386"/>
      <c r="BI3553" s="386"/>
    </row>
    <row r="3554" spans="1:61" s="46" customFormat="1" x14ac:dyDescent="0.3">
      <c r="A3554" s="317"/>
      <c r="B3554" s="312"/>
      <c r="C3554" s="455"/>
      <c r="D3554" s="370"/>
      <c r="E3554" s="386"/>
      <c r="F3554" s="387"/>
      <c r="G3554" s="387"/>
      <c r="H3554" s="386"/>
      <c r="I3554" s="386"/>
      <c r="J3554" s="386"/>
      <c r="K3554" s="386"/>
      <c r="L3554" s="386"/>
      <c r="M3554" s="386"/>
      <c r="N3554" s="386"/>
      <c r="O3554" s="386"/>
      <c r="P3554" s="386"/>
      <c r="Q3554" s="386"/>
      <c r="R3554" s="386"/>
      <c r="S3554" s="386"/>
      <c r="T3554" s="386"/>
      <c r="U3554" s="387"/>
      <c r="V3554" s="386"/>
      <c r="W3554" s="386"/>
      <c r="X3554" s="386"/>
      <c r="Y3554" s="387"/>
      <c r="Z3554" s="387"/>
      <c r="AA3554" s="386"/>
      <c r="AB3554" s="386"/>
      <c r="AC3554" s="386"/>
      <c r="AD3554" s="386"/>
      <c r="AE3554" s="386"/>
      <c r="AF3554" s="386"/>
      <c r="AG3554" s="386"/>
      <c r="AH3554" s="386"/>
      <c r="AI3554" s="386"/>
      <c r="AJ3554" s="386"/>
      <c r="AK3554" s="386"/>
      <c r="AL3554" s="386"/>
      <c r="AM3554" s="386"/>
      <c r="AN3554" s="387"/>
      <c r="AO3554" s="386"/>
      <c r="AP3554" s="386"/>
      <c r="AQ3554" s="386"/>
      <c r="AR3554" s="387"/>
      <c r="AS3554" s="387"/>
      <c r="AT3554" s="386"/>
      <c r="AU3554" s="386"/>
      <c r="AV3554" s="386"/>
      <c r="AW3554" s="386"/>
      <c r="AX3554" s="386"/>
      <c r="AY3554" s="386"/>
      <c r="AZ3554" s="386"/>
      <c r="BA3554" s="386"/>
      <c r="BB3554" s="386"/>
      <c r="BC3554" s="386"/>
      <c r="BD3554" s="386"/>
      <c r="BE3554" s="386"/>
      <c r="BF3554" s="386"/>
      <c r="BG3554" s="387"/>
      <c r="BH3554" s="386"/>
      <c r="BI3554" s="386"/>
    </row>
    <row r="3555" spans="1:61" s="46" customFormat="1" x14ac:dyDescent="0.3">
      <c r="A3555" s="317"/>
      <c r="B3555" s="312"/>
      <c r="C3555" s="455"/>
      <c r="D3555" s="370"/>
      <c r="E3555" s="386"/>
      <c r="F3555" s="387"/>
      <c r="G3555" s="387"/>
      <c r="H3555" s="386"/>
      <c r="I3555" s="386"/>
      <c r="J3555" s="386"/>
      <c r="K3555" s="386"/>
      <c r="L3555" s="386"/>
      <c r="M3555" s="386"/>
      <c r="N3555" s="386"/>
      <c r="O3555" s="386"/>
      <c r="P3555" s="386"/>
      <c r="Q3555" s="386"/>
      <c r="R3555" s="386"/>
      <c r="S3555" s="386"/>
      <c r="T3555" s="386"/>
      <c r="U3555" s="387"/>
      <c r="V3555" s="386"/>
      <c r="W3555" s="386"/>
      <c r="X3555" s="386"/>
      <c r="Y3555" s="387"/>
      <c r="Z3555" s="387"/>
      <c r="AA3555" s="386"/>
      <c r="AB3555" s="386"/>
      <c r="AC3555" s="386"/>
      <c r="AD3555" s="386"/>
      <c r="AE3555" s="386"/>
      <c r="AF3555" s="386"/>
      <c r="AG3555" s="386"/>
      <c r="AH3555" s="386"/>
      <c r="AI3555" s="386"/>
      <c r="AJ3555" s="386"/>
      <c r="AK3555" s="386"/>
      <c r="AL3555" s="386"/>
      <c r="AM3555" s="386"/>
      <c r="AN3555" s="387"/>
      <c r="AO3555" s="386"/>
      <c r="AP3555" s="386"/>
      <c r="AQ3555" s="386"/>
      <c r="AR3555" s="387"/>
      <c r="AS3555" s="387"/>
      <c r="AT3555" s="386"/>
      <c r="AU3555" s="386"/>
      <c r="AV3555" s="386"/>
      <c r="AW3555" s="386"/>
      <c r="AX3555" s="386"/>
      <c r="AY3555" s="386"/>
      <c r="AZ3555" s="386"/>
      <c r="BA3555" s="386"/>
      <c r="BB3555" s="386"/>
      <c r="BC3555" s="386"/>
      <c r="BD3555" s="386"/>
      <c r="BE3555" s="386"/>
      <c r="BF3555" s="386"/>
      <c r="BG3555" s="387"/>
      <c r="BH3555" s="386"/>
      <c r="BI3555" s="386"/>
    </row>
    <row r="3556" spans="1:61" s="46" customFormat="1" x14ac:dyDescent="0.3">
      <c r="A3556" s="317"/>
      <c r="B3556" s="312"/>
      <c r="C3556" s="455"/>
      <c r="D3556" s="370"/>
      <c r="E3556" s="386"/>
      <c r="F3556" s="387"/>
      <c r="G3556" s="387"/>
      <c r="H3556" s="386"/>
      <c r="I3556" s="386"/>
      <c r="J3556" s="386"/>
      <c r="K3556" s="386"/>
      <c r="L3556" s="386"/>
      <c r="M3556" s="386"/>
      <c r="N3556" s="386"/>
      <c r="O3556" s="386"/>
      <c r="P3556" s="386"/>
      <c r="Q3556" s="386"/>
      <c r="R3556" s="386"/>
      <c r="S3556" s="386"/>
      <c r="T3556" s="386"/>
      <c r="U3556" s="387"/>
      <c r="V3556" s="386"/>
      <c r="W3556" s="386"/>
      <c r="X3556" s="386"/>
      <c r="Y3556" s="387"/>
      <c r="Z3556" s="387"/>
      <c r="AA3556" s="386"/>
      <c r="AB3556" s="386"/>
      <c r="AC3556" s="386"/>
      <c r="AD3556" s="386"/>
      <c r="AE3556" s="386"/>
      <c r="AF3556" s="386"/>
      <c r="AG3556" s="386"/>
      <c r="AH3556" s="386"/>
      <c r="AI3556" s="386"/>
      <c r="AJ3556" s="386"/>
      <c r="AK3556" s="386"/>
      <c r="AL3556" s="386"/>
      <c r="AM3556" s="386"/>
      <c r="AN3556" s="387"/>
      <c r="AO3556" s="386"/>
      <c r="AP3556" s="386"/>
      <c r="AQ3556" s="386"/>
      <c r="AR3556" s="387"/>
      <c r="AS3556" s="387"/>
      <c r="AT3556" s="386"/>
      <c r="AU3556" s="386"/>
      <c r="AV3556" s="386"/>
      <c r="AW3556" s="386"/>
      <c r="AX3556" s="386"/>
      <c r="AY3556" s="386"/>
      <c r="AZ3556" s="386"/>
      <c r="BA3556" s="386"/>
      <c r="BB3556" s="386"/>
      <c r="BC3556" s="386"/>
      <c r="BD3556" s="386"/>
      <c r="BE3556" s="386"/>
      <c r="BF3556" s="386"/>
      <c r="BG3556" s="387"/>
      <c r="BH3556" s="386"/>
      <c r="BI3556" s="386"/>
    </row>
    <row r="3557" spans="1:61" s="46" customFormat="1" x14ac:dyDescent="0.3">
      <c r="A3557" s="317"/>
      <c r="B3557" s="312"/>
      <c r="C3557" s="455"/>
      <c r="D3557" s="370"/>
      <c r="E3557" s="386"/>
      <c r="F3557" s="387"/>
      <c r="G3557" s="387"/>
      <c r="H3557" s="386"/>
      <c r="I3557" s="386"/>
      <c r="J3557" s="386"/>
      <c r="K3557" s="386"/>
      <c r="L3557" s="386"/>
      <c r="M3557" s="386"/>
      <c r="N3557" s="386"/>
      <c r="O3557" s="386"/>
      <c r="P3557" s="386"/>
      <c r="Q3557" s="386"/>
      <c r="R3557" s="386"/>
      <c r="S3557" s="386"/>
      <c r="T3557" s="386"/>
      <c r="U3557" s="387"/>
      <c r="V3557" s="386"/>
      <c r="W3557" s="386"/>
      <c r="X3557" s="386"/>
      <c r="Y3557" s="387"/>
      <c r="Z3557" s="387"/>
      <c r="AA3557" s="386"/>
      <c r="AB3557" s="386"/>
      <c r="AC3557" s="386"/>
      <c r="AD3557" s="386"/>
      <c r="AE3557" s="386"/>
      <c r="AF3557" s="386"/>
      <c r="AG3557" s="386"/>
      <c r="AH3557" s="386"/>
      <c r="AI3557" s="386"/>
      <c r="AJ3557" s="386"/>
      <c r="AK3557" s="386"/>
      <c r="AL3557" s="386"/>
      <c r="AM3557" s="386"/>
      <c r="AN3557" s="387"/>
      <c r="AO3557" s="386"/>
      <c r="AP3557" s="386"/>
      <c r="AQ3557" s="386"/>
      <c r="AR3557" s="387"/>
      <c r="AS3557" s="387"/>
      <c r="AT3557" s="386"/>
      <c r="AU3557" s="386"/>
      <c r="AV3557" s="386"/>
      <c r="AW3557" s="386"/>
      <c r="AX3557" s="386"/>
      <c r="AY3557" s="386"/>
      <c r="AZ3557" s="386"/>
      <c r="BA3557" s="386"/>
      <c r="BB3557" s="386"/>
      <c r="BC3557" s="386"/>
      <c r="BD3557" s="386"/>
      <c r="BE3557" s="386"/>
      <c r="BF3557" s="386"/>
      <c r="BG3557" s="387"/>
      <c r="BH3557" s="386"/>
      <c r="BI3557" s="386"/>
    </row>
    <row r="3558" spans="1:61" s="46" customFormat="1" x14ac:dyDescent="0.3">
      <c r="A3558" s="317"/>
      <c r="B3558" s="312"/>
      <c r="C3558" s="455"/>
      <c r="D3558" s="370"/>
      <c r="E3558" s="386"/>
      <c r="F3558" s="387"/>
      <c r="G3558" s="387"/>
      <c r="H3558" s="386"/>
      <c r="I3558" s="386"/>
      <c r="J3558" s="386"/>
      <c r="K3558" s="386"/>
      <c r="L3558" s="386"/>
      <c r="M3558" s="386"/>
      <c r="N3558" s="386"/>
      <c r="O3558" s="386"/>
      <c r="P3558" s="386"/>
      <c r="Q3558" s="386"/>
      <c r="R3558" s="386"/>
      <c r="S3558" s="386"/>
      <c r="T3558" s="386"/>
      <c r="U3558" s="387"/>
      <c r="V3558" s="386"/>
      <c r="W3558" s="386"/>
      <c r="X3558" s="386"/>
      <c r="Y3558" s="387"/>
      <c r="Z3558" s="387"/>
      <c r="AA3558" s="386"/>
      <c r="AB3558" s="386"/>
      <c r="AC3558" s="386"/>
      <c r="AD3558" s="386"/>
      <c r="AE3558" s="386"/>
      <c r="AF3558" s="386"/>
      <c r="AG3558" s="386"/>
      <c r="AH3558" s="386"/>
      <c r="AI3558" s="386"/>
      <c r="AJ3558" s="386"/>
      <c r="AK3558" s="386"/>
      <c r="AL3558" s="386"/>
      <c r="AM3558" s="386"/>
      <c r="AN3558" s="387"/>
      <c r="AO3558" s="386"/>
      <c r="AP3558" s="386"/>
      <c r="AQ3558" s="386"/>
      <c r="AR3558" s="387"/>
      <c r="AS3558" s="387"/>
      <c r="AT3558" s="386"/>
      <c r="AU3558" s="386"/>
      <c r="AV3558" s="386"/>
      <c r="AW3558" s="386"/>
      <c r="AX3558" s="386"/>
      <c r="AY3558" s="386"/>
      <c r="AZ3558" s="386"/>
      <c r="BA3558" s="386"/>
      <c r="BB3558" s="386"/>
      <c r="BC3558" s="386"/>
      <c r="BD3558" s="386"/>
      <c r="BE3558" s="386"/>
      <c r="BF3558" s="386"/>
      <c r="BG3558" s="387"/>
      <c r="BH3558" s="386"/>
      <c r="BI3558" s="386"/>
    </row>
    <row r="3559" spans="1:61" s="46" customFormat="1" x14ac:dyDescent="0.3">
      <c r="A3559" s="317"/>
      <c r="B3559" s="312"/>
      <c r="C3559" s="455"/>
      <c r="D3559" s="370"/>
      <c r="E3559" s="386"/>
      <c r="F3559" s="387"/>
      <c r="G3559" s="387"/>
      <c r="H3559" s="386"/>
      <c r="I3559" s="386"/>
      <c r="J3559" s="386"/>
      <c r="K3559" s="386"/>
      <c r="L3559" s="386"/>
      <c r="M3559" s="386"/>
      <c r="N3559" s="386"/>
      <c r="O3559" s="386"/>
      <c r="P3559" s="386"/>
      <c r="Q3559" s="386"/>
      <c r="R3559" s="386"/>
      <c r="S3559" s="386"/>
      <c r="T3559" s="386"/>
      <c r="U3559" s="387"/>
      <c r="V3559" s="386"/>
      <c r="W3559" s="386"/>
      <c r="X3559" s="386"/>
      <c r="Y3559" s="387"/>
      <c r="Z3559" s="387"/>
      <c r="AA3559" s="386"/>
      <c r="AB3559" s="386"/>
      <c r="AC3559" s="386"/>
      <c r="AD3559" s="386"/>
      <c r="AE3559" s="386"/>
      <c r="AF3559" s="386"/>
      <c r="AG3559" s="386"/>
      <c r="AH3559" s="386"/>
      <c r="AI3559" s="386"/>
      <c r="AJ3559" s="386"/>
      <c r="AK3559" s="386"/>
      <c r="AL3559" s="386"/>
      <c r="AM3559" s="386"/>
      <c r="AN3559" s="387"/>
      <c r="AO3559" s="386"/>
      <c r="AP3559" s="386"/>
      <c r="AQ3559" s="386"/>
      <c r="AR3559" s="387"/>
      <c r="AS3559" s="387"/>
      <c r="AT3559" s="386"/>
      <c r="AU3559" s="386"/>
      <c r="AV3559" s="386"/>
      <c r="AW3559" s="386"/>
      <c r="AX3559" s="386"/>
      <c r="AY3559" s="386"/>
      <c r="AZ3559" s="386"/>
      <c r="BA3559" s="386"/>
      <c r="BB3559" s="386"/>
      <c r="BC3559" s="386"/>
      <c r="BD3559" s="386"/>
      <c r="BE3559" s="386"/>
      <c r="BF3559" s="386"/>
      <c r="BG3559" s="387"/>
      <c r="BH3559" s="386"/>
      <c r="BI3559" s="386"/>
    </row>
    <row r="3560" spans="1:61" s="46" customFormat="1" x14ac:dyDescent="0.3">
      <c r="A3560" s="317"/>
      <c r="B3560" s="312"/>
      <c r="C3560" s="455"/>
      <c r="D3560" s="370"/>
      <c r="E3560" s="386"/>
      <c r="F3560" s="387"/>
      <c r="G3560" s="387"/>
      <c r="H3560" s="386"/>
      <c r="I3560" s="386"/>
      <c r="J3560" s="386"/>
      <c r="K3560" s="386"/>
      <c r="L3560" s="386"/>
      <c r="M3560" s="386"/>
      <c r="N3560" s="386"/>
      <c r="O3560" s="386"/>
      <c r="P3560" s="386"/>
      <c r="Q3560" s="386"/>
      <c r="R3560" s="386"/>
      <c r="S3560" s="386"/>
      <c r="T3560" s="386"/>
      <c r="U3560" s="387"/>
      <c r="V3560" s="386"/>
      <c r="W3560" s="386"/>
      <c r="X3560" s="386"/>
      <c r="Y3560" s="387"/>
      <c r="Z3560" s="387"/>
      <c r="AA3560" s="386"/>
      <c r="AB3560" s="386"/>
      <c r="AC3560" s="386"/>
      <c r="AD3560" s="386"/>
      <c r="AE3560" s="386"/>
      <c r="AF3560" s="386"/>
      <c r="AG3560" s="386"/>
      <c r="AH3560" s="386"/>
      <c r="AI3560" s="386"/>
      <c r="AJ3560" s="386"/>
      <c r="AK3560" s="386"/>
      <c r="AL3560" s="386"/>
      <c r="AM3560" s="386"/>
      <c r="AN3560" s="387"/>
      <c r="AO3560" s="386"/>
      <c r="AP3560" s="386"/>
      <c r="AQ3560" s="386"/>
      <c r="AR3560" s="387"/>
      <c r="AS3560" s="387"/>
      <c r="AT3560" s="386"/>
      <c r="AU3560" s="386"/>
      <c r="AV3560" s="386"/>
      <c r="AW3560" s="386"/>
      <c r="AX3560" s="386"/>
      <c r="AY3560" s="386"/>
      <c r="AZ3560" s="386"/>
      <c r="BA3560" s="386"/>
      <c r="BB3560" s="386"/>
      <c r="BC3560" s="386"/>
      <c r="BD3560" s="386"/>
      <c r="BE3560" s="386"/>
      <c r="BF3560" s="386"/>
      <c r="BG3560" s="387"/>
      <c r="BH3560" s="386"/>
      <c r="BI3560" s="386"/>
    </row>
    <row r="3561" spans="1:61" s="46" customFormat="1" x14ac:dyDescent="0.3">
      <c r="A3561" s="317"/>
      <c r="B3561" s="312"/>
      <c r="C3561" s="455"/>
      <c r="D3561" s="370"/>
      <c r="E3561" s="386"/>
      <c r="F3561" s="387"/>
      <c r="G3561" s="387"/>
      <c r="H3561" s="386"/>
      <c r="I3561" s="386"/>
      <c r="J3561" s="386"/>
      <c r="K3561" s="386"/>
      <c r="L3561" s="386"/>
      <c r="M3561" s="386"/>
      <c r="N3561" s="386"/>
      <c r="O3561" s="386"/>
      <c r="P3561" s="386"/>
      <c r="Q3561" s="386"/>
      <c r="R3561" s="386"/>
      <c r="S3561" s="386"/>
      <c r="T3561" s="386"/>
      <c r="U3561" s="387"/>
      <c r="V3561" s="386"/>
      <c r="W3561" s="386"/>
      <c r="X3561" s="386"/>
      <c r="Y3561" s="387"/>
      <c r="Z3561" s="387"/>
      <c r="AA3561" s="386"/>
      <c r="AB3561" s="386"/>
      <c r="AC3561" s="386"/>
      <c r="AD3561" s="386"/>
      <c r="AE3561" s="386"/>
      <c r="AF3561" s="386"/>
      <c r="AG3561" s="386"/>
      <c r="AH3561" s="386"/>
      <c r="AI3561" s="386"/>
      <c r="AJ3561" s="386"/>
      <c r="AK3561" s="386"/>
      <c r="AL3561" s="386"/>
      <c r="AM3561" s="386"/>
      <c r="AN3561" s="387"/>
      <c r="AO3561" s="386"/>
      <c r="AP3561" s="386"/>
      <c r="AQ3561" s="386"/>
      <c r="AR3561" s="387"/>
      <c r="AS3561" s="387"/>
      <c r="AT3561" s="386"/>
      <c r="AU3561" s="386"/>
      <c r="AV3561" s="386"/>
      <c r="AW3561" s="386"/>
      <c r="AX3561" s="386"/>
      <c r="AY3561" s="386"/>
      <c r="AZ3561" s="386"/>
      <c r="BA3561" s="386"/>
      <c r="BB3561" s="386"/>
      <c r="BC3561" s="386"/>
      <c r="BD3561" s="386"/>
      <c r="BE3561" s="386"/>
      <c r="BF3561" s="386"/>
      <c r="BG3561" s="387"/>
      <c r="BH3561" s="386"/>
      <c r="BI3561" s="386"/>
    </row>
    <row r="3562" spans="1:61" s="46" customFormat="1" x14ac:dyDescent="0.3">
      <c r="A3562" s="317"/>
      <c r="B3562" s="312"/>
      <c r="C3562" s="455"/>
      <c r="D3562" s="370"/>
      <c r="E3562" s="386"/>
      <c r="F3562" s="387"/>
      <c r="G3562" s="387"/>
      <c r="H3562" s="386"/>
      <c r="I3562" s="386"/>
      <c r="J3562" s="386"/>
      <c r="K3562" s="386"/>
      <c r="L3562" s="386"/>
      <c r="M3562" s="386"/>
      <c r="N3562" s="386"/>
      <c r="O3562" s="386"/>
      <c r="P3562" s="386"/>
      <c r="Q3562" s="386"/>
      <c r="R3562" s="386"/>
      <c r="S3562" s="386"/>
      <c r="T3562" s="386"/>
      <c r="U3562" s="387"/>
      <c r="V3562" s="386"/>
      <c r="W3562" s="386"/>
      <c r="X3562" s="386"/>
      <c r="Y3562" s="387"/>
      <c r="Z3562" s="387"/>
      <c r="AA3562" s="386"/>
      <c r="AB3562" s="386"/>
      <c r="AC3562" s="386"/>
      <c r="AD3562" s="386"/>
      <c r="AE3562" s="386"/>
      <c r="AF3562" s="386"/>
      <c r="AG3562" s="386"/>
      <c r="AH3562" s="386"/>
      <c r="AI3562" s="386"/>
      <c r="AJ3562" s="386"/>
      <c r="AK3562" s="386"/>
      <c r="AL3562" s="386"/>
      <c r="AM3562" s="386"/>
      <c r="AN3562" s="387"/>
      <c r="AO3562" s="386"/>
      <c r="AP3562" s="386"/>
      <c r="AQ3562" s="386"/>
      <c r="AR3562" s="387"/>
      <c r="AS3562" s="387"/>
      <c r="AT3562" s="386"/>
      <c r="AU3562" s="386"/>
      <c r="AV3562" s="386"/>
      <c r="AW3562" s="386"/>
      <c r="AX3562" s="386"/>
      <c r="AY3562" s="386"/>
      <c r="AZ3562" s="386"/>
      <c r="BA3562" s="386"/>
      <c r="BB3562" s="386"/>
      <c r="BC3562" s="386"/>
      <c r="BD3562" s="386"/>
      <c r="BE3562" s="386"/>
      <c r="BF3562" s="386"/>
      <c r="BG3562" s="387"/>
      <c r="BH3562" s="386"/>
      <c r="BI3562" s="386"/>
    </row>
    <row r="3563" spans="1:61" s="46" customFormat="1" x14ac:dyDescent="0.3">
      <c r="A3563" s="317"/>
      <c r="B3563" s="312"/>
      <c r="C3563" s="455"/>
      <c r="D3563" s="370"/>
      <c r="E3563" s="386"/>
      <c r="F3563" s="387"/>
      <c r="G3563" s="387"/>
      <c r="H3563" s="386"/>
      <c r="I3563" s="386"/>
      <c r="J3563" s="386"/>
      <c r="K3563" s="386"/>
      <c r="L3563" s="386"/>
      <c r="M3563" s="386"/>
      <c r="N3563" s="386"/>
      <c r="O3563" s="386"/>
      <c r="P3563" s="386"/>
      <c r="Q3563" s="386"/>
      <c r="R3563" s="386"/>
      <c r="S3563" s="386"/>
      <c r="T3563" s="386"/>
      <c r="U3563" s="387"/>
      <c r="V3563" s="386"/>
      <c r="W3563" s="386"/>
      <c r="X3563" s="386"/>
      <c r="Y3563" s="387"/>
      <c r="Z3563" s="387"/>
      <c r="AA3563" s="386"/>
      <c r="AB3563" s="386"/>
      <c r="AC3563" s="386"/>
      <c r="AD3563" s="386"/>
      <c r="AE3563" s="386"/>
      <c r="AF3563" s="386"/>
      <c r="AG3563" s="386"/>
      <c r="AH3563" s="386"/>
      <c r="AI3563" s="386"/>
      <c r="AJ3563" s="386"/>
      <c r="AK3563" s="386"/>
      <c r="AL3563" s="386"/>
      <c r="AM3563" s="386"/>
      <c r="AN3563" s="387"/>
      <c r="AO3563" s="386"/>
      <c r="AP3563" s="386"/>
      <c r="AQ3563" s="386"/>
      <c r="AR3563" s="387"/>
      <c r="AS3563" s="387"/>
      <c r="AT3563" s="386"/>
      <c r="AU3563" s="386"/>
      <c r="AV3563" s="386"/>
      <c r="AW3563" s="386"/>
      <c r="AX3563" s="386"/>
      <c r="AY3563" s="386"/>
      <c r="AZ3563" s="386"/>
      <c r="BA3563" s="386"/>
      <c r="BB3563" s="386"/>
      <c r="BC3563" s="386"/>
      <c r="BD3563" s="386"/>
      <c r="BE3563" s="386"/>
      <c r="BF3563" s="386"/>
      <c r="BG3563" s="387"/>
      <c r="BH3563" s="386"/>
      <c r="BI3563" s="386"/>
    </row>
    <row r="3564" spans="1:61" s="46" customFormat="1" x14ac:dyDescent="0.3">
      <c r="A3564" s="317"/>
      <c r="B3564" s="312"/>
      <c r="C3564" s="455"/>
      <c r="D3564" s="370"/>
      <c r="E3564" s="386"/>
      <c r="F3564" s="387"/>
      <c r="G3564" s="387"/>
      <c r="H3564" s="386"/>
      <c r="I3564" s="386"/>
      <c r="J3564" s="386"/>
      <c r="K3564" s="386"/>
      <c r="L3564" s="386"/>
      <c r="M3564" s="386"/>
      <c r="N3564" s="386"/>
      <c r="O3564" s="386"/>
      <c r="P3564" s="386"/>
      <c r="Q3564" s="386"/>
      <c r="R3564" s="386"/>
      <c r="S3564" s="386"/>
      <c r="T3564" s="386"/>
      <c r="U3564" s="387"/>
      <c r="V3564" s="386"/>
      <c r="W3564" s="386"/>
      <c r="X3564" s="386"/>
      <c r="Y3564" s="387"/>
      <c r="Z3564" s="387"/>
      <c r="AA3564" s="386"/>
      <c r="AB3564" s="386"/>
      <c r="AC3564" s="386"/>
      <c r="AD3564" s="386"/>
      <c r="AE3564" s="386"/>
      <c r="AF3564" s="386"/>
      <c r="AG3564" s="386"/>
      <c r="AH3564" s="386"/>
      <c r="AI3564" s="386"/>
      <c r="AJ3564" s="386"/>
      <c r="AK3564" s="386"/>
      <c r="AL3564" s="386"/>
      <c r="AM3564" s="386"/>
      <c r="AN3564" s="387"/>
      <c r="AO3564" s="386"/>
      <c r="AP3564" s="386"/>
      <c r="AQ3564" s="386"/>
      <c r="AR3564" s="387"/>
      <c r="AS3564" s="387"/>
      <c r="AT3564" s="386"/>
      <c r="AU3564" s="386"/>
      <c r="AV3564" s="386"/>
      <c r="AW3564" s="386"/>
      <c r="AX3564" s="386"/>
      <c r="AY3564" s="386"/>
      <c r="AZ3564" s="386"/>
      <c r="BA3564" s="386"/>
      <c r="BB3564" s="386"/>
      <c r="BC3564" s="386"/>
      <c r="BD3564" s="386"/>
      <c r="BE3564" s="386"/>
      <c r="BF3564" s="386"/>
      <c r="BG3564" s="387"/>
      <c r="BH3564" s="386"/>
      <c r="BI3564" s="386"/>
    </row>
    <row r="3565" spans="1:61" s="46" customFormat="1" x14ac:dyDescent="0.3">
      <c r="A3565" s="317"/>
      <c r="B3565" s="312"/>
      <c r="C3565" s="455"/>
      <c r="D3565" s="370"/>
      <c r="E3565" s="386"/>
      <c r="F3565" s="387"/>
      <c r="G3565" s="387"/>
      <c r="H3565" s="386"/>
      <c r="I3565" s="386"/>
      <c r="J3565" s="386"/>
      <c r="K3565" s="386"/>
      <c r="L3565" s="386"/>
      <c r="M3565" s="386"/>
      <c r="N3565" s="386"/>
      <c r="O3565" s="386"/>
      <c r="P3565" s="386"/>
      <c r="Q3565" s="386"/>
      <c r="R3565" s="386"/>
      <c r="S3565" s="386"/>
      <c r="T3565" s="386"/>
      <c r="U3565" s="387"/>
      <c r="V3565" s="386"/>
      <c r="W3565" s="386"/>
      <c r="X3565" s="386"/>
      <c r="Y3565" s="387"/>
      <c r="Z3565" s="387"/>
      <c r="AA3565" s="386"/>
      <c r="AB3565" s="386"/>
      <c r="AC3565" s="386"/>
      <c r="AD3565" s="386"/>
      <c r="AE3565" s="386"/>
      <c r="AF3565" s="386"/>
      <c r="AG3565" s="386"/>
      <c r="AH3565" s="386"/>
      <c r="AI3565" s="386"/>
      <c r="AJ3565" s="386"/>
      <c r="AK3565" s="386"/>
      <c r="AL3565" s="386"/>
      <c r="AM3565" s="386"/>
      <c r="AN3565" s="387"/>
      <c r="AO3565" s="386"/>
      <c r="AP3565" s="386"/>
      <c r="AQ3565" s="386"/>
      <c r="AR3565" s="387"/>
      <c r="AS3565" s="387"/>
      <c r="AT3565" s="386"/>
      <c r="AU3565" s="386"/>
      <c r="AV3565" s="386"/>
      <c r="AW3565" s="386"/>
      <c r="AX3565" s="386"/>
      <c r="AY3565" s="386"/>
      <c r="AZ3565" s="386"/>
      <c r="BA3565" s="386"/>
      <c r="BB3565" s="386"/>
      <c r="BC3565" s="386"/>
      <c r="BD3565" s="386"/>
      <c r="BE3565" s="386"/>
      <c r="BF3565" s="386"/>
      <c r="BG3565" s="387"/>
      <c r="BH3565" s="386"/>
      <c r="BI3565" s="386"/>
    </row>
    <row r="3566" spans="1:61" s="46" customFormat="1" x14ac:dyDescent="0.3">
      <c r="A3566" s="317"/>
      <c r="B3566" s="312"/>
      <c r="C3566" s="455"/>
      <c r="D3566" s="370"/>
      <c r="E3566" s="386"/>
      <c r="F3566" s="387"/>
      <c r="G3566" s="387"/>
      <c r="H3566" s="386"/>
      <c r="I3566" s="386"/>
      <c r="J3566" s="386"/>
      <c r="K3566" s="386"/>
      <c r="L3566" s="386"/>
      <c r="M3566" s="386"/>
      <c r="N3566" s="386"/>
      <c r="O3566" s="386"/>
      <c r="P3566" s="386"/>
      <c r="Q3566" s="386"/>
      <c r="R3566" s="386"/>
      <c r="S3566" s="386"/>
      <c r="T3566" s="386"/>
      <c r="U3566" s="387"/>
      <c r="V3566" s="386"/>
      <c r="W3566" s="386"/>
      <c r="X3566" s="386"/>
      <c r="Y3566" s="387"/>
      <c r="Z3566" s="387"/>
      <c r="AA3566" s="386"/>
      <c r="AB3566" s="386"/>
      <c r="AC3566" s="386"/>
      <c r="AD3566" s="386"/>
      <c r="AE3566" s="386"/>
      <c r="AF3566" s="386"/>
      <c r="AG3566" s="386"/>
      <c r="AH3566" s="386"/>
      <c r="AI3566" s="386"/>
      <c r="AJ3566" s="386"/>
      <c r="AK3566" s="386"/>
      <c r="AL3566" s="386"/>
      <c r="AM3566" s="386"/>
      <c r="AN3566" s="387"/>
      <c r="AO3566" s="386"/>
      <c r="AP3566" s="386"/>
      <c r="AQ3566" s="386"/>
      <c r="AR3566" s="387"/>
      <c r="AS3566" s="387"/>
      <c r="AT3566" s="386"/>
      <c r="AU3566" s="386"/>
      <c r="AV3566" s="386"/>
      <c r="AW3566" s="386"/>
      <c r="AX3566" s="386"/>
      <c r="AY3566" s="386"/>
      <c r="AZ3566" s="386"/>
      <c r="BA3566" s="386"/>
      <c r="BB3566" s="386"/>
      <c r="BC3566" s="386"/>
      <c r="BD3566" s="386"/>
      <c r="BE3566" s="386"/>
      <c r="BF3566" s="386"/>
      <c r="BG3566" s="387"/>
      <c r="BH3566" s="386"/>
      <c r="BI3566" s="386"/>
    </row>
    <row r="3567" spans="1:61" s="46" customFormat="1" x14ac:dyDescent="0.3">
      <c r="A3567" s="317"/>
      <c r="B3567" s="312"/>
      <c r="C3567" s="455"/>
      <c r="D3567" s="370"/>
      <c r="E3567" s="386"/>
      <c r="F3567" s="387"/>
      <c r="G3567" s="387"/>
      <c r="H3567" s="386"/>
      <c r="I3567" s="386"/>
      <c r="J3567" s="386"/>
      <c r="K3567" s="386"/>
      <c r="L3567" s="386"/>
      <c r="M3567" s="386"/>
      <c r="N3567" s="386"/>
      <c r="O3567" s="386"/>
      <c r="P3567" s="386"/>
      <c r="Q3567" s="386"/>
      <c r="R3567" s="386"/>
      <c r="S3567" s="386"/>
      <c r="T3567" s="386"/>
      <c r="U3567" s="387"/>
      <c r="V3567" s="386"/>
      <c r="W3567" s="386"/>
      <c r="X3567" s="386"/>
      <c r="Y3567" s="387"/>
      <c r="Z3567" s="387"/>
      <c r="AA3567" s="386"/>
      <c r="AB3567" s="386"/>
      <c r="AC3567" s="386"/>
      <c r="AD3567" s="386"/>
      <c r="AE3567" s="386"/>
      <c r="AF3567" s="386"/>
      <c r="AG3567" s="386"/>
      <c r="AH3567" s="386"/>
      <c r="AI3567" s="386"/>
      <c r="AJ3567" s="386"/>
      <c r="AK3567" s="386"/>
      <c r="AL3567" s="386"/>
      <c r="AM3567" s="386"/>
      <c r="AN3567" s="387"/>
      <c r="AO3567" s="386"/>
      <c r="AP3567" s="386"/>
      <c r="AQ3567" s="386"/>
      <c r="AR3567" s="387"/>
      <c r="AS3567" s="387"/>
      <c r="AT3567" s="386"/>
      <c r="AU3567" s="386"/>
      <c r="AV3567" s="386"/>
      <c r="AW3567" s="386"/>
      <c r="AX3567" s="386"/>
      <c r="AY3567" s="386"/>
      <c r="AZ3567" s="386"/>
      <c r="BA3567" s="386"/>
      <c r="BB3567" s="386"/>
      <c r="BC3567" s="386"/>
      <c r="BD3567" s="386"/>
      <c r="BE3567" s="386"/>
      <c r="BF3567" s="386"/>
      <c r="BG3567" s="387"/>
      <c r="BH3567" s="386"/>
      <c r="BI3567" s="386"/>
    </row>
    <row r="3568" spans="1:61" s="46" customFormat="1" x14ac:dyDescent="0.3">
      <c r="A3568" s="317"/>
      <c r="B3568" s="312"/>
      <c r="C3568" s="455"/>
      <c r="D3568" s="370"/>
      <c r="E3568" s="386"/>
      <c r="F3568" s="387"/>
      <c r="G3568" s="387"/>
      <c r="H3568" s="386"/>
      <c r="I3568" s="386"/>
      <c r="J3568" s="386"/>
      <c r="K3568" s="386"/>
      <c r="L3568" s="386"/>
      <c r="M3568" s="386"/>
      <c r="N3568" s="386"/>
      <c r="O3568" s="386"/>
      <c r="P3568" s="386"/>
      <c r="Q3568" s="386"/>
      <c r="R3568" s="386"/>
      <c r="S3568" s="386"/>
      <c r="T3568" s="386"/>
      <c r="U3568" s="387"/>
      <c r="V3568" s="386"/>
      <c r="W3568" s="386"/>
      <c r="X3568" s="386"/>
      <c r="Y3568" s="387"/>
      <c r="Z3568" s="387"/>
      <c r="AA3568" s="386"/>
      <c r="AB3568" s="386"/>
      <c r="AC3568" s="386"/>
      <c r="AD3568" s="386"/>
      <c r="AE3568" s="386"/>
      <c r="AF3568" s="386"/>
      <c r="AG3568" s="386"/>
      <c r="AH3568" s="386"/>
      <c r="AI3568" s="386"/>
      <c r="AJ3568" s="386"/>
      <c r="AK3568" s="386"/>
      <c r="AL3568" s="386"/>
      <c r="AM3568" s="386"/>
      <c r="AN3568" s="387"/>
      <c r="AO3568" s="386"/>
      <c r="AP3568" s="386"/>
      <c r="AQ3568" s="386"/>
      <c r="AR3568" s="387"/>
      <c r="AS3568" s="387"/>
      <c r="AT3568" s="386"/>
      <c r="AU3568" s="386"/>
      <c r="AV3568" s="386"/>
      <c r="AW3568" s="386"/>
      <c r="AX3568" s="386"/>
      <c r="AY3568" s="386"/>
      <c r="AZ3568" s="386"/>
      <c r="BA3568" s="386"/>
      <c r="BB3568" s="386"/>
      <c r="BC3568" s="386"/>
      <c r="BD3568" s="386"/>
      <c r="BE3568" s="386"/>
      <c r="BF3568" s="386"/>
      <c r="BG3568" s="387"/>
      <c r="BH3568" s="386"/>
      <c r="BI3568" s="386"/>
    </row>
    <row r="3569" spans="1:61" s="46" customFormat="1" x14ac:dyDescent="0.3">
      <c r="A3569" s="317"/>
      <c r="B3569" s="312"/>
      <c r="C3569" s="455"/>
      <c r="D3569" s="370"/>
      <c r="E3569" s="386"/>
      <c r="F3569" s="387"/>
      <c r="G3569" s="387"/>
      <c r="H3569" s="386"/>
      <c r="I3569" s="386"/>
      <c r="J3569" s="386"/>
      <c r="K3569" s="386"/>
      <c r="L3569" s="386"/>
      <c r="M3569" s="386"/>
      <c r="N3569" s="386"/>
      <c r="O3569" s="386"/>
      <c r="P3569" s="386"/>
      <c r="Q3569" s="386"/>
      <c r="R3569" s="386"/>
      <c r="S3569" s="386"/>
      <c r="T3569" s="386"/>
      <c r="U3569" s="387"/>
      <c r="V3569" s="386"/>
      <c r="W3569" s="386"/>
      <c r="X3569" s="386"/>
      <c r="Y3569" s="387"/>
      <c r="Z3569" s="387"/>
      <c r="AA3569" s="386"/>
      <c r="AB3569" s="386"/>
      <c r="AC3569" s="386"/>
      <c r="AD3569" s="386"/>
      <c r="AE3569" s="386"/>
      <c r="AF3569" s="386"/>
      <c r="AG3569" s="386"/>
      <c r="AH3569" s="386"/>
      <c r="AI3569" s="386"/>
      <c r="AJ3569" s="386"/>
      <c r="AK3569" s="386"/>
      <c r="AL3569" s="386"/>
      <c r="AM3569" s="386"/>
      <c r="AN3569" s="387"/>
      <c r="AO3569" s="386"/>
      <c r="AP3569" s="386"/>
      <c r="AQ3569" s="386"/>
      <c r="AR3569" s="387"/>
      <c r="AS3569" s="387"/>
      <c r="AT3569" s="386"/>
      <c r="AU3569" s="386"/>
      <c r="AV3569" s="386"/>
      <c r="AW3569" s="386"/>
      <c r="AX3569" s="386"/>
      <c r="AY3569" s="386"/>
      <c r="AZ3569" s="386"/>
      <c r="BA3569" s="386"/>
      <c r="BB3569" s="386"/>
      <c r="BC3569" s="386"/>
      <c r="BD3569" s="386"/>
      <c r="BE3569" s="386"/>
      <c r="BF3569" s="386"/>
      <c r="BG3569" s="387"/>
      <c r="BH3569" s="386"/>
      <c r="BI3569" s="386"/>
    </row>
    <row r="3570" spans="1:61" s="46" customFormat="1" x14ac:dyDescent="0.3">
      <c r="A3570" s="317"/>
      <c r="B3570" s="312"/>
      <c r="C3570" s="455"/>
      <c r="D3570" s="370"/>
      <c r="E3570" s="386"/>
      <c r="F3570" s="387"/>
      <c r="G3570" s="387"/>
      <c r="H3570" s="386"/>
      <c r="I3570" s="386"/>
      <c r="J3570" s="386"/>
      <c r="K3570" s="386"/>
      <c r="L3570" s="386"/>
      <c r="M3570" s="386"/>
      <c r="N3570" s="386"/>
      <c r="O3570" s="386"/>
      <c r="P3570" s="386"/>
      <c r="Q3570" s="386"/>
      <c r="R3570" s="386"/>
      <c r="S3570" s="386"/>
      <c r="T3570" s="386"/>
      <c r="U3570" s="387"/>
      <c r="V3570" s="386"/>
      <c r="W3570" s="386"/>
      <c r="X3570" s="386"/>
      <c r="Y3570" s="387"/>
      <c r="Z3570" s="387"/>
      <c r="AA3570" s="386"/>
      <c r="AB3570" s="386"/>
      <c r="AC3570" s="386"/>
      <c r="AD3570" s="386"/>
      <c r="AE3570" s="386"/>
      <c r="AF3570" s="386"/>
      <c r="AG3570" s="386"/>
      <c r="AH3570" s="386"/>
      <c r="AI3570" s="386"/>
      <c r="AJ3570" s="386"/>
      <c r="AK3570" s="386"/>
      <c r="AL3570" s="386"/>
      <c r="AM3570" s="386"/>
      <c r="AN3570" s="387"/>
      <c r="AO3570" s="386"/>
      <c r="AP3570" s="386"/>
      <c r="AQ3570" s="386"/>
      <c r="AR3570" s="387"/>
      <c r="AS3570" s="387"/>
      <c r="AT3570" s="386"/>
      <c r="AU3570" s="386"/>
      <c r="AV3570" s="386"/>
      <c r="AW3570" s="386"/>
      <c r="AX3570" s="386"/>
      <c r="AY3570" s="386"/>
      <c r="AZ3570" s="386"/>
      <c r="BA3570" s="386"/>
      <c r="BB3570" s="386"/>
      <c r="BC3570" s="386"/>
      <c r="BD3570" s="386"/>
      <c r="BE3570" s="386"/>
      <c r="BF3570" s="386"/>
      <c r="BG3570" s="387"/>
      <c r="BH3570" s="386"/>
      <c r="BI3570" s="386"/>
    </row>
    <row r="3571" spans="1:61" s="46" customFormat="1" x14ac:dyDescent="0.3">
      <c r="A3571" s="317"/>
      <c r="B3571" s="312"/>
      <c r="C3571" s="455"/>
      <c r="D3571" s="370"/>
      <c r="E3571" s="386"/>
      <c r="F3571" s="387"/>
      <c r="G3571" s="387"/>
      <c r="H3571" s="386"/>
      <c r="I3571" s="386"/>
      <c r="J3571" s="386"/>
      <c r="K3571" s="386"/>
      <c r="L3571" s="386"/>
      <c r="M3571" s="386"/>
      <c r="N3571" s="386"/>
      <c r="O3571" s="386"/>
      <c r="P3571" s="386"/>
      <c r="Q3571" s="386"/>
      <c r="R3571" s="386"/>
      <c r="S3571" s="386"/>
      <c r="T3571" s="386"/>
      <c r="U3571" s="387"/>
      <c r="V3571" s="386"/>
      <c r="W3571" s="386"/>
      <c r="X3571" s="386"/>
      <c r="Y3571" s="387"/>
      <c r="Z3571" s="387"/>
      <c r="AA3571" s="386"/>
      <c r="AB3571" s="386"/>
      <c r="AC3571" s="386"/>
      <c r="AD3571" s="386"/>
      <c r="AE3571" s="386"/>
      <c r="AF3571" s="386"/>
      <c r="AG3571" s="386"/>
      <c r="AH3571" s="386"/>
      <c r="AI3571" s="386"/>
      <c r="AJ3571" s="386"/>
      <c r="AK3571" s="386"/>
      <c r="AL3571" s="386"/>
      <c r="AM3571" s="386"/>
      <c r="AN3571" s="387"/>
      <c r="AO3571" s="386"/>
      <c r="AP3571" s="386"/>
      <c r="AQ3571" s="386"/>
      <c r="AR3571" s="387"/>
      <c r="AS3571" s="387"/>
      <c r="AT3571" s="386"/>
      <c r="AU3571" s="386"/>
      <c r="AV3571" s="386"/>
      <c r="AW3571" s="386"/>
      <c r="AX3571" s="386"/>
      <c r="AY3571" s="386"/>
      <c r="AZ3571" s="386"/>
      <c r="BA3571" s="386"/>
      <c r="BB3571" s="386"/>
      <c r="BC3571" s="386"/>
      <c r="BD3571" s="386"/>
      <c r="BE3571" s="386"/>
      <c r="BF3571" s="386"/>
      <c r="BG3571" s="387"/>
      <c r="BH3571" s="386"/>
      <c r="BI3571" s="386"/>
    </row>
    <row r="3572" spans="1:61" s="46" customFormat="1" x14ac:dyDescent="0.3">
      <c r="A3572" s="317"/>
      <c r="B3572" s="312"/>
      <c r="C3572" s="455"/>
      <c r="D3572" s="370"/>
      <c r="E3572" s="386"/>
      <c r="F3572" s="387"/>
      <c r="G3572" s="387"/>
      <c r="H3572" s="386"/>
      <c r="I3572" s="386"/>
      <c r="J3572" s="386"/>
      <c r="K3572" s="386"/>
      <c r="L3572" s="386"/>
      <c r="M3572" s="386"/>
      <c r="N3572" s="386"/>
      <c r="O3572" s="386"/>
      <c r="P3572" s="386"/>
      <c r="Q3572" s="386"/>
      <c r="R3572" s="386"/>
      <c r="S3572" s="386"/>
      <c r="T3572" s="386"/>
      <c r="U3572" s="387"/>
      <c r="V3572" s="386"/>
      <c r="W3572" s="386"/>
      <c r="X3572" s="386"/>
      <c r="Y3572" s="387"/>
      <c r="Z3572" s="387"/>
      <c r="AA3572" s="386"/>
      <c r="AB3572" s="386"/>
      <c r="AC3572" s="386"/>
      <c r="AD3572" s="386"/>
      <c r="AE3572" s="386"/>
      <c r="AF3572" s="386"/>
      <c r="AG3572" s="386"/>
      <c r="AH3572" s="386"/>
      <c r="AI3572" s="386"/>
      <c r="AJ3572" s="386"/>
      <c r="AK3572" s="386"/>
      <c r="AL3572" s="386"/>
      <c r="AM3572" s="386"/>
      <c r="AN3572" s="387"/>
      <c r="AO3572" s="386"/>
      <c r="AP3572" s="386"/>
      <c r="AQ3572" s="386"/>
      <c r="AR3572" s="387"/>
      <c r="AS3572" s="387"/>
      <c r="AT3572" s="386"/>
      <c r="AU3572" s="386"/>
      <c r="AV3572" s="386"/>
      <c r="AW3572" s="386"/>
      <c r="AX3572" s="386"/>
      <c r="AY3572" s="386"/>
      <c r="AZ3572" s="386"/>
      <c r="BA3572" s="386"/>
      <c r="BB3572" s="386"/>
      <c r="BC3572" s="386"/>
      <c r="BD3572" s="386"/>
      <c r="BE3572" s="386"/>
      <c r="BF3572" s="386"/>
      <c r="BG3572" s="387"/>
      <c r="BH3572" s="386"/>
      <c r="BI3572" s="386"/>
    </row>
    <row r="3573" spans="1:61" s="46" customFormat="1" x14ac:dyDescent="0.3">
      <c r="A3573" s="317"/>
      <c r="B3573" s="312"/>
      <c r="C3573" s="455"/>
      <c r="D3573" s="370"/>
      <c r="E3573" s="386"/>
      <c r="F3573" s="387"/>
      <c r="G3573" s="387"/>
      <c r="H3573" s="386"/>
      <c r="I3573" s="386"/>
      <c r="J3573" s="386"/>
      <c r="K3573" s="386"/>
      <c r="L3573" s="386"/>
      <c r="M3573" s="386"/>
      <c r="N3573" s="386"/>
      <c r="O3573" s="386"/>
      <c r="P3573" s="386"/>
      <c r="Q3573" s="386"/>
      <c r="R3573" s="386"/>
      <c r="S3573" s="386"/>
      <c r="T3573" s="386"/>
      <c r="U3573" s="387"/>
      <c r="V3573" s="386"/>
      <c r="W3573" s="386"/>
      <c r="X3573" s="386"/>
      <c r="Y3573" s="387"/>
      <c r="Z3573" s="387"/>
      <c r="AA3573" s="386"/>
      <c r="AB3573" s="386"/>
      <c r="AC3573" s="386"/>
      <c r="AD3573" s="386"/>
      <c r="AE3573" s="386"/>
      <c r="AF3573" s="386"/>
      <c r="AG3573" s="386"/>
      <c r="AH3573" s="386"/>
      <c r="AI3573" s="386"/>
      <c r="AJ3573" s="386"/>
      <c r="AK3573" s="386"/>
      <c r="AL3573" s="386"/>
      <c r="AM3573" s="386"/>
      <c r="AN3573" s="387"/>
      <c r="AO3573" s="386"/>
      <c r="AP3573" s="386"/>
      <c r="AQ3573" s="386"/>
      <c r="AR3573" s="387"/>
      <c r="AS3573" s="387"/>
      <c r="AT3573" s="386"/>
      <c r="AU3573" s="386"/>
      <c r="AV3573" s="386"/>
      <c r="AW3573" s="386"/>
      <c r="AX3573" s="386"/>
      <c r="AY3573" s="386"/>
      <c r="AZ3573" s="386"/>
      <c r="BA3573" s="386"/>
      <c r="BB3573" s="386"/>
      <c r="BC3573" s="386"/>
      <c r="BD3573" s="386"/>
      <c r="BE3573" s="386"/>
      <c r="BF3573" s="386"/>
      <c r="BG3573" s="387"/>
      <c r="BH3573" s="386"/>
      <c r="BI3573" s="386"/>
    </row>
    <row r="3574" spans="1:61" s="46" customFormat="1" x14ac:dyDescent="0.3">
      <c r="A3574" s="317"/>
      <c r="B3574" s="312"/>
      <c r="C3574" s="455"/>
      <c r="D3574" s="370"/>
      <c r="E3574" s="386"/>
      <c r="F3574" s="387"/>
      <c r="G3574" s="387"/>
      <c r="H3574" s="386"/>
      <c r="I3574" s="386"/>
      <c r="J3574" s="386"/>
      <c r="K3574" s="386"/>
      <c r="L3574" s="386"/>
      <c r="M3574" s="386"/>
      <c r="N3574" s="386"/>
      <c r="O3574" s="386"/>
      <c r="P3574" s="386"/>
      <c r="Q3574" s="386"/>
      <c r="R3574" s="386"/>
      <c r="S3574" s="386"/>
      <c r="T3574" s="386"/>
      <c r="U3574" s="387"/>
      <c r="V3574" s="386"/>
      <c r="W3574" s="386"/>
      <c r="X3574" s="386"/>
      <c r="Y3574" s="387"/>
      <c r="Z3574" s="387"/>
      <c r="AA3574" s="386"/>
      <c r="AB3574" s="386"/>
      <c r="AC3574" s="386"/>
      <c r="AD3574" s="386"/>
      <c r="AE3574" s="386"/>
      <c r="AF3574" s="386"/>
      <c r="AG3574" s="386"/>
      <c r="AH3574" s="386"/>
      <c r="AI3574" s="386"/>
      <c r="AJ3574" s="386"/>
      <c r="AK3574" s="386"/>
      <c r="AL3574" s="386"/>
      <c r="AM3574" s="386"/>
      <c r="AN3574" s="387"/>
      <c r="AO3574" s="386"/>
      <c r="AP3574" s="386"/>
      <c r="AQ3574" s="386"/>
      <c r="AR3574" s="387"/>
      <c r="AS3574" s="387"/>
      <c r="AT3574" s="386"/>
      <c r="AU3574" s="386"/>
      <c r="AV3574" s="386"/>
      <c r="AW3574" s="386"/>
      <c r="AX3574" s="386"/>
      <c r="AY3574" s="386"/>
      <c r="AZ3574" s="386"/>
      <c r="BA3574" s="386"/>
      <c r="BB3574" s="386"/>
      <c r="BC3574" s="386"/>
      <c r="BD3574" s="386"/>
      <c r="BE3574" s="386"/>
      <c r="BF3574" s="386"/>
      <c r="BG3574" s="387"/>
      <c r="BH3574" s="386"/>
      <c r="BI3574" s="386"/>
    </row>
    <row r="3575" spans="1:61" s="46" customFormat="1" x14ac:dyDescent="0.3">
      <c r="A3575" s="317"/>
      <c r="B3575" s="312"/>
      <c r="C3575" s="455"/>
      <c r="D3575" s="370"/>
      <c r="E3575" s="386"/>
      <c r="F3575" s="387"/>
      <c r="G3575" s="387"/>
      <c r="H3575" s="386"/>
      <c r="I3575" s="386"/>
      <c r="J3575" s="386"/>
      <c r="K3575" s="386"/>
      <c r="L3575" s="386"/>
      <c r="M3575" s="386"/>
      <c r="N3575" s="386"/>
      <c r="O3575" s="386"/>
      <c r="P3575" s="386"/>
      <c r="Q3575" s="386"/>
      <c r="R3575" s="386"/>
      <c r="S3575" s="386"/>
      <c r="T3575" s="386"/>
      <c r="U3575" s="387"/>
      <c r="V3575" s="386"/>
      <c r="W3575" s="386"/>
      <c r="X3575" s="386"/>
      <c r="Y3575" s="387"/>
      <c r="Z3575" s="387"/>
      <c r="AA3575" s="386"/>
      <c r="AB3575" s="386"/>
      <c r="AC3575" s="386"/>
      <c r="AD3575" s="386"/>
      <c r="AE3575" s="386"/>
      <c r="AF3575" s="386"/>
      <c r="AG3575" s="386"/>
      <c r="AH3575" s="386"/>
      <c r="AI3575" s="386"/>
      <c r="AJ3575" s="386"/>
      <c r="AK3575" s="386"/>
      <c r="AL3575" s="386"/>
      <c r="AM3575" s="386"/>
      <c r="AN3575" s="387"/>
      <c r="AO3575" s="386"/>
      <c r="AP3575" s="386"/>
      <c r="AQ3575" s="386"/>
      <c r="AR3575" s="387"/>
      <c r="AS3575" s="387"/>
      <c r="AT3575" s="386"/>
      <c r="AU3575" s="386"/>
      <c r="AV3575" s="386"/>
      <c r="AW3575" s="386"/>
      <c r="AX3575" s="386"/>
      <c r="AY3575" s="386"/>
      <c r="AZ3575" s="386"/>
      <c r="BA3575" s="386"/>
      <c r="BB3575" s="386"/>
      <c r="BC3575" s="386"/>
      <c r="BD3575" s="386"/>
      <c r="BE3575" s="386"/>
      <c r="BF3575" s="386"/>
      <c r="BG3575" s="387"/>
      <c r="BH3575" s="386"/>
      <c r="BI3575" s="386"/>
    </row>
    <row r="3576" spans="1:61" s="46" customFormat="1" x14ac:dyDescent="0.3">
      <c r="A3576" s="317"/>
      <c r="B3576" s="312"/>
      <c r="C3576" s="455"/>
      <c r="D3576" s="370"/>
      <c r="E3576" s="386"/>
      <c r="F3576" s="387"/>
      <c r="G3576" s="387"/>
      <c r="H3576" s="386"/>
      <c r="I3576" s="386"/>
      <c r="J3576" s="386"/>
      <c r="K3576" s="386"/>
      <c r="L3576" s="386"/>
      <c r="M3576" s="386"/>
      <c r="N3576" s="386"/>
      <c r="O3576" s="386"/>
      <c r="P3576" s="386"/>
      <c r="Q3576" s="386"/>
      <c r="R3576" s="386"/>
      <c r="S3576" s="386"/>
      <c r="T3576" s="386"/>
      <c r="U3576" s="387"/>
      <c r="V3576" s="386"/>
      <c r="W3576" s="386"/>
      <c r="X3576" s="386"/>
      <c r="Y3576" s="387"/>
      <c r="Z3576" s="387"/>
      <c r="AA3576" s="386"/>
      <c r="AB3576" s="386"/>
      <c r="AC3576" s="386"/>
      <c r="AD3576" s="386"/>
      <c r="AE3576" s="386"/>
      <c r="AF3576" s="386"/>
      <c r="AG3576" s="386"/>
      <c r="AH3576" s="386"/>
      <c r="AI3576" s="386"/>
      <c r="AJ3576" s="386"/>
      <c r="AK3576" s="386"/>
      <c r="AL3576" s="386"/>
      <c r="AM3576" s="386"/>
      <c r="AN3576" s="387"/>
      <c r="AO3576" s="386"/>
      <c r="AP3576" s="386"/>
      <c r="AQ3576" s="386"/>
      <c r="AR3576" s="387"/>
      <c r="AS3576" s="387"/>
      <c r="AT3576" s="386"/>
      <c r="AU3576" s="386"/>
      <c r="AV3576" s="386"/>
      <c r="AW3576" s="386"/>
      <c r="AX3576" s="386"/>
      <c r="AY3576" s="386"/>
      <c r="AZ3576" s="386"/>
      <c r="BA3576" s="386"/>
      <c r="BB3576" s="386"/>
      <c r="BC3576" s="386"/>
      <c r="BD3576" s="386"/>
      <c r="BE3576" s="386"/>
      <c r="BF3576" s="386"/>
      <c r="BG3576" s="387"/>
      <c r="BH3576" s="386"/>
      <c r="BI3576" s="386"/>
    </row>
    <row r="3577" spans="1:61" s="46" customFormat="1" x14ac:dyDescent="0.3">
      <c r="A3577" s="317"/>
      <c r="B3577" s="312"/>
      <c r="C3577" s="455"/>
      <c r="D3577" s="370"/>
      <c r="E3577" s="386"/>
      <c r="F3577" s="387"/>
      <c r="G3577" s="387"/>
      <c r="H3577" s="386"/>
      <c r="I3577" s="386"/>
      <c r="J3577" s="386"/>
      <c r="K3577" s="386"/>
      <c r="L3577" s="386"/>
      <c r="M3577" s="386"/>
      <c r="N3577" s="386"/>
      <c r="O3577" s="386"/>
      <c r="P3577" s="386"/>
      <c r="Q3577" s="386"/>
      <c r="R3577" s="386"/>
      <c r="S3577" s="386"/>
      <c r="T3577" s="386"/>
      <c r="U3577" s="387"/>
      <c r="V3577" s="386"/>
      <c r="W3577" s="386"/>
      <c r="X3577" s="386"/>
      <c r="Y3577" s="387"/>
      <c r="Z3577" s="387"/>
      <c r="AA3577" s="386"/>
      <c r="AB3577" s="386"/>
      <c r="AC3577" s="386"/>
      <c r="AD3577" s="386"/>
      <c r="AE3577" s="386"/>
      <c r="AF3577" s="386"/>
      <c r="AG3577" s="386"/>
      <c r="AH3577" s="386"/>
      <c r="AI3577" s="386"/>
      <c r="AJ3577" s="386"/>
      <c r="AK3577" s="386"/>
      <c r="AL3577" s="386"/>
      <c r="AM3577" s="386"/>
      <c r="AN3577" s="387"/>
      <c r="AO3577" s="386"/>
      <c r="AP3577" s="386"/>
      <c r="AQ3577" s="386"/>
      <c r="AR3577" s="387"/>
      <c r="AS3577" s="387"/>
      <c r="AT3577" s="386"/>
      <c r="AU3577" s="386"/>
      <c r="AV3577" s="386"/>
      <c r="AW3577" s="386"/>
      <c r="AX3577" s="386"/>
      <c r="AY3577" s="386"/>
      <c r="AZ3577" s="386"/>
      <c r="BA3577" s="386"/>
      <c r="BB3577" s="386"/>
      <c r="BC3577" s="386"/>
      <c r="BD3577" s="386"/>
      <c r="BE3577" s="386"/>
      <c r="BF3577" s="386"/>
      <c r="BG3577" s="387"/>
      <c r="BH3577" s="386"/>
      <c r="BI3577" s="386"/>
    </row>
    <row r="3578" spans="1:61" s="46" customFormat="1" x14ac:dyDescent="0.3">
      <c r="A3578" s="317"/>
      <c r="B3578" s="312"/>
      <c r="C3578" s="455"/>
      <c r="D3578" s="370"/>
      <c r="E3578" s="386"/>
      <c r="F3578" s="387"/>
      <c r="G3578" s="387"/>
      <c r="H3578" s="386"/>
      <c r="I3578" s="386"/>
      <c r="J3578" s="386"/>
      <c r="K3578" s="386"/>
      <c r="L3578" s="386"/>
      <c r="M3578" s="386"/>
      <c r="N3578" s="386"/>
      <c r="O3578" s="386"/>
      <c r="P3578" s="386"/>
      <c r="Q3578" s="386"/>
      <c r="R3578" s="386"/>
      <c r="S3578" s="386"/>
      <c r="T3578" s="386"/>
      <c r="U3578" s="387"/>
      <c r="V3578" s="386"/>
      <c r="W3578" s="386"/>
      <c r="X3578" s="386"/>
      <c r="Y3578" s="387"/>
      <c r="Z3578" s="387"/>
      <c r="AA3578" s="386"/>
      <c r="AB3578" s="386"/>
      <c r="AC3578" s="386"/>
      <c r="AD3578" s="386"/>
      <c r="AE3578" s="386"/>
      <c r="AF3578" s="386"/>
      <c r="AG3578" s="386"/>
      <c r="AH3578" s="386"/>
      <c r="AI3578" s="386"/>
      <c r="AJ3578" s="386"/>
      <c r="AK3578" s="386"/>
      <c r="AL3578" s="386"/>
      <c r="AM3578" s="386"/>
      <c r="AN3578" s="387"/>
      <c r="AO3578" s="386"/>
      <c r="AP3578" s="386"/>
      <c r="AQ3578" s="386"/>
      <c r="AR3578" s="387"/>
      <c r="AS3578" s="387"/>
      <c r="AT3578" s="386"/>
      <c r="AU3578" s="386"/>
      <c r="AV3578" s="386"/>
      <c r="AW3578" s="386"/>
      <c r="AX3578" s="386"/>
      <c r="AY3578" s="386"/>
      <c r="AZ3578" s="386"/>
      <c r="BA3578" s="386"/>
      <c r="BB3578" s="386"/>
      <c r="BC3578" s="386"/>
      <c r="BD3578" s="386"/>
      <c r="BE3578" s="386"/>
      <c r="BF3578" s="386"/>
      <c r="BG3578" s="387"/>
      <c r="BH3578" s="386"/>
      <c r="BI3578" s="386"/>
    </row>
    <row r="3579" spans="1:61" s="46" customFormat="1" x14ac:dyDescent="0.3">
      <c r="A3579" s="317"/>
      <c r="B3579" s="312"/>
      <c r="C3579" s="455"/>
      <c r="D3579" s="370"/>
      <c r="E3579" s="386"/>
      <c r="F3579" s="387"/>
      <c r="G3579" s="387"/>
      <c r="H3579" s="386"/>
      <c r="I3579" s="386"/>
      <c r="J3579" s="386"/>
      <c r="K3579" s="386"/>
      <c r="L3579" s="386"/>
      <c r="M3579" s="386"/>
      <c r="N3579" s="386"/>
      <c r="O3579" s="386"/>
      <c r="P3579" s="386"/>
      <c r="Q3579" s="386"/>
      <c r="R3579" s="386"/>
      <c r="S3579" s="386"/>
      <c r="T3579" s="386"/>
      <c r="U3579" s="387"/>
      <c r="V3579" s="386"/>
      <c r="W3579" s="386"/>
      <c r="X3579" s="386"/>
      <c r="Y3579" s="387"/>
      <c r="Z3579" s="387"/>
      <c r="AA3579" s="386"/>
      <c r="AB3579" s="386"/>
      <c r="AC3579" s="386"/>
      <c r="AD3579" s="386"/>
      <c r="AE3579" s="386"/>
      <c r="AF3579" s="386"/>
      <c r="AG3579" s="386"/>
      <c r="AH3579" s="386"/>
      <c r="AI3579" s="386"/>
      <c r="AJ3579" s="386"/>
      <c r="AK3579" s="386"/>
      <c r="AL3579" s="386"/>
      <c r="AM3579" s="386"/>
      <c r="AN3579" s="387"/>
      <c r="AO3579" s="386"/>
      <c r="AP3579" s="386"/>
      <c r="AQ3579" s="386"/>
      <c r="AR3579" s="387"/>
      <c r="AS3579" s="387"/>
      <c r="AT3579" s="386"/>
      <c r="AU3579" s="386"/>
      <c r="AV3579" s="386"/>
      <c r="AW3579" s="386"/>
      <c r="AX3579" s="386"/>
      <c r="AY3579" s="386"/>
      <c r="AZ3579" s="386"/>
      <c r="BA3579" s="386"/>
      <c r="BB3579" s="386"/>
      <c r="BC3579" s="386"/>
      <c r="BD3579" s="386"/>
      <c r="BE3579" s="386"/>
      <c r="BF3579" s="386"/>
      <c r="BG3579" s="387"/>
      <c r="BH3579" s="386"/>
      <c r="BI3579" s="386"/>
    </row>
    <row r="3580" spans="1:61" s="46" customFormat="1" x14ac:dyDescent="0.3">
      <c r="A3580" s="317"/>
      <c r="B3580" s="312"/>
      <c r="C3580" s="455"/>
      <c r="D3580" s="370"/>
      <c r="E3580" s="386"/>
      <c r="F3580" s="387"/>
      <c r="G3580" s="387"/>
      <c r="H3580" s="386"/>
      <c r="I3580" s="386"/>
      <c r="J3580" s="386"/>
      <c r="K3580" s="386"/>
      <c r="L3580" s="386"/>
      <c r="M3580" s="386"/>
      <c r="N3580" s="386"/>
      <c r="O3580" s="386"/>
      <c r="P3580" s="386"/>
      <c r="Q3580" s="386"/>
      <c r="R3580" s="386"/>
      <c r="S3580" s="386"/>
      <c r="T3580" s="386"/>
      <c r="U3580" s="387"/>
      <c r="V3580" s="386"/>
      <c r="W3580" s="386"/>
      <c r="X3580" s="386"/>
      <c r="Y3580" s="387"/>
      <c r="Z3580" s="387"/>
      <c r="AA3580" s="386"/>
      <c r="AB3580" s="386"/>
      <c r="AC3580" s="386"/>
      <c r="AD3580" s="386"/>
      <c r="AE3580" s="386"/>
      <c r="AF3580" s="386"/>
      <c r="AG3580" s="386"/>
      <c r="AH3580" s="386"/>
      <c r="AI3580" s="386"/>
      <c r="AJ3580" s="386"/>
      <c r="AK3580" s="386"/>
      <c r="AL3580" s="386"/>
      <c r="AM3580" s="386"/>
      <c r="AN3580" s="387"/>
      <c r="AO3580" s="386"/>
      <c r="AP3580" s="386"/>
      <c r="AQ3580" s="386"/>
      <c r="AR3580" s="387"/>
      <c r="AS3580" s="387"/>
      <c r="AT3580" s="386"/>
      <c r="AU3580" s="386"/>
      <c r="AV3580" s="386"/>
      <c r="AW3580" s="386"/>
      <c r="AX3580" s="386"/>
      <c r="AY3580" s="386"/>
      <c r="AZ3580" s="386"/>
      <c r="BA3580" s="386"/>
      <c r="BB3580" s="386"/>
      <c r="BC3580" s="386"/>
      <c r="BD3580" s="386"/>
      <c r="BE3580" s="386"/>
      <c r="BF3580" s="386"/>
      <c r="BG3580" s="387"/>
      <c r="BH3580" s="386"/>
      <c r="BI3580" s="386"/>
    </row>
    <row r="3581" spans="1:61" s="46" customFormat="1" x14ac:dyDescent="0.3">
      <c r="A3581" s="317"/>
      <c r="B3581" s="312"/>
      <c r="C3581" s="455"/>
      <c r="D3581" s="370"/>
      <c r="E3581" s="386"/>
      <c r="F3581" s="387"/>
      <c r="G3581" s="387"/>
      <c r="H3581" s="386"/>
      <c r="I3581" s="386"/>
      <c r="J3581" s="386"/>
      <c r="K3581" s="386"/>
      <c r="L3581" s="386"/>
      <c r="M3581" s="386"/>
      <c r="N3581" s="386"/>
      <c r="O3581" s="386"/>
      <c r="P3581" s="386"/>
      <c r="Q3581" s="386"/>
      <c r="R3581" s="386"/>
      <c r="S3581" s="386"/>
      <c r="T3581" s="386"/>
      <c r="U3581" s="387"/>
      <c r="V3581" s="386"/>
      <c r="W3581" s="386"/>
      <c r="X3581" s="386"/>
      <c r="Y3581" s="387"/>
      <c r="Z3581" s="387"/>
      <c r="AA3581" s="386"/>
      <c r="AB3581" s="386"/>
      <c r="AC3581" s="386"/>
      <c r="AD3581" s="386"/>
      <c r="AE3581" s="386"/>
      <c r="AF3581" s="386"/>
      <c r="AG3581" s="386"/>
      <c r="AH3581" s="386"/>
      <c r="AI3581" s="386"/>
      <c r="AJ3581" s="386"/>
      <c r="AK3581" s="386"/>
      <c r="AL3581" s="386"/>
      <c r="AM3581" s="386"/>
      <c r="AN3581" s="387"/>
      <c r="AO3581" s="386"/>
      <c r="AP3581" s="386"/>
      <c r="AQ3581" s="386"/>
      <c r="AR3581" s="387"/>
      <c r="AS3581" s="387"/>
      <c r="AT3581" s="386"/>
      <c r="AU3581" s="386"/>
      <c r="AV3581" s="386"/>
      <c r="AW3581" s="386"/>
      <c r="AX3581" s="386"/>
      <c r="AY3581" s="386"/>
      <c r="AZ3581" s="386"/>
      <c r="BA3581" s="386"/>
      <c r="BB3581" s="386"/>
      <c r="BC3581" s="386"/>
      <c r="BD3581" s="386"/>
      <c r="BE3581" s="386"/>
      <c r="BF3581" s="386"/>
      <c r="BG3581" s="387"/>
      <c r="BH3581" s="386"/>
      <c r="BI3581" s="386"/>
    </row>
    <row r="3582" spans="1:61" s="46" customFormat="1" x14ac:dyDescent="0.3">
      <c r="A3582" s="317"/>
      <c r="B3582" s="312"/>
      <c r="C3582" s="455"/>
      <c r="D3582" s="370"/>
      <c r="E3582" s="386"/>
      <c r="F3582" s="387"/>
      <c r="G3582" s="387"/>
      <c r="H3582" s="386"/>
      <c r="I3582" s="386"/>
      <c r="J3582" s="386"/>
      <c r="K3582" s="386"/>
      <c r="L3582" s="386"/>
      <c r="M3582" s="386"/>
      <c r="N3582" s="386"/>
      <c r="O3582" s="386"/>
      <c r="P3582" s="386"/>
      <c r="Q3582" s="386"/>
      <c r="R3582" s="386"/>
      <c r="S3582" s="386"/>
      <c r="T3582" s="386"/>
      <c r="U3582" s="387"/>
      <c r="V3582" s="386"/>
      <c r="W3582" s="386"/>
      <c r="X3582" s="386"/>
      <c r="Y3582" s="387"/>
      <c r="Z3582" s="387"/>
      <c r="AA3582" s="386"/>
      <c r="AB3582" s="386"/>
      <c r="AC3582" s="386"/>
      <c r="AD3582" s="386"/>
      <c r="AE3582" s="386"/>
      <c r="AF3582" s="386"/>
      <c r="AG3582" s="386"/>
      <c r="AH3582" s="386"/>
      <c r="AI3582" s="386"/>
      <c r="AJ3582" s="386"/>
      <c r="AK3582" s="386"/>
      <c r="AL3582" s="386"/>
      <c r="AM3582" s="386"/>
      <c r="AN3582" s="387"/>
      <c r="AO3582" s="386"/>
      <c r="AP3582" s="386"/>
      <c r="AQ3582" s="386"/>
      <c r="AR3582" s="387"/>
      <c r="AS3582" s="387"/>
      <c r="AT3582" s="386"/>
      <c r="AU3582" s="386"/>
      <c r="AV3582" s="386"/>
      <c r="AW3582" s="386"/>
      <c r="AX3582" s="386"/>
      <c r="AY3582" s="386"/>
      <c r="AZ3582" s="386"/>
      <c r="BA3582" s="386"/>
      <c r="BB3582" s="386"/>
      <c r="BC3582" s="386"/>
      <c r="BD3582" s="386"/>
      <c r="BE3582" s="386"/>
      <c r="BF3582" s="386"/>
      <c r="BG3582" s="387"/>
      <c r="BH3582" s="386"/>
      <c r="BI3582" s="386"/>
    </row>
    <row r="3583" spans="1:61" s="46" customFormat="1" x14ac:dyDescent="0.3">
      <c r="A3583" s="317"/>
      <c r="B3583" s="312"/>
      <c r="C3583" s="455"/>
      <c r="D3583" s="370"/>
      <c r="E3583" s="386"/>
      <c r="F3583" s="387"/>
      <c r="G3583" s="387"/>
      <c r="H3583" s="386"/>
      <c r="I3583" s="386"/>
      <c r="J3583" s="386"/>
      <c r="K3583" s="386"/>
      <c r="L3583" s="386"/>
      <c r="M3583" s="386"/>
      <c r="N3583" s="386"/>
      <c r="O3583" s="386"/>
      <c r="P3583" s="386"/>
      <c r="Q3583" s="386"/>
      <c r="R3583" s="386"/>
      <c r="S3583" s="386"/>
      <c r="T3583" s="386"/>
      <c r="U3583" s="387"/>
      <c r="V3583" s="386"/>
      <c r="W3583" s="386"/>
      <c r="X3583" s="386"/>
      <c r="Y3583" s="387"/>
      <c r="Z3583" s="387"/>
      <c r="AA3583" s="386"/>
      <c r="AB3583" s="386"/>
      <c r="AC3583" s="386"/>
      <c r="AD3583" s="386"/>
      <c r="AE3583" s="386"/>
      <c r="AF3583" s="386"/>
      <c r="AG3583" s="386"/>
      <c r="AH3583" s="386"/>
      <c r="AI3583" s="386"/>
      <c r="AJ3583" s="386"/>
      <c r="AK3583" s="386"/>
      <c r="AL3583" s="386"/>
      <c r="AM3583" s="386"/>
      <c r="AN3583" s="387"/>
      <c r="AO3583" s="386"/>
      <c r="AP3583" s="386"/>
      <c r="AQ3583" s="386"/>
      <c r="AR3583" s="387"/>
      <c r="AS3583" s="387"/>
      <c r="AT3583" s="386"/>
      <c r="AU3583" s="386"/>
      <c r="AV3583" s="386"/>
      <c r="AW3583" s="386"/>
      <c r="AX3583" s="386"/>
      <c r="AY3583" s="386"/>
      <c r="AZ3583" s="386"/>
      <c r="BA3583" s="386"/>
      <c r="BB3583" s="386"/>
      <c r="BC3583" s="386"/>
      <c r="BD3583" s="386"/>
      <c r="BE3583" s="386"/>
      <c r="BF3583" s="386"/>
      <c r="BG3583" s="387"/>
      <c r="BH3583" s="386"/>
      <c r="BI3583" s="386"/>
    </row>
    <row r="3584" spans="1:61" s="46" customFormat="1" x14ac:dyDescent="0.3">
      <c r="A3584" s="317"/>
      <c r="B3584" s="312"/>
      <c r="C3584" s="455"/>
      <c r="D3584" s="370"/>
      <c r="E3584" s="386"/>
      <c r="F3584" s="387"/>
      <c r="G3584" s="387"/>
      <c r="H3584" s="386"/>
      <c r="I3584" s="386"/>
      <c r="J3584" s="386"/>
      <c r="K3584" s="386"/>
      <c r="L3584" s="386"/>
      <c r="M3584" s="386"/>
      <c r="N3584" s="386"/>
      <c r="O3584" s="386"/>
      <c r="P3584" s="386"/>
      <c r="Q3584" s="386"/>
      <c r="R3584" s="386"/>
      <c r="S3584" s="386"/>
      <c r="T3584" s="386"/>
      <c r="U3584" s="387"/>
      <c r="V3584" s="386"/>
      <c r="W3584" s="386"/>
      <c r="X3584" s="386"/>
      <c r="Y3584" s="387"/>
      <c r="Z3584" s="387"/>
      <c r="AA3584" s="386"/>
      <c r="AB3584" s="386"/>
      <c r="AC3584" s="386"/>
      <c r="AD3584" s="386"/>
      <c r="AE3584" s="386"/>
      <c r="AF3584" s="386"/>
      <c r="AG3584" s="386"/>
      <c r="AH3584" s="386"/>
      <c r="AI3584" s="386"/>
      <c r="AJ3584" s="386"/>
      <c r="AK3584" s="386"/>
      <c r="AL3584" s="386"/>
      <c r="AM3584" s="386"/>
      <c r="AN3584" s="387"/>
      <c r="AO3584" s="386"/>
      <c r="AP3584" s="386"/>
      <c r="AQ3584" s="386"/>
      <c r="AR3584" s="387"/>
      <c r="AS3584" s="387"/>
      <c r="AT3584" s="386"/>
      <c r="AU3584" s="386"/>
      <c r="AV3584" s="386"/>
      <c r="AW3584" s="386"/>
      <c r="AX3584" s="386"/>
      <c r="AY3584" s="386"/>
      <c r="AZ3584" s="386"/>
      <c r="BA3584" s="386"/>
      <c r="BB3584" s="386"/>
      <c r="BC3584" s="386"/>
      <c r="BD3584" s="386"/>
      <c r="BE3584" s="386"/>
      <c r="BF3584" s="386"/>
      <c r="BG3584" s="387"/>
      <c r="BH3584" s="386"/>
      <c r="BI3584" s="386"/>
    </row>
    <row r="3585" spans="1:61" s="46" customFormat="1" x14ac:dyDescent="0.3">
      <c r="A3585" s="317"/>
      <c r="B3585" s="312"/>
      <c r="C3585" s="455"/>
      <c r="D3585" s="370"/>
      <c r="E3585" s="386"/>
      <c r="F3585" s="387"/>
      <c r="G3585" s="387"/>
      <c r="H3585" s="386"/>
      <c r="I3585" s="386"/>
      <c r="J3585" s="386"/>
      <c r="K3585" s="386"/>
      <c r="L3585" s="386"/>
      <c r="M3585" s="386"/>
      <c r="N3585" s="386"/>
      <c r="O3585" s="386"/>
      <c r="P3585" s="386"/>
      <c r="Q3585" s="386"/>
      <c r="R3585" s="386"/>
      <c r="S3585" s="386"/>
      <c r="T3585" s="386"/>
      <c r="U3585" s="387"/>
      <c r="V3585" s="386"/>
      <c r="W3585" s="386"/>
      <c r="X3585" s="386"/>
      <c r="Y3585" s="387"/>
      <c r="Z3585" s="387"/>
      <c r="AA3585" s="386"/>
      <c r="AB3585" s="386"/>
      <c r="AC3585" s="386"/>
      <c r="AD3585" s="386"/>
      <c r="AE3585" s="386"/>
      <c r="AF3585" s="386"/>
      <c r="AG3585" s="386"/>
      <c r="AH3585" s="386"/>
      <c r="AI3585" s="386"/>
      <c r="AJ3585" s="386"/>
      <c r="AK3585" s="386"/>
      <c r="AL3585" s="386"/>
      <c r="AM3585" s="386"/>
      <c r="AN3585" s="387"/>
      <c r="AO3585" s="386"/>
      <c r="AP3585" s="386"/>
      <c r="AQ3585" s="386"/>
      <c r="AR3585" s="387"/>
      <c r="AS3585" s="387"/>
      <c r="AT3585" s="386"/>
      <c r="AU3585" s="386"/>
      <c r="AV3585" s="386"/>
      <c r="AW3585" s="386"/>
      <c r="AX3585" s="386"/>
      <c r="AY3585" s="386"/>
      <c r="AZ3585" s="386"/>
      <c r="BA3585" s="386"/>
      <c r="BB3585" s="386"/>
      <c r="BC3585" s="386"/>
      <c r="BD3585" s="386"/>
      <c r="BE3585" s="386"/>
      <c r="BF3585" s="386"/>
      <c r="BG3585" s="387"/>
      <c r="BH3585" s="386"/>
      <c r="BI3585" s="386"/>
    </row>
    <row r="3586" spans="1:61" s="46" customFormat="1" x14ac:dyDescent="0.3">
      <c r="A3586" s="317"/>
      <c r="B3586" s="312"/>
      <c r="C3586" s="455"/>
      <c r="D3586" s="370"/>
      <c r="E3586" s="386"/>
      <c r="F3586" s="387"/>
      <c r="G3586" s="387"/>
      <c r="H3586" s="386"/>
      <c r="I3586" s="386"/>
      <c r="J3586" s="386"/>
      <c r="K3586" s="386"/>
      <c r="L3586" s="386"/>
      <c r="M3586" s="386"/>
      <c r="N3586" s="386"/>
      <c r="O3586" s="386"/>
      <c r="P3586" s="386"/>
      <c r="Q3586" s="386"/>
      <c r="R3586" s="386"/>
      <c r="S3586" s="386"/>
      <c r="T3586" s="386"/>
      <c r="U3586" s="387"/>
      <c r="V3586" s="386"/>
      <c r="W3586" s="386"/>
      <c r="X3586" s="386"/>
      <c r="Y3586" s="387"/>
      <c r="Z3586" s="387"/>
      <c r="AA3586" s="386"/>
      <c r="AB3586" s="386"/>
      <c r="AC3586" s="386"/>
      <c r="AD3586" s="386"/>
      <c r="AE3586" s="386"/>
      <c r="AF3586" s="386"/>
      <c r="AG3586" s="386"/>
      <c r="AH3586" s="386"/>
      <c r="AI3586" s="386"/>
      <c r="AJ3586" s="386"/>
      <c r="AK3586" s="386"/>
      <c r="AL3586" s="386"/>
      <c r="AM3586" s="386"/>
      <c r="AN3586" s="387"/>
      <c r="AO3586" s="386"/>
      <c r="AP3586" s="386"/>
      <c r="AQ3586" s="386"/>
      <c r="AR3586" s="387"/>
      <c r="AS3586" s="387"/>
      <c r="AT3586" s="386"/>
      <c r="AU3586" s="386"/>
      <c r="AV3586" s="386"/>
      <c r="AW3586" s="386"/>
      <c r="AX3586" s="386"/>
      <c r="AY3586" s="386"/>
      <c r="AZ3586" s="386"/>
      <c r="BA3586" s="386"/>
      <c r="BB3586" s="386"/>
      <c r="BC3586" s="386"/>
      <c r="BD3586" s="386"/>
      <c r="BE3586" s="386"/>
      <c r="BF3586" s="386"/>
      <c r="BG3586" s="387"/>
      <c r="BH3586" s="386"/>
      <c r="BI3586" s="386"/>
    </row>
    <row r="3587" spans="1:61" s="46" customFormat="1" x14ac:dyDescent="0.3">
      <c r="A3587" s="317"/>
      <c r="B3587" s="386"/>
      <c r="C3587" s="592"/>
      <c r="D3587" s="370"/>
      <c r="E3587" s="386"/>
      <c r="F3587" s="387"/>
      <c r="G3587" s="387"/>
      <c r="H3587" s="386"/>
      <c r="I3587" s="386"/>
      <c r="J3587" s="386"/>
      <c r="K3587" s="386"/>
      <c r="L3587" s="386"/>
      <c r="M3587" s="386"/>
      <c r="N3587" s="386"/>
      <c r="O3587" s="386"/>
      <c r="P3587" s="386"/>
      <c r="Q3587" s="386"/>
      <c r="R3587" s="386"/>
      <c r="S3587" s="386"/>
      <c r="T3587" s="386"/>
      <c r="U3587" s="387"/>
      <c r="V3587" s="386"/>
      <c r="W3587" s="386"/>
      <c r="X3587" s="386"/>
      <c r="Y3587" s="387"/>
      <c r="Z3587" s="387"/>
      <c r="AA3587" s="386"/>
      <c r="AB3587" s="386"/>
      <c r="AC3587" s="386"/>
      <c r="AD3587" s="386"/>
      <c r="AE3587" s="386"/>
      <c r="AF3587" s="386"/>
      <c r="AG3587" s="386"/>
      <c r="AH3587" s="386"/>
      <c r="AI3587" s="386"/>
      <c r="AJ3587" s="386"/>
      <c r="AK3587" s="386"/>
      <c r="AL3587" s="386"/>
      <c r="AM3587" s="386"/>
      <c r="AN3587" s="387"/>
      <c r="AO3587" s="386"/>
      <c r="AP3587" s="386"/>
      <c r="AQ3587" s="386"/>
      <c r="AR3587" s="387"/>
      <c r="AS3587" s="387"/>
      <c r="AT3587" s="386"/>
      <c r="AU3587" s="386"/>
      <c r="AV3587" s="386"/>
      <c r="AW3587" s="386"/>
      <c r="AX3587" s="386"/>
      <c r="AY3587" s="386"/>
      <c r="AZ3587" s="386"/>
      <c r="BA3587" s="386"/>
      <c r="BB3587" s="386"/>
      <c r="BC3587" s="386"/>
      <c r="BD3587" s="386"/>
      <c r="BE3587" s="386"/>
      <c r="BF3587" s="386"/>
      <c r="BG3587" s="387"/>
      <c r="BH3587" s="386"/>
      <c r="BI3587" s="386"/>
    </row>
    <row r="3588" spans="1:61" s="46" customFormat="1" x14ac:dyDescent="0.3">
      <c r="A3588" s="317"/>
      <c r="B3588" s="386"/>
      <c r="C3588" s="592"/>
      <c r="D3588" s="370"/>
      <c r="E3588" s="386"/>
      <c r="F3588" s="387"/>
      <c r="G3588" s="387"/>
      <c r="H3588" s="386"/>
      <c r="I3588" s="386"/>
      <c r="J3588" s="386"/>
      <c r="K3588" s="386"/>
      <c r="L3588" s="386"/>
      <c r="M3588" s="386"/>
      <c r="N3588" s="386"/>
      <c r="O3588" s="386"/>
      <c r="P3588" s="386"/>
      <c r="Q3588" s="386"/>
      <c r="R3588" s="386"/>
      <c r="S3588" s="386"/>
      <c r="T3588" s="386"/>
      <c r="U3588" s="387"/>
      <c r="V3588" s="386"/>
      <c r="W3588" s="386"/>
      <c r="X3588" s="386"/>
      <c r="Y3588" s="387"/>
      <c r="Z3588" s="387"/>
      <c r="AA3588" s="386"/>
      <c r="AB3588" s="386"/>
      <c r="AC3588" s="386"/>
      <c r="AD3588" s="386"/>
      <c r="AE3588" s="386"/>
      <c r="AF3588" s="386"/>
      <c r="AG3588" s="386"/>
      <c r="AH3588" s="386"/>
      <c r="AI3588" s="386"/>
      <c r="AJ3588" s="386"/>
      <c r="AK3588" s="386"/>
      <c r="AL3588" s="386"/>
      <c r="AM3588" s="386"/>
      <c r="AN3588" s="387"/>
      <c r="AO3588" s="386"/>
      <c r="AP3588" s="386"/>
      <c r="AQ3588" s="386"/>
      <c r="AR3588" s="387"/>
      <c r="AS3588" s="387"/>
      <c r="AT3588" s="386"/>
      <c r="AU3588" s="386"/>
      <c r="AV3588" s="386"/>
      <c r="AW3588" s="386"/>
      <c r="AX3588" s="386"/>
      <c r="AY3588" s="386"/>
      <c r="AZ3588" s="386"/>
      <c r="BA3588" s="386"/>
      <c r="BB3588" s="386"/>
      <c r="BC3588" s="386"/>
      <c r="BD3588" s="386"/>
      <c r="BE3588" s="386"/>
      <c r="BF3588" s="386"/>
      <c r="BG3588" s="387"/>
      <c r="BH3588" s="386"/>
      <c r="BI3588" s="386"/>
    </row>
    <row r="3589" spans="1:61" s="46" customFormat="1" x14ac:dyDescent="0.3">
      <c r="A3589" s="317"/>
      <c r="B3589" s="386"/>
      <c r="C3589" s="592"/>
      <c r="D3589" s="370"/>
      <c r="E3589" s="386"/>
      <c r="F3589" s="387"/>
      <c r="G3589" s="387"/>
      <c r="H3589" s="386"/>
      <c r="I3589" s="386"/>
      <c r="J3589" s="386"/>
      <c r="K3589" s="386"/>
      <c r="L3589" s="386"/>
      <c r="M3589" s="386"/>
      <c r="N3589" s="386"/>
      <c r="O3589" s="386"/>
      <c r="P3589" s="386"/>
      <c r="Q3589" s="386"/>
      <c r="R3589" s="386"/>
      <c r="S3589" s="386"/>
      <c r="T3589" s="386"/>
      <c r="U3589" s="387"/>
      <c r="V3589" s="386"/>
      <c r="W3589" s="386"/>
      <c r="X3589" s="386"/>
      <c r="Y3589" s="387"/>
      <c r="Z3589" s="387"/>
      <c r="AA3589" s="386"/>
      <c r="AB3589" s="386"/>
      <c r="AC3589" s="386"/>
      <c r="AD3589" s="386"/>
      <c r="AE3589" s="386"/>
      <c r="AF3589" s="386"/>
      <c r="AG3589" s="386"/>
      <c r="AH3589" s="386"/>
      <c r="AI3589" s="386"/>
      <c r="AJ3589" s="386"/>
      <c r="AK3589" s="386"/>
      <c r="AL3589" s="386"/>
      <c r="AM3589" s="386"/>
      <c r="AN3589" s="387"/>
      <c r="AO3589" s="386"/>
      <c r="AP3589" s="386"/>
      <c r="AQ3589" s="386"/>
      <c r="AR3589" s="387"/>
      <c r="AS3589" s="387"/>
      <c r="AT3589" s="386"/>
      <c r="AU3589" s="386"/>
      <c r="AV3589" s="386"/>
      <c r="AW3589" s="386"/>
      <c r="AX3589" s="386"/>
      <c r="AY3589" s="386"/>
      <c r="AZ3589" s="386"/>
      <c r="BA3589" s="386"/>
      <c r="BB3589" s="386"/>
      <c r="BC3589" s="386"/>
      <c r="BD3589" s="386"/>
      <c r="BE3589" s="386"/>
      <c r="BF3589" s="386"/>
      <c r="BG3589" s="387"/>
      <c r="BH3589" s="386"/>
      <c r="BI3589" s="386"/>
    </row>
    <row r="3590" spans="1:61" s="46" customFormat="1" x14ac:dyDescent="0.3">
      <c r="A3590" s="317"/>
      <c r="B3590" s="386"/>
      <c r="C3590" s="592"/>
      <c r="D3590" s="370"/>
      <c r="E3590" s="386"/>
      <c r="F3590" s="387"/>
      <c r="G3590" s="387"/>
      <c r="H3590" s="386"/>
      <c r="I3590" s="386"/>
      <c r="J3590" s="386"/>
      <c r="K3590" s="386"/>
      <c r="L3590" s="386"/>
      <c r="M3590" s="386"/>
      <c r="N3590" s="386"/>
      <c r="O3590" s="386"/>
      <c r="P3590" s="386"/>
      <c r="Q3590" s="386"/>
      <c r="R3590" s="386"/>
      <c r="S3590" s="386"/>
      <c r="T3590" s="386"/>
      <c r="U3590" s="387"/>
      <c r="V3590" s="386"/>
      <c r="W3590" s="386"/>
      <c r="X3590" s="386"/>
      <c r="Y3590" s="387"/>
      <c r="Z3590" s="387"/>
      <c r="AA3590" s="386"/>
      <c r="AB3590" s="386"/>
      <c r="AC3590" s="386"/>
      <c r="AD3590" s="386"/>
      <c r="AE3590" s="386"/>
      <c r="AF3590" s="386"/>
      <c r="AG3590" s="386"/>
      <c r="AH3590" s="386"/>
      <c r="AI3590" s="386"/>
      <c r="AJ3590" s="386"/>
      <c r="AK3590" s="386"/>
      <c r="AL3590" s="386"/>
      <c r="AM3590" s="386"/>
      <c r="AN3590" s="387"/>
      <c r="AO3590" s="386"/>
      <c r="AP3590" s="386"/>
      <c r="AQ3590" s="386"/>
      <c r="AR3590" s="387"/>
      <c r="AS3590" s="387"/>
      <c r="AT3590" s="386"/>
      <c r="AU3590" s="386"/>
      <c r="AV3590" s="386"/>
      <c r="AW3590" s="386"/>
      <c r="AX3590" s="386"/>
      <c r="AY3590" s="386"/>
      <c r="AZ3590" s="386"/>
      <c r="BA3590" s="386"/>
      <c r="BB3590" s="386"/>
      <c r="BC3590" s="386"/>
      <c r="BD3590" s="386"/>
      <c r="BE3590" s="386"/>
      <c r="BF3590" s="386"/>
      <c r="BG3590" s="387"/>
      <c r="BH3590" s="386"/>
      <c r="BI3590" s="386"/>
    </row>
    <row r="3591" spans="1:61" s="46" customFormat="1" x14ac:dyDescent="0.3">
      <c r="A3591" s="317"/>
      <c r="B3591" s="312"/>
      <c r="C3591" s="455"/>
      <c r="D3591" s="370"/>
      <c r="E3591" s="386"/>
      <c r="F3591" s="387"/>
      <c r="G3591" s="387"/>
      <c r="H3591" s="386"/>
      <c r="I3591" s="386"/>
      <c r="J3591" s="386"/>
      <c r="K3591" s="386"/>
      <c r="L3591" s="386"/>
      <c r="M3591" s="386"/>
      <c r="N3591" s="386"/>
      <c r="O3591" s="386"/>
      <c r="P3591" s="386"/>
      <c r="Q3591" s="386"/>
      <c r="R3591" s="386"/>
      <c r="S3591" s="386"/>
      <c r="T3591" s="386"/>
      <c r="U3591" s="387"/>
      <c r="V3591" s="386"/>
      <c r="W3591" s="386"/>
      <c r="X3591" s="386"/>
      <c r="Y3591" s="387"/>
      <c r="Z3591" s="387"/>
      <c r="AA3591" s="386"/>
      <c r="AB3591" s="386"/>
      <c r="AC3591" s="386"/>
      <c r="AD3591" s="386"/>
      <c r="AE3591" s="386"/>
      <c r="AF3591" s="386"/>
      <c r="AG3591" s="386"/>
      <c r="AH3591" s="386"/>
      <c r="AI3591" s="386"/>
      <c r="AJ3591" s="386"/>
      <c r="AK3591" s="386"/>
      <c r="AL3591" s="386"/>
      <c r="AM3591" s="386"/>
      <c r="AN3591" s="387"/>
      <c r="AO3591" s="386"/>
      <c r="AP3591" s="386"/>
      <c r="AQ3591" s="386"/>
      <c r="AR3591" s="387"/>
      <c r="AS3591" s="387"/>
      <c r="AT3591" s="386"/>
      <c r="AU3591" s="386"/>
      <c r="AV3591" s="386"/>
      <c r="AW3591" s="386"/>
      <c r="AX3591" s="386"/>
      <c r="AY3591" s="386"/>
      <c r="AZ3591" s="386"/>
      <c r="BA3591" s="386"/>
      <c r="BB3591" s="386"/>
      <c r="BC3591" s="386"/>
      <c r="BD3591" s="386"/>
      <c r="BE3591" s="386"/>
      <c r="BF3591" s="386"/>
      <c r="BG3591" s="387"/>
      <c r="BH3591" s="386"/>
      <c r="BI3591" s="386"/>
    </row>
    <row r="3592" spans="1:61" s="46" customFormat="1" x14ac:dyDescent="0.3">
      <c r="A3592" s="317"/>
      <c r="B3592" s="312"/>
      <c r="C3592" s="455"/>
      <c r="D3592" s="370"/>
      <c r="E3592" s="386"/>
      <c r="F3592" s="387"/>
      <c r="G3592" s="387"/>
      <c r="H3592" s="386"/>
      <c r="I3592" s="386"/>
      <c r="J3592" s="386"/>
      <c r="K3592" s="386"/>
      <c r="L3592" s="386"/>
      <c r="M3592" s="386"/>
      <c r="N3592" s="386"/>
      <c r="O3592" s="386"/>
      <c r="P3592" s="386"/>
      <c r="Q3592" s="386"/>
      <c r="R3592" s="386"/>
      <c r="S3592" s="386"/>
      <c r="T3592" s="386"/>
      <c r="U3592" s="387"/>
      <c r="V3592" s="386"/>
      <c r="W3592" s="386"/>
      <c r="X3592" s="386"/>
      <c r="Y3592" s="387"/>
      <c r="Z3592" s="387"/>
      <c r="AA3592" s="386"/>
      <c r="AB3592" s="386"/>
      <c r="AC3592" s="386"/>
      <c r="AD3592" s="386"/>
      <c r="AE3592" s="386"/>
      <c r="AF3592" s="386"/>
      <c r="AG3592" s="386"/>
      <c r="AH3592" s="386"/>
      <c r="AI3592" s="386"/>
      <c r="AJ3592" s="386"/>
      <c r="AK3592" s="386"/>
      <c r="AL3592" s="386"/>
      <c r="AM3592" s="386"/>
      <c r="AN3592" s="387"/>
      <c r="AO3592" s="386"/>
      <c r="AP3592" s="386"/>
      <c r="AQ3592" s="386"/>
      <c r="AR3592" s="387"/>
      <c r="AS3592" s="387"/>
      <c r="AT3592" s="386"/>
      <c r="AU3592" s="386"/>
      <c r="AV3592" s="386"/>
      <c r="AW3592" s="386"/>
      <c r="AX3592" s="386"/>
      <c r="AY3592" s="386"/>
      <c r="AZ3592" s="386"/>
      <c r="BA3592" s="386"/>
      <c r="BB3592" s="386"/>
      <c r="BC3592" s="386"/>
      <c r="BD3592" s="386"/>
      <c r="BE3592" s="386"/>
      <c r="BF3592" s="386"/>
      <c r="BG3592" s="387"/>
      <c r="BH3592" s="386"/>
      <c r="BI3592" s="386"/>
    </row>
    <row r="3593" spans="1:61" s="46" customFormat="1" x14ac:dyDescent="0.3">
      <c r="A3593" s="317"/>
      <c r="B3593" s="312"/>
      <c r="C3593" s="455"/>
      <c r="D3593" s="370"/>
      <c r="E3593" s="386"/>
      <c r="F3593" s="387"/>
      <c r="G3593" s="387"/>
      <c r="H3593" s="386"/>
      <c r="I3593" s="386"/>
      <c r="J3593" s="386"/>
      <c r="K3593" s="386"/>
      <c r="L3593" s="386"/>
      <c r="M3593" s="386"/>
      <c r="N3593" s="386"/>
      <c r="O3593" s="386"/>
      <c r="P3593" s="386"/>
      <c r="Q3593" s="386"/>
      <c r="R3593" s="386"/>
      <c r="S3593" s="386"/>
      <c r="T3593" s="386"/>
      <c r="U3593" s="387"/>
      <c r="V3593" s="386"/>
      <c r="W3593" s="386"/>
      <c r="X3593" s="386"/>
      <c r="Y3593" s="387"/>
      <c r="Z3593" s="387"/>
      <c r="AA3593" s="386"/>
      <c r="AB3593" s="386"/>
      <c r="AC3593" s="386"/>
      <c r="AD3593" s="386"/>
      <c r="AE3593" s="386"/>
      <c r="AF3593" s="386"/>
      <c r="AG3593" s="386"/>
      <c r="AH3593" s="386"/>
      <c r="AI3593" s="386"/>
      <c r="AJ3593" s="386"/>
      <c r="AK3593" s="386"/>
      <c r="AL3593" s="386"/>
      <c r="AM3593" s="386"/>
      <c r="AN3593" s="387"/>
      <c r="AO3593" s="386"/>
      <c r="AP3593" s="386"/>
      <c r="AQ3593" s="386"/>
      <c r="AR3593" s="387"/>
      <c r="AS3593" s="387"/>
      <c r="AT3593" s="386"/>
      <c r="AU3593" s="386"/>
      <c r="AV3593" s="386"/>
      <c r="AW3593" s="386"/>
      <c r="AX3593" s="386"/>
      <c r="AY3593" s="386"/>
      <c r="AZ3593" s="386"/>
      <c r="BA3593" s="386"/>
      <c r="BB3593" s="386"/>
      <c r="BC3593" s="386"/>
      <c r="BD3593" s="386"/>
      <c r="BE3593" s="386"/>
      <c r="BF3593" s="386"/>
      <c r="BG3593" s="387"/>
      <c r="BH3593" s="386"/>
      <c r="BI3593" s="386"/>
    </row>
    <row r="3594" spans="1:61" s="46" customFormat="1" x14ac:dyDescent="0.3">
      <c r="A3594" s="317"/>
      <c r="B3594" s="312"/>
      <c r="C3594" s="455"/>
      <c r="D3594" s="370"/>
      <c r="E3594" s="386"/>
      <c r="F3594" s="387"/>
      <c r="G3594" s="387"/>
      <c r="H3594" s="386"/>
      <c r="I3594" s="386"/>
      <c r="J3594" s="386"/>
      <c r="K3594" s="386"/>
      <c r="L3594" s="386"/>
      <c r="M3594" s="386"/>
      <c r="N3594" s="386"/>
      <c r="O3594" s="386"/>
      <c r="P3594" s="386"/>
      <c r="Q3594" s="386"/>
      <c r="R3594" s="386"/>
      <c r="S3594" s="386"/>
      <c r="T3594" s="386"/>
      <c r="U3594" s="387"/>
      <c r="V3594" s="386"/>
      <c r="W3594" s="386"/>
      <c r="X3594" s="386"/>
      <c r="Y3594" s="387"/>
      <c r="Z3594" s="387"/>
      <c r="AA3594" s="386"/>
      <c r="AB3594" s="386"/>
      <c r="AC3594" s="386"/>
      <c r="AD3594" s="386"/>
      <c r="AE3594" s="386"/>
      <c r="AF3594" s="386"/>
      <c r="AG3594" s="386"/>
      <c r="AH3594" s="386"/>
      <c r="AI3594" s="386"/>
      <c r="AJ3594" s="386"/>
      <c r="AK3594" s="386"/>
      <c r="AL3594" s="386"/>
      <c r="AM3594" s="386"/>
      <c r="AN3594" s="387"/>
      <c r="AO3594" s="386"/>
      <c r="AP3594" s="386"/>
      <c r="AQ3594" s="386"/>
      <c r="AR3594" s="387"/>
      <c r="AS3594" s="387"/>
      <c r="AT3594" s="386"/>
      <c r="AU3594" s="386"/>
      <c r="AV3594" s="386"/>
      <c r="AW3594" s="386"/>
      <c r="AX3594" s="386"/>
      <c r="AY3594" s="386"/>
      <c r="AZ3594" s="386"/>
      <c r="BA3594" s="386"/>
      <c r="BB3594" s="386"/>
      <c r="BC3594" s="386"/>
      <c r="BD3594" s="386"/>
      <c r="BE3594" s="386"/>
      <c r="BF3594" s="386"/>
      <c r="BG3594" s="387"/>
      <c r="BH3594" s="386"/>
      <c r="BI3594" s="386"/>
    </row>
    <row r="3595" spans="1:61" s="46" customFormat="1" x14ac:dyDescent="0.3">
      <c r="A3595" s="317"/>
      <c r="B3595" s="312"/>
      <c r="C3595" s="455"/>
      <c r="D3595" s="370"/>
      <c r="E3595" s="386"/>
      <c r="F3595" s="387"/>
      <c r="G3595" s="387"/>
      <c r="H3595" s="386"/>
      <c r="I3595" s="386"/>
      <c r="J3595" s="386"/>
      <c r="K3595" s="386"/>
      <c r="L3595" s="386"/>
      <c r="M3595" s="386"/>
      <c r="N3595" s="386"/>
      <c r="O3595" s="386"/>
      <c r="P3595" s="386"/>
      <c r="Q3595" s="386"/>
      <c r="R3595" s="386"/>
      <c r="S3595" s="386"/>
      <c r="T3595" s="386"/>
      <c r="U3595" s="387"/>
      <c r="V3595" s="386"/>
      <c r="W3595" s="386"/>
      <c r="X3595" s="386"/>
      <c r="Y3595" s="387"/>
      <c r="Z3595" s="387"/>
      <c r="AA3595" s="386"/>
      <c r="AB3595" s="386"/>
      <c r="AC3595" s="386"/>
      <c r="AD3595" s="386"/>
      <c r="AE3595" s="386"/>
      <c r="AF3595" s="386"/>
      <c r="AG3595" s="386"/>
      <c r="AH3595" s="386"/>
      <c r="AI3595" s="386"/>
      <c r="AJ3595" s="386"/>
      <c r="AK3595" s="386"/>
      <c r="AL3595" s="386"/>
      <c r="AM3595" s="386"/>
      <c r="AN3595" s="387"/>
      <c r="AO3595" s="386"/>
      <c r="AP3595" s="386"/>
      <c r="AQ3595" s="386"/>
      <c r="AR3595" s="387"/>
      <c r="AS3595" s="387"/>
      <c r="AT3595" s="386"/>
      <c r="AU3595" s="386"/>
      <c r="AV3595" s="386"/>
      <c r="AW3595" s="386"/>
      <c r="AX3595" s="386"/>
      <c r="AY3595" s="386"/>
      <c r="AZ3595" s="386"/>
      <c r="BA3595" s="386"/>
      <c r="BB3595" s="386"/>
      <c r="BC3595" s="386"/>
      <c r="BD3595" s="386"/>
      <c r="BE3595" s="386"/>
      <c r="BF3595" s="386"/>
      <c r="BG3595" s="387"/>
      <c r="BH3595" s="386"/>
      <c r="BI3595" s="386"/>
    </row>
    <row r="3596" spans="1:61" s="46" customFormat="1" x14ac:dyDescent="0.3">
      <c r="A3596" s="317"/>
      <c r="B3596" s="312"/>
      <c r="C3596" s="455"/>
      <c r="D3596" s="370"/>
      <c r="E3596" s="386"/>
      <c r="F3596" s="387"/>
      <c r="G3596" s="387"/>
      <c r="H3596" s="386"/>
      <c r="I3596" s="386"/>
      <c r="J3596" s="386"/>
      <c r="K3596" s="386"/>
      <c r="L3596" s="386"/>
      <c r="M3596" s="386"/>
      <c r="N3596" s="386"/>
      <c r="O3596" s="386"/>
      <c r="P3596" s="386"/>
      <c r="Q3596" s="386"/>
      <c r="R3596" s="386"/>
      <c r="S3596" s="386"/>
      <c r="T3596" s="386"/>
      <c r="U3596" s="387"/>
      <c r="V3596" s="386"/>
      <c r="W3596" s="386"/>
      <c r="X3596" s="386"/>
      <c r="Y3596" s="387"/>
      <c r="Z3596" s="387"/>
      <c r="AA3596" s="386"/>
      <c r="AB3596" s="386"/>
      <c r="AC3596" s="386"/>
      <c r="AD3596" s="386"/>
      <c r="AE3596" s="386"/>
      <c r="AF3596" s="386"/>
      <c r="AG3596" s="386"/>
      <c r="AH3596" s="386"/>
      <c r="AI3596" s="386"/>
      <c r="AJ3596" s="386"/>
      <c r="AK3596" s="386"/>
      <c r="AL3596" s="386"/>
      <c r="AM3596" s="386"/>
      <c r="AN3596" s="387"/>
      <c r="AO3596" s="386"/>
      <c r="AP3596" s="386"/>
      <c r="AQ3596" s="386"/>
      <c r="AR3596" s="387"/>
      <c r="AS3596" s="387"/>
      <c r="AT3596" s="386"/>
      <c r="AU3596" s="386"/>
      <c r="AV3596" s="386"/>
      <c r="AW3596" s="386"/>
      <c r="AX3596" s="386"/>
      <c r="AY3596" s="386"/>
      <c r="AZ3596" s="386"/>
      <c r="BA3596" s="386"/>
      <c r="BB3596" s="386"/>
      <c r="BC3596" s="386"/>
      <c r="BD3596" s="386"/>
      <c r="BE3596" s="386"/>
      <c r="BF3596" s="386"/>
      <c r="BG3596" s="387"/>
      <c r="BH3596" s="386"/>
      <c r="BI3596" s="386"/>
    </row>
    <row r="3597" spans="1:61" s="46" customFormat="1" x14ac:dyDescent="0.3">
      <c r="A3597" s="317"/>
      <c r="B3597" s="312"/>
      <c r="C3597" s="455"/>
      <c r="D3597" s="370"/>
      <c r="E3597" s="386"/>
      <c r="F3597" s="387"/>
      <c r="G3597" s="387"/>
      <c r="H3597" s="386"/>
      <c r="I3597" s="386"/>
      <c r="J3597" s="386"/>
      <c r="K3597" s="386"/>
      <c r="L3597" s="386"/>
      <c r="M3597" s="386"/>
      <c r="N3597" s="386"/>
      <c r="O3597" s="386"/>
      <c r="P3597" s="386"/>
      <c r="Q3597" s="386"/>
      <c r="R3597" s="386"/>
      <c r="S3597" s="386"/>
      <c r="T3597" s="386"/>
      <c r="U3597" s="387"/>
      <c r="V3597" s="386"/>
      <c r="W3597" s="386"/>
      <c r="X3597" s="386"/>
      <c r="Y3597" s="387"/>
      <c r="Z3597" s="387"/>
      <c r="AA3597" s="386"/>
      <c r="AB3597" s="386"/>
      <c r="AC3597" s="386"/>
      <c r="AD3597" s="386"/>
      <c r="AE3597" s="386"/>
      <c r="AF3597" s="386"/>
      <c r="AG3597" s="386"/>
      <c r="AH3597" s="386"/>
      <c r="AI3597" s="386"/>
      <c r="AJ3597" s="386"/>
      <c r="AK3597" s="386"/>
      <c r="AL3597" s="386"/>
      <c r="AM3597" s="386"/>
      <c r="AN3597" s="387"/>
      <c r="AO3597" s="386"/>
      <c r="AP3597" s="386"/>
      <c r="AQ3597" s="386"/>
      <c r="AR3597" s="387"/>
      <c r="AS3597" s="387"/>
      <c r="AT3597" s="386"/>
      <c r="AU3597" s="386"/>
      <c r="AV3597" s="386"/>
      <c r="AW3597" s="386"/>
      <c r="AX3597" s="386"/>
      <c r="AY3597" s="386"/>
      <c r="AZ3597" s="386"/>
      <c r="BA3597" s="386"/>
      <c r="BB3597" s="386"/>
      <c r="BC3597" s="386"/>
      <c r="BD3597" s="386"/>
      <c r="BE3597" s="386"/>
      <c r="BF3597" s="386"/>
      <c r="BG3597" s="387"/>
      <c r="BH3597" s="386"/>
      <c r="BI3597" s="386"/>
    </row>
    <row r="3598" spans="1:61" s="46" customFormat="1" x14ac:dyDescent="0.3">
      <c r="A3598" s="317"/>
      <c r="B3598" s="312"/>
      <c r="C3598" s="455"/>
      <c r="D3598" s="370"/>
      <c r="E3598" s="386"/>
      <c r="F3598" s="387"/>
      <c r="G3598" s="387"/>
      <c r="H3598" s="386"/>
      <c r="I3598" s="386"/>
      <c r="J3598" s="386"/>
      <c r="K3598" s="386"/>
      <c r="L3598" s="386"/>
      <c r="M3598" s="386"/>
      <c r="N3598" s="386"/>
      <c r="O3598" s="386"/>
      <c r="P3598" s="386"/>
      <c r="Q3598" s="386"/>
      <c r="R3598" s="386"/>
      <c r="S3598" s="386"/>
      <c r="T3598" s="386"/>
      <c r="U3598" s="387"/>
      <c r="V3598" s="386"/>
      <c r="W3598" s="386"/>
      <c r="X3598" s="386"/>
      <c r="Y3598" s="387"/>
      <c r="Z3598" s="387"/>
      <c r="AA3598" s="386"/>
      <c r="AB3598" s="386"/>
      <c r="AC3598" s="386"/>
      <c r="AD3598" s="386"/>
      <c r="AE3598" s="386"/>
      <c r="AF3598" s="386"/>
      <c r="AG3598" s="386"/>
      <c r="AH3598" s="386"/>
      <c r="AI3598" s="386"/>
      <c r="AJ3598" s="386"/>
      <c r="AK3598" s="386"/>
      <c r="AL3598" s="386"/>
      <c r="AM3598" s="386"/>
      <c r="AN3598" s="387"/>
      <c r="AO3598" s="386"/>
      <c r="AP3598" s="386"/>
      <c r="AQ3598" s="386"/>
      <c r="AR3598" s="387"/>
      <c r="AS3598" s="387"/>
      <c r="AT3598" s="386"/>
      <c r="AU3598" s="386"/>
      <c r="AV3598" s="386"/>
      <c r="AW3598" s="386"/>
      <c r="AX3598" s="386"/>
      <c r="AY3598" s="386"/>
      <c r="AZ3598" s="386"/>
      <c r="BA3598" s="386"/>
      <c r="BB3598" s="386"/>
      <c r="BC3598" s="386"/>
      <c r="BD3598" s="386"/>
      <c r="BE3598" s="386"/>
      <c r="BF3598" s="386"/>
      <c r="BG3598" s="387"/>
      <c r="BH3598" s="386"/>
      <c r="BI3598" s="386"/>
    </row>
    <row r="3599" spans="1:61" s="46" customFormat="1" x14ac:dyDescent="0.3">
      <c r="A3599" s="317"/>
      <c r="B3599" s="312"/>
      <c r="C3599" s="455"/>
      <c r="D3599" s="370"/>
      <c r="E3599" s="386"/>
      <c r="F3599" s="387"/>
      <c r="G3599" s="387"/>
      <c r="H3599" s="386"/>
      <c r="I3599" s="386"/>
      <c r="J3599" s="386"/>
      <c r="K3599" s="386"/>
      <c r="L3599" s="386"/>
      <c r="M3599" s="386"/>
      <c r="N3599" s="386"/>
      <c r="O3599" s="386"/>
      <c r="P3599" s="386"/>
      <c r="Q3599" s="386"/>
      <c r="R3599" s="386"/>
      <c r="S3599" s="386"/>
      <c r="T3599" s="386"/>
      <c r="U3599" s="387"/>
      <c r="V3599" s="386"/>
      <c r="W3599" s="386"/>
      <c r="X3599" s="386"/>
      <c r="Y3599" s="387"/>
      <c r="Z3599" s="387"/>
      <c r="AA3599" s="386"/>
      <c r="AB3599" s="386"/>
      <c r="AC3599" s="386"/>
      <c r="AD3599" s="386"/>
      <c r="AE3599" s="386"/>
      <c r="AF3599" s="386"/>
      <c r="AG3599" s="386"/>
      <c r="AH3599" s="386"/>
      <c r="AI3599" s="386"/>
      <c r="AJ3599" s="386"/>
      <c r="AK3599" s="386"/>
      <c r="AL3599" s="386"/>
      <c r="AM3599" s="386"/>
      <c r="AN3599" s="387"/>
      <c r="AO3599" s="386"/>
      <c r="AP3599" s="386"/>
      <c r="AQ3599" s="386"/>
      <c r="AR3599" s="387"/>
      <c r="AS3599" s="387"/>
      <c r="AT3599" s="386"/>
      <c r="AU3599" s="386"/>
      <c r="AV3599" s="386"/>
      <c r="AW3599" s="386"/>
      <c r="AX3599" s="386"/>
      <c r="AY3599" s="386"/>
      <c r="AZ3599" s="386"/>
      <c r="BA3599" s="386"/>
      <c r="BB3599" s="386"/>
      <c r="BC3599" s="386"/>
      <c r="BD3599" s="386"/>
      <c r="BE3599" s="386"/>
      <c r="BF3599" s="386"/>
      <c r="BG3599" s="387"/>
      <c r="BH3599" s="386"/>
      <c r="BI3599" s="386"/>
    </row>
    <row r="3600" spans="1:61" s="46" customFormat="1" x14ac:dyDescent="0.3">
      <c r="A3600" s="317"/>
      <c r="B3600" s="312"/>
      <c r="C3600" s="455"/>
      <c r="D3600" s="370"/>
      <c r="E3600" s="386"/>
      <c r="F3600" s="387"/>
      <c r="G3600" s="387"/>
      <c r="H3600" s="386"/>
      <c r="I3600" s="386"/>
      <c r="J3600" s="386"/>
      <c r="K3600" s="386"/>
      <c r="L3600" s="386"/>
      <c r="M3600" s="386"/>
      <c r="N3600" s="386"/>
      <c r="O3600" s="386"/>
      <c r="P3600" s="386"/>
      <c r="Q3600" s="386"/>
      <c r="R3600" s="386"/>
      <c r="S3600" s="386"/>
      <c r="T3600" s="386"/>
      <c r="U3600" s="387"/>
      <c r="V3600" s="386"/>
      <c r="W3600" s="386"/>
      <c r="X3600" s="386"/>
      <c r="Y3600" s="387"/>
      <c r="Z3600" s="387"/>
      <c r="AA3600" s="386"/>
      <c r="AB3600" s="386"/>
      <c r="AC3600" s="386"/>
      <c r="AD3600" s="386"/>
      <c r="AE3600" s="386"/>
      <c r="AF3600" s="386"/>
      <c r="AG3600" s="386"/>
      <c r="AH3600" s="386"/>
      <c r="AI3600" s="386"/>
      <c r="AJ3600" s="386"/>
      <c r="AK3600" s="386"/>
      <c r="AL3600" s="386"/>
      <c r="AM3600" s="386"/>
      <c r="AN3600" s="387"/>
      <c r="AO3600" s="386"/>
      <c r="AP3600" s="386"/>
      <c r="AQ3600" s="386"/>
      <c r="AR3600" s="387"/>
      <c r="AS3600" s="387"/>
      <c r="AT3600" s="386"/>
      <c r="AU3600" s="386"/>
      <c r="AV3600" s="386"/>
      <c r="AW3600" s="386"/>
      <c r="AX3600" s="386"/>
      <c r="AY3600" s="386"/>
      <c r="AZ3600" s="386"/>
      <c r="BA3600" s="386"/>
      <c r="BB3600" s="386"/>
      <c r="BC3600" s="386"/>
      <c r="BD3600" s="386"/>
      <c r="BE3600" s="386"/>
      <c r="BF3600" s="386"/>
      <c r="BG3600" s="387"/>
      <c r="BH3600" s="386"/>
      <c r="BI3600" s="386"/>
    </row>
    <row r="3601" spans="1:61" s="46" customFormat="1" x14ac:dyDescent="0.3">
      <c r="A3601" s="317"/>
      <c r="B3601" s="312"/>
      <c r="C3601" s="455"/>
      <c r="D3601" s="370"/>
      <c r="E3601" s="386"/>
      <c r="F3601" s="387"/>
      <c r="G3601" s="387"/>
      <c r="H3601" s="386"/>
      <c r="I3601" s="386"/>
      <c r="J3601" s="386"/>
      <c r="K3601" s="386"/>
      <c r="L3601" s="386"/>
      <c r="M3601" s="386"/>
      <c r="N3601" s="386"/>
      <c r="O3601" s="386"/>
      <c r="P3601" s="386"/>
      <c r="Q3601" s="386"/>
      <c r="R3601" s="386"/>
      <c r="S3601" s="386"/>
      <c r="T3601" s="386"/>
      <c r="U3601" s="387"/>
      <c r="V3601" s="386"/>
      <c r="W3601" s="386"/>
      <c r="X3601" s="386"/>
      <c r="Y3601" s="387"/>
      <c r="Z3601" s="387"/>
      <c r="AA3601" s="386"/>
      <c r="AB3601" s="386"/>
      <c r="AC3601" s="386"/>
      <c r="AD3601" s="386"/>
      <c r="AE3601" s="386"/>
      <c r="AF3601" s="386"/>
      <c r="AG3601" s="386"/>
      <c r="AH3601" s="386"/>
      <c r="AI3601" s="386"/>
      <c r="AJ3601" s="386"/>
      <c r="AK3601" s="386"/>
      <c r="AL3601" s="386"/>
      <c r="AM3601" s="386"/>
      <c r="AN3601" s="387"/>
      <c r="AO3601" s="386"/>
      <c r="AP3601" s="386"/>
      <c r="AQ3601" s="386"/>
      <c r="AR3601" s="387"/>
      <c r="AS3601" s="387"/>
      <c r="AT3601" s="386"/>
      <c r="AU3601" s="386"/>
      <c r="AV3601" s="386"/>
      <c r="AW3601" s="386"/>
      <c r="AX3601" s="386"/>
      <c r="AY3601" s="386"/>
      <c r="AZ3601" s="386"/>
      <c r="BA3601" s="386"/>
      <c r="BB3601" s="386"/>
      <c r="BC3601" s="386"/>
      <c r="BD3601" s="386"/>
      <c r="BE3601" s="386"/>
      <c r="BF3601" s="386"/>
      <c r="BG3601" s="387"/>
      <c r="BH3601" s="386"/>
      <c r="BI3601" s="386"/>
    </row>
    <row r="3602" spans="1:61" s="46" customFormat="1" x14ac:dyDescent="0.3">
      <c r="A3602" s="317"/>
      <c r="B3602" s="312"/>
      <c r="C3602" s="455"/>
      <c r="D3602" s="370"/>
      <c r="E3602" s="386"/>
      <c r="F3602" s="387"/>
      <c r="G3602" s="387"/>
      <c r="H3602" s="386"/>
      <c r="I3602" s="386"/>
      <c r="J3602" s="386"/>
      <c r="K3602" s="386"/>
      <c r="L3602" s="386"/>
      <c r="M3602" s="386"/>
      <c r="N3602" s="386"/>
      <c r="O3602" s="386"/>
      <c r="P3602" s="386"/>
      <c r="Q3602" s="386"/>
      <c r="R3602" s="386"/>
      <c r="S3602" s="386"/>
      <c r="T3602" s="386"/>
      <c r="U3602" s="387"/>
      <c r="V3602" s="386"/>
      <c r="W3602" s="386"/>
      <c r="X3602" s="386"/>
      <c r="Y3602" s="387"/>
      <c r="Z3602" s="387"/>
      <c r="AA3602" s="386"/>
      <c r="AB3602" s="386"/>
      <c r="AC3602" s="386"/>
      <c r="AD3602" s="386"/>
      <c r="AE3602" s="386"/>
      <c r="AF3602" s="386"/>
      <c r="AG3602" s="386"/>
      <c r="AH3602" s="386"/>
      <c r="AI3602" s="386"/>
      <c r="AJ3602" s="386"/>
      <c r="AK3602" s="386"/>
      <c r="AL3602" s="386"/>
      <c r="AM3602" s="386"/>
      <c r="AN3602" s="387"/>
      <c r="AO3602" s="386"/>
      <c r="AP3602" s="386"/>
      <c r="AQ3602" s="386"/>
      <c r="AR3602" s="387"/>
      <c r="AS3602" s="387"/>
      <c r="AT3602" s="386"/>
      <c r="AU3602" s="386"/>
      <c r="AV3602" s="386"/>
      <c r="AW3602" s="386"/>
      <c r="AX3602" s="386"/>
      <c r="AY3602" s="386"/>
      <c r="AZ3602" s="386"/>
      <c r="BA3602" s="386"/>
      <c r="BB3602" s="386"/>
      <c r="BC3602" s="386"/>
      <c r="BD3602" s="386"/>
      <c r="BE3602" s="386"/>
      <c r="BF3602" s="386"/>
      <c r="BG3602" s="387"/>
      <c r="BH3602" s="386"/>
      <c r="BI3602" s="386"/>
    </row>
    <row r="3603" spans="1:61" s="46" customFormat="1" x14ac:dyDescent="0.3">
      <c r="A3603" s="317"/>
      <c r="B3603" s="312"/>
      <c r="C3603" s="455"/>
      <c r="D3603" s="370"/>
      <c r="E3603" s="386"/>
      <c r="F3603" s="387"/>
      <c r="G3603" s="387"/>
      <c r="H3603" s="386"/>
      <c r="I3603" s="386"/>
      <c r="J3603" s="386"/>
      <c r="K3603" s="386"/>
      <c r="L3603" s="386"/>
      <c r="M3603" s="386"/>
      <c r="N3603" s="386"/>
      <c r="O3603" s="386"/>
      <c r="P3603" s="386"/>
      <c r="Q3603" s="386"/>
      <c r="R3603" s="386"/>
      <c r="S3603" s="386"/>
      <c r="T3603" s="386"/>
      <c r="U3603" s="387"/>
      <c r="V3603" s="386"/>
      <c r="W3603" s="386"/>
      <c r="X3603" s="386"/>
      <c r="Y3603" s="387"/>
      <c r="Z3603" s="387"/>
      <c r="AA3603" s="386"/>
      <c r="AB3603" s="386"/>
      <c r="AC3603" s="386"/>
      <c r="AD3603" s="386"/>
      <c r="AE3603" s="386"/>
      <c r="AF3603" s="386"/>
      <c r="AG3603" s="386"/>
      <c r="AH3603" s="386"/>
      <c r="AI3603" s="386"/>
      <c r="AJ3603" s="386"/>
      <c r="AK3603" s="386"/>
      <c r="AL3603" s="386"/>
      <c r="AM3603" s="386"/>
      <c r="AN3603" s="387"/>
      <c r="AO3603" s="386"/>
      <c r="AP3603" s="386"/>
      <c r="AQ3603" s="386"/>
      <c r="AR3603" s="387"/>
      <c r="AS3603" s="387"/>
      <c r="AT3603" s="386"/>
      <c r="AU3603" s="386"/>
      <c r="AV3603" s="386"/>
      <c r="AW3603" s="386"/>
      <c r="AX3603" s="386"/>
      <c r="AY3603" s="386"/>
      <c r="AZ3603" s="386"/>
      <c r="BA3603" s="386"/>
      <c r="BB3603" s="386"/>
      <c r="BC3603" s="386"/>
      <c r="BD3603" s="386"/>
      <c r="BE3603" s="386"/>
      <c r="BF3603" s="386"/>
      <c r="BG3603" s="387"/>
      <c r="BH3603" s="386"/>
      <c r="BI3603" s="386"/>
    </row>
    <row r="3604" spans="1:61" s="46" customFormat="1" x14ac:dyDescent="0.3">
      <c r="A3604" s="317"/>
      <c r="B3604" s="312"/>
      <c r="C3604" s="455"/>
      <c r="D3604" s="370"/>
      <c r="E3604" s="386"/>
      <c r="F3604" s="387"/>
      <c r="G3604" s="387"/>
      <c r="H3604" s="386"/>
      <c r="I3604" s="386"/>
      <c r="J3604" s="386"/>
      <c r="K3604" s="386"/>
      <c r="L3604" s="386"/>
      <c r="M3604" s="386"/>
      <c r="N3604" s="386"/>
      <c r="O3604" s="386"/>
      <c r="P3604" s="386"/>
      <c r="Q3604" s="386"/>
      <c r="R3604" s="386"/>
      <c r="S3604" s="386"/>
      <c r="T3604" s="386"/>
      <c r="U3604" s="387"/>
      <c r="V3604" s="386"/>
      <c r="W3604" s="386"/>
      <c r="X3604" s="386"/>
      <c r="Y3604" s="387"/>
      <c r="Z3604" s="387"/>
      <c r="AA3604" s="386"/>
      <c r="AB3604" s="386"/>
      <c r="AC3604" s="386"/>
      <c r="AD3604" s="386"/>
      <c r="AE3604" s="386"/>
      <c r="AF3604" s="386"/>
      <c r="AG3604" s="386"/>
      <c r="AH3604" s="386"/>
      <c r="AI3604" s="386"/>
      <c r="AJ3604" s="386"/>
      <c r="AK3604" s="386"/>
      <c r="AL3604" s="386"/>
      <c r="AM3604" s="386"/>
      <c r="AN3604" s="387"/>
      <c r="AO3604" s="386"/>
      <c r="AP3604" s="386"/>
      <c r="AQ3604" s="386"/>
      <c r="AR3604" s="387"/>
      <c r="AS3604" s="387"/>
      <c r="AT3604" s="386"/>
      <c r="AU3604" s="386"/>
      <c r="AV3604" s="386"/>
      <c r="AW3604" s="386"/>
      <c r="AX3604" s="386"/>
      <c r="AY3604" s="386"/>
      <c r="AZ3604" s="386"/>
      <c r="BA3604" s="386"/>
      <c r="BB3604" s="386"/>
      <c r="BC3604" s="386"/>
      <c r="BD3604" s="386"/>
      <c r="BE3604" s="386"/>
      <c r="BF3604" s="386"/>
      <c r="BG3604" s="387"/>
      <c r="BH3604" s="386"/>
      <c r="BI3604" s="386"/>
    </row>
    <row r="3605" spans="1:61" s="46" customFormat="1" x14ac:dyDescent="0.3">
      <c r="A3605" s="317"/>
      <c r="B3605" s="312"/>
      <c r="C3605" s="455"/>
      <c r="D3605" s="370"/>
      <c r="E3605" s="386"/>
      <c r="F3605" s="387"/>
      <c r="G3605" s="387"/>
      <c r="H3605" s="386"/>
      <c r="I3605" s="386"/>
      <c r="J3605" s="386"/>
      <c r="K3605" s="386"/>
      <c r="L3605" s="386"/>
      <c r="M3605" s="386"/>
      <c r="N3605" s="386"/>
      <c r="O3605" s="386"/>
      <c r="P3605" s="386"/>
      <c r="Q3605" s="386"/>
      <c r="R3605" s="386"/>
      <c r="S3605" s="386"/>
      <c r="T3605" s="386"/>
      <c r="U3605" s="387"/>
      <c r="V3605" s="386"/>
      <c r="W3605" s="386"/>
      <c r="X3605" s="386"/>
      <c r="Y3605" s="387"/>
      <c r="Z3605" s="387"/>
      <c r="AA3605" s="386"/>
      <c r="AB3605" s="386"/>
      <c r="AC3605" s="386"/>
      <c r="AD3605" s="386"/>
      <c r="AE3605" s="386"/>
      <c r="AF3605" s="386"/>
      <c r="AG3605" s="386"/>
      <c r="AH3605" s="386"/>
      <c r="AI3605" s="386"/>
      <c r="AJ3605" s="386"/>
      <c r="AK3605" s="386"/>
      <c r="AL3605" s="386"/>
      <c r="AM3605" s="386"/>
      <c r="AN3605" s="387"/>
      <c r="AO3605" s="386"/>
      <c r="AP3605" s="386"/>
      <c r="AQ3605" s="386"/>
      <c r="AR3605" s="387"/>
      <c r="AS3605" s="387"/>
      <c r="AT3605" s="386"/>
      <c r="AU3605" s="386"/>
      <c r="AV3605" s="386"/>
      <c r="AW3605" s="386"/>
      <c r="AX3605" s="386"/>
      <c r="AY3605" s="386"/>
      <c r="AZ3605" s="386"/>
      <c r="BA3605" s="386"/>
      <c r="BB3605" s="386"/>
      <c r="BC3605" s="386"/>
      <c r="BD3605" s="386"/>
      <c r="BE3605" s="386"/>
      <c r="BF3605" s="386"/>
      <c r="BG3605" s="387"/>
      <c r="BH3605" s="386"/>
      <c r="BI3605" s="386"/>
    </row>
    <row r="3606" spans="1:61" s="46" customFormat="1" x14ac:dyDescent="0.3">
      <c r="A3606" s="317"/>
      <c r="B3606" s="312"/>
      <c r="C3606" s="455"/>
      <c r="D3606" s="370"/>
      <c r="E3606" s="386"/>
      <c r="F3606" s="387"/>
      <c r="G3606" s="387"/>
      <c r="H3606" s="386"/>
      <c r="I3606" s="386"/>
      <c r="J3606" s="386"/>
      <c r="K3606" s="386"/>
      <c r="L3606" s="386"/>
      <c r="M3606" s="386"/>
      <c r="N3606" s="386"/>
      <c r="O3606" s="386"/>
      <c r="P3606" s="386"/>
      <c r="Q3606" s="386"/>
      <c r="R3606" s="386"/>
      <c r="S3606" s="386"/>
      <c r="T3606" s="386"/>
      <c r="U3606" s="387"/>
      <c r="V3606" s="386"/>
      <c r="W3606" s="386"/>
      <c r="X3606" s="386"/>
      <c r="Y3606" s="387"/>
      <c r="Z3606" s="387"/>
      <c r="AA3606" s="386"/>
      <c r="AB3606" s="386"/>
      <c r="AC3606" s="386"/>
      <c r="AD3606" s="386"/>
      <c r="AE3606" s="386"/>
      <c r="AF3606" s="386"/>
      <c r="AG3606" s="386"/>
      <c r="AH3606" s="386"/>
      <c r="AI3606" s="386"/>
      <c r="AJ3606" s="386"/>
      <c r="AK3606" s="386"/>
      <c r="AL3606" s="386"/>
      <c r="AM3606" s="386"/>
      <c r="AN3606" s="387"/>
      <c r="AO3606" s="386"/>
      <c r="AP3606" s="386"/>
      <c r="AQ3606" s="386"/>
      <c r="AR3606" s="387"/>
      <c r="AS3606" s="387"/>
      <c r="AT3606" s="386"/>
      <c r="AU3606" s="386"/>
      <c r="AV3606" s="386"/>
      <c r="AW3606" s="386"/>
      <c r="AX3606" s="386"/>
      <c r="AY3606" s="386"/>
      <c r="AZ3606" s="386"/>
      <c r="BA3606" s="386"/>
      <c r="BB3606" s="386"/>
      <c r="BC3606" s="386"/>
      <c r="BD3606" s="386"/>
      <c r="BE3606" s="386"/>
      <c r="BF3606" s="386"/>
      <c r="BG3606" s="387"/>
      <c r="BH3606" s="386"/>
      <c r="BI3606" s="386"/>
    </row>
    <row r="3607" spans="1:61" s="46" customFormat="1" x14ac:dyDescent="0.3">
      <c r="A3607" s="317"/>
      <c r="B3607" s="312"/>
      <c r="C3607" s="455"/>
      <c r="D3607" s="370"/>
      <c r="E3607" s="386"/>
      <c r="F3607" s="387"/>
      <c r="G3607" s="387"/>
      <c r="H3607" s="386"/>
      <c r="I3607" s="386"/>
      <c r="J3607" s="386"/>
      <c r="K3607" s="386"/>
      <c r="L3607" s="386"/>
      <c r="M3607" s="386"/>
      <c r="N3607" s="386"/>
      <c r="O3607" s="386"/>
      <c r="P3607" s="386"/>
      <c r="Q3607" s="386"/>
      <c r="R3607" s="386"/>
      <c r="S3607" s="386"/>
      <c r="T3607" s="386"/>
      <c r="U3607" s="387"/>
      <c r="V3607" s="386"/>
      <c r="W3607" s="386"/>
      <c r="X3607" s="386"/>
      <c r="Y3607" s="387"/>
      <c r="Z3607" s="387"/>
      <c r="AA3607" s="386"/>
      <c r="AB3607" s="386"/>
      <c r="AC3607" s="386"/>
      <c r="AD3607" s="386"/>
      <c r="AE3607" s="386"/>
      <c r="AF3607" s="386"/>
      <c r="AG3607" s="386"/>
      <c r="AH3607" s="386"/>
      <c r="AI3607" s="386"/>
      <c r="AJ3607" s="386"/>
      <c r="AK3607" s="386"/>
      <c r="AL3607" s="386"/>
      <c r="AM3607" s="386"/>
      <c r="AN3607" s="387"/>
      <c r="AO3607" s="386"/>
      <c r="AP3607" s="386"/>
      <c r="AQ3607" s="386"/>
      <c r="AR3607" s="387"/>
      <c r="AS3607" s="387"/>
      <c r="AT3607" s="386"/>
      <c r="AU3607" s="386"/>
      <c r="AV3607" s="386"/>
      <c r="AW3607" s="386"/>
      <c r="AX3607" s="386"/>
      <c r="AY3607" s="386"/>
      <c r="AZ3607" s="386"/>
      <c r="BA3607" s="386"/>
      <c r="BB3607" s="386"/>
      <c r="BC3607" s="386"/>
      <c r="BD3607" s="386"/>
      <c r="BE3607" s="386"/>
      <c r="BF3607" s="386"/>
      <c r="BG3607" s="387"/>
      <c r="BH3607" s="386"/>
      <c r="BI3607" s="386"/>
    </row>
    <row r="3608" spans="1:61" s="46" customFormat="1" x14ac:dyDescent="0.3">
      <c r="A3608" s="317"/>
      <c r="B3608" s="312"/>
      <c r="C3608" s="455"/>
      <c r="D3608" s="370"/>
      <c r="E3608" s="386"/>
      <c r="F3608" s="387"/>
      <c r="G3608" s="387"/>
      <c r="H3608" s="386"/>
      <c r="I3608" s="386"/>
      <c r="J3608" s="386"/>
      <c r="K3608" s="386"/>
      <c r="L3608" s="386"/>
      <c r="M3608" s="386"/>
      <c r="N3608" s="386"/>
      <c r="O3608" s="386"/>
      <c r="P3608" s="386"/>
      <c r="Q3608" s="386"/>
      <c r="R3608" s="386"/>
      <c r="S3608" s="386"/>
      <c r="T3608" s="386"/>
      <c r="U3608" s="387"/>
      <c r="V3608" s="386"/>
      <c r="W3608" s="386"/>
      <c r="X3608" s="386"/>
      <c r="Y3608" s="387"/>
      <c r="Z3608" s="387"/>
      <c r="AA3608" s="386"/>
      <c r="AB3608" s="386"/>
      <c r="AC3608" s="386"/>
      <c r="AD3608" s="386"/>
      <c r="AE3608" s="386"/>
      <c r="AF3608" s="386"/>
      <c r="AG3608" s="386"/>
      <c r="AH3608" s="386"/>
      <c r="AI3608" s="386"/>
      <c r="AJ3608" s="386"/>
      <c r="AK3608" s="386"/>
      <c r="AL3608" s="386"/>
      <c r="AM3608" s="386"/>
      <c r="AN3608" s="387"/>
      <c r="AO3608" s="386"/>
      <c r="AP3608" s="386"/>
      <c r="AQ3608" s="386"/>
      <c r="AR3608" s="387"/>
      <c r="AS3608" s="387"/>
      <c r="AT3608" s="386"/>
      <c r="AU3608" s="386"/>
      <c r="AV3608" s="386"/>
      <c r="AW3608" s="386"/>
      <c r="AX3608" s="386"/>
      <c r="AY3608" s="386"/>
      <c r="AZ3608" s="386"/>
      <c r="BA3608" s="386"/>
      <c r="BB3608" s="386"/>
      <c r="BC3608" s="386"/>
      <c r="BD3608" s="386"/>
      <c r="BE3608" s="386"/>
      <c r="BF3608" s="386"/>
      <c r="BG3608" s="387"/>
      <c r="BH3608" s="386"/>
      <c r="BI3608" s="386"/>
    </row>
    <row r="3609" spans="1:61" s="46" customFormat="1" x14ac:dyDescent="0.3">
      <c r="A3609" s="317"/>
      <c r="B3609" s="312"/>
      <c r="C3609" s="455"/>
      <c r="D3609" s="370"/>
      <c r="E3609" s="386"/>
      <c r="F3609" s="387"/>
      <c r="G3609" s="387"/>
      <c r="H3609" s="386"/>
      <c r="I3609" s="386"/>
      <c r="J3609" s="386"/>
      <c r="K3609" s="386"/>
      <c r="L3609" s="386"/>
      <c r="M3609" s="386"/>
      <c r="N3609" s="386"/>
      <c r="O3609" s="386"/>
      <c r="P3609" s="386"/>
      <c r="Q3609" s="386"/>
      <c r="R3609" s="386"/>
      <c r="S3609" s="386"/>
      <c r="T3609" s="386"/>
      <c r="U3609" s="387"/>
      <c r="V3609" s="386"/>
      <c r="W3609" s="386"/>
      <c r="X3609" s="386"/>
      <c r="Y3609" s="387"/>
      <c r="Z3609" s="387"/>
      <c r="AA3609" s="386"/>
      <c r="AB3609" s="386"/>
      <c r="AC3609" s="386"/>
      <c r="AD3609" s="386"/>
      <c r="AE3609" s="386"/>
      <c r="AF3609" s="386"/>
      <c r="AG3609" s="386"/>
      <c r="AH3609" s="386"/>
      <c r="AI3609" s="386"/>
      <c r="AJ3609" s="386"/>
      <c r="AK3609" s="386"/>
      <c r="AL3609" s="386"/>
      <c r="AM3609" s="386"/>
      <c r="AN3609" s="387"/>
      <c r="AO3609" s="386"/>
      <c r="AP3609" s="386"/>
      <c r="AQ3609" s="386"/>
      <c r="AR3609" s="387"/>
      <c r="AS3609" s="387"/>
      <c r="AT3609" s="386"/>
      <c r="AU3609" s="386"/>
      <c r="AV3609" s="386"/>
      <c r="AW3609" s="386"/>
      <c r="AX3609" s="386"/>
      <c r="AY3609" s="386"/>
      <c r="AZ3609" s="386"/>
      <c r="BA3609" s="386"/>
      <c r="BB3609" s="386"/>
      <c r="BC3609" s="386"/>
      <c r="BD3609" s="386"/>
      <c r="BE3609" s="386"/>
      <c r="BF3609" s="386"/>
      <c r="BG3609" s="387"/>
      <c r="BH3609" s="386"/>
      <c r="BI3609" s="386"/>
    </row>
    <row r="3610" spans="1:61" s="46" customFormat="1" x14ac:dyDescent="0.3">
      <c r="A3610" s="317"/>
      <c r="B3610" s="312"/>
      <c r="C3610" s="455"/>
      <c r="D3610" s="370"/>
      <c r="E3610" s="386"/>
      <c r="F3610" s="387"/>
      <c r="G3610" s="387"/>
      <c r="H3610" s="386"/>
      <c r="I3610" s="386"/>
      <c r="J3610" s="386"/>
      <c r="K3610" s="386"/>
      <c r="L3610" s="386"/>
      <c r="M3610" s="386"/>
      <c r="N3610" s="386"/>
      <c r="O3610" s="386"/>
      <c r="P3610" s="386"/>
      <c r="Q3610" s="386"/>
      <c r="R3610" s="386"/>
      <c r="S3610" s="386"/>
      <c r="T3610" s="386"/>
      <c r="U3610" s="387"/>
      <c r="V3610" s="386"/>
      <c r="W3610" s="386"/>
      <c r="X3610" s="386"/>
      <c r="Y3610" s="387"/>
      <c r="Z3610" s="387"/>
      <c r="AA3610" s="386"/>
      <c r="AB3610" s="386"/>
      <c r="AC3610" s="386"/>
      <c r="AD3610" s="386"/>
      <c r="AE3610" s="386"/>
      <c r="AF3610" s="386"/>
      <c r="AG3610" s="386"/>
      <c r="AH3610" s="386"/>
      <c r="AI3610" s="386"/>
      <c r="AJ3610" s="386"/>
      <c r="AK3610" s="386"/>
      <c r="AL3610" s="386"/>
      <c r="AM3610" s="386"/>
      <c r="AN3610" s="387"/>
      <c r="AO3610" s="386"/>
      <c r="AP3610" s="386"/>
      <c r="AQ3610" s="386"/>
      <c r="AR3610" s="387"/>
      <c r="AS3610" s="387"/>
      <c r="AT3610" s="386"/>
      <c r="AU3610" s="386"/>
      <c r="AV3610" s="386"/>
      <c r="AW3610" s="386"/>
      <c r="AX3610" s="386"/>
      <c r="AY3610" s="386"/>
      <c r="AZ3610" s="386"/>
      <c r="BA3610" s="386"/>
      <c r="BB3610" s="386"/>
      <c r="BC3610" s="386"/>
      <c r="BD3610" s="386"/>
      <c r="BE3610" s="386"/>
      <c r="BF3610" s="386"/>
      <c r="BG3610" s="387"/>
      <c r="BH3610" s="386"/>
      <c r="BI3610" s="386"/>
    </row>
    <row r="3611" spans="1:61" s="46" customFormat="1" x14ac:dyDescent="0.3">
      <c r="A3611" s="317"/>
      <c r="B3611" s="312"/>
      <c r="C3611" s="455"/>
      <c r="D3611" s="370"/>
      <c r="E3611" s="386"/>
      <c r="F3611" s="387"/>
      <c r="G3611" s="387"/>
      <c r="H3611" s="386"/>
      <c r="I3611" s="386"/>
      <c r="J3611" s="386"/>
      <c r="K3611" s="386"/>
      <c r="L3611" s="386"/>
      <c r="M3611" s="386"/>
      <c r="N3611" s="386"/>
      <c r="O3611" s="386"/>
      <c r="P3611" s="386"/>
      <c r="Q3611" s="386"/>
      <c r="R3611" s="386"/>
      <c r="S3611" s="386"/>
      <c r="T3611" s="386"/>
      <c r="U3611" s="387"/>
      <c r="V3611" s="386"/>
      <c r="W3611" s="386"/>
      <c r="X3611" s="386"/>
      <c r="Y3611" s="387"/>
      <c r="Z3611" s="387"/>
      <c r="AA3611" s="386"/>
      <c r="AB3611" s="386"/>
      <c r="AC3611" s="386"/>
      <c r="AD3611" s="386"/>
      <c r="AE3611" s="386"/>
      <c r="AF3611" s="386"/>
      <c r="AG3611" s="386"/>
      <c r="AH3611" s="386"/>
      <c r="AI3611" s="386"/>
      <c r="AJ3611" s="386"/>
      <c r="AK3611" s="386"/>
      <c r="AL3611" s="386"/>
      <c r="AM3611" s="386"/>
      <c r="AN3611" s="387"/>
      <c r="AO3611" s="386"/>
      <c r="AP3611" s="386"/>
      <c r="AQ3611" s="386"/>
      <c r="AR3611" s="387"/>
      <c r="AS3611" s="387"/>
      <c r="AT3611" s="386"/>
      <c r="AU3611" s="386"/>
      <c r="AV3611" s="386"/>
      <c r="AW3611" s="386"/>
      <c r="AX3611" s="386"/>
      <c r="AY3611" s="386"/>
      <c r="AZ3611" s="386"/>
      <c r="BA3611" s="386"/>
      <c r="BB3611" s="386"/>
      <c r="BC3611" s="386"/>
      <c r="BD3611" s="386"/>
      <c r="BE3611" s="386"/>
      <c r="BF3611" s="386"/>
      <c r="BG3611" s="387"/>
      <c r="BH3611" s="386"/>
      <c r="BI3611" s="386"/>
    </row>
    <row r="3612" spans="1:61" s="46" customFormat="1" x14ac:dyDescent="0.3">
      <c r="A3612" s="317"/>
      <c r="B3612" s="312"/>
      <c r="C3612" s="455"/>
      <c r="D3612" s="370"/>
      <c r="E3612" s="386"/>
      <c r="F3612" s="387"/>
      <c r="G3612" s="387"/>
      <c r="H3612" s="386"/>
      <c r="I3612" s="386"/>
      <c r="J3612" s="386"/>
      <c r="K3612" s="386"/>
      <c r="L3612" s="386"/>
      <c r="M3612" s="386"/>
      <c r="N3612" s="386"/>
      <c r="O3612" s="386"/>
      <c r="P3612" s="386"/>
      <c r="Q3612" s="386"/>
      <c r="R3612" s="386"/>
      <c r="S3612" s="386"/>
      <c r="T3612" s="386"/>
      <c r="U3612" s="387"/>
      <c r="V3612" s="386"/>
      <c r="W3612" s="386"/>
      <c r="X3612" s="386"/>
      <c r="Y3612" s="387"/>
      <c r="Z3612" s="387"/>
      <c r="AA3612" s="386"/>
      <c r="AB3612" s="386"/>
      <c r="AC3612" s="386"/>
      <c r="AD3612" s="386"/>
      <c r="AE3612" s="386"/>
      <c r="AF3612" s="386"/>
      <c r="AG3612" s="386"/>
      <c r="AH3612" s="386"/>
      <c r="AI3612" s="386"/>
      <c r="AJ3612" s="386"/>
      <c r="AK3612" s="386"/>
      <c r="AL3612" s="386"/>
      <c r="AM3612" s="386"/>
      <c r="AN3612" s="387"/>
      <c r="AO3612" s="386"/>
      <c r="AP3612" s="386"/>
      <c r="AQ3612" s="386"/>
      <c r="AR3612" s="387"/>
      <c r="AS3612" s="387"/>
      <c r="AT3612" s="386"/>
      <c r="AU3612" s="386"/>
      <c r="AV3612" s="386"/>
      <c r="AW3612" s="386"/>
      <c r="AX3612" s="386"/>
      <c r="AY3612" s="386"/>
      <c r="AZ3612" s="386"/>
      <c r="BA3612" s="386"/>
      <c r="BB3612" s="386"/>
      <c r="BC3612" s="386"/>
      <c r="BD3612" s="386"/>
      <c r="BE3612" s="386"/>
      <c r="BF3612" s="386"/>
      <c r="BG3612" s="387"/>
      <c r="BH3612" s="386"/>
      <c r="BI3612" s="386"/>
    </row>
    <row r="3613" spans="1:61" s="46" customFormat="1" x14ac:dyDescent="0.3">
      <c r="A3613" s="317"/>
      <c r="B3613" s="312"/>
      <c r="C3613" s="455"/>
      <c r="D3613" s="370"/>
      <c r="E3613" s="386"/>
      <c r="F3613" s="387"/>
      <c r="G3613" s="387"/>
      <c r="H3613" s="386"/>
      <c r="I3613" s="386"/>
      <c r="J3613" s="386"/>
      <c r="K3613" s="386"/>
      <c r="L3613" s="386"/>
      <c r="M3613" s="386"/>
      <c r="N3613" s="386"/>
      <c r="O3613" s="386"/>
      <c r="P3613" s="386"/>
      <c r="Q3613" s="386"/>
      <c r="R3613" s="386"/>
      <c r="S3613" s="386"/>
      <c r="T3613" s="386"/>
      <c r="U3613" s="387"/>
      <c r="V3613" s="386"/>
      <c r="W3613" s="386"/>
      <c r="X3613" s="386"/>
      <c r="Y3613" s="387"/>
      <c r="Z3613" s="387"/>
      <c r="AA3613" s="386"/>
      <c r="AB3613" s="386"/>
      <c r="AC3613" s="386"/>
      <c r="AD3613" s="386"/>
      <c r="AE3613" s="386"/>
      <c r="AF3613" s="386"/>
      <c r="AG3613" s="386"/>
      <c r="AH3613" s="386"/>
      <c r="AI3613" s="386"/>
      <c r="AJ3613" s="386"/>
      <c r="AK3613" s="386"/>
      <c r="AL3613" s="386"/>
      <c r="AM3613" s="386"/>
      <c r="AN3613" s="387"/>
      <c r="AO3613" s="386"/>
      <c r="AP3613" s="386"/>
      <c r="AQ3613" s="386"/>
      <c r="AR3613" s="387"/>
      <c r="AS3613" s="387"/>
      <c r="AT3613" s="386"/>
      <c r="AU3613" s="386"/>
      <c r="AV3613" s="386"/>
      <c r="AW3613" s="386"/>
      <c r="AX3613" s="386"/>
      <c r="AY3613" s="386"/>
      <c r="AZ3613" s="386"/>
      <c r="BA3613" s="386"/>
      <c r="BB3613" s="386"/>
      <c r="BC3613" s="386"/>
      <c r="BD3613" s="386"/>
      <c r="BE3613" s="386"/>
      <c r="BF3613" s="386"/>
      <c r="BG3613" s="387"/>
      <c r="BH3613" s="386"/>
      <c r="BI3613" s="386"/>
    </row>
    <row r="3614" spans="1:61" s="46" customFormat="1" x14ac:dyDescent="0.3">
      <c r="A3614" s="317"/>
      <c r="B3614" s="312"/>
      <c r="C3614" s="455"/>
      <c r="D3614" s="370"/>
      <c r="E3614" s="386"/>
      <c r="F3614" s="387"/>
      <c r="G3614" s="387"/>
      <c r="H3614" s="386"/>
      <c r="I3614" s="386"/>
      <c r="J3614" s="386"/>
      <c r="K3614" s="386"/>
      <c r="L3614" s="386"/>
      <c r="M3614" s="386"/>
      <c r="N3614" s="386"/>
      <c r="O3614" s="386"/>
      <c r="P3614" s="386"/>
      <c r="Q3614" s="386"/>
      <c r="R3614" s="386"/>
      <c r="S3614" s="386"/>
      <c r="T3614" s="386"/>
      <c r="U3614" s="387"/>
      <c r="V3614" s="386"/>
      <c r="W3614" s="386"/>
      <c r="X3614" s="386"/>
      <c r="Y3614" s="387"/>
      <c r="Z3614" s="387"/>
      <c r="AA3614" s="386"/>
      <c r="AB3614" s="386"/>
      <c r="AC3614" s="386"/>
      <c r="AD3614" s="386"/>
      <c r="AE3614" s="386"/>
      <c r="AF3614" s="386"/>
      <c r="AG3614" s="386"/>
      <c r="AH3614" s="386"/>
      <c r="AI3614" s="386"/>
      <c r="AJ3614" s="386"/>
      <c r="AK3614" s="386"/>
      <c r="AL3614" s="386"/>
      <c r="AM3614" s="386"/>
      <c r="AN3614" s="387"/>
      <c r="AO3614" s="386"/>
      <c r="AP3614" s="386"/>
      <c r="AQ3614" s="386"/>
      <c r="AR3614" s="387"/>
      <c r="AS3614" s="387"/>
      <c r="AT3614" s="386"/>
      <c r="AU3614" s="386"/>
      <c r="AV3614" s="386"/>
      <c r="AW3614" s="386"/>
      <c r="AX3614" s="386"/>
      <c r="AY3614" s="386"/>
      <c r="AZ3614" s="386"/>
      <c r="BA3614" s="386"/>
      <c r="BB3614" s="386"/>
      <c r="BC3614" s="386"/>
      <c r="BD3614" s="386"/>
      <c r="BE3614" s="386"/>
      <c r="BF3614" s="386"/>
      <c r="BG3614" s="387"/>
      <c r="BH3614" s="386"/>
      <c r="BI3614" s="386"/>
    </row>
    <row r="3615" spans="1:61" s="46" customFormat="1" x14ac:dyDescent="0.3">
      <c r="A3615" s="317"/>
      <c r="B3615" s="312"/>
      <c r="C3615" s="455"/>
      <c r="D3615" s="370"/>
      <c r="E3615" s="386"/>
      <c r="F3615" s="387"/>
      <c r="G3615" s="387"/>
      <c r="H3615" s="386"/>
      <c r="I3615" s="386"/>
      <c r="J3615" s="386"/>
      <c r="K3615" s="386"/>
      <c r="L3615" s="386"/>
      <c r="M3615" s="386"/>
      <c r="N3615" s="386"/>
      <c r="O3615" s="386"/>
      <c r="P3615" s="386"/>
      <c r="Q3615" s="386"/>
      <c r="R3615" s="386"/>
      <c r="S3615" s="386"/>
      <c r="T3615" s="386"/>
      <c r="U3615" s="387"/>
      <c r="V3615" s="386"/>
      <c r="W3615" s="386"/>
      <c r="X3615" s="386"/>
      <c r="Y3615" s="387"/>
      <c r="Z3615" s="387"/>
      <c r="AA3615" s="386"/>
      <c r="AB3615" s="386"/>
      <c r="AC3615" s="386"/>
      <c r="AD3615" s="386"/>
      <c r="AE3615" s="386"/>
      <c r="AF3615" s="386"/>
      <c r="AG3615" s="386"/>
      <c r="AH3615" s="386"/>
      <c r="AI3615" s="386"/>
      <c r="AJ3615" s="386"/>
      <c r="AK3615" s="386"/>
      <c r="AL3615" s="386"/>
      <c r="AM3615" s="386"/>
      <c r="AN3615" s="387"/>
      <c r="AO3615" s="386"/>
      <c r="AP3615" s="386"/>
      <c r="AQ3615" s="386"/>
      <c r="AR3615" s="387"/>
      <c r="AS3615" s="387"/>
      <c r="AT3615" s="386"/>
      <c r="AU3615" s="386"/>
      <c r="AV3615" s="386"/>
      <c r="AW3615" s="386"/>
      <c r="AX3615" s="386"/>
      <c r="AY3615" s="386"/>
      <c r="AZ3615" s="386"/>
      <c r="BA3615" s="386"/>
      <c r="BB3615" s="386"/>
      <c r="BC3615" s="386"/>
      <c r="BD3615" s="386"/>
      <c r="BE3615" s="386"/>
      <c r="BF3615" s="386"/>
      <c r="BG3615" s="387"/>
      <c r="BH3615" s="386"/>
      <c r="BI3615" s="386"/>
    </row>
    <row r="3616" spans="1:61" s="46" customFormat="1" x14ac:dyDescent="0.3">
      <c r="A3616" s="317"/>
      <c r="B3616" s="312"/>
      <c r="C3616" s="455"/>
      <c r="D3616" s="370"/>
      <c r="E3616" s="386"/>
      <c r="F3616" s="387"/>
      <c r="G3616" s="387"/>
      <c r="H3616" s="386"/>
      <c r="I3616" s="386"/>
      <c r="J3616" s="386"/>
      <c r="K3616" s="386"/>
      <c r="L3616" s="386"/>
      <c r="M3616" s="386"/>
      <c r="N3616" s="386"/>
      <c r="O3616" s="386"/>
      <c r="P3616" s="386"/>
      <c r="Q3616" s="386"/>
      <c r="R3616" s="386"/>
      <c r="S3616" s="386"/>
      <c r="T3616" s="386"/>
      <c r="U3616" s="387"/>
      <c r="V3616" s="386"/>
      <c r="W3616" s="386"/>
      <c r="X3616" s="386"/>
      <c r="Y3616" s="387"/>
      <c r="Z3616" s="387"/>
      <c r="AA3616" s="386"/>
      <c r="AB3616" s="386"/>
      <c r="AC3616" s="386"/>
      <c r="AD3616" s="386"/>
      <c r="AE3616" s="386"/>
      <c r="AF3616" s="386"/>
      <c r="AG3616" s="386"/>
      <c r="AH3616" s="386"/>
      <c r="AI3616" s="386"/>
      <c r="AJ3616" s="386"/>
      <c r="AK3616" s="386"/>
      <c r="AL3616" s="386"/>
      <c r="AM3616" s="386"/>
      <c r="AN3616" s="387"/>
      <c r="AO3616" s="386"/>
      <c r="AP3616" s="386"/>
      <c r="AQ3616" s="386"/>
      <c r="AR3616" s="387"/>
      <c r="AS3616" s="387"/>
      <c r="AT3616" s="386"/>
      <c r="AU3616" s="386"/>
      <c r="AV3616" s="386"/>
      <c r="AW3616" s="386"/>
      <c r="AX3616" s="386"/>
      <c r="AY3616" s="386"/>
      <c r="AZ3616" s="386"/>
      <c r="BA3616" s="386"/>
      <c r="BB3616" s="386"/>
      <c r="BC3616" s="386"/>
      <c r="BD3616" s="386"/>
      <c r="BE3616" s="386"/>
      <c r="BF3616" s="386"/>
      <c r="BG3616" s="387"/>
      <c r="BH3616" s="386"/>
      <c r="BI3616" s="386"/>
    </row>
    <row r="3617" spans="1:62" s="46" customFormat="1" x14ac:dyDescent="0.3">
      <c r="A3617" s="317"/>
      <c r="B3617" s="312"/>
      <c r="C3617" s="455"/>
      <c r="D3617" s="370"/>
      <c r="E3617" s="386"/>
      <c r="F3617" s="387"/>
      <c r="G3617" s="387"/>
      <c r="H3617" s="386"/>
      <c r="I3617" s="386"/>
      <c r="J3617" s="386"/>
      <c r="K3617" s="386"/>
      <c r="L3617" s="386"/>
      <c r="M3617" s="386"/>
      <c r="N3617" s="386"/>
      <c r="O3617" s="386"/>
      <c r="P3617" s="386"/>
      <c r="Q3617" s="386"/>
      <c r="R3617" s="386"/>
      <c r="S3617" s="386"/>
      <c r="T3617" s="386"/>
      <c r="U3617" s="387"/>
      <c r="V3617" s="386"/>
      <c r="W3617" s="386"/>
      <c r="X3617" s="386"/>
      <c r="Y3617" s="387"/>
      <c r="Z3617" s="387"/>
      <c r="AA3617" s="386"/>
      <c r="AB3617" s="386"/>
      <c r="AC3617" s="386"/>
      <c r="AD3617" s="386"/>
      <c r="AE3617" s="386"/>
      <c r="AF3617" s="386"/>
      <c r="AG3617" s="386"/>
      <c r="AH3617" s="386"/>
      <c r="AI3617" s="386"/>
      <c r="AJ3617" s="386"/>
      <c r="AK3617" s="386"/>
      <c r="AL3617" s="386"/>
      <c r="AM3617" s="386"/>
      <c r="AN3617" s="387"/>
      <c r="AO3617" s="386"/>
      <c r="AP3617" s="386"/>
      <c r="AQ3617" s="386"/>
      <c r="AR3617" s="387"/>
      <c r="AS3617" s="387"/>
      <c r="AT3617" s="386"/>
      <c r="AU3617" s="386"/>
      <c r="AV3617" s="386"/>
      <c r="AW3617" s="386"/>
      <c r="AX3617" s="386"/>
      <c r="AY3617" s="386"/>
      <c r="AZ3617" s="386"/>
      <c r="BA3617" s="386"/>
      <c r="BB3617" s="386"/>
      <c r="BC3617" s="386"/>
      <c r="BD3617" s="386"/>
      <c r="BE3617" s="386"/>
      <c r="BF3617" s="386"/>
      <c r="BG3617" s="387"/>
      <c r="BH3617" s="386"/>
      <c r="BI3617" s="386"/>
    </row>
    <row r="3618" spans="1:62" s="46" customFormat="1" x14ac:dyDescent="0.3">
      <c r="A3618" s="317"/>
      <c r="B3618" s="312"/>
      <c r="C3618" s="455"/>
      <c r="D3618" s="370"/>
      <c r="E3618" s="386"/>
      <c r="F3618" s="387"/>
      <c r="G3618" s="387"/>
      <c r="H3618" s="386"/>
      <c r="I3618" s="386"/>
      <c r="J3618" s="386"/>
      <c r="K3618" s="386"/>
      <c r="L3618" s="386"/>
      <c r="M3618" s="386"/>
      <c r="N3618" s="386"/>
      <c r="O3618" s="386"/>
      <c r="P3618" s="386"/>
      <c r="Q3618" s="386"/>
      <c r="R3618" s="386"/>
      <c r="S3618" s="386"/>
      <c r="T3618" s="386"/>
      <c r="U3618" s="387"/>
      <c r="V3618" s="386"/>
      <c r="W3618" s="386"/>
      <c r="X3618" s="386"/>
      <c r="Y3618" s="387"/>
      <c r="Z3618" s="387"/>
      <c r="AA3618" s="386"/>
      <c r="AB3618" s="386"/>
      <c r="AC3618" s="386"/>
      <c r="AD3618" s="386"/>
      <c r="AE3618" s="386"/>
      <c r="AF3618" s="386"/>
      <c r="AG3618" s="386"/>
      <c r="AH3618" s="386"/>
      <c r="AI3618" s="386"/>
      <c r="AJ3618" s="386"/>
      <c r="AK3618" s="386"/>
      <c r="AL3618" s="386"/>
      <c r="AM3618" s="386"/>
      <c r="AN3618" s="387"/>
      <c r="AO3618" s="386"/>
      <c r="AP3618" s="386"/>
      <c r="AQ3618" s="386"/>
      <c r="AR3618" s="387"/>
      <c r="AS3618" s="387"/>
      <c r="AT3618" s="386"/>
      <c r="AU3618" s="386"/>
      <c r="AV3618" s="386"/>
      <c r="AW3618" s="386"/>
      <c r="AX3618" s="386"/>
      <c r="AY3618" s="386"/>
      <c r="AZ3618" s="386"/>
      <c r="BA3618" s="386"/>
      <c r="BB3618" s="386"/>
      <c r="BC3618" s="386"/>
      <c r="BD3618" s="386"/>
      <c r="BE3618" s="386"/>
      <c r="BF3618" s="386"/>
      <c r="BG3618" s="387"/>
      <c r="BH3618" s="386"/>
      <c r="BI3618" s="386"/>
    </row>
    <row r="3619" spans="1:62" s="46" customFormat="1" x14ac:dyDescent="0.3">
      <c r="A3619" s="317"/>
      <c r="B3619" s="312"/>
      <c r="C3619" s="455"/>
      <c r="D3619" s="370"/>
      <c r="E3619" s="386"/>
      <c r="F3619" s="387"/>
      <c r="G3619" s="387"/>
      <c r="H3619" s="386"/>
      <c r="I3619" s="386"/>
      <c r="J3619" s="386"/>
      <c r="K3619" s="386"/>
      <c r="L3619" s="386"/>
      <c r="M3619" s="386"/>
      <c r="N3619" s="386"/>
      <c r="O3619" s="386"/>
      <c r="P3619" s="386"/>
      <c r="Q3619" s="386"/>
      <c r="R3619" s="386"/>
      <c r="S3619" s="386"/>
      <c r="T3619" s="386"/>
      <c r="U3619" s="387"/>
      <c r="V3619" s="386"/>
      <c r="W3619" s="386"/>
      <c r="X3619" s="386"/>
      <c r="Y3619" s="387"/>
      <c r="Z3619" s="387"/>
      <c r="AA3619" s="386"/>
      <c r="AB3619" s="386"/>
      <c r="AC3619" s="386"/>
      <c r="AD3619" s="386"/>
      <c r="AE3619" s="386"/>
      <c r="AF3619" s="386"/>
      <c r="AG3619" s="386"/>
      <c r="AH3619" s="386"/>
      <c r="AI3619" s="386"/>
      <c r="AJ3619" s="386"/>
      <c r="AK3619" s="386"/>
      <c r="AL3619" s="386"/>
      <c r="AM3619" s="386"/>
      <c r="AN3619" s="387"/>
      <c r="AO3619" s="386"/>
      <c r="AP3619" s="386"/>
      <c r="AQ3619" s="386"/>
      <c r="AR3619" s="387"/>
      <c r="AS3619" s="387"/>
      <c r="AT3619" s="386"/>
      <c r="AU3619" s="386"/>
      <c r="AV3619" s="386"/>
      <c r="AW3619" s="386"/>
      <c r="AX3619" s="386"/>
      <c r="AY3619" s="386"/>
      <c r="AZ3619" s="386"/>
      <c r="BA3619" s="386"/>
      <c r="BB3619" s="386"/>
      <c r="BC3619" s="386"/>
      <c r="BD3619" s="386"/>
      <c r="BE3619" s="386"/>
      <c r="BF3619" s="386"/>
      <c r="BG3619" s="387"/>
      <c r="BH3619" s="386"/>
      <c r="BI3619" s="386"/>
    </row>
    <row r="3620" spans="1:62" s="46" customFormat="1" x14ac:dyDescent="0.3">
      <c r="A3620" s="317"/>
      <c r="B3620" s="312"/>
      <c r="C3620" s="455"/>
      <c r="D3620" s="370"/>
      <c r="E3620" s="386"/>
      <c r="F3620" s="387"/>
      <c r="G3620" s="387"/>
      <c r="H3620" s="386"/>
      <c r="I3620" s="386"/>
      <c r="J3620" s="386"/>
      <c r="K3620" s="386"/>
      <c r="L3620" s="386"/>
      <c r="M3620" s="386"/>
      <c r="N3620" s="386"/>
      <c r="O3620" s="386"/>
      <c r="P3620" s="386"/>
      <c r="Q3620" s="386"/>
      <c r="R3620" s="386"/>
      <c r="S3620" s="386"/>
      <c r="T3620" s="386"/>
      <c r="U3620" s="387"/>
      <c r="V3620" s="386"/>
      <c r="W3620" s="386"/>
      <c r="X3620" s="386"/>
      <c r="Y3620" s="387"/>
      <c r="Z3620" s="387"/>
      <c r="AA3620" s="386"/>
      <c r="AB3620" s="386"/>
      <c r="AC3620" s="386"/>
      <c r="AD3620" s="386"/>
      <c r="AE3620" s="386"/>
      <c r="AF3620" s="386"/>
      <c r="AG3620" s="386"/>
      <c r="AH3620" s="386"/>
      <c r="AI3620" s="386"/>
      <c r="AJ3620" s="386"/>
      <c r="AK3620" s="386"/>
      <c r="AL3620" s="386"/>
      <c r="AM3620" s="386"/>
      <c r="AN3620" s="387"/>
      <c r="AO3620" s="386"/>
      <c r="AP3620" s="386"/>
      <c r="AQ3620" s="386"/>
      <c r="AR3620" s="387"/>
      <c r="AS3620" s="387"/>
      <c r="AT3620" s="386"/>
      <c r="AU3620" s="386"/>
      <c r="AV3620" s="386"/>
      <c r="AW3620" s="386"/>
      <c r="AX3620" s="386"/>
      <c r="AY3620" s="386"/>
      <c r="AZ3620" s="386"/>
      <c r="BA3620" s="386"/>
      <c r="BB3620" s="386"/>
      <c r="BC3620" s="386"/>
      <c r="BD3620" s="386"/>
      <c r="BE3620" s="386"/>
      <c r="BF3620" s="386"/>
      <c r="BG3620" s="387"/>
      <c r="BH3620" s="386"/>
      <c r="BI3620" s="386"/>
    </row>
    <row r="3621" spans="1:62" s="46" customFormat="1" x14ac:dyDescent="0.3">
      <c r="A3621" s="317"/>
      <c r="B3621" s="312"/>
      <c r="C3621" s="455"/>
      <c r="D3621" s="370"/>
      <c r="E3621" s="386"/>
      <c r="F3621" s="387"/>
      <c r="G3621" s="387"/>
      <c r="H3621" s="386"/>
      <c r="I3621" s="386"/>
      <c r="J3621" s="386"/>
      <c r="K3621" s="386"/>
      <c r="L3621" s="386"/>
      <c r="M3621" s="386"/>
      <c r="N3621" s="386"/>
      <c r="O3621" s="386"/>
      <c r="P3621" s="386"/>
      <c r="Q3621" s="386"/>
      <c r="R3621" s="386"/>
      <c r="S3621" s="386"/>
      <c r="T3621" s="386"/>
      <c r="U3621" s="387"/>
      <c r="V3621" s="386"/>
      <c r="W3621" s="386"/>
      <c r="X3621" s="386"/>
      <c r="Y3621" s="387"/>
      <c r="Z3621" s="387"/>
      <c r="AA3621" s="386"/>
      <c r="AB3621" s="386"/>
      <c r="AC3621" s="386"/>
      <c r="AD3621" s="386"/>
      <c r="AE3621" s="386"/>
      <c r="AF3621" s="386"/>
      <c r="AG3621" s="386"/>
      <c r="AH3621" s="386"/>
      <c r="AI3621" s="386"/>
      <c r="AJ3621" s="386"/>
      <c r="AK3621" s="386"/>
      <c r="AL3621" s="386"/>
      <c r="AM3621" s="386"/>
      <c r="AN3621" s="387"/>
      <c r="AO3621" s="386"/>
      <c r="AP3621" s="386"/>
      <c r="AQ3621" s="386"/>
      <c r="AR3621" s="387"/>
      <c r="AS3621" s="387"/>
      <c r="AT3621" s="386"/>
      <c r="AU3621" s="386"/>
      <c r="AV3621" s="386"/>
      <c r="AW3621" s="386"/>
      <c r="AX3621" s="386"/>
      <c r="AY3621" s="386"/>
      <c r="AZ3621" s="386"/>
      <c r="BA3621" s="386"/>
      <c r="BB3621" s="386"/>
      <c r="BC3621" s="386"/>
      <c r="BD3621" s="386"/>
      <c r="BE3621" s="386"/>
      <c r="BF3621" s="386"/>
      <c r="BG3621" s="387"/>
      <c r="BH3621" s="386"/>
      <c r="BI3621" s="386"/>
    </row>
    <row r="3622" spans="1:62" s="46" customFormat="1" x14ac:dyDescent="0.3">
      <c r="A3622" s="317"/>
      <c r="B3622" s="312"/>
      <c r="C3622" s="455"/>
      <c r="D3622" s="370"/>
      <c r="E3622" s="386"/>
      <c r="F3622" s="387"/>
      <c r="G3622" s="387"/>
      <c r="H3622" s="386"/>
      <c r="I3622" s="386"/>
      <c r="J3622" s="386"/>
      <c r="K3622" s="386"/>
      <c r="L3622" s="386"/>
      <c r="M3622" s="386"/>
      <c r="N3622" s="386"/>
      <c r="O3622" s="386"/>
      <c r="P3622" s="386"/>
      <c r="Q3622" s="386"/>
      <c r="R3622" s="386"/>
      <c r="S3622" s="386"/>
      <c r="T3622" s="386"/>
      <c r="U3622" s="387"/>
      <c r="V3622" s="386"/>
      <c r="W3622" s="386"/>
      <c r="X3622" s="386"/>
      <c r="Y3622" s="387"/>
      <c r="Z3622" s="387"/>
      <c r="AA3622" s="386"/>
      <c r="AB3622" s="386"/>
      <c r="AC3622" s="386"/>
      <c r="AD3622" s="386"/>
      <c r="AE3622" s="386"/>
      <c r="AF3622" s="386"/>
      <c r="AG3622" s="386"/>
      <c r="AH3622" s="386"/>
      <c r="AI3622" s="386"/>
      <c r="AJ3622" s="386"/>
      <c r="AK3622" s="386"/>
      <c r="AL3622" s="386"/>
      <c r="AM3622" s="386"/>
      <c r="AN3622" s="387"/>
      <c r="AO3622" s="386"/>
      <c r="AP3622" s="386"/>
      <c r="AQ3622" s="386"/>
      <c r="AR3622" s="387"/>
      <c r="AS3622" s="387"/>
      <c r="AT3622" s="386"/>
      <c r="AU3622" s="386"/>
      <c r="AV3622" s="386"/>
      <c r="AW3622" s="386"/>
      <c r="AX3622" s="386"/>
      <c r="AY3622" s="386"/>
      <c r="AZ3622" s="386"/>
      <c r="BA3622" s="386"/>
      <c r="BB3622" s="386"/>
      <c r="BC3622" s="386"/>
      <c r="BD3622" s="386"/>
      <c r="BE3622" s="386"/>
      <c r="BF3622" s="386"/>
      <c r="BG3622" s="387"/>
      <c r="BH3622" s="386"/>
      <c r="BI3622" s="386"/>
    </row>
    <row r="3623" spans="1:62" x14ac:dyDescent="0.3">
      <c r="BG3623" s="387"/>
      <c r="BH3623" s="386"/>
      <c r="BI3623" s="386"/>
      <c r="BJ3623" s="46"/>
    </row>
    <row r="3624" spans="1:62" x14ac:dyDescent="0.3">
      <c r="BG3624" s="387"/>
      <c r="BH3624" s="386"/>
      <c r="BI3624" s="386"/>
      <c r="BJ3624" s="46"/>
    </row>
    <row r="3625" spans="1:62" x14ac:dyDescent="0.3">
      <c r="BG3625" s="387"/>
      <c r="BH3625" s="386"/>
      <c r="BI3625" s="386"/>
      <c r="BJ3625" s="46"/>
    </row>
    <row r="3626" spans="1:62" x14ac:dyDescent="0.3">
      <c r="BG3626" s="387"/>
      <c r="BH3626" s="386"/>
      <c r="BI3626" s="386"/>
      <c r="BJ3626" s="46"/>
    </row>
    <row r="3627" spans="1:62" x14ac:dyDescent="0.3">
      <c r="BG3627" s="387"/>
      <c r="BH3627" s="386"/>
      <c r="BI3627" s="386"/>
      <c r="BJ3627" s="46"/>
    </row>
    <row r="3628" spans="1:62" x14ac:dyDescent="0.3">
      <c r="BG3628" s="387"/>
      <c r="BH3628" s="386"/>
      <c r="BI3628" s="386"/>
      <c r="BJ3628" s="46"/>
    </row>
    <row r="3629" spans="1:62" x14ac:dyDescent="0.3">
      <c r="BG3629" s="387"/>
      <c r="BH3629" s="386"/>
      <c r="BI3629" s="386"/>
      <c r="BJ3629" s="46"/>
    </row>
    <row r="3630" spans="1:62" x14ac:dyDescent="0.3">
      <c r="BG3630" s="387"/>
      <c r="BH3630" s="386"/>
      <c r="BI3630" s="386"/>
      <c r="BJ3630" s="46"/>
    </row>
    <row r="3631" spans="1:62" x14ac:dyDescent="0.3">
      <c r="BG3631" s="387"/>
      <c r="BH3631" s="386"/>
      <c r="BI3631" s="386"/>
      <c r="BJ3631" s="46"/>
    </row>
    <row r="3632" spans="1:62" x14ac:dyDescent="0.3">
      <c r="BG3632" s="387"/>
      <c r="BH3632" s="386"/>
      <c r="BI3632" s="386"/>
      <c r="BJ3632" s="46"/>
    </row>
    <row r="3633" spans="59:62" x14ac:dyDescent="0.3">
      <c r="BG3633" s="387"/>
      <c r="BH3633" s="386"/>
      <c r="BI3633" s="386"/>
      <c r="BJ3633" s="46"/>
    </row>
    <row r="3634" spans="59:62" x14ac:dyDescent="0.3">
      <c r="BG3634" s="387"/>
      <c r="BH3634" s="386"/>
      <c r="BI3634" s="386"/>
      <c r="BJ3634" s="46"/>
    </row>
    <row r="3635" spans="59:62" x14ac:dyDescent="0.3">
      <c r="BG3635" s="387"/>
      <c r="BH3635" s="386"/>
      <c r="BI3635" s="386"/>
      <c r="BJ3635" s="46"/>
    </row>
    <row r="3636" spans="59:62" x14ac:dyDescent="0.3">
      <c r="BG3636" s="387"/>
      <c r="BH3636" s="386"/>
      <c r="BI3636" s="386"/>
      <c r="BJ3636" s="46"/>
    </row>
    <row r="3637" spans="59:62" x14ac:dyDescent="0.3">
      <c r="BG3637" s="387"/>
      <c r="BH3637" s="386"/>
      <c r="BI3637" s="386"/>
      <c r="BJ3637" s="46"/>
    </row>
    <row r="3638" spans="59:62" x14ac:dyDescent="0.3">
      <c r="BG3638" s="387"/>
      <c r="BH3638" s="386"/>
      <c r="BI3638" s="386"/>
      <c r="BJ3638" s="46"/>
    </row>
    <row r="3639" spans="59:62" x14ac:dyDescent="0.3">
      <c r="BG3639" s="387"/>
      <c r="BH3639" s="386"/>
      <c r="BI3639" s="386"/>
      <c r="BJ3639" s="46"/>
    </row>
    <row r="3640" spans="59:62" x14ac:dyDescent="0.3">
      <c r="BG3640" s="387"/>
      <c r="BH3640" s="386"/>
      <c r="BI3640" s="386"/>
      <c r="BJ3640" s="46"/>
    </row>
    <row r="3641" spans="59:62" x14ac:dyDescent="0.3">
      <c r="BG3641" s="387"/>
      <c r="BH3641" s="386"/>
      <c r="BI3641" s="386"/>
      <c r="BJ3641" s="46"/>
    </row>
    <row r="3642" spans="59:62" x14ac:dyDescent="0.3">
      <c r="BG3642" s="387"/>
      <c r="BH3642" s="386"/>
      <c r="BI3642" s="386"/>
      <c r="BJ3642" s="46"/>
    </row>
    <row r="3643" spans="59:62" x14ac:dyDescent="0.3">
      <c r="BG3643" s="387"/>
      <c r="BH3643" s="386"/>
      <c r="BI3643" s="386"/>
      <c r="BJ3643" s="46"/>
    </row>
    <row r="3644" spans="59:62" x14ac:dyDescent="0.3">
      <c r="BG3644" s="387"/>
      <c r="BH3644" s="386"/>
      <c r="BI3644" s="386"/>
      <c r="BJ3644" s="46"/>
    </row>
    <row r="3645" spans="59:62" x14ac:dyDescent="0.3">
      <c r="BG3645" s="387"/>
      <c r="BH3645" s="386"/>
      <c r="BI3645" s="386"/>
      <c r="BJ3645" s="46"/>
    </row>
    <row r="3646" spans="59:62" x14ac:dyDescent="0.3">
      <c r="BG3646" s="387"/>
      <c r="BH3646" s="386"/>
      <c r="BI3646" s="386"/>
      <c r="BJ3646" s="46"/>
    </row>
    <row r="3647" spans="59:62" x14ac:dyDescent="0.3">
      <c r="BG3647" s="387"/>
      <c r="BH3647" s="386"/>
      <c r="BI3647" s="386"/>
      <c r="BJ3647" s="46"/>
    </row>
    <row r="3648" spans="59:62" x14ac:dyDescent="0.3">
      <c r="BG3648" s="387"/>
      <c r="BH3648" s="386"/>
      <c r="BI3648" s="386"/>
      <c r="BJ3648" s="46"/>
    </row>
    <row r="3649" spans="59:62" x14ac:dyDescent="0.3">
      <c r="BG3649" s="387"/>
      <c r="BH3649" s="386"/>
      <c r="BI3649" s="386"/>
      <c r="BJ3649" s="46"/>
    </row>
    <row r="3650" spans="59:62" x14ac:dyDescent="0.3">
      <c r="BG3650" s="387"/>
      <c r="BH3650" s="386"/>
      <c r="BI3650" s="386"/>
      <c r="BJ3650" s="46"/>
    </row>
    <row r="3651" spans="59:62" x14ac:dyDescent="0.3">
      <c r="BG3651" s="387"/>
      <c r="BH3651" s="386"/>
      <c r="BI3651" s="386"/>
      <c r="BJ3651" s="46"/>
    </row>
    <row r="3652" spans="59:62" x14ac:dyDescent="0.3">
      <c r="BG3652" s="387"/>
      <c r="BH3652" s="386"/>
      <c r="BI3652" s="386"/>
      <c r="BJ3652" s="46"/>
    </row>
    <row r="3653" spans="59:62" x14ac:dyDescent="0.3">
      <c r="BG3653" s="387"/>
      <c r="BH3653" s="386"/>
      <c r="BI3653" s="386"/>
      <c r="BJ3653" s="46"/>
    </row>
    <row r="3654" spans="59:62" x14ac:dyDescent="0.3">
      <c r="BG3654" s="387"/>
      <c r="BH3654" s="386"/>
      <c r="BI3654" s="386"/>
      <c r="BJ3654" s="46"/>
    </row>
    <row r="3655" spans="59:62" x14ac:dyDescent="0.3">
      <c r="BG3655" s="387"/>
      <c r="BH3655" s="386"/>
      <c r="BI3655" s="386"/>
      <c r="BJ3655" s="46"/>
    </row>
    <row r="3656" spans="59:62" x14ac:dyDescent="0.3">
      <c r="BG3656" s="387"/>
      <c r="BH3656" s="386"/>
      <c r="BI3656" s="386"/>
      <c r="BJ3656" s="46"/>
    </row>
    <row r="3657" spans="59:62" x14ac:dyDescent="0.3">
      <c r="BG3657" s="387"/>
      <c r="BH3657" s="386"/>
      <c r="BI3657" s="386"/>
      <c r="BJ3657" s="46"/>
    </row>
    <row r="3658" spans="59:62" x14ac:dyDescent="0.3">
      <c r="BG3658" s="387"/>
      <c r="BH3658" s="386"/>
      <c r="BI3658" s="386"/>
      <c r="BJ3658" s="46"/>
    </row>
    <row r="3659" spans="59:62" x14ac:dyDescent="0.3">
      <c r="BG3659" s="387"/>
      <c r="BH3659" s="386"/>
      <c r="BI3659" s="386"/>
      <c r="BJ3659" s="46"/>
    </row>
    <row r="3660" spans="59:62" x14ac:dyDescent="0.3">
      <c r="BG3660" s="387"/>
      <c r="BH3660" s="386"/>
      <c r="BI3660" s="386"/>
      <c r="BJ3660" s="46"/>
    </row>
    <row r="3661" spans="59:62" x14ac:dyDescent="0.3">
      <c r="BG3661" s="387"/>
      <c r="BH3661" s="386"/>
      <c r="BI3661" s="386"/>
      <c r="BJ3661" s="46"/>
    </row>
    <row r="3662" spans="59:62" x14ac:dyDescent="0.3">
      <c r="BG3662" s="387"/>
      <c r="BH3662" s="386"/>
      <c r="BI3662" s="386"/>
      <c r="BJ3662" s="46"/>
    </row>
    <row r="3663" spans="59:62" x14ac:dyDescent="0.3">
      <c r="BG3663" s="387"/>
      <c r="BH3663" s="386"/>
      <c r="BI3663" s="386"/>
      <c r="BJ3663" s="46"/>
    </row>
    <row r="3664" spans="59:62" x14ac:dyDescent="0.3">
      <c r="BG3664" s="387"/>
      <c r="BH3664" s="386"/>
      <c r="BI3664" s="386"/>
      <c r="BJ3664" s="46"/>
    </row>
    <row r="3665" spans="59:62" x14ac:dyDescent="0.3">
      <c r="BG3665" s="387"/>
      <c r="BH3665" s="386"/>
      <c r="BI3665" s="386"/>
      <c r="BJ3665" s="46"/>
    </row>
    <row r="3666" spans="59:62" x14ac:dyDescent="0.3">
      <c r="BG3666" s="387"/>
      <c r="BH3666" s="386"/>
      <c r="BI3666" s="386"/>
      <c r="BJ3666" s="46"/>
    </row>
    <row r="3667" spans="59:62" x14ac:dyDescent="0.3">
      <c r="BG3667" s="387"/>
      <c r="BH3667" s="386"/>
      <c r="BI3667" s="386"/>
      <c r="BJ3667" s="46"/>
    </row>
    <row r="3668" spans="59:62" x14ac:dyDescent="0.3">
      <c r="BG3668" s="387"/>
      <c r="BH3668" s="386"/>
      <c r="BI3668" s="386"/>
      <c r="BJ3668" s="46"/>
    </row>
    <row r="3669" spans="59:62" x14ac:dyDescent="0.3">
      <c r="BG3669" s="387"/>
      <c r="BH3669" s="386"/>
      <c r="BI3669" s="386"/>
      <c r="BJ3669" s="46"/>
    </row>
    <row r="3670" spans="59:62" x14ac:dyDescent="0.3">
      <c r="BG3670" s="387"/>
      <c r="BH3670" s="386"/>
      <c r="BI3670" s="386"/>
      <c r="BJ3670" s="46"/>
    </row>
    <row r="3671" spans="59:62" x14ac:dyDescent="0.3">
      <c r="BG3671" s="387"/>
      <c r="BH3671" s="386"/>
      <c r="BI3671" s="386"/>
      <c r="BJ3671" s="46"/>
    </row>
    <row r="3672" spans="59:62" x14ac:dyDescent="0.3">
      <c r="BG3672" s="387"/>
      <c r="BH3672" s="386"/>
      <c r="BI3672" s="386"/>
      <c r="BJ3672" s="46"/>
    </row>
    <row r="3673" spans="59:62" x14ac:dyDescent="0.3">
      <c r="BG3673" s="387"/>
      <c r="BH3673" s="386"/>
      <c r="BI3673" s="386"/>
      <c r="BJ3673" s="46"/>
    </row>
    <row r="3674" spans="59:62" x14ac:dyDescent="0.3">
      <c r="BG3674" s="387"/>
      <c r="BH3674" s="386"/>
      <c r="BI3674" s="386"/>
      <c r="BJ3674" s="46"/>
    </row>
    <row r="3675" spans="59:62" x14ac:dyDescent="0.3">
      <c r="BG3675" s="387"/>
      <c r="BH3675" s="386"/>
      <c r="BI3675" s="386"/>
      <c r="BJ3675" s="46"/>
    </row>
    <row r="3676" spans="59:62" x14ac:dyDescent="0.3">
      <c r="BG3676" s="387"/>
      <c r="BH3676" s="386"/>
      <c r="BI3676" s="386"/>
      <c r="BJ3676" s="46"/>
    </row>
    <row r="3677" spans="59:62" x14ac:dyDescent="0.3">
      <c r="BG3677" s="387"/>
      <c r="BH3677" s="386"/>
      <c r="BI3677" s="386"/>
      <c r="BJ3677" s="46"/>
    </row>
    <row r="3678" spans="59:62" x14ac:dyDescent="0.3">
      <c r="BG3678" s="387"/>
      <c r="BH3678" s="386"/>
      <c r="BI3678" s="386"/>
      <c r="BJ3678" s="46"/>
    </row>
    <row r="3679" spans="59:62" x14ac:dyDescent="0.3">
      <c r="BG3679" s="387"/>
      <c r="BH3679" s="386"/>
      <c r="BI3679" s="386"/>
      <c r="BJ3679" s="46"/>
    </row>
    <row r="3680" spans="59:62" x14ac:dyDescent="0.3">
      <c r="BG3680" s="387"/>
      <c r="BH3680" s="386"/>
      <c r="BI3680" s="386"/>
      <c r="BJ3680" s="46"/>
    </row>
    <row r="3681" spans="59:62" x14ac:dyDescent="0.3">
      <c r="BG3681" s="387"/>
      <c r="BH3681" s="386"/>
      <c r="BI3681" s="386"/>
      <c r="BJ3681" s="46"/>
    </row>
    <row r="3682" spans="59:62" x14ac:dyDescent="0.3">
      <c r="BG3682" s="387"/>
      <c r="BH3682" s="386"/>
      <c r="BI3682" s="386"/>
      <c r="BJ3682" s="46"/>
    </row>
    <row r="3683" spans="59:62" x14ac:dyDescent="0.3">
      <c r="BG3683" s="387"/>
      <c r="BH3683" s="386"/>
      <c r="BI3683" s="386"/>
      <c r="BJ3683" s="46"/>
    </row>
    <row r="3684" spans="59:62" x14ac:dyDescent="0.3">
      <c r="BG3684" s="387"/>
      <c r="BH3684" s="386"/>
      <c r="BI3684" s="386"/>
      <c r="BJ3684" s="46"/>
    </row>
    <row r="3685" spans="59:62" x14ac:dyDescent="0.3">
      <c r="BG3685" s="387"/>
      <c r="BH3685" s="386"/>
      <c r="BI3685" s="386"/>
      <c r="BJ3685" s="46"/>
    </row>
    <row r="3686" spans="59:62" x14ac:dyDescent="0.3">
      <c r="BG3686" s="387"/>
      <c r="BH3686" s="386"/>
      <c r="BI3686" s="386"/>
      <c r="BJ3686" s="46"/>
    </row>
    <row r="3687" spans="59:62" x14ac:dyDescent="0.3">
      <c r="BG3687" s="387"/>
      <c r="BH3687" s="386"/>
      <c r="BI3687" s="386"/>
      <c r="BJ3687" s="46"/>
    </row>
    <row r="3688" spans="59:62" x14ac:dyDescent="0.3">
      <c r="BG3688" s="387"/>
      <c r="BH3688" s="386"/>
      <c r="BI3688" s="386"/>
      <c r="BJ3688" s="46"/>
    </row>
    <row r="3689" spans="59:62" x14ac:dyDescent="0.3">
      <c r="BG3689" s="387"/>
      <c r="BH3689" s="386"/>
      <c r="BI3689" s="386"/>
      <c r="BJ3689" s="46"/>
    </row>
    <row r="3690" spans="59:62" x14ac:dyDescent="0.3">
      <c r="BG3690" s="387"/>
      <c r="BH3690" s="386"/>
      <c r="BI3690" s="386"/>
      <c r="BJ3690" s="46"/>
    </row>
    <row r="3691" spans="59:62" x14ac:dyDescent="0.3">
      <c r="BG3691" s="387"/>
      <c r="BH3691" s="386"/>
      <c r="BI3691" s="386"/>
      <c r="BJ3691" s="46"/>
    </row>
    <row r="3692" spans="59:62" x14ac:dyDescent="0.3">
      <c r="BG3692" s="387"/>
      <c r="BH3692" s="386"/>
      <c r="BI3692" s="386"/>
      <c r="BJ3692" s="46"/>
    </row>
    <row r="3693" spans="59:62" x14ac:dyDescent="0.3">
      <c r="BG3693" s="387"/>
      <c r="BH3693" s="386"/>
      <c r="BI3693" s="386"/>
      <c r="BJ3693" s="46"/>
    </row>
    <row r="3694" spans="59:62" x14ac:dyDescent="0.3">
      <c r="BG3694" s="387"/>
      <c r="BH3694" s="386"/>
      <c r="BI3694" s="386"/>
      <c r="BJ3694" s="46"/>
    </row>
    <row r="3695" spans="59:62" x14ac:dyDescent="0.3">
      <c r="BG3695" s="387"/>
      <c r="BH3695" s="386"/>
      <c r="BI3695" s="386"/>
      <c r="BJ3695" s="46"/>
    </row>
    <row r="3696" spans="59:62" x14ac:dyDescent="0.3">
      <c r="BG3696" s="387"/>
      <c r="BH3696" s="386"/>
      <c r="BI3696" s="386"/>
      <c r="BJ3696" s="46"/>
    </row>
    <row r="3697" spans="59:62" x14ac:dyDescent="0.3">
      <c r="BG3697" s="387"/>
      <c r="BH3697" s="386"/>
      <c r="BI3697" s="386"/>
      <c r="BJ3697" s="46"/>
    </row>
    <row r="3698" spans="59:62" x14ac:dyDescent="0.3">
      <c r="BG3698" s="387"/>
      <c r="BH3698" s="386"/>
      <c r="BI3698" s="386"/>
      <c r="BJ3698" s="46"/>
    </row>
    <row r="3699" spans="59:62" x14ac:dyDescent="0.3">
      <c r="BG3699" s="387"/>
      <c r="BH3699" s="386"/>
      <c r="BI3699" s="386"/>
      <c r="BJ3699" s="46"/>
    </row>
    <row r="3700" spans="59:62" x14ac:dyDescent="0.3">
      <c r="BG3700" s="387"/>
      <c r="BH3700" s="386"/>
      <c r="BI3700" s="386"/>
      <c r="BJ3700" s="46"/>
    </row>
    <row r="3701" spans="59:62" x14ac:dyDescent="0.3">
      <c r="BG3701" s="387"/>
      <c r="BH3701" s="386"/>
      <c r="BI3701" s="386"/>
      <c r="BJ3701" s="46"/>
    </row>
    <row r="3702" spans="59:62" x14ac:dyDescent="0.3">
      <c r="BG3702" s="387"/>
      <c r="BH3702" s="386"/>
      <c r="BI3702" s="386"/>
      <c r="BJ3702" s="46"/>
    </row>
    <row r="3703" spans="59:62" x14ac:dyDescent="0.3">
      <c r="BG3703" s="387"/>
      <c r="BH3703" s="386"/>
      <c r="BI3703" s="386"/>
      <c r="BJ3703" s="46"/>
    </row>
    <row r="3704" spans="59:62" x14ac:dyDescent="0.3">
      <c r="BG3704" s="387"/>
      <c r="BH3704" s="386"/>
      <c r="BI3704" s="386"/>
      <c r="BJ3704" s="46"/>
    </row>
    <row r="3705" spans="59:62" x14ac:dyDescent="0.3">
      <c r="BG3705" s="387"/>
      <c r="BH3705" s="386"/>
      <c r="BI3705" s="386"/>
      <c r="BJ3705" s="46"/>
    </row>
    <row r="3706" spans="59:62" x14ac:dyDescent="0.3">
      <c r="BG3706" s="387"/>
      <c r="BH3706" s="386"/>
      <c r="BI3706" s="386"/>
      <c r="BJ3706" s="46"/>
    </row>
    <row r="3707" spans="59:62" x14ac:dyDescent="0.3">
      <c r="BG3707" s="387"/>
      <c r="BH3707" s="386"/>
      <c r="BI3707" s="386"/>
      <c r="BJ3707" s="46"/>
    </row>
    <row r="3708" spans="59:62" x14ac:dyDescent="0.3">
      <c r="BG3708" s="387"/>
      <c r="BH3708" s="386"/>
      <c r="BI3708" s="386"/>
      <c r="BJ3708" s="46"/>
    </row>
    <row r="3709" spans="59:62" x14ac:dyDescent="0.3">
      <c r="BG3709" s="387"/>
      <c r="BH3709" s="386"/>
      <c r="BI3709" s="386"/>
      <c r="BJ3709" s="46"/>
    </row>
    <row r="3710" spans="59:62" x14ac:dyDescent="0.3">
      <c r="BG3710" s="387"/>
      <c r="BH3710" s="386"/>
      <c r="BI3710" s="386"/>
      <c r="BJ3710" s="46"/>
    </row>
    <row r="3711" spans="59:62" x14ac:dyDescent="0.3">
      <c r="BG3711" s="387"/>
      <c r="BH3711" s="386"/>
      <c r="BI3711" s="386"/>
      <c r="BJ3711" s="46"/>
    </row>
    <row r="3712" spans="59:62" x14ac:dyDescent="0.3">
      <c r="BG3712" s="387"/>
      <c r="BH3712" s="386"/>
      <c r="BI3712" s="386"/>
      <c r="BJ3712" s="46"/>
    </row>
    <row r="3713" spans="59:62" x14ac:dyDescent="0.3">
      <c r="BG3713" s="387"/>
      <c r="BH3713" s="386"/>
      <c r="BI3713" s="386"/>
      <c r="BJ3713" s="46"/>
    </row>
    <row r="3714" spans="59:62" x14ac:dyDescent="0.3">
      <c r="BG3714" s="387"/>
      <c r="BH3714" s="386"/>
      <c r="BI3714" s="386"/>
      <c r="BJ3714" s="46"/>
    </row>
    <row r="3715" spans="59:62" x14ac:dyDescent="0.3">
      <c r="BG3715" s="387"/>
      <c r="BH3715" s="386"/>
      <c r="BI3715" s="386"/>
      <c r="BJ3715" s="46"/>
    </row>
    <row r="3716" spans="59:62" x14ac:dyDescent="0.3">
      <c r="BG3716" s="387"/>
      <c r="BH3716" s="386"/>
      <c r="BI3716" s="386"/>
      <c r="BJ3716" s="46"/>
    </row>
    <row r="3717" spans="59:62" x14ac:dyDescent="0.3">
      <c r="BG3717" s="387"/>
      <c r="BH3717" s="386"/>
      <c r="BI3717" s="386"/>
      <c r="BJ3717" s="46"/>
    </row>
    <row r="3718" spans="59:62" x14ac:dyDescent="0.3">
      <c r="BG3718" s="387"/>
      <c r="BH3718" s="386"/>
      <c r="BI3718" s="386"/>
      <c r="BJ3718" s="46"/>
    </row>
    <row r="3719" spans="59:62" x14ac:dyDescent="0.3">
      <c r="BG3719" s="387"/>
      <c r="BH3719" s="386"/>
      <c r="BI3719" s="386"/>
      <c r="BJ3719" s="46"/>
    </row>
    <row r="3720" spans="59:62" x14ac:dyDescent="0.3">
      <c r="BG3720" s="387"/>
      <c r="BH3720" s="386"/>
      <c r="BI3720" s="386"/>
      <c r="BJ3720" s="46"/>
    </row>
    <row r="3721" spans="59:62" x14ac:dyDescent="0.3">
      <c r="BG3721" s="387"/>
      <c r="BH3721" s="386"/>
      <c r="BI3721" s="386"/>
      <c r="BJ3721" s="46"/>
    </row>
    <row r="3722" spans="59:62" x14ac:dyDescent="0.3">
      <c r="BG3722" s="387"/>
      <c r="BH3722" s="386"/>
      <c r="BI3722" s="386"/>
      <c r="BJ3722" s="46"/>
    </row>
    <row r="3723" spans="59:62" x14ac:dyDescent="0.3">
      <c r="BG3723" s="387"/>
      <c r="BH3723" s="386"/>
      <c r="BI3723" s="386"/>
      <c r="BJ3723" s="46"/>
    </row>
    <row r="3724" spans="59:62" x14ac:dyDescent="0.3">
      <c r="BG3724" s="387"/>
      <c r="BH3724" s="386"/>
      <c r="BI3724" s="386"/>
      <c r="BJ3724" s="46"/>
    </row>
    <row r="3725" spans="59:62" x14ac:dyDescent="0.3">
      <c r="BG3725" s="387"/>
      <c r="BH3725" s="386"/>
      <c r="BI3725" s="386"/>
      <c r="BJ3725" s="46"/>
    </row>
    <row r="3726" spans="59:62" x14ac:dyDescent="0.3">
      <c r="BG3726" s="387"/>
      <c r="BH3726" s="386"/>
      <c r="BI3726" s="386"/>
      <c r="BJ3726" s="46"/>
    </row>
    <row r="3727" spans="59:62" x14ac:dyDescent="0.3">
      <c r="BG3727" s="387"/>
      <c r="BH3727" s="386"/>
      <c r="BI3727" s="386"/>
      <c r="BJ3727" s="46"/>
    </row>
    <row r="3728" spans="59:62" x14ac:dyDescent="0.3">
      <c r="BG3728" s="387"/>
      <c r="BH3728" s="386"/>
      <c r="BI3728" s="386"/>
      <c r="BJ3728" s="46"/>
    </row>
    <row r="3729" spans="59:62" x14ac:dyDescent="0.3">
      <c r="BG3729" s="387"/>
      <c r="BH3729" s="386"/>
      <c r="BI3729" s="386"/>
      <c r="BJ3729" s="46"/>
    </row>
    <row r="3730" spans="59:62" x14ac:dyDescent="0.3">
      <c r="BG3730" s="387"/>
      <c r="BH3730" s="386"/>
      <c r="BI3730" s="386"/>
      <c r="BJ3730" s="46"/>
    </row>
    <row r="3731" spans="59:62" x14ac:dyDescent="0.3">
      <c r="BG3731" s="387"/>
      <c r="BH3731" s="386"/>
      <c r="BI3731" s="386"/>
      <c r="BJ3731" s="46"/>
    </row>
    <row r="3732" spans="59:62" x14ac:dyDescent="0.3">
      <c r="BG3732" s="387"/>
      <c r="BH3732" s="386"/>
      <c r="BI3732" s="386"/>
      <c r="BJ3732" s="46"/>
    </row>
    <row r="3733" spans="59:62" x14ac:dyDescent="0.3">
      <c r="BG3733" s="387"/>
      <c r="BH3733" s="386"/>
      <c r="BI3733" s="386"/>
      <c r="BJ3733" s="46"/>
    </row>
    <row r="3734" spans="59:62" x14ac:dyDescent="0.3">
      <c r="BG3734" s="387"/>
      <c r="BH3734" s="386"/>
      <c r="BI3734" s="386"/>
      <c r="BJ3734" s="46"/>
    </row>
    <row r="3735" spans="59:62" x14ac:dyDescent="0.3">
      <c r="BG3735" s="387"/>
      <c r="BH3735" s="386"/>
      <c r="BI3735" s="386"/>
      <c r="BJ3735" s="46"/>
    </row>
    <row r="3736" spans="59:62" x14ac:dyDescent="0.3">
      <c r="BG3736" s="387"/>
      <c r="BH3736" s="386"/>
      <c r="BI3736" s="386"/>
      <c r="BJ3736" s="46"/>
    </row>
    <row r="3737" spans="59:62" x14ac:dyDescent="0.3">
      <c r="BG3737" s="387"/>
      <c r="BH3737" s="386"/>
      <c r="BI3737" s="386"/>
      <c r="BJ3737" s="46"/>
    </row>
    <row r="3738" spans="59:62" x14ac:dyDescent="0.3">
      <c r="BG3738" s="387"/>
      <c r="BH3738" s="386"/>
      <c r="BI3738" s="386"/>
      <c r="BJ3738" s="46"/>
    </row>
    <row r="3739" spans="59:62" x14ac:dyDescent="0.3">
      <c r="BG3739" s="387"/>
      <c r="BH3739" s="386"/>
      <c r="BI3739" s="386"/>
      <c r="BJ3739" s="46"/>
    </row>
    <row r="3740" spans="59:62" x14ac:dyDescent="0.3">
      <c r="BG3740" s="387"/>
      <c r="BH3740" s="386"/>
      <c r="BI3740" s="386"/>
      <c r="BJ3740" s="46"/>
    </row>
    <row r="3741" spans="59:62" x14ac:dyDescent="0.3">
      <c r="BG3741" s="387"/>
      <c r="BH3741" s="386"/>
      <c r="BI3741" s="386"/>
      <c r="BJ3741" s="46"/>
    </row>
    <row r="3742" spans="59:62" x14ac:dyDescent="0.3">
      <c r="BG3742" s="387"/>
      <c r="BH3742" s="386"/>
      <c r="BI3742" s="386"/>
      <c r="BJ3742" s="46"/>
    </row>
    <row r="3743" spans="59:62" x14ac:dyDescent="0.3">
      <c r="BG3743" s="387"/>
      <c r="BH3743" s="386"/>
      <c r="BI3743" s="386"/>
      <c r="BJ3743" s="46"/>
    </row>
    <row r="3744" spans="59:62" x14ac:dyDescent="0.3">
      <c r="BG3744" s="387"/>
      <c r="BH3744" s="386"/>
      <c r="BI3744" s="386"/>
      <c r="BJ3744" s="46"/>
    </row>
    <row r="3745" spans="59:62" x14ac:dyDescent="0.3">
      <c r="BG3745" s="387"/>
      <c r="BH3745" s="386"/>
      <c r="BI3745" s="386"/>
      <c r="BJ3745" s="46"/>
    </row>
    <row r="3746" spans="59:62" x14ac:dyDescent="0.3">
      <c r="BG3746" s="387"/>
      <c r="BH3746" s="386"/>
      <c r="BI3746" s="386"/>
      <c r="BJ3746" s="46"/>
    </row>
    <row r="3747" spans="59:62" x14ac:dyDescent="0.3">
      <c r="BG3747" s="387"/>
      <c r="BH3747" s="386"/>
      <c r="BI3747" s="386"/>
      <c r="BJ3747" s="46"/>
    </row>
    <row r="3748" spans="59:62" x14ac:dyDescent="0.3">
      <c r="BG3748" s="387"/>
      <c r="BH3748" s="386"/>
      <c r="BI3748" s="386"/>
      <c r="BJ3748" s="46"/>
    </row>
    <row r="3749" spans="59:62" x14ac:dyDescent="0.3">
      <c r="BG3749" s="387"/>
      <c r="BH3749" s="386"/>
      <c r="BI3749" s="386"/>
      <c r="BJ3749" s="46"/>
    </row>
    <row r="3750" spans="59:62" x14ac:dyDescent="0.3">
      <c r="BG3750" s="387"/>
      <c r="BH3750" s="386"/>
      <c r="BI3750" s="386"/>
      <c r="BJ3750" s="46"/>
    </row>
    <row r="3751" spans="59:62" x14ac:dyDescent="0.3">
      <c r="BG3751" s="387"/>
      <c r="BH3751" s="386"/>
      <c r="BI3751" s="386"/>
      <c r="BJ3751" s="46"/>
    </row>
    <row r="3752" spans="59:62" x14ac:dyDescent="0.3">
      <c r="BG3752" s="387"/>
      <c r="BH3752" s="386"/>
      <c r="BI3752" s="386"/>
      <c r="BJ3752" s="46"/>
    </row>
    <row r="3753" spans="59:62" x14ac:dyDescent="0.3">
      <c r="BG3753" s="387"/>
      <c r="BH3753" s="386"/>
      <c r="BI3753" s="386"/>
      <c r="BJ3753" s="46"/>
    </row>
    <row r="3754" spans="59:62" x14ac:dyDescent="0.3">
      <c r="BG3754" s="387"/>
      <c r="BH3754" s="386"/>
      <c r="BI3754" s="386"/>
      <c r="BJ3754" s="46"/>
    </row>
    <row r="3755" spans="59:62" x14ac:dyDescent="0.3">
      <c r="BG3755" s="387"/>
      <c r="BH3755" s="386"/>
      <c r="BI3755" s="386"/>
      <c r="BJ3755" s="46"/>
    </row>
    <row r="3756" spans="59:62" x14ac:dyDescent="0.3">
      <c r="BG3756" s="387"/>
      <c r="BH3756" s="386"/>
      <c r="BI3756" s="386"/>
      <c r="BJ3756" s="46"/>
    </row>
    <row r="3757" spans="59:62" x14ac:dyDescent="0.3">
      <c r="BG3757" s="387"/>
      <c r="BH3757" s="386"/>
      <c r="BI3757" s="386"/>
      <c r="BJ3757" s="46"/>
    </row>
    <row r="3758" spans="59:62" x14ac:dyDescent="0.3">
      <c r="BG3758" s="387"/>
      <c r="BH3758" s="386"/>
      <c r="BI3758" s="386"/>
      <c r="BJ3758" s="46"/>
    </row>
    <row r="3759" spans="59:62" x14ac:dyDescent="0.3">
      <c r="BG3759" s="387"/>
      <c r="BH3759" s="386"/>
      <c r="BI3759" s="386"/>
      <c r="BJ3759" s="46"/>
    </row>
    <row r="3760" spans="59:62" x14ac:dyDescent="0.3">
      <c r="BG3760" s="387"/>
      <c r="BH3760" s="386"/>
      <c r="BI3760" s="386"/>
      <c r="BJ3760" s="46"/>
    </row>
    <row r="3761" spans="59:62" x14ac:dyDescent="0.3">
      <c r="BG3761" s="387"/>
      <c r="BH3761" s="386"/>
      <c r="BI3761" s="386"/>
      <c r="BJ3761" s="46"/>
    </row>
    <row r="3762" spans="59:62" x14ac:dyDescent="0.3">
      <c r="BG3762" s="387"/>
      <c r="BH3762" s="386"/>
      <c r="BI3762" s="386"/>
      <c r="BJ3762" s="46"/>
    </row>
    <row r="3763" spans="59:62" x14ac:dyDescent="0.3">
      <c r="BG3763" s="387"/>
      <c r="BH3763" s="386"/>
      <c r="BI3763" s="386"/>
      <c r="BJ3763" s="46"/>
    </row>
    <row r="3764" spans="59:62" x14ac:dyDescent="0.3">
      <c r="BG3764" s="387"/>
      <c r="BH3764" s="386"/>
      <c r="BI3764" s="386"/>
      <c r="BJ3764" s="46"/>
    </row>
    <row r="3765" spans="59:62" x14ac:dyDescent="0.3">
      <c r="BG3765" s="387"/>
      <c r="BH3765" s="386"/>
      <c r="BI3765" s="386"/>
      <c r="BJ3765" s="46"/>
    </row>
    <row r="3766" spans="59:62" x14ac:dyDescent="0.3">
      <c r="BG3766" s="387"/>
      <c r="BH3766" s="386"/>
      <c r="BI3766" s="386"/>
      <c r="BJ3766" s="46"/>
    </row>
    <row r="3767" spans="59:62" x14ac:dyDescent="0.3">
      <c r="BG3767" s="387"/>
      <c r="BH3767" s="386"/>
      <c r="BI3767" s="386"/>
      <c r="BJ3767" s="46"/>
    </row>
    <row r="3768" spans="59:62" x14ac:dyDescent="0.3">
      <c r="BG3768" s="387"/>
      <c r="BH3768" s="386"/>
      <c r="BI3768" s="386"/>
      <c r="BJ3768" s="46"/>
    </row>
    <row r="3769" spans="59:62" x14ac:dyDescent="0.3">
      <c r="BG3769" s="387"/>
      <c r="BH3769" s="386"/>
      <c r="BI3769" s="386"/>
      <c r="BJ3769" s="46"/>
    </row>
    <row r="3770" spans="59:62" x14ac:dyDescent="0.3">
      <c r="BG3770" s="387"/>
      <c r="BH3770" s="386"/>
      <c r="BI3770" s="386"/>
      <c r="BJ3770" s="46"/>
    </row>
    <row r="3771" spans="59:62" x14ac:dyDescent="0.3">
      <c r="BG3771" s="387"/>
      <c r="BH3771" s="386"/>
      <c r="BI3771" s="386"/>
      <c r="BJ3771" s="46"/>
    </row>
    <row r="3772" spans="59:62" x14ac:dyDescent="0.3">
      <c r="BG3772" s="387"/>
      <c r="BH3772" s="386"/>
      <c r="BI3772" s="386"/>
      <c r="BJ3772" s="46"/>
    </row>
    <row r="3773" spans="59:62" x14ac:dyDescent="0.3">
      <c r="BG3773" s="387"/>
      <c r="BH3773" s="386"/>
      <c r="BI3773" s="386"/>
      <c r="BJ3773" s="46"/>
    </row>
    <row r="3774" spans="59:62" x14ac:dyDescent="0.3">
      <c r="BG3774" s="387"/>
      <c r="BH3774" s="386"/>
      <c r="BI3774" s="386"/>
      <c r="BJ3774" s="46"/>
    </row>
    <row r="3775" spans="59:62" x14ac:dyDescent="0.3">
      <c r="BG3775" s="387"/>
      <c r="BH3775" s="386"/>
      <c r="BI3775" s="386"/>
      <c r="BJ3775" s="46"/>
    </row>
    <row r="3776" spans="59:62" x14ac:dyDescent="0.3">
      <c r="BG3776" s="387"/>
      <c r="BH3776" s="386"/>
      <c r="BI3776" s="386"/>
      <c r="BJ3776" s="46"/>
    </row>
    <row r="3777" spans="59:62" x14ac:dyDescent="0.3">
      <c r="BG3777" s="387"/>
      <c r="BH3777" s="386"/>
      <c r="BI3777" s="386"/>
      <c r="BJ3777" s="46"/>
    </row>
    <row r="3778" spans="59:62" x14ac:dyDescent="0.3">
      <c r="BG3778" s="387"/>
      <c r="BH3778" s="386"/>
      <c r="BI3778" s="386"/>
      <c r="BJ3778" s="46"/>
    </row>
    <row r="3779" spans="59:62" x14ac:dyDescent="0.3">
      <c r="BG3779" s="387"/>
      <c r="BH3779" s="386"/>
      <c r="BI3779" s="386"/>
      <c r="BJ3779" s="46"/>
    </row>
    <row r="3780" spans="59:62" x14ac:dyDescent="0.3">
      <c r="BG3780" s="387"/>
      <c r="BH3780" s="386"/>
      <c r="BI3780" s="386"/>
      <c r="BJ3780" s="46"/>
    </row>
    <row r="3781" spans="59:62" x14ac:dyDescent="0.3">
      <c r="BG3781" s="387"/>
      <c r="BH3781" s="386"/>
      <c r="BI3781" s="386"/>
      <c r="BJ3781" s="46"/>
    </row>
    <row r="3782" spans="59:62" x14ac:dyDescent="0.3">
      <c r="BG3782" s="387"/>
      <c r="BH3782" s="386"/>
      <c r="BI3782" s="386"/>
      <c r="BJ3782" s="46"/>
    </row>
    <row r="3783" spans="59:62" x14ac:dyDescent="0.3">
      <c r="BG3783" s="387"/>
      <c r="BH3783" s="386"/>
      <c r="BI3783" s="386"/>
      <c r="BJ3783" s="46"/>
    </row>
    <row r="3784" spans="59:62" x14ac:dyDescent="0.3">
      <c r="BG3784" s="387"/>
      <c r="BH3784" s="386"/>
      <c r="BI3784" s="386"/>
      <c r="BJ3784" s="46"/>
    </row>
    <row r="3785" spans="59:62" x14ac:dyDescent="0.3">
      <c r="BG3785" s="387"/>
      <c r="BH3785" s="386"/>
      <c r="BI3785" s="386"/>
      <c r="BJ3785" s="46"/>
    </row>
    <row r="3786" spans="59:62" x14ac:dyDescent="0.3">
      <c r="BG3786" s="387"/>
      <c r="BH3786" s="386"/>
      <c r="BI3786" s="386"/>
      <c r="BJ3786" s="46"/>
    </row>
    <row r="3787" spans="59:62" x14ac:dyDescent="0.3">
      <c r="BG3787" s="387"/>
      <c r="BH3787" s="386"/>
      <c r="BI3787" s="386"/>
      <c r="BJ3787" s="46"/>
    </row>
    <row r="3788" spans="59:62" x14ac:dyDescent="0.3">
      <c r="BG3788" s="387"/>
      <c r="BH3788" s="386"/>
      <c r="BI3788" s="386"/>
      <c r="BJ3788" s="46"/>
    </row>
    <row r="3789" spans="59:62" x14ac:dyDescent="0.3">
      <c r="BG3789" s="387"/>
      <c r="BH3789" s="386"/>
      <c r="BI3789" s="386"/>
      <c r="BJ3789" s="46"/>
    </row>
    <row r="3790" spans="59:62" x14ac:dyDescent="0.3">
      <c r="BG3790" s="387"/>
      <c r="BH3790" s="386"/>
      <c r="BI3790" s="386"/>
      <c r="BJ3790" s="46"/>
    </row>
    <row r="3791" spans="59:62" x14ac:dyDescent="0.3">
      <c r="BG3791" s="387"/>
      <c r="BH3791" s="386"/>
      <c r="BI3791" s="386"/>
      <c r="BJ3791" s="46"/>
    </row>
    <row r="3792" spans="59:62" x14ac:dyDescent="0.3">
      <c r="BG3792" s="387"/>
      <c r="BH3792" s="386"/>
      <c r="BI3792" s="386"/>
      <c r="BJ3792" s="46"/>
    </row>
    <row r="3793" spans="59:62" x14ac:dyDescent="0.3">
      <c r="BG3793" s="387"/>
      <c r="BH3793" s="386"/>
      <c r="BI3793" s="386"/>
      <c r="BJ3793" s="46"/>
    </row>
    <row r="3794" spans="59:62" x14ac:dyDescent="0.3">
      <c r="BG3794" s="387"/>
      <c r="BH3794" s="386"/>
      <c r="BI3794" s="386"/>
      <c r="BJ3794" s="46"/>
    </row>
    <row r="3795" spans="59:62" x14ac:dyDescent="0.3">
      <c r="BG3795" s="387"/>
      <c r="BH3795" s="386"/>
      <c r="BI3795" s="386"/>
      <c r="BJ3795" s="46"/>
    </row>
    <row r="3796" spans="59:62" x14ac:dyDescent="0.3">
      <c r="BG3796" s="387"/>
      <c r="BH3796" s="386"/>
      <c r="BI3796" s="386"/>
      <c r="BJ3796" s="46"/>
    </row>
    <row r="3797" spans="59:62" x14ac:dyDescent="0.3">
      <c r="BG3797" s="387"/>
      <c r="BH3797" s="386"/>
      <c r="BI3797" s="386"/>
      <c r="BJ3797" s="46"/>
    </row>
    <row r="3798" spans="59:62" x14ac:dyDescent="0.3">
      <c r="BG3798" s="387"/>
      <c r="BH3798" s="386"/>
      <c r="BI3798" s="386"/>
      <c r="BJ3798" s="46"/>
    </row>
    <row r="3799" spans="59:62" x14ac:dyDescent="0.3">
      <c r="BG3799" s="387"/>
      <c r="BH3799" s="386"/>
      <c r="BI3799" s="386"/>
      <c r="BJ3799" s="46"/>
    </row>
    <row r="3800" spans="59:62" x14ac:dyDescent="0.3">
      <c r="BG3800" s="387"/>
      <c r="BH3800" s="386"/>
      <c r="BI3800" s="386"/>
      <c r="BJ3800" s="46"/>
    </row>
    <row r="3801" spans="59:62" x14ac:dyDescent="0.3">
      <c r="BG3801" s="387"/>
      <c r="BH3801" s="386"/>
      <c r="BI3801" s="386"/>
      <c r="BJ3801" s="46"/>
    </row>
    <row r="3802" spans="59:62" x14ac:dyDescent="0.3">
      <c r="BG3802" s="387"/>
      <c r="BH3802" s="386"/>
      <c r="BI3802" s="386"/>
      <c r="BJ3802" s="46"/>
    </row>
    <row r="3803" spans="59:62" x14ac:dyDescent="0.3">
      <c r="BG3803" s="387"/>
      <c r="BH3803" s="386"/>
      <c r="BI3803" s="386"/>
      <c r="BJ3803" s="46"/>
    </row>
    <row r="3804" spans="59:62" x14ac:dyDescent="0.3">
      <c r="BG3804" s="387"/>
      <c r="BH3804" s="386"/>
      <c r="BI3804" s="386"/>
      <c r="BJ3804" s="46"/>
    </row>
    <row r="3805" spans="59:62" x14ac:dyDescent="0.3">
      <c r="BG3805" s="387"/>
      <c r="BH3805" s="386"/>
      <c r="BI3805" s="386"/>
      <c r="BJ3805" s="46"/>
    </row>
    <row r="3806" spans="59:62" x14ac:dyDescent="0.3">
      <c r="BG3806" s="387"/>
      <c r="BH3806" s="386"/>
      <c r="BI3806" s="386"/>
      <c r="BJ3806" s="46"/>
    </row>
    <row r="3807" spans="59:62" x14ac:dyDescent="0.3">
      <c r="BG3807" s="387"/>
      <c r="BH3807" s="386"/>
      <c r="BI3807" s="386"/>
      <c r="BJ3807" s="46"/>
    </row>
    <row r="3808" spans="59:62" x14ac:dyDescent="0.3">
      <c r="BG3808" s="387"/>
      <c r="BH3808" s="386"/>
      <c r="BI3808" s="386"/>
      <c r="BJ3808" s="46"/>
    </row>
    <row r="3809" spans="59:62" x14ac:dyDescent="0.3">
      <c r="BG3809" s="387"/>
      <c r="BH3809" s="386"/>
      <c r="BI3809" s="386"/>
      <c r="BJ3809" s="46"/>
    </row>
    <row r="3810" spans="59:62" x14ac:dyDescent="0.3">
      <c r="BG3810" s="387"/>
      <c r="BH3810" s="386"/>
      <c r="BI3810" s="386"/>
      <c r="BJ3810" s="46"/>
    </row>
    <row r="3811" spans="59:62" x14ac:dyDescent="0.3">
      <c r="BG3811" s="387"/>
      <c r="BH3811" s="386"/>
      <c r="BI3811" s="386"/>
      <c r="BJ3811" s="46"/>
    </row>
    <row r="3812" spans="59:62" x14ac:dyDescent="0.3">
      <c r="BG3812" s="387"/>
      <c r="BH3812" s="386"/>
      <c r="BI3812" s="386"/>
      <c r="BJ3812" s="46"/>
    </row>
    <row r="3813" spans="59:62" x14ac:dyDescent="0.3">
      <c r="BG3813" s="387"/>
      <c r="BH3813" s="386"/>
      <c r="BI3813" s="386"/>
      <c r="BJ3813" s="46"/>
    </row>
    <row r="3814" spans="59:62" x14ac:dyDescent="0.3">
      <c r="BG3814" s="387"/>
      <c r="BH3814" s="386"/>
      <c r="BI3814" s="386"/>
      <c r="BJ3814" s="46"/>
    </row>
    <row r="3815" spans="59:62" x14ac:dyDescent="0.3">
      <c r="BG3815" s="387"/>
      <c r="BH3815" s="386"/>
      <c r="BI3815" s="386"/>
      <c r="BJ3815" s="46"/>
    </row>
    <row r="3816" spans="59:62" x14ac:dyDescent="0.3">
      <c r="BG3816" s="387"/>
      <c r="BH3816" s="386"/>
      <c r="BI3816" s="386"/>
      <c r="BJ3816" s="46"/>
    </row>
    <row r="3817" spans="59:62" x14ac:dyDescent="0.3">
      <c r="BG3817" s="387"/>
      <c r="BH3817" s="386"/>
      <c r="BI3817" s="386"/>
      <c r="BJ3817" s="46"/>
    </row>
    <row r="3818" spans="59:62" x14ac:dyDescent="0.3">
      <c r="BG3818" s="387"/>
      <c r="BH3818" s="386"/>
      <c r="BI3818" s="386"/>
      <c r="BJ3818" s="46"/>
    </row>
    <row r="3819" spans="59:62" x14ac:dyDescent="0.3">
      <c r="BG3819" s="387"/>
      <c r="BH3819" s="386"/>
      <c r="BI3819" s="386"/>
      <c r="BJ3819" s="46"/>
    </row>
    <row r="3820" spans="59:62" x14ac:dyDescent="0.3">
      <c r="BG3820" s="387"/>
      <c r="BH3820" s="386"/>
      <c r="BI3820" s="386"/>
      <c r="BJ3820" s="46"/>
    </row>
    <row r="3821" spans="59:62" x14ac:dyDescent="0.3">
      <c r="BG3821" s="387"/>
      <c r="BH3821" s="386"/>
      <c r="BI3821" s="386"/>
      <c r="BJ3821" s="46"/>
    </row>
    <row r="3822" spans="59:62" x14ac:dyDescent="0.3">
      <c r="BG3822" s="387"/>
      <c r="BH3822" s="386"/>
      <c r="BI3822" s="386"/>
      <c r="BJ3822" s="46"/>
    </row>
    <row r="3823" spans="59:62" x14ac:dyDescent="0.3">
      <c r="BG3823" s="387"/>
      <c r="BH3823" s="386"/>
      <c r="BI3823" s="386"/>
      <c r="BJ3823" s="46"/>
    </row>
    <row r="3824" spans="59:62" x14ac:dyDescent="0.3">
      <c r="BG3824" s="387"/>
      <c r="BH3824" s="386"/>
      <c r="BI3824" s="386"/>
      <c r="BJ3824" s="46"/>
    </row>
    <row r="3825" spans="59:62" x14ac:dyDescent="0.3">
      <c r="BG3825" s="387"/>
      <c r="BH3825" s="386"/>
      <c r="BI3825" s="386"/>
      <c r="BJ3825" s="46"/>
    </row>
    <row r="3826" spans="59:62" x14ac:dyDescent="0.3">
      <c r="BG3826" s="387"/>
      <c r="BH3826" s="386"/>
      <c r="BI3826" s="386"/>
      <c r="BJ3826" s="46"/>
    </row>
    <row r="3827" spans="59:62" x14ac:dyDescent="0.3">
      <c r="BG3827" s="387"/>
      <c r="BH3827" s="386"/>
      <c r="BI3827" s="386"/>
      <c r="BJ3827" s="46"/>
    </row>
    <row r="3828" spans="59:62" x14ac:dyDescent="0.3">
      <c r="BG3828" s="387"/>
      <c r="BH3828" s="386"/>
      <c r="BI3828" s="386"/>
      <c r="BJ3828" s="46"/>
    </row>
    <row r="3829" spans="59:62" x14ac:dyDescent="0.3">
      <c r="BG3829" s="387"/>
      <c r="BH3829" s="386"/>
      <c r="BI3829" s="386"/>
      <c r="BJ3829" s="46"/>
    </row>
    <row r="3830" spans="59:62" x14ac:dyDescent="0.3">
      <c r="BG3830" s="387"/>
      <c r="BH3830" s="386"/>
      <c r="BI3830" s="386"/>
      <c r="BJ3830" s="46"/>
    </row>
    <row r="3831" spans="59:62" x14ac:dyDescent="0.3">
      <c r="BG3831" s="387"/>
      <c r="BH3831" s="386"/>
      <c r="BI3831" s="386"/>
      <c r="BJ3831" s="46"/>
    </row>
    <row r="3832" spans="59:62" x14ac:dyDescent="0.3">
      <c r="BG3832" s="387"/>
      <c r="BH3832" s="386"/>
      <c r="BI3832" s="386"/>
      <c r="BJ3832" s="46"/>
    </row>
    <row r="3833" spans="59:62" x14ac:dyDescent="0.3">
      <c r="BG3833" s="387"/>
      <c r="BH3833" s="386"/>
      <c r="BI3833" s="386"/>
      <c r="BJ3833" s="46"/>
    </row>
    <row r="3834" spans="59:62" x14ac:dyDescent="0.3">
      <c r="BG3834" s="387"/>
      <c r="BH3834" s="386"/>
      <c r="BI3834" s="386"/>
      <c r="BJ3834" s="46"/>
    </row>
    <row r="3835" spans="59:62" x14ac:dyDescent="0.3">
      <c r="BG3835" s="387"/>
      <c r="BH3835" s="386"/>
      <c r="BI3835" s="386"/>
      <c r="BJ3835" s="46"/>
    </row>
    <row r="3836" spans="59:62" x14ac:dyDescent="0.3">
      <c r="BG3836" s="387"/>
      <c r="BH3836" s="386"/>
      <c r="BI3836" s="386"/>
      <c r="BJ3836" s="46"/>
    </row>
    <row r="3837" spans="59:62" x14ac:dyDescent="0.3">
      <c r="BG3837" s="387"/>
      <c r="BH3837" s="386"/>
      <c r="BI3837" s="386"/>
      <c r="BJ3837" s="46"/>
    </row>
    <row r="3838" spans="59:62" x14ac:dyDescent="0.3">
      <c r="BG3838" s="387"/>
      <c r="BH3838" s="386"/>
      <c r="BI3838" s="386"/>
      <c r="BJ3838" s="46"/>
    </row>
    <row r="3839" spans="59:62" x14ac:dyDescent="0.3">
      <c r="BG3839" s="387"/>
      <c r="BH3839" s="386"/>
      <c r="BI3839" s="386"/>
      <c r="BJ3839" s="46"/>
    </row>
    <row r="3840" spans="59:62" x14ac:dyDescent="0.3">
      <c r="BG3840" s="387"/>
      <c r="BH3840" s="386"/>
      <c r="BI3840" s="386"/>
      <c r="BJ3840" s="46"/>
    </row>
    <row r="3841" spans="59:62" x14ac:dyDescent="0.3">
      <c r="BG3841" s="387"/>
      <c r="BH3841" s="386"/>
      <c r="BI3841" s="386"/>
      <c r="BJ3841" s="46"/>
    </row>
    <row r="3842" spans="59:62" x14ac:dyDescent="0.3">
      <c r="BG3842" s="387"/>
      <c r="BH3842" s="386"/>
      <c r="BI3842" s="386"/>
      <c r="BJ3842" s="46"/>
    </row>
    <row r="3843" spans="59:62" x14ac:dyDescent="0.3">
      <c r="BG3843" s="387"/>
      <c r="BH3843" s="386"/>
      <c r="BI3843" s="386"/>
      <c r="BJ3843" s="46"/>
    </row>
    <row r="3844" spans="59:62" x14ac:dyDescent="0.3">
      <c r="BG3844" s="387"/>
      <c r="BH3844" s="386"/>
      <c r="BI3844" s="386"/>
      <c r="BJ3844" s="46"/>
    </row>
    <row r="3845" spans="59:62" x14ac:dyDescent="0.3">
      <c r="BG3845" s="387"/>
      <c r="BH3845" s="386"/>
      <c r="BI3845" s="386"/>
      <c r="BJ3845" s="46"/>
    </row>
    <row r="3846" spans="59:62" x14ac:dyDescent="0.3">
      <c r="BG3846" s="387"/>
      <c r="BH3846" s="386"/>
      <c r="BI3846" s="386"/>
      <c r="BJ3846" s="46"/>
    </row>
    <row r="3847" spans="59:62" x14ac:dyDescent="0.3">
      <c r="BG3847" s="387"/>
      <c r="BH3847" s="386"/>
      <c r="BI3847" s="386"/>
      <c r="BJ3847" s="46"/>
    </row>
    <row r="3848" spans="59:62" x14ac:dyDescent="0.3">
      <c r="BG3848" s="387"/>
      <c r="BH3848" s="386"/>
      <c r="BI3848" s="386"/>
      <c r="BJ3848" s="46"/>
    </row>
    <row r="3849" spans="59:62" x14ac:dyDescent="0.3">
      <c r="BG3849" s="387"/>
      <c r="BH3849" s="386"/>
      <c r="BI3849" s="386"/>
      <c r="BJ3849" s="46"/>
    </row>
    <row r="3850" spans="59:62" x14ac:dyDescent="0.3">
      <c r="BG3850" s="387"/>
      <c r="BH3850" s="386"/>
      <c r="BI3850" s="386"/>
      <c r="BJ3850" s="46"/>
    </row>
    <row r="3851" spans="59:62" x14ac:dyDescent="0.3">
      <c r="BG3851" s="387"/>
      <c r="BH3851" s="386"/>
      <c r="BI3851" s="386"/>
      <c r="BJ3851" s="46"/>
    </row>
    <row r="3852" spans="59:62" x14ac:dyDescent="0.3">
      <c r="BG3852" s="387"/>
      <c r="BH3852" s="386"/>
      <c r="BI3852" s="386"/>
      <c r="BJ3852" s="46"/>
    </row>
    <row r="3853" spans="59:62" x14ac:dyDescent="0.3">
      <c r="BG3853" s="387"/>
      <c r="BH3853" s="386"/>
      <c r="BI3853" s="386"/>
      <c r="BJ3853" s="46"/>
    </row>
    <row r="3854" spans="59:62" x14ac:dyDescent="0.3">
      <c r="BG3854" s="387"/>
      <c r="BH3854" s="386"/>
      <c r="BI3854" s="386"/>
      <c r="BJ3854" s="46"/>
    </row>
    <row r="3855" spans="59:62" x14ac:dyDescent="0.3">
      <c r="BG3855" s="387"/>
      <c r="BH3855" s="386"/>
      <c r="BI3855" s="386"/>
      <c r="BJ3855" s="46"/>
    </row>
    <row r="3856" spans="59:62" x14ac:dyDescent="0.3">
      <c r="BG3856" s="387"/>
      <c r="BH3856" s="386"/>
      <c r="BI3856" s="386"/>
      <c r="BJ3856" s="46"/>
    </row>
    <row r="3857" spans="59:62" x14ac:dyDescent="0.3">
      <c r="BG3857" s="387"/>
      <c r="BH3857" s="386"/>
      <c r="BI3857" s="386"/>
      <c r="BJ3857" s="46"/>
    </row>
    <row r="3858" spans="59:62" x14ac:dyDescent="0.3">
      <c r="BG3858" s="387"/>
      <c r="BH3858" s="386"/>
      <c r="BI3858" s="386"/>
      <c r="BJ3858" s="46"/>
    </row>
    <row r="3859" spans="59:62" x14ac:dyDescent="0.3">
      <c r="BG3859" s="387"/>
      <c r="BH3859" s="386"/>
      <c r="BI3859" s="386"/>
      <c r="BJ3859" s="46"/>
    </row>
    <row r="3860" spans="59:62" x14ac:dyDescent="0.3">
      <c r="BG3860" s="387"/>
      <c r="BH3860" s="386"/>
      <c r="BI3860" s="386"/>
      <c r="BJ3860" s="46"/>
    </row>
    <row r="3861" spans="59:62" x14ac:dyDescent="0.3">
      <c r="BG3861" s="387"/>
      <c r="BH3861" s="386"/>
      <c r="BI3861" s="386"/>
      <c r="BJ3861" s="46"/>
    </row>
    <row r="3862" spans="59:62" x14ac:dyDescent="0.3">
      <c r="BG3862" s="387"/>
      <c r="BH3862" s="386"/>
      <c r="BI3862" s="386"/>
      <c r="BJ3862" s="46"/>
    </row>
    <row r="3863" spans="59:62" x14ac:dyDescent="0.3">
      <c r="BG3863" s="387"/>
      <c r="BH3863" s="386"/>
      <c r="BI3863" s="386"/>
      <c r="BJ3863" s="46"/>
    </row>
    <row r="3864" spans="59:62" x14ac:dyDescent="0.3">
      <c r="BG3864" s="387"/>
      <c r="BH3864" s="386"/>
      <c r="BI3864" s="386"/>
      <c r="BJ3864" s="46"/>
    </row>
    <row r="3865" spans="59:62" x14ac:dyDescent="0.3">
      <c r="BG3865" s="387"/>
      <c r="BH3865" s="386"/>
      <c r="BI3865" s="386"/>
      <c r="BJ3865" s="46"/>
    </row>
    <row r="3866" spans="59:62" x14ac:dyDescent="0.3">
      <c r="BG3866" s="387"/>
      <c r="BH3866" s="386"/>
      <c r="BI3866" s="386"/>
      <c r="BJ3866" s="46"/>
    </row>
    <row r="3867" spans="59:62" x14ac:dyDescent="0.3">
      <c r="BG3867" s="387"/>
      <c r="BH3867" s="386"/>
      <c r="BI3867" s="386"/>
      <c r="BJ3867" s="46"/>
    </row>
    <row r="3868" spans="59:62" x14ac:dyDescent="0.3">
      <c r="BG3868" s="387"/>
      <c r="BH3868" s="386"/>
      <c r="BI3868" s="386"/>
      <c r="BJ3868" s="46"/>
    </row>
    <row r="3869" spans="59:62" x14ac:dyDescent="0.3">
      <c r="BG3869" s="387"/>
      <c r="BH3869" s="386"/>
      <c r="BI3869" s="386"/>
      <c r="BJ3869" s="46"/>
    </row>
    <row r="3870" spans="59:62" x14ac:dyDescent="0.3">
      <c r="BG3870" s="387"/>
      <c r="BH3870" s="386"/>
      <c r="BI3870" s="386"/>
      <c r="BJ3870" s="46"/>
    </row>
    <row r="3871" spans="59:62" x14ac:dyDescent="0.3">
      <c r="BG3871" s="387"/>
      <c r="BH3871" s="386"/>
      <c r="BI3871" s="386"/>
      <c r="BJ3871" s="46"/>
    </row>
    <row r="3872" spans="59:62" x14ac:dyDescent="0.3">
      <c r="BG3872" s="387"/>
      <c r="BH3872" s="386"/>
      <c r="BI3872" s="386"/>
      <c r="BJ3872" s="46"/>
    </row>
    <row r="3873" spans="59:62" x14ac:dyDescent="0.3">
      <c r="BG3873" s="387"/>
      <c r="BH3873" s="386"/>
      <c r="BI3873" s="386"/>
      <c r="BJ3873" s="46"/>
    </row>
    <row r="3874" spans="59:62" x14ac:dyDescent="0.3">
      <c r="BG3874" s="387"/>
      <c r="BH3874" s="386"/>
      <c r="BI3874" s="386"/>
      <c r="BJ3874" s="46"/>
    </row>
    <row r="3875" spans="59:62" x14ac:dyDescent="0.3">
      <c r="BG3875" s="387"/>
      <c r="BH3875" s="386"/>
      <c r="BI3875" s="386"/>
      <c r="BJ3875" s="46"/>
    </row>
    <row r="3876" spans="59:62" x14ac:dyDescent="0.3">
      <c r="BG3876" s="387"/>
      <c r="BH3876" s="386"/>
      <c r="BI3876" s="386"/>
      <c r="BJ3876" s="46"/>
    </row>
    <row r="3877" spans="59:62" x14ac:dyDescent="0.3">
      <c r="BG3877" s="387"/>
      <c r="BH3877" s="386"/>
      <c r="BI3877" s="386"/>
      <c r="BJ3877" s="46"/>
    </row>
    <row r="3878" spans="59:62" x14ac:dyDescent="0.3">
      <c r="BG3878" s="387"/>
      <c r="BH3878" s="386"/>
      <c r="BI3878" s="386"/>
      <c r="BJ3878" s="46"/>
    </row>
    <row r="3879" spans="59:62" x14ac:dyDescent="0.3">
      <c r="BG3879" s="387"/>
      <c r="BH3879" s="386"/>
      <c r="BI3879" s="386"/>
      <c r="BJ3879" s="46"/>
    </row>
    <row r="3880" spans="59:62" x14ac:dyDescent="0.3">
      <c r="BG3880" s="387"/>
      <c r="BH3880" s="386"/>
      <c r="BI3880" s="386"/>
      <c r="BJ3880" s="46"/>
    </row>
    <row r="3881" spans="59:62" x14ac:dyDescent="0.3">
      <c r="BG3881" s="387"/>
      <c r="BH3881" s="386"/>
      <c r="BI3881" s="386"/>
      <c r="BJ3881" s="46"/>
    </row>
    <row r="3882" spans="59:62" x14ac:dyDescent="0.3">
      <c r="BG3882" s="387"/>
      <c r="BH3882" s="386"/>
      <c r="BI3882" s="386"/>
      <c r="BJ3882" s="46"/>
    </row>
    <row r="3883" spans="59:62" x14ac:dyDescent="0.3">
      <c r="BG3883" s="387"/>
      <c r="BH3883" s="386"/>
      <c r="BI3883" s="386"/>
      <c r="BJ3883" s="46"/>
    </row>
    <row r="3884" spans="59:62" x14ac:dyDescent="0.3">
      <c r="BG3884" s="387"/>
      <c r="BH3884" s="386"/>
      <c r="BI3884" s="386"/>
      <c r="BJ3884" s="46"/>
    </row>
    <row r="3885" spans="59:62" x14ac:dyDescent="0.3">
      <c r="BG3885" s="387"/>
      <c r="BH3885" s="386"/>
      <c r="BI3885" s="386"/>
      <c r="BJ3885" s="46"/>
    </row>
    <row r="3886" spans="59:62" x14ac:dyDescent="0.3">
      <c r="BG3886" s="387"/>
      <c r="BH3886" s="386"/>
      <c r="BI3886" s="386"/>
      <c r="BJ3886" s="46"/>
    </row>
    <row r="3887" spans="59:62" x14ac:dyDescent="0.3">
      <c r="BG3887" s="387"/>
      <c r="BH3887" s="386"/>
      <c r="BI3887" s="386"/>
      <c r="BJ3887" s="46"/>
    </row>
    <row r="3888" spans="59:62" x14ac:dyDescent="0.3">
      <c r="BG3888" s="387"/>
      <c r="BH3888" s="386"/>
      <c r="BI3888" s="386"/>
      <c r="BJ3888" s="46"/>
    </row>
    <row r="3889" spans="59:62" x14ac:dyDescent="0.3">
      <c r="BG3889" s="387"/>
      <c r="BH3889" s="386"/>
      <c r="BI3889" s="386"/>
      <c r="BJ3889" s="46"/>
    </row>
    <row r="3890" spans="59:62" x14ac:dyDescent="0.3">
      <c r="BG3890" s="387"/>
      <c r="BH3890" s="386"/>
      <c r="BI3890" s="386"/>
      <c r="BJ3890" s="46"/>
    </row>
    <row r="3891" spans="59:62" x14ac:dyDescent="0.3">
      <c r="BG3891" s="387"/>
      <c r="BH3891" s="386"/>
      <c r="BI3891" s="386"/>
      <c r="BJ3891" s="46"/>
    </row>
    <row r="3892" spans="59:62" x14ac:dyDescent="0.3">
      <c r="BG3892" s="387"/>
      <c r="BH3892" s="386"/>
      <c r="BI3892" s="386"/>
      <c r="BJ3892" s="46"/>
    </row>
    <row r="3893" spans="59:62" x14ac:dyDescent="0.3">
      <c r="BG3893" s="387"/>
      <c r="BH3893" s="386"/>
      <c r="BI3893" s="386"/>
      <c r="BJ3893" s="46"/>
    </row>
    <row r="3894" spans="59:62" x14ac:dyDescent="0.3">
      <c r="BG3894" s="387"/>
      <c r="BH3894" s="386"/>
      <c r="BI3894" s="386"/>
      <c r="BJ3894" s="46"/>
    </row>
    <row r="3895" spans="59:62" x14ac:dyDescent="0.3">
      <c r="BG3895" s="387"/>
      <c r="BH3895" s="386"/>
      <c r="BI3895" s="386"/>
      <c r="BJ3895" s="46"/>
    </row>
    <row r="3896" spans="59:62" x14ac:dyDescent="0.3">
      <c r="BG3896" s="387"/>
      <c r="BH3896" s="386"/>
      <c r="BI3896" s="386"/>
      <c r="BJ3896" s="46"/>
    </row>
    <row r="3897" spans="59:62" x14ac:dyDescent="0.3">
      <c r="BG3897" s="387"/>
      <c r="BH3897" s="386"/>
      <c r="BI3897" s="386"/>
      <c r="BJ3897" s="46"/>
    </row>
    <row r="3898" spans="59:62" x14ac:dyDescent="0.3">
      <c r="BG3898" s="387"/>
      <c r="BH3898" s="386"/>
      <c r="BI3898" s="386"/>
      <c r="BJ3898" s="46"/>
    </row>
    <row r="3899" spans="59:62" x14ac:dyDescent="0.3">
      <c r="BG3899" s="387"/>
      <c r="BH3899" s="386"/>
      <c r="BI3899" s="386"/>
      <c r="BJ3899" s="46"/>
    </row>
    <row r="3900" spans="59:62" x14ac:dyDescent="0.3">
      <c r="BG3900" s="387"/>
      <c r="BH3900" s="386"/>
      <c r="BI3900" s="386"/>
      <c r="BJ3900" s="46"/>
    </row>
    <row r="3901" spans="59:62" x14ac:dyDescent="0.3">
      <c r="BG3901" s="387"/>
      <c r="BH3901" s="386"/>
      <c r="BI3901" s="386"/>
      <c r="BJ3901" s="46"/>
    </row>
    <row r="3902" spans="59:62" x14ac:dyDescent="0.3">
      <c r="BG3902" s="387"/>
      <c r="BH3902" s="386"/>
      <c r="BI3902" s="386"/>
      <c r="BJ3902" s="46"/>
    </row>
    <row r="3903" spans="59:62" x14ac:dyDescent="0.3">
      <c r="BG3903" s="387"/>
      <c r="BH3903" s="386"/>
      <c r="BI3903" s="386"/>
      <c r="BJ3903" s="46"/>
    </row>
    <row r="3904" spans="59:62" x14ac:dyDescent="0.3">
      <c r="BG3904" s="387"/>
      <c r="BH3904" s="386"/>
      <c r="BI3904" s="386"/>
      <c r="BJ3904" s="46"/>
    </row>
    <row r="3905" spans="59:62" x14ac:dyDescent="0.3">
      <c r="BG3905" s="387"/>
      <c r="BH3905" s="386"/>
      <c r="BI3905" s="386"/>
      <c r="BJ3905" s="46"/>
    </row>
    <row r="3906" spans="59:62" x14ac:dyDescent="0.3">
      <c r="BG3906" s="387"/>
      <c r="BH3906" s="386"/>
      <c r="BI3906" s="386"/>
      <c r="BJ3906" s="46"/>
    </row>
    <row r="3907" spans="59:62" x14ac:dyDescent="0.3">
      <c r="BG3907" s="387"/>
      <c r="BH3907" s="386"/>
      <c r="BI3907" s="386"/>
      <c r="BJ3907" s="46"/>
    </row>
    <row r="3908" spans="59:62" x14ac:dyDescent="0.3">
      <c r="BG3908" s="387"/>
      <c r="BH3908" s="386"/>
      <c r="BI3908" s="386"/>
      <c r="BJ3908" s="46"/>
    </row>
    <row r="3909" spans="59:62" x14ac:dyDescent="0.3">
      <c r="BG3909" s="387"/>
      <c r="BH3909" s="386"/>
      <c r="BI3909" s="386"/>
      <c r="BJ3909" s="46"/>
    </row>
    <row r="3910" spans="59:62" x14ac:dyDescent="0.3">
      <c r="BG3910" s="387"/>
      <c r="BH3910" s="386"/>
      <c r="BI3910" s="386"/>
      <c r="BJ3910" s="46"/>
    </row>
    <row r="3911" spans="59:62" x14ac:dyDescent="0.3">
      <c r="BG3911" s="387"/>
      <c r="BH3911" s="386"/>
      <c r="BI3911" s="386"/>
      <c r="BJ3911" s="46"/>
    </row>
    <row r="3912" spans="59:62" x14ac:dyDescent="0.3">
      <c r="BG3912" s="387"/>
      <c r="BH3912" s="386"/>
      <c r="BI3912" s="386"/>
      <c r="BJ3912" s="46"/>
    </row>
    <row r="3913" spans="59:62" x14ac:dyDescent="0.3">
      <c r="BG3913" s="387"/>
      <c r="BH3913" s="386"/>
      <c r="BI3913" s="386"/>
      <c r="BJ3913" s="46"/>
    </row>
    <row r="3914" spans="59:62" x14ac:dyDescent="0.3">
      <c r="BG3914" s="387"/>
      <c r="BH3914" s="386"/>
      <c r="BI3914" s="386"/>
      <c r="BJ3914" s="46"/>
    </row>
    <row r="3915" spans="59:62" x14ac:dyDescent="0.3">
      <c r="BG3915" s="387"/>
      <c r="BH3915" s="386"/>
      <c r="BI3915" s="386"/>
      <c r="BJ3915" s="46"/>
    </row>
    <row r="3916" spans="59:62" x14ac:dyDescent="0.3">
      <c r="BG3916" s="387"/>
      <c r="BH3916" s="386"/>
      <c r="BI3916" s="386"/>
      <c r="BJ3916" s="46"/>
    </row>
    <row r="3917" spans="59:62" x14ac:dyDescent="0.3">
      <c r="BG3917" s="387"/>
      <c r="BH3917" s="386"/>
      <c r="BI3917" s="386"/>
      <c r="BJ3917" s="46"/>
    </row>
    <row r="3918" spans="59:62" x14ac:dyDescent="0.3">
      <c r="BG3918" s="387"/>
      <c r="BH3918" s="386"/>
      <c r="BI3918" s="386"/>
      <c r="BJ3918" s="46"/>
    </row>
    <row r="3919" spans="59:62" x14ac:dyDescent="0.3">
      <c r="BG3919" s="387"/>
      <c r="BH3919" s="386"/>
      <c r="BI3919" s="386"/>
      <c r="BJ3919" s="46"/>
    </row>
    <row r="3920" spans="59:62" x14ac:dyDescent="0.3">
      <c r="BG3920" s="387"/>
      <c r="BH3920" s="386"/>
      <c r="BI3920" s="386"/>
      <c r="BJ3920" s="46"/>
    </row>
    <row r="3921" spans="59:62" x14ac:dyDescent="0.3">
      <c r="BG3921" s="387"/>
      <c r="BH3921" s="386"/>
      <c r="BI3921" s="386"/>
      <c r="BJ3921" s="46"/>
    </row>
    <row r="3922" spans="59:62" x14ac:dyDescent="0.3">
      <c r="BG3922" s="387"/>
      <c r="BH3922" s="386"/>
      <c r="BI3922" s="386"/>
      <c r="BJ3922" s="46"/>
    </row>
    <row r="3923" spans="59:62" x14ac:dyDescent="0.3">
      <c r="BG3923" s="387"/>
      <c r="BH3923" s="386"/>
      <c r="BI3923" s="386"/>
      <c r="BJ3923" s="46"/>
    </row>
    <row r="3924" spans="59:62" x14ac:dyDescent="0.3">
      <c r="BG3924" s="387"/>
      <c r="BH3924" s="386"/>
      <c r="BI3924" s="386"/>
      <c r="BJ3924" s="46"/>
    </row>
    <row r="3925" spans="59:62" x14ac:dyDescent="0.3">
      <c r="BG3925" s="387"/>
      <c r="BH3925" s="386"/>
      <c r="BI3925" s="386"/>
      <c r="BJ3925" s="46"/>
    </row>
    <row r="3926" spans="59:62" x14ac:dyDescent="0.3">
      <c r="BG3926" s="387"/>
      <c r="BH3926" s="386"/>
      <c r="BI3926" s="386"/>
      <c r="BJ3926" s="46"/>
    </row>
    <row r="3927" spans="59:62" x14ac:dyDescent="0.3">
      <c r="BG3927" s="387"/>
      <c r="BH3927" s="386"/>
      <c r="BI3927" s="386"/>
      <c r="BJ3927" s="46"/>
    </row>
    <row r="3928" spans="59:62" x14ac:dyDescent="0.3">
      <c r="BG3928" s="387"/>
      <c r="BH3928" s="386"/>
      <c r="BI3928" s="386"/>
      <c r="BJ3928" s="46"/>
    </row>
    <row r="3929" spans="59:62" x14ac:dyDescent="0.3">
      <c r="BG3929" s="387"/>
      <c r="BH3929" s="386"/>
      <c r="BI3929" s="386"/>
      <c r="BJ3929" s="46"/>
    </row>
    <row r="3930" spans="59:62" x14ac:dyDescent="0.3">
      <c r="BG3930" s="387"/>
      <c r="BH3930" s="386"/>
      <c r="BI3930" s="386"/>
      <c r="BJ3930" s="46"/>
    </row>
    <row r="3931" spans="59:62" x14ac:dyDescent="0.3">
      <c r="BG3931" s="387"/>
      <c r="BH3931" s="386"/>
      <c r="BI3931" s="386"/>
      <c r="BJ3931" s="46"/>
    </row>
    <row r="3932" spans="59:62" x14ac:dyDescent="0.3">
      <c r="BG3932" s="387"/>
      <c r="BH3932" s="386"/>
      <c r="BI3932" s="386"/>
      <c r="BJ3932" s="46"/>
    </row>
    <row r="3933" spans="59:62" x14ac:dyDescent="0.3">
      <c r="BG3933" s="387"/>
      <c r="BH3933" s="386"/>
      <c r="BI3933" s="386"/>
      <c r="BJ3933" s="46"/>
    </row>
    <row r="3934" spans="59:62" x14ac:dyDescent="0.3">
      <c r="BG3934" s="387"/>
      <c r="BH3934" s="386"/>
      <c r="BI3934" s="386"/>
      <c r="BJ3934" s="46"/>
    </row>
    <row r="3935" spans="59:62" x14ac:dyDescent="0.3">
      <c r="BG3935" s="387"/>
      <c r="BH3935" s="386"/>
      <c r="BI3935" s="386"/>
      <c r="BJ3935" s="46"/>
    </row>
    <row r="3936" spans="59:62" x14ac:dyDescent="0.3">
      <c r="BG3936" s="387"/>
      <c r="BH3936" s="386"/>
      <c r="BI3936" s="386"/>
      <c r="BJ3936" s="46"/>
    </row>
    <row r="3937" spans="59:62" x14ac:dyDescent="0.3">
      <c r="BG3937" s="387"/>
      <c r="BH3937" s="386"/>
      <c r="BI3937" s="386"/>
      <c r="BJ3937" s="46"/>
    </row>
    <row r="3938" spans="59:62" x14ac:dyDescent="0.3">
      <c r="BG3938" s="387"/>
      <c r="BH3938" s="386"/>
      <c r="BI3938" s="386"/>
      <c r="BJ3938" s="46"/>
    </row>
    <row r="3939" spans="59:62" x14ac:dyDescent="0.3">
      <c r="BG3939" s="387"/>
      <c r="BH3939" s="386"/>
      <c r="BI3939" s="386"/>
      <c r="BJ3939" s="46"/>
    </row>
    <row r="3940" spans="59:62" x14ac:dyDescent="0.3">
      <c r="BG3940" s="387"/>
      <c r="BH3940" s="386"/>
      <c r="BI3940" s="386"/>
      <c r="BJ3940" s="46"/>
    </row>
    <row r="3941" spans="59:62" x14ac:dyDescent="0.3">
      <c r="BG3941" s="387"/>
      <c r="BH3941" s="386"/>
      <c r="BI3941" s="386"/>
      <c r="BJ3941" s="46"/>
    </row>
    <row r="3942" spans="59:62" x14ac:dyDescent="0.3">
      <c r="BG3942" s="387"/>
      <c r="BH3942" s="386"/>
      <c r="BI3942" s="386"/>
      <c r="BJ3942" s="46"/>
    </row>
    <row r="3943" spans="59:62" x14ac:dyDescent="0.3">
      <c r="BG3943" s="387"/>
      <c r="BH3943" s="386"/>
      <c r="BI3943" s="386"/>
      <c r="BJ3943" s="46"/>
    </row>
    <row r="3944" spans="59:62" x14ac:dyDescent="0.3">
      <c r="BG3944" s="387"/>
      <c r="BH3944" s="386"/>
      <c r="BI3944" s="386"/>
      <c r="BJ3944" s="46"/>
    </row>
    <row r="3945" spans="59:62" x14ac:dyDescent="0.3">
      <c r="BG3945" s="387"/>
      <c r="BH3945" s="386"/>
      <c r="BI3945" s="386"/>
      <c r="BJ3945" s="46"/>
    </row>
    <row r="3946" spans="59:62" x14ac:dyDescent="0.3">
      <c r="BG3946" s="387"/>
      <c r="BH3946" s="386"/>
      <c r="BI3946" s="386"/>
      <c r="BJ3946" s="46"/>
    </row>
    <row r="3947" spans="59:62" x14ac:dyDescent="0.3">
      <c r="BG3947" s="387"/>
      <c r="BH3947" s="386"/>
      <c r="BI3947" s="386"/>
      <c r="BJ3947" s="46"/>
    </row>
    <row r="3948" spans="59:62" x14ac:dyDescent="0.3">
      <c r="BG3948" s="387"/>
      <c r="BH3948" s="386"/>
      <c r="BI3948" s="386"/>
      <c r="BJ3948" s="46"/>
    </row>
    <row r="3949" spans="59:62" x14ac:dyDescent="0.3">
      <c r="BG3949" s="387"/>
      <c r="BH3949" s="386"/>
      <c r="BI3949" s="386"/>
      <c r="BJ3949" s="46"/>
    </row>
    <row r="3950" spans="59:62" x14ac:dyDescent="0.3">
      <c r="BG3950" s="387"/>
      <c r="BH3950" s="386"/>
      <c r="BI3950" s="386"/>
      <c r="BJ3950" s="46"/>
    </row>
    <row r="3951" spans="59:62" x14ac:dyDescent="0.3">
      <c r="BG3951" s="387"/>
      <c r="BH3951" s="386"/>
      <c r="BI3951" s="386"/>
      <c r="BJ3951" s="46"/>
    </row>
    <row r="3952" spans="59:62" x14ac:dyDescent="0.3">
      <c r="BG3952" s="387"/>
      <c r="BH3952" s="386"/>
      <c r="BI3952" s="386"/>
      <c r="BJ3952" s="46"/>
    </row>
    <row r="3953" spans="59:62" x14ac:dyDescent="0.3">
      <c r="BG3953" s="387"/>
      <c r="BH3953" s="386"/>
      <c r="BI3953" s="386"/>
      <c r="BJ3953" s="46"/>
    </row>
    <row r="3954" spans="59:62" x14ac:dyDescent="0.3">
      <c r="BG3954" s="387"/>
      <c r="BH3954" s="386"/>
      <c r="BI3954" s="386"/>
      <c r="BJ3954" s="46"/>
    </row>
    <row r="3955" spans="59:62" x14ac:dyDescent="0.3">
      <c r="BG3955" s="387"/>
      <c r="BH3955" s="386"/>
      <c r="BI3955" s="386"/>
      <c r="BJ3955" s="46"/>
    </row>
    <row r="3956" spans="59:62" x14ac:dyDescent="0.3">
      <c r="BG3956" s="387"/>
      <c r="BH3956" s="386"/>
      <c r="BI3956" s="386"/>
      <c r="BJ3956" s="46"/>
    </row>
    <row r="3957" spans="59:62" x14ac:dyDescent="0.3">
      <c r="BG3957" s="387"/>
      <c r="BH3957" s="386"/>
      <c r="BI3957" s="386"/>
      <c r="BJ3957" s="46"/>
    </row>
    <row r="3958" spans="59:62" x14ac:dyDescent="0.3">
      <c r="BG3958" s="387"/>
      <c r="BH3958" s="386"/>
      <c r="BI3958" s="386"/>
      <c r="BJ3958" s="46"/>
    </row>
    <row r="3959" spans="59:62" x14ac:dyDescent="0.3">
      <c r="BG3959" s="387"/>
      <c r="BH3959" s="386"/>
      <c r="BI3959" s="386"/>
      <c r="BJ3959" s="46"/>
    </row>
    <row r="3960" spans="59:62" x14ac:dyDescent="0.3">
      <c r="BG3960" s="387"/>
      <c r="BH3960" s="386"/>
      <c r="BI3960" s="386"/>
      <c r="BJ3960" s="46"/>
    </row>
    <row r="3961" spans="59:62" x14ac:dyDescent="0.3">
      <c r="BG3961" s="387"/>
      <c r="BH3961" s="386"/>
      <c r="BI3961" s="386"/>
      <c r="BJ3961" s="46"/>
    </row>
    <row r="3962" spans="59:62" x14ac:dyDescent="0.3">
      <c r="BG3962" s="387"/>
      <c r="BH3962" s="386"/>
      <c r="BI3962" s="386"/>
      <c r="BJ3962" s="46"/>
    </row>
    <row r="3963" spans="59:62" x14ac:dyDescent="0.3">
      <c r="BG3963" s="387"/>
      <c r="BH3963" s="386"/>
      <c r="BI3963" s="386"/>
      <c r="BJ3963" s="46"/>
    </row>
    <row r="3964" spans="59:62" x14ac:dyDescent="0.3">
      <c r="BG3964" s="387"/>
      <c r="BH3964" s="386"/>
      <c r="BI3964" s="386"/>
      <c r="BJ3964" s="46"/>
    </row>
    <row r="3965" spans="59:62" x14ac:dyDescent="0.3">
      <c r="BG3965" s="387"/>
      <c r="BH3965" s="386"/>
      <c r="BI3965" s="386"/>
      <c r="BJ3965" s="46"/>
    </row>
    <row r="3966" spans="59:62" x14ac:dyDescent="0.3">
      <c r="BG3966" s="387"/>
      <c r="BH3966" s="386"/>
      <c r="BI3966" s="386"/>
      <c r="BJ3966" s="46"/>
    </row>
    <row r="3967" spans="59:62" x14ac:dyDescent="0.3">
      <c r="BG3967" s="387"/>
      <c r="BH3967" s="386"/>
      <c r="BI3967" s="386"/>
      <c r="BJ3967" s="46"/>
    </row>
    <row r="3968" spans="59:62" x14ac:dyDescent="0.3">
      <c r="BG3968" s="387"/>
      <c r="BH3968" s="386"/>
      <c r="BI3968" s="386"/>
      <c r="BJ3968" s="46"/>
    </row>
    <row r="3969" spans="59:62" x14ac:dyDescent="0.3">
      <c r="BG3969" s="387"/>
      <c r="BH3969" s="386"/>
      <c r="BI3969" s="386"/>
      <c r="BJ3969" s="46"/>
    </row>
    <row r="3970" spans="59:62" x14ac:dyDescent="0.3">
      <c r="BG3970" s="387"/>
      <c r="BH3970" s="386"/>
      <c r="BI3970" s="386"/>
      <c r="BJ3970" s="46"/>
    </row>
    <row r="3971" spans="59:62" x14ac:dyDescent="0.3">
      <c r="BG3971" s="387"/>
      <c r="BH3971" s="386"/>
      <c r="BI3971" s="386"/>
      <c r="BJ3971" s="46"/>
    </row>
    <row r="3972" spans="59:62" x14ac:dyDescent="0.3">
      <c r="BG3972" s="387"/>
      <c r="BH3972" s="386"/>
      <c r="BI3972" s="386"/>
      <c r="BJ3972" s="46"/>
    </row>
    <row r="3973" spans="59:62" x14ac:dyDescent="0.3">
      <c r="BG3973" s="387"/>
      <c r="BH3973" s="386"/>
      <c r="BI3973" s="386"/>
      <c r="BJ3973" s="46"/>
    </row>
    <row r="3974" spans="59:62" x14ac:dyDescent="0.3">
      <c r="BG3974" s="387"/>
      <c r="BH3974" s="386"/>
      <c r="BI3974" s="386"/>
      <c r="BJ3974" s="46"/>
    </row>
    <row r="3975" spans="59:62" x14ac:dyDescent="0.3">
      <c r="BG3975" s="387"/>
      <c r="BH3975" s="386"/>
      <c r="BI3975" s="386"/>
      <c r="BJ3975" s="46"/>
    </row>
    <row r="3976" spans="59:62" x14ac:dyDescent="0.3">
      <c r="BG3976" s="387"/>
      <c r="BH3976" s="386"/>
      <c r="BI3976" s="386"/>
      <c r="BJ3976" s="46"/>
    </row>
    <row r="3977" spans="59:62" x14ac:dyDescent="0.3">
      <c r="BG3977" s="387"/>
      <c r="BH3977" s="386"/>
      <c r="BI3977" s="386"/>
      <c r="BJ3977" s="46"/>
    </row>
    <row r="3978" spans="59:62" x14ac:dyDescent="0.3">
      <c r="BG3978" s="387"/>
      <c r="BH3978" s="386"/>
      <c r="BI3978" s="386"/>
      <c r="BJ3978" s="46"/>
    </row>
    <row r="3979" spans="59:62" x14ac:dyDescent="0.3">
      <c r="BG3979" s="387"/>
      <c r="BH3979" s="386"/>
      <c r="BI3979" s="386"/>
      <c r="BJ3979" s="46"/>
    </row>
    <row r="3980" spans="59:62" x14ac:dyDescent="0.3">
      <c r="BG3980" s="387"/>
      <c r="BH3980" s="386"/>
      <c r="BI3980" s="386"/>
      <c r="BJ3980" s="46"/>
    </row>
    <row r="3981" spans="59:62" x14ac:dyDescent="0.3">
      <c r="BG3981" s="387"/>
      <c r="BH3981" s="386"/>
      <c r="BI3981" s="386"/>
      <c r="BJ3981" s="46"/>
    </row>
    <row r="3982" spans="59:62" x14ac:dyDescent="0.3">
      <c r="BG3982" s="387"/>
      <c r="BH3982" s="386"/>
      <c r="BI3982" s="386"/>
      <c r="BJ3982" s="46"/>
    </row>
    <row r="3983" spans="59:62" x14ac:dyDescent="0.3">
      <c r="BG3983" s="387"/>
      <c r="BH3983" s="386"/>
      <c r="BI3983" s="386"/>
      <c r="BJ3983" s="46"/>
    </row>
    <row r="3984" spans="59:62" x14ac:dyDescent="0.3">
      <c r="BG3984" s="387"/>
      <c r="BH3984" s="386"/>
      <c r="BI3984" s="386"/>
      <c r="BJ3984" s="46"/>
    </row>
    <row r="3985" spans="59:62" x14ac:dyDescent="0.3">
      <c r="BG3985" s="387"/>
      <c r="BH3985" s="386"/>
      <c r="BI3985" s="386"/>
      <c r="BJ3985" s="46"/>
    </row>
    <row r="3986" spans="59:62" x14ac:dyDescent="0.3">
      <c r="BG3986" s="387"/>
      <c r="BH3986" s="386"/>
      <c r="BI3986" s="386"/>
      <c r="BJ3986" s="46"/>
    </row>
    <row r="3987" spans="59:62" x14ac:dyDescent="0.3">
      <c r="BG3987" s="387"/>
      <c r="BH3987" s="386"/>
      <c r="BI3987" s="386"/>
      <c r="BJ3987" s="46"/>
    </row>
    <row r="3988" spans="59:62" x14ac:dyDescent="0.3">
      <c r="BG3988" s="387"/>
      <c r="BH3988" s="386"/>
      <c r="BI3988" s="386"/>
      <c r="BJ3988" s="46"/>
    </row>
    <row r="3989" spans="59:62" x14ac:dyDescent="0.3">
      <c r="BG3989" s="387"/>
      <c r="BH3989" s="386"/>
      <c r="BI3989" s="386"/>
      <c r="BJ3989" s="46"/>
    </row>
    <row r="3990" spans="59:62" x14ac:dyDescent="0.3">
      <c r="BG3990" s="387"/>
      <c r="BH3990" s="386"/>
      <c r="BI3990" s="386"/>
      <c r="BJ3990" s="46"/>
    </row>
    <row r="3991" spans="59:62" x14ac:dyDescent="0.3">
      <c r="BG3991" s="387"/>
      <c r="BH3991" s="386"/>
      <c r="BI3991" s="386"/>
      <c r="BJ3991" s="46"/>
    </row>
    <row r="3992" spans="59:62" x14ac:dyDescent="0.3">
      <c r="BG3992" s="387"/>
      <c r="BH3992" s="386"/>
      <c r="BI3992" s="386"/>
      <c r="BJ3992" s="46"/>
    </row>
    <row r="3993" spans="59:62" x14ac:dyDescent="0.3">
      <c r="BG3993" s="387"/>
      <c r="BH3993" s="386"/>
      <c r="BI3993" s="386"/>
      <c r="BJ3993" s="46"/>
    </row>
    <row r="3994" spans="59:62" x14ac:dyDescent="0.3">
      <c r="BG3994" s="387"/>
      <c r="BH3994" s="386"/>
      <c r="BI3994" s="386"/>
      <c r="BJ3994" s="46"/>
    </row>
    <row r="3995" spans="59:62" x14ac:dyDescent="0.3">
      <c r="BG3995" s="387"/>
      <c r="BH3995" s="386"/>
      <c r="BI3995" s="386"/>
      <c r="BJ3995" s="46"/>
    </row>
    <row r="3996" spans="59:62" x14ac:dyDescent="0.3">
      <c r="BG3996" s="387"/>
      <c r="BH3996" s="386"/>
      <c r="BI3996" s="386"/>
      <c r="BJ3996" s="46"/>
    </row>
    <row r="3997" spans="59:62" x14ac:dyDescent="0.3">
      <c r="BG3997" s="387"/>
      <c r="BH3997" s="386"/>
      <c r="BI3997" s="386"/>
      <c r="BJ3997" s="46"/>
    </row>
    <row r="3998" spans="59:62" x14ac:dyDescent="0.3">
      <c r="BG3998" s="387"/>
      <c r="BH3998" s="386"/>
      <c r="BI3998" s="386"/>
      <c r="BJ3998" s="46"/>
    </row>
    <row r="3999" spans="59:62" x14ac:dyDescent="0.3">
      <c r="BG3999" s="387"/>
      <c r="BH3999" s="386"/>
      <c r="BI3999" s="386"/>
      <c r="BJ3999" s="46"/>
    </row>
    <row r="4000" spans="59:62" x14ac:dyDescent="0.3">
      <c r="BG4000" s="387"/>
      <c r="BH4000" s="386"/>
      <c r="BI4000" s="386"/>
      <c r="BJ4000" s="46"/>
    </row>
    <row r="4001" spans="59:62" x14ac:dyDescent="0.3">
      <c r="BG4001" s="387"/>
      <c r="BH4001" s="386"/>
      <c r="BI4001" s="386"/>
      <c r="BJ4001" s="46"/>
    </row>
    <row r="4002" spans="59:62" x14ac:dyDescent="0.3">
      <c r="BG4002" s="387"/>
      <c r="BH4002" s="386"/>
      <c r="BI4002" s="386"/>
      <c r="BJ4002" s="46"/>
    </row>
    <row r="4003" spans="59:62" x14ac:dyDescent="0.3">
      <c r="BG4003" s="387"/>
      <c r="BH4003" s="386"/>
      <c r="BI4003" s="386"/>
      <c r="BJ4003" s="46"/>
    </row>
    <row r="4004" spans="59:62" x14ac:dyDescent="0.3">
      <c r="BG4004" s="387"/>
      <c r="BH4004" s="386"/>
      <c r="BI4004" s="386"/>
      <c r="BJ4004" s="46"/>
    </row>
    <row r="4005" spans="59:62" x14ac:dyDescent="0.3">
      <c r="BG4005" s="387"/>
      <c r="BH4005" s="386"/>
      <c r="BI4005" s="386"/>
      <c r="BJ4005" s="46"/>
    </row>
    <row r="4006" spans="59:62" x14ac:dyDescent="0.3">
      <c r="BG4006" s="387"/>
      <c r="BH4006" s="386"/>
      <c r="BI4006" s="386"/>
      <c r="BJ4006" s="46"/>
    </row>
    <row r="4007" spans="59:62" x14ac:dyDescent="0.3">
      <c r="BG4007" s="387"/>
      <c r="BH4007" s="386"/>
      <c r="BI4007" s="386"/>
      <c r="BJ4007" s="46"/>
    </row>
    <row r="4008" spans="59:62" x14ac:dyDescent="0.3">
      <c r="BG4008" s="387"/>
      <c r="BH4008" s="386"/>
      <c r="BI4008" s="386"/>
      <c r="BJ4008" s="46"/>
    </row>
    <row r="4009" spans="59:62" x14ac:dyDescent="0.3">
      <c r="BG4009" s="387"/>
      <c r="BH4009" s="386"/>
      <c r="BI4009" s="386"/>
      <c r="BJ4009" s="46"/>
    </row>
    <row r="4010" spans="59:62" x14ac:dyDescent="0.3">
      <c r="BG4010" s="387"/>
      <c r="BH4010" s="386"/>
      <c r="BI4010" s="386"/>
      <c r="BJ4010" s="46"/>
    </row>
    <row r="4011" spans="59:62" x14ac:dyDescent="0.3">
      <c r="BG4011" s="387"/>
      <c r="BH4011" s="386"/>
      <c r="BI4011" s="386"/>
      <c r="BJ4011" s="46"/>
    </row>
    <row r="4012" spans="59:62" x14ac:dyDescent="0.3">
      <c r="BG4012" s="387"/>
      <c r="BH4012" s="386"/>
      <c r="BI4012" s="386"/>
      <c r="BJ4012" s="46"/>
    </row>
    <row r="4013" spans="59:62" x14ac:dyDescent="0.3">
      <c r="BG4013" s="387"/>
      <c r="BH4013" s="386"/>
      <c r="BI4013" s="386"/>
      <c r="BJ4013" s="46"/>
    </row>
    <row r="4014" spans="59:62" x14ac:dyDescent="0.3">
      <c r="BG4014" s="387"/>
      <c r="BH4014" s="386"/>
      <c r="BI4014" s="386"/>
      <c r="BJ4014" s="46"/>
    </row>
    <row r="4015" spans="59:62" x14ac:dyDescent="0.3">
      <c r="BG4015" s="387"/>
      <c r="BH4015" s="386"/>
      <c r="BI4015" s="386"/>
      <c r="BJ4015" s="46"/>
    </row>
    <row r="4016" spans="59:62" x14ac:dyDescent="0.3">
      <c r="BG4016" s="387"/>
      <c r="BH4016" s="386"/>
      <c r="BI4016" s="386"/>
      <c r="BJ4016" s="46"/>
    </row>
    <row r="4017" spans="59:62" x14ac:dyDescent="0.3">
      <c r="BG4017" s="387"/>
      <c r="BH4017" s="386"/>
      <c r="BI4017" s="386"/>
      <c r="BJ4017" s="46"/>
    </row>
    <row r="4018" spans="59:62" x14ac:dyDescent="0.3">
      <c r="BG4018" s="387"/>
      <c r="BH4018" s="386"/>
      <c r="BI4018" s="386"/>
      <c r="BJ4018" s="46"/>
    </row>
    <row r="4019" spans="59:62" x14ac:dyDescent="0.3">
      <c r="BG4019" s="387"/>
      <c r="BH4019" s="386"/>
      <c r="BI4019" s="386"/>
      <c r="BJ4019" s="46"/>
    </row>
    <row r="4020" spans="59:62" x14ac:dyDescent="0.3">
      <c r="BG4020" s="387"/>
      <c r="BH4020" s="386"/>
      <c r="BI4020" s="386"/>
      <c r="BJ4020" s="46"/>
    </row>
    <row r="4021" spans="59:62" x14ac:dyDescent="0.3">
      <c r="BG4021" s="387"/>
      <c r="BH4021" s="386"/>
      <c r="BI4021" s="386"/>
      <c r="BJ4021" s="46"/>
    </row>
    <row r="4022" spans="59:62" x14ac:dyDescent="0.3">
      <c r="BG4022" s="387"/>
      <c r="BH4022" s="386"/>
      <c r="BI4022" s="386"/>
      <c r="BJ4022" s="46"/>
    </row>
    <row r="4023" spans="59:62" x14ac:dyDescent="0.3">
      <c r="BG4023" s="387"/>
      <c r="BH4023" s="386"/>
      <c r="BI4023" s="386"/>
      <c r="BJ4023" s="46"/>
    </row>
    <row r="4024" spans="59:62" x14ac:dyDescent="0.3">
      <c r="BG4024" s="387"/>
      <c r="BH4024" s="386"/>
      <c r="BI4024" s="386"/>
      <c r="BJ4024" s="46"/>
    </row>
    <row r="4025" spans="59:62" x14ac:dyDescent="0.3">
      <c r="BG4025" s="387"/>
      <c r="BH4025" s="386"/>
      <c r="BI4025" s="386"/>
      <c r="BJ4025" s="46"/>
    </row>
    <row r="4026" spans="59:62" x14ac:dyDescent="0.3">
      <c r="BG4026" s="387"/>
      <c r="BH4026" s="386"/>
      <c r="BI4026" s="386"/>
      <c r="BJ4026" s="46"/>
    </row>
    <row r="4027" spans="59:62" x14ac:dyDescent="0.3">
      <c r="BG4027" s="387"/>
      <c r="BH4027" s="386"/>
      <c r="BI4027" s="386"/>
      <c r="BJ4027" s="46"/>
    </row>
    <row r="4028" spans="59:62" x14ac:dyDescent="0.3">
      <c r="BG4028" s="387"/>
      <c r="BH4028" s="386"/>
      <c r="BI4028" s="386"/>
      <c r="BJ4028" s="46"/>
    </row>
    <row r="4029" spans="59:62" x14ac:dyDescent="0.3">
      <c r="BG4029" s="387"/>
      <c r="BH4029" s="386"/>
      <c r="BI4029" s="386"/>
      <c r="BJ4029" s="46"/>
    </row>
    <row r="4030" spans="59:62" x14ac:dyDescent="0.3">
      <c r="BG4030" s="387"/>
      <c r="BH4030" s="386"/>
      <c r="BI4030" s="386"/>
      <c r="BJ4030" s="46"/>
    </row>
    <row r="4031" spans="59:62" x14ac:dyDescent="0.3">
      <c r="BG4031" s="387"/>
      <c r="BH4031" s="386"/>
      <c r="BI4031" s="386"/>
      <c r="BJ4031" s="46"/>
    </row>
    <row r="4032" spans="59:62" x14ac:dyDescent="0.3">
      <c r="BG4032" s="387"/>
      <c r="BH4032" s="386"/>
      <c r="BI4032" s="386"/>
      <c r="BJ4032" s="46"/>
    </row>
    <row r="4033" spans="59:62" x14ac:dyDescent="0.3">
      <c r="BG4033" s="387"/>
      <c r="BH4033" s="386"/>
      <c r="BI4033" s="386"/>
      <c r="BJ4033" s="46"/>
    </row>
    <row r="4034" spans="59:62" x14ac:dyDescent="0.3">
      <c r="BG4034" s="387"/>
      <c r="BH4034" s="386"/>
      <c r="BI4034" s="386"/>
      <c r="BJ4034" s="46"/>
    </row>
    <row r="4035" spans="59:62" x14ac:dyDescent="0.3">
      <c r="BG4035" s="387"/>
      <c r="BH4035" s="386"/>
      <c r="BI4035" s="386"/>
      <c r="BJ4035" s="46"/>
    </row>
    <row r="4036" spans="59:62" x14ac:dyDescent="0.3">
      <c r="BG4036" s="387"/>
      <c r="BH4036" s="386"/>
      <c r="BI4036" s="386"/>
      <c r="BJ4036" s="46"/>
    </row>
    <row r="4037" spans="59:62" x14ac:dyDescent="0.3">
      <c r="BG4037" s="387"/>
      <c r="BH4037" s="386"/>
      <c r="BI4037" s="386"/>
      <c r="BJ4037" s="46"/>
    </row>
    <row r="4038" spans="59:62" x14ac:dyDescent="0.3">
      <c r="BG4038" s="387"/>
      <c r="BH4038" s="386"/>
      <c r="BI4038" s="386"/>
      <c r="BJ4038" s="46"/>
    </row>
    <row r="4039" spans="59:62" x14ac:dyDescent="0.3">
      <c r="BG4039" s="387"/>
      <c r="BH4039" s="386"/>
      <c r="BI4039" s="386"/>
      <c r="BJ4039" s="46"/>
    </row>
    <row r="4040" spans="59:62" x14ac:dyDescent="0.3">
      <c r="BG4040" s="387"/>
      <c r="BH4040" s="386"/>
      <c r="BI4040" s="386"/>
      <c r="BJ4040" s="46"/>
    </row>
    <row r="4041" spans="59:62" x14ac:dyDescent="0.3">
      <c r="BG4041" s="387"/>
      <c r="BH4041" s="386"/>
      <c r="BI4041" s="386"/>
      <c r="BJ4041" s="46"/>
    </row>
    <row r="4042" spans="59:62" x14ac:dyDescent="0.3">
      <c r="BG4042" s="387"/>
      <c r="BH4042" s="386"/>
      <c r="BI4042" s="386"/>
      <c r="BJ4042" s="46"/>
    </row>
    <row r="4043" spans="59:62" x14ac:dyDescent="0.3">
      <c r="BG4043" s="387"/>
      <c r="BH4043" s="386"/>
      <c r="BI4043" s="386"/>
      <c r="BJ4043" s="46"/>
    </row>
    <row r="4044" spans="59:62" x14ac:dyDescent="0.3">
      <c r="BG4044" s="387"/>
      <c r="BH4044" s="386"/>
      <c r="BI4044" s="386"/>
      <c r="BJ4044" s="46"/>
    </row>
    <row r="4045" spans="59:62" x14ac:dyDescent="0.3">
      <c r="BG4045" s="387"/>
      <c r="BH4045" s="386"/>
      <c r="BI4045" s="386"/>
      <c r="BJ4045" s="46"/>
    </row>
    <row r="4046" spans="59:62" x14ac:dyDescent="0.3">
      <c r="BG4046" s="387"/>
      <c r="BH4046" s="386"/>
      <c r="BI4046" s="386"/>
      <c r="BJ4046" s="46"/>
    </row>
    <row r="4047" spans="59:62" x14ac:dyDescent="0.3">
      <c r="BG4047" s="387"/>
      <c r="BH4047" s="386"/>
      <c r="BI4047" s="386"/>
      <c r="BJ4047" s="46"/>
    </row>
    <row r="4048" spans="59:62" x14ac:dyDescent="0.3">
      <c r="BG4048" s="387"/>
      <c r="BH4048" s="386"/>
      <c r="BI4048" s="386"/>
      <c r="BJ4048" s="46"/>
    </row>
    <row r="4049" spans="59:62" x14ac:dyDescent="0.3">
      <c r="BG4049" s="387"/>
      <c r="BH4049" s="386"/>
      <c r="BI4049" s="386"/>
      <c r="BJ4049" s="46"/>
    </row>
    <row r="4050" spans="59:62" x14ac:dyDescent="0.3">
      <c r="BG4050" s="387"/>
      <c r="BH4050" s="386"/>
      <c r="BI4050" s="386"/>
      <c r="BJ4050" s="46"/>
    </row>
    <row r="4051" spans="59:62" x14ac:dyDescent="0.3">
      <c r="BG4051" s="387"/>
      <c r="BH4051" s="386"/>
      <c r="BI4051" s="386"/>
      <c r="BJ4051" s="46"/>
    </row>
    <row r="4052" spans="59:62" x14ac:dyDescent="0.3">
      <c r="BG4052" s="387"/>
      <c r="BH4052" s="386"/>
      <c r="BI4052" s="386"/>
      <c r="BJ4052" s="46"/>
    </row>
    <row r="4053" spans="59:62" x14ac:dyDescent="0.3">
      <c r="BG4053" s="387"/>
      <c r="BH4053" s="386"/>
      <c r="BI4053" s="386"/>
      <c r="BJ4053" s="46"/>
    </row>
    <row r="4054" spans="59:62" x14ac:dyDescent="0.3">
      <c r="BG4054" s="387"/>
      <c r="BH4054" s="386"/>
      <c r="BI4054" s="386"/>
      <c r="BJ4054" s="46"/>
    </row>
    <row r="4055" spans="59:62" x14ac:dyDescent="0.3">
      <c r="BG4055" s="387"/>
      <c r="BH4055" s="386"/>
      <c r="BI4055" s="386"/>
      <c r="BJ4055" s="46"/>
    </row>
    <row r="4056" spans="59:62" x14ac:dyDescent="0.3">
      <c r="BG4056" s="387"/>
      <c r="BH4056" s="386"/>
      <c r="BI4056" s="386"/>
      <c r="BJ4056" s="46"/>
    </row>
    <row r="4057" spans="59:62" x14ac:dyDescent="0.3">
      <c r="BG4057" s="387"/>
      <c r="BH4057" s="386"/>
      <c r="BI4057" s="386"/>
      <c r="BJ4057" s="46"/>
    </row>
    <row r="4058" spans="59:62" x14ac:dyDescent="0.3">
      <c r="BG4058" s="387"/>
      <c r="BH4058" s="386"/>
      <c r="BI4058" s="386"/>
      <c r="BJ4058" s="46"/>
    </row>
    <row r="4059" spans="59:62" x14ac:dyDescent="0.3">
      <c r="BG4059" s="387"/>
      <c r="BH4059" s="386"/>
      <c r="BI4059" s="386"/>
      <c r="BJ4059" s="46"/>
    </row>
    <row r="4060" spans="59:62" x14ac:dyDescent="0.3">
      <c r="BG4060" s="387"/>
      <c r="BH4060" s="386"/>
      <c r="BI4060" s="386"/>
      <c r="BJ4060" s="46"/>
    </row>
    <row r="4061" spans="59:62" x14ac:dyDescent="0.3">
      <c r="BG4061" s="387"/>
      <c r="BH4061" s="386"/>
      <c r="BI4061" s="386"/>
      <c r="BJ4061" s="46"/>
    </row>
    <row r="4062" spans="59:62" x14ac:dyDescent="0.3">
      <c r="BG4062" s="387"/>
      <c r="BH4062" s="386"/>
      <c r="BI4062" s="386"/>
      <c r="BJ4062" s="46"/>
    </row>
    <row r="4063" spans="59:62" x14ac:dyDescent="0.3">
      <c r="BG4063" s="387"/>
      <c r="BH4063" s="386"/>
      <c r="BI4063" s="386"/>
      <c r="BJ4063" s="46"/>
    </row>
    <row r="4064" spans="59:62" x14ac:dyDescent="0.3">
      <c r="BG4064" s="387"/>
      <c r="BH4064" s="386"/>
      <c r="BI4064" s="386"/>
      <c r="BJ4064" s="46"/>
    </row>
    <row r="4065" spans="59:62" x14ac:dyDescent="0.3">
      <c r="BG4065" s="387"/>
      <c r="BH4065" s="386"/>
      <c r="BI4065" s="386"/>
      <c r="BJ4065" s="46"/>
    </row>
    <row r="4066" spans="59:62" x14ac:dyDescent="0.3">
      <c r="BG4066" s="387"/>
      <c r="BH4066" s="386"/>
      <c r="BI4066" s="386"/>
      <c r="BJ4066" s="46"/>
    </row>
    <row r="4067" spans="59:62" x14ac:dyDescent="0.3">
      <c r="BG4067" s="387"/>
      <c r="BH4067" s="386"/>
      <c r="BI4067" s="386"/>
      <c r="BJ4067" s="46"/>
    </row>
    <row r="4068" spans="59:62" x14ac:dyDescent="0.3">
      <c r="BG4068" s="387"/>
      <c r="BH4068" s="386"/>
      <c r="BI4068" s="386"/>
      <c r="BJ4068" s="46"/>
    </row>
    <row r="4069" spans="59:62" x14ac:dyDescent="0.3">
      <c r="BG4069" s="387"/>
      <c r="BH4069" s="386"/>
      <c r="BI4069" s="386"/>
      <c r="BJ4069" s="46"/>
    </row>
    <row r="4070" spans="59:62" x14ac:dyDescent="0.3">
      <c r="BG4070" s="387"/>
      <c r="BH4070" s="386"/>
      <c r="BI4070" s="386"/>
      <c r="BJ4070" s="46"/>
    </row>
    <row r="4071" spans="59:62" x14ac:dyDescent="0.3">
      <c r="BG4071" s="387"/>
      <c r="BH4071" s="386"/>
      <c r="BI4071" s="386"/>
      <c r="BJ4071" s="46"/>
    </row>
    <row r="4072" spans="59:62" x14ac:dyDescent="0.3">
      <c r="BG4072" s="387"/>
      <c r="BH4072" s="386"/>
      <c r="BI4072" s="386"/>
      <c r="BJ4072" s="46"/>
    </row>
    <row r="4073" spans="59:62" x14ac:dyDescent="0.3">
      <c r="BG4073" s="387"/>
      <c r="BH4073" s="386"/>
      <c r="BI4073" s="386"/>
      <c r="BJ4073" s="46"/>
    </row>
    <row r="4074" spans="59:62" x14ac:dyDescent="0.3">
      <c r="BG4074" s="387"/>
      <c r="BH4074" s="386"/>
      <c r="BI4074" s="386"/>
      <c r="BJ4074" s="46"/>
    </row>
    <row r="4075" spans="59:62" x14ac:dyDescent="0.3">
      <c r="BG4075" s="387"/>
      <c r="BH4075" s="386"/>
      <c r="BI4075" s="386"/>
      <c r="BJ4075" s="46"/>
    </row>
    <row r="4076" spans="59:62" x14ac:dyDescent="0.3">
      <c r="BG4076" s="387"/>
      <c r="BH4076" s="386"/>
      <c r="BI4076" s="386"/>
      <c r="BJ4076" s="46"/>
    </row>
    <row r="4077" spans="59:62" x14ac:dyDescent="0.3">
      <c r="BG4077" s="387"/>
      <c r="BH4077" s="386"/>
      <c r="BI4077" s="386"/>
      <c r="BJ4077" s="46"/>
    </row>
    <row r="4078" spans="59:62" x14ac:dyDescent="0.3">
      <c r="BG4078" s="387"/>
      <c r="BH4078" s="386"/>
      <c r="BI4078" s="386"/>
      <c r="BJ4078" s="46"/>
    </row>
    <row r="4079" spans="59:62" x14ac:dyDescent="0.3">
      <c r="BG4079" s="387"/>
      <c r="BH4079" s="386"/>
      <c r="BI4079" s="386"/>
      <c r="BJ4079" s="46"/>
    </row>
    <row r="4080" spans="59:62" x14ac:dyDescent="0.3">
      <c r="BG4080" s="387"/>
      <c r="BH4080" s="386"/>
      <c r="BI4080" s="386"/>
      <c r="BJ4080" s="46"/>
    </row>
    <row r="4081" spans="59:62" x14ac:dyDescent="0.3">
      <c r="BG4081" s="387"/>
      <c r="BH4081" s="386"/>
      <c r="BI4081" s="386"/>
      <c r="BJ4081" s="46"/>
    </row>
    <row r="4082" spans="59:62" x14ac:dyDescent="0.3">
      <c r="BG4082" s="387"/>
      <c r="BH4082" s="386"/>
      <c r="BI4082" s="386"/>
      <c r="BJ4082" s="46"/>
    </row>
    <row r="4083" spans="59:62" x14ac:dyDescent="0.3">
      <c r="BG4083" s="387"/>
      <c r="BH4083" s="386"/>
      <c r="BI4083" s="386"/>
      <c r="BJ4083" s="46"/>
    </row>
    <row r="4084" spans="59:62" x14ac:dyDescent="0.3">
      <c r="BG4084" s="387"/>
      <c r="BH4084" s="386"/>
      <c r="BI4084" s="386"/>
      <c r="BJ4084" s="46"/>
    </row>
    <row r="4085" spans="59:62" x14ac:dyDescent="0.3">
      <c r="BG4085" s="387"/>
      <c r="BH4085" s="386"/>
      <c r="BI4085" s="386"/>
      <c r="BJ4085" s="46"/>
    </row>
    <row r="4086" spans="59:62" x14ac:dyDescent="0.3">
      <c r="BG4086" s="387"/>
      <c r="BH4086" s="386"/>
      <c r="BI4086" s="386"/>
      <c r="BJ4086" s="46"/>
    </row>
    <row r="4087" spans="59:62" x14ac:dyDescent="0.3">
      <c r="BG4087" s="387"/>
      <c r="BH4087" s="386"/>
      <c r="BI4087" s="386"/>
      <c r="BJ4087" s="46"/>
    </row>
    <row r="4088" spans="59:62" x14ac:dyDescent="0.3">
      <c r="BG4088" s="387"/>
      <c r="BH4088" s="386"/>
      <c r="BI4088" s="386"/>
      <c r="BJ4088" s="46"/>
    </row>
    <row r="4089" spans="59:62" x14ac:dyDescent="0.3">
      <c r="BG4089" s="387"/>
      <c r="BH4089" s="386"/>
      <c r="BI4089" s="386"/>
      <c r="BJ4089" s="46"/>
    </row>
    <row r="4090" spans="59:62" x14ac:dyDescent="0.3">
      <c r="BG4090" s="387"/>
      <c r="BH4090" s="386"/>
      <c r="BI4090" s="386"/>
      <c r="BJ4090" s="46"/>
    </row>
    <row r="4091" spans="59:62" x14ac:dyDescent="0.3">
      <c r="BG4091" s="387"/>
      <c r="BH4091" s="386"/>
      <c r="BI4091" s="386"/>
      <c r="BJ4091" s="46"/>
    </row>
    <row r="4092" spans="59:62" x14ac:dyDescent="0.3">
      <c r="BG4092" s="387"/>
      <c r="BH4092" s="386"/>
      <c r="BI4092" s="386"/>
      <c r="BJ4092" s="46"/>
    </row>
    <row r="4093" spans="59:62" x14ac:dyDescent="0.3">
      <c r="BG4093" s="387"/>
      <c r="BH4093" s="386"/>
      <c r="BI4093" s="386"/>
      <c r="BJ4093" s="46"/>
    </row>
    <row r="4094" spans="59:62" x14ac:dyDescent="0.3">
      <c r="BG4094" s="387"/>
      <c r="BH4094" s="386"/>
      <c r="BI4094" s="386"/>
      <c r="BJ4094" s="46"/>
    </row>
    <row r="4095" spans="59:62" x14ac:dyDescent="0.3">
      <c r="BG4095" s="387"/>
      <c r="BH4095" s="386"/>
      <c r="BI4095" s="386"/>
      <c r="BJ4095" s="46"/>
    </row>
    <row r="4096" spans="59:62" x14ac:dyDescent="0.3">
      <c r="BG4096" s="387"/>
      <c r="BH4096" s="386"/>
      <c r="BI4096" s="386"/>
      <c r="BJ4096" s="46"/>
    </row>
    <row r="4097" spans="59:62" x14ac:dyDescent="0.3">
      <c r="BG4097" s="387"/>
      <c r="BH4097" s="386"/>
      <c r="BI4097" s="386"/>
      <c r="BJ4097" s="46"/>
    </row>
    <row r="4098" spans="59:62" x14ac:dyDescent="0.3">
      <c r="BG4098" s="387"/>
      <c r="BH4098" s="386"/>
      <c r="BI4098" s="386"/>
      <c r="BJ4098" s="46"/>
    </row>
    <row r="4099" spans="59:62" x14ac:dyDescent="0.3">
      <c r="BG4099" s="387"/>
      <c r="BH4099" s="386"/>
      <c r="BI4099" s="386"/>
      <c r="BJ4099" s="46"/>
    </row>
    <row r="4100" spans="59:62" x14ac:dyDescent="0.3">
      <c r="BG4100" s="387"/>
      <c r="BH4100" s="386"/>
      <c r="BI4100" s="386"/>
      <c r="BJ4100" s="46"/>
    </row>
    <row r="4101" spans="59:62" x14ac:dyDescent="0.3">
      <c r="BG4101" s="387"/>
      <c r="BH4101" s="386"/>
      <c r="BI4101" s="386"/>
      <c r="BJ4101" s="46"/>
    </row>
    <row r="4102" spans="59:62" x14ac:dyDescent="0.3">
      <c r="BG4102" s="387"/>
      <c r="BH4102" s="386"/>
      <c r="BI4102" s="386"/>
      <c r="BJ4102" s="46"/>
    </row>
    <row r="4103" spans="59:62" x14ac:dyDescent="0.3">
      <c r="BG4103" s="387"/>
      <c r="BH4103" s="386"/>
      <c r="BI4103" s="386"/>
      <c r="BJ4103" s="46"/>
    </row>
    <row r="4104" spans="59:62" x14ac:dyDescent="0.3">
      <c r="BG4104" s="387"/>
      <c r="BH4104" s="386"/>
      <c r="BI4104" s="386"/>
      <c r="BJ4104" s="46"/>
    </row>
    <row r="4105" spans="59:62" x14ac:dyDescent="0.3">
      <c r="BG4105" s="387"/>
      <c r="BH4105" s="386"/>
      <c r="BI4105" s="386"/>
      <c r="BJ4105" s="46"/>
    </row>
    <row r="4106" spans="59:62" x14ac:dyDescent="0.3">
      <c r="BG4106" s="387"/>
      <c r="BH4106" s="386"/>
      <c r="BI4106" s="386"/>
      <c r="BJ4106" s="46"/>
    </row>
    <row r="4107" spans="59:62" x14ac:dyDescent="0.3">
      <c r="BG4107" s="387"/>
      <c r="BH4107" s="386"/>
      <c r="BI4107" s="386"/>
      <c r="BJ4107" s="46"/>
    </row>
    <row r="4108" spans="59:62" x14ac:dyDescent="0.3">
      <c r="BG4108" s="387"/>
      <c r="BH4108" s="386"/>
      <c r="BI4108" s="386"/>
      <c r="BJ4108" s="46"/>
    </row>
    <row r="4109" spans="59:62" x14ac:dyDescent="0.3">
      <c r="BG4109" s="387"/>
      <c r="BH4109" s="386"/>
      <c r="BI4109" s="386"/>
      <c r="BJ4109" s="46"/>
    </row>
    <row r="4110" spans="59:62" x14ac:dyDescent="0.3">
      <c r="BG4110" s="387"/>
      <c r="BH4110" s="386"/>
      <c r="BI4110" s="386"/>
      <c r="BJ4110" s="46"/>
    </row>
    <row r="4111" spans="59:62" x14ac:dyDescent="0.3">
      <c r="BG4111" s="387"/>
      <c r="BH4111" s="386"/>
      <c r="BI4111" s="386"/>
      <c r="BJ4111" s="46"/>
    </row>
    <row r="4112" spans="59:62" x14ac:dyDescent="0.3">
      <c r="BG4112" s="387"/>
      <c r="BH4112" s="386"/>
      <c r="BI4112" s="386"/>
      <c r="BJ4112" s="46"/>
    </row>
    <row r="4113" spans="59:62" x14ac:dyDescent="0.3">
      <c r="BG4113" s="387"/>
      <c r="BH4113" s="386"/>
      <c r="BI4113" s="386"/>
      <c r="BJ4113" s="46"/>
    </row>
    <row r="4114" spans="59:62" x14ac:dyDescent="0.3">
      <c r="BG4114" s="387"/>
      <c r="BH4114" s="386"/>
      <c r="BI4114" s="386"/>
      <c r="BJ4114" s="46"/>
    </row>
    <row r="4115" spans="59:62" x14ac:dyDescent="0.3">
      <c r="BG4115" s="387"/>
      <c r="BH4115" s="386"/>
      <c r="BI4115" s="386"/>
      <c r="BJ4115" s="46"/>
    </row>
    <row r="4116" spans="59:62" x14ac:dyDescent="0.3">
      <c r="BG4116" s="387"/>
      <c r="BH4116" s="386"/>
      <c r="BI4116" s="386"/>
      <c r="BJ4116" s="46"/>
    </row>
    <row r="4117" spans="59:62" x14ac:dyDescent="0.3">
      <c r="BG4117" s="387"/>
      <c r="BH4117" s="386"/>
      <c r="BI4117" s="386"/>
      <c r="BJ4117" s="46"/>
    </row>
    <row r="4118" spans="59:62" x14ac:dyDescent="0.3">
      <c r="BG4118" s="387"/>
      <c r="BH4118" s="386"/>
      <c r="BI4118" s="386"/>
      <c r="BJ4118" s="46"/>
    </row>
    <row r="4119" spans="59:62" x14ac:dyDescent="0.3">
      <c r="BG4119" s="387"/>
      <c r="BH4119" s="386"/>
      <c r="BI4119" s="386"/>
      <c r="BJ4119" s="46"/>
    </row>
    <row r="4120" spans="59:62" x14ac:dyDescent="0.3">
      <c r="BG4120" s="387"/>
      <c r="BH4120" s="386"/>
      <c r="BI4120" s="386"/>
      <c r="BJ4120" s="46"/>
    </row>
    <row r="4121" spans="59:62" x14ac:dyDescent="0.3">
      <c r="BG4121" s="387"/>
      <c r="BH4121" s="386"/>
      <c r="BI4121" s="386"/>
      <c r="BJ4121" s="46"/>
    </row>
    <row r="4122" spans="59:62" x14ac:dyDescent="0.3">
      <c r="BG4122" s="387"/>
      <c r="BH4122" s="386"/>
      <c r="BI4122" s="386"/>
      <c r="BJ4122" s="46"/>
    </row>
    <row r="4123" spans="59:62" x14ac:dyDescent="0.3">
      <c r="BG4123" s="387"/>
      <c r="BH4123" s="386"/>
      <c r="BI4123" s="386"/>
      <c r="BJ4123" s="46"/>
    </row>
    <row r="4124" spans="59:62" x14ac:dyDescent="0.3">
      <c r="BG4124" s="387"/>
      <c r="BH4124" s="386"/>
      <c r="BI4124" s="386"/>
      <c r="BJ4124" s="46"/>
    </row>
    <row r="4125" spans="59:62" x14ac:dyDescent="0.3">
      <c r="BG4125" s="387"/>
      <c r="BH4125" s="386"/>
      <c r="BI4125" s="386"/>
      <c r="BJ4125" s="46"/>
    </row>
    <row r="4126" spans="59:62" x14ac:dyDescent="0.3">
      <c r="BG4126" s="387"/>
      <c r="BH4126" s="386"/>
      <c r="BI4126" s="386"/>
      <c r="BJ4126" s="46"/>
    </row>
    <row r="4127" spans="59:62" x14ac:dyDescent="0.3">
      <c r="BG4127" s="387"/>
      <c r="BH4127" s="386"/>
      <c r="BI4127" s="386"/>
      <c r="BJ4127" s="46"/>
    </row>
    <row r="4128" spans="59:62" x14ac:dyDescent="0.3">
      <c r="BG4128" s="387"/>
      <c r="BH4128" s="386"/>
      <c r="BI4128" s="386"/>
      <c r="BJ4128" s="46"/>
    </row>
    <row r="4129" spans="59:62" x14ac:dyDescent="0.3">
      <c r="BG4129" s="387"/>
      <c r="BH4129" s="386"/>
      <c r="BI4129" s="386"/>
      <c r="BJ4129" s="46"/>
    </row>
    <row r="4130" spans="59:62" x14ac:dyDescent="0.3">
      <c r="BG4130" s="387"/>
      <c r="BH4130" s="386"/>
      <c r="BI4130" s="386"/>
      <c r="BJ4130" s="46"/>
    </row>
    <row r="4131" spans="59:62" x14ac:dyDescent="0.3">
      <c r="BG4131" s="387"/>
      <c r="BH4131" s="386"/>
      <c r="BI4131" s="386"/>
      <c r="BJ4131" s="46"/>
    </row>
    <row r="4132" spans="59:62" x14ac:dyDescent="0.3">
      <c r="BG4132" s="387"/>
      <c r="BH4132" s="386"/>
      <c r="BI4132" s="386"/>
      <c r="BJ4132" s="46"/>
    </row>
    <row r="4133" spans="59:62" x14ac:dyDescent="0.3">
      <c r="BG4133" s="387"/>
      <c r="BH4133" s="386"/>
      <c r="BI4133" s="386"/>
      <c r="BJ4133" s="46"/>
    </row>
    <row r="4134" spans="59:62" x14ac:dyDescent="0.3">
      <c r="BG4134" s="387"/>
      <c r="BH4134" s="386"/>
      <c r="BI4134" s="386"/>
      <c r="BJ4134" s="46"/>
    </row>
    <row r="4135" spans="59:62" x14ac:dyDescent="0.3">
      <c r="BG4135" s="387"/>
      <c r="BH4135" s="386"/>
      <c r="BI4135" s="386"/>
      <c r="BJ4135" s="46"/>
    </row>
    <row r="4136" spans="59:62" x14ac:dyDescent="0.3">
      <c r="BG4136" s="387"/>
      <c r="BH4136" s="386"/>
      <c r="BI4136" s="386"/>
      <c r="BJ4136" s="46"/>
    </row>
    <row r="4137" spans="59:62" x14ac:dyDescent="0.3">
      <c r="BG4137" s="387"/>
      <c r="BH4137" s="386"/>
      <c r="BI4137" s="386"/>
      <c r="BJ4137" s="46"/>
    </row>
    <row r="4138" spans="59:62" x14ac:dyDescent="0.3">
      <c r="BG4138" s="387"/>
      <c r="BH4138" s="386"/>
      <c r="BI4138" s="386"/>
      <c r="BJ4138" s="46"/>
    </row>
    <row r="4139" spans="59:62" x14ac:dyDescent="0.3">
      <c r="BG4139" s="387"/>
      <c r="BH4139" s="386"/>
      <c r="BI4139" s="386"/>
      <c r="BJ4139" s="46"/>
    </row>
    <row r="4140" spans="59:62" x14ac:dyDescent="0.3">
      <c r="BG4140" s="387"/>
      <c r="BH4140" s="386"/>
      <c r="BI4140" s="386"/>
      <c r="BJ4140" s="46"/>
    </row>
    <row r="4141" spans="59:62" x14ac:dyDescent="0.3">
      <c r="BG4141" s="387"/>
      <c r="BH4141" s="386"/>
      <c r="BI4141" s="386"/>
      <c r="BJ4141" s="46"/>
    </row>
    <row r="4142" spans="59:62" x14ac:dyDescent="0.3">
      <c r="BG4142" s="387"/>
      <c r="BH4142" s="386"/>
      <c r="BI4142" s="386"/>
      <c r="BJ4142" s="46"/>
    </row>
    <row r="4143" spans="59:62" x14ac:dyDescent="0.3">
      <c r="BG4143" s="387"/>
      <c r="BH4143" s="386"/>
      <c r="BI4143" s="386"/>
      <c r="BJ4143" s="46"/>
    </row>
    <row r="4144" spans="59:62" x14ac:dyDescent="0.3">
      <c r="BG4144" s="387"/>
      <c r="BH4144" s="386"/>
      <c r="BI4144" s="386"/>
      <c r="BJ4144" s="46"/>
    </row>
    <row r="4145" spans="59:62" x14ac:dyDescent="0.3">
      <c r="BG4145" s="387"/>
      <c r="BH4145" s="386"/>
      <c r="BI4145" s="386"/>
      <c r="BJ4145" s="46"/>
    </row>
    <row r="4146" spans="59:62" x14ac:dyDescent="0.3">
      <c r="BG4146" s="387"/>
      <c r="BH4146" s="386"/>
      <c r="BI4146" s="386"/>
      <c r="BJ4146" s="46"/>
    </row>
    <row r="4147" spans="59:62" x14ac:dyDescent="0.3">
      <c r="BG4147" s="387"/>
      <c r="BH4147" s="386"/>
      <c r="BI4147" s="386"/>
      <c r="BJ4147" s="46"/>
    </row>
    <row r="4148" spans="59:62" x14ac:dyDescent="0.3">
      <c r="BG4148" s="387"/>
      <c r="BH4148" s="386"/>
      <c r="BI4148" s="386"/>
      <c r="BJ4148" s="46"/>
    </row>
    <row r="4149" spans="59:62" x14ac:dyDescent="0.3">
      <c r="BG4149" s="387"/>
      <c r="BH4149" s="386"/>
      <c r="BI4149" s="386"/>
      <c r="BJ4149" s="46"/>
    </row>
    <row r="4150" spans="59:62" x14ac:dyDescent="0.3">
      <c r="BG4150" s="387"/>
      <c r="BH4150" s="386"/>
      <c r="BI4150" s="386"/>
      <c r="BJ4150" s="46"/>
    </row>
    <row r="4151" spans="59:62" x14ac:dyDescent="0.3">
      <c r="BG4151" s="387"/>
      <c r="BH4151" s="386"/>
      <c r="BI4151" s="386"/>
      <c r="BJ4151" s="46"/>
    </row>
    <row r="4152" spans="59:62" x14ac:dyDescent="0.3">
      <c r="BG4152" s="387"/>
      <c r="BH4152" s="386"/>
      <c r="BI4152" s="386"/>
      <c r="BJ4152" s="46"/>
    </row>
    <row r="4153" spans="59:62" x14ac:dyDescent="0.3">
      <c r="BG4153" s="387"/>
      <c r="BH4153" s="386"/>
      <c r="BI4153" s="386"/>
      <c r="BJ4153" s="46"/>
    </row>
    <row r="4154" spans="59:62" x14ac:dyDescent="0.3">
      <c r="BG4154" s="387"/>
      <c r="BH4154" s="386"/>
      <c r="BI4154" s="386"/>
      <c r="BJ4154" s="46"/>
    </row>
    <row r="4155" spans="59:62" x14ac:dyDescent="0.3">
      <c r="BG4155" s="387"/>
      <c r="BH4155" s="386"/>
      <c r="BI4155" s="386"/>
      <c r="BJ4155" s="46"/>
    </row>
    <row r="4156" spans="59:62" x14ac:dyDescent="0.3">
      <c r="BG4156" s="387"/>
      <c r="BH4156" s="386"/>
      <c r="BI4156" s="386"/>
      <c r="BJ4156" s="46"/>
    </row>
    <row r="4157" spans="59:62" x14ac:dyDescent="0.3">
      <c r="BG4157" s="387"/>
      <c r="BH4157" s="386"/>
      <c r="BI4157" s="386"/>
      <c r="BJ4157" s="46"/>
    </row>
    <row r="4158" spans="59:62" x14ac:dyDescent="0.3">
      <c r="BG4158" s="387"/>
      <c r="BH4158" s="386"/>
      <c r="BI4158" s="386"/>
      <c r="BJ4158" s="46"/>
    </row>
    <row r="4159" spans="59:62" x14ac:dyDescent="0.3">
      <c r="BG4159" s="387"/>
      <c r="BH4159" s="386"/>
      <c r="BI4159" s="386"/>
      <c r="BJ4159" s="46"/>
    </row>
    <row r="4160" spans="59:62" x14ac:dyDescent="0.3">
      <c r="BG4160" s="387"/>
      <c r="BH4160" s="386"/>
      <c r="BI4160" s="386"/>
      <c r="BJ4160" s="46"/>
    </row>
    <row r="4161" spans="59:62" x14ac:dyDescent="0.3">
      <c r="BG4161" s="387"/>
      <c r="BH4161" s="386"/>
      <c r="BI4161" s="386"/>
      <c r="BJ4161" s="46"/>
    </row>
    <row r="4162" spans="59:62" x14ac:dyDescent="0.3">
      <c r="BG4162" s="387"/>
      <c r="BH4162" s="386"/>
      <c r="BI4162" s="386"/>
      <c r="BJ4162" s="46"/>
    </row>
    <row r="4163" spans="59:62" x14ac:dyDescent="0.3">
      <c r="BG4163" s="387"/>
      <c r="BH4163" s="386"/>
      <c r="BI4163" s="386"/>
      <c r="BJ4163" s="46"/>
    </row>
    <row r="4164" spans="59:62" x14ac:dyDescent="0.3">
      <c r="BG4164" s="387"/>
      <c r="BH4164" s="386"/>
      <c r="BI4164" s="386"/>
      <c r="BJ4164" s="46"/>
    </row>
    <row r="4165" spans="59:62" x14ac:dyDescent="0.3">
      <c r="BG4165" s="387"/>
      <c r="BH4165" s="386"/>
      <c r="BI4165" s="386"/>
      <c r="BJ4165" s="46"/>
    </row>
    <row r="4166" spans="59:62" x14ac:dyDescent="0.3">
      <c r="BG4166" s="387"/>
      <c r="BH4166" s="386"/>
      <c r="BI4166" s="386"/>
      <c r="BJ4166" s="46"/>
    </row>
    <row r="4167" spans="59:62" x14ac:dyDescent="0.3">
      <c r="BG4167" s="387"/>
      <c r="BH4167" s="386"/>
      <c r="BI4167" s="386"/>
      <c r="BJ4167" s="46"/>
    </row>
    <row r="4168" spans="59:62" x14ac:dyDescent="0.3">
      <c r="BG4168" s="387"/>
      <c r="BH4168" s="386"/>
      <c r="BI4168" s="386"/>
      <c r="BJ4168" s="46"/>
    </row>
    <row r="4169" spans="59:62" x14ac:dyDescent="0.3">
      <c r="BG4169" s="387"/>
      <c r="BH4169" s="386"/>
      <c r="BI4169" s="386"/>
      <c r="BJ4169" s="46"/>
    </row>
    <row r="4170" spans="59:62" x14ac:dyDescent="0.3">
      <c r="BG4170" s="387"/>
      <c r="BH4170" s="386"/>
      <c r="BI4170" s="386"/>
      <c r="BJ4170" s="46"/>
    </row>
    <row r="4171" spans="59:62" x14ac:dyDescent="0.3">
      <c r="BG4171" s="387"/>
      <c r="BH4171" s="386"/>
      <c r="BI4171" s="386"/>
      <c r="BJ4171" s="46"/>
    </row>
    <row r="4172" spans="59:62" x14ac:dyDescent="0.3">
      <c r="BG4172" s="387"/>
      <c r="BH4172" s="386"/>
      <c r="BI4172" s="386"/>
      <c r="BJ4172" s="46"/>
    </row>
    <row r="4173" spans="59:62" x14ac:dyDescent="0.3">
      <c r="BG4173" s="387"/>
      <c r="BH4173" s="386"/>
      <c r="BI4173" s="386"/>
      <c r="BJ4173" s="46"/>
    </row>
    <row r="4174" spans="59:62" x14ac:dyDescent="0.3">
      <c r="BG4174" s="387"/>
      <c r="BH4174" s="386"/>
      <c r="BI4174" s="386"/>
      <c r="BJ4174" s="46"/>
    </row>
    <row r="4175" spans="59:62" x14ac:dyDescent="0.3">
      <c r="BG4175" s="387"/>
      <c r="BH4175" s="386"/>
      <c r="BI4175" s="386"/>
      <c r="BJ4175" s="46"/>
    </row>
    <row r="4176" spans="59:62" x14ac:dyDescent="0.3">
      <c r="BG4176" s="387"/>
      <c r="BH4176" s="386"/>
      <c r="BI4176" s="386"/>
      <c r="BJ4176" s="46"/>
    </row>
    <row r="4177" spans="59:62" x14ac:dyDescent="0.3">
      <c r="BG4177" s="387"/>
      <c r="BH4177" s="386"/>
      <c r="BI4177" s="386"/>
      <c r="BJ4177" s="46"/>
    </row>
    <row r="4178" spans="59:62" x14ac:dyDescent="0.3">
      <c r="BG4178" s="387"/>
      <c r="BH4178" s="386"/>
      <c r="BI4178" s="386"/>
      <c r="BJ4178" s="46"/>
    </row>
    <row r="4179" spans="59:62" x14ac:dyDescent="0.3">
      <c r="BG4179" s="387"/>
      <c r="BH4179" s="386"/>
      <c r="BI4179" s="386"/>
      <c r="BJ4179" s="46"/>
    </row>
    <row r="4180" spans="59:62" x14ac:dyDescent="0.3">
      <c r="BG4180" s="387"/>
      <c r="BH4180" s="386"/>
      <c r="BI4180" s="386"/>
      <c r="BJ4180" s="46"/>
    </row>
    <row r="4181" spans="59:62" x14ac:dyDescent="0.3">
      <c r="BG4181" s="387"/>
      <c r="BH4181" s="386"/>
      <c r="BI4181" s="386"/>
      <c r="BJ4181" s="46"/>
    </row>
    <row r="4182" spans="59:62" x14ac:dyDescent="0.3">
      <c r="BG4182" s="387"/>
      <c r="BH4182" s="386"/>
      <c r="BI4182" s="386"/>
      <c r="BJ4182" s="46"/>
    </row>
    <row r="4183" spans="59:62" x14ac:dyDescent="0.3">
      <c r="BG4183" s="387"/>
      <c r="BH4183" s="386"/>
      <c r="BI4183" s="386"/>
      <c r="BJ4183" s="46"/>
    </row>
    <row r="4184" spans="59:62" x14ac:dyDescent="0.3">
      <c r="BG4184" s="387"/>
      <c r="BH4184" s="386"/>
      <c r="BI4184" s="386"/>
      <c r="BJ4184" s="46"/>
    </row>
    <row r="4185" spans="59:62" x14ac:dyDescent="0.3">
      <c r="BG4185" s="387"/>
      <c r="BH4185" s="386"/>
      <c r="BI4185" s="386"/>
      <c r="BJ4185" s="46"/>
    </row>
    <row r="4186" spans="59:62" x14ac:dyDescent="0.3">
      <c r="BG4186" s="387"/>
      <c r="BH4186" s="386"/>
      <c r="BI4186" s="386"/>
      <c r="BJ4186" s="46"/>
    </row>
    <row r="4187" spans="59:62" x14ac:dyDescent="0.3">
      <c r="BG4187" s="387"/>
      <c r="BH4187" s="386"/>
      <c r="BI4187" s="386"/>
      <c r="BJ4187" s="46"/>
    </row>
    <row r="4188" spans="59:62" x14ac:dyDescent="0.3">
      <c r="BG4188" s="387"/>
      <c r="BH4188" s="386"/>
      <c r="BI4188" s="386"/>
      <c r="BJ4188" s="46"/>
    </row>
    <row r="4189" spans="59:62" x14ac:dyDescent="0.3">
      <c r="BG4189" s="387"/>
      <c r="BH4189" s="386"/>
      <c r="BI4189" s="386"/>
      <c r="BJ4189" s="46"/>
    </row>
    <row r="4190" spans="59:62" x14ac:dyDescent="0.3">
      <c r="BG4190" s="387"/>
      <c r="BH4190" s="386"/>
      <c r="BI4190" s="386"/>
      <c r="BJ4190" s="46"/>
    </row>
    <row r="4191" spans="59:62" x14ac:dyDescent="0.3">
      <c r="BG4191" s="387"/>
      <c r="BH4191" s="386"/>
      <c r="BI4191" s="386"/>
      <c r="BJ4191" s="46"/>
    </row>
    <row r="4192" spans="59:62" x14ac:dyDescent="0.3">
      <c r="BG4192" s="387"/>
      <c r="BH4192" s="386"/>
      <c r="BI4192" s="386"/>
      <c r="BJ4192" s="46"/>
    </row>
    <row r="4193" spans="59:62" x14ac:dyDescent="0.3">
      <c r="BG4193" s="387"/>
      <c r="BH4193" s="386"/>
      <c r="BI4193" s="386"/>
      <c r="BJ4193" s="46"/>
    </row>
    <row r="4194" spans="59:62" x14ac:dyDescent="0.3">
      <c r="BG4194" s="387"/>
      <c r="BH4194" s="386"/>
      <c r="BI4194" s="386"/>
      <c r="BJ4194" s="46"/>
    </row>
    <row r="4195" spans="59:62" x14ac:dyDescent="0.3">
      <c r="BG4195" s="387"/>
      <c r="BH4195" s="386"/>
      <c r="BI4195" s="386"/>
      <c r="BJ4195" s="46"/>
    </row>
    <row r="4196" spans="59:62" x14ac:dyDescent="0.3">
      <c r="BG4196" s="387"/>
      <c r="BH4196" s="386"/>
      <c r="BI4196" s="386"/>
      <c r="BJ4196" s="46"/>
    </row>
    <row r="4197" spans="59:62" x14ac:dyDescent="0.3">
      <c r="BG4197" s="387"/>
      <c r="BH4197" s="386"/>
      <c r="BI4197" s="386"/>
      <c r="BJ4197" s="46"/>
    </row>
    <row r="4198" spans="59:62" x14ac:dyDescent="0.3">
      <c r="BG4198" s="387"/>
      <c r="BH4198" s="386"/>
      <c r="BI4198" s="386"/>
      <c r="BJ4198" s="46"/>
    </row>
    <row r="4199" spans="59:62" x14ac:dyDescent="0.3">
      <c r="BG4199" s="387"/>
      <c r="BH4199" s="386"/>
      <c r="BI4199" s="386"/>
      <c r="BJ4199" s="46"/>
    </row>
    <row r="4200" spans="59:62" x14ac:dyDescent="0.3">
      <c r="BG4200" s="387"/>
      <c r="BH4200" s="386"/>
      <c r="BI4200" s="386"/>
      <c r="BJ4200" s="46"/>
    </row>
    <row r="4201" spans="59:62" x14ac:dyDescent="0.3">
      <c r="BG4201" s="387"/>
      <c r="BH4201" s="386"/>
      <c r="BI4201" s="386"/>
      <c r="BJ4201" s="46"/>
    </row>
    <row r="4202" spans="59:62" x14ac:dyDescent="0.3">
      <c r="BG4202" s="387"/>
      <c r="BH4202" s="386"/>
      <c r="BI4202" s="386"/>
      <c r="BJ4202" s="46"/>
    </row>
    <row r="4203" spans="59:62" x14ac:dyDescent="0.3">
      <c r="BG4203" s="387"/>
      <c r="BH4203" s="386"/>
      <c r="BI4203" s="386"/>
      <c r="BJ4203" s="46"/>
    </row>
    <row r="4204" spans="59:62" x14ac:dyDescent="0.3">
      <c r="BG4204" s="387"/>
      <c r="BH4204" s="386"/>
      <c r="BI4204" s="386"/>
      <c r="BJ4204" s="46"/>
    </row>
    <row r="4205" spans="59:62" x14ac:dyDescent="0.3">
      <c r="BG4205" s="387"/>
      <c r="BH4205" s="386"/>
      <c r="BI4205" s="386"/>
      <c r="BJ4205" s="46"/>
    </row>
    <row r="4206" spans="59:62" x14ac:dyDescent="0.3">
      <c r="BG4206" s="387"/>
      <c r="BH4206" s="386"/>
      <c r="BI4206" s="386"/>
      <c r="BJ4206" s="46"/>
    </row>
    <row r="4207" spans="59:62" x14ac:dyDescent="0.3">
      <c r="BG4207" s="387"/>
      <c r="BH4207" s="386"/>
      <c r="BI4207" s="386"/>
      <c r="BJ4207" s="46"/>
    </row>
    <row r="4208" spans="59:62" x14ac:dyDescent="0.3">
      <c r="BG4208" s="387"/>
      <c r="BH4208" s="386"/>
      <c r="BI4208" s="386"/>
      <c r="BJ4208" s="46"/>
    </row>
    <row r="4209" spans="59:62" x14ac:dyDescent="0.3">
      <c r="BG4209" s="387"/>
      <c r="BH4209" s="386"/>
      <c r="BI4209" s="386"/>
      <c r="BJ4209" s="46"/>
    </row>
    <row r="4210" spans="59:62" x14ac:dyDescent="0.3">
      <c r="BG4210" s="387"/>
      <c r="BH4210" s="386"/>
      <c r="BI4210" s="386"/>
      <c r="BJ4210" s="46"/>
    </row>
    <row r="4211" spans="59:62" x14ac:dyDescent="0.3">
      <c r="BG4211" s="387"/>
      <c r="BH4211" s="386"/>
      <c r="BI4211" s="386"/>
      <c r="BJ4211" s="46"/>
    </row>
    <row r="4212" spans="59:62" x14ac:dyDescent="0.3">
      <c r="BG4212" s="387"/>
      <c r="BH4212" s="386"/>
      <c r="BI4212" s="386"/>
      <c r="BJ4212" s="46"/>
    </row>
    <row r="4213" spans="59:62" x14ac:dyDescent="0.3">
      <c r="BG4213" s="387"/>
      <c r="BH4213" s="386"/>
      <c r="BI4213" s="386"/>
      <c r="BJ4213" s="46"/>
    </row>
    <row r="4214" spans="59:62" x14ac:dyDescent="0.3">
      <c r="BG4214" s="387"/>
      <c r="BH4214" s="386"/>
      <c r="BI4214" s="386"/>
      <c r="BJ4214" s="46"/>
    </row>
    <row r="4215" spans="59:62" x14ac:dyDescent="0.3">
      <c r="BG4215" s="387"/>
      <c r="BH4215" s="386"/>
      <c r="BI4215" s="386"/>
      <c r="BJ4215" s="46"/>
    </row>
    <row r="4216" spans="59:62" x14ac:dyDescent="0.3">
      <c r="BG4216" s="387"/>
      <c r="BH4216" s="386"/>
      <c r="BI4216" s="386"/>
      <c r="BJ4216" s="46"/>
    </row>
    <row r="4217" spans="59:62" x14ac:dyDescent="0.3">
      <c r="BG4217" s="387"/>
      <c r="BH4217" s="386"/>
      <c r="BI4217" s="386"/>
      <c r="BJ4217" s="46"/>
    </row>
    <row r="4218" spans="59:62" x14ac:dyDescent="0.3">
      <c r="BG4218" s="387"/>
      <c r="BH4218" s="386"/>
      <c r="BI4218" s="386"/>
      <c r="BJ4218" s="46"/>
    </row>
    <row r="4219" spans="59:62" x14ac:dyDescent="0.3">
      <c r="BG4219" s="387"/>
      <c r="BH4219" s="386"/>
      <c r="BI4219" s="386"/>
      <c r="BJ4219" s="46"/>
    </row>
    <row r="4220" spans="59:62" x14ac:dyDescent="0.3">
      <c r="BG4220" s="387"/>
      <c r="BH4220" s="386"/>
      <c r="BI4220" s="386"/>
      <c r="BJ4220" s="46"/>
    </row>
    <row r="4221" spans="59:62" x14ac:dyDescent="0.3">
      <c r="BG4221" s="387"/>
      <c r="BH4221" s="386"/>
      <c r="BI4221" s="386"/>
      <c r="BJ4221" s="46"/>
    </row>
    <row r="4222" spans="59:62" x14ac:dyDescent="0.3">
      <c r="BG4222" s="387"/>
      <c r="BH4222" s="386"/>
      <c r="BI4222" s="386"/>
      <c r="BJ4222" s="46"/>
    </row>
    <row r="4223" spans="59:62" x14ac:dyDescent="0.3">
      <c r="BG4223" s="387"/>
      <c r="BH4223" s="386"/>
      <c r="BI4223" s="386"/>
      <c r="BJ4223" s="46"/>
    </row>
    <row r="4224" spans="59:62" x14ac:dyDescent="0.3">
      <c r="BG4224" s="387"/>
      <c r="BH4224" s="386"/>
      <c r="BI4224" s="386"/>
      <c r="BJ4224" s="46"/>
    </row>
    <row r="4225" spans="59:62" x14ac:dyDescent="0.3">
      <c r="BG4225" s="387"/>
      <c r="BH4225" s="386"/>
      <c r="BI4225" s="386"/>
      <c r="BJ4225" s="46"/>
    </row>
    <row r="4226" spans="59:62" x14ac:dyDescent="0.3">
      <c r="BG4226" s="387"/>
      <c r="BH4226" s="386"/>
      <c r="BI4226" s="386"/>
      <c r="BJ4226" s="46"/>
    </row>
    <row r="4227" spans="59:62" x14ac:dyDescent="0.3">
      <c r="BG4227" s="387"/>
      <c r="BH4227" s="386"/>
      <c r="BI4227" s="386"/>
      <c r="BJ4227" s="46"/>
    </row>
    <row r="4228" spans="59:62" x14ac:dyDescent="0.3">
      <c r="BG4228" s="387"/>
      <c r="BH4228" s="386"/>
      <c r="BI4228" s="386"/>
      <c r="BJ4228" s="46"/>
    </row>
    <row r="4229" spans="59:62" x14ac:dyDescent="0.3">
      <c r="BG4229" s="387"/>
      <c r="BH4229" s="386"/>
      <c r="BI4229" s="386"/>
      <c r="BJ4229" s="46"/>
    </row>
    <row r="4230" spans="59:62" x14ac:dyDescent="0.3">
      <c r="BG4230" s="387"/>
      <c r="BH4230" s="386"/>
      <c r="BI4230" s="386"/>
      <c r="BJ4230" s="46"/>
    </row>
    <row r="4231" spans="59:62" x14ac:dyDescent="0.3">
      <c r="BG4231" s="387"/>
      <c r="BH4231" s="386"/>
      <c r="BI4231" s="386"/>
      <c r="BJ4231" s="46"/>
    </row>
    <row r="4232" spans="59:62" x14ac:dyDescent="0.3">
      <c r="BG4232" s="387"/>
      <c r="BH4232" s="386"/>
      <c r="BI4232" s="386"/>
      <c r="BJ4232" s="46"/>
    </row>
    <row r="4233" spans="59:62" x14ac:dyDescent="0.3">
      <c r="BG4233" s="387"/>
      <c r="BH4233" s="386"/>
      <c r="BI4233" s="386"/>
      <c r="BJ4233" s="46"/>
    </row>
    <row r="4234" spans="59:62" x14ac:dyDescent="0.3">
      <c r="BG4234" s="387"/>
      <c r="BH4234" s="386"/>
      <c r="BI4234" s="386"/>
      <c r="BJ4234" s="46"/>
    </row>
    <row r="4235" spans="59:62" x14ac:dyDescent="0.3">
      <c r="BG4235" s="387"/>
      <c r="BH4235" s="386"/>
      <c r="BI4235" s="386"/>
      <c r="BJ4235" s="46"/>
    </row>
    <row r="4236" spans="59:62" x14ac:dyDescent="0.3">
      <c r="BG4236" s="387"/>
      <c r="BH4236" s="386"/>
      <c r="BI4236" s="386"/>
      <c r="BJ4236" s="46"/>
    </row>
    <row r="4237" spans="59:62" x14ac:dyDescent="0.3">
      <c r="BG4237" s="387"/>
      <c r="BH4237" s="386"/>
      <c r="BI4237" s="386"/>
      <c r="BJ4237" s="46"/>
    </row>
    <row r="4238" spans="59:62" x14ac:dyDescent="0.3">
      <c r="BG4238" s="387"/>
      <c r="BH4238" s="386"/>
      <c r="BI4238" s="386"/>
      <c r="BJ4238" s="46"/>
    </row>
    <row r="4239" spans="59:62" x14ac:dyDescent="0.3">
      <c r="BG4239" s="387"/>
      <c r="BH4239" s="386"/>
      <c r="BI4239" s="386"/>
      <c r="BJ4239" s="46"/>
    </row>
    <row r="4240" spans="59:62" x14ac:dyDescent="0.3">
      <c r="BG4240" s="387"/>
      <c r="BH4240" s="386"/>
      <c r="BI4240" s="386"/>
      <c r="BJ4240" s="46"/>
    </row>
    <row r="4241" spans="59:62" x14ac:dyDescent="0.3">
      <c r="BG4241" s="387"/>
      <c r="BH4241" s="386"/>
      <c r="BI4241" s="386"/>
      <c r="BJ4241" s="46"/>
    </row>
    <row r="4242" spans="59:62" x14ac:dyDescent="0.3">
      <c r="BG4242" s="387"/>
      <c r="BH4242" s="386"/>
      <c r="BI4242" s="386"/>
      <c r="BJ4242" s="46"/>
    </row>
    <row r="4243" spans="59:62" x14ac:dyDescent="0.3">
      <c r="BG4243" s="387"/>
      <c r="BH4243" s="386"/>
      <c r="BI4243" s="386"/>
      <c r="BJ4243" s="46"/>
    </row>
    <row r="4244" spans="59:62" x14ac:dyDescent="0.3">
      <c r="BG4244" s="387"/>
      <c r="BH4244" s="386"/>
      <c r="BI4244" s="386"/>
      <c r="BJ4244" s="46"/>
    </row>
    <row r="4245" spans="59:62" x14ac:dyDescent="0.3">
      <c r="BG4245" s="387"/>
      <c r="BH4245" s="386"/>
      <c r="BI4245" s="386"/>
      <c r="BJ4245" s="46"/>
    </row>
    <row r="4246" spans="59:62" x14ac:dyDescent="0.3">
      <c r="BG4246" s="387"/>
      <c r="BH4246" s="386"/>
      <c r="BI4246" s="386"/>
      <c r="BJ4246" s="46"/>
    </row>
    <row r="4247" spans="59:62" x14ac:dyDescent="0.3">
      <c r="BG4247" s="387"/>
      <c r="BH4247" s="386"/>
      <c r="BI4247" s="386"/>
      <c r="BJ4247" s="46"/>
    </row>
    <row r="4248" spans="59:62" x14ac:dyDescent="0.3">
      <c r="BG4248" s="387"/>
      <c r="BH4248" s="386"/>
      <c r="BI4248" s="386"/>
      <c r="BJ4248" s="46"/>
    </row>
    <row r="4249" spans="59:62" x14ac:dyDescent="0.3">
      <c r="BG4249" s="387"/>
      <c r="BH4249" s="386"/>
      <c r="BI4249" s="386"/>
      <c r="BJ4249" s="46"/>
    </row>
    <row r="4250" spans="59:62" x14ac:dyDescent="0.3">
      <c r="BG4250" s="387"/>
      <c r="BH4250" s="386"/>
      <c r="BI4250" s="386"/>
      <c r="BJ4250" s="46"/>
    </row>
    <row r="4251" spans="59:62" x14ac:dyDescent="0.3">
      <c r="BG4251" s="387"/>
      <c r="BH4251" s="386"/>
      <c r="BI4251" s="386"/>
      <c r="BJ4251" s="46"/>
    </row>
    <row r="4252" spans="59:62" x14ac:dyDescent="0.3">
      <c r="BG4252" s="387"/>
      <c r="BH4252" s="386"/>
      <c r="BI4252" s="386"/>
      <c r="BJ4252" s="46"/>
    </row>
    <row r="4253" spans="59:62" x14ac:dyDescent="0.3">
      <c r="BG4253" s="387"/>
      <c r="BH4253" s="386"/>
      <c r="BI4253" s="386"/>
      <c r="BJ4253" s="46"/>
    </row>
    <row r="4254" spans="59:62" x14ac:dyDescent="0.3">
      <c r="BG4254" s="387"/>
      <c r="BH4254" s="386"/>
      <c r="BI4254" s="386"/>
      <c r="BJ4254" s="46"/>
    </row>
    <row r="4255" spans="59:62" x14ac:dyDescent="0.3">
      <c r="BG4255" s="387"/>
      <c r="BH4255" s="386"/>
      <c r="BI4255" s="386"/>
      <c r="BJ4255" s="46"/>
    </row>
    <row r="4256" spans="59:62" x14ac:dyDescent="0.3">
      <c r="BG4256" s="387"/>
      <c r="BH4256" s="386"/>
      <c r="BI4256" s="386"/>
      <c r="BJ4256" s="46"/>
    </row>
    <row r="4257" spans="59:62" x14ac:dyDescent="0.3">
      <c r="BG4257" s="387"/>
      <c r="BH4257" s="386"/>
      <c r="BI4257" s="386"/>
      <c r="BJ4257" s="46"/>
    </row>
    <row r="4258" spans="59:62" x14ac:dyDescent="0.3">
      <c r="BG4258" s="387"/>
      <c r="BH4258" s="386"/>
      <c r="BI4258" s="386"/>
      <c r="BJ4258" s="46"/>
    </row>
    <row r="4259" spans="59:62" x14ac:dyDescent="0.3">
      <c r="BG4259" s="387"/>
      <c r="BH4259" s="386"/>
      <c r="BI4259" s="386"/>
      <c r="BJ4259" s="46"/>
    </row>
    <row r="4260" spans="59:62" x14ac:dyDescent="0.3">
      <c r="BG4260" s="387"/>
      <c r="BH4260" s="386"/>
      <c r="BI4260" s="386"/>
      <c r="BJ4260" s="46"/>
    </row>
    <row r="4261" spans="59:62" x14ac:dyDescent="0.3">
      <c r="BG4261" s="387"/>
      <c r="BH4261" s="386"/>
      <c r="BI4261" s="386"/>
      <c r="BJ4261" s="46"/>
    </row>
    <row r="4262" spans="59:62" x14ac:dyDescent="0.3">
      <c r="BG4262" s="387"/>
      <c r="BH4262" s="386"/>
      <c r="BI4262" s="386"/>
      <c r="BJ4262" s="46"/>
    </row>
    <row r="4263" spans="59:62" x14ac:dyDescent="0.3">
      <c r="BG4263" s="387"/>
      <c r="BH4263" s="386"/>
      <c r="BI4263" s="386"/>
      <c r="BJ4263" s="46"/>
    </row>
    <row r="4264" spans="59:62" x14ac:dyDescent="0.3">
      <c r="BG4264" s="387"/>
      <c r="BH4264" s="386"/>
      <c r="BI4264" s="386"/>
      <c r="BJ4264" s="46"/>
    </row>
    <row r="4265" spans="59:62" x14ac:dyDescent="0.3">
      <c r="BG4265" s="387"/>
      <c r="BH4265" s="386"/>
      <c r="BI4265" s="386"/>
      <c r="BJ4265" s="46"/>
    </row>
    <row r="4266" spans="59:62" x14ac:dyDescent="0.3">
      <c r="BG4266" s="387"/>
      <c r="BH4266" s="386"/>
      <c r="BI4266" s="386"/>
      <c r="BJ4266" s="46"/>
    </row>
    <row r="4267" spans="59:62" x14ac:dyDescent="0.3">
      <c r="BG4267" s="387"/>
      <c r="BH4267" s="386"/>
      <c r="BI4267" s="386"/>
      <c r="BJ4267" s="46"/>
    </row>
    <row r="4268" spans="59:62" x14ac:dyDescent="0.3">
      <c r="BG4268" s="387"/>
      <c r="BH4268" s="386"/>
      <c r="BI4268" s="386"/>
      <c r="BJ4268" s="46"/>
    </row>
    <row r="4269" spans="59:62" x14ac:dyDescent="0.3">
      <c r="BG4269" s="387"/>
      <c r="BH4269" s="386"/>
      <c r="BI4269" s="386"/>
      <c r="BJ4269" s="46"/>
    </row>
    <row r="4270" spans="59:62" x14ac:dyDescent="0.3">
      <c r="BG4270" s="387"/>
      <c r="BH4270" s="386"/>
      <c r="BI4270" s="386"/>
      <c r="BJ4270" s="46"/>
    </row>
    <row r="4271" spans="59:62" x14ac:dyDescent="0.3">
      <c r="BG4271" s="387"/>
      <c r="BH4271" s="386"/>
      <c r="BI4271" s="386"/>
      <c r="BJ4271" s="46"/>
    </row>
    <row r="4272" spans="59:62" x14ac:dyDescent="0.3">
      <c r="BG4272" s="387"/>
      <c r="BH4272" s="386"/>
      <c r="BI4272" s="386"/>
      <c r="BJ4272" s="46"/>
    </row>
    <row r="4273" spans="59:62" x14ac:dyDescent="0.3">
      <c r="BG4273" s="387"/>
      <c r="BH4273" s="386"/>
      <c r="BI4273" s="386"/>
      <c r="BJ4273" s="46"/>
    </row>
    <row r="4274" spans="59:62" x14ac:dyDescent="0.3">
      <c r="BG4274" s="387"/>
      <c r="BH4274" s="386"/>
      <c r="BI4274" s="386"/>
      <c r="BJ4274" s="46"/>
    </row>
    <row r="4275" spans="59:62" x14ac:dyDescent="0.3">
      <c r="BG4275" s="387"/>
      <c r="BH4275" s="386"/>
      <c r="BI4275" s="386"/>
      <c r="BJ4275" s="46"/>
    </row>
    <row r="4276" spans="59:62" x14ac:dyDescent="0.3">
      <c r="BG4276" s="387"/>
      <c r="BH4276" s="386"/>
      <c r="BI4276" s="386"/>
      <c r="BJ4276" s="46"/>
    </row>
    <row r="4277" spans="59:62" x14ac:dyDescent="0.3">
      <c r="BG4277" s="387"/>
      <c r="BH4277" s="386"/>
      <c r="BI4277" s="386"/>
      <c r="BJ4277" s="46"/>
    </row>
    <row r="4278" spans="59:62" x14ac:dyDescent="0.3">
      <c r="BG4278" s="387"/>
      <c r="BH4278" s="386"/>
      <c r="BI4278" s="386"/>
      <c r="BJ4278" s="46"/>
    </row>
    <row r="4279" spans="59:62" x14ac:dyDescent="0.3">
      <c r="BG4279" s="387"/>
      <c r="BH4279" s="386"/>
      <c r="BI4279" s="386"/>
      <c r="BJ4279" s="46"/>
    </row>
    <row r="4280" spans="59:62" x14ac:dyDescent="0.3">
      <c r="BG4280" s="387"/>
      <c r="BH4280" s="386"/>
      <c r="BI4280" s="386"/>
      <c r="BJ4280" s="46"/>
    </row>
    <row r="4281" spans="59:62" x14ac:dyDescent="0.3">
      <c r="BG4281" s="387"/>
      <c r="BH4281" s="386"/>
      <c r="BI4281" s="386"/>
      <c r="BJ4281" s="46"/>
    </row>
    <row r="4282" spans="59:62" x14ac:dyDescent="0.3">
      <c r="BG4282" s="387"/>
      <c r="BH4282" s="386"/>
      <c r="BI4282" s="386"/>
      <c r="BJ4282" s="46"/>
    </row>
    <row r="4283" spans="59:62" x14ac:dyDescent="0.3">
      <c r="BG4283" s="387"/>
      <c r="BH4283" s="386"/>
      <c r="BI4283" s="386"/>
      <c r="BJ4283" s="46"/>
    </row>
    <row r="4284" spans="59:62" x14ac:dyDescent="0.3">
      <c r="BG4284" s="387"/>
      <c r="BH4284" s="386"/>
      <c r="BI4284" s="386"/>
      <c r="BJ4284" s="46"/>
    </row>
    <row r="4285" spans="59:62" x14ac:dyDescent="0.3">
      <c r="BG4285" s="387"/>
      <c r="BH4285" s="386"/>
      <c r="BI4285" s="386"/>
      <c r="BJ4285" s="46"/>
    </row>
    <row r="4286" spans="59:62" x14ac:dyDescent="0.3">
      <c r="BG4286" s="387"/>
      <c r="BH4286" s="386"/>
      <c r="BI4286" s="386"/>
      <c r="BJ4286" s="46"/>
    </row>
    <row r="4287" spans="59:62" x14ac:dyDescent="0.3">
      <c r="BG4287" s="387"/>
      <c r="BH4287" s="386"/>
      <c r="BI4287" s="386"/>
      <c r="BJ4287" s="46"/>
    </row>
    <row r="4288" spans="59:62" x14ac:dyDescent="0.3">
      <c r="BG4288" s="387"/>
      <c r="BH4288" s="386"/>
      <c r="BI4288" s="386"/>
      <c r="BJ4288" s="46"/>
    </row>
    <row r="4289" spans="59:62" x14ac:dyDescent="0.3">
      <c r="BG4289" s="387"/>
      <c r="BH4289" s="386"/>
      <c r="BI4289" s="386"/>
      <c r="BJ4289" s="46"/>
    </row>
    <row r="4290" spans="59:62" x14ac:dyDescent="0.3">
      <c r="BG4290" s="387"/>
      <c r="BH4290" s="386"/>
      <c r="BI4290" s="386"/>
      <c r="BJ4290" s="46"/>
    </row>
    <row r="4291" spans="59:62" x14ac:dyDescent="0.3">
      <c r="BG4291" s="387"/>
      <c r="BH4291" s="386"/>
      <c r="BI4291" s="386"/>
      <c r="BJ4291" s="46"/>
    </row>
    <row r="4292" spans="59:62" x14ac:dyDescent="0.3">
      <c r="BG4292" s="387"/>
      <c r="BH4292" s="386"/>
      <c r="BI4292" s="386"/>
      <c r="BJ4292" s="46"/>
    </row>
    <row r="4293" spans="59:62" x14ac:dyDescent="0.3">
      <c r="BG4293" s="387"/>
      <c r="BH4293" s="386"/>
      <c r="BI4293" s="386"/>
      <c r="BJ4293" s="46"/>
    </row>
    <row r="4294" spans="59:62" x14ac:dyDescent="0.3">
      <c r="BG4294" s="387"/>
      <c r="BH4294" s="386"/>
      <c r="BI4294" s="386"/>
      <c r="BJ4294" s="46"/>
    </row>
    <row r="4295" spans="59:62" x14ac:dyDescent="0.3">
      <c r="BG4295" s="387"/>
      <c r="BH4295" s="386"/>
      <c r="BI4295" s="386"/>
      <c r="BJ4295" s="46"/>
    </row>
    <row r="4296" spans="59:62" x14ac:dyDescent="0.3">
      <c r="BG4296" s="387"/>
      <c r="BH4296" s="386"/>
      <c r="BI4296" s="386"/>
      <c r="BJ4296" s="46"/>
    </row>
    <row r="4297" spans="59:62" x14ac:dyDescent="0.3">
      <c r="BG4297" s="387"/>
      <c r="BH4297" s="386"/>
      <c r="BI4297" s="386"/>
      <c r="BJ4297" s="46"/>
    </row>
    <row r="4298" spans="59:62" x14ac:dyDescent="0.3">
      <c r="BG4298" s="387"/>
      <c r="BH4298" s="386"/>
      <c r="BI4298" s="386"/>
      <c r="BJ4298" s="46"/>
    </row>
    <row r="4299" spans="59:62" x14ac:dyDescent="0.3">
      <c r="BG4299" s="387"/>
      <c r="BH4299" s="386"/>
      <c r="BI4299" s="386"/>
      <c r="BJ4299" s="46"/>
    </row>
    <row r="4300" spans="59:62" x14ac:dyDescent="0.3">
      <c r="BG4300" s="387"/>
      <c r="BH4300" s="386"/>
      <c r="BI4300" s="386"/>
      <c r="BJ4300" s="46"/>
    </row>
    <row r="4301" spans="59:62" x14ac:dyDescent="0.3">
      <c r="BG4301" s="387"/>
      <c r="BH4301" s="386"/>
      <c r="BI4301" s="386"/>
      <c r="BJ4301" s="46"/>
    </row>
    <row r="4302" spans="59:62" x14ac:dyDescent="0.3">
      <c r="BG4302" s="387"/>
      <c r="BH4302" s="386"/>
      <c r="BI4302" s="386"/>
      <c r="BJ4302" s="46"/>
    </row>
    <row r="4303" spans="59:62" x14ac:dyDescent="0.3">
      <c r="BG4303" s="387"/>
      <c r="BH4303" s="386"/>
      <c r="BI4303" s="386"/>
      <c r="BJ4303" s="46"/>
    </row>
    <row r="4304" spans="59:62" x14ac:dyDescent="0.3">
      <c r="BG4304" s="387"/>
      <c r="BH4304" s="386"/>
      <c r="BI4304" s="386"/>
      <c r="BJ4304" s="46"/>
    </row>
    <row r="4305" spans="59:62" x14ac:dyDescent="0.3">
      <c r="BG4305" s="387"/>
      <c r="BH4305" s="386"/>
      <c r="BI4305" s="386"/>
      <c r="BJ4305" s="46"/>
    </row>
    <row r="4306" spans="59:62" x14ac:dyDescent="0.3">
      <c r="BG4306" s="387"/>
      <c r="BH4306" s="386"/>
      <c r="BI4306" s="386"/>
      <c r="BJ4306" s="46"/>
    </row>
    <row r="4307" spans="59:62" x14ac:dyDescent="0.3">
      <c r="BG4307" s="387"/>
      <c r="BH4307" s="386"/>
      <c r="BI4307" s="386"/>
      <c r="BJ4307" s="46"/>
    </row>
    <row r="4308" spans="59:62" x14ac:dyDescent="0.3">
      <c r="BG4308" s="387"/>
      <c r="BH4308" s="386"/>
      <c r="BI4308" s="386"/>
      <c r="BJ4308" s="46"/>
    </row>
    <row r="4309" spans="59:62" x14ac:dyDescent="0.3">
      <c r="BG4309" s="387"/>
      <c r="BH4309" s="386"/>
      <c r="BI4309" s="386"/>
      <c r="BJ4309" s="46"/>
    </row>
    <row r="4310" spans="59:62" x14ac:dyDescent="0.3">
      <c r="BG4310" s="387"/>
      <c r="BH4310" s="386"/>
      <c r="BI4310" s="386"/>
      <c r="BJ4310" s="46"/>
    </row>
    <row r="4311" spans="59:62" x14ac:dyDescent="0.3">
      <c r="BG4311" s="387"/>
      <c r="BH4311" s="386"/>
      <c r="BI4311" s="386"/>
      <c r="BJ4311" s="46"/>
    </row>
    <row r="4312" spans="59:62" x14ac:dyDescent="0.3">
      <c r="BG4312" s="387"/>
      <c r="BH4312" s="386"/>
      <c r="BI4312" s="386"/>
      <c r="BJ4312" s="46"/>
    </row>
    <row r="4313" spans="59:62" x14ac:dyDescent="0.3">
      <c r="BG4313" s="387"/>
      <c r="BH4313" s="386"/>
      <c r="BI4313" s="386"/>
      <c r="BJ4313" s="46"/>
    </row>
    <row r="4314" spans="59:62" x14ac:dyDescent="0.3">
      <c r="BG4314" s="387"/>
      <c r="BH4314" s="386"/>
      <c r="BI4314" s="386"/>
      <c r="BJ4314" s="46"/>
    </row>
    <row r="4315" spans="59:62" x14ac:dyDescent="0.3">
      <c r="BG4315" s="387"/>
      <c r="BH4315" s="386"/>
      <c r="BI4315" s="386"/>
      <c r="BJ4315" s="46"/>
    </row>
    <row r="4316" spans="59:62" x14ac:dyDescent="0.3">
      <c r="BG4316" s="387"/>
      <c r="BH4316" s="386"/>
      <c r="BI4316" s="386"/>
      <c r="BJ4316" s="46"/>
    </row>
    <row r="4317" spans="59:62" x14ac:dyDescent="0.3">
      <c r="BG4317" s="387"/>
      <c r="BH4317" s="386"/>
      <c r="BI4317" s="386"/>
      <c r="BJ4317" s="46"/>
    </row>
    <row r="4318" spans="59:62" x14ac:dyDescent="0.3">
      <c r="BG4318" s="387"/>
      <c r="BH4318" s="386"/>
      <c r="BI4318" s="386"/>
      <c r="BJ4318" s="46"/>
    </row>
    <row r="4319" spans="59:62" x14ac:dyDescent="0.3">
      <c r="BG4319" s="387"/>
      <c r="BH4319" s="386"/>
      <c r="BI4319" s="386"/>
      <c r="BJ4319" s="46"/>
    </row>
    <row r="4320" spans="59:62" x14ac:dyDescent="0.3">
      <c r="BG4320" s="387"/>
      <c r="BH4320" s="386"/>
      <c r="BI4320" s="386"/>
      <c r="BJ4320" s="46"/>
    </row>
    <row r="4321" spans="59:62" x14ac:dyDescent="0.3">
      <c r="BG4321" s="387"/>
      <c r="BH4321" s="386"/>
      <c r="BI4321" s="386"/>
      <c r="BJ4321" s="46"/>
    </row>
    <row r="4322" spans="59:62" x14ac:dyDescent="0.3">
      <c r="BG4322" s="387"/>
      <c r="BH4322" s="386"/>
      <c r="BI4322" s="386"/>
      <c r="BJ4322" s="46"/>
    </row>
    <row r="4323" spans="59:62" x14ac:dyDescent="0.3">
      <c r="BG4323" s="387"/>
      <c r="BH4323" s="386"/>
      <c r="BI4323" s="386"/>
      <c r="BJ4323" s="46"/>
    </row>
    <row r="4324" spans="59:62" x14ac:dyDescent="0.3">
      <c r="BG4324" s="387"/>
      <c r="BH4324" s="386"/>
      <c r="BI4324" s="386"/>
      <c r="BJ4324" s="46"/>
    </row>
    <row r="4325" spans="59:62" x14ac:dyDescent="0.3">
      <c r="BG4325" s="387"/>
      <c r="BH4325" s="386"/>
      <c r="BI4325" s="386"/>
      <c r="BJ4325" s="46"/>
    </row>
    <row r="4326" spans="59:62" x14ac:dyDescent="0.3">
      <c r="BG4326" s="387"/>
      <c r="BH4326" s="386"/>
      <c r="BI4326" s="386"/>
      <c r="BJ4326" s="46"/>
    </row>
    <row r="4327" spans="59:62" x14ac:dyDescent="0.3">
      <c r="BG4327" s="387"/>
      <c r="BH4327" s="386"/>
      <c r="BI4327" s="386"/>
      <c r="BJ4327" s="46"/>
    </row>
    <row r="4328" spans="59:62" x14ac:dyDescent="0.3">
      <c r="BG4328" s="387"/>
      <c r="BH4328" s="386"/>
      <c r="BI4328" s="386"/>
      <c r="BJ4328" s="46"/>
    </row>
    <row r="4329" spans="59:62" x14ac:dyDescent="0.3">
      <c r="BG4329" s="387"/>
      <c r="BH4329" s="386"/>
      <c r="BI4329" s="386"/>
      <c r="BJ4329" s="46"/>
    </row>
    <row r="4330" spans="59:62" x14ac:dyDescent="0.3">
      <c r="BG4330" s="387"/>
      <c r="BH4330" s="386"/>
      <c r="BI4330" s="386"/>
      <c r="BJ4330" s="46"/>
    </row>
    <row r="4331" spans="59:62" x14ac:dyDescent="0.3">
      <c r="BG4331" s="387"/>
      <c r="BH4331" s="386"/>
      <c r="BI4331" s="386"/>
      <c r="BJ4331" s="46"/>
    </row>
    <row r="4332" spans="59:62" x14ac:dyDescent="0.3">
      <c r="BG4332" s="387"/>
      <c r="BH4332" s="386"/>
      <c r="BI4332" s="386"/>
      <c r="BJ4332" s="46"/>
    </row>
    <row r="4333" spans="59:62" x14ac:dyDescent="0.3">
      <c r="BG4333" s="387"/>
      <c r="BH4333" s="386"/>
      <c r="BI4333" s="386"/>
      <c r="BJ4333" s="46"/>
    </row>
    <row r="4334" spans="59:62" x14ac:dyDescent="0.3">
      <c r="BG4334" s="387"/>
      <c r="BH4334" s="386"/>
      <c r="BI4334" s="386"/>
      <c r="BJ4334" s="46"/>
    </row>
    <row r="4335" spans="59:62" x14ac:dyDescent="0.3">
      <c r="BG4335" s="387"/>
      <c r="BH4335" s="386"/>
      <c r="BI4335" s="386"/>
      <c r="BJ4335" s="46"/>
    </row>
    <row r="4336" spans="59:62" x14ac:dyDescent="0.3">
      <c r="BG4336" s="387"/>
      <c r="BH4336" s="386"/>
      <c r="BI4336" s="386"/>
      <c r="BJ4336" s="46"/>
    </row>
    <row r="4337" spans="59:62" x14ac:dyDescent="0.3">
      <c r="BG4337" s="387"/>
      <c r="BH4337" s="386"/>
      <c r="BI4337" s="386"/>
      <c r="BJ4337" s="46"/>
    </row>
    <row r="4338" spans="59:62" x14ac:dyDescent="0.3">
      <c r="BG4338" s="387"/>
      <c r="BH4338" s="386"/>
      <c r="BI4338" s="386"/>
      <c r="BJ4338" s="46"/>
    </row>
    <row r="4339" spans="59:62" x14ac:dyDescent="0.3">
      <c r="BG4339" s="387"/>
      <c r="BH4339" s="386"/>
      <c r="BI4339" s="386"/>
      <c r="BJ4339" s="46"/>
    </row>
    <row r="4340" spans="59:62" x14ac:dyDescent="0.3">
      <c r="BG4340" s="387"/>
      <c r="BH4340" s="386"/>
      <c r="BI4340" s="386"/>
      <c r="BJ4340" s="46"/>
    </row>
    <row r="4341" spans="59:62" x14ac:dyDescent="0.3">
      <c r="BG4341" s="387"/>
      <c r="BH4341" s="386"/>
      <c r="BI4341" s="386"/>
      <c r="BJ4341" s="46"/>
    </row>
    <row r="4342" spans="59:62" x14ac:dyDescent="0.3">
      <c r="BG4342" s="387"/>
      <c r="BH4342" s="386"/>
      <c r="BI4342" s="386"/>
      <c r="BJ4342" s="46"/>
    </row>
    <row r="4343" spans="59:62" x14ac:dyDescent="0.3">
      <c r="BG4343" s="387"/>
      <c r="BH4343" s="386"/>
      <c r="BI4343" s="386"/>
      <c r="BJ4343" s="46"/>
    </row>
    <row r="4344" spans="59:62" x14ac:dyDescent="0.3">
      <c r="BG4344" s="387"/>
      <c r="BH4344" s="386"/>
      <c r="BI4344" s="386"/>
      <c r="BJ4344" s="46"/>
    </row>
    <row r="4345" spans="59:62" x14ac:dyDescent="0.3">
      <c r="BG4345" s="387"/>
      <c r="BH4345" s="386"/>
      <c r="BI4345" s="386"/>
      <c r="BJ4345" s="46"/>
    </row>
    <row r="4346" spans="59:62" x14ac:dyDescent="0.3">
      <c r="BG4346" s="387"/>
      <c r="BH4346" s="386"/>
      <c r="BI4346" s="386"/>
      <c r="BJ4346" s="46"/>
    </row>
    <row r="4347" spans="59:62" x14ac:dyDescent="0.3">
      <c r="BG4347" s="387"/>
      <c r="BH4347" s="386"/>
      <c r="BI4347" s="386"/>
      <c r="BJ4347" s="46"/>
    </row>
    <row r="4348" spans="59:62" x14ac:dyDescent="0.3">
      <c r="BG4348" s="387"/>
      <c r="BH4348" s="386"/>
      <c r="BI4348" s="386"/>
      <c r="BJ4348" s="46"/>
    </row>
    <row r="4349" spans="59:62" x14ac:dyDescent="0.3">
      <c r="BG4349" s="387"/>
      <c r="BH4349" s="386"/>
      <c r="BI4349" s="386"/>
      <c r="BJ4349" s="46"/>
    </row>
    <row r="4350" spans="59:62" x14ac:dyDescent="0.3">
      <c r="BG4350" s="387"/>
      <c r="BH4350" s="386"/>
      <c r="BI4350" s="386"/>
      <c r="BJ4350" s="46"/>
    </row>
    <row r="4351" spans="59:62" x14ac:dyDescent="0.3">
      <c r="BG4351" s="387"/>
      <c r="BH4351" s="386"/>
      <c r="BI4351" s="386"/>
      <c r="BJ4351" s="46"/>
    </row>
    <row r="4352" spans="59:62" x14ac:dyDescent="0.3">
      <c r="BG4352" s="387"/>
      <c r="BH4352" s="386"/>
      <c r="BI4352" s="386"/>
      <c r="BJ4352" s="46"/>
    </row>
    <row r="4353" spans="59:62" x14ac:dyDescent="0.3">
      <c r="BG4353" s="387"/>
      <c r="BH4353" s="386"/>
      <c r="BI4353" s="386"/>
      <c r="BJ4353" s="46"/>
    </row>
    <row r="4354" spans="59:62" x14ac:dyDescent="0.3">
      <c r="BG4354" s="387"/>
      <c r="BH4354" s="386"/>
      <c r="BI4354" s="386"/>
      <c r="BJ4354" s="46"/>
    </row>
    <row r="4355" spans="59:62" x14ac:dyDescent="0.3">
      <c r="BG4355" s="387"/>
      <c r="BH4355" s="386"/>
      <c r="BI4355" s="386"/>
      <c r="BJ4355" s="46"/>
    </row>
    <row r="4356" spans="59:62" x14ac:dyDescent="0.3">
      <c r="BG4356" s="387"/>
      <c r="BH4356" s="386"/>
      <c r="BI4356" s="386"/>
      <c r="BJ4356" s="46"/>
    </row>
    <row r="4357" spans="59:62" x14ac:dyDescent="0.3">
      <c r="BG4357" s="387"/>
      <c r="BH4357" s="386"/>
      <c r="BI4357" s="386"/>
      <c r="BJ4357" s="46"/>
    </row>
    <row r="4358" spans="59:62" x14ac:dyDescent="0.3">
      <c r="BG4358" s="387"/>
      <c r="BH4358" s="386"/>
      <c r="BI4358" s="386"/>
      <c r="BJ4358" s="46"/>
    </row>
    <row r="4359" spans="59:62" x14ac:dyDescent="0.3">
      <c r="BG4359" s="387"/>
      <c r="BH4359" s="386"/>
      <c r="BI4359" s="386"/>
      <c r="BJ4359" s="46"/>
    </row>
    <row r="4360" spans="59:62" x14ac:dyDescent="0.3">
      <c r="BG4360" s="387"/>
      <c r="BH4360" s="386"/>
      <c r="BI4360" s="386"/>
      <c r="BJ4360" s="46"/>
    </row>
    <row r="4361" spans="59:62" x14ac:dyDescent="0.3">
      <c r="BG4361" s="387"/>
      <c r="BH4361" s="386"/>
      <c r="BI4361" s="386"/>
      <c r="BJ4361" s="46"/>
    </row>
    <row r="4362" spans="59:62" x14ac:dyDescent="0.3">
      <c r="BG4362" s="387"/>
      <c r="BH4362" s="386"/>
      <c r="BI4362" s="386"/>
      <c r="BJ4362" s="46"/>
    </row>
    <row r="4363" spans="59:62" x14ac:dyDescent="0.3">
      <c r="BG4363" s="387"/>
      <c r="BH4363" s="386"/>
      <c r="BI4363" s="386"/>
      <c r="BJ4363" s="46"/>
    </row>
    <row r="4364" spans="59:62" x14ac:dyDescent="0.3">
      <c r="BG4364" s="387"/>
      <c r="BH4364" s="386"/>
      <c r="BI4364" s="386"/>
      <c r="BJ4364" s="46"/>
    </row>
    <row r="4365" spans="59:62" x14ac:dyDescent="0.3">
      <c r="BG4365" s="387"/>
      <c r="BH4365" s="386"/>
      <c r="BI4365" s="386"/>
      <c r="BJ4365" s="46"/>
    </row>
    <row r="4366" spans="59:62" x14ac:dyDescent="0.3">
      <c r="BG4366" s="387"/>
      <c r="BH4366" s="386"/>
      <c r="BI4366" s="386"/>
      <c r="BJ4366" s="46"/>
    </row>
    <row r="4367" spans="59:62" x14ac:dyDescent="0.3">
      <c r="BG4367" s="387"/>
      <c r="BH4367" s="386"/>
      <c r="BI4367" s="386"/>
      <c r="BJ4367" s="46"/>
    </row>
    <row r="4368" spans="59:62" x14ac:dyDescent="0.3">
      <c r="BG4368" s="387"/>
      <c r="BH4368" s="386"/>
      <c r="BI4368" s="386"/>
      <c r="BJ4368" s="46"/>
    </row>
    <row r="4369" spans="59:62" x14ac:dyDescent="0.3">
      <c r="BG4369" s="387"/>
      <c r="BH4369" s="386"/>
      <c r="BI4369" s="386"/>
      <c r="BJ4369" s="46"/>
    </row>
    <row r="4370" spans="59:62" x14ac:dyDescent="0.3">
      <c r="BG4370" s="387"/>
      <c r="BH4370" s="386"/>
      <c r="BI4370" s="386"/>
      <c r="BJ4370" s="46"/>
    </row>
    <row r="4371" spans="59:62" x14ac:dyDescent="0.3">
      <c r="BG4371" s="387"/>
      <c r="BH4371" s="386"/>
      <c r="BI4371" s="386"/>
      <c r="BJ4371" s="46"/>
    </row>
    <row r="4372" spans="59:62" x14ac:dyDescent="0.3">
      <c r="BG4372" s="387"/>
      <c r="BH4372" s="386"/>
      <c r="BI4372" s="386"/>
      <c r="BJ4372" s="46"/>
    </row>
    <row r="4373" spans="59:62" x14ac:dyDescent="0.3">
      <c r="BG4373" s="387"/>
      <c r="BH4373" s="386"/>
      <c r="BI4373" s="386"/>
      <c r="BJ4373" s="46"/>
    </row>
    <row r="4374" spans="59:62" x14ac:dyDescent="0.3">
      <c r="BG4374" s="387"/>
      <c r="BH4374" s="386"/>
      <c r="BI4374" s="386"/>
      <c r="BJ4374" s="46"/>
    </row>
    <row r="4375" spans="59:62" x14ac:dyDescent="0.3">
      <c r="BG4375" s="387"/>
      <c r="BH4375" s="386"/>
      <c r="BI4375" s="386"/>
      <c r="BJ4375" s="46"/>
    </row>
    <row r="4376" spans="59:62" x14ac:dyDescent="0.3">
      <c r="BG4376" s="387"/>
      <c r="BH4376" s="386"/>
      <c r="BI4376" s="386"/>
      <c r="BJ4376" s="46"/>
    </row>
    <row r="4377" spans="59:62" x14ac:dyDescent="0.3">
      <c r="BG4377" s="387"/>
      <c r="BH4377" s="386"/>
      <c r="BI4377" s="386"/>
      <c r="BJ4377" s="46"/>
    </row>
    <row r="4378" spans="59:62" x14ac:dyDescent="0.3">
      <c r="BG4378" s="387"/>
      <c r="BH4378" s="386"/>
      <c r="BI4378" s="386"/>
      <c r="BJ4378" s="46"/>
    </row>
    <row r="4379" spans="59:62" x14ac:dyDescent="0.3">
      <c r="BG4379" s="387"/>
      <c r="BH4379" s="386"/>
      <c r="BI4379" s="386"/>
      <c r="BJ4379" s="46"/>
    </row>
    <row r="4380" spans="59:62" x14ac:dyDescent="0.3">
      <c r="BG4380" s="387"/>
      <c r="BH4380" s="386"/>
      <c r="BI4380" s="386"/>
      <c r="BJ4380" s="46"/>
    </row>
    <row r="4381" spans="59:62" x14ac:dyDescent="0.3">
      <c r="BG4381" s="387"/>
      <c r="BH4381" s="386"/>
      <c r="BI4381" s="386"/>
      <c r="BJ4381" s="46"/>
    </row>
    <row r="4382" spans="59:62" x14ac:dyDescent="0.3">
      <c r="BG4382" s="387"/>
      <c r="BH4382" s="386"/>
      <c r="BI4382" s="386"/>
      <c r="BJ4382" s="46"/>
    </row>
    <row r="4383" spans="59:62" x14ac:dyDescent="0.3">
      <c r="BG4383" s="387"/>
      <c r="BH4383" s="386"/>
      <c r="BI4383" s="386"/>
      <c r="BJ4383" s="46"/>
    </row>
    <row r="4384" spans="59:62" x14ac:dyDescent="0.3">
      <c r="BG4384" s="387"/>
      <c r="BH4384" s="386"/>
      <c r="BI4384" s="386"/>
      <c r="BJ4384" s="46"/>
    </row>
    <row r="4385" spans="59:62" x14ac:dyDescent="0.3">
      <c r="BG4385" s="387"/>
      <c r="BH4385" s="386"/>
      <c r="BI4385" s="386"/>
      <c r="BJ4385" s="46"/>
    </row>
    <row r="4386" spans="59:62" x14ac:dyDescent="0.3">
      <c r="BG4386" s="387"/>
      <c r="BH4386" s="386"/>
      <c r="BI4386" s="386"/>
      <c r="BJ4386" s="46"/>
    </row>
    <row r="4387" spans="59:62" x14ac:dyDescent="0.3">
      <c r="BG4387" s="387"/>
      <c r="BH4387" s="386"/>
      <c r="BI4387" s="386"/>
      <c r="BJ4387" s="46"/>
    </row>
    <row r="4388" spans="59:62" x14ac:dyDescent="0.3">
      <c r="BG4388" s="387"/>
      <c r="BH4388" s="386"/>
      <c r="BI4388" s="386"/>
      <c r="BJ4388" s="46"/>
    </row>
    <row r="4389" spans="59:62" x14ac:dyDescent="0.3">
      <c r="BG4389" s="387"/>
      <c r="BH4389" s="386"/>
      <c r="BI4389" s="386"/>
      <c r="BJ4389" s="46"/>
    </row>
    <row r="4390" spans="59:62" x14ac:dyDescent="0.3">
      <c r="BG4390" s="387"/>
      <c r="BH4390" s="386"/>
      <c r="BI4390" s="386"/>
      <c r="BJ4390" s="46"/>
    </row>
    <row r="4391" spans="59:62" x14ac:dyDescent="0.3">
      <c r="BG4391" s="387"/>
      <c r="BH4391" s="386"/>
      <c r="BI4391" s="386"/>
      <c r="BJ4391" s="46"/>
    </row>
    <row r="4392" spans="59:62" x14ac:dyDescent="0.3">
      <c r="BG4392" s="387"/>
      <c r="BH4392" s="386"/>
      <c r="BI4392" s="386"/>
      <c r="BJ4392" s="46"/>
    </row>
    <row r="4393" spans="59:62" x14ac:dyDescent="0.3">
      <c r="BG4393" s="387"/>
      <c r="BH4393" s="386"/>
      <c r="BI4393" s="386"/>
      <c r="BJ4393" s="46"/>
    </row>
    <row r="4394" spans="59:62" x14ac:dyDescent="0.3">
      <c r="BG4394" s="387"/>
      <c r="BH4394" s="386"/>
      <c r="BI4394" s="386"/>
      <c r="BJ4394" s="46"/>
    </row>
    <row r="4395" spans="59:62" x14ac:dyDescent="0.3">
      <c r="BG4395" s="387"/>
      <c r="BH4395" s="386"/>
      <c r="BI4395" s="386"/>
      <c r="BJ4395" s="46"/>
    </row>
    <row r="4396" spans="59:62" x14ac:dyDescent="0.3">
      <c r="BG4396" s="387"/>
      <c r="BH4396" s="386"/>
      <c r="BI4396" s="386"/>
      <c r="BJ4396" s="46"/>
    </row>
    <row r="4397" spans="59:62" x14ac:dyDescent="0.3">
      <c r="BG4397" s="387"/>
      <c r="BH4397" s="386"/>
      <c r="BI4397" s="386"/>
      <c r="BJ4397" s="46"/>
    </row>
    <row r="4398" spans="59:62" x14ac:dyDescent="0.3">
      <c r="BG4398" s="387"/>
      <c r="BH4398" s="386"/>
      <c r="BI4398" s="386"/>
      <c r="BJ4398" s="46"/>
    </row>
    <row r="4399" spans="59:62" x14ac:dyDescent="0.3">
      <c r="BG4399" s="387"/>
      <c r="BH4399" s="386"/>
      <c r="BI4399" s="386"/>
      <c r="BJ4399" s="46"/>
    </row>
    <row r="4400" spans="59:62" x14ac:dyDescent="0.3">
      <c r="BG4400" s="387"/>
      <c r="BH4400" s="386"/>
      <c r="BI4400" s="386"/>
      <c r="BJ4400" s="46"/>
    </row>
    <row r="4401" spans="59:62" x14ac:dyDescent="0.3">
      <c r="BG4401" s="387"/>
      <c r="BH4401" s="386"/>
      <c r="BI4401" s="386"/>
      <c r="BJ4401" s="46"/>
    </row>
    <row r="4402" spans="59:62" x14ac:dyDescent="0.3">
      <c r="BG4402" s="387"/>
      <c r="BH4402" s="386"/>
      <c r="BI4402" s="386"/>
      <c r="BJ4402" s="46"/>
    </row>
    <row r="4403" spans="59:62" x14ac:dyDescent="0.3">
      <c r="BG4403" s="387"/>
      <c r="BH4403" s="386"/>
      <c r="BI4403" s="386"/>
      <c r="BJ4403" s="46"/>
    </row>
    <row r="4404" spans="59:62" x14ac:dyDescent="0.3">
      <c r="BG4404" s="387"/>
      <c r="BH4404" s="386"/>
      <c r="BI4404" s="386"/>
      <c r="BJ4404" s="46"/>
    </row>
    <row r="4405" spans="59:62" x14ac:dyDescent="0.3">
      <c r="BG4405" s="387"/>
      <c r="BH4405" s="386"/>
      <c r="BI4405" s="386"/>
      <c r="BJ4405" s="46"/>
    </row>
    <row r="4406" spans="59:62" x14ac:dyDescent="0.3">
      <c r="BG4406" s="387"/>
      <c r="BH4406" s="386"/>
      <c r="BI4406" s="386"/>
      <c r="BJ4406" s="46"/>
    </row>
    <row r="4407" spans="59:62" x14ac:dyDescent="0.3">
      <c r="BG4407" s="387"/>
      <c r="BH4407" s="386"/>
      <c r="BI4407" s="386"/>
      <c r="BJ4407" s="46"/>
    </row>
    <row r="4408" spans="59:62" x14ac:dyDescent="0.3">
      <c r="BG4408" s="387"/>
      <c r="BH4408" s="386"/>
      <c r="BI4408" s="386"/>
      <c r="BJ4408" s="46"/>
    </row>
    <row r="4409" spans="59:62" x14ac:dyDescent="0.3">
      <c r="BG4409" s="387"/>
      <c r="BH4409" s="386"/>
      <c r="BI4409" s="386"/>
      <c r="BJ4409" s="46"/>
    </row>
    <row r="4410" spans="59:62" x14ac:dyDescent="0.3">
      <c r="BG4410" s="387"/>
      <c r="BH4410" s="386"/>
      <c r="BI4410" s="386"/>
      <c r="BJ4410" s="46"/>
    </row>
    <row r="4411" spans="59:62" x14ac:dyDescent="0.3">
      <c r="BG4411" s="387"/>
      <c r="BH4411" s="386"/>
      <c r="BI4411" s="386"/>
      <c r="BJ4411" s="46"/>
    </row>
    <row r="4412" spans="59:62" x14ac:dyDescent="0.3">
      <c r="BG4412" s="387"/>
      <c r="BH4412" s="386"/>
      <c r="BI4412" s="386"/>
      <c r="BJ4412" s="46"/>
    </row>
    <row r="4413" spans="59:62" x14ac:dyDescent="0.3">
      <c r="BG4413" s="387"/>
      <c r="BH4413" s="386"/>
      <c r="BI4413" s="386"/>
      <c r="BJ4413" s="46"/>
    </row>
    <row r="4414" spans="59:62" x14ac:dyDescent="0.3">
      <c r="BG4414" s="387"/>
      <c r="BH4414" s="386"/>
      <c r="BI4414" s="386"/>
      <c r="BJ4414" s="46"/>
    </row>
    <row r="4415" spans="59:62" x14ac:dyDescent="0.3">
      <c r="BG4415" s="387"/>
      <c r="BH4415" s="386"/>
      <c r="BI4415" s="386"/>
      <c r="BJ4415" s="46"/>
    </row>
    <row r="4416" spans="59:62" x14ac:dyDescent="0.3">
      <c r="BG4416" s="387"/>
      <c r="BH4416" s="386"/>
      <c r="BI4416" s="386"/>
      <c r="BJ4416" s="46"/>
    </row>
    <row r="4417" spans="59:62" x14ac:dyDescent="0.3">
      <c r="BG4417" s="387"/>
      <c r="BH4417" s="386"/>
      <c r="BI4417" s="386"/>
      <c r="BJ4417" s="46"/>
    </row>
    <row r="4418" spans="59:62" x14ac:dyDescent="0.3">
      <c r="BG4418" s="387"/>
      <c r="BH4418" s="386"/>
      <c r="BI4418" s="386"/>
      <c r="BJ4418" s="46"/>
    </row>
    <row r="4419" spans="59:62" x14ac:dyDescent="0.3">
      <c r="BG4419" s="387"/>
      <c r="BH4419" s="386"/>
      <c r="BI4419" s="386"/>
      <c r="BJ4419" s="46"/>
    </row>
    <row r="4420" spans="59:62" x14ac:dyDescent="0.3">
      <c r="BG4420" s="387"/>
      <c r="BH4420" s="386"/>
      <c r="BI4420" s="386"/>
      <c r="BJ4420" s="46"/>
    </row>
    <row r="4421" spans="59:62" x14ac:dyDescent="0.3">
      <c r="BG4421" s="387"/>
      <c r="BH4421" s="386"/>
      <c r="BI4421" s="386"/>
      <c r="BJ4421" s="46"/>
    </row>
    <row r="4422" spans="59:62" x14ac:dyDescent="0.3">
      <c r="BG4422" s="387"/>
      <c r="BH4422" s="386"/>
      <c r="BI4422" s="386"/>
      <c r="BJ4422" s="46"/>
    </row>
    <row r="4423" spans="59:62" x14ac:dyDescent="0.3">
      <c r="BG4423" s="387"/>
      <c r="BH4423" s="386"/>
      <c r="BI4423" s="386"/>
      <c r="BJ4423" s="46"/>
    </row>
    <row r="4424" spans="59:62" x14ac:dyDescent="0.3">
      <c r="BG4424" s="387"/>
      <c r="BH4424" s="386"/>
      <c r="BI4424" s="386"/>
      <c r="BJ4424" s="46"/>
    </row>
    <row r="4425" spans="59:62" x14ac:dyDescent="0.3">
      <c r="BG4425" s="387"/>
      <c r="BH4425" s="386"/>
      <c r="BI4425" s="386"/>
      <c r="BJ4425" s="46"/>
    </row>
    <row r="4426" spans="59:62" x14ac:dyDescent="0.3">
      <c r="BG4426" s="387"/>
      <c r="BH4426" s="386"/>
      <c r="BI4426" s="386"/>
      <c r="BJ4426" s="46"/>
    </row>
    <row r="4427" spans="59:62" x14ac:dyDescent="0.3">
      <c r="BG4427" s="387"/>
      <c r="BH4427" s="386"/>
      <c r="BI4427" s="386"/>
      <c r="BJ4427" s="46"/>
    </row>
    <row r="4428" spans="59:62" x14ac:dyDescent="0.3">
      <c r="BG4428" s="387"/>
      <c r="BH4428" s="386"/>
      <c r="BI4428" s="386"/>
      <c r="BJ4428" s="46"/>
    </row>
    <row r="4429" spans="59:62" x14ac:dyDescent="0.3">
      <c r="BG4429" s="387"/>
      <c r="BH4429" s="386"/>
      <c r="BI4429" s="386"/>
      <c r="BJ4429" s="46"/>
    </row>
    <row r="4430" spans="59:62" x14ac:dyDescent="0.3">
      <c r="BG4430" s="387"/>
      <c r="BH4430" s="386"/>
      <c r="BI4430" s="386"/>
      <c r="BJ4430" s="46"/>
    </row>
    <row r="4431" spans="59:62" x14ac:dyDescent="0.3">
      <c r="BG4431" s="387"/>
      <c r="BH4431" s="386"/>
      <c r="BI4431" s="386"/>
      <c r="BJ4431" s="46"/>
    </row>
    <row r="4432" spans="59:62" x14ac:dyDescent="0.3">
      <c r="BG4432" s="387"/>
      <c r="BH4432" s="386"/>
      <c r="BI4432" s="386"/>
      <c r="BJ4432" s="46"/>
    </row>
    <row r="4433" spans="59:62" x14ac:dyDescent="0.3">
      <c r="BG4433" s="387"/>
      <c r="BH4433" s="386"/>
      <c r="BI4433" s="386"/>
      <c r="BJ4433" s="46"/>
    </row>
    <row r="4434" spans="59:62" x14ac:dyDescent="0.3">
      <c r="BG4434" s="387"/>
      <c r="BH4434" s="386"/>
      <c r="BI4434" s="386"/>
      <c r="BJ4434" s="46"/>
    </row>
    <row r="4435" spans="59:62" x14ac:dyDescent="0.3">
      <c r="BG4435" s="387"/>
      <c r="BH4435" s="386"/>
      <c r="BI4435" s="386"/>
      <c r="BJ4435" s="46"/>
    </row>
    <row r="4436" spans="59:62" x14ac:dyDescent="0.3">
      <c r="BG4436" s="387"/>
      <c r="BH4436" s="386"/>
      <c r="BI4436" s="386"/>
      <c r="BJ4436" s="46"/>
    </row>
    <row r="4437" spans="59:62" x14ac:dyDescent="0.3">
      <c r="BG4437" s="387"/>
      <c r="BH4437" s="386"/>
      <c r="BI4437" s="386"/>
      <c r="BJ4437" s="46"/>
    </row>
    <row r="4438" spans="59:62" x14ac:dyDescent="0.3">
      <c r="BG4438" s="387"/>
      <c r="BH4438" s="386"/>
      <c r="BI4438" s="386"/>
      <c r="BJ4438" s="46"/>
    </row>
    <row r="4439" spans="59:62" x14ac:dyDescent="0.3">
      <c r="BG4439" s="387"/>
      <c r="BH4439" s="386"/>
      <c r="BI4439" s="386"/>
      <c r="BJ4439" s="46"/>
    </row>
    <row r="4440" spans="59:62" x14ac:dyDescent="0.3">
      <c r="BG4440" s="387"/>
      <c r="BH4440" s="386"/>
      <c r="BI4440" s="386"/>
      <c r="BJ4440" s="46"/>
    </row>
    <row r="4441" spans="59:62" x14ac:dyDescent="0.3">
      <c r="BG4441" s="387"/>
      <c r="BH4441" s="386"/>
      <c r="BI4441" s="386"/>
      <c r="BJ4441" s="46"/>
    </row>
    <row r="4442" spans="59:62" x14ac:dyDescent="0.3">
      <c r="BG4442" s="387"/>
      <c r="BH4442" s="386"/>
      <c r="BI4442" s="386"/>
      <c r="BJ4442" s="46"/>
    </row>
    <row r="4443" spans="59:62" x14ac:dyDescent="0.3">
      <c r="BG4443" s="387"/>
      <c r="BH4443" s="386"/>
      <c r="BI4443" s="386"/>
      <c r="BJ4443" s="46"/>
    </row>
    <row r="4444" spans="59:62" x14ac:dyDescent="0.3">
      <c r="BG4444" s="387"/>
      <c r="BH4444" s="386"/>
      <c r="BI4444" s="386"/>
      <c r="BJ4444" s="46"/>
    </row>
    <row r="4445" spans="59:62" x14ac:dyDescent="0.3">
      <c r="BG4445" s="387"/>
      <c r="BH4445" s="386"/>
      <c r="BI4445" s="386"/>
      <c r="BJ4445" s="46"/>
    </row>
    <row r="4446" spans="59:62" x14ac:dyDescent="0.3">
      <c r="BG4446" s="387"/>
      <c r="BH4446" s="386"/>
      <c r="BI4446" s="386"/>
      <c r="BJ4446" s="46"/>
    </row>
    <row r="4447" spans="59:62" x14ac:dyDescent="0.3">
      <c r="BG4447" s="387"/>
      <c r="BH4447" s="386"/>
      <c r="BI4447" s="386"/>
      <c r="BJ4447" s="46"/>
    </row>
    <row r="4448" spans="59:62" x14ac:dyDescent="0.3">
      <c r="BG4448" s="387"/>
      <c r="BH4448" s="386"/>
      <c r="BI4448" s="386"/>
      <c r="BJ4448" s="46"/>
    </row>
    <row r="4449" spans="59:62" x14ac:dyDescent="0.3">
      <c r="BG4449" s="387"/>
      <c r="BH4449" s="386"/>
      <c r="BI4449" s="386"/>
      <c r="BJ4449" s="46"/>
    </row>
    <row r="4450" spans="59:62" x14ac:dyDescent="0.3">
      <c r="BG4450" s="387"/>
      <c r="BH4450" s="386"/>
      <c r="BI4450" s="386"/>
      <c r="BJ4450" s="46"/>
    </row>
    <row r="4451" spans="59:62" x14ac:dyDescent="0.3">
      <c r="BG4451" s="387"/>
      <c r="BH4451" s="386"/>
      <c r="BI4451" s="386"/>
      <c r="BJ4451" s="46"/>
    </row>
    <row r="4452" spans="59:62" x14ac:dyDescent="0.3">
      <c r="BG4452" s="387"/>
      <c r="BH4452" s="386"/>
      <c r="BI4452" s="386"/>
      <c r="BJ4452" s="46"/>
    </row>
    <row r="4453" spans="59:62" x14ac:dyDescent="0.3">
      <c r="BG4453" s="387"/>
      <c r="BH4453" s="386"/>
      <c r="BI4453" s="386"/>
      <c r="BJ4453" s="46"/>
    </row>
    <row r="4454" spans="59:62" x14ac:dyDescent="0.3">
      <c r="BG4454" s="387"/>
      <c r="BH4454" s="386"/>
      <c r="BI4454" s="386"/>
      <c r="BJ4454" s="46"/>
    </row>
    <row r="4455" spans="59:62" x14ac:dyDescent="0.3">
      <c r="BG4455" s="387"/>
      <c r="BH4455" s="386"/>
      <c r="BI4455" s="386"/>
      <c r="BJ4455" s="46"/>
    </row>
    <row r="4456" spans="59:62" x14ac:dyDescent="0.3">
      <c r="BG4456" s="387"/>
      <c r="BH4456" s="386"/>
      <c r="BI4456" s="386"/>
      <c r="BJ4456" s="46"/>
    </row>
    <row r="4457" spans="59:62" x14ac:dyDescent="0.3">
      <c r="BG4457" s="387"/>
      <c r="BH4457" s="386"/>
      <c r="BI4457" s="386"/>
      <c r="BJ4457" s="46"/>
    </row>
    <row r="4458" spans="59:62" x14ac:dyDescent="0.3">
      <c r="BG4458" s="387"/>
      <c r="BH4458" s="386"/>
      <c r="BI4458" s="386"/>
      <c r="BJ4458" s="46"/>
    </row>
    <row r="4459" spans="59:62" x14ac:dyDescent="0.3">
      <c r="BG4459" s="387"/>
      <c r="BH4459" s="386"/>
      <c r="BI4459" s="386"/>
      <c r="BJ4459" s="46"/>
    </row>
    <row r="4460" spans="59:62" x14ac:dyDescent="0.3">
      <c r="BG4460" s="387"/>
      <c r="BH4460" s="386"/>
      <c r="BI4460" s="386"/>
      <c r="BJ4460" s="46"/>
    </row>
    <row r="4461" spans="59:62" x14ac:dyDescent="0.3">
      <c r="BG4461" s="387"/>
      <c r="BH4461" s="386"/>
      <c r="BI4461" s="386"/>
      <c r="BJ4461" s="46"/>
    </row>
    <row r="4462" spans="59:62" x14ac:dyDescent="0.3">
      <c r="BG4462" s="387"/>
      <c r="BH4462" s="386"/>
      <c r="BI4462" s="386"/>
      <c r="BJ4462" s="46"/>
    </row>
    <row r="4463" spans="59:62" x14ac:dyDescent="0.3">
      <c r="BG4463" s="387"/>
      <c r="BH4463" s="386"/>
      <c r="BI4463" s="386"/>
      <c r="BJ4463" s="46"/>
    </row>
    <row r="4464" spans="59:62" x14ac:dyDescent="0.3">
      <c r="BG4464" s="387"/>
      <c r="BH4464" s="386"/>
      <c r="BI4464" s="386"/>
      <c r="BJ4464" s="46"/>
    </row>
    <row r="4465" spans="59:62" x14ac:dyDescent="0.3">
      <c r="BG4465" s="387"/>
      <c r="BH4465" s="386"/>
      <c r="BI4465" s="386"/>
      <c r="BJ4465" s="46"/>
    </row>
    <row r="4466" spans="59:62" x14ac:dyDescent="0.3">
      <c r="BG4466" s="387"/>
      <c r="BH4466" s="386"/>
      <c r="BI4466" s="386"/>
      <c r="BJ4466" s="46"/>
    </row>
    <row r="4467" spans="59:62" x14ac:dyDescent="0.3">
      <c r="BG4467" s="387"/>
      <c r="BH4467" s="386"/>
      <c r="BI4467" s="386"/>
      <c r="BJ4467" s="46"/>
    </row>
    <row r="4468" spans="59:62" x14ac:dyDescent="0.3">
      <c r="BG4468" s="387"/>
      <c r="BH4468" s="386"/>
      <c r="BI4468" s="386"/>
      <c r="BJ4468" s="46"/>
    </row>
    <row r="4469" spans="59:62" x14ac:dyDescent="0.3">
      <c r="BG4469" s="387"/>
      <c r="BH4469" s="386"/>
      <c r="BI4469" s="386"/>
      <c r="BJ4469" s="46"/>
    </row>
    <row r="4470" spans="59:62" x14ac:dyDescent="0.3">
      <c r="BG4470" s="387"/>
      <c r="BH4470" s="386"/>
      <c r="BI4470" s="386"/>
      <c r="BJ4470" s="46"/>
    </row>
    <row r="4471" spans="59:62" x14ac:dyDescent="0.3">
      <c r="BG4471" s="387"/>
      <c r="BH4471" s="386"/>
      <c r="BI4471" s="386"/>
      <c r="BJ4471" s="46"/>
    </row>
    <row r="4472" spans="59:62" x14ac:dyDescent="0.3">
      <c r="BG4472" s="387"/>
      <c r="BH4472" s="386"/>
      <c r="BI4472" s="386"/>
      <c r="BJ4472" s="46"/>
    </row>
    <row r="4473" spans="59:62" x14ac:dyDescent="0.3">
      <c r="BG4473" s="387"/>
      <c r="BH4473" s="386"/>
      <c r="BI4473" s="386"/>
      <c r="BJ4473" s="46"/>
    </row>
    <row r="4474" spans="59:62" x14ac:dyDescent="0.3">
      <c r="BG4474" s="387"/>
      <c r="BH4474" s="386"/>
      <c r="BI4474" s="386"/>
      <c r="BJ4474" s="46"/>
    </row>
    <row r="4475" spans="59:62" x14ac:dyDescent="0.3">
      <c r="BG4475" s="387"/>
      <c r="BH4475" s="386"/>
      <c r="BI4475" s="386"/>
      <c r="BJ4475" s="46"/>
    </row>
    <row r="4476" spans="59:62" x14ac:dyDescent="0.3">
      <c r="BG4476" s="387"/>
      <c r="BH4476" s="386"/>
      <c r="BI4476" s="386"/>
      <c r="BJ4476" s="46"/>
    </row>
    <row r="4477" spans="59:62" x14ac:dyDescent="0.3">
      <c r="BG4477" s="387"/>
      <c r="BH4477" s="386"/>
      <c r="BI4477" s="386"/>
      <c r="BJ4477" s="46"/>
    </row>
    <row r="4478" spans="59:62" x14ac:dyDescent="0.3">
      <c r="BG4478" s="387"/>
      <c r="BH4478" s="386"/>
      <c r="BI4478" s="386"/>
      <c r="BJ4478" s="46"/>
    </row>
    <row r="4479" spans="59:62" x14ac:dyDescent="0.3">
      <c r="BG4479" s="387"/>
      <c r="BH4479" s="386"/>
      <c r="BI4479" s="386"/>
      <c r="BJ4479" s="46"/>
    </row>
    <row r="4480" spans="59:62" x14ac:dyDescent="0.3">
      <c r="BG4480" s="387"/>
      <c r="BH4480" s="386"/>
      <c r="BI4480" s="386"/>
      <c r="BJ4480" s="46"/>
    </row>
    <row r="4481" spans="59:62" x14ac:dyDescent="0.3">
      <c r="BG4481" s="387"/>
      <c r="BH4481" s="386"/>
      <c r="BI4481" s="386"/>
      <c r="BJ4481" s="46"/>
    </row>
    <row r="4482" spans="59:62" x14ac:dyDescent="0.3">
      <c r="BG4482" s="387"/>
      <c r="BH4482" s="386"/>
      <c r="BI4482" s="386"/>
      <c r="BJ4482" s="46"/>
    </row>
    <row r="4483" spans="59:62" x14ac:dyDescent="0.3">
      <c r="BG4483" s="387"/>
      <c r="BH4483" s="386"/>
      <c r="BI4483" s="386"/>
      <c r="BJ4483" s="46"/>
    </row>
    <row r="4484" spans="59:62" x14ac:dyDescent="0.3">
      <c r="BG4484" s="387"/>
      <c r="BH4484" s="386"/>
      <c r="BI4484" s="386"/>
      <c r="BJ4484" s="46"/>
    </row>
    <row r="4485" spans="59:62" x14ac:dyDescent="0.3">
      <c r="BG4485" s="387"/>
      <c r="BH4485" s="386"/>
      <c r="BI4485" s="386"/>
      <c r="BJ4485" s="46"/>
    </row>
    <row r="4486" spans="59:62" x14ac:dyDescent="0.3">
      <c r="BG4486" s="387"/>
      <c r="BH4486" s="386"/>
      <c r="BI4486" s="386"/>
      <c r="BJ4486" s="46"/>
    </row>
    <row r="4487" spans="59:62" x14ac:dyDescent="0.3">
      <c r="BG4487" s="387"/>
      <c r="BH4487" s="386"/>
      <c r="BI4487" s="386"/>
      <c r="BJ4487" s="46"/>
    </row>
    <row r="4488" spans="59:62" x14ac:dyDescent="0.3">
      <c r="BG4488" s="387"/>
      <c r="BH4488" s="386"/>
      <c r="BI4488" s="386"/>
      <c r="BJ4488" s="46"/>
    </row>
    <row r="4489" spans="59:62" x14ac:dyDescent="0.3">
      <c r="BG4489" s="387"/>
      <c r="BH4489" s="386"/>
      <c r="BI4489" s="386"/>
      <c r="BJ4489" s="46"/>
    </row>
    <row r="4490" spans="59:62" x14ac:dyDescent="0.3">
      <c r="BG4490" s="387"/>
      <c r="BH4490" s="386"/>
      <c r="BI4490" s="386"/>
      <c r="BJ4490" s="46"/>
    </row>
    <row r="4491" spans="59:62" x14ac:dyDescent="0.3">
      <c r="BG4491" s="387"/>
      <c r="BH4491" s="386"/>
      <c r="BI4491" s="386"/>
      <c r="BJ4491" s="46"/>
    </row>
    <row r="4492" spans="59:62" x14ac:dyDescent="0.3">
      <c r="BG4492" s="387"/>
      <c r="BH4492" s="386"/>
      <c r="BI4492" s="386"/>
      <c r="BJ4492" s="46"/>
    </row>
    <row r="4493" spans="59:62" x14ac:dyDescent="0.3">
      <c r="BG4493" s="387"/>
      <c r="BH4493" s="386"/>
      <c r="BI4493" s="386"/>
      <c r="BJ4493" s="46"/>
    </row>
    <row r="4494" spans="59:62" x14ac:dyDescent="0.3">
      <c r="BG4494" s="387"/>
      <c r="BH4494" s="386"/>
      <c r="BI4494" s="386"/>
      <c r="BJ4494" s="46"/>
    </row>
    <row r="4495" spans="59:62" x14ac:dyDescent="0.3">
      <c r="BG4495" s="387"/>
      <c r="BH4495" s="386"/>
      <c r="BI4495" s="386"/>
      <c r="BJ4495" s="46"/>
    </row>
    <row r="4496" spans="59:62" x14ac:dyDescent="0.3">
      <c r="BG4496" s="387"/>
      <c r="BH4496" s="386"/>
      <c r="BI4496" s="386"/>
      <c r="BJ4496" s="46"/>
    </row>
    <row r="4497" spans="59:62" x14ac:dyDescent="0.3">
      <c r="BG4497" s="387"/>
      <c r="BH4497" s="386"/>
      <c r="BI4497" s="386"/>
      <c r="BJ4497" s="46"/>
    </row>
    <row r="4498" spans="59:62" x14ac:dyDescent="0.3">
      <c r="BG4498" s="387"/>
      <c r="BH4498" s="386"/>
      <c r="BI4498" s="386"/>
      <c r="BJ4498" s="46"/>
    </row>
    <row r="4499" spans="59:62" x14ac:dyDescent="0.3">
      <c r="BG4499" s="387"/>
      <c r="BH4499" s="386"/>
      <c r="BI4499" s="386"/>
      <c r="BJ4499" s="46"/>
    </row>
    <row r="4500" spans="59:62" x14ac:dyDescent="0.3">
      <c r="BG4500" s="387"/>
      <c r="BH4500" s="386"/>
      <c r="BI4500" s="386"/>
      <c r="BJ4500" s="46"/>
    </row>
    <row r="4501" spans="59:62" x14ac:dyDescent="0.3">
      <c r="BG4501" s="387"/>
      <c r="BH4501" s="386"/>
      <c r="BI4501" s="386"/>
      <c r="BJ4501" s="46"/>
    </row>
    <row r="4502" spans="59:62" x14ac:dyDescent="0.3">
      <c r="BG4502" s="387"/>
      <c r="BH4502" s="386"/>
      <c r="BI4502" s="386"/>
      <c r="BJ4502" s="46"/>
    </row>
    <row r="4503" spans="59:62" x14ac:dyDescent="0.3">
      <c r="BG4503" s="387"/>
      <c r="BH4503" s="386"/>
      <c r="BI4503" s="386"/>
      <c r="BJ4503" s="46"/>
    </row>
    <row r="4504" spans="59:62" x14ac:dyDescent="0.3">
      <c r="BG4504" s="387"/>
      <c r="BH4504" s="386"/>
      <c r="BI4504" s="386"/>
      <c r="BJ4504" s="46"/>
    </row>
    <row r="4505" spans="59:62" x14ac:dyDescent="0.3">
      <c r="BG4505" s="387"/>
      <c r="BH4505" s="386"/>
      <c r="BI4505" s="386"/>
      <c r="BJ4505" s="46"/>
    </row>
    <row r="4506" spans="59:62" x14ac:dyDescent="0.3">
      <c r="BG4506" s="387"/>
      <c r="BH4506" s="386"/>
      <c r="BI4506" s="386"/>
      <c r="BJ4506" s="46"/>
    </row>
    <row r="4507" spans="59:62" x14ac:dyDescent="0.3">
      <c r="BG4507" s="387"/>
      <c r="BH4507" s="386"/>
      <c r="BI4507" s="386"/>
      <c r="BJ4507" s="46"/>
    </row>
    <row r="4508" spans="59:62" x14ac:dyDescent="0.3">
      <c r="BG4508" s="387"/>
      <c r="BH4508" s="386"/>
      <c r="BI4508" s="386"/>
      <c r="BJ4508" s="46"/>
    </row>
    <row r="4509" spans="59:62" x14ac:dyDescent="0.3">
      <c r="BG4509" s="387"/>
      <c r="BH4509" s="386"/>
      <c r="BI4509" s="386"/>
      <c r="BJ4509" s="46"/>
    </row>
    <row r="4510" spans="59:62" x14ac:dyDescent="0.3">
      <c r="BG4510" s="387"/>
      <c r="BH4510" s="386"/>
      <c r="BI4510" s="386"/>
      <c r="BJ4510" s="46"/>
    </row>
    <row r="4511" spans="59:62" x14ac:dyDescent="0.3">
      <c r="BG4511" s="387"/>
      <c r="BH4511" s="386"/>
      <c r="BI4511" s="386"/>
      <c r="BJ4511" s="46"/>
    </row>
    <row r="4512" spans="59:62" x14ac:dyDescent="0.3">
      <c r="BG4512" s="387"/>
      <c r="BH4512" s="386"/>
      <c r="BI4512" s="386"/>
      <c r="BJ4512" s="46"/>
    </row>
    <row r="4513" spans="59:62" x14ac:dyDescent="0.3">
      <c r="BG4513" s="387"/>
      <c r="BH4513" s="386"/>
      <c r="BI4513" s="386"/>
      <c r="BJ4513" s="46"/>
    </row>
    <row r="4514" spans="59:62" x14ac:dyDescent="0.3">
      <c r="BG4514" s="387"/>
      <c r="BH4514" s="386"/>
      <c r="BI4514" s="386"/>
      <c r="BJ4514" s="46"/>
    </row>
    <row r="4515" spans="59:62" x14ac:dyDescent="0.3">
      <c r="BG4515" s="387"/>
      <c r="BH4515" s="386"/>
      <c r="BI4515" s="386"/>
      <c r="BJ4515" s="46"/>
    </row>
    <row r="4516" spans="59:62" x14ac:dyDescent="0.3">
      <c r="BG4516" s="387"/>
      <c r="BH4516" s="386"/>
      <c r="BI4516" s="386"/>
      <c r="BJ4516" s="46"/>
    </row>
    <row r="4517" spans="59:62" x14ac:dyDescent="0.3">
      <c r="BG4517" s="387"/>
      <c r="BH4517" s="386"/>
      <c r="BI4517" s="386"/>
      <c r="BJ4517" s="46"/>
    </row>
    <row r="4518" spans="59:62" x14ac:dyDescent="0.3">
      <c r="BG4518" s="387"/>
      <c r="BH4518" s="386"/>
      <c r="BI4518" s="386"/>
      <c r="BJ4518" s="46"/>
    </row>
    <row r="4519" spans="59:62" x14ac:dyDescent="0.3">
      <c r="BG4519" s="387"/>
      <c r="BH4519" s="386"/>
      <c r="BI4519" s="386"/>
      <c r="BJ4519" s="46"/>
    </row>
    <row r="4520" spans="59:62" x14ac:dyDescent="0.3">
      <c r="BG4520" s="387"/>
      <c r="BH4520" s="386"/>
      <c r="BI4520" s="386"/>
      <c r="BJ4520" s="46"/>
    </row>
    <row r="4521" spans="59:62" x14ac:dyDescent="0.3">
      <c r="BG4521" s="387"/>
      <c r="BH4521" s="386"/>
      <c r="BI4521" s="386"/>
      <c r="BJ4521" s="46"/>
    </row>
    <row r="4522" spans="59:62" x14ac:dyDescent="0.3">
      <c r="BG4522" s="387"/>
      <c r="BH4522" s="386"/>
      <c r="BI4522" s="386"/>
      <c r="BJ4522" s="46"/>
    </row>
    <row r="4523" spans="59:62" x14ac:dyDescent="0.3">
      <c r="BG4523" s="387"/>
      <c r="BH4523" s="386"/>
      <c r="BI4523" s="386"/>
      <c r="BJ4523" s="46"/>
    </row>
    <row r="4524" spans="59:62" x14ac:dyDescent="0.3">
      <c r="BG4524" s="387"/>
      <c r="BH4524" s="386"/>
      <c r="BI4524" s="386"/>
      <c r="BJ4524" s="46"/>
    </row>
    <row r="4525" spans="59:62" x14ac:dyDescent="0.3">
      <c r="BG4525" s="387"/>
      <c r="BH4525" s="386"/>
      <c r="BI4525" s="386"/>
      <c r="BJ4525" s="46"/>
    </row>
    <row r="4526" spans="59:62" x14ac:dyDescent="0.3">
      <c r="BG4526" s="387"/>
      <c r="BH4526" s="386"/>
      <c r="BI4526" s="386"/>
      <c r="BJ4526" s="46"/>
    </row>
    <row r="4527" spans="59:62" x14ac:dyDescent="0.3">
      <c r="BG4527" s="387"/>
      <c r="BH4527" s="386"/>
      <c r="BI4527" s="386"/>
      <c r="BJ4527" s="46"/>
    </row>
    <row r="4528" spans="59:62" x14ac:dyDescent="0.3">
      <c r="BG4528" s="387"/>
      <c r="BH4528" s="386"/>
      <c r="BI4528" s="386"/>
      <c r="BJ4528" s="46"/>
    </row>
    <row r="4529" spans="59:62" x14ac:dyDescent="0.3">
      <c r="BG4529" s="387"/>
      <c r="BH4529" s="386"/>
      <c r="BI4529" s="386"/>
      <c r="BJ4529" s="46"/>
    </row>
    <row r="4530" spans="59:62" x14ac:dyDescent="0.3">
      <c r="BG4530" s="387"/>
      <c r="BH4530" s="386"/>
      <c r="BI4530" s="386"/>
      <c r="BJ4530" s="46"/>
    </row>
    <row r="4531" spans="59:62" x14ac:dyDescent="0.3">
      <c r="BG4531" s="387"/>
      <c r="BH4531" s="386"/>
      <c r="BI4531" s="386"/>
      <c r="BJ4531" s="46"/>
    </row>
    <row r="4532" spans="59:62" x14ac:dyDescent="0.3">
      <c r="BG4532" s="387"/>
      <c r="BH4532" s="386"/>
      <c r="BI4532" s="386"/>
      <c r="BJ4532" s="46"/>
    </row>
    <row r="4533" spans="59:62" x14ac:dyDescent="0.3">
      <c r="BG4533" s="387"/>
      <c r="BH4533" s="386"/>
      <c r="BI4533" s="386"/>
      <c r="BJ4533" s="46"/>
    </row>
    <row r="4534" spans="59:62" x14ac:dyDescent="0.3">
      <c r="BG4534" s="387"/>
      <c r="BH4534" s="386"/>
      <c r="BI4534" s="386"/>
      <c r="BJ4534" s="46"/>
    </row>
    <row r="4535" spans="59:62" x14ac:dyDescent="0.3">
      <c r="BG4535" s="387"/>
      <c r="BH4535" s="386"/>
      <c r="BI4535" s="386"/>
      <c r="BJ4535" s="46"/>
    </row>
    <row r="4536" spans="59:62" x14ac:dyDescent="0.3">
      <c r="BG4536" s="387"/>
      <c r="BH4536" s="386"/>
      <c r="BI4536" s="386"/>
      <c r="BJ4536" s="46"/>
    </row>
    <row r="4537" spans="59:62" x14ac:dyDescent="0.3">
      <c r="BG4537" s="387"/>
      <c r="BH4537" s="386"/>
      <c r="BI4537" s="386"/>
      <c r="BJ4537" s="46"/>
    </row>
    <row r="4538" spans="59:62" x14ac:dyDescent="0.3">
      <c r="BG4538" s="387"/>
      <c r="BH4538" s="386"/>
      <c r="BI4538" s="386"/>
      <c r="BJ4538" s="46"/>
    </row>
    <row r="4539" spans="59:62" x14ac:dyDescent="0.3">
      <c r="BG4539" s="387"/>
      <c r="BH4539" s="386"/>
      <c r="BI4539" s="386"/>
      <c r="BJ4539" s="46"/>
    </row>
    <row r="4540" spans="59:62" x14ac:dyDescent="0.3">
      <c r="BG4540" s="387"/>
      <c r="BH4540" s="386"/>
      <c r="BI4540" s="386"/>
      <c r="BJ4540" s="46"/>
    </row>
    <row r="4541" spans="59:62" x14ac:dyDescent="0.3">
      <c r="BG4541" s="387"/>
      <c r="BH4541" s="386"/>
      <c r="BI4541" s="386"/>
      <c r="BJ4541" s="46"/>
    </row>
    <row r="4542" spans="59:62" x14ac:dyDescent="0.3">
      <c r="BG4542" s="387"/>
      <c r="BH4542" s="386"/>
      <c r="BI4542" s="386"/>
      <c r="BJ4542" s="46"/>
    </row>
    <row r="4543" spans="59:62" x14ac:dyDescent="0.3">
      <c r="BG4543" s="387"/>
      <c r="BH4543" s="386"/>
      <c r="BI4543" s="386"/>
      <c r="BJ4543" s="46"/>
    </row>
    <row r="4544" spans="59:62" x14ac:dyDescent="0.3">
      <c r="BG4544" s="387"/>
      <c r="BH4544" s="386"/>
      <c r="BI4544" s="386"/>
      <c r="BJ4544" s="46"/>
    </row>
    <row r="4545" spans="59:62" x14ac:dyDescent="0.3">
      <c r="BG4545" s="387"/>
      <c r="BH4545" s="386"/>
      <c r="BI4545" s="386"/>
      <c r="BJ4545" s="46"/>
    </row>
    <row r="4546" spans="59:62" x14ac:dyDescent="0.3">
      <c r="BG4546" s="387"/>
      <c r="BH4546" s="386"/>
      <c r="BI4546" s="386"/>
      <c r="BJ4546" s="46"/>
    </row>
    <row r="4547" spans="59:62" x14ac:dyDescent="0.3">
      <c r="BG4547" s="387"/>
      <c r="BH4547" s="386"/>
      <c r="BI4547" s="386"/>
      <c r="BJ4547" s="46"/>
    </row>
    <row r="4548" spans="59:62" x14ac:dyDescent="0.3">
      <c r="BG4548" s="387"/>
      <c r="BH4548" s="386"/>
      <c r="BI4548" s="386"/>
      <c r="BJ4548" s="46"/>
    </row>
    <row r="4549" spans="59:62" x14ac:dyDescent="0.3">
      <c r="BG4549" s="387"/>
      <c r="BH4549" s="386"/>
      <c r="BI4549" s="386"/>
      <c r="BJ4549" s="46"/>
    </row>
    <row r="4550" spans="59:62" x14ac:dyDescent="0.3">
      <c r="BG4550" s="387"/>
      <c r="BH4550" s="386"/>
      <c r="BI4550" s="386"/>
      <c r="BJ4550" s="46"/>
    </row>
    <row r="4551" spans="59:62" x14ac:dyDescent="0.3">
      <c r="BG4551" s="387"/>
      <c r="BH4551" s="386"/>
      <c r="BI4551" s="386"/>
      <c r="BJ4551" s="46"/>
    </row>
    <row r="4552" spans="59:62" x14ac:dyDescent="0.3">
      <c r="BG4552" s="387"/>
      <c r="BH4552" s="386"/>
      <c r="BI4552" s="386"/>
      <c r="BJ4552" s="46"/>
    </row>
    <row r="4553" spans="59:62" x14ac:dyDescent="0.3">
      <c r="BG4553" s="387"/>
      <c r="BH4553" s="386"/>
      <c r="BI4553" s="386"/>
      <c r="BJ4553" s="46"/>
    </row>
    <row r="4554" spans="59:62" x14ac:dyDescent="0.3">
      <c r="BG4554" s="387"/>
      <c r="BH4554" s="386"/>
      <c r="BI4554" s="386"/>
      <c r="BJ4554" s="46"/>
    </row>
    <row r="4555" spans="59:62" x14ac:dyDescent="0.3">
      <c r="BG4555" s="387"/>
      <c r="BH4555" s="386"/>
      <c r="BI4555" s="386"/>
      <c r="BJ4555" s="46"/>
    </row>
    <row r="4556" spans="59:62" x14ac:dyDescent="0.3">
      <c r="BG4556" s="387"/>
      <c r="BH4556" s="386"/>
      <c r="BI4556" s="386"/>
      <c r="BJ4556" s="46"/>
    </row>
    <row r="4557" spans="59:62" x14ac:dyDescent="0.3">
      <c r="BG4557" s="387"/>
      <c r="BH4557" s="386"/>
      <c r="BI4557" s="386"/>
      <c r="BJ4557" s="46"/>
    </row>
    <row r="4558" spans="59:62" x14ac:dyDescent="0.3">
      <c r="BG4558" s="387"/>
      <c r="BH4558" s="386"/>
      <c r="BI4558" s="386"/>
      <c r="BJ4558" s="46"/>
    </row>
    <row r="4559" spans="59:62" x14ac:dyDescent="0.3">
      <c r="BG4559" s="387"/>
      <c r="BH4559" s="386"/>
      <c r="BI4559" s="386"/>
      <c r="BJ4559" s="46"/>
    </row>
    <row r="4560" spans="59:62" x14ac:dyDescent="0.3">
      <c r="BG4560" s="387"/>
      <c r="BH4560" s="386"/>
      <c r="BI4560" s="386"/>
      <c r="BJ4560" s="46"/>
    </row>
    <row r="4561" spans="59:62" x14ac:dyDescent="0.3">
      <c r="BG4561" s="387"/>
      <c r="BH4561" s="386"/>
      <c r="BI4561" s="386"/>
      <c r="BJ4561" s="46"/>
    </row>
    <row r="4562" spans="59:62" x14ac:dyDescent="0.3">
      <c r="BG4562" s="387"/>
      <c r="BH4562" s="386"/>
      <c r="BI4562" s="386"/>
      <c r="BJ4562" s="46"/>
    </row>
    <row r="4563" spans="59:62" x14ac:dyDescent="0.3">
      <c r="BG4563" s="387"/>
      <c r="BH4563" s="386"/>
      <c r="BI4563" s="386"/>
      <c r="BJ4563" s="46"/>
    </row>
    <row r="4564" spans="59:62" x14ac:dyDescent="0.3">
      <c r="BG4564" s="387"/>
      <c r="BH4564" s="386"/>
      <c r="BI4564" s="386"/>
      <c r="BJ4564" s="46"/>
    </row>
    <row r="4565" spans="59:62" x14ac:dyDescent="0.3">
      <c r="BG4565" s="387"/>
      <c r="BH4565" s="386"/>
      <c r="BI4565" s="386"/>
      <c r="BJ4565" s="46"/>
    </row>
    <row r="4566" spans="59:62" x14ac:dyDescent="0.3">
      <c r="BG4566" s="387"/>
      <c r="BH4566" s="386"/>
      <c r="BI4566" s="386"/>
      <c r="BJ4566" s="46"/>
    </row>
    <row r="4567" spans="59:62" x14ac:dyDescent="0.3">
      <c r="BG4567" s="387"/>
      <c r="BH4567" s="386"/>
      <c r="BI4567" s="386"/>
      <c r="BJ4567" s="46"/>
    </row>
    <row r="4568" spans="59:62" x14ac:dyDescent="0.3">
      <c r="BG4568" s="387"/>
      <c r="BH4568" s="386"/>
      <c r="BI4568" s="386"/>
      <c r="BJ4568" s="46"/>
    </row>
    <row r="4569" spans="59:62" x14ac:dyDescent="0.3">
      <c r="BG4569" s="387"/>
      <c r="BH4569" s="386"/>
      <c r="BI4569" s="386"/>
      <c r="BJ4569" s="46"/>
    </row>
    <row r="4570" spans="59:62" x14ac:dyDescent="0.3">
      <c r="BG4570" s="387"/>
      <c r="BH4570" s="386"/>
      <c r="BI4570" s="386"/>
      <c r="BJ4570" s="46"/>
    </row>
    <row r="4571" spans="59:62" x14ac:dyDescent="0.3">
      <c r="BG4571" s="387"/>
      <c r="BH4571" s="386"/>
      <c r="BI4571" s="386"/>
      <c r="BJ4571" s="46"/>
    </row>
    <row r="4572" spans="59:62" x14ac:dyDescent="0.3">
      <c r="BG4572" s="387"/>
      <c r="BH4572" s="386"/>
      <c r="BI4572" s="386"/>
      <c r="BJ4572" s="46"/>
    </row>
    <row r="4573" spans="59:62" x14ac:dyDescent="0.3">
      <c r="BG4573" s="387"/>
      <c r="BH4573" s="386"/>
      <c r="BI4573" s="386"/>
      <c r="BJ4573" s="46"/>
    </row>
    <row r="4574" spans="59:62" x14ac:dyDescent="0.3">
      <c r="BG4574" s="387"/>
      <c r="BH4574" s="386"/>
      <c r="BI4574" s="386"/>
      <c r="BJ4574" s="46"/>
    </row>
    <row r="4575" spans="59:62" x14ac:dyDescent="0.3">
      <c r="BG4575" s="387"/>
      <c r="BH4575" s="386"/>
      <c r="BI4575" s="386"/>
      <c r="BJ4575" s="46"/>
    </row>
    <row r="4576" spans="59:62" x14ac:dyDescent="0.3">
      <c r="BG4576" s="387"/>
      <c r="BH4576" s="386"/>
      <c r="BI4576" s="386"/>
      <c r="BJ4576" s="46"/>
    </row>
    <row r="4577" spans="59:62" x14ac:dyDescent="0.3">
      <c r="BG4577" s="387"/>
      <c r="BH4577" s="386"/>
      <c r="BI4577" s="386"/>
      <c r="BJ4577" s="46"/>
    </row>
    <row r="4578" spans="59:62" x14ac:dyDescent="0.3">
      <c r="BG4578" s="387"/>
      <c r="BH4578" s="386"/>
      <c r="BI4578" s="386"/>
      <c r="BJ4578" s="46"/>
    </row>
    <row r="4579" spans="59:62" x14ac:dyDescent="0.3">
      <c r="BG4579" s="387"/>
      <c r="BH4579" s="386"/>
      <c r="BI4579" s="386"/>
      <c r="BJ4579" s="46"/>
    </row>
    <row r="4580" spans="59:62" x14ac:dyDescent="0.3">
      <c r="BG4580" s="387"/>
      <c r="BH4580" s="386"/>
      <c r="BI4580" s="386"/>
      <c r="BJ4580" s="46"/>
    </row>
    <row r="4581" spans="59:62" x14ac:dyDescent="0.3">
      <c r="BG4581" s="387"/>
      <c r="BH4581" s="386"/>
      <c r="BI4581" s="386"/>
      <c r="BJ4581" s="46"/>
    </row>
    <row r="4582" spans="59:62" x14ac:dyDescent="0.3">
      <c r="BG4582" s="387"/>
      <c r="BH4582" s="386"/>
      <c r="BI4582" s="386"/>
      <c r="BJ4582" s="46"/>
    </row>
    <row r="4583" spans="59:62" x14ac:dyDescent="0.3">
      <c r="BG4583" s="387"/>
      <c r="BH4583" s="386"/>
      <c r="BI4583" s="386"/>
      <c r="BJ4583" s="46"/>
    </row>
    <row r="4584" spans="59:62" x14ac:dyDescent="0.3">
      <c r="BG4584" s="387"/>
      <c r="BH4584" s="386"/>
      <c r="BI4584" s="386"/>
      <c r="BJ4584" s="46"/>
    </row>
    <row r="4585" spans="59:62" x14ac:dyDescent="0.3">
      <c r="BG4585" s="387"/>
      <c r="BH4585" s="386"/>
      <c r="BI4585" s="386"/>
      <c r="BJ4585" s="46"/>
    </row>
    <row r="4586" spans="59:62" x14ac:dyDescent="0.3">
      <c r="BG4586" s="387"/>
      <c r="BH4586" s="386"/>
      <c r="BI4586" s="386"/>
      <c r="BJ4586" s="46"/>
    </row>
    <row r="4587" spans="59:62" x14ac:dyDescent="0.3">
      <c r="BG4587" s="387"/>
      <c r="BH4587" s="386"/>
      <c r="BI4587" s="386"/>
      <c r="BJ4587" s="46"/>
    </row>
    <row r="4588" spans="59:62" x14ac:dyDescent="0.3">
      <c r="BG4588" s="387"/>
      <c r="BH4588" s="386"/>
      <c r="BI4588" s="386"/>
      <c r="BJ4588" s="46"/>
    </row>
    <row r="4589" spans="59:62" x14ac:dyDescent="0.3">
      <c r="BG4589" s="387"/>
      <c r="BH4589" s="386"/>
      <c r="BI4589" s="386"/>
      <c r="BJ4589" s="46"/>
    </row>
    <row r="4590" spans="59:62" x14ac:dyDescent="0.3">
      <c r="BG4590" s="387"/>
      <c r="BH4590" s="386"/>
      <c r="BI4590" s="386"/>
      <c r="BJ4590" s="46"/>
    </row>
    <row r="4591" spans="59:62" x14ac:dyDescent="0.3">
      <c r="BG4591" s="387"/>
      <c r="BH4591" s="386"/>
      <c r="BI4591" s="386"/>
      <c r="BJ4591" s="46"/>
    </row>
    <row r="4592" spans="59:62" x14ac:dyDescent="0.3">
      <c r="BG4592" s="387"/>
      <c r="BH4592" s="386"/>
      <c r="BI4592" s="386"/>
      <c r="BJ4592" s="46"/>
    </row>
    <row r="4593" spans="59:62" x14ac:dyDescent="0.3">
      <c r="BG4593" s="387"/>
      <c r="BH4593" s="386"/>
      <c r="BI4593" s="386"/>
      <c r="BJ4593" s="46"/>
    </row>
    <row r="4594" spans="59:62" x14ac:dyDescent="0.3">
      <c r="BG4594" s="387"/>
      <c r="BH4594" s="386"/>
      <c r="BI4594" s="386"/>
      <c r="BJ4594" s="46"/>
    </row>
    <row r="4595" spans="59:62" x14ac:dyDescent="0.3">
      <c r="BG4595" s="387"/>
      <c r="BH4595" s="386"/>
      <c r="BI4595" s="386"/>
      <c r="BJ4595" s="46"/>
    </row>
    <row r="4596" spans="59:62" x14ac:dyDescent="0.3">
      <c r="BG4596" s="387"/>
      <c r="BH4596" s="386"/>
      <c r="BI4596" s="386"/>
      <c r="BJ4596" s="46"/>
    </row>
    <row r="4597" spans="59:62" x14ac:dyDescent="0.3">
      <c r="BG4597" s="387"/>
      <c r="BH4597" s="386"/>
      <c r="BI4597" s="386"/>
      <c r="BJ4597" s="46"/>
    </row>
    <row r="4598" spans="59:62" x14ac:dyDescent="0.3">
      <c r="BG4598" s="387"/>
      <c r="BH4598" s="386"/>
      <c r="BI4598" s="386"/>
      <c r="BJ4598" s="46"/>
    </row>
    <row r="4599" spans="59:62" x14ac:dyDescent="0.3">
      <c r="BG4599" s="387"/>
      <c r="BH4599" s="386"/>
      <c r="BI4599" s="386"/>
      <c r="BJ4599" s="46"/>
    </row>
    <row r="4600" spans="59:62" x14ac:dyDescent="0.3">
      <c r="BG4600" s="387"/>
      <c r="BH4600" s="386"/>
      <c r="BI4600" s="386"/>
      <c r="BJ4600" s="46"/>
    </row>
    <row r="4601" spans="59:62" x14ac:dyDescent="0.3">
      <c r="BG4601" s="387"/>
      <c r="BH4601" s="386"/>
      <c r="BI4601" s="386"/>
      <c r="BJ4601" s="46"/>
    </row>
    <row r="4602" spans="59:62" x14ac:dyDescent="0.3">
      <c r="BG4602" s="387"/>
      <c r="BH4602" s="386"/>
      <c r="BI4602" s="386"/>
      <c r="BJ4602" s="46"/>
    </row>
    <row r="4603" spans="59:62" x14ac:dyDescent="0.3">
      <c r="BG4603" s="387"/>
      <c r="BH4603" s="386"/>
      <c r="BI4603" s="386"/>
      <c r="BJ4603" s="46"/>
    </row>
    <row r="4604" spans="59:62" x14ac:dyDescent="0.3">
      <c r="BG4604" s="387"/>
      <c r="BH4604" s="386"/>
      <c r="BI4604" s="386"/>
      <c r="BJ4604" s="46"/>
    </row>
    <row r="4605" spans="59:62" x14ac:dyDescent="0.3">
      <c r="BG4605" s="387"/>
      <c r="BH4605" s="386"/>
      <c r="BI4605" s="386"/>
      <c r="BJ4605" s="46"/>
    </row>
    <row r="4606" spans="59:62" x14ac:dyDescent="0.3">
      <c r="BG4606" s="387"/>
      <c r="BH4606" s="386"/>
      <c r="BI4606" s="386"/>
      <c r="BJ4606" s="46"/>
    </row>
    <row r="4607" spans="59:62" x14ac:dyDescent="0.3">
      <c r="BG4607" s="387"/>
      <c r="BH4607" s="386"/>
      <c r="BI4607" s="386"/>
      <c r="BJ4607" s="46"/>
    </row>
    <row r="4608" spans="59:62" x14ac:dyDescent="0.3">
      <c r="BG4608" s="387"/>
      <c r="BH4608" s="386"/>
      <c r="BI4608" s="386"/>
      <c r="BJ4608" s="46"/>
    </row>
    <row r="4609" spans="59:62" x14ac:dyDescent="0.3">
      <c r="BG4609" s="387"/>
      <c r="BH4609" s="386"/>
      <c r="BI4609" s="386"/>
      <c r="BJ4609" s="46"/>
    </row>
    <row r="4610" spans="59:62" x14ac:dyDescent="0.3">
      <c r="BG4610" s="387"/>
      <c r="BH4610" s="386"/>
      <c r="BI4610" s="386"/>
      <c r="BJ4610" s="46"/>
    </row>
    <row r="4611" spans="59:62" x14ac:dyDescent="0.3">
      <c r="BG4611" s="387"/>
      <c r="BH4611" s="386"/>
      <c r="BI4611" s="386"/>
      <c r="BJ4611" s="46"/>
    </row>
    <row r="4612" spans="59:62" x14ac:dyDescent="0.3">
      <c r="BG4612" s="387"/>
      <c r="BH4612" s="386"/>
      <c r="BI4612" s="386"/>
      <c r="BJ4612" s="46"/>
    </row>
    <row r="4613" spans="59:62" x14ac:dyDescent="0.3">
      <c r="BG4613" s="387"/>
      <c r="BH4613" s="386"/>
      <c r="BI4613" s="386"/>
      <c r="BJ4613" s="46"/>
    </row>
    <row r="4614" spans="59:62" x14ac:dyDescent="0.3">
      <c r="BG4614" s="387"/>
      <c r="BH4614" s="386"/>
      <c r="BI4614" s="386"/>
      <c r="BJ4614" s="46"/>
    </row>
    <row r="4615" spans="59:62" x14ac:dyDescent="0.3">
      <c r="BG4615" s="387"/>
      <c r="BH4615" s="386"/>
      <c r="BI4615" s="386"/>
      <c r="BJ4615" s="46"/>
    </row>
    <row r="4616" spans="59:62" x14ac:dyDescent="0.3">
      <c r="BG4616" s="387"/>
      <c r="BH4616" s="386"/>
      <c r="BI4616" s="386"/>
      <c r="BJ4616" s="46"/>
    </row>
    <row r="4617" spans="59:62" x14ac:dyDescent="0.3">
      <c r="BG4617" s="387"/>
      <c r="BH4617" s="386"/>
      <c r="BI4617" s="386"/>
      <c r="BJ4617" s="46"/>
    </row>
    <row r="4618" spans="59:62" x14ac:dyDescent="0.3">
      <c r="BG4618" s="387"/>
      <c r="BH4618" s="386"/>
      <c r="BI4618" s="386"/>
      <c r="BJ4618" s="46"/>
    </row>
    <row r="4619" spans="59:62" x14ac:dyDescent="0.3">
      <c r="BG4619" s="387"/>
      <c r="BH4619" s="386"/>
      <c r="BI4619" s="386"/>
      <c r="BJ4619" s="46"/>
    </row>
    <row r="4620" spans="59:62" x14ac:dyDescent="0.3">
      <c r="BG4620" s="387"/>
      <c r="BH4620" s="386"/>
      <c r="BI4620" s="386"/>
      <c r="BJ4620" s="46"/>
    </row>
    <row r="4621" spans="59:62" x14ac:dyDescent="0.3">
      <c r="BG4621" s="387"/>
      <c r="BH4621" s="386"/>
      <c r="BI4621" s="386"/>
      <c r="BJ4621" s="46"/>
    </row>
    <row r="4622" spans="59:62" x14ac:dyDescent="0.3">
      <c r="BG4622" s="387"/>
      <c r="BH4622" s="386"/>
      <c r="BI4622" s="386"/>
      <c r="BJ4622" s="46"/>
    </row>
    <row r="4623" spans="59:62" x14ac:dyDescent="0.3">
      <c r="BG4623" s="387"/>
      <c r="BH4623" s="386"/>
      <c r="BI4623" s="386"/>
      <c r="BJ4623" s="46"/>
    </row>
    <row r="4624" spans="59:62" x14ac:dyDescent="0.3">
      <c r="BG4624" s="387"/>
      <c r="BH4624" s="386"/>
      <c r="BI4624" s="386"/>
      <c r="BJ4624" s="46"/>
    </row>
    <row r="4625" spans="59:62" x14ac:dyDescent="0.3">
      <c r="BG4625" s="387"/>
      <c r="BH4625" s="386"/>
      <c r="BI4625" s="386"/>
      <c r="BJ4625" s="46"/>
    </row>
    <row r="4626" spans="59:62" x14ac:dyDescent="0.3">
      <c r="BG4626" s="387"/>
      <c r="BH4626" s="386"/>
      <c r="BI4626" s="386"/>
      <c r="BJ4626" s="46"/>
    </row>
    <row r="4627" spans="59:62" x14ac:dyDescent="0.3">
      <c r="BG4627" s="387"/>
      <c r="BH4627" s="386"/>
      <c r="BI4627" s="386"/>
      <c r="BJ4627" s="46"/>
    </row>
    <row r="4628" spans="59:62" x14ac:dyDescent="0.3">
      <c r="BG4628" s="387"/>
      <c r="BH4628" s="386"/>
      <c r="BI4628" s="386"/>
      <c r="BJ4628" s="46"/>
    </row>
    <row r="4629" spans="59:62" x14ac:dyDescent="0.3">
      <c r="BG4629" s="387"/>
      <c r="BH4629" s="386"/>
      <c r="BI4629" s="386"/>
      <c r="BJ4629" s="46"/>
    </row>
    <row r="4630" spans="59:62" x14ac:dyDescent="0.3">
      <c r="BG4630" s="387"/>
      <c r="BH4630" s="386"/>
      <c r="BI4630" s="386"/>
      <c r="BJ4630" s="46"/>
    </row>
    <row r="4631" spans="59:62" x14ac:dyDescent="0.3">
      <c r="BG4631" s="387"/>
      <c r="BH4631" s="386"/>
      <c r="BI4631" s="386"/>
      <c r="BJ4631" s="46"/>
    </row>
    <row r="4632" spans="59:62" x14ac:dyDescent="0.3">
      <c r="BG4632" s="387"/>
      <c r="BH4632" s="386"/>
      <c r="BI4632" s="386"/>
      <c r="BJ4632" s="46"/>
    </row>
    <row r="4633" spans="59:62" x14ac:dyDescent="0.3">
      <c r="BG4633" s="387"/>
      <c r="BH4633" s="386"/>
      <c r="BI4633" s="386"/>
      <c r="BJ4633" s="46"/>
    </row>
    <row r="4634" spans="59:62" x14ac:dyDescent="0.3">
      <c r="BG4634" s="387"/>
      <c r="BH4634" s="386"/>
      <c r="BI4634" s="386"/>
      <c r="BJ4634" s="46"/>
    </row>
    <row r="4635" spans="59:62" x14ac:dyDescent="0.3">
      <c r="BG4635" s="387"/>
      <c r="BH4635" s="386"/>
      <c r="BI4635" s="386"/>
      <c r="BJ4635" s="46"/>
    </row>
    <row r="4636" spans="59:62" x14ac:dyDescent="0.3">
      <c r="BG4636" s="387"/>
      <c r="BH4636" s="386"/>
      <c r="BI4636" s="386"/>
      <c r="BJ4636" s="46"/>
    </row>
    <row r="4637" spans="59:62" x14ac:dyDescent="0.3">
      <c r="BG4637" s="387"/>
      <c r="BH4637" s="386"/>
      <c r="BI4637" s="386"/>
      <c r="BJ4637" s="46"/>
    </row>
    <row r="4638" spans="59:62" x14ac:dyDescent="0.3">
      <c r="BG4638" s="387"/>
      <c r="BH4638" s="386"/>
      <c r="BI4638" s="386"/>
      <c r="BJ4638" s="46"/>
    </row>
    <row r="4639" spans="59:62" x14ac:dyDescent="0.3">
      <c r="BG4639" s="387"/>
      <c r="BH4639" s="386"/>
      <c r="BI4639" s="386"/>
      <c r="BJ4639" s="46"/>
    </row>
    <row r="4640" spans="59:62" x14ac:dyDescent="0.3">
      <c r="BG4640" s="387"/>
      <c r="BH4640" s="386"/>
      <c r="BI4640" s="386"/>
      <c r="BJ4640" s="46"/>
    </row>
    <row r="4641" spans="59:62" x14ac:dyDescent="0.3">
      <c r="BG4641" s="387"/>
      <c r="BH4641" s="386"/>
      <c r="BI4641" s="386"/>
      <c r="BJ4641" s="46"/>
    </row>
    <row r="4642" spans="59:62" x14ac:dyDescent="0.3">
      <c r="BG4642" s="387"/>
      <c r="BH4642" s="386"/>
      <c r="BI4642" s="386"/>
      <c r="BJ4642" s="46"/>
    </row>
    <row r="4643" spans="59:62" x14ac:dyDescent="0.3">
      <c r="BG4643" s="387"/>
      <c r="BH4643" s="386"/>
      <c r="BI4643" s="386"/>
      <c r="BJ4643" s="46"/>
    </row>
    <row r="4644" spans="59:62" x14ac:dyDescent="0.3">
      <c r="BG4644" s="387"/>
      <c r="BH4644" s="386"/>
      <c r="BI4644" s="386"/>
      <c r="BJ4644" s="46"/>
    </row>
    <row r="4645" spans="59:62" x14ac:dyDescent="0.3">
      <c r="BG4645" s="387"/>
      <c r="BH4645" s="386"/>
      <c r="BI4645" s="386"/>
      <c r="BJ4645" s="46"/>
    </row>
    <row r="4646" spans="59:62" x14ac:dyDescent="0.3">
      <c r="BG4646" s="387"/>
      <c r="BH4646" s="386"/>
      <c r="BI4646" s="386"/>
      <c r="BJ4646" s="46"/>
    </row>
    <row r="4647" spans="59:62" x14ac:dyDescent="0.3">
      <c r="BG4647" s="387"/>
      <c r="BH4647" s="386"/>
      <c r="BI4647" s="386"/>
      <c r="BJ4647" s="46"/>
    </row>
    <row r="4648" spans="59:62" x14ac:dyDescent="0.3">
      <c r="BG4648" s="387"/>
      <c r="BH4648" s="386"/>
      <c r="BI4648" s="386"/>
      <c r="BJ4648" s="46"/>
    </row>
    <row r="4649" spans="59:62" x14ac:dyDescent="0.3">
      <c r="BG4649" s="387"/>
      <c r="BH4649" s="386"/>
      <c r="BI4649" s="386"/>
      <c r="BJ4649" s="46"/>
    </row>
    <row r="4650" spans="59:62" x14ac:dyDescent="0.3">
      <c r="BG4650" s="387"/>
      <c r="BH4650" s="386"/>
      <c r="BI4650" s="386"/>
      <c r="BJ4650" s="46"/>
    </row>
    <row r="4651" spans="59:62" x14ac:dyDescent="0.3">
      <c r="BG4651" s="387"/>
      <c r="BH4651" s="386"/>
      <c r="BI4651" s="386"/>
      <c r="BJ4651" s="46"/>
    </row>
    <row r="4652" spans="59:62" x14ac:dyDescent="0.3">
      <c r="BG4652" s="387"/>
      <c r="BH4652" s="386"/>
      <c r="BI4652" s="386"/>
      <c r="BJ4652" s="46"/>
    </row>
    <row r="4653" spans="59:62" x14ac:dyDescent="0.3">
      <c r="BG4653" s="387"/>
      <c r="BH4653" s="386"/>
      <c r="BI4653" s="386"/>
      <c r="BJ4653" s="46"/>
    </row>
    <row r="4654" spans="59:62" x14ac:dyDescent="0.3">
      <c r="BG4654" s="387"/>
      <c r="BH4654" s="386"/>
      <c r="BI4654" s="386"/>
      <c r="BJ4654" s="46"/>
    </row>
    <row r="4655" spans="59:62" x14ac:dyDescent="0.3">
      <c r="BG4655" s="387"/>
      <c r="BH4655" s="386"/>
      <c r="BI4655" s="386"/>
      <c r="BJ4655" s="46"/>
    </row>
    <row r="4656" spans="59:62" x14ac:dyDescent="0.3">
      <c r="BG4656" s="387"/>
      <c r="BH4656" s="386"/>
      <c r="BI4656" s="386"/>
      <c r="BJ4656" s="46"/>
    </row>
    <row r="4657" spans="59:62" x14ac:dyDescent="0.3">
      <c r="BG4657" s="387"/>
      <c r="BH4657" s="386"/>
      <c r="BI4657" s="386"/>
      <c r="BJ4657" s="46"/>
    </row>
    <row r="4658" spans="59:62" x14ac:dyDescent="0.3">
      <c r="BG4658" s="387"/>
      <c r="BH4658" s="386"/>
      <c r="BI4658" s="386"/>
      <c r="BJ4658" s="46"/>
    </row>
    <row r="4659" spans="59:62" x14ac:dyDescent="0.3">
      <c r="BG4659" s="387"/>
      <c r="BH4659" s="386"/>
      <c r="BI4659" s="386"/>
      <c r="BJ4659" s="46"/>
    </row>
    <row r="4660" spans="59:62" x14ac:dyDescent="0.3">
      <c r="BG4660" s="387"/>
      <c r="BH4660" s="386"/>
      <c r="BI4660" s="386"/>
      <c r="BJ4660" s="46"/>
    </row>
    <row r="4661" spans="59:62" x14ac:dyDescent="0.3">
      <c r="BG4661" s="387"/>
      <c r="BH4661" s="386"/>
      <c r="BI4661" s="386"/>
      <c r="BJ4661" s="46"/>
    </row>
    <row r="4662" spans="59:62" x14ac:dyDescent="0.3">
      <c r="BG4662" s="387"/>
      <c r="BH4662" s="386"/>
      <c r="BI4662" s="386"/>
      <c r="BJ4662" s="46"/>
    </row>
    <row r="4663" spans="59:62" x14ac:dyDescent="0.3">
      <c r="BG4663" s="387"/>
      <c r="BH4663" s="386"/>
      <c r="BI4663" s="386"/>
      <c r="BJ4663" s="46"/>
    </row>
    <row r="4664" spans="59:62" x14ac:dyDescent="0.3">
      <c r="BG4664" s="387"/>
      <c r="BH4664" s="386"/>
      <c r="BI4664" s="386"/>
      <c r="BJ4664" s="46"/>
    </row>
    <row r="4665" spans="59:62" x14ac:dyDescent="0.3">
      <c r="BG4665" s="387"/>
      <c r="BH4665" s="386"/>
      <c r="BI4665" s="386"/>
      <c r="BJ4665" s="46"/>
    </row>
    <row r="4666" spans="59:62" x14ac:dyDescent="0.3">
      <c r="BG4666" s="387"/>
      <c r="BH4666" s="386"/>
      <c r="BI4666" s="386"/>
      <c r="BJ4666" s="46"/>
    </row>
    <row r="4667" spans="59:62" x14ac:dyDescent="0.3">
      <c r="BG4667" s="387"/>
      <c r="BH4667" s="386"/>
      <c r="BI4667" s="386"/>
      <c r="BJ4667" s="46"/>
    </row>
    <row r="4668" spans="59:62" x14ac:dyDescent="0.3">
      <c r="BG4668" s="387"/>
      <c r="BH4668" s="386"/>
      <c r="BI4668" s="386"/>
      <c r="BJ4668" s="46"/>
    </row>
    <row r="4669" spans="59:62" x14ac:dyDescent="0.3">
      <c r="BG4669" s="387"/>
      <c r="BH4669" s="386"/>
      <c r="BI4669" s="386"/>
      <c r="BJ4669" s="46"/>
    </row>
    <row r="4670" spans="59:62" x14ac:dyDescent="0.3">
      <c r="BG4670" s="387"/>
      <c r="BH4670" s="386"/>
      <c r="BI4670" s="386"/>
      <c r="BJ4670" s="46"/>
    </row>
    <row r="4671" spans="59:62" x14ac:dyDescent="0.3">
      <c r="BG4671" s="387"/>
      <c r="BH4671" s="386"/>
      <c r="BI4671" s="386"/>
      <c r="BJ4671" s="46"/>
    </row>
    <row r="4672" spans="59:62" x14ac:dyDescent="0.3">
      <c r="BG4672" s="387"/>
      <c r="BH4672" s="386"/>
      <c r="BI4672" s="386"/>
      <c r="BJ4672" s="46"/>
    </row>
    <row r="4673" spans="59:62" x14ac:dyDescent="0.3">
      <c r="BG4673" s="387"/>
      <c r="BH4673" s="386"/>
      <c r="BI4673" s="386"/>
      <c r="BJ4673" s="46"/>
    </row>
    <row r="4674" spans="59:62" x14ac:dyDescent="0.3">
      <c r="BG4674" s="387"/>
      <c r="BH4674" s="386"/>
      <c r="BI4674" s="386"/>
      <c r="BJ4674" s="46"/>
    </row>
    <row r="4675" spans="59:62" x14ac:dyDescent="0.3">
      <c r="BG4675" s="387"/>
      <c r="BH4675" s="386"/>
      <c r="BI4675" s="386"/>
      <c r="BJ4675" s="46"/>
    </row>
    <row r="4676" spans="59:62" x14ac:dyDescent="0.3">
      <c r="BG4676" s="387"/>
      <c r="BH4676" s="386"/>
      <c r="BI4676" s="386"/>
      <c r="BJ4676" s="46"/>
    </row>
    <row r="4677" spans="59:62" x14ac:dyDescent="0.3">
      <c r="BG4677" s="387"/>
      <c r="BH4677" s="386"/>
      <c r="BI4677" s="386"/>
      <c r="BJ4677" s="46"/>
    </row>
    <row r="4678" spans="59:62" x14ac:dyDescent="0.3">
      <c r="BG4678" s="387"/>
      <c r="BH4678" s="386"/>
      <c r="BI4678" s="386"/>
      <c r="BJ4678" s="46"/>
    </row>
    <row r="4679" spans="59:62" x14ac:dyDescent="0.3">
      <c r="BG4679" s="387"/>
      <c r="BH4679" s="386"/>
      <c r="BI4679" s="386"/>
      <c r="BJ4679" s="46"/>
    </row>
    <row r="4680" spans="59:62" x14ac:dyDescent="0.3">
      <c r="BG4680" s="387"/>
      <c r="BH4680" s="386"/>
      <c r="BI4680" s="386"/>
      <c r="BJ4680" s="46"/>
    </row>
    <row r="4681" spans="59:62" x14ac:dyDescent="0.3">
      <c r="BG4681" s="387"/>
      <c r="BH4681" s="386"/>
      <c r="BI4681" s="386"/>
      <c r="BJ4681" s="46"/>
    </row>
    <row r="4682" spans="59:62" x14ac:dyDescent="0.3">
      <c r="BG4682" s="387"/>
      <c r="BH4682" s="386"/>
      <c r="BI4682" s="386"/>
      <c r="BJ4682" s="46"/>
    </row>
    <row r="4683" spans="59:62" x14ac:dyDescent="0.3">
      <c r="BG4683" s="387"/>
      <c r="BH4683" s="386"/>
      <c r="BI4683" s="386"/>
      <c r="BJ4683" s="46"/>
    </row>
    <row r="4684" spans="59:62" x14ac:dyDescent="0.3">
      <c r="BG4684" s="387"/>
      <c r="BH4684" s="386"/>
      <c r="BI4684" s="386"/>
      <c r="BJ4684" s="46"/>
    </row>
    <row r="4685" spans="59:62" x14ac:dyDescent="0.3">
      <c r="BG4685" s="387"/>
      <c r="BH4685" s="386"/>
      <c r="BI4685" s="386"/>
      <c r="BJ4685" s="46"/>
    </row>
    <row r="4686" spans="59:62" x14ac:dyDescent="0.3">
      <c r="BG4686" s="387"/>
      <c r="BH4686" s="386"/>
      <c r="BI4686" s="386"/>
      <c r="BJ4686" s="46"/>
    </row>
    <row r="4687" spans="59:62" x14ac:dyDescent="0.3">
      <c r="BG4687" s="387"/>
      <c r="BH4687" s="386"/>
      <c r="BI4687" s="386"/>
      <c r="BJ4687" s="46"/>
    </row>
    <row r="4688" spans="59:62" x14ac:dyDescent="0.3">
      <c r="BG4688" s="387"/>
      <c r="BH4688" s="386"/>
      <c r="BI4688" s="386"/>
      <c r="BJ4688" s="46"/>
    </row>
    <row r="4689" spans="59:62" x14ac:dyDescent="0.3">
      <c r="BG4689" s="387"/>
      <c r="BH4689" s="386"/>
      <c r="BI4689" s="386"/>
      <c r="BJ4689" s="46"/>
    </row>
    <row r="4690" spans="59:62" x14ac:dyDescent="0.3">
      <c r="BG4690" s="387"/>
      <c r="BH4690" s="386"/>
      <c r="BI4690" s="386"/>
      <c r="BJ4690" s="46"/>
    </row>
    <row r="4691" spans="59:62" x14ac:dyDescent="0.3">
      <c r="BG4691" s="387"/>
      <c r="BH4691" s="386"/>
      <c r="BI4691" s="386"/>
      <c r="BJ4691" s="46"/>
    </row>
    <row r="4692" spans="59:62" x14ac:dyDescent="0.3">
      <c r="BG4692" s="387"/>
      <c r="BH4692" s="386"/>
      <c r="BI4692" s="386"/>
      <c r="BJ4692" s="46"/>
    </row>
    <row r="4693" spans="59:62" x14ac:dyDescent="0.3">
      <c r="BG4693" s="387"/>
      <c r="BH4693" s="386"/>
      <c r="BI4693" s="386"/>
      <c r="BJ4693" s="46"/>
    </row>
    <row r="4694" spans="59:62" x14ac:dyDescent="0.3">
      <c r="BG4694" s="387"/>
      <c r="BH4694" s="386"/>
      <c r="BI4694" s="386"/>
      <c r="BJ4694" s="46"/>
    </row>
    <row r="4695" spans="59:62" x14ac:dyDescent="0.3">
      <c r="BG4695" s="387"/>
      <c r="BH4695" s="386"/>
      <c r="BI4695" s="386"/>
      <c r="BJ4695" s="46"/>
    </row>
    <row r="4696" spans="59:62" x14ac:dyDescent="0.3">
      <c r="BG4696" s="387"/>
      <c r="BH4696" s="386"/>
      <c r="BI4696" s="386"/>
      <c r="BJ4696" s="46"/>
    </row>
    <row r="4697" spans="59:62" x14ac:dyDescent="0.3">
      <c r="BG4697" s="387"/>
      <c r="BH4697" s="386"/>
      <c r="BI4697" s="386"/>
      <c r="BJ4697" s="46"/>
    </row>
    <row r="4698" spans="59:62" x14ac:dyDescent="0.3">
      <c r="BG4698" s="387"/>
      <c r="BH4698" s="386"/>
      <c r="BI4698" s="386"/>
      <c r="BJ4698" s="46"/>
    </row>
    <row r="4699" spans="59:62" x14ac:dyDescent="0.3">
      <c r="BG4699" s="387"/>
      <c r="BH4699" s="386"/>
      <c r="BI4699" s="386"/>
      <c r="BJ4699" s="46"/>
    </row>
    <row r="4700" spans="59:62" x14ac:dyDescent="0.3">
      <c r="BG4700" s="387"/>
      <c r="BH4700" s="386"/>
      <c r="BI4700" s="386"/>
      <c r="BJ4700" s="46"/>
    </row>
    <row r="4701" spans="59:62" x14ac:dyDescent="0.3">
      <c r="BG4701" s="387"/>
      <c r="BH4701" s="386"/>
      <c r="BI4701" s="386"/>
      <c r="BJ4701" s="46"/>
    </row>
    <row r="4702" spans="59:62" x14ac:dyDescent="0.3">
      <c r="BG4702" s="387"/>
      <c r="BH4702" s="386"/>
      <c r="BI4702" s="386"/>
      <c r="BJ4702" s="46"/>
    </row>
    <row r="4703" spans="59:62" x14ac:dyDescent="0.3">
      <c r="BG4703" s="387"/>
      <c r="BH4703" s="386"/>
      <c r="BI4703" s="386"/>
      <c r="BJ4703" s="46"/>
    </row>
    <row r="4704" spans="59:62" x14ac:dyDescent="0.3">
      <c r="BG4704" s="387"/>
      <c r="BH4704" s="386"/>
      <c r="BI4704" s="386"/>
      <c r="BJ4704" s="46"/>
    </row>
    <row r="4705" spans="59:62" x14ac:dyDescent="0.3">
      <c r="BG4705" s="387"/>
      <c r="BH4705" s="386"/>
      <c r="BI4705" s="386"/>
      <c r="BJ4705" s="46"/>
    </row>
    <row r="4706" spans="59:62" x14ac:dyDescent="0.3">
      <c r="BG4706" s="387"/>
      <c r="BH4706" s="386"/>
      <c r="BI4706" s="386"/>
      <c r="BJ4706" s="46"/>
    </row>
    <row r="4707" spans="59:62" x14ac:dyDescent="0.3">
      <c r="BG4707" s="387"/>
      <c r="BH4707" s="386"/>
      <c r="BI4707" s="386"/>
      <c r="BJ4707" s="46"/>
    </row>
    <row r="4708" spans="59:62" x14ac:dyDescent="0.3">
      <c r="BG4708" s="387"/>
      <c r="BH4708" s="386"/>
      <c r="BI4708" s="386"/>
      <c r="BJ4708" s="46"/>
    </row>
    <row r="4709" spans="59:62" x14ac:dyDescent="0.3">
      <c r="BG4709" s="387"/>
      <c r="BH4709" s="386"/>
      <c r="BI4709" s="386"/>
      <c r="BJ4709" s="46"/>
    </row>
    <row r="4710" spans="59:62" x14ac:dyDescent="0.3">
      <c r="BG4710" s="387"/>
      <c r="BH4710" s="386"/>
      <c r="BI4710" s="386"/>
      <c r="BJ4710" s="46"/>
    </row>
    <row r="4711" spans="59:62" x14ac:dyDescent="0.3">
      <c r="BG4711" s="387"/>
      <c r="BH4711" s="386"/>
      <c r="BI4711" s="386"/>
      <c r="BJ4711" s="46"/>
    </row>
    <row r="4712" spans="59:62" x14ac:dyDescent="0.3">
      <c r="BG4712" s="387"/>
      <c r="BH4712" s="386"/>
      <c r="BI4712" s="386"/>
      <c r="BJ4712" s="46"/>
    </row>
    <row r="4713" spans="59:62" x14ac:dyDescent="0.3">
      <c r="BG4713" s="387"/>
      <c r="BH4713" s="386"/>
      <c r="BI4713" s="386"/>
      <c r="BJ4713" s="46"/>
    </row>
    <row r="4714" spans="59:62" x14ac:dyDescent="0.3">
      <c r="BG4714" s="387"/>
      <c r="BH4714" s="386"/>
      <c r="BI4714" s="386"/>
      <c r="BJ4714" s="46"/>
    </row>
    <row r="4715" spans="59:62" x14ac:dyDescent="0.3">
      <c r="BG4715" s="387"/>
      <c r="BH4715" s="386"/>
      <c r="BI4715" s="386"/>
      <c r="BJ4715" s="46"/>
    </row>
    <row r="4716" spans="59:62" x14ac:dyDescent="0.3">
      <c r="BG4716" s="387"/>
      <c r="BH4716" s="386"/>
      <c r="BI4716" s="386"/>
      <c r="BJ4716" s="46"/>
    </row>
    <row r="4717" spans="59:62" x14ac:dyDescent="0.3">
      <c r="BG4717" s="387"/>
      <c r="BH4717" s="386"/>
      <c r="BI4717" s="386"/>
      <c r="BJ4717" s="46"/>
    </row>
    <row r="4718" spans="59:62" x14ac:dyDescent="0.3">
      <c r="BG4718" s="387"/>
      <c r="BH4718" s="386"/>
      <c r="BI4718" s="386"/>
      <c r="BJ4718" s="46"/>
    </row>
    <row r="4719" spans="59:62" x14ac:dyDescent="0.3">
      <c r="BG4719" s="387"/>
      <c r="BH4719" s="386"/>
      <c r="BI4719" s="386"/>
      <c r="BJ4719" s="46"/>
    </row>
    <row r="4720" spans="59:62" x14ac:dyDescent="0.3">
      <c r="BG4720" s="387"/>
      <c r="BH4720" s="386"/>
      <c r="BI4720" s="386"/>
      <c r="BJ4720" s="46"/>
    </row>
    <row r="4721" spans="59:62" x14ac:dyDescent="0.3">
      <c r="BG4721" s="387"/>
      <c r="BH4721" s="386"/>
      <c r="BI4721" s="386"/>
      <c r="BJ4721" s="46"/>
    </row>
    <row r="4722" spans="59:62" x14ac:dyDescent="0.3">
      <c r="BG4722" s="387"/>
      <c r="BH4722" s="386"/>
      <c r="BI4722" s="386"/>
      <c r="BJ4722" s="46"/>
    </row>
    <row r="4723" spans="59:62" x14ac:dyDescent="0.3">
      <c r="BG4723" s="387"/>
      <c r="BH4723" s="386"/>
      <c r="BI4723" s="386"/>
      <c r="BJ4723" s="46"/>
    </row>
    <row r="4724" spans="59:62" x14ac:dyDescent="0.3">
      <c r="BG4724" s="387"/>
      <c r="BH4724" s="386"/>
      <c r="BI4724" s="386"/>
      <c r="BJ4724" s="46"/>
    </row>
    <row r="4725" spans="59:62" x14ac:dyDescent="0.3">
      <c r="BG4725" s="387"/>
      <c r="BH4725" s="386"/>
      <c r="BI4725" s="386"/>
      <c r="BJ4725" s="46"/>
    </row>
    <row r="4726" spans="59:62" x14ac:dyDescent="0.3">
      <c r="BG4726" s="387"/>
      <c r="BH4726" s="386"/>
      <c r="BI4726" s="386"/>
      <c r="BJ4726" s="46"/>
    </row>
    <row r="4727" spans="59:62" x14ac:dyDescent="0.3">
      <c r="BG4727" s="387"/>
      <c r="BH4727" s="386"/>
      <c r="BI4727" s="386"/>
      <c r="BJ4727" s="46"/>
    </row>
    <row r="4728" spans="59:62" x14ac:dyDescent="0.3">
      <c r="BG4728" s="387"/>
      <c r="BH4728" s="386"/>
      <c r="BI4728" s="386"/>
      <c r="BJ4728" s="46"/>
    </row>
    <row r="4729" spans="59:62" x14ac:dyDescent="0.3">
      <c r="BG4729" s="387"/>
      <c r="BH4729" s="386"/>
      <c r="BI4729" s="386"/>
      <c r="BJ4729" s="46"/>
    </row>
    <row r="4730" spans="59:62" x14ac:dyDescent="0.3">
      <c r="BG4730" s="387"/>
      <c r="BH4730" s="386"/>
      <c r="BI4730" s="386"/>
      <c r="BJ4730" s="46"/>
    </row>
    <row r="4731" spans="59:62" x14ac:dyDescent="0.3">
      <c r="BG4731" s="387"/>
      <c r="BH4731" s="386"/>
      <c r="BI4731" s="386"/>
      <c r="BJ4731" s="46"/>
    </row>
    <row r="4732" spans="59:62" x14ac:dyDescent="0.3">
      <c r="BG4732" s="387"/>
      <c r="BH4732" s="386"/>
      <c r="BI4732" s="386"/>
      <c r="BJ4732" s="46"/>
    </row>
    <row r="4733" spans="59:62" x14ac:dyDescent="0.3">
      <c r="BG4733" s="387"/>
      <c r="BH4733" s="386"/>
      <c r="BI4733" s="386"/>
      <c r="BJ4733" s="46"/>
    </row>
    <row r="4734" spans="59:62" x14ac:dyDescent="0.3">
      <c r="BG4734" s="387"/>
      <c r="BH4734" s="386"/>
      <c r="BI4734" s="386"/>
      <c r="BJ4734" s="46"/>
    </row>
    <row r="4735" spans="59:62" x14ac:dyDescent="0.3">
      <c r="BG4735" s="387"/>
      <c r="BH4735" s="386"/>
      <c r="BI4735" s="386"/>
      <c r="BJ4735" s="46"/>
    </row>
    <row r="4736" spans="59:62" x14ac:dyDescent="0.3">
      <c r="BG4736" s="387"/>
      <c r="BH4736" s="386"/>
      <c r="BI4736" s="386"/>
      <c r="BJ4736" s="46"/>
    </row>
    <row r="4737" spans="59:62" x14ac:dyDescent="0.3">
      <c r="BG4737" s="387"/>
      <c r="BH4737" s="386"/>
      <c r="BI4737" s="386"/>
      <c r="BJ4737" s="46"/>
    </row>
    <row r="4738" spans="59:62" x14ac:dyDescent="0.3">
      <c r="BG4738" s="387"/>
      <c r="BH4738" s="386"/>
      <c r="BI4738" s="386"/>
      <c r="BJ4738" s="46"/>
    </row>
    <row r="4739" spans="59:62" x14ac:dyDescent="0.3">
      <c r="BG4739" s="387"/>
      <c r="BH4739" s="386"/>
      <c r="BI4739" s="386"/>
      <c r="BJ4739" s="46"/>
    </row>
    <row r="4740" spans="59:62" x14ac:dyDescent="0.3">
      <c r="BG4740" s="387"/>
      <c r="BH4740" s="386"/>
      <c r="BI4740" s="386"/>
      <c r="BJ4740" s="46"/>
    </row>
    <row r="4741" spans="59:62" x14ac:dyDescent="0.3">
      <c r="BG4741" s="387"/>
      <c r="BH4741" s="386"/>
      <c r="BI4741" s="386"/>
      <c r="BJ4741" s="46"/>
    </row>
    <row r="4742" spans="59:62" x14ac:dyDescent="0.3">
      <c r="BG4742" s="387"/>
      <c r="BH4742" s="386"/>
      <c r="BI4742" s="386"/>
      <c r="BJ4742" s="46"/>
    </row>
    <row r="4743" spans="59:62" x14ac:dyDescent="0.3">
      <c r="BG4743" s="387"/>
      <c r="BH4743" s="386"/>
      <c r="BI4743" s="386"/>
      <c r="BJ4743" s="46"/>
    </row>
    <row r="4744" spans="59:62" x14ac:dyDescent="0.3">
      <c r="BG4744" s="387"/>
      <c r="BH4744" s="386"/>
      <c r="BI4744" s="386"/>
      <c r="BJ4744" s="46"/>
    </row>
    <row r="4745" spans="59:62" x14ac:dyDescent="0.3">
      <c r="BG4745" s="387"/>
      <c r="BH4745" s="386"/>
      <c r="BI4745" s="386"/>
      <c r="BJ4745" s="46"/>
    </row>
    <row r="4746" spans="59:62" x14ac:dyDescent="0.3">
      <c r="BG4746" s="387"/>
      <c r="BH4746" s="386"/>
      <c r="BI4746" s="386"/>
      <c r="BJ4746" s="46"/>
    </row>
    <row r="4747" spans="59:62" x14ac:dyDescent="0.3">
      <c r="BG4747" s="387"/>
      <c r="BH4747" s="386"/>
      <c r="BI4747" s="386"/>
      <c r="BJ4747" s="46"/>
    </row>
    <row r="4748" spans="59:62" x14ac:dyDescent="0.3">
      <c r="BG4748" s="387"/>
      <c r="BH4748" s="386"/>
      <c r="BI4748" s="386"/>
      <c r="BJ4748" s="46"/>
    </row>
    <row r="4749" spans="59:62" x14ac:dyDescent="0.3">
      <c r="BG4749" s="387"/>
      <c r="BH4749" s="386"/>
      <c r="BI4749" s="386"/>
      <c r="BJ4749" s="46"/>
    </row>
    <row r="4750" spans="59:62" x14ac:dyDescent="0.3">
      <c r="BG4750" s="387"/>
      <c r="BH4750" s="386"/>
      <c r="BI4750" s="386"/>
      <c r="BJ4750" s="46"/>
    </row>
    <row r="4751" spans="59:62" x14ac:dyDescent="0.3">
      <c r="BG4751" s="387"/>
      <c r="BH4751" s="386"/>
      <c r="BI4751" s="386"/>
      <c r="BJ4751" s="46"/>
    </row>
    <row r="4752" spans="59:62" x14ac:dyDescent="0.3">
      <c r="BG4752" s="387"/>
      <c r="BH4752" s="386"/>
      <c r="BI4752" s="386"/>
      <c r="BJ4752" s="46"/>
    </row>
    <row r="4753" spans="59:62" x14ac:dyDescent="0.3">
      <c r="BG4753" s="387"/>
      <c r="BH4753" s="386"/>
      <c r="BI4753" s="386"/>
      <c r="BJ4753" s="46"/>
    </row>
    <row r="4754" spans="59:62" x14ac:dyDescent="0.3">
      <c r="BG4754" s="387"/>
      <c r="BH4754" s="386"/>
      <c r="BI4754" s="386"/>
      <c r="BJ4754" s="46"/>
    </row>
    <row r="4755" spans="59:62" x14ac:dyDescent="0.3">
      <c r="BG4755" s="387"/>
      <c r="BH4755" s="386"/>
      <c r="BI4755" s="386"/>
      <c r="BJ4755" s="46"/>
    </row>
    <row r="4756" spans="59:62" x14ac:dyDescent="0.3">
      <c r="BG4756" s="387"/>
      <c r="BH4756" s="386"/>
      <c r="BI4756" s="386"/>
      <c r="BJ4756" s="46"/>
    </row>
    <row r="4757" spans="59:62" x14ac:dyDescent="0.3">
      <c r="BG4757" s="387"/>
      <c r="BH4757" s="386"/>
      <c r="BI4757" s="386"/>
      <c r="BJ4757" s="46"/>
    </row>
    <row r="4758" spans="59:62" x14ac:dyDescent="0.3">
      <c r="BG4758" s="387"/>
      <c r="BH4758" s="386"/>
      <c r="BI4758" s="386"/>
      <c r="BJ4758" s="46"/>
    </row>
    <row r="4759" spans="59:62" x14ac:dyDescent="0.3">
      <c r="BG4759" s="387"/>
      <c r="BH4759" s="386"/>
      <c r="BI4759" s="386"/>
      <c r="BJ4759" s="46"/>
    </row>
    <row r="4760" spans="59:62" x14ac:dyDescent="0.3">
      <c r="BG4760" s="387"/>
      <c r="BH4760" s="386"/>
      <c r="BI4760" s="386"/>
      <c r="BJ4760" s="46"/>
    </row>
    <row r="4761" spans="59:62" x14ac:dyDescent="0.3">
      <c r="BG4761" s="387"/>
      <c r="BH4761" s="386"/>
      <c r="BI4761" s="386"/>
      <c r="BJ4761" s="46"/>
    </row>
    <row r="4762" spans="59:62" x14ac:dyDescent="0.3">
      <c r="BG4762" s="387"/>
      <c r="BH4762" s="386"/>
      <c r="BI4762" s="386"/>
      <c r="BJ4762" s="46"/>
    </row>
    <row r="4763" spans="59:62" x14ac:dyDescent="0.3">
      <c r="BG4763" s="387"/>
      <c r="BH4763" s="386"/>
      <c r="BI4763" s="386"/>
      <c r="BJ4763" s="46"/>
    </row>
    <row r="4764" spans="59:62" x14ac:dyDescent="0.3">
      <c r="BG4764" s="387"/>
      <c r="BH4764" s="386"/>
      <c r="BI4764" s="386"/>
      <c r="BJ4764" s="46"/>
    </row>
    <row r="4765" spans="59:62" x14ac:dyDescent="0.3">
      <c r="BG4765" s="387"/>
      <c r="BH4765" s="386"/>
      <c r="BI4765" s="386"/>
      <c r="BJ4765" s="46"/>
    </row>
    <row r="4766" spans="59:62" x14ac:dyDescent="0.3">
      <c r="BG4766" s="387"/>
      <c r="BH4766" s="386"/>
      <c r="BI4766" s="386"/>
      <c r="BJ4766" s="46"/>
    </row>
    <row r="4767" spans="59:62" x14ac:dyDescent="0.3">
      <c r="BG4767" s="387"/>
      <c r="BH4767" s="386"/>
      <c r="BI4767" s="386"/>
      <c r="BJ4767" s="46"/>
    </row>
    <row r="4768" spans="59:62" x14ac:dyDescent="0.3">
      <c r="BG4768" s="387"/>
      <c r="BH4768" s="386"/>
      <c r="BI4768" s="386"/>
      <c r="BJ4768" s="46"/>
    </row>
    <row r="4769" spans="59:62" x14ac:dyDescent="0.3">
      <c r="BG4769" s="387"/>
      <c r="BH4769" s="386"/>
      <c r="BI4769" s="386"/>
      <c r="BJ4769" s="46"/>
    </row>
    <row r="4770" spans="59:62" x14ac:dyDescent="0.3">
      <c r="BG4770" s="387"/>
      <c r="BH4770" s="386"/>
      <c r="BI4770" s="386"/>
      <c r="BJ4770" s="46"/>
    </row>
    <row r="4771" spans="59:62" x14ac:dyDescent="0.3">
      <c r="BG4771" s="387"/>
      <c r="BH4771" s="386"/>
      <c r="BI4771" s="386"/>
      <c r="BJ4771" s="46"/>
    </row>
    <row r="4772" spans="59:62" x14ac:dyDescent="0.3">
      <c r="BG4772" s="387"/>
      <c r="BH4772" s="386"/>
      <c r="BI4772" s="386"/>
      <c r="BJ4772" s="46"/>
    </row>
    <row r="4773" spans="59:62" x14ac:dyDescent="0.3">
      <c r="BG4773" s="387"/>
      <c r="BH4773" s="386"/>
      <c r="BI4773" s="386"/>
      <c r="BJ4773" s="46"/>
    </row>
    <row r="4774" spans="59:62" x14ac:dyDescent="0.3">
      <c r="BG4774" s="387"/>
      <c r="BH4774" s="386"/>
      <c r="BI4774" s="386"/>
      <c r="BJ4774" s="46"/>
    </row>
    <row r="4775" spans="59:62" x14ac:dyDescent="0.3">
      <c r="BG4775" s="387"/>
      <c r="BH4775" s="386"/>
      <c r="BI4775" s="386"/>
      <c r="BJ4775" s="46"/>
    </row>
    <row r="4776" spans="59:62" x14ac:dyDescent="0.3">
      <c r="BG4776" s="387"/>
      <c r="BH4776" s="386"/>
      <c r="BI4776" s="386"/>
      <c r="BJ4776" s="46"/>
    </row>
    <row r="4777" spans="59:62" x14ac:dyDescent="0.3">
      <c r="BG4777" s="387"/>
      <c r="BH4777" s="386"/>
      <c r="BI4777" s="386"/>
      <c r="BJ4777" s="46"/>
    </row>
    <row r="4778" spans="59:62" x14ac:dyDescent="0.3">
      <c r="BG4778" s="387"/>
      <c r="BH4778" s="386"/>
      <c r="BI4778" s="386"/>
      <c r="BJ4778" s="46"/>
    </row>
    <row r="4779" spans="59:62" x14ac:dyDescent="0.3">
      <c r="BG4779" s="387"/>
      <c r="BH4779" s="386"/>
      <c r="BI4779" s="386"/>
      <c r="BJ4779" s="46"/>
    </row>
    <row r="4780" spans="59:62" x14ac:dyDescent="0.3">
      <c r="BG4780" s="387"/>
      <c r="BH4780" s="386"/>
      <c r="BI4780" s="386"/>
      <c r="BJ4780" s="46"/>
    </row>
    <row r="4781" spans="59:62" x14ac:dyDescent="0.3">
      <c r="BG4781" s="387"/>
      <c r="BH4781" s="386"/>
      <c r="BI4781" s="386"/>
      <c r="BJ4781" s="46"/>
    </row>
    <row r="4782" spans="59:62" x14ac:dyDescent="0.3">
      <c r="BG4782" s="387"/>
      <c r="BH4782" s="386"/>
      <c r="BI4782" s="386"/>
      <c r="BJ4782" s="46"/>
    </row>
    <row r="4783" spans="59:62" x14ac:dyDescent="0.3">
      <c r="BG4783" s="387"/>
      <c r="BH4783" s="386"/>
      <c r="BI4783" s="386"/>
      <c r="BJ4783" s="46"/>
    </row>
    <row r="4784" spans="59:62" x14ac:dyDescent="0.3">
      <c r="BG4784" s="387"/>
      <c r="BH4784" s="386"/>
      <c r="BI4784" s="386"/>
      <c r="BJ4784" s="46"/>
    </row>
    <row r="4785" spans="59:62" x14ac:dyDescent="0.3">
      <c r="BG4785" s="387"/>
      <c r="BH4785" s="386"/>
      <c r="BI4785" s="386"/>
      <c r="BJ4785" s="46"/>
    </row>
    <row r="4786" spans="59:62" x14ac:dyDescent="0.3">
      <c r="BG4786" s="387"/>
      <c r="BH4786" s="386"/>
      <c r="BI4786" s="386"/>
      <c r="BJ4786" s="46"/>
    </row>
    <row r="4787" spans="59:62" x14ac:dyDescent="0.3">
      <c r="BG4787" s="387"/>
      <c r="BH4787" s="386"/>
      <c r="BI4787" s="386"/>
      <c r="BJ4787" s="46"/>
    </row>
    <row r="4788" spans="59:62" x14ac:dyDescent="0.3">
      <c r="BG4788" s="387"/>
      <c r="BH4788" s="386"/>
      <c r="BI4788" s="386"/>
      <c r="BJ4788" s="46"/>
    </row>
    <row r="4789" spans="59:62" x14ac:dyDescent="0.3">
      <c r="BG4789" s="387"/>
      <c r="BH4789" s="386"/>
      <c r="BI4789" s="386"/>
      <c r="BJ4789" s="46"/>
    </row>
    <row r="4790" spans="59:62" x14ac:dyDescent="0.3">
      <c r="BG4790" s="387"/>
      <c r="BH4790" s="386"/>
      <c r="BI4790" s="386"/>
      <c r="BJ4790" s="46"/>
    </row>
    <row r="4791" spans="59:62" x14ac:dyDescent="0.3">
      <c r="BG4791" s="387"/>
      <c r="BH4791" s="386"/>
      <c r="BI4791" s="386"/>
      <c r="BJ4791" s="46"/>
    </row>
    <row r="4792" spans="59:62" x14ac:dyDescent="0.3">
      <c r="BG4792" s="387"/>
      <c r="BH4792" s="386"/>
      <c r="BI4792" s="386"/>
      <c r="BJ4792" s="46"/>
    </row>
    <row r="4793" spans="59:62" x14ac:dyDescent="0.3">
      <c r="BG4793" s="387"/>
      <c r="BH4793" s="386"/>
      <c r="BI4793" s="386"/>
      <c r="BJ4793" s="46"/>
    </row>
    <row r="4794" spans="59:62" x14ac:dyDescent="0.3">
      <c r="BG4794" s="387"/>
      <c r="BH4794" s="386"/>
      <c r="BI4794" s="386"/>
      <c r="BJ4794" s="46"/>
    </row>
    <row r="4795" spans="59:62" x14ac:dyDescent="0.3">
      <c r="BG4795" s="387"/>
      <c r="BH4795" s="386"/>
      <c r="BI4795" s="386"/>
      <c r="BJ4795" s="46"/>
    </row>
    <row r="4796" spans="59:62" x14ac:dyDescent="0.3">
      <c r="BG4796" s="387"/>
      <c r="BH4796" s="386"/>
      <c r="BI4796" s="386"/>
      <c r="BJ4796" s="46"/>
    </row>
    <row r="4797" spans="59:62" x14ac:dyDescent="0.3">
      <c r="BG4797" s="387"/>
      <c r="BH4797" s="386"/>
      <c r="BI4797" s="386"/>
      <c r="BJ4797" s="46"/>
    </row>
    <row r="4798" spans="59:62" x14ac:dyDescent="0.3">
      <c r="BG4798" s="387"/>
      <c r="BH4798" s="386"/>
      <c r="BI4798" s="386"/>
      <c r="BJ4798" s="46"/>
    </row>
    <row r="4799" spans="59:62" x14ac:dyDescent="0.3">
      <c r="BG4799" s="387"/>
      <c r="BH4799" s="386"/>
      <c r="BI4799" s="386"/>
      <c r="BJ4799" s="46"/>
    </row>
    <row r="4800" spans="59:62" x14ac:dyDescent="0.3">
      <c r="BG4800" s="387"/>
      <c r="BH4800" s="386"/>
      <c r="BI4800" s="386"/>
      <c r="BJ4800" s="46"/>
    </row>
    <row r="4801" spans="59:62" x14ac:dyDescent="0.3">
      <c r="BG4801" s="387"/>
      <c r="BH4801" s="386"/>
      <c r="BI4801" s="386"/>
      <c r="BJ4801" s="46"/>
    </row>
    <row r="4802" spans="59:62" x14ac:dyDescent="0.3">
      <c r="BG4802" s="387"/>
      <c r="BH4802" s="386"/>
      <c r="BI4802" s="386"/>
      <c r="BJ4802" s="46"/>
    </row>
    <row r="4803" spans="59:62" x14ac:dyDescent="0.3">
      <c r="BG4803" s="387"/>
      <c r="BH4803" s="386"/>
      <c r="BI4803" s="386"/>
      <c r="BJ4803" s="46"/>
    </row>
    <row r="4804" spans="59:62" x14ac:dyDescent="0.3">
      <c r="BG4804" s="387"/>
      <c r="BH4804" s="386"/>
      <c r="BI4804" s="386"/>
      <c r="BJ4804" s="46"/>
    </row>
    <row r="4805" spans="59:62" x14ac:dyDescent="0.3">
      <c r="BG4805" s="387"/>
      <c r="BH4805" s="386"/>
      <c r="BI4805" s="386"/>
      <c r="BJ4805" s="46"/>
    </row>
    <row r="4806" spans="59:62" x14ac:dyDescent="0.3">
      <c r="BG4806" s="387"/>
      <c r="BH4806" s="386"/>
      <c r="BI4806" s="386"/>
      <c r="BJ4806" s="46"/>
    </row>
    <row r="4807" spans="59:62" x14ac:dyDescent="0.3">
      <c r="BG4807" s="387"/>
      <c r="BH4807" s="386"/>
      <c r="BI4807" s="386"/>
      <c r="BJ4807" s="46"/>
    </row>
    <row r="4808" spans="59:62" x14ac:dyDescent="0.3">
      <c r="BG4808" s="387"/>
      <c r="BH4808" s="386"/>
      <c r="BI4808" s="386"/>
      <c r="BJ4808" s="46"/>
    </row>
    <row r="4809" spans="59:62" x14ac:dyDescent="0.3">
      <c r="BG4809" s="387"/>
      <c r="BH4809" s="386"/>
      <c r="BI4809" s="386"/>
      <c r="BJ4809" s="46"/>
    </row>
    <row r="4810" spans="59:62" x14ac:dyDescent="0.3">
      <c r="BG4810" s="387"/>
      <c r="BH4810" s="386"/>
      <c r="BI4810" s="386"/>
      <c r="BJ4810" s="46"/>
    </row>
    <row r="4811" spans="59:62" x14ac:dyDescent="0.3">
      <c r="BG4811" s="387"/>
      <c r="BH4811" s="386"/>
      <c r="BI4811" s="386"/>
      <c r="BJ4811" s="46"/>
    </row>
    <row r="4812" spans="59:62" x14ac:dyDescent="0.3">
      <c r="BG4812" s="387"/>
      <c r="BH4812" s="386"/>
      <c r="BI4812" s="386"/>
      <c r="BJ4812" s="46"/>
    </row>
    <row r="4813" spans="59:62" x14ac:dyDescent="0.3">
      <c r="BG4813" s="387"/>
      <c r="BH4813" s="386"/>
      <c r="BI4813" s="386"/>
      <c r="BJ4813" s="46"/>
    </row>
    <row r="4814" spans="59:62" x14ac:dyDescent="0.3">
      <c r="BG4814" s="387"/>
      <c r="BH4814" s="386"/>
      <c r="BI4814" s="386"/>
      <c r="BJ4814" s="46"/>
    </row>
    <row r="4815" spans="59:62" x14ac:dyDescent="0.3">
      <c r="BG4815" s="387"/>
      <c r="BH4815" s="386"/>
      <c r="BI4815" s="386"/>
      <c r="BJ4815" s="46"/>
    </row>
    <row r="4816" spans="59:62" x14ac:dyDescent="0.3">
      <c r="BG4816" s="387"/>
      <c r="BH4816" s="386"/>
      <c r="BI4816" s="386"/>
      <c r="BJ4816" s="46"/>
    </row>
    <row r="4817" spans="59:62" x14ac:dyDescent="0.3">
      <c r="BG4817" s="387"/>
      <c r="BH4817" s="386"/>
      <c r="BI4817" s="386"/>
      <c r="BJ4817" s="46"/>
    </row>
    <row r="4818" spans="59:62" x14ac:dyDescent="0.3">
      <c r="BG4818" s="387"/>
      <c r="BH4818" s="386"/>
      <c r="BI4818" s="386"/>
      <c r="BJ4818" s="46"/>
    </row>
    <row r="4819" spans="59:62" x14ac:dyDescent="0.3">
      <c r="BG4819" s="387"/>
      <c r="BH4819" s="386"/>
      <c r="BI4819" s="386"/>
      <c r="BJ4819" s="46"/>
    </row>
    <row r="4820" spans="59:62" x14ac:dyDescent="0.3">
      <c r="BG4820" s="387"/>
      <c r="BH4820" s="386"/>
      <c r="BI4820" s="386"/>
      <c r="BJ4820" s="46"/>
    </row>
    <row r="4821" spans="59:62" x14ac:dyDescent="0.3">
      <c r="BG4821" s="387"/>
      <c r="BH4821" s="386"/>
      <c r="BI4821" s="386"/>
      <c r="BJ4821" s="46"/>
    </row>
    <row r="4822" spans="59:62" x14ac:dyDescent="0.3">
      <c r="BG4822" s="387"/>
      <c r="BH4822" s="386"/>
      <c r="BI4822" s="386"/>
      <c r="BJ4822" s="46"/>
    </row>
    <row r="4823" spans="59:62" x14ac:dyDescent="0.3">
      <c r="BG4823" s="387"/>
      <c r="BH4823" s="386"/>
      <c r="BI4823" s="386"/>
      <c r="BJ4823" s="46"/>
    </row>
    <row r="4824" spans="59:62" x14ac:dyDescent="0.3">
      <c r="BG4824" s="387"/>
      <c r="BH4824" s="386"/>
      <c r="BI4824" s="386"/>
      <c r="BJ4824" s="46"/>
    </row>
    <row r="4825" spans="59:62" x14ac:dyDescent="0.3">
      <c r="BG4825" s="387"/>
      <c r="BH4825" s="386"/>
      <c r="BI4825" s="386"/>
      <c r="BJ4825" s="46"/>
    </row>
    <row r="4826" spans="59:62" x14ac:dyDescent="0.3">
      <c r="BG4826" s="387"/>
      <c r="BH4826" s="386"/>
      <c r="BI4826" s="386"/>
      <c r="BJ4826" s="46"/>
    </row>
    <row r="4827" spans="59:62" x14ac:dyDescent="0.3">
      <c r="BG4827" s="387"/>
      <c r="BH4827" s="386"/>
      <c r="BI4827" s="386"/>
      <c r="BJ4827" s="46"/>
    </row>
    <row r="4828" spans="59:62" x14ac:dyDescent="0.3">
      <c r="BG4828" s="387"/>
      <c r="BH4828" s="386"/>
      <c r="BI4828" s="386"/>
      <c r="BJ4828" s="46"/>
    </row>
    <row r="4829" spans="59:62" x14ac:dyDescent="0.3">
      <c r="BG4829" s="387"/>
      <c r="BH4829" s="386"/>
      <c r="BI4829" s="386"/>
      <c r="BJ4829" s="46"/>
    </row>
    <row r="4830" spans="59:62" x14ac:dyDescent="0.3">
      <c r="BG4830" s="387"/>
      <c r="BH4830" s="386"/>
      <c r="BI4830" s="386"/>
      <c r="BJ4830" s="46"/>
    </row>
    <row r="4831" spans="59:62" x14ac:dyDescent="0.3">
      <c r="BG4831" s="387"/>
      <c r="BH4831" s="386"/>
      <c r="BI4831" s="386"/>
      <c r="BJ4831" s="46"/>
    </row>
    <row r="4832" spans="59:62" x14ac:dyDescent="0.3">
      <c r="BG4832" s="387"/>
      <c r="BH4832" s="386"/>
      <c r="BI4832" s="386"/>
      <c r="BJ4832" s="46"/>
    </row>
    <row r="4833" spans="59:62" x14ac:dyDescent="0.3">
      <c r="BG4833" s="387"/>
      <c r="BH4833" s="386"/>
      <c r="BI4833" s="386"/>
      <c r="BJ4833" s="46"/>
    </row>
    <row r="4834" spans="59:62" x14ac:dyDescent="0.3">
      <c r="BG4834" s="387"/>
      <c r="BH4834" s="386"/>
      <c r="BI4834" s="386"/>
      <c r="BJ4834" s="46"/>
    </row>
    <row r="4835" spans="59:62" x14ac:dyDescent="0.3">
      <c r="BG4835" s="387"/>
      <c r="BH4835" s="386"/>
      <c r="BI4835" s="386"/>
      <c r="BJ4835" s="46"/>
    </row>
    <row r="4836" spans="59:62" x14ac:dyDescent="0.3">
      <c r="BG4836" s="387"/>
      <c r="BH4836" s="386"/>
      <c r="BI4836" s="386"/>
      <c r="BJ4836" s="46"/>
    </row>
    <row r="4837" spans="59:62" x14ac:dyDescent="0.3">
      <c r="BG4837" s="387"/>
      <c r="BH4837" s="386"/>
      <c r="BI4837" s="386"/>
      <c r="BJ4837" s="46"/>
    </row>
    <row r="4838" spans="59:62" x14ac:dyDescent="0.3">
      <c r="BG4838" s="387"/>
      <c r="BH4838" s="386"/>
      <c r="BI4838" s="386"/>
      <c r="BJ4838" s="46"/>
    </row>
    <row r="4839" spans="59:62" x14ac:dyDescent="0.3">
      <c r="BG4839" s="387"/>
      <c r="BH4839" s="386"/>
      <c r="BI4839" s="386"/>
      <c r="BJ4839" s="46"/>
    </row>
    <row r="4840" spans="59:62" x14ac:dyDescent="0.3">
      <c r="BG4840" s="387"/>
      <c r="BH4840" s="386"/>
      <c r="BI4840" s="386"/>
      <c r="BJ4840" s="46"/>
    </row>
    <row r="4841" spans="59:62" x14ac:dyDescent="0.3">
      <c r="BG4841" s="387"/>
      <c r="BH4841" s="386"/>
      <c r="BI4841" s="386"/>
      <c r="BJ4841" s="46"/>
    </row>
    <row r="4842" spans="59:62" x14ac:dyDescent="0.3">
      <c r="BG4842" s="387"/>
      <c r="BH4842" s="386"/>
      <c r="BI4842" s="386"/>
      <c r="BJ4842" s="46"/>
    </row>
    <row r="4843" spans="59:62" x14ac:dyDescent="0.3">
      <c r="BG4843" s="387"/>
      <c r="BH4843" s="386"/>
      <c r="BI4843" s="386"/>
      <c r="BJ4843" s="46"/>
    </row>
    <row r="4844" spans="59:62" x14ac:dyDescent="0.3">
      <c r="BG4844" s="387"/>
      <c r="BH4844" s="386"/>
      <c r="BI4844" s="386"/>
      <c r="BJ4844" s="46"/>
    </row>
    <row r="4845" spans="59:62" x14ac:dyDescent="0.3">
      <c r="BG4845" s="387"/>
      <c r="BH4845" s="386"/>
      <c r="BI4845" s="386"/>
      <c r="BJ4845" s="46"/>
    </row>
    <row r="4846" spans="59:62" x14ac:dyDescent="0.3">
      <c r="BG4846" s="387"/>
      <c r="BH4846" s="386"/>
      <c r="BI4846" s="386"/>
      <c r="BJ4846" s="46"/>
    </row>
    <row r="4847" spans="59:62" x14ac:dyDescent="0.3">
      <c r="BG4847" s="387"/>
      <c r="BH4847" s="386"/>
      <c r="BI4847" s="386"/>
      <c r="BJ4847" s="46"/>
    </row>
    <row r="4848" spans="59:62" x14ac:dyDescent="0.3">
      <c r="BG4848" s="387"/>
      <c r="BH4848" s="386"/>
      <c r="BI4848" s="386"/>
      <c r="BJ4848" s="46"/>
    </row>
    <row r="4849" spans="59:62" x14ac:dyDescent="0.3">
      <c r="BG4849" s="387"/>
      <c r="BH4849" s="386"/>
      <c r="BI4849" s="386"/>
      <c r="BJ4849" s="46"/>
    </row>
    <row r="4850" spans="59:62" x14ac:dyDescent="0.3">
      <c r="BG4850" s="387"/>
      <c r="BH4850" s="386"/>
      <c r="BI4850" s="386"/>
      <c r="BJ4850" s="46"/>
    </row>
    <row r="4851" spans="59:62" x14ac:dyDescent="0.3">
      <c r="BG4851" s="387"/>
      <c r="BH4851" s="386"/>
      <c r="BI4851" s="386"/>
      <c r="BJ4851" s="46"/>
    </row>
    <row r="4852" spans="59:62" x14ac:dyDescent="0.3">
      <c r="BG4852" s="387"/>
      <c r="BH4852" s="386"/>
      <c r="BI4852" s="386"/>
      <c r="BJ4852" s="46"/>
    </row>
    <row r="4853" spans="59:62" x14ac:dyDescent="0.3">
      <c r="BG4853" s="387"/>
      <c r="BH4853" s="386"/>
      <c r="BI4853" s="386"/>
      <c r="BJ4853" s="46"/>
    </row>
    <row r="4854" spans="59:62" x14ac:dyDescent="0.3">
      <c r="BG4854" s="387"/>
      <c r="BH4854" s="386"/>
      <c r="BI4854" s="386"/>
      <c r="BJ4854" s="46"/>
    </row>
    <row r="4855" spans="59:62" x14ac:dyDescent="0.3">
      <c r="BG4855" s="387"/>
      <c r="BH4855" s="386"/>
      <c r="BI4855" s="386"/>
      <c r="BJ4855" s="46"/>
    </row>
    <row r="4856" spans="59:62" x14ac:dyDescent="0.3">
      <c r="BG4856" s="387"/>
      <c r="BH4856" s="386"/>
      <c r="BI4856" s="386"/>
      <c r="BJ4856" s="46"/>
    </row>
    <row r="4857" spans="59:62" x14ac:dyDescent="0.3">
      <c r="BG4857" s="387"/>
      <c r="BH4857" s="386"/>
      <c r="BI4857" s="386"/>
      <c r="BJ4857" s="46"/>
    </row>
    <row r="4858" spans="59:62" x14ac:dyDescent="0.3">
      <c r="BG4858" s="387"/>
      <c r="BH4858" s="386"/>
      <c r="BI4858" s="386"/>
      <c r="BJ4858" s="46"/>
    </row>
    <row r="4859" spans="59:62" x14ac:dyDescent="0.3">
      <c r="BG4859" s="387"/>
      <c r="BH4859" s="386"/>
      <c r="BI4859" s="386"/>
      <c r="BJ4859" s="46"/>
    </row>
    <row r="4860" spans="59:62" x14ac:dyDescent="0.3">
      <c r="BG4860" s="387"/>
      <c r="BH4860" s="386"/>
      <c r="BI4860" s="386"/>
      <c r="BJ4860" s="46"/>
    </row>
    <row r="4861" spans="59:62" x14ac:dyDescent="0.3">
      <c r="BG4861" s="387"/>
      <c r="BH4861" s="386"/>
      <c r="BI4861" s="386"/>
      <c r="BJ4861" s="46"/>
    </row>
    <row r="4862" spans="59:62" x14ac:dyDescent="0.3">
      <c r="BG4862" s="387"/>
      <c r="BH4862" s="386"/>
      <c r="BI4862" s="386"/>
      <c r="BJ4862" s="46"/>
    </row>
    <row r="4863" spans="59:62" x14ac:dyDescent="0.3">
      <c r="BG4863" s="387"/>
      <c r="BH4863" s="386"/>
      <c r="BI4863" s="386"/>
      <c r="BJ4863" s="46"/>
    </row>
    <row r="4864" spans="59:62" x14ac:dyDescent="0.3">
      <c r="BG4864" s="387"/>
      <c r="BH4864" s="386"/>
      <c r="BI4864" s="386"/>
      <c r="BJ4864" s="46"/>
    </row>
    <row r="4865" spans="59:62" x14ac:dyDescent="0.3">
      <c r="BG4865" s="387"/>
      <c r="BH4865" s="386"/>
      <c r="BI4865" s="386"/>
      <c r="BJ4865" s="46"/>
    </row>
    <row r="4866" spans="59:62" x14ac:dyDescent="0.3">
      <c r="BG4866" s="387"/>
      <c r="BH4866" s="386"/>
      <c r="BI4866" s="386"/>
      <c r="BJ4866" s="46"/>
    </row>
    <row r="4867" spans="59:62" x14ac:dyDescent="0.3">
      <c r="BG4867" s="387"/>
      <c r="BH4867" s="386"/>
      <c r="BI4867" s="386"/>
      <c r="BJ4867" s="46"/>
    </row>
    <row r="4868" spans="59:62" x14ac:dyDescent="0.3">
      <c r="BG4868" s="387"/>
      <c r="BH4868" s="386"/>
      <c r="BI4868" s="386"/>
      <c r="BJ4868" s="46"/>
    </row>
    <row r="4869" spans="59:62" x14ac:dyDescent="0.3">
      <c r="BG4869" s="387"/>
      <c r="BH4869" s="386"/>
      <c r="BI4869" s="386"/>
      <c r="BJ4869" s="46"/>
    </row>
    <row r="4870" spans="59:62" x14ac:dyDescent="0.3">
      <c r="BG4870" s="387"/>
      <c r="BH4870" s="386"/>
      <c r="BI4870" s="386"/>
      <c r="BJ4870" s="46"/>
    </row>
    <row r="4871" spans="59:62" x14ac:dyDescent="0.3">
      <c r="BG4871" s="387"/>
      <c r="BH4871" s="386"/>
      <c r="BI4871" s="386"/>
      <c r="BJ4871" s="46"/>
    </row>
    <row r="4872" spans="59:62" x14ac:dyDescent="0.3">
      <c r="BG4872" s="387"/>
      <c r="BH4872" s="386"/>
      <c r="BI4872" s="386"/>
      <c r="BJ4872" s="46"/>
    </row>
    <row r="4873" spans="59:62" x14ac:dyDescent="0.3">
      <c r="BG4873" s="387"/>
      <c r="BH4873" s="386"/>
      <c r="BI4873" s="386"/>
      <c r="BJ4873" s="46"/>
    </row>
    <row r="4874" spans="59:62" x14ac:dyDescent="0.3">
      <c r="BG4874" s="387"/>
      <c r="BH4874" s="386"/>
      <c r="BI4874" s="386"/>
      <c r="BJ4874" s="46"/>
    </row>
    <row r="4875" spans="59:62" x14ac:dyDescent="0.3">
      <c r="BG4875" s="387"/>
      <c r="BH4875" s="386"/>
      <c r="BI4875" s="386"/>
      <c r="BJ4875" s="46"/>
    </row>
    <row r="4876" spans="59:62" x14ac:dyDescent="0.3">
      <c r="BG4876" s="387"/>
      <c r="BH4876" s="386"/>
      <c r="BI4876" s="386"/>
      <c r="BJ4876" s="46"/>
    </row>
    <row r="4877" spans="59:62" x14ac:dyDescent="0.3">
      <c r="BG4877" s="387"/>
      <c r="BH4877" s="386"/>
      <c r="BI4877" s="386"/>
      <c r="BJ4877" s="46"/>
    </row>
    <row r="4878" spans="59:62" x14ac:dyDescent="0.3">
      <c r="BG4878" s="387"/>
      <c r="BH4878" s="386"/>
      <c r="BI4878" s="386"/>
      <c r="BJ4878" s="46"/>
    </row>
    <row r="4879" spans="59:62" x14ac:dyDescent="0.3">
      <c r="BG4879" s="387"/>
      <c r="BH4879" s="386"/>
      <c r="BI4879" s="386"/>
      <c r="BJ4879" s="46"/>
    </row>
    <row r="4880" spans="59:62" x14ac:dyDescent="0.3">
      <c r="BG4880" s="387"/>
      <c r="BH4880" s="386"/>
      <c r="BI4880" s="386"/>
      <c r="BJ4880" s="46"/>
    </row>
    <row r="4881" spans="59:62" x14ac:dyDescent="0.3">
      <c r="BG4881" s="387"/>
      <c r="BH4881" s="386"/>
      <c r="BI4881" s="386"/>
      <c r="BJ4881" s="46"/>
    </row>
    <row r="4882" spans="59:62" x14ac:dyDescent="0.3">
      <c r="BG4882" s="387"/>
      <c r="BH4882" s="386"/>
      <c r="BI4882" s="386"/>
      <c r="BJ4882" s="46"/>
    </row>
    <row r="4883" spans="59:62" x14ac:dyDescent="0.3">
      <c r="BG4883" s="387"/>
      <c r="BH4883" s="386"/>
      <c r="BI4883" s="386"/>
      <c r="BJ4883" s="46"/>
    </row>
    <row r="4884" spans="59:62" x14ac:dyDescent="0.3">
      <c r="BG4884" s="387"/>
      <c r="BH4884" s="386"/>
      <c r="BI4884" s="386"/>
      <c r="BJ4884" s="46"/>
    </row>
    <row r="4885" spans="59:62" x14ac:dyDescent="0.3">
      <c r="BG4885" s="387"/>
      <c r="BH4885" s="386"/>
      <c r="BI4885" s="386"/>
      <c r="BJ4885" s="46"/>
    </row>
    <row r="4886" spans="59:62" x14ac:dyDescent="0.3">
      <c r="BG4886" s="387"/>
      <c r="BH4886" s="386"/>
      <c r="BI4886" s="386"/>
      <c r="BJ4886" s="46"/>
    </row>
    <row r="4887" spans="59:62" x14ac:dyDescent="0.3">
      <c r="BG4887" s="387"/>
      <c r="BH4887" s="386"/>
      <c r="BI4887" s="386"/>
      <c r="BJ4887" s="46"/>
    </row>
    <row r="4888" spans="59:62" x14ac:dyDescent="0.3">
      <c r="BG4888" s="387"/>
      <c r="BH4888" s="386"/>
      <c r="BI4888" s="386"/>
      <c r="BJ4888" s="46"/>
    </row>
    <row r="4889" spans="59:62" x14ac:dyDescent="0.3">
      <c r="BG4889" s="387"/>
      <c r="BH4889" s="386"/>
      <c r="BI4889" s="386"/>
      <c r="BJ4889" s="46"/>
    </row>
    <row r="4890" spans="59:62" x14ac:dyDescent="0.3">
      <c r="BG4890" s="387"/>
      <c r="BH4890" s="386"/>
      <c r="BI4890" s="386"/>
      <c r="BJ4890" s="46"/>
    </row>
    <row r="4891" spans="59:62" x14ac:dyDescent="0.3">
      <c r="BG4891" s="387"/>
      <c r="BH4891" s="386"/>
      <c r="BI4891" s="386"/>
      <c r="BJ4891" s="46"/>
    </row>
    <row r="4892" spans="59:62" x14ac:dyDescent="0.3">
      <c r="BG4892" s="387"/>
      <c r="BH4892" s="386"/>
      <c r="BI4892" s="386"/>
      <c r="BJ4892" s="46"/>
    </row>
    <row r="4893" spans="59:62" x14ac:dyDescent="0.3">
      <c r="BG4893" s="387"/>
      <c r="BH4893" s="386"/>
      <c r="BI4893" s="386"/>
      <c r="BJ4893" s="46"/>
    </row>
    <row r="4894" spans="59:62" x14ac:dyDescent="0.3">
      <c r="BG4894" s="387"/>
      <c r="BH4894" s="386"/>
      <c r="BI4894" s="386"/>
      <c r="BJ4894" s="46"/>
    </row>
    <row r="4895" spans="59:62" x14ac:dyDescent="0.3">
      <c r="BG4895" s="387"/>
      <c r="BH4895" s="386"/>
      <c r="BI4895" s="386"/>
      <c r="BJ4895" s="46"/>
    </row>
    <row r="4896" spans="59:62" x14ac:dyDescent="0.3">
      <c r="BG4896" s="387"/>
      <c r="BH4896" s="386"/>
      <c r="BI4896" s="386"/>
      <c r="BJ4896" s="46"/>
    </row>
    <row r="4897" spans="59:62" x14ac:dyDescent="0.3">
      <c r="BG4897" s="387"/>
      <c r="BH4897" s="386"/>
      <c r="BI4897" s="386"/>
      <c r="BJ4897" s="46"/>
    </row>
    <row r="4898" spans="59:62" x14ac:dyDescent="0.3">
      <c r="BG4898" s="387"/>
      <c r="BH4898" s="386"/>
      <c r="BI4898" s="386"/>
      <c r="BJ4898" s="46"/>
    </row>
    <row r="4899" spans="59:62" x14ac:dyDescent="0.3">
      <c r="BG4899" s="387"/>
      <c r="BH4899" s="386"/>
      <c r="BI4899" s="386"/>
      <c r="BJ4899" s="46"/>
    </row>
    <row r="4900" spans="59:62" x14ac:dyDescent="0.3">
      <c r="BG4900" s="387"/>
      <c r="BH4900" s="386"/>
      <c r="BI4900" s="386"/>
      <c r="BJ4900" s="46"/>
    </row>
    <row r="4901" spans="59:62" x14ac:dyDescent="0.3">
      <c r="BG4901" s="387"/>
      <c r="BH4901" s="386"/>
      <c r="BI4901" s="386"/>
      <c r="BJ4901" s="46"/>
    </row>
    <row r="4902" spans="59:62" x14ac:dyDescent="0.3">
      <c r="BG4902" s="387"/>
      <c r="BH4902" s="386"/>
      <c r="BI4902" s="386"/>
      <c r="BJ4902" s="46"/>
    </row>
    <row r="4903" spans="59:62" x14ac:dyDescent="0.3">
      <c r="BG4903" s="387"/>
      <c r="BH4903" s="386"/>
      <c r="BI4903" s="386"/>
      <c r="BJ4903" s="46"/>
    </row>
    <row r="4904" spans="59:62" x14ac:dyDescent="0.3">
      <c r="BG4904" s="387"/>
      <c r="BH4904" s="386"/>
      <c r="BI4904" s="386"/>
      <c r="BJ4904" s="46"/>
    </row>
    <row r="4905" spans="59:62" x14ac:dyDescent="0.3">
      <c r="BG4905" s="387"/>
      <c r="BH4905" s="386"/>
      <c r="BI4905" s="386"/>
      <c r="BJ4905" s="46"/>
    </row>
    <row r="4906" spans="59:62" x14ac:dyDescent="0.3">
      <c r="BG4906" s="387"/>
      <c r="BH4906" s="386"/>
      <c r="BI4906" s="386"/>
      <c r="BJ4906" s="46"/>
    </row>
    <row r="4907" spans="59:62" x14ac:dyDescent="0.3">
      <c r="BG4907" s="387"/>
      <c r="BH4907" s="386"/>
      <c r="BI4907" s="386"/>
      <c r="BJ4907" s="46"/>
    </row>
    <row r="4908" spans="59:62" x14ac:dyDescent="0.3">
      <c r="BG4908" s="387"/>
      <c r="BH4908" s="386"/>
      <c r="BI4908" s="386"/>
      <c r="BJ4908" s="46"/>
    </row>
    <row r="4909" spans="59:62" x14ac:dyDescent="0.3">
      <c r="BG4909" s="387"/>
      <c r="BH4909" s="386"/>
      <c r="BI4909" s="386"/>
      <c r="BJ4909" s="46"/>
    </row>
    <row r="4910" spans="59:62" x14ac:dyDescent="0.3">
      <c r="BG4910" s="387"/>
      <c r="BH4910" s="386"/>
      <c r="BI4910" s="386"/>
      <c r="BJ4910" s="46"/>
    </row>
    <row r="4911" spans="59:62" x14ac:dyDescent="0.3">
      <c r="BG4911" s="387"/>
      <c r="BH4911" s="386"/>
      <c r="BI4911" s="386"/>
      <c r="BJ4911" s="46"/>
    </row>
    <row r="4912" spans="59:62" x14ac:dyDescent="0.3">
      <c r="BG4912" s="387"/>
      <c r="BH4912" s="386"/>
      <c r="BI4912" s="386"/>
      <c r="BJ4912" s="46"/>
    </row>
    <row r="4913" spans="59:62" x14ac:dyDescent="0.3">
      <c r="BG4913" s="387"/>
      <c r="BH4913" s="386"/>
      <c r="BI4913" s="386"/>
      <c r="BJ4913" s="46"/>
    </row>
    <row r="4914" spans="59:62" x14ac:dyDescent="0.3">
      <c r="BG4914" s="387"/>
      <c r="BH4914" s="386"/>
      <c r="BI4914" s="386"/>
      <c r="BJ4914" s="46"/>
    </row>
    <row r="4915" spans="59:62" x14ac:dyDescent="0.3">
      <c r="BG4915" s="387"/>
      <c r="BH4915" s="386"/>
      <c r="BI4915" s="386"/>
      <c r="BJ4915" s="46"/>
    </row>
    <row r="4916" spans="59:62" x14ac:dyDescent="0.3">
      <c r="BG4916" s="387"/>
      <c r="BH4916" s="386"/>
      <c r="BI4916" s="386"/>
      <c r="BJ4916" s="46"/>
    </row>
    <row r="4917" spans="59:62" x14ac:dyDescent="0.3">
      <c r="BG4917" s="387"/>
      <c r="BH4917" s="386"/>
      <c r="BI4917" s="386"/>
      <c r="BJ4917" s="46"/>
    </row>
    <row r="4918" spans="59:62" x14ac:dyDescent="0.3">
      <c r="BG4918" s="387"/>
      <c r="BH4918" s="386"/>
      <c r="BI4918" s="386"/>
      <c r="BJ4918" s="46"/>
    </row>
    <row r="4919" spans="59:62" x14ac:dyDescent="0.3">
      <c r="BG4919" s="387"/>
      <c r="BH4919" s="386"/>
      <c r="BI4919" s="386"/>
      <c r="BJ4919" s="46"/>
    </row>
    <row r="4920" spans="59:62" x14ac:dyDescent="0.3">
      <c r="BG4920" s="387"/>
      <c r="BH4920" s="386"/>
      <c r="BI4920" s="386"/>
      <c r="BJ4920" s="46"/>
    </row>
    <row r="4921" spans="59:62" x14ac:dyDescent="0.3">
      <c r="BG4921" s="387"/>
      <c r="BH4921" s="386"/>
      <c r="BI4921" s="386"/>
      <c r="BJ4921" s="46"/>
    </row>
    <row r="4922" spans="59:62" x14ac:dyDescent="0.3">
      <c r="BG4922" s="387"/>
      <c r="BH4922" s="386"/>
      <c r="BI4922" s="386"/>
      <c r="BJ4922" s="46"/>
    </row>
    <row r="4923" spans="59:62" x14ac:dyDescent="0.3">
      <c r="BG4923" s="387"/>
      <c r="BH4923" s="386"/>
      <c r="BI4923" s="386"/>
      <c r="BJ4923" s="46"/>
    </row>
    <row r="4924" spans="59:62" x14ac:dyDescent="0.3">
      <c r="BG4924" s="387"/>
      <c r="BH4924" s="386"/>
      <c r="BI4924" s="386"/>
      <c r="BJ4924" s="46"/>
    </row>
    <row r="4925" spans="59:62" x14ac:dyDescent="0.3">
      <c r="BG4925" s="387"/>
      <c r="BH4925" s="386"/>
      <c r="BI4925" s="386"/>
      <c r="BJ4925" s="46"/>
    </row>
    <row r="4926" spans="59:62" x14ac:dyDescent="0.3">
      <c r="BG4926" s="387"/>
      <c r="BH4926" s="386"/>
      <c r="BI4926" s="386"/>
      <c r="BJ4926" s="46"/>
    </row>
    <row r="4927" spans="59:62" x14ac:dyDescent="0.3">
      <c r="BG4927" s="387"/>
      <c r="BH4927" s="386"/>
      <c r="BI4927" s="386"/>
      <c r="BJ4927" s="46"/>
    </row>
    <row r="4928" spans="59:62" x14ac:dyDescent="0.3">
      <c r="BG4928" s="387"/>
      <c r="BH4928" s="386"/>
      <c r="BI4928" s="386"/>
      <c r="BJ4928" s="46"/>
    </row>
    <row r="4929" spans="59:62" x14ac:dyDescent="0.3">
      <c r="BG4929" s="387"/>
      <c r="BH4929" s="386"/>
      <c r="BI4929" s="386"/>
      <c r="BJ4929" s="46"/>
    </row>
    <row r="4930" spans="59:62" x14ac:dyDescent="0.3">
      <c r="BG4930" s="387"/>
      <c r="BH4930" s="386"/>
      <c r="BI4930" s="386"/>
      <c r="BJ4930" s="46"/>
    </row>
    <row r="4931" spans="59:62" x14ac:dyDescent="0.3">
      <c r="BG4931" s="387"/>
      <c r="BH4931" s="386"/>
      <c r="BI4931" s="386"/>
      <c r="BJ4931" s="46"/>
    </row>
    <row r="4932" spans="59:62" x14ac:dyDescent="0.3">
      <c r="BG4932" s="387"/>
      <c r="BH4932" s="386"/>
      <c r="BI4932" s="386"/>
      <c r="BJ4932" s="46"/>
    </row>
    <row r="4933" spans="59:62" x14ac:dyDescent="0.3">
      <c r="BG4933" s="387"/>
      <c r="BH4933" s="386"/>
      <c r="BI4933" s="386"/>
      <c r="BJ4933" s="46"/>
    </row>
    <row r="4934" spans="59:62" x14ac:dyDescent="0.3">
      <c r="BG4934" s="387"/>
      <c r="BH4934" s="386"/>
      <c r="BI4934" s="386"/>
      <c r="BJ4934" s="46"/>
    </row>
    <row r="4935" spans="59:62" x14ac:dyDescent="0.3">
      <c r="BG4935" s="387"/>
      <c r="BH4935" s="386"/>
      <c r="BI4935" s="386"/>
      <c r="BJ4935" s="46"/>
    </row>
    <row r="4936" spans="59:62" x14ac:dyDescent="0.3">
      <c r="BG4936" s="387"/>
      <c r="BH4936" s="386"/>
      <c r="BI4936" s="386"/>
      <c r="BJ4936" s="46"/>
    </row>
    <row r="4937" spans="59:62" x14ac:dyDescent="0.3">
      <c r="BG4937" s="387"/>
      <c r="BH4937" s="386"/>
      <c r="BI4937" s="386"/>
      <c r="BJ4937" s="46"/>
    </row>
    <row r="4938" spans="59:62" x14ac:dyDescent="0.3">
      <c r="BG4938" s="387"/>
      <c r="BH4938" s="386"/>
      <c r="BI4938" s="386"/>
      <c r="BJ4938" s="46"/>
    </row>
    <row r="4939" spans="59:62" x14ac:dyDescent="0.3">
      <c r="BG4939" s="387"/>
      <c r="BH4939" s="386"/>
      <c r="BI4939" s="386"/>
      <c r="BJ4939" s="46"/>
    </row>
    <row r="4940" spans="59:62" x14ac:dyDescent="0.3">
      <c r="BG4940" s="387"/>
      <c r="BH4940" s="386"/>
      <c r="BI4940" s="386"/>
      <c r="BJ4940" s="46"/>
    </row>
    <row r="4941" spans="59:62" x14ac:dyDescent="0.3">
      <c r="BG4941" s="387"/>
      <c r="BH4941" s="386"/>
      <c r="BI4941" s="386"/>
      <c r="BJ4941" s="46"/>
    </row>
    <row r="4942" spans="59:62" x14ac:dyDescent="0.3">
      <c r="BG4942" s="387"/>
      <c r="BH4942" s="386"/>
      <c r="BI4942" s="386"/>
      <c r="BJ4942" s="46"/>
    </row>
    <row r="4943" spans="59:62" x14ac:dyDescent="0.3">
      <c r="BG4943" s="387"/>
      <c r="BH4943" s="386"/>
      <c r="BI4943" s="386"/>
      <c r="BJ4943" s="46"/>
    </row>
    <row r="4944" spans="59:62" x14ac:dyDescent="0.3">
      <c r="BG4944" s="387"/>
      <c r="BH4944" s="386"/>
      <c r="BI4944" s="386"/>
      <c r="BJ4944" s="46"/>
    </row>
    <row r="4945" spans="59:62" x14ac:dyDescent="0.3">
      <c r="BG4945" s="387"/>
      <c r="BH4945" s="386"/>
      <c r="BI4945" s="386"/>
      <c r="BJ4945" s="46"/>
    </row>
    <row r="4946" spans="59:62" x14ac:dyDescent="0.3">
      <c r="BG4946" s="387"/>
      <c r="BH4946" s="386"/>
      <c r="BI4946" s="386"/>
      <c r="BJ4946" s="46"/>
    </row>
    <row r="4947" spans="59:62" x14ac:dyDescent="0.3">
      <c r="BG4947" s="387"/>
      <c r="BH4947" s="386"/>
      <c r="BI4947" s="386"/>
      <c r="BJ4947" s="46"/>
    </row>
    <row r="4948" spans="59:62" x14ac:dyDescent="0.3">
      <c r="BG4948" s="387"/>
      <c r="BH4948" s="386"/>
      <c r="BI4948" s="386"/>
      <c r="BJ4948" s="46"/>
    </row>
    <row r="4949" spans="59:62" x14ac:dyDescent="0.3">
      <c r="BG4949" s="387"/>
      <c r="BH4949" s="386"/>
      <c r="BI4949" s="386"/>
      <c r="BJ4949" s="46"/>
    </row>
    <row r="4950" spans="59:62" x14ac:dyDescent="0.3">
      <c r="BG4950" s="387"/>
      <c r="BH4950" s="386"/>
      <c r="BI4950" s="386"/>
      <c r="BJ4950" s="46"/>
    </row>
    <row r="4951" spans="59:62" x14ac:dyDescent="0.3">
      <c r="BG4951" s="387"/>
      <c r="BH4951" s="386"/>
      <c r="BI4951" s="386"/>
      <c r="BJ4951" s="46"/>
    </row>
    <row r="4952" spans="59:62" x14ac:dyDescent="0.3">
      <c r="BG4952" s="387"/>
      <c r="BH4952" s="386"/>
      <c r="BI4952" s="386"/>
      <c r="BJ4952" s="46"/>
    </row>
    <row r="4953" spans="59:62" x14ac:dyDescent="0.3">
      <c r="BG4953" s="387"/>
      <c r="BH4953" s="386"/>
      <c r="BI4953" s="386"/>
      <c r="BJ4953" s="46"/>
    </row>
    <row r="4954" spans="59:62" x14ac:dyDescent="0.3">
      <c r="BG4954" s="387"/>
      <c r="BH4954" s="386"/>
      <c r="BI4954" s="386"/>
      <c r="BJ4954" s="46"/>
    </row>
    <row r="4955" spans="59:62" x14ac:dyDescent="0.3">
      <c r="BG4955" s="387"/>
      <c r="BH4955" s="386"/>
      <c r="BI4955" s="386"/>
      <c r="BJ4955" s="46"/>
    </row>
    <row r="4956" spans="59:62" x14ac:dyDescent="0.3">
      <c r="BG4956" s="387"/>
      <c r="BH4956" s="386"/>
      <c r="BI4956" s="386"/>
      <c r="BJ4956" s="46"/>
    </row>
    <row r="4957" spans="59:62" x14ac:dyDescent="0.3">
      <c r="BG4957" s="387"/>
      <c r="BH4957" s="386"/>
      <c r="BI4957" s="386"/>
      <c r="BJ4957" s="46"/>
    </row>
    <row r="4958" spans="59:62" x14ac:dyDescent="0.3">
      <c r="BG4958" s="387"/>
      <c r="BH4958" s="386"/>
      <c r="BI4958" s="386"/>
      <c r="BJ4958" s="46"/>
    </row>
    <row r="4959" spans="59:62" x14ac:dyDescent="0.3">
      <c r="BG4959" s="387"/>
      <c r="BH4959" s="386"/>
      <c r="BI4959" s="386"/>
      <c r="BJ4959" s="46"/>
    </row>
    <row r="4960" spans="59:62" x14ac:dyDescent="0.3">
      <c r="BG4960" s="387"/>
      <c r="BH4960" s="386"/>
      <c r="BI4960" s="386"/>
      <c r="BJ4960" s="46"/>
    </row>
    <row r="4961" spans="59:62" x14ac:dyDescent="0.3">
      <c r="BG4961" s="387"/>
      <c r="BH4961" s="386"/>
      <c r="BI4961" s="386"/>
      <c r="BJ4961" s="46"/>
    </row>
    <row r="4962" spans="59:62" x14ac:dyDescent="0.3">
      <c r="BG4962" s="387"/>
      <c r="BH4962" s="386"/>
      <c r="BI4962" s="386"/>
      <c r="BJ4962" s="46"/>
    </row>
    <row r="4963" spans="59:62" x14ac:dyDescent="0.3">
      <c r="BG4963" s="387"/>
      <c r="BH4963" s="386"/>
      <c r="BI4963" s="386"/>
      <c r="BJ4963" s="46"/>
    </row>
    <row r="4964" spans="59:62" x14ac:dyDescent="0.3">
      <c r="BG4964" s="387"/>
      <c r="BH4964" s="386"/>
      <c r="BI4964" s="386"/>
      <c r="BJ4964" s="46"/>
    </row>
    <row r="4965" spans="59:62" x14ac:dyDescent="0.3">
      <c r="BG4965" s="387"/>
      <c r="BH4965" s="386"/>
      <c r="BI4965" s="386"/>
      <c r="BJ4965" s="46"/>
    </row>
    <row r="4966" spans="59:62" x14ac:dyDescent="0.3">
      <c r="BG4966" s="387"/>
      <c r="BH4966" s="386"/>
      <c r="BI4966" s="386"/>
      <c r="BJ4966" s="46"/>
    </row>
    <row r="4967" spans="59:62" x14ac:dyDescent="0.3">
      <c r="BG4967" s="387"/>
      <c r="BH4967" s="386"/>
      <c r="BI4967" s="386"/>
      <c r="BJ4967" s="46"/>
    </row>
    <row r="4968" spans="59:62" x14ac:dyDescent="0.3">
      <c r="BG4968" s="387"/>
      <c r="BH4968" s="386"/>
      <c r="BI4968" s="386"/>
      <c r="BJ4968" s="46"/>
    </row>
    <row r="4969" spans="59:62" x14ac:dyDescent="0.3">
      <c r="BG4969" s="387"/>
      <c r="BH4969" s="386"/>
      <c r="BI4969" s="386"/>
      <c r="BJ4969" s="46"/>
    </row>
    <row r="4970" spans="59:62" x14ac:dyDescent="0.3">
      <c r="BG4970" s="387"/>
      <c r="BH4970" s="386"/>
      <c r="BI4970" s="386"/>
      <c r="BJ4970" s="46"/>
    </row>
    <row r="4971" spans="59:62" x14ac:dyDescent="0.3">
      <c r="BG4971" s="387"/>
      <c r="BH4971" s="386"/>
      <c r="BI4971" s="386"/>
      <c r="BJ4971" s="46"/>
    </row>
    <row r="4972" spans="59:62" x14ac:dyDescent="0.3">
      <c r="BG4972" s="387"/>
      <c r="BH4972" s="386"/>
      <c r="BI4972" s="386"/>
      <c r="BJ4972" s="46"/>
    </row>
    <row r="4973" spans="59:62" x14ac:dyDescent="0.3">
      <c r="BG4973" s="387"/>
      <c r="BH4973" s="386"/>
      <c r="BI4973" s="386"/>
      <c r="BJ4973" s="46"/>
    </row>
    <row r="4974" spans="59:62" x14ac:dyDescent="0.3">
      <c r="BG4974" s="387"/>
      <c r="BH4974" s="386"/>
      <c r="BI4974" s="386"/>
      <c r="BJ4974" s="46"/>
    </row>
    <row r="4975" spans="59:62" x14ac:dyDescent="0.3">
      <c r="BG4975" s="387"/>
      <c r="BH4975" s="386"/>
      <c r="BI4975" s="386"/>
      <c r="BJ4975" s="46"/>
    </row>
    <row r="4976" spans="59:62" x14ac:dyDescent="0.3">
      <c r="BG4976" s="387"/>
      <c r="BH4976" s="386"/>
      <c r="BI4976" s="386"/>
      <c r="BJ4976" s="46"/>
    </row>
    <row r="4977" spans="59:62" x14ac:dyDescent="0.3">
      <c r="BG4977" s="387"/>
      <c r="BH4977" s="386"/>
      <c r="BI4977" s="386"/>
      <c r="BJ4977" s="46"/>
    </row>
    <row r="4978" spans="59:62" x14ac:dyDescent="0.3">
      <c r="BG4978" s="387"/>
      <c r="BH4978" s="386"/>
      <c r="BI4978" s="386"/>
      <c r="BJ4978" s="46"/>
    </row>
    <row r="4979" spans="59:62" x14ac:dyDescent="0.3">
      <c r="BG4979" s="387"/>
      <c r="BH4979" s="386"/>
      <c r="BI4979" s="386"/>
      <c r="BJ4979" s="46"/>
    </row>
    <row r="4980" spans="59:62" x14ac:dyDescent="0.3">
      <c r="BG4980" s="387"/>
      <c r="BH4980" s="386"/>
      <c r="BI4980" s="386"/>
      <c r="BJ4980" s="46"/>
    </row>
    <row r="4981" spans="59:62" x14ac:dyDescent="0.3">
      <c r="BG4981" s="387"/>
      <c r="BH4981" s="386"/>
      <c r="BI4981" s="386"/>
      <c r="BJ4981" s="46"/>
    </row>
    <row r="4982" spans="59:62" x14ac:dyDescent="0.3">
      <c r="BG4982" s="387"/>
      <c r="BH4982" s="386"/>
      <c r="BI4982" s="386"/>
      <c r="BJ4982" s="46"/>
    </row>
    <row r="4983" spans="59:62" x14ac:dyDescent="0.3">
      <c r="BG4983" s="387"/>
      <c r="BH4983" s="386"/>
      <c r="BI4983" s="386"/>
      <c r="BJ4983" s="46"/>
    </row>
    <row r="4984" spans="59:62" x14ac:dyDescent="0.3">
      <c r="BG4984" s="387"/>
      <c r="BH4984" s="386"/>
      <c r="BI4984" s="386"/>
      <c r="BJ4984" s="46"/>
    </row>
    <row r="4985" spans="59:62" x14ac:dyDescent="0.3">
      <c r="BG4985" s="387"/>
      <c r="BH4985" s="386"/>
      <c r="BI4985" s="386"/>
      <c r="BJ4985" s="46"/>
    </row>
    <row r="4986" spans="59:62" x14ac:dyDescent="0.3">
      <c r="BG4986" s="387"/>
      <c r="BH4986" s="386"/>
      <c r="BI4986" s="386"/>
      <c r="BJ4986" s="46"/>
    </row>
    <row r="4987" spans="59:62" x14ac:dyDescent="0.3">
      <c r="BG4987" s="387"/>
      <c r="BH4987" s="386"/>
      <c r="BI4987" s="386"/>
      <c r="BJ4987" s="46"/>
    </row>
    <row r="4988" spans="59:62" x14ac:dyDescent="0.3">
      <c r="BG4988" s="387"/>
      <c r="BH4988" s="386"/>
      <c r="BI4988" s="386"/>
      <c r="BJ4988" s="46"/>
    </row>
    <row r="4989" spans="59:62" x14ac:dyDescent="0.3">
      <c r="BG4989" s="387"/>
      <c r="BH4989" s="386"/>
      <c r="BI4989" s="386"/>
      <c r="BJ4989" s="46"/>
    </row>
    <row r="4990" spans="59:62" x14ac:dyDescent="0.3">
      <c r="BG4990" s="387"/>
      <c r="BH4990" s="386"/>
      <c r="BI4990" s="386"/>
      <c r="BJ4990" s="46"/>
    </row>
    <row r="4991" spans="59:62" x14ac:dyDescent="0.3">
      <c r="BG4991" s="387"/>
      <c r="BH4991" s="386"/>
      <c r="BI4991" s="386"/>
      <c r="BJ4991" s="46"/>
    </row>
    <row r="4992" spans="59:62" x14ac:dyDescent="0.3">
      <c r="BG4992" s="387"/>
      <c r="BH4992" s="386"/>
      <c r="BI4992" s="386"/>
      <c r="BJ4992" s="46"/>
    </row>
    <row r="4993" spans="59:62" x14ac:dyDescent="0.3">
      <c r="BG4993" s="387"/>
      <c r="BH4993" s="386"/>
      <c r="BI4993" s="386"/>
      <c r="BJ4993" s="46"/>
    </row>
    <row r="4994" spans="59:62" x14ac:dyDescent="0.3">
      <c r="BG4994" s="387"/>
      <c r="BH4994" s="386"/>
      <c r="BI4994" s="386"/>
      <c r="BJ4994" s="46"/>
    </row>
    <row r="4995" spans="59:62" x14ac:dyDescent="0.3">
      <c r="BG4995" s="387"/>
      <c r="BH4995" s="386"/>
      <c r="BI4995" s="386"/>
      <c r="BJ4995" s="46"/>
    </row>
    <row r="4996" spans="59:62" x14ac:dyDescent="0.3">
      <c r="BG4996" s="387"/>
      <c r="BH4996" s="386"/>
      <c r="BI4996" s="386"/>
      <c r="BJ4996" s="46"/>
    </row>
    <row r="4997" spans="59:62" x14ac:dyDescent="0.3">
      <c r="BG4997" s="387"/>
      <c r="BH4997" s="386"/>
      <c r="BI4997" s="386"/>
      <c r="BJ4997" s="46"/>
    </row>
    <row r="4998" spans="59:62" x14ac:dyDescent="0.3">
      <c r="BG4998" s="387"/>
      <c r="BH4998" s="386"/>
      <c r="BI4998" s="386"/>
      <c r="BJ4998" s="46"/>
    </row>
    <row r="4999" spans="59:62" x14ac:dyDescent="0.3">
      <c r="BG4999" s="387"/>
      <c r="BH4999" s="386"/>
      <c r="BI4999" s="386"/>
      <c r="BJ4999" s="46"/>
    </row>
    <row r="5000" spans="59:62" x14ac:dyDescent="0.3">
      <c r="BG5000" s="387"/>
      <c r="BH5000" s="386"/>
      <c r="BI5000" s="386"/>
      <c r="BJ5000" s="46"/>
    </row>
    <row r="5001" spans="59:62" x14ac:dyDescent="0.3">
      <c r="BG5001" s="387"/>
      <c r="BH5001" s="386"/>
      <c r="BI5001" s="386"/>
      <c r="BJ5001" s="46"/>
    </row>
    <row r="5002" spans="59:62" x14ac:dyDescent="0.3">
      <c r="BG5002" s="387"/>
      <c r="BH5002" s="386"/>
      <c r="BI5002" s="386"/>
      <c r="BJ5002" s="46"/>
    </row>
    <row r="5003" spans="59:62" x14ac:dyDescent="0.3">
      <c r="BG5003" s="387"/>
      <c r="BH5003" s="386"/>
      <c r="BI5003" s="386"/>
      <c r="BJ5003" s="46"/>
    </row>
    <row r="5004" spans="59:62" x14ac:dyDescent="0.3">
      <c r="BG5004" s="387"/>
      <c r="BH5004" s="386"/>
      <c r="BI5004" s="386"/>
      <c r="BJ5004" s="46"/>
    </row>
    <row r="5005" spans="59:62" x14ac:dyDescent="0.3">
      <c r="BG5005" s="387"/>
      <c r="BH5005" s="386"/>
      <c r="BI5005" s="386"/>
      <c r="BJ5005" s="46"/>
    </row>
    <row r="5006" spans="59:62" x14ac:dyDescent="0.3">
      <c r="BG5006" s="387"/>
      <c r="BH5006" s="386"/>
      <c r="BI5006" s="386"/>
      <c r="BJ5006" s="46"/>
    </row>
    <row r="5007" spans="59:62" x14ac:dyDescent="0.3">
      <c r="BG5007" s="387"/>
      <c r="BH5007" s="386"/>
      <c r="BI5007" s="386"/>
      <c r="BJ5007" s="46"/>
    </row>
    <row r="5008" spans="59:62" x14ac:dyDescent="0.3">
      <c r="BG5008" s="387"/>
      <c r="BH5008" s="386"/>
      <c r="BI5008" s="386"/>
      <c r="BJ5008" s="46"/>
    </row>
    <row r="5009" spans="59:62" x14ac:dyDescent="0.3">
      <c r="BG5009" s="387"/>
      <c r="BH5009" s="386"/>
      <c r="BI5009" s="386"/>
      <c r="BJ5009" s="46"/>
    </row>
    <row r="5010" spans="59:62" x14ac:dyDescent="0.3">
      <c r="BG5010" s="387"/>
      <c r="BH5010" s="386"/>
      <c r="BI5010" s="386"/>
      <c r="BJ5010" s="46"/>
    </row>
    <row r="5011" spans="59:62" x14ac:dyDescent="0.3">
      <c r="BG5011" s="387"/>
      <c r="BH5011" s="386"/>
      <c r="BI5011" s="386"/>
      <c r="BJ5011" s="46"/>
    </row>
    <row r="5012" spans="59:62" x14ac:dyDescent="0.3">
      <c r="BG5012" s="387"/>
      <c r="BH5012" s="386"/>
      <c r="BI5012" s="386"/>
      <c r="BJ5012" s="46"/>
    </row>
    <row r="5013" spans="59:62" x14ac:dyDescent="0.3">
      <c r="BG5013" s="387"/>
      <c r="BH5013" s="386"/>
      <c r="BI5013" s="386"/>
      <c r="BJ5013" s="46"/>
    </row>
    <row r="5014" spans="59:62" x14ac:dyDescent="0.3">
      <c r="BG5014" s="387"/>
      <c r="BH5014" s="386"/>
      <c r="BI5014" s="386"/>
      <c r="BJ5014" s="46"/>
    </row>
    <row r="5015" spans="59:62" x14ac:dyDescent="0.3">
      <c r="BG5015" s="387"/>
      <c r="BH5015" s="386"/>
      <c r="BI5015" s="386"/>
      <c r="BJ5015" s="46"/>
    </row>
    <row r="5016" spans="59:62" x14ac:dyDescent="0.3">
      <c r="BG5016" s="387"/>
      <c r="BH5016" s="386"/>
      <c r="BI5016" s="386"/>
      <c r="BJ5016" s="46"/>
    </row>
    <row r="5017" spans="59:62" x14ac:dyDescent="0.3">
      <c r="BG5017" s="387"/>
      <c r="BH5017" s="386"/>
      <c r="BI5017" s="386"/>
      <c r="BJ5017" s="46"/>
    </row>
    <row r="5018" spans="59:62" x14ac:dyDescent="0.3">
      <c r="BG5018" s="387"/>
      <c r="BH5018" s="386"/>
      <c r="BI5018" s="386"/>
      <c r="BJ5018" s="46"/>
    </row>
    <row r="5019" spans="59:62" x14ac:dyDescent="0.3">
      <c r="BG5019" s="387"/>
      <c r="BH5019" s="386"/>
      <c r="BI5019" s="386"/>
      <c r="BJ5019" s="46"/>
    </row>
    <row r="5020" spans="59:62" x14ac:dyDescent="0.3">
      <c r="BG5020" s="387"/>
      <c r="BH5020" s="386"/>
      <c r="BI5020" s="386"/>
      <c r="BJ5020" s="46"/>
    </row>
    <row r="5021" spans="59:62" x14ac:dyDescent="0.3">
      <c r="BG5021" s="387"/>
      <c r="BH5021" s="386"/>
      <c r="BI5021" s="386"/>
      <c r="BJ5021" s="46"/>
    </row>
    <row r="5022" spans="59:62" x14ac:dyDescent="0.3">
      <c r="BG5022" s="387"/>
      <c r="BH5022" s="386"/>
      <c r="BI5022" s="386"/>
      <c r="BJ5022" s="46"/>
    </row>
    <row r="5023" spans="59:62" x14ac:dyDescent="0.3">
      <c r="BG5023" s="387"/>
      <c r="BH5023" s="386"/>
      <c r="BI5023" s="386"/>
      <c r="BJ5023" s="46"/>
    </row>
    <row r="5024" spans="59:62" x14ac:dyDescent="0.3">
      <c r="BG5024" s="387"/>
      <c r="BH5024" s="386"/>
      <c r="BI5024" s="386"/>
      <c r="BJ5024" s="46"/>
    </row>
    <row r="5025" spans="59:62" x14ac:dyDescent="0.3">
      <c r="BG5025" s="387"/>
      <c r="BH5025" s="386"/>
      <c r="BI5025" s="386"/>
      <c r="BJ5025" s="46"/>
    </row>
    <row r="5026" spans="59:62" x14ac:dyDescent="0.3">
      <c r="BG5026" s="387"/>
      <c r="BH5026" s="386"/>
      <c r="BI5026" s="386"/>
      <c r="BJ5026" s="46"/>
    </row>
    <row r="5027" spans="59:62" x14ac:dyDescent="0.3">
      <c r="BG5027" s="387"/>
      <c r="BH5027" s="386"/>
      <c r="BI5027" s="386"/>
      <c r="BJ5027" s="46"/>
    </row>
    <row r="5028" spans="59:62" x14ac:dyDescent="0.3">
      <c r="BG5028" s="387"/>
      <c r="BH5028" s="386"/>
      <c r="BI5028" s="386"/>
      <c r="BJ5028" s="46"/>
    </row>
    <row r="5029" spans="59:62" x14ac:dyDescent="0.3">
      <c r="BG5029" s="387"/>
      <c r="BH5029" s="386"/>
      <c r="BI5029" s="386"/>
      <c r="BJ5029" s="46"/>
    </row>
    <row r="5030" spans="59:62" x14ac:dyDescent="0.3">
      <c r="BG5030" s="387"/>
      <c r="BH5030" s="386"/>
      <c r="BI5030" s="386"/>
      <c r="BJ5030" s="46"/>
    </row>
    <row r="5031" spans="59:62" x14ac:dyDescent="0.3">
      <c r="BG5031" s="387"/>
      <c r="BH5031" s="386"/>
      <c r="BI5031" s="386"/>
      <c r="BJ5031" s="46"/>
    </row>
    <row r="5032" spans="59:62" x14ac:dyDescent="0.3">
      <c r="BG5032" s="387"/>
      <c r="BH5032" s="386"/>
      <c r="BI5032" s="386"/>
      <c r="BJ5032" s="46"/>
    </row>
    <row r="5033" spans="59:62" x14ac:dyDescent="0.3">
      <c r="BG5033" s="387"/>
      <c r="BH5033" s="386"/>
      <c r="BI5033" s="386"/>
      <c r="BJ5033" s="46"/>
    </row>
    <row r="5034" spans="59:62" x14ac:dyDescent="0.3">
      <c r="BG5034" s="387"/>
      <c r="BH5034" s="386"/>
      <c r="BI5034" s="386"/>
      <c r="BJ5034" s="46"/>
    </row>
    <row r="5035" spans="59:62" x14ac:dyDescent="0.3">
      <c r="BG5035" s="387"/>
      <c r="BH5035" s="386"/>
      <c r="BI5035" s="386"/>
      <c r="BJ5035" s="46"/>
    </row>
    <row r="5036" spans="59:62" x14ac:dyDescent="0.3">
      <c r="BG5036" s="387"/>
      <c r="BH5036" s="386"/>
      <c r="BI5036" s="386"/>
      <c r="BJ5036" s="46"/>
    </row>
    <row r="5037" spans="59:62" x14ac:dyDescent="0.3">
      <c r="BG5037" s="387"/>
      <c r="BH5037" s="386"/>
      <c r="BI5037" s="386"/>
      <c r="BJ5037" s="46"/>
    </row>
    <row r="5038" spans="59:62" x14ac:dyDescent="0.3">
      <c r="BG5038" s="387"/>
      <c r="BH5038" s="386"/>
      <c r="BI5038" s="386"/>
      <c r="BJ5038" s="46"/>
    </row>
    <row r="5039" spans="59:62" x14ac:dyDescent="0.3">
      <c r="BG5039" s="387"/>
      <c r="BH5039" s="386"/>
      <c r="BI5039" s="386"/>
      <c r="BJ5039" s="46"/>
    </row>
    <row r="5040" spans="59:62" x14ac:dyDescent="0.3">
      <c r="BG5040" s="387"/>
      <c r="BH5040" s="386"/>
      <c r="BI5040" s="386"/>
      <c r="BJ5040" s="46"/>
    </row>
    <row r="5041" spans="59:62" x14ac:dyDescent="0.3">
      <c r="BG5041" s="387"/>
      <c r="BH5041" s="386"/>
      <c r="BI5041" s="386"/>
      <c r="BJ5041" s="46"/>
    </row>
    <row r="5042" spans="59:62" x14ac:dyDescent="0.3">
      <c r="BG5042" s="387"/>
      <c r="BH5042" s="386"/>
      <c r="BI5042" s="386"/>
      <c r="BJ5042" s="46"/>
    </row>
    <row r="5043" spans="59:62" x14ac:dyDescent="0.3">
      <c r="BG5043" s="387"/>
      <c r="BH5043" s="386"/>
      <c r="BI5043" s="386"/>
      <c r="BJ5043" s="46"/>
    </row>
    <row r="5044" spans="59:62" x14ac:dyDescent="0.3">
      <c r="BG5044" s="387"/>
      <c r="BH5044" s="386"/>
      <c r="BI5044" s="386"/>
      <c r="BJ5044" s="46"/>
    </row>
    <row r="5045" spans="59:62" x14ac:dyDescent="0.3">
      <c r="BG5045" s="387"/>
      <c r="BH5045" s="386"/>
      <c r="BI5045" s="386"/>
      <c r="BJ5045" s="46"/>
    </row>
    <row r="5046" spans="59:62" x14ac:dyDescent="0.3">
      <c r="BG5046" s="387"/>
      <c r="BH5046" s="386"/>
      <c r="BI5046" s="386"/>
      <c r="BJ5046" s="46"/>
    </row>
    <row r="5047" spans="59:62" x14ac:dyDescent="0.3">
      <c r="BG5047" s="387"/>
      <c r="BH5047" s="386"/>
      <c r="BI5047" s="386"/>
      <c r="BJ5047" s="46"/>
    </row>
    <row r="5048" spans="59:62" x14ac:dyDescent="0.3">
      <c r="BG5048" s="387"/>
      <c r="BH5048" s="386"/>
      <c r="BI5048" s="386"/>
      <c r="BJ5048" s="46"/>
    </row>
    <row r="5049" spans="59:62" x14ac:dyDescent="0.3">
      <c r="BG5049" s="387"/>
      <c r="BH5049" s="386"/>
      <c r="BI5049" s="386"/>
      <c r="BJ5049" s="46"/>
    </row>
    <row r="5050" spans="59:62" x14ac:dyDescent="0.3">
      <c r="BG5050" s="387"/>
      <c r="BH5050" s="386"/>
      <c r="BI5050" s="386"/>
      <c r="BJ5050" s="46"/>
    </row>
    <row r="5051" spans="59:62" x14ac:dyDescent="0.3">
      <c r="BG5051" s="387"/>
      <c r="BH5051" s="386"/>
      <c r="BI5051" s="386"/>
      <c r="BJ5051" s="46"/>
    </row>
    <row r="5052" spans="59:62" x14ac:dyDescent="0.3">
      <c r="BG5052" s="387"/>
      <c r="BH5052" s="386"/>
      <c r="BI5052" s="386"/>
      <c r="BJ5052" s="46"/>
    </row>
    <row r="5053" spans="59:62" x14ac:dyDescent="0.3">
      <c r="BG5053" s="387"/>
      <c r="BH5053" s="386"/>
      <c r="BI5053" s="386"/>
      <c r="BJ5053" s="46"/>
    </row>
    <row r="5054" spans="59:62" x14ac:dyDescent="0.3">
      <c r="BG5054" s="387"/>
      <c r="BH5054" s="386"/>
      <c r="BI5054" s="386"/>
      <c r="BJ5054" s="46"/>
    </row>
    <row r="5055" spans="59:62" x14ac:dyDescent="0.3">
      <c r="BG5055" s="387"/>
      <c r="BH5055" s="386"/>
      <c r="BI5055" s="386"/>
      <c r="BJ5055" s="46"/>
    </row>
    <row r="5056" spans="59:62" x14ac:dyDescent="0.3">
      <c r="BG5056" s="387"/>
      <c r="BH5056" s="386"/>
      <c r="BI5056" s="386"/>
      <c r="BJ5056" s="46"/>
    </row>
    <row r="5057" spans="59:62" x14ac:dyDescent="0.3">
      <c r="BG5057" s="387"/>
      <c r="BH5057" s="386"/>
      <c r="BI5057" s="386"/>
      <c r="BJ5057" s="46"/>
    </row>
    <row r="5058" spans="59:62" x14ac:dyDescent="0.3">
      <c r="BG5058" s="387"/>
      <c r="BH5058" s="386"/>
      <c r="BI5058" s="386"/>
      <c r="BJ5058" s="46"/>
    </row>
    <row r="5059" spans="59:62" x14ac:dyDescent="0.3">
      <c r="BG5059" s="387"/>
      <c r="BH5059" s="386"/>
      <c r="BI5059" s="386"/>
      <c r="BJ5059" s="46"/>
    </row>
    <row r="5060" spans="59:62" x14ac:dyDescent="0.3">
      <c r="BG5060" s="387"/>
      <c r="BH5060" s="386"/>
      <c r="BI5060" s="386"/>
      <c r="BJ5060" s="46"/>
    </row>
    <row r="5061" spans="59:62" x14ac:dyDescent="0.3">
      <c r="BG5061" s="387"/>
      <c r="BH5061" s="386"/>
      <c r="BI5061" s="386"/>
      <c r="BJ5061" s="46"/>
    </row>
    <row r="5062" spans="59:62" x14ac:dyDescent="0.3">
      <c r="BG5062" s="387"/>
      <c r="BH5062" s="386"/>
      <c r="BI5062" s="386"/>
      <c r="BJ5062" s="46"/>
    </row>
    <row r="5063" spans="59:62" x14ac:dyDescent="0.3">
      <c r="BG5063" s="387"/>
      <c r="BH5063" s="386"/>
      <c r="BI5063" s="386"/>
      <c r="BJ5063" s="46"/>
    </row>
    <row r="5064" spans="59:62" x14ac:dyDescent="0.3">
      <c r="BG5064" s="387"/>
      <c r="BH5064" s="386"/>
      <c r="BI5064" s="386"/>
      <c r="BJ5064" s="46"/>
    </row>
    <row r="5065" spans="59:62" x14ac:dyDescent="0.3">
      <c r="BG5065" s="387"/>
      <c r="BH5065" s="386"/>
      <c r="BI5065" s="386"/>
      <c r="BJ5065" s="46"/>
    </row>
    <row r="5066" spans="59:62" x14ac:dyDescent="0.3">
      <c r="BG5066" s="387"/>
      <c r="BH5066" s="386"/>
      <c r="BI5066" s="386"/>
      <c r="BJ5066" s="46"/>
    </row>
    <row r="5067" spans="59:62" x14ac:dyDescent="0.3">
      <c r="BG5067" s="387"/>
      <c r="BH5067" s="386"/>
      <c r="BI5067" s="386"/>
      <c r="BJ5067" s="46"/>
    </row>
    <row r="5068" spans="59:62" x14ac:dyDescent="0.3">
      <c r="BG5068" s="387"/>
      <c r="BH5068" s="386"/>
      <c r="BI5068" s="386"/>
      <c r="BJ5068" s="46"/>
    </row>
    <row r="5069" spans="59:62" x14ac:dyDescent="0.3">
      <c r="BG5069" s="387"/>
      <c r="BH5069" s="386"/>
      <c r="BI5069" s="386"/>
      <c r="BJ5069" s="46"/>
    </row>
    <row r="5070" spans="59:62" x14ac:dyDescent="0.3">
      <c r="BG5070" s="387"/>
      <c r="BH5070" s="386"/>
      <c r="BI5070" s="386"/>
      <c r="BJ5070" s="46"/>
    </row>
    <row r="5071" spans="59:62" x14ac:dyDescent="0.3">
      <c r="BG5071" s="387"/>
      <c r="BH5071" s="386"/>
      <c r="BI5071" s="386"/>
      <c r="BJ5071" s="46"/>
    </row>
    <row r="5072" spans="59:62" x14ac:dyDescent="0.3">
      <c r="BG5072" s="387"/>
      <c r="BH5072" s="386"/>
      <c r="BI5072" s="386"/>
      <c r="BJ5072" s="46"/>
    </row>
    <row r="5073" spans="59:62" x14ac:dyDescent="0.3">
      <c r="BG5073" s="387"/>
      <c r="BH5073" s="386"/>
      <c r="BI5073" s="386"/>
      <c r="BJ5073" s="46"/>
    </row>
    <row r="5074" spans="59:62" x14ac:dyDescent="0.3">
      <c r="BG5074" s="387"/>
      <c r="BH5074" s="386"/>
      <c r="BI5074" s="386"/>
      <c r="BJ5074" s="46"/>
    </row>
    <row r="5075" spans="59:62" x14ac:dyDescent="0.3">
      <c r="BG5075" s="387"/>
      <c r="BH5075" s="386"/>
      <c r="BI5075" s="386"/>
      <c r="BJ5075" s="46"/>
    </row>
    <row r="5076" spans="59:62" x14ac:dyDescent="0.3">
      <c r="BG5076" s="387"/>
      <c r="BH5076" s="386"/>
      <c r="BI5076" s="386"/>
      <c r="BJ5076" s="46"/>
    </row>
    <row r="5077" spans="59:62" x14ac:dyDescent="0.3">
      <c r="BG5077" s="387"/>
      <c r="BH5077" s="386"/>
      <c r="BI5077" s="386"/>
      <c r="BJ5077" s="46"/>
    </row>
    <row r="5078" spans="59:62" x14ac:dyDescent="0.3">
      <c r="BG5078" s="387"/>
      <c r="BH5078" s="386"/>
      <c r="BI5078" s="386"/>
      <c r="BJ5078" s="46"/>
    </row>
    <row r="5079" spans="59:62" x14ac:dyDescent="0.3">
      <c r="BG5079" s="387"/>
      <c r="BH5079" s="386"/>
      <c r="BI5079" s="386"/>
      <c r="BJ5079" s="46"/>
    </row>
    <row r="5080" spans="59:62" x14ac:dyDescent="0.3">
      <c r="BG5080" s="387"/>
      <c r="BH5080" s="386"/>
      <c r="BI5080" s="386"/>
      <c r="BJ5080" s="46"/>
    </row>
    <row r="5081" spans="59:62" x14ac:dyDescent="0.3">
      <c r="BG5081" s="387"/>
      <c r="BH5081" s="386"/>
      <c r="BI5081" s="386"/>
      <c r="BJ5081" s="46"/>
    </row>
    <row r="5082" spans="59:62" x14ac:dyDescent="0.3">
      <c r="BG5082" s="387"/>
      <c r="BH5082" s="386"/>
      <c r="BI5082" s="386"/>
      <c r="BJ5082" s="46"/>
    </row>
    <row r="5083" spans="59:62" x14ac:dyDescent="0.3">
      <c r="BG5083" s="387"/>
      <c r="BH5083" s="386"/>
      <c r="BI5083" s="386"/>
      <c r="BJ5083" s="46"/>
    </row>
    <row r="5084" spans="59:62" x14ac:dyDescent="0.3">
      <c r="BG5084" s="387"/>
      <c r="BH5084" s="386"/>
      <c r="BI5084" s="386"/>
      <c r="BJ5084" s="46"/>
    </row>
    <row r="5085" spans="59:62" x14ac:dyDescent="0.3">
      <c r="BG5085" s="387"/>
      <c r="BH5085" s="386"/>
      <c r="BI5085" s="386"/>
      <c r="BJ5085" s="46"/>
    </row>
    <row r="5086" spans="59:62" x14ac:dyDescent="0.3">
      <c r="BG5086" s="387"/>
      <c r="BH5086" s="386"/>
      <c r="BI5086" s="386"/>
      <c r="BJ5086" s="46"/>
    </row>
    <row r="5087" spans="59:62" x14ac:dyDescent="0.3">
      <c r="BG5087" s="387"/>
      <c r="BH5087" s="386"/>
      <c r="BI5087" s="386"/>
      <c r="BJ5087" s="46"/>
    </row>
    <row r="5088" spans="59:62" x14ac:dyDescent="0.3">
      <c r="BG5088" s="387"/>
      <c r="BH5088" s="386"/>
      <c r="BI5088" s="386"/>
      <c r="BJ5088" s="46"/>
    </row>
    <row r="5089" spans="59:62" x14ac:dyDescent="0.3">
      <c r="BG5089" s="387"/>
      <c r="BH5089" s="386"/>
      <c r="BI5089" s="386"/>
      <c r="BJ5089" s="46"/>
    </row>
    <row r="5090" spans="59:62" x14ac:dyDescent="0.3">
      <c r="BG5090" s="387"/>
      <c r="BH5090" s="386"/>
      <c r="BI5090" s="386"/>
      <c r="BJ5090" s="46"/>
    </row>
    <row r="5091" spans="59:62" x14ac:dyDescent="0.3">
      <c r="BG5091" s="387"/>
      <c r="BH5091" s="386"/>
      <c r="BI5091" s="386"/>
      <c r="BJ5091" s="46"/>
    </row>
    <row r="5092" spans="59:62" x14ac:dyDescent="0.3">
      <c r="BG5092" s="387"/>
      <c r="BH5092" s="386"/>
      <c r="BI5092" s="386"/>
      <c r="BJ5092" s="46"/>
    </row>
    <row r="5093" spans="59:62" x14ac:dyDescent="0.3">
      <c r="BG5093" s="387"/>
      <c r="BH5093" s="386"/>
      <c r="BI5093" s="386"/>
      <c r="BJ5093" s="46"/>
    </row>
    <row r="5094" spans="59:62" x14ac:dyDescent="0.3">
      <c r="BG5094" s="387"/>
      <c r="BH5094" s="386"/>
      <c r="BI5094" s="386"/>
      <c r="BJ5094" s="46"/>
    </row>
    <row r="5095" spans="59:62" x14ac:dyDescent="0.3">
      <c r="BG5095" s="387"/>
      <c r="BH5095" s="386"/>
      <c r="BI5095" s="386"/>
      <c r="BJ5095" s="46"/>
    </row>
    <row r="5096" spans="59:62" x14ac:dyDescent="0.3">
      <c r="BG5096" s="387"/>
      <c r="BH5096" s="386"/>
      <c r="BI5096" s="386"/>
      <c r="BJ5096" s="46"/>
    </row>
    <row r="5097" spans="59:62" x14ac:dyDescent="0.3">
      <c r="BG5097" s="387"/>
      <c r="BH5097" s="386"/>
      <c r="BI5097" s="386"/>
      <c r="BJ5097" s="46"/>
    </row>
    <row r="5098" spans="59:62" x14ac:dyDescent="0.3">
      <c r="BG5098" s="387"/>
      <c r="BH5098" s="386"/>
      <c r="BI5098" s="386"/>
      <c r="BJ5098" s="46"/>
    </row>
    <row r="5099" spans="59:62" x14ac:dyDescent="0.3">
      <c r="BG5099" s="387"/>
      <c r="BH5099" s="386"/>
      <c r="BI5099" s="386"/>
      <c r="BJ5099" s="46"/>
    </row>
    <row r="5100" spans="59:62" x14ac:dyDescent="0.3">
      <c r="BG5100" s="387"/>
      <c r="BH5100" s="386"/>
      <c r="BI5100" s="386"/>
      <c r="BJ5100" s="46"/>
    </row>
    <row r="5101" spans="59:62" x14ac:dyDescent="0.3">
      <c r="BG5101" s="387"/>
      <c r="BH5101" s="386"/>
      <c r="BI5101" s="386"/>
      <c r="BJ5101" s="46"/>
    </row>
    <row r="5102" spans="59:62" x14ac:dyDescent="0.3">
      <c r="BG5102" s="387"/>
      <c r="BH5102" s="386"/>
      <c r="BI5102" s="386"/>
      <c r="BJ5102" s="46"/>
    </row>
    <row r="5103" spans="59:62" x14ac:dyDescent="0.3">
      <c r="BG5103" s="387"/>
      <c r="BH5103" s="386"/>
      <c r="BI5103" s="386"/>
      <c r="BJ5103" s="46"/>
    </row>
    <row r="5104" spans="59:62" x14ac:dyDescent="0.3">
      <c r="BG5104" s="387"/>
      <c r="BH5104" s="386"/>
      <c r="BI5104" s="386"/>
      <c r="BJ5104" s="46"/>
    </row>
    <row r="5105" spans="59:62" x14ac:dyDescent="0.3">
      <c r="BG5105" s="387"/>
      <c r="BH5105" s="386"/>
      <c r="BI5105" s="386"/>
      <c r="BJ5105" s="46"/>
    </row>
    <row r="5106" spans="59:62" x14ac:dyDescent="0.3">
      <c r="BG5106" s="387"/>
      <c r="BH5106" s="386"/>
      <c r="BI5106" s="386"/>
      <c r="BJ5106" s="46"/>
    </row>
    <row r="5107" spans="59:62" x14ac:dyDescent="0.3">
      <c r="BG5107" s="387"/>
      <c r="BH5107" s="386"/>
      <c r="BI5107" s="386"/>
      <c r="BJ5107" s="46"/>
    </row>
    <row r="5108" spans="59:62" x14ac:dyDescent="0.3">
      <c r="BG5108" s="387"/>
      <c r="BH5108" s="386"/>
      <c r="BI5108" s="386"/>
      <c r="BJ5108" s="46"/>
    </row>
    <row r="5109" spans="59:62" x14ac:dyDescent="0.3">
      <c r="BG5109" s="387"/>
      <c r="BH5109" s="386"/>
      <c r="BI5109" s="386"/>
      <c r="BJ5109" s="46"/>
    </row>
    <row r="5110" spans="59:62" x14ac:dyDescent="0.3">
      <c r="BG5110" s="387"/>
      <c r="BH5110" s="386"/>
      <c r="BI5110" s="386"/>
      <c r="BJ5110" s="46"/>
    </row>
    <row r="5111" spans="59:62" x14ac:dyDescent="0.3">
      <c r="BG5111" s="387"/>
      <c r="BH5111" s="386"/>
      <c r="BI5111" s="386"/>
      <c r="BJ5111" s="46"/>
    </row>
    <row r="5112" spans="59:62" x14ac:dyDescent="0.3">
      <c r="BG5112" s="387"/>
      <c r="BH5112" s="386"/>
      <c r="BI5112" s="386"/>
      <c r="BJ5112" s="46"/>
    </row>
    <row r="5113" spans="59:62" x14ac:dyDescent="0.3">
      <c r="BG5113" s="387"/>
      <c r="BH5113" s="386"/>
      <c r="BI5113" s="386"/>
      <c r="BJ5113" s="46"/>
    </row>
    <row r="5114" spans="59:62" x14ac:dyDescent="0.3">
      <c r="BG5114" s="387"/>
      <c r="BH5114" s="386"/>
      <c r="BI5114" s="386"/>
      <c r="BJ5114" s="46"/>
    </row>
    <row r="5115" spans="59:62" x14ac:dyDescent="0.3">
      <c r="BG5115" s="387"/>
      <c r="BH5115" s="386"/>
      <c r="BI5115" s="386"/>
      <c r="BJ5115" s="46"/>
    </row>
    <row r="5116" spans="59:62" x14ac:dyDescent="0.3">
      <c r="BG5116" s="387"/>
      <c r="BH5116" s="386"/>
      <c r="BI5116" s="386"/>
      <c r="BJ5116" s="46"/>
    </row>
    <row r="5117" spans="59:62" x14ac:dyDescent="0.3">
      <c r="BG5117" s="387"/>
      <c r="BH5117" s="386"/>
      <c r="BI5117" s="386"/>
      <c r="BJ5117" s="46"/>
    </row>
    <row r="5118" spans="59:62" x14ac:dyDescent="0.3">
      <c r="BG5118" s="387"/>
      <c r="BH5118" s="386"/>
      <c r="BI5118" s="386"/>
      <c r="BJ5118" s="46"/>
    </row>
    <row r="5119" spans="59:62" x14ac:dyDescent="0.3">
      <c r="BG5119" s="387"/>
      <c r="BH5119" s="386"/>
      <c r="BI5119" s="386"/>
      <c r="BJ5119" s="46"/>
    </row>
    <row r="5120" spans="59:62" x14ac:dyDescent="0.3">
      <c r="BG5120" s="387"/>
      <c r="BH5120" s="386"/>
      <c r="BI5120" s="386"/>
      <c r="BJ5120" s="46"/>
    </row>
    <row r="5121" spans="59:62" x14ac:dyDescent="0.3">
      <c r="BG5121" s="387"/>
      <c r="BH5121" s="386"/>
      <c r="BI5121" s="386"/>
      <c r="BJ5121" s="46"/>
    </row>
    <row r="5122" spans="59:62" x14ac:dyDescent="0.3">
      <c r="BG5122" s="387"/>
      <c r="BH5122" s="386"/>
      <c r="BI5122" s="386"/>
      <c r="BJ5122" s="46"/>
    </row>
    <row r="5123" spans="59:62" x14ac:dyDescent="0.3">
      <c r="BG5123" s="387"/>
      <c r="BH5123" s="386"/>
      <c r="BI5123" s="386"/>
      <c r="BJ5123" s="46"/>
    </row>
    <row r="5124" spans="59:62" x14ac:dyDescent="0.3">
      <c r="BG5124" s="387"/>
      <c r="BH5124" s="386"/>
      <c r="BI5124" s="386"/>
      <c r="BJ5124" s="46"/>
    </row>
    <row r="5125" spans="59:62" x14ac:dyDescent="0.3">
      <c r="BG5125" s="387"/>
      <c r="BH5125" s="386"/>
      <c r="BI5125" s="386"/>
      <c r="BJ5125" s="46"/>
    </row>
    <row r="5126" spans="59:62" x14ac:dyDescent="0.3">
      <c r="BG5126" s="387"/>
      <c r="BH5126" s="386"/>
      <c r="BI5126" s="386"/>
      <c r="BJ5126" s="46"/>
    </row>
    <row r="5127" spans="59:62" x14ac:dyDescent="0.3">
      <c r="BG5127" s="387"/>
      <c r="BH5127" s="386"/>
      <c r="BI5127" s="386"/>
      <c r="BJ5127" s="46"/>
    </row>
    <row r="5128" spans="59:62" x14ac:dyDescent="0.3">
      <c r="BG5128" s="387"/>
      <c r="BH5128" s="386"/>
      <c r="BI5128" s="386"/>
      <c r="BJ5128" s="46"/>
    </row>
    <row r="5129" spans="59:62" x14ac:dyDescent="0.3">
      <c r="BG5129" s="387"/>
      <c r="BH5129" s="386"/>
      <c r="BI5129" s="386"/>
      <c r="BJ5129" s="46"/>
    </row>
    <row r="5130" spans="59:62" x14ac:dyDescent="0.3">
      <c r="BG5130" s="387"/>
      <c r="BH5130" s="386"/>
      <c r="BI5130" s="386"/>
      <c r="BJ5130" s="46"/>
    </row>
    <row r="5131" spans="59:62" x14ac:dyDescent="0.3">
      <c r="BG5131" s="387"/>
      <c r="BH5131" s="386"/>
      <c r="BI5131" s="386"/>
      <c r="BJ5131" s="46"/>
    </row>
    <row r="5132" spans="59:62" x14ac:dyDescent="0.3">
      <c r="BG5132" s="387"/>
      <c r="BH5132" s="386"/>
      <c r="BI5132" s="386"/>
      <c r="BJ5132" s="46"/>
    </row>
    <row r="5133" spans="59:62" x14ac:dyDescent="0.3">
      <c r="BG5133" s="387"/>
      <c r="BH5133" s="386"/>
      <c r="BI5133" s="386"/>
      <c r="BJ5133" s="46"/>
    </row>
    <row r="5134" spans="59:62" x14ac:dyDescent="0.3">
      <c r="BG5134" s="387"/>
      <c r="BH5134" s="386"/>
      <c r="BI5134" s="386"/>
      <c r="BJ5134" s="46"/>
    </row>
    <row r="5135" spans="59:62" x14ac:dyDescent="0.3">
      <c r="BG5135" s="387"/>
      <c r="BH5135" s="386"/>
      <c r="BI5135" s="386"/>
      <c r="BJ5135" s="46"/>
    </row>
    <row r="5136" spans="59:62" x14ac:dyDescent="0.3">
      <c r="BG5136" s="387"/>
      <c r="BH5136" s="386"/>
      <c r="BI5136" s="386"/>
      <c r="BJ5136" s="46"/>
    </row>
    <row r="5137" spans="59:62" x14ac:dyDescent="0.3">
      <c r="BG5137" s="387"/>
      <c r="BH5137" s="386"/>
      <c r="BI5137" s="386"/>
      <c r="BJ5137" s="46"/>
    </row>
    <row r="5138" spans="59:62" x14ac:dyDescent="0.3">
      <c r="BG5138" s="387"/>
      <c r="BH5138" s="386"/>
      <c r="BI5138" s="386"/>
      <c r="BJ5138" s="46"/>
    </row>
    <row r="5139" spans="59:62" x14ac:dyDescent="0.3">
      <c r="BG5139" s="387"/>
      <c r="BH5139" s="386"/>
      <c r="BI5139" s="386"/>
      <c r="BJ5139" s="46"/>
    </row>
    <row r="5140" spans="59:62" x14ac:dyDescent="0.3">
      <c r="BG5140" s="387"/>
      <c r="BH5140" s="386"/>
      <c r="BI5140" s="386"/>
      <c r="BJ5140" s="46"/>
    </row>
    <row r="5141" spans="59:62" x14ac:dyDescent="0.3">
      <c r="BG5141" s="387"/>
      <c r="BH5141" s="386"/>
      <c r="BI5141" s="386"/>
      <c r="BJ5141" s="46"/>
    </row>
    <row r="5142" spans="59:62" x14ac:dyDescent="0.3">
      <c r="BG5142" s="387"/>
      <c r="BH5142" s="386"/>
      <c r="BI5142" s="386"/>
      <c r="BJ5142" s="46"/>
    </row>
    <row r="5143" spans="59:62" x14ac:dyDescent="0.3">
      <c r="BG5143" s="387"/>
      <c r="BH5143" s="386"/>
      <c r="BI5143" s="386"/>
      <c r="BJ5143" s="46"/>
    </row>
    <row r="5144" spans="59:62" x14ac:dyDescent="0.3">
      <c r="BG5144" s="387"/>
      <c r="BH5144" s="386"/>
      <c r="BI5144" s="386"/>
      <c r="BJ5144" s="46"/>
    </row>
    <row r="5145" spans="59:62" x14ac:dyDescent="0.3">
      <c r="BG5145" s="387"/>
      <c r="BH5145" s="386"/>
      <c r="BI5145" s="386"/>
      <c r="BJ5145" s="46"/>
    </row>
    <row r="5146" spans="59:62" x14ac:dyDescent="0.3">
      <c r="BG5146" s="387"/>
      <c r="BH5146" s="386"/>
      <c r="BI5146" s="386"/>
      <c r="BJ5146" s="46"/>
    </row>
    <row r="5147" spans="59:62" x14ac:dyDescent="0.3">
      <c r="BG5147" s="387"/>
      <c r="BH5147" s="386"/>
      <c r="BI5147" s="386"/>
      <c r="BJ5147" s="46"/>
    </row>
    <row r="5148" spans="59:62" x14ac:dyDescent="0.3">
      <c r="BG5148" s="387"/>
      <c r="BH5148" s="386"/>
      <c r="BI5148" s="386"/>
      <c r="BJ5148" s="46"/>
    </row>
    <row r="5149" spans="59:62" x14ac:dyDescent="0.3">
      <c r="BG5149" s="387"/>
      <c r="BH5149" s="386"/>
      <c r="BI5149" s="386"/>
      <c r="BJ5149" s="46"/>
    </row>
    <row r="5150" spans="59:62" x14ac:dyDescent="0.3">
      <c r="BG5150" s="387"/>
      <c r="BH5150" s="386"/>
      <c r="BI5150" s="386"/>
      <c r="BJ5150" s="46"/>
    </row>
    <row r="5151" spans="59:62" x14ac:dyDescent="0.3">
      <c r="BG5151" s="387"/>
      <c r="BH5151" s="386"/>
      <c r="BI5151" s="386"/>
      <c r="BJ5151" s="46"/>
    </row>
    <row r="5152" spans="59:62" x14ac:dyDescent="0.3">
      <c r="BG5152" s="387"/>
      <c r="BH5152" s="386"/>
      <c r="BI5152" s="386"/>
      <c r="BJ5152" s="46"/>
    </row>
    <row r="5153" spans="59:62" x14ac:dyDescent="0.3">
      <c r="BG5153" s="387"/>
      <c r="BH5153" s="386"/>
      <c r="BI5153" s="386"/>
      <c r="BJ5153" s="46"/>
    </row>
    <row r="5154" spans="59:62" x14ac:dyDescent="0.3">
      <c r="BG5154" s="387"/>
      <c r="BH5154" s="386"/>
      <c r="BI5154" s="386"/>
      <c r="BJ5154" s="46"/>
    </row>
    <row r="5155" spans="59:62" x14ac:dyDescent="0.3">
      <c r="BG5155" s="387"/>
      <c r="BH5155" s="386"/>
      <c r="BI5155" s="386"/>
      <c r="BJ5155" s="46"/>
    </row>
    <row r="5156" spans="59:62" x14ac:dyDescent="0.3">
      <c r="BG5156" s="387"/>
      <c r="BH5156" s="386"/>
      <c r="BI5156" s="386"/>
      <c r="BJ5156" s="46"/>
    </row>
    <row r="5157" spans="59:62" x14ac:dyDescent="0.3">
      <c r="BG5157" s="387"/>
      <c r="BH5157" s="386"/>
      <c r="BI5157" s="386"/>
      <c r="BJ5157" s="46"/>
    </row>
    <row r="5158" spans="59:62" x14ac:dyDescent="0.3">
      <c r="BG5158" s="387"/>
      <c r="BH5158" s="386"/>
      <c r="BI5158" s="386"/>
      <c r="BJ5158" s="46"/>
    </row>
    <row r="5159" spans="59:62" x14ac:dyDescent="0.3">
      <c r="BG5159" s="387"/>
      <c r="BH5159" s="386"/>
      <c r="BI5159" s="386"/>
      <c r="BJ5159" s="46"/>
    </row>
    <row r="5160" spans="59:62" x14ac:dyDescent="0.3">
      <c r="BG5160" s="387"/>
      <c r="BH5160" s="386"/>
      <c r="BI5160" s="386"/>
      <c r="BJ5160" s="46"/>
    </row>
    <row r="5161" spans="59:62" x14ac:dyDescent="0.3">
      <c r="BG5161" s="387"/>
      <c r="BH5161" s="386"/>
      <c r="BI5161" s="386"/>
      <c r="BJ5161" s="46"/>
    </row>
    <row r="5162" spans="59:62" x14ac:dyDescent="0.3">
      <c r="BG5162" s="387"/>
      <c r="BH5162" s="386"/>
      <c r="BI5162" s="386"/>
      <c r="BJ5162" s="46"/>
    </row>
    <row r="5163" spans="59:62" x14ac:dyDescent="0.3">
      <c r="BG5163" s="387"/>
      <c r="BH5163" s="386"/>
      <c r="BI5163" s="386"/>
      <c r="BJ5163" s="46"/>
    </row>
    <row r="5164" spans="59:62" x14ac:dyDescent="0.3">
      <c r="BG5164" s="387"/>
      <c r="BH5164" s="386"/>
      <c r="BI5164" s="386"/>
      <c r="BJ5164" s="46"/>
    </row>
    <row r="5165" spans="59:62" x14ac:dyDescent="0.3">
      <c r="BG5165" s="387"/>
      <c r="BH5165" s="386"/>
      <c r="BI5165" s="386"/>
      <c r="BJ5165" s="46"/>
    </row>
    <row r="5166" spans="59:62" x14ac:dyDescent="0.3">
      <c r="BG5166" s="387"/>
      <c r="BH5166" s="386"/>
      <c r="BI5166" s="386"/>
      <c r="BJ5166" s="46"/>
    </row>
    <row r="5167" spans="59:62" x14ac:dyDescent="0.3">
      <c r="BG5167" s="387"/>
      <c r="BH5167" s="386"/>
      <c r="BI5167" s="386"/>
      <c r="BJ5167" s="46"/>
    </row>
    <row r="5168" spans="59:62" x14ac:dyDescent="0.3">
      <c r="BG5168" s="387"/>
      <c r="BH5168" s="386"/>
      <c r="BI5168" s="386"/>
      <c r="BJ5168" s="46"/>
    </row>
    <row r="5169" spans="59:62" x14ac:dyDescent="0.3">
      <c r="BG5169" s="387"/>
      <c r="BH5169" s="386"/>
      <c r="BI5169" s="386"/>
      <c r="BJ5169" s="46"/>
    </row>
    <row r="5170" spans="59:62" x14ac:dyDescent="0.3">
      <c r="BG5170" s="387"/>
      <c r="BH5170" s="386"/>
      <c r="BI5170" s="386"/>
      <c r="BJ5170" s="46"/>
    </row>
    <row r="5171" spans="59:62" x14ac:dyDescent="0.3">
      <c r="BG5171" s="387"/>
      <c r="BH5171" s="386"/>
      <c r="BI5171" s="386"/>
      <c r="BJ5171" s="46"/>
    </row>
    <row r="5172" spans="59:62" x14ac:dyDescent="0.3">
      <c r="BG5172" s="387"/>
      <c r="BH5172" s="386"/>
      <c r="BI5172" s="386"/>
      <c r="BJ5172" s="46"/>
    </row>
    <row r="5173" spans="59:62" x14ac:dyDescent="0.3">
      <c r="BG5173" s="387"/>
      <c r="BH5173" s="386"/>
      <c r="BI5173" s="386"/>
      <c r="BJ5173" s="46"/>
    </row>
    <row r="5174" spans="59:62" x14ac:dyDescent="0.3">
      <c r="BG5174" s="387"/>
      <c r="BH5174" s="386"/>
      <c r="BI5174" s="386"/>
      <c r="BJ5174" s="46"/>
    </row>
    <row r="5175" spans="59:62" x14ac:dyDescent="0.3">
      <c r="BG5175" s="387"/>
      <c r="BH5175" s="386"/>
      <c r="BI5175" s="386"/>
      <c r="BJ5175" s="46"/>
    </row>
    <row r="5176" spans="59:62" x14ac:dyDescent="0.3">
      <c r="BG5176" s="387"/>
      <c r="BH5176" s="386"/>
      <c r="BI5176" s="386"/>
      <c r="BJ5176" s="46"/>
    </row>
    <row r="5177" spans="59:62" x14ac:dyDescent="0.3">
      <c r="BG5177" s="387"/>
      <c r="BH5177" s="386"/>
      <c r="BI5177" s="386"/>
      <c r="BJ5177" s="46"/>
    </row>
    <row r="5178" spans="59:62" x14ac:dyDescent="0.3">
      <c r="BG5178" s="387"/>
      <c r="BH5178" s="386"/>
      <c r="BI5178" s="386"/>
      <c r="BJ5178" s="46"/>
    </row>
    <row r="5179" spans="59:62" x14ac:dyDescent="0.3">
      <c r="BG5179" s="387"/>
      <c r="BH5179" s="386"/>
      <c r="BI5179" s="386"/>
      <c r="BJ5179" s="46"/>
    </row>
    <row r="5180" spans="59:62" x14ac:dyDescent="0.3">
      <c r="BG5180" s="387"/>
      <c r="BH5180" s="386"/>
      <c r="BI5180" s="386"/>
      <c r="BJ5180" s="46"/>
    </row>
    <row r="5181" spans="59:62" x14ac:dyDescent="0.3">
      <c r="BG5181" s="387"/>
      <c r="BH5181" s="386"/>
      <c r="BI5181" s="386"/>
      <c r="BJ5181" s="46"/>
    </row>
    <row r="5182" spans="59:62" x14ac:dyDescent="0.3">
      <c r="BG5182" s="387"/>
      <c r="BH5182" s="386"/>
      <c r="BI5182" s="386"/>
      <c r="BJ5182" s="46"/>
    </row>
    <row r="5183" spans="59:62" x14ac:dyDescent="0.3">
      <c r="BG5183" s="387"/>
      <c r="BH5183" s="386"/>
      <c r="BI5183" s="386"/>
      <c r="BJ5183" s="46"/>
    </row>
    <row r="5184" spans="59:62" x14ac:dyDescent="0.3">
      <c r="BG5184" s="387"/>
      <c r="BH5184" s="386"/>
      <c r="BI5184" s="386"/>
      <c r="BJ5184" s="46"/>
    </row>
    <row r="5185" spans="59:62" x14ac:dyDescent="0.3">
      <c r="BG5185" s="387"/>
      <c r="BH5185" s="386"/>
      <c r="BI5185" s="386"/>
      <c r="BJ5185" s="46"/>
    </row>
    <row r="5186" spans="59:62" x14ac:dyDescent="0.3">
      <c r="BG5186" s="387"/>
      <c r="BH5186" s="386"/>
      <c r="BI5186" s="386"/>
      <c r="BJ5186" s="46"/>
    </row>
    <row r="5187" spans="59:62" x14ac:dyDescent="0.3">
      <c r="BG5187" s="387"/>
      <c r="BH5187" s="386"/>
      <c r="BI5187" s="386"/>
      <c r="BJ5187" s="46"/>
    </row>
    <row r="5188" spans="59:62" x14ac:dyDescent="0.3">
      <c r="BG5188" s="387"/>
      <c r="BH5188" s="386"/>
      <c r="BI5188" s="386"/>
      <c r="BJ5188" s="46"/>
    </row>
    <row r="5189" spans="59:62" x14ac:dyDescent="0.3">
      <c r="BG5189" s="387"/>
      <c r="BH5189" s="386"/>
      <c r="BI5189" s="386"/>
      <c r="BJ5189" s="46"/>
    </row>
    <row r="5190" spans="59:62" x14ac:dyDescent="0.3">
      <c r="BG5190" s="387"/>
      <c r="BH5190" s="386"/>
      <c r="BI5190" s="386"/>
      <c r="BJ5190" s="46"/>
    </row>
    <row r="5191" spans="59:62" x14ac:dyDescent="0.3">
      <c r="BG5191" s="387"/>
      <c r="BH5191" s="386"/>
      <c r="BI5191" s="386"/>
      <c r="BJ5191" s="46"/>
    </row>
    <row r="5192" spans="59:62" x14ac:dyDescent="0.3">
      <c r="BG5192" s="387"/>
      <c r="BH5192" s="386"/>
      <c r="BI5192" s="386"/>
      <c r="BJ5192" s="46"/>
    </row>
    <row r="5193" spans="59:62" x14ac:dyDescent="0.3">
      <c r="BG5193" s="387"/>
      <c r="BH5193" s="386"/>
      <c r="BI5193" s="386"/>
      <c r="BJ5193" s="46"/>
    </row>
    <row r="5194" spans="59:62" x14ac:dyDescent="0.3">
      <c r="BG5194" s="387"/>
      <c r="BH5194" s="386"/>
      <c r="BI5194" s="386"/>
      <c r="BJ5194" s="46"/>
    </row>
    <row r="5195" spans="59:62" x14ac:dyDescent="0.3">
      <c r="BG5195" s="387"/>
      <c r="BH5195" s="386"/>
      <c r="BI5195" s="386"/>
      <c r="BJ5195" s="46"/>
    </row>
    <row r="5196" spans="59:62" x14ac:dyDescent="0.3">
      <c r="BG5196" s="387"/>
      <c r="BH5196" s="386"/>
      <c r="BI5196" s="386"/>
      <c r="BJ5196" s="46"/>
    </row>
    <row r="5197" spans="59:62" x14ac:dyDescent="0.3">
      <c r="BG5197" s="387"/>
      <c r="BH5197" s="386"/>
      <c r="BI5197" s="386"/>
      <c r="BJ5197" s="46"/>
    </row>
    <row r="5198" spans="59:62" x14ac:dyDescent="0.3">
      <c r="BG5198" s="387"/>
      <c r="BH5198" s="386"/>
      <c r="BI5198" s="386"/>
      <c r="BJ5198" s="46"/>
    </row>
    <row r="5199" spans="59:62" x14ac:dyDescent="0.3">
      <c r="BG5199" s="387"/>
      <c r="BH5199" s="386"/>
      <c r="BI5199" s="386"/>
      <c r="BJ5199" s="46"/>
    </row>
    <row r="5200" spans="59:62" x14ac:dyDescent="0.3">
      <c r="BG5200" s="387"/>
      <c r="BH5200" s="386"/>
      <c r="BI5200" s="386"/>
      <c r="BJ5200" s="46"/>
    </row>
    <row r="5201" spans="59:62" x14ac:dyDescent="0.3">
      <c r="BG5201" s="387"/>
      <c r="BH5201" s="386"/>
      <c r="BI5201" s="386"/>
      <c r="BJ5201" s="46"/>
    </row>
    <row r="5202" spans="59:62" x14ac:dyDescent="0.3">
      <c r="BG5202" s="387"/>
      <c r="BH5202" s="386"/>
      <c r="BI5202" s="386"/>
      <c r="BJ5202" s="46"/>
    </row>
    <row r="5203" spans="59:62" x14ac:dyDescent="0.3">
      <c r="BG5203" s="387"/>
      <c r="BH5203" s="386"/>
      <c r="BI5203" s="386"/>
      <c r="BJ5203" s="46"/>
    </row>
    <row r="5204" spans="59:62" x14ac:dyDescent="0.3">
      <c r="BG5204" s="387"/>
      <c r="BH5204" s="386"/>
      <c r="BI5204" s="386"/>
      <c r="BJ5204" s="46"/>
    </row>
    <row r="5205" spans="59:62" x14ac:dyDescent="0.3">
      <c r="BG5205" s="387"/>
      <c r="BH5205" s="386"/>
      <c r="BI5205" s="386"/>
      <c r="BJ5205" s="46"/>
    </row>
    <row r="5206" spans="59:62" x14ac:dyDescent="0.3">
      <c r="BG5206" s="387"/>
      <c r="BH5206" s="386"/>
      <c r="BI5206" s="386"/>
      <c r="BJ5206" s="46"/>
    </row>
    <row r="5207" spans="59:62" x14ac:dyDescent="0.3">
      <c r="BG5207" s="387"/>
      <c r="BH5207" s="386"/>
      <c r="BI5207" s="386"/>
      <c r="BJ5207" s="46"/>
    </row>
    <row r="5208" spans="59:62" x14ac:dyDescent="0.3">
      <c r="BG5208" s="387"/>
      <c r="BH5208" s="386"/>
      <c r="BI5208" s="386"/>
      <c r="BJ5208" s="46"/>
    </row>
    <row r="5209" spans="59:62" x14ac:dyDescent="0.3">
      <c r="BG5209" s="387"/>
      <c r="BH5209" s="386"/>
      <c r="BI5209" s="386"/>
      <c r="BJ5209" s="46"/>
    </row>
    <row r="5210" spans="59:62" x14ac:dyDescent="0.3">
      <c r="BG5210" s="387"/>
      <c r="BH5210" s="386"/>
      <c r="BI5210" s="386"/>
      <c r="BJ5210" s="46"/>
    </row>
    <row r="5211" spans="59:62" x14ac:dyDescent="0.3">
      <c r="BG5211" s="387"/>
      <c r="BH5211" s="386"/>
      <c r="BI5211" s="386"/>
      <c r="BJ5211" s="46"/>
    </row>
    <row r="5212" spans="59:62" x14ac:dyDescent="0.3">
      <c r="BG5212" s="387"/>
      <c r="BH5212" s="386"/>
      <c r="BI5212" s="386"/>
      <c r="BJ5212" s="46"/>
    </row>
    <row r="5213" spans="59:62" x14ac:dyDescent="0.3">
      <c r="BG5213" s="387"/>
      <c r="BH5213" s="386"/>
      <c r="BI5213" s="386"/>
      <c r="BJ5213" s="46"/>
    </row>
    <row r="5214" spans="59:62" x14ac:dyDescent="0.3">
      <c r="BG5214" s="387"/>
      <c r="BH5214" s="386"/>
      <c r="BI5214" s="386"/>
      <c r="BJ5214" s="46"/>
    </row>
    <row r="5215" spans="59:62" x14ac:dyDescent="0.3">
      <c r="BG5215" s="387"/>
      <c r="BH5215" s="386"/>
      <c r="BI5215" s="386"/>
      <c r="BJ5215" s="46"/>
    </row>
    <row r="5216" spans="59:62" x14ac:dyDescent="0.3">
      <c r="BG5216" s="387"/>
      <c r="BH5216" s="386"/>
      <c r="BI5216" s="386"/>
      <c r="BJ5216" s="46"/>
    </row>
    <row r="5217" spans="59:62" x14ac:dyDescent="0.3">
      <c r="BG5217" s="387"/>
      <c r="BH5217" s="386"/>
      <c r="BI5217" s="386"/>
      <c r="BJ5217" s="46"/>
    </row>
    <row r="5218" spans="59:62" x14ac:dyDescent="0.3">
      <c r="BG5218" s="387"/>
      <c r="BH5218" s="386"/>
      <c r="BI5218" s="386"/>
      <c r="BJ5218" s="46"/>
    </row>
    <row r="5219" spans="59:62" x14ac:dyDescent="0.3">
      <c r="BG5219" s="387"/>
      <c r="BH5219" s="386"/>
      <c r="BI5219" s="386"/>
      <c r="BJ5219" s="46"/>
    </row>
    <row r="5220" spans="59:62" x14ac:dyDescent="0.3">
      <c r="BG5220" s="387"/>
      <c r="BH5220" s="386"/>
      <c r="BI5220" s="386"/>
      <c r="BJ5220" s="46"/>
    </row>
    <row r="5221" spans="59:62" x14ac:dyDescent="0.3">
      <c r="BG5221" s="387"/>
      <c r="BH5221" s="386"/>
      <c r="BI5221" s="386"/>
      <c r="BJ5221" s="46"/>
    </row>
    <row r="5222" spans="59:62" x14ac:dyDescent="0.3">
      <c r="BG5222" s="387"/>
      <c r="BH5222" s="386"/>
      <c r="BI5222" s="386"/>
      <c r="BJ5222" s="46"/>
    </row>
    <row r="5223" spans="59:62" x14ac:dyDescent="0.3">
      <c r="BG5223" s="387"/>
      <c r="BH5223" s="386"/>
      <c r="BI5223" s="386"/>
      <c r="BJ5223" s="46"/>
    </row>
    <row r="5224" spans="59:62" x14ac:dyDescent="0.3">
      <c r="BG5224" s="387"/>
      <c r="BH5224" s="386"/>
      <c r="BI5224" s="386"/>
      <c r="BJ5224" s="46"/>
    </row>
    <row r="5225" spans="59:62" x14ac:dyDescent="0.3">
      <c r="BG5225" s="387"/>
      <c r="BH5225" s="386"/>
      <c r="BI5225" s="386"/>
      <c r="BJ5225" s="46"/>
    </row>
    <row r="5226" spans="59:62" x14ac:dyDescent="0.3">
      <c r="BG5226" s="387"/>
      <c r="BH5226" s="386"/>
      <c r="BI5226" s="386"/>
      <c r="BJ5226" s="46"/>
    </row>
    <row r="5227" spans="59:62" x14ac:dyDescent="0.3">
      <c r="BG5227" s="387"/>
      <c r="BH5227" s="386"/>
      <c r="BI5227" s="386"/>
      <c r="BJ5227" s="46"/>
    </row>
    <row r="5228" spans="59:62" x14ac:dyDescent="0.3">
      <c r="BG5228" s="387"/>
      <c r="BH5228" s="386"/>
      <c r="BI5228" s="386"/>
      <c r="BJ5228" s="46"/>
    </row>
    <row r="5229" spans="59:62" x14ac:dyDescent="0.3">
      <c r="BG5229" s="387"/>
      <c r="BH5229" s="386"/>
      <c r="BI5229" s="386"/>
      <c r="BJ5229" s="46"/>
    </row>
    <row r="5230" spans="59:62" x14ac:dyDescent="0.3">
      <c r="BG5230" s="387"/>
      <c r="BH5230" s="386"/>
      <c r="BI5230" s="386"/>
      <c r="BJ5230" s="46"/>
    </row>
    <row r="5231" spans="59:62" x14ac:dyDescent="0.3">
      <c r="BG5231" s="387"/>
      <c r="BH5231" s="386"/>
      <c r="BI5231" s="386"/>
      <c r="BJ5231" s="46"/>
    </row>
    <row r="5232" spans="59:62" x14ac:dyDescent="0.3">
      <c r="BG5232" s="387"/>
      <c r="BH5232" s="386"/>
      <c r="BI5232" s="386"/>
      <c r="BJ5232" s="46"/>
    </row>
    <row r="5233" spans="59:62" x14ac:dyDescent="0.3">
      <c r="BG5233" s="387"/>
      <c r="BH5233" s="386"/>
      <c r="BI5233" s="386"/>
      <c r="BJ5233" s="46"/>
    </row>
    <row r="5234" spans="59:62" x14ac:dyDescent="0.3">
      <c r="BG5234" s="387"/>
      <c r="BH5234" s="386"/>
      <c r="BI5234" s="386"/>
      <c r="BJ5234" s="46"/>
    </row>
    <row r="5235" spans="59:62" x14ac:dyDescent="0.3">
      <c r="BG5235" s="387"/>
      <c r="BH5235" s="386"/>
      <c r="BI5235" s="386"/>
      <c r="BJ5235" s="46"/>
    </row>
    <row r="5236" spans="59:62" x14ac:dyDescent="0.3">
      <c r="BG5236" s="387"/>
      <c r="BH5236" s="386"/>
      <c r="BI5236" s="386"/>
      <c r="BJ5236" s="46"/>
    </row>
    <row r="5237" spans="59:62" x14ac:dyDescent="0.3">
      <c r="BG5237" s="387"/>
      <c r="BH5237" s="386"/>
      <c r="BI5237" s="386"/>
      <c r="BJ5237" s="46"/>
    </row>
    <row r="5238" spans="59:62" x14ac:dyDescent="0.3">
      <c r="BG5238" s="387"/>
      <c r="BH5238" s="386"/>
      <c r="BI5238" s="386"/>
      <c r="BJ5238" s="46"/>
    </row>
    <row r="5239" spans="59:62" x14ac:dyDescent="0.3">
      <c r="BG5239" s="387"/>
      <c r="BH5239" s="386"/>
      <c r="BI5239" s="386"/>
      <c r="BJ5239" s="46"/>
    </row>
    <row r="5240" spans="59:62" x14ac:dyDescent="0.3">
      <c r="BG5240" s="387"/>
      <c r="BH5240" s="386"/>
      <c r="BI5240" s="386"/>
      <c r="BJ5240" s="46"/>
    </row>
    <row r="5241" spans="59:62" x14ac:dyDescent="0.3">
      <c r="BG5241" s="387"/>
      <c r="BH5241" s="386"/>
      <c r="BI5241" s="386"/>
      <c r="BJ5241" s="46"/>
    </row>
    <row r="5242" spans="59:62" x14ac:dyDescent="0.3">
      <c r="BG5242" s="387"/>
      <c r="BH5242" s="386"/>
      <c r="BI5242" s="386"/>
      <c r="BJ5242" s="46"/>
    </row>
    <row r="5243" spans="59:62" x14ac:dyDescent="0.3">
      <c r="BG5243" s="387"/>
      <c r="BH5243" s="386"/>
      <c r="BI5243" s="386"/>
      <c r="BJ5243" s="46"/>
    </row>
    <row r="5244" spans="59:62" x14ac:dyDescent="0.3">
      <c r="BG5244" s="387"/>
      <c r="BH5244" s="386"/>
      <c r="BI5244" s="386"/>
      <c r="BJ5244" s="46"/>
    </row>
    <row r="5245" spans="59:62" x14ac:dyDescent="0.3">
      <c r="BG5245" s="387"/>
      <c r="BH5245" s="386"/>
      <c r="BI5245" s="386"/>
      <c r="BJ5245" s="46"/>
    </row>
    <row r="5246" spans="59:62" x14ac:dyDescent="0.3">
      <c r="BG5246" s="387"/>
      <c r="BH5246" s="386"/>
      <c r="BI5246" s="386"/>
      <c r="BJ5246" s="46"/>
    </row>
    <row r="5247" spans="59:62" x14ac:dyDescent="0.3">
      <c r="BG5247" s="387"/>
      <c r="BH5247" s="386"/>
      <c r="BI5247" s="386"/>
      <c r="BJ5247" s="46"/>
    </row>
    <row r="5248" spans="59:62" x14ac:dyDescent="0.3">
      <c r="BG5248" s="387"/>
      <c r="BH5248" s="386"/>
      <c r="BI5248" s="386"/>
      <c r="BJ5248" s="46"/>
    </row>
    <row r="5249" spans="59:62" x14ac:dyDescent="0.3">
      <c r="BG5249" s="387"/>
      <c r="BH5249" s="386"/>
      <c r="BI5249" s="386"/>
      <c r="BJ5249" s="46"/>
    </row>
    <row r="5250" spans="59:62" x14ac:dyDescent="0.3">
      <c r="BG5250" s="387"/>
      <c r="BH5250" s="386"/>
      <c r="BI5250" s="386"/>
      <c r="BJ5250" s="46"/>
    </row>
    <row r="5251" spans="59:62" x14ac:dyDescent="0.3">
      <c r="BG5251" s="387"/>
      <c r="BH5251" s="386"/>
      <c r="BI5251" s="386"/>
      <c r="BJ5251" s="46"/>
    </row>
    <row r="5252" spans="59:62" x14ac:dyDescent="0.3">
      <c r="BG5252" s="387"/>
      <c r="BH5252" s="386"/>
      <c r="BI5252" s="386"/>
      <c r="BJ5252" s="46"/>
    </row>
    <row r="5253" spans="59:62" x14ac:dyDescent="0.3">
      <c r="BG5253" s="387"/>
      <c r="BH5253" s="386"/>
      <c r="BI5253" s="386"/>
      <c r="BJ5253" s="46"/>
    </row>
    <row r="5254" spans="59:62" x14ac:dyDescent="0.3">
      <c r="BG5254" s="387"/>
      <c r="BH5254" s="386"/>
      <c r="BI5254" s="386"/>
      <c r="BJ5254" s="46"/>
    </row>
    <row r="5255" spans="59:62" x14ac:dyDescent="0.3">
      <c r="BG5255" s="387"/>
      <c r="BH5255" s="386"/>
      <c r="BI5255" s="386"/>
      <c r="BJ5255" s="46"/>
    </row>
    <row r="5256" spans="59:62" x14ac:dyDescent="0.3">
      <c r="BG5256" s="387"/>
      <c r="BH5256" s="386"/>
      <c r="BI5256" s="386"/>
      <c r="BJ5256" s="46"/>
    </row>
    <row r="5257" spans="59:62" x14ac:dyDescent="0.3">
      <c r="BG5257" s="387"/>
      <c r="BH5257" s="386"/>
      <c r="BI5257" s="386"/>
      <c r="BJ5257" s="46"/>
    </row>
    <row r="5258" spans="59:62" x14ac:dyDescent="0.3">
      <c r="BG5258" s="387"/>
      <c r="BH5258" s="386"/>
      <c r="BI5258" s="386"/>
      <c r="BJ5258" s="46"/>
    </row>
    <row r="5259" spans="59:62" x14ac:dyDescent="0.3">
      <c r="BG5259" s="387"/>
      <c r="BH5259" s="386"/>
      <c r="BI5259" s="386"/>
      <c r="BJ5259" s="46"/>
    </row>
    <row r="5260" spans="59:62" x14ac:dyDescent="0.3">
      <c r="BG5260" s="387"/>
      <c r="BH5260" s="386"/>
      <c r="BI5260" s="386"/>
      <c r="BJ5260" s="46"/>
    </row>
    <row r="5261" spans="59:62" x14ac:dyDescent="0.3">
      <c r="BG5261" s="387"/>
      <c r="BH5261" s="386"/>
      <c r="BI5261" s="386"/>
      <c r="BJ5261" s="46"/>
    </row>
    <row r="5262" spans="59:62" x14ac:dyDescent="0.3">
      <c r="BG5262" s="387"/>
      <c r="BH5262" s="386"/>
      <c r="BI5262" s="386"/>
      <c r="BJ5262" s="46"/>
    </row>
    <row r="5263" spans="59:62" x14ac:dyDescent="0.3">
      <c r="BG5263" s="387"/>
      <c r="BH5263" s="386"/>
      <c r="BI5263" s="386"/>
      <c r="BJ5263" s="46"/>
    </row>
    <row r="5264" spans="59:62" x14ac:dyDescent="0.3">
      <c r="BG5264" s="387"/>
      <c r="BH5264" s="386"/>
      <c r="BI5264" s="386"/>
      <c r="BJ5264" s="46"/>
    </row>
    <row r="5265" spans="59:62" x14ac:dyDescent="0.3">
      <c r="BG5265" s="387"/>
      <c r="BH5265" s="386"/>
      <c r="BI5265" s="386"/>
      <c r="BJ5265" s="46"/>
    </row>
    <row r="5266" spans="59:62" x14ac:dyDescent="0.3">
      <c r="BG5266" s="387"/>
      <c r="BH5266" s="386"/>
      <c r="BI5266" s="386"/>
      <c r="BJ5266" s="46"/>
    </row>
    <row r="5267" spans="59:62" x14ac:dyDescent="0.3">
      <c r="BG5267" s="387"/>
      <c r="BH5267" s="386"/>
      <c r="BI5267" s="386"/>
      <c r="BJ5267" s="46"/>
    </row>
    <row r="5268" spans="59:62" x14ac:dyDescent="0.3">
      <c r="BG5268" s="387"/>
      <c r="BH5268" s="386"/>
      <c r="BI5268" s="386"/>
      <c r="BJ5268" s="46"/>
    </row>
    <row r="5269" spans="59:62" x14ac:dyDescent="0.3">
      <c r="BG5269" s="387"/>
      <c r="BH5269" s="386"/>
      <c r="BI5269" s="386"/>
      <c r="BJ5269" s="46"/>
    </row>
    <row r="5270" spans="59:62" x14ac:dyDescent="0.3">
      <c r="BG5270" s="387"/>
      <c r="BH5270" s="386"/>
      <c r="BI5270" s="386"/>
      <c r="BJ5270" s="46"/>
    </row>
    <row r="5271" spans="59:62" x14ac:dyDescent="0.3">
      <c r="BG5271" s="387"/>
      <c r="BH5271" s="386"/>
      <c r="BI5271" s="386"/>
      <c r="BJ5271" s="46"/>
    </row>
    <row r="5272" spans="59:62" x14ac:dyDescent="0.3">
      <c r="BG5272" s="387"/>
      <c r="BH5272" s="386"/>
      <c r="BI5272" s="386"/>
      <c r="BJ5272" s="46"/>
    </row>
    <row r="5273" spans="59:62" x14ac:dyDescent="0.3">
      <c r="BG5273" s="387"/>
      <c r="BH5273" s="386"/>
      <c r="BI5273" s="386"/>
      <c r="BJ5273" s="46"/>
    </row>
    <row r="5274" spans="59:62" x14ac:dyDescent="0.3">
      <c r="BG5274" s="387"/>
      <c r="BH5274" s="386"/>
      <c r="BI5274" s="386"/>
      <c r="BJ5274" s="46"/>
    </row>
    <row r="5275" spans="59:62" x14ac:dyDescent="0.3">
      <c r="BG5275" s="387"/>
      <c r="BH5275" s="386"/>
      <c r="BI5275" s="386"/>
      <c r="BJ5275" s="46"/>
    </row>
    <row r="5276" spans="59:62" x14ac:dyDescent="0.3">
      <c r="BG5276" s="387"/>
      <c r="BH5276" s="386"/>
      <c r="BI5276" s="386"/>
      <c r="BJ5276" s="46"/>
    </row>
    <row r="5277" spans="59:62" x14ac:dyDescent="0.3">
      <c r="BG5277" s="387"/>
      <c r="BH5277" s="386"/>
      <c r="BI5277" s="386"/>
      <c r="BJ5277" s="46"/>
    </row>
    <row r="5278" spans="59:62" x14ac:dyDescent="0.3">
      <c r="BG5278" s="387"/>
      <c r="BH5278" s="386"/>
      <c r="BI5278" s="386"/>
      <c r="BJ5278" s="46"/>
    </row>
    <row r="5279" spans="59:62" x14ac:dyDescent="0.3">
      <c r="BG5279" s="387"/>
      <c r="BH5279" s="386"/>
      <c r="BI5279" s="386"/>
      <c r="BJ5279" s="46"/>
    </row>
    <row r="5280" spans="59:62" x14ac:dyDescent="0.3">
      <c r="BG5280" s="387"/>
      <c r="BH5280" s="386"/>
      <c r="BI5280" s="386"/>
      <c r="BJ5280" s="46"/>
    </row>
    <row r="5281" spans="59:62" x14ac:dyDescent="0.3">
      <c r="BG5281" s="387"/>
      <c r="BH5281" s="386"/>
      <c r="BI5281" s="386"/>
      <c r="BJ5281" s="46"/>
    </row>
    <row r="5282" spans="59:62" x14ac:dyDescent="0.3">
      <c r="BG5282" s="387"/>
      <c r="BH5282" s="386"/>
      <c r="BI5282" s="386"/>
      <c r="BJ5282" s="46"/>
    </row>
    <row r="5283" spans="59:62" x14ac:dyDescent="0.3">
      <c r="BG5283" s="387"/>
      <c r="BH5283" s="386"/>
      <c r="BI5283" s="386"/>
      <c r="BJ5283" s="46"/>
    </row>
    <row r="5284" spans="59:62" x14ac:dyDescent="0.3">
      <c r="BG5284" s="387"/>
      <c r="BH5284" s="386"/>
      <c r="BI5284" s="386"/>
      <c r="BJ5284" s="46"/>
    </row>
    <row r="5285" spans="59:62" x14ac:dyDescent="0.3">
      <c r="BG5285" s="387"/>
      <c r="BH5285" s="386"/>
      <c r="BI5285" s="386"/>
      <c r="BJ5285" s="46"/>
    </row>
    <row r="5286" spans="59:62" x14ac:dyDescent="0.3">
      <c r="BG5286" s="387"/>
      <c r="BH5286" s="386"/>
      <c r="BI5286" s="386"/>
      <c r="BJ5286" s="46"/>
    </row>
    <row r="5287" spans="59:62" x14ac:dyDescent="0.3">
      <c r="BG5287" s="387"/>
      <c r="BH5287" s="386"/>
      <c r="BI5287" s="386"/>
      <c r="BJ5287" s="46"/>
    </row>
    <row r="5288" spans="59:62" x14ac:dyDescent="0.3">
      <c r="BG5288" s="387"/>
      <c r="BH5288" s="386"/>
      <c r="BI5288" s="386"/>
      <c r="BJ5288" s="46"/>
    </row>
    <row r="5289" spans="59:62" x14ac:dyDescent="0.3">
      <c r="BG5289" s="387"/>
      <c r="BH5289" s="386"/>
      <c r="BI5289" s="386"/>
      <c r="BJ5289" s="46"/>
    </row>
    <row r="5290" spans="59:62" x14ac:dyDescent="0.3">
      <c r="BG5290" s="387"/>
      <c r="BH5290" s="386"/>
      <c r="BI5290" s="386"/>
      <c r="BJ5290" s="46"/>
    </row>
    <row r="5291" spans="59:62" x14ac:dyDescent="0.3">
      <c r="BG5291" s="387"/>
      <c r="BH5291" s="386"/>
      <c r="BI5291" s="386"/>
      <c r="BJ5291" s="46"/>
    </row>
    <row r="5292" spans="59:62" x14ac:dyDescent="0.3">
      <c r="BG5292" s="387"/>
      <c r="BH5292" s="386"/>
      <c r="BI5292" s="386"/>
      <c r="BJ5292" s="46"/>
    </row>
    <row r="5293" spans="59:62" x14ac:dyDescent="0.3">
      <c r="BG5293" s="387"/>
      <c r="BH5293" s="386"/>
      <c r="BI5293" s="386"/>
      <c r="BJ5293" s="46"/>
    </row>
    <row r="5294" spans="59:62" x14ac:dyDescent="0.3">
      <c r="BG5294" s="387"/>
      <c r="BH5294" s="386"/>
      <c r="BI5294" s="386"/>
      <c r="BJ5294" s="46"/>
    </row>
    <row r="5295" spans="59:62" x14ac:dyDescent="0.3">
      <c r="BG5295" s="387"/>
      <c r="BH5295" s="386"/>
      <c r="BI5295" s="386"/>
      <c r="BJ5295" s="46"/>
    </row>
    <row r="5296" spans="59:62" x14ac:dyDescent="0.3">
      <c r="BG5296" s="387"/>
      <c r="BH5296" s="386"/>
      <c r="BI5296" s="386"/>
      <c r="BJ5296" s="46"/>
    </row>
    <row r="5297" spans="59:62" x14ac:dyDescent="0.3">
      <c r="BG5297" s="387"/>
      <c r="BH5297" s="386"/>
      <c r="BI5297" s="386"/>
      <c r="BJ5297" s="46"/>
    </row>
    <row r="5298" spans="59:62" x14ac:dyDescent="0.3">
      <c r="BG5298" s="387"/>
      <c r="BH5298" s="386"/>
      <c r="BI5298" s="386"/>
      <c r="BJ5298" s="46"/>
    </row>
    <row r="5299" spans="59:62" x14ac:dyDescent="0.3">
      <c r="BG5299" s="387"/>
      <c r="BH5299" s="386"/>
      <c r="BI5299" s="386"/>
      <c r="BJ5299" s="46"/>
    </row>
    <row r="5300" spans="59:62" x14ac:dyDescent="0.3">
      <c r="BG5300" s="387"/>
      <c r="BH5300" s="386"/>
      <c r="BI5300" s="386"/>
      <c r="BJ5300" s="46"/>
    </row>
    <row r="5301" spans="59:62" x14ac:dyDescent="0.3">
      <c r="BG5301" s="387"/>
      <c r="BH5301" s="386"/>
      <c r="BI5301" s="386"/>
      <c r="BJ5301" s="46"/>
    </row>
    <row r="5302" spans="59:62" x14ac:dyDescent="0.3">
      <c r="BG5302" s="387"/>
      <c r="BH5302" s="386"/>
      <c r="BI5302" s="386"/>
      <c r="BJ5302" s="46"/>
    </row>
    <row r="5303" spans="59:62" x14ac:dyDescent="0.3">
      <c r="BG5303" s="387"/>
      <c r="BH5303" s="386"/>
      <c r="BI5303" s="386"/>
      <c r="BJ5303" s="46"/>
    </row>
    <row r="5304" spans="59:62" x14ac:dyDescent="0.3">
      <c r="BG5304" s="387"/>
      <c r="BH5304" s="386"/>
      <c r="BI5304" s="386"/>
      <c r="BJ5304" s="46"/>
    </row>
    <row r="5305" spans="59:62" x14ac:dyDescent="0.3">
      <c r="BG5305" s="387"/>
      <c r="BH5305" s="386"/>
      <c r="BI5305" s="386"/>
      <c r="BJ5305" s="46"/>
    </row>
    <row r="5306" spans="59:62" x14ac:dyDescent="0.3">
      <c r="BG5306" s="387"/>
      <c r="BH5306" s="386"/>
      <c r="BI5306" s="386"/>
      <c r="BJ5306" s="46"/>
    </row>
    <row r="5307" spans="59:62" x14ac:dyDescent="0.3">
      <c r="BG5307" s="387"/>
      <c r="BH5307" s="386"/>
      <c r="BI5307" s="386"/>
      <c r="BJ5307" s="46"/>
    </row>
    <row r="5308" spans="59:62" x14ac:dyDescent="0.3">
      <c r="BG5308" s="387"/>
      <c r="BH5308" s="386"/>
      <c r="BI5308" s="386"/>
      <c r="BJ5308" s="46"/>
    </row>
    <row r="5309" spans="59:62" x14ac:dyDescent="0.3">
      <c r="BG5309" s="387"/>
      <c r="BH5309" s="386"/>
      <c r="BI5309" s="386"/>
      <c r="BJ5309" s="46"/>
    </row>
    <row r="5310" spans="59:62" x14ac:dyDescent="0.3">
      <c r="BG5310" s="387"/>
      <c r="BH5310" s="386"/>
      <c r="BI5310" s="386"/>
      <c r="BJ5310" s="46"/>
    </row>
    <row r="5311" spans="59:62" x14ac:dyDescent="0.3">
      <c r="BG5311" s="387"/>
      <c r="BH5311" s="386"/>
      <c r="BI5311" s="386"/>
      <c r="BJ5311" s="46"/>
    </row>
    <row r="5312" spans="59:62" x14ac:dyDescent="0.3">
      <c r="BG5312" s="387"/>
      <c r="BH5312" s="386"/>
      <c r="BI5312" s="386"/>
      <c r="BJ5312" s="46"/>
    </row>
    <row r="5313" spans="59:62" x14ac:dyDescent="0.3">
      <c r="BG5313" s="387"/>
      <c r="BH5313" s="386"/>
      <c r="BI5313" s="386"/>
      <c r="BJ5313" s="46"/>
    </row>
    <row r="5314" spans="59:62" x14ac:dyDescent="0.3">
      <c r="BG5314" s="387"/>
      <c r="BH5314" s="386"/>
      <c r="BI5314" s="386"/>
      <c r="BJ5314" s="46"/>
    </row>
    <row r="5315" spans="59:62" x14ac:dyDescent="0.3">
      <c r="BG5315" s="387"/>
      <c r="BH5315" s="386"/>
      <c r="BI5315" s="386"/>
      <c r="BJ5315" s="46"/>
    </row>
    <row r="5316" spans="59:62" x14ac:dyDescent="0.3">
      <c r="BG5316" s="387"/>
      <c r="BH5316" s="386"/>
      <c r="BI5316" s="386"/>
      <c r="BJ5316" s="46"/>
    </row>
    <row r="5317" spans="59:62" x14ac:dyDescent="0.3">
      <c r="BG5317" s="387"/>
      <c r="BH5317" s="386"/>
      <c r="BI5317" s="386"/>
      <c r="BJ5317" s="46"/>
    </row>
    <row r="5318" spans="59:62" x14ac:dyDescent="0.3">
      <c r="BG5318" s="387"/>
      <c r="BH5318" s="386"/>
      <c r="BI5318" s="386"/>
      <c r="BJ5318" s="46"/>
    </row>
    <row r="5319" spans="59:62" x14ac:dyDescent="0.3">
      <c r="BG5319" s="387"/>
      <c r="BH5319" s="386"/>
      <c r="BI5319" s="386"/>
      <c r="BJ5319" s="46"/>
    </row>
    <row r="5320" spans="59:62" x14ac:dyDescent="0.3">
      <c r="BG5320" s="387"/>
      <c r="BH5320" s="386"/>
      <c r="BI5320" s="386"/>
      <c r="BJ5320" s="46"/>
    </row>
    <row r="5321" spans="59:62" x14ac:dyDescent="0.3">
      <c r="BG5321" s="387"/>
      <c r="BH5321" s="386"/>
      <c r="BI5321" s="386"/>
      <c r="BJ5321" s="46"/>
    </row>
    <row r="5322" spans="59:62" x14ac:dyDescent="0.3">
      <c r="BG5322" s="387"/>
      <c r="BH5322" s="386"/>
      <c r="BI5322" s="386"/>
      <c r="BJ5322" s="46"/>
    </row>
    <row r="5323" spans="59:62" x14ac:dyDescent="0.3">
      <c r="BG5323" s="387"/>
      <c r="BH5323" s="386"/>
      <c r="BI5323" s="386"/>
      <c r="BJ5323" s="46"/>
    </row>
    <row r="5324" spans="59:62" x14ac:dyDescent="0.3">
      <c r="BG5324" s="387"/>
      <c r="BH5324" s="386"/>
      <c r="BI5324" s="386"/>
      <c r="BJ5324" s="46"/>
    </row>
    <row r="5325" spans="59:62" x14ac:dyDescent="0.3">
      <c r="BG5325" s="387"/>
      <c r="BH5325" s="386"/>
      <c r="BI5325" s="386"/>
      <c r="BJ5325" s="46"/>
    </row>
    <row r="5326" spans="59:62" x14ac:dyDescent="0.3">
      <c r="BG5326" s="387"/>
      <c r="BH5326" s="386"/>
      <c r="BI5326" s="386"/>
      <c r="BJ5326" s="46"/>
    </row>
    <row r="5327" spans="59:62" x14ac:dyDescent="0.3">
      <c r="BG5327" s="387"/>
      <c r="BH5327" s="386"/>
      <c r="BI5327" s="386"/>
      <c r="BJ5327" s="46"/>
    </row>
    <row r="5328" spans="59:62" x14ac:dyDescent="0.3">
      <c r="BG5328" s="387"/>
      <c r="BH5328" s="386"/>
      <c r="BI5328" s="386"/>
      <c r="BJ5328" s="46"/>
    </row>
    <row r="5329" spans="59:62" x14ac:dyDescent="0.3">
      <c r="BG5329" s="387"/>
      <c r="BH5329" s="386"/>
      <c r="BI5329" s="386"/>
      <c r="BJ5329" s="46"/>
    </row>
    <row r="5330" spans="59:62" x14ac:dyDescent="0.3">
      <c r="BG5330" s="387"/>
      <c r="BH5330" s="386"/>
      <c r="BI5330" s="386"/>
      <c r="BJ5330" s="46"/>
    </row>
    <row r="5331" spans="59:62" x14ac:dyDescent="0.3">
      <c r="BG5331" s="387"/>
      <c r="BH5331" s="386"/>
      <c r="BI5331" s="386"/>
      <c r="BJ5331" s="46"/>
    </row>
    <row r="5332" spans="59:62" x14ac:dyDescent="0.3">
      <c r="BG5332" s="387"/>
      <c r="BH5332" s="386"/>
      <c r="BI5332" s="386"/>
      <c r="BJ5332" s="46"/>
    </row>
    <row r="5333" spans="59:62" x14ac:dyDescent="0.3">
      <c r="BG5333" s="387"/>
      <c r="BH5333" s="386"/>
      <c r="BI5333" s="386"/>
      <c r="BJ5333" s="46"/>
    </row>
    <row r="5334" spans="59:62" x14ac:dyDescent="0.3">
      <c r="BG5334" s="387"/>
      <c r="BH5334" s="386"/>
      <c r="BI5334" s="386"/>
      <c r="BJ5334" s="46"/>
    </row>
    <row r="5335" spans="59:62" x14ac:dyDescent="0.3">
      <c r="BG5335" s="387"/>
      <c r="BH5335" s="386"/>
      <c r="BI5335" s="386"/>
      <c r="BJ5335" s="46"/>
    </row>
    <row r="5336" spans="59:62" x14ac:dyDescent="0.3">
      <c r="BG5336" s="387"/>
      <c r="BH5336" s="386"/>
      <c r="BI5336" s="386"/>
      <c r="BJ5336" s="46"/>
    </row>
    <row r="5337" spans="59:62" x14ac:dyDescent="0.3">
      <c r="BG5337" s="387"/>
      <c r="BH5337" s="386"/>
      <c r="BI5337" s="386"/>
      <c r="BJ5337" s="46"/>
    </row>
    <row r="5338" spans="59:62" x14ac:dyDescent="0.3">
      <c r="BG5338" s="387"/>
      <c r="BH5338" s="386"/>
      <c r="BI5338" s="386"/>
      <c r="BJ5338" s="46"/>
    </row>
    <row r="5339" spans="59:62" x14ac:dyDescent="0.3">
      <c r="BG5339" s="387"/>
      <c r="BH5339" s="386"/>
      <c r="BI5339" s="386"/>
      <c r="BJ5339" s="46"/>
    </row>
    <row r="5340" spans="59:62" x14ac:dyDescent="0.3">
      <c r="BG5340" s="387"/>
      <c r="BH5340" s="386"/>
      <c r="BI5340" s="386"/>
      <c r="BJ5340" s="46"/>
    </row>
    <row r="5341" spans="59:62" x14ac:dyDescent="0.3">
      <c r="BG5341" s="387"/>
      <c r="BH5341" s="386"/>
      <c r="BI5341" s="386"/>
      <c r="BJ5341" s="46"/>
    </row>
    <row r="5342" spans="59:62" x14ac:dyDescent="0.3">
      <c r="BG5342" s="387"/>
      <c r="BH5342" s="386"/>
      <c r="BI5342" s="386"/>
      <c r="BJ5342" s="46"/>
    </row>
    <row r="5343" spans="59:62" x14ac:dyDescent="0.3">
      <c r="BG5343" s="387"/>
      <c r="BH5343" s="386"/>
      <c r="BI5343" s="386"/>
      <c r="BJ5343" s="46"/>
    </row>
    <row r="5344" spans="59:62" x14ac:dyDescent="0.3">
      <c r="BG5344" s="387"/>
      <c r="BH5344" s="386"/>
      <c r="BI5344" s="386"/>
      <c r="BJ5344" s="46"/>
    </row>
    <row r="5345" spans="59:62" x14ac:dyDescent="0.3">
      <c r="BG5345" s="387"/>
      <c r="BH5345" s="386"/>
      <c r="BI5345" s="386"/>
      <c r="BJ5345" s="46"/>
    </row>
    <row r="5346" spans="59:62" x14ac:dyDescent="0.3">
      <c r="BG5346" s="387"/>
      <c r="BH5346" s="386"/>
      <c r="BI5346" s="386"/>
      <c r="BJ5346" s="46"/>
    </row>
    <row r="5347" spans="59:62" x14ac:dyDescent="0.3">
      <c r="BG5347" s="387"/>
      <c r="BH5347" s="386"/>
      <c r="BI5347" s="386"/>
      <c r="BJ5347" s="46"/>
    </row>
    <row r="5348" spans="59:62" x14ac:dyDescent="0.3">
      <c r="BG5348" s="387"/>
      <c r="BH5348" s="386"/>
      <c r="BI5348" s="386"/>
      <c r="BJ5348" s="46"/>
    </row>
    <row r="5349" spans="59:62" x14ac:dyDescent="0.3">
      <c r="BG5349" s="387"/>
      <c r="BH5349" s="386"/>
      <c r="BI5349" s="386"/>
      <c r="BJ5349" s="46"/>
    </row>
    <row r="5350" spans="59:62" x14ac:dyDescent="0.3">
      <c r="BG5350" s="387"/>
      <c r="BH5350" s="386"/>
      <c r="BI5350" s="386"/>
      <c r="BJ5350" s="46"/>
    </row>
    <row r="5351" spans="59:62" x14ac:dyDescent="0.3">
      <c r="BG5351" s="387"/>
      <c r="BH5351" s="386"/>
      <c r="BI5351" s="386"/>
      <c r="BJ5351" s="46"/>
    </row>
    <row r="5352" spans="59:62" x14ac:dyDescent="0.3">
      <c r="BG5352" s="387"/>
      <c r="BH5352" s="386"/>
      <c r="BI5352" s="386"/>
      <c r="BJ5352" s="46"/>
    </row>
    <row r="5353" spans="59:62" x14ac:dyDescent="0.3">
      <c r="BG5353" s="387"/>
      <c r="BH5353" s="386"/>
      <c r="BI5353" s="386"/>
      <c r="BJ5353" s="46"/>
    </row>
    <row r="5354" spans="59:62" x14ac:dyDescent="0.3">
      <c r="BG5354" s="387"/>
      <c r="BH5354" s="386"/>
      <c r="BI5354" s="386"/>
      <c r="BJ5354" s="46"/>
    </row>
    <row r="5355" spans="59:62" x14ac:dyDescent="0.3">
      <c r="BG5355" s="387"/>
      <c r="BH5355" s="386"/>
      <c r="BI5355" s="386"/>
      <c r="BJ5355" s="46"/>
    </row>
    <row r="5356" spans="59:62" x14ac:dyDescent="0.3">
      <c r="BG5356" s="387"/>
      <c r="BH5356" s="386"/>
      <c r="BI5356" s="386"/>
      <c r="BJ5356" s="46"/>
    </row>
    <row r="5357" spans="59:62" x14ac:dyDescent="0.3">
      <c r="BG5357" s="387"/>
      <c r="BH5357" s="386"/>
      <c r="BI5357" s="386"/>
      <c r="BJ5357" s="46"/>
    </row>
    <row r="5358" spans="59:62" x14ac:dyDescent="0.3">
      <c r="BG5358" s="387"/>
      <c r="BH5358" s="386"/>
      <c r="BI5358" s="386"/>
      <c r="BJ5358" s="46"/>
    </row>
    <row r="5359" spans="59:62" x14ac:dyDescent="0.3">
      <c r="BG5359" s="387"/>
      <c r="BH5359" s="386"/>
      <c r="BI5359" s="386"/>
      <c r="BJ5359" s="46"/>
    </row>
    <row r="5360" spans="59:62" x14ac:dyDescent="0.3">
      <c r="BG5360" s="387"/>
      <c r="BH5360" s="386"/>
      <c r="BI5360" s="386"/>
      <c r="BJ5360" s="46"/>
    </row>
    <row r="5361" spans="59:62" x14ac:dyDescent="0.3">
      <c r="BG5361" s="387"/>
      <c r="BH5361" s="386"/>
      <c r="BI5361" s="386"/>
      <c r="BJ5361" s="46"/>
    </row>
    <row r="5362" spans="59:62" x14ac:dyDescent="0.3">
      <c r="BG5362" s="387"/>
      <c r="BH5362" s="386"/>
      <c r="BI5362" s="386"/>
      <c r="BJ5362" s="46"/>
    </row>
    <row r="5363" spans="59:62" x14ac:dyDescent="0.3">
      <c r="BG5363" s="387"/>
      <c r="BH5363" s="386"/>
      <c r="BI5363" s="386"/>
      <c r="BJ5363" s="46"/>
    </row>
    <row r="5364" spans="59:62" x14ac:dyDescent="0.3">
      <c r="BG5364" s="387"/>
      <c r="BH5364" s="386"/>
      <c r="BI5364" s="386"/>
      <c r="BJ5364" s="46"/>
    </row>
    <row r="5365" spans="59:62" x14ac:dyDescent="0.3">
      <c r="BG5365" s="387"/>
      <c r="BH5365" s="386"/>
      <c r="BI5365" s="386"/>
      <c r="BJ5365" s="46"/>
    </row>
    <row r="5366" spans="59:62" x14ac:dyDescent="0.3">
      <c r="BG5366" s="387"/>
      <c r="BH5366" s="386"/>
      <c r="BI5366" s="386"/>
      <c r="BJ5366" s="46"/>
    </row>
    <row r="5367" spans="59:62" x14ac:dyDescent="0.3">
      <c r="BG5367" s="387"/>
      <c r="BH5367" s="386"/>
      <c r="BI5367" s="386"/>
      <c r="BJ5367" s="46"/>
    </row>
    <row r="5368" spans="59:62" x14ac:dyDescent="0.3">
      <c r="BG5368" s="387"/>
      <c r="BH5368" s="386"/>
      <c r="BI5368" s="386"/>
      <c r="BJ5368" s="46"/>
    </row>
    <row r="5369" spans="59:62" x14ac:dyDescent="0.3">
      <c r="BG5369" s="387"/>
      <c r="BH5369" s="386"/>
      <c r="BI5369" s="386"/>
      <c r="BJ5369" s="46"/>
    </row>
    <row r="5370" spans="59:62" x14ac:dyDescent="0.3">
      <c r="BG5370" s="387"/>
      <c r="BH5370" s="386"/>
      <c r="BI5370" s="386"/>
      <c r="BJ5370" s="46"/>
    </row>
    <row r="5371" spans="59:62" x14ac:dyDescent="0.3">
      <c r="BG5371" s="387"/>
      <c r="BH5371" s="386"/>
      <c r="BI5371" s="386"/>
      <c r="BJ5371" s="46"/>
    </row>
    <row r="5372" spans="59:62" x14ac:dyDescent="0.3">
      <c r="BG5372" s="387"/>
      <c r="BH5372" s="386"/>
      <c r="BI5372" s="386"/>
      <c r="BJ5372" s="46"/>
    </row>
    <row r="5373" spans="59:62" x14ac:dyDescent="0.3">
      <c r="BG5373" s="387"/>
      <c r="BH5373" s="386"/>
      <c r="BI5373" s="386"/>
      <c r="BJ5373" s="46"/>
    </row>
    <row r="5374" spans="59:62" x14ac:dyDescent="0.3">
      <c r="BG5374" s="387"/>
      <c r="BH5374" s="386"/>
      <c r="BI5374" s="386"/>
      <c r="BJ5374" s="46"/>
    </row>
    <row r="5375" spans="59:62" x14ac:dyDescent="0.3">
      <c r="BG5375" s="387"/>
      <c r="BH5375" s="386"/>
      <c r="BI5375" s="386"/>
      <c r="BJ5375" s="46"/>
    </row>
    <row r="5376" spans="59:62" x14ac:dyDescent="0.3">
      <c r="BG5376" s="387"/>
      <c r="BH5376" s="386"/>
      <c r="BI5376" s="386"/>
      <c r="BJ5376" s="46"/>
    </row>
    <row r="5377" spans="59:62" x14ac:dyDescent="0.3">
      <c r="BG5377" s="387"/>
      <c r="BH5377" s="386"/>
      <c r="BI5377" s="386"/>
      <c r="BJ5377" s="46"/>
    </row>
    <row r="5378" spans="59:62" x14ac:dyDescent="0.3">
      <c r="BG5378" s="387"/>
      <c r="BH5378" s="386"/>
      <c r="BI5378" s="386"/>
      <c r="BJ5378" s="46"/>
    </row>
    <row r="5379" spans="59:62" x14ac:dyDescent="0.3">
      <c r="BG5379" s="387"/>
      <c r="BH5379" s="386"/>
      <c r="BI5379" s="386"/>
      <c r="BJ5379" s="46"/>
    </row>
    <row r="5380" spans="59:62" x14ac:dyDescent="0.3">
      <c r="BG5380" s="387"/>
      <c r="BH5380" s="386"/>
      <c r="BI5380" s="386"/>
      <c r="BJ5380" s="46"/>
    </row>
    <row r="5381" spans="59:62" x14ac:dyDescent="0.3">
      <c r="BG5381" s="387"/>
      <c r="BH5381" s="386"/>
      <c r="BI5381" s="386"/>
      <c r="BJ5381" s="46"/>
    </row>
    <row r="5382" spans="59:62" x14ac:dyDescent="0.3">
      <c r="BG5382" s="387"/>
      <c r="BH5382" s="386"/>
      <c r="BI5382" s="386"/>
      <c r="BJ5382" s="46"/>
    </row>
    <row r="5383" spans="59:62" x14ac:dyDescent="0.3">
      <c r="BG5383" s="387"/>
      <c r="BH5383" s="386"/>
      <c r="BI5383" s="386"/>
      <c r="BJ5383" s="46"/>
    </row>
    <row r="5384" spans="59:62" x14ac:dyDescent="0.3">
      <c r="BG5384" s="387"/>
      <c r="BH5384" s="386"/>
      <c r="BI5384" s="386"/>
      <c r="BJ5384" s="46"/>
    </row>
    <row r="5385" spans="59:62" x14ac:dyDescent="0.3">
      <c r="BG5385" s="387"/>
      <c r="BH5385" s="386"/>
      <c r="BI5385" s="386"/>
      <c r="BJ5385" s="46"/>
    </row>
    <row r="5386" spans="59:62" x14ac:dyDescent="0.3">
      <c r="BG5386" s="387"/>
      <c r="BH5386" s="386"/>
      <c r="BI5386" s="386"/>
      <c r="BJ5386" s="46"/>
    </row>
    <row r="5387" spans="59:62" x14ac:dyDescent="0.3">
      <c r="BG5387" s="387"/>
      <c r="BH5387" s="386"/>
      <c r="BI5387" s="386"/>
      <c r="BJ5387" s="46"/>
    </row>
    <row r="5388" spans="59:62" x14ac:dyDescent="0.3">
      <c r="BG5388" s="387"/>
      <c r="BH5388" s="386"/>
      <c r="BI5388" s="386"/>
      <c r="BJ5388" s="46"/>
    </row>
    <row r="5389" spans="59:62" x14ac:dyDescent="0.3">
      <c r="BG5389" s="387"/>
      <c r="BH5389" s="386"/>
      <c r="BI5389" s="386"/>
      <c r="BJ5389" s="46"/>
    </row>
    <row r="5390" spans="59:62" x14ac:dyDescent="0.3">
      <c r="BG5390" s="387"/>
      <c r="BH5390" s="386"/>
      <c r="BI5390" s="386"/>
      <c r="BJ5390" s="46"/>
    </row>
    <row r="5391" spans="59:62" x14ac:dyDescent="0.3">
      <c r="BG5391" s="387"/>
      <c r="BH5391" s="386"/>
      <c r="BI5391" s="386"/>
      <c r="BJ5391" s="46"/>
    </row>
    <row r="5392" spans="59:62" x14ac:dyDescent="0.3">
      <c r="BG5392" s="387"/>
      <c r="BH5392" s="386"/>
      <c r="BI5392" s="386"/>
      <c r="BJ5392" s="46"/>
    </row>
    <row r="5393" spans="59:62" x14ac:dyDescent="0.3">
      <c r="BG5393" s="387"/>
      <c r="BH5393" s="386"/>
      <c r="BI5393" s="386"/>
      <c r="BJ5393" s="46"/>
    </row>
    <row r="5394" spans="59:62" x14ac:dyDescent="0.3">
      <c r="BG5394" s="387"/>
      <c r="BH5394" s="386"/>
      <c r="BI5394" s="386"/>
      <c r="BJ5394" s="46"/>
    </row>
    <row r="5395" spans="59:62" x14ac:dyDescent="0.3">
      <c r="BG5395" s="387"/>
      <c r="BH5395" s="386"/>
      <c r="BI5395" s="386"/>
      <c r="BJ5395" s="46"/>
    </row>
    <row r="5396" spans="59:62" x14ac:dyDescent="0.3">
      <c r="BG5396" s="387"/>
      <c r="BH5396" s="386"/>
      <c r="BI5396" s="386"/>
      <c r="BJ5396" s="46"/>
    </row>
    <row r="5397" spans="59:62" x14ac:dyDescent="0.3">
      <c r="BG5397" s="387"/>
      <c r="BH5397" s="386"/>
      <c r="BI5397" s="386"/>
      <c r="BJ5397" s="46"/>
    </row>
    <row r="5398" spans="59:62" x14ac:dyDescent="0.3">
      <c r="BG5398" s="387"/>
      <c r="BH5398" s="386"/>
      <c r="BI5398" s="386"/>
      <c r="BJ5398" s="46"/>
    </row>
    <row r="5399" spans="59:62" x14ac:dyDescent="0.3">
      <c r="BG5399" s="387"/>
      <c r="BH5399" s="386"/>
      <c r="BI5399" s="386"/>
      <c r="BJ5399" s="46"/>
    </row>
    <row r="5400" spans="59:62" x14ac:dyDescent="0.3">
      <c r="BG5400" s="387"/>
      <c r="BH5400" s="386"/>
      <c r="BI5400" s="386"/>
      <c r="BJ5400" s="46"/>
    </row>
    <row r="5401" spans="59:62" x14ac:dyDescent="0.3">
      <c r="BG5401" s="387"/>
      <c r="BH5401" s="386"/>
      <c r="BI5401" s="386"/>
      <c r="BJ5401" s="46"/>
    </row>
    <row r="5402" spans="59:62" x14ac:dyDescent="0.3">
      <c r="BG5402" s="387"/>
      <c r="BH5402" s="386"/>
      <c r="BI5402" s="386"/>
      <c r="BJ5402" s="46"/>
    </row>
    <row r="5403" spans="59:62" x14ac:dyDescent="0.3">
      <c r="BG5403" s="387"/>
      <c r="BH5403" s="386"/>
      <c r="BI5403" s="386"/>
      <c r="BJ5403" s="46"/>
    </row>
    <row r="5404" spans="59:62" x14ac:dyDescent="0.3">
      <c r="BG5404" s="387"/>
      <c r="BH5404" s="386"/>
      <c r="BI5404" s="386"/>
      <c r="BJ5404" s="46"/>
    </row>
    <row r="5405" spans="59:62" x14ac:dyDescent="0.3">
      <c r="BG5405" s="387"/>
      <c r="BH5405" s="386"/>
      <c r="BI5405" s="386"/>
      <c r="BJ5405" s="46"/>
    </row>
    <row r="5406" spans="59:62" x14ac:dyDescent="0.3">
      <c r="BG5406" s="387"/>
      <c r="BH5406" s="386"/>
      <c r="BI5406" s="386"/>
      <c r="BJ5406" s="46"/>
    </row>
    <row r="5407" spans="59:62" x14ac:dyDescent="0.3">
      <c r="BG5407" s="387"/>
      <c r="BH5407" s="386"/>
      <c r="BI5407" s="386"/>
      <c r="BJ5407" s="46"/>
    </row>
    <row r="5408" spans="59:62" x14ac:dyDescent="0.3">
      <c r="BG5408" s="387"/>
      <c r="BH5408" s="386"/>
      <c r="BI5408" s="386"/>
      <c r="BJ5408" s="46"/>
    </row>
    <row r="5409" spans="59:62" x14ac:dyDescent="0.3">
      <c r="BG5409" s="387"/>
      <c r="BH5409" s="386"/>
      <c r="BI5409" s="386"/>
      <c r="BJ5409" s="46"/>
    </row>
    <row r="5410" spans="59:62" x14ac:dyDescent="0.3">
      <c r="BG5410" s="387"/>
      <c r="BH5410" s="386"/>
      <c r="BI5410" s="386"/>
      <c r="BJ5410" s="46"/>
    </row>
    <row r="5411" spans="59:62" x14ac:dyDescent="0.3">
      <c r="BG5411" s="387"/>
      <c r="BH5411" s="386"/>
      <c r="BI5411" s="386"/>
      <c r="BJ5411" s="46"/>
    </row>
    <row r="5412" spans="59:62" x14ac:dyDescent="0.3">
      <c r="BG5412" s="387"/>
      <c r="BH5412" s="386"/>
      <c r="BI5412" s="386"/>
      <c r="BJ5412" s="46"/>
    </row>
    <row r="5413" spans="59:62" x14ac:dyDescent="0.3">
      <c r="BG5413" s="387"/>
      <c r="BH5413" s="386"/>
      <c r="BI5413" s="386"/>
      <c r="BJ5413" s="46"/>
    </row>
    <row r="5414" spans="59:62" x14ac:dyDescent="0.3">
      <c r="BG5414" s="387"/>
      <c r="BH5414" s="386"/>
      <c r="BI5414" s="386"/>
      <c r="BJ5414" s="46"/>
    </row>
    <row r="5415" spans="59:62" x14ac:dyDescent="0.3">
      <c r="BG5415" s="387"/>
      <c r="BH5415" s="386"/>
      <c r="BI5415" s="386"/>
      <c r="BJ5415" s="46"/>
    </row>
    <row r="5416" spans="59:62" x14ac:dyDescent="0.3">
      <c r="BG5416" s="387"/>
      <c r="BH5416" s="386"/>
      <c r="BI5416" s="386"/>
      <c r="BJ5416" s="46"/>
    </row>
    <row r="5417" spans="59:62" x14ac:dyDescent="0.3">
      <c r="BG5417" s="387"/>
      <c r="BH5417" s="386"/>
      <c r="BI5417" s="386"/>
      <c r="BJ5417" s="46"/>
    </row>
    <row r="5418" spans="59:62" x14ac:dyDescent="0.3">
      <c r="BG5418" s="387"/>
      <c r="BH5418" s="386"/>
      <c r="BI5418" s="386"/>
      <c r="BJ5418" s="46"/>
    </row>
    <row r="5419" spans="59:62" x14ac:dyDescent="0.3">
      <c r="BG5419" s="387"/>
      <c r="BH5419" s="386"/>
      <c r="BI5419" s="386"/>
      <c r="BJ5419" s="46"/>
    </row>
    <row r="5420" spans="59:62" x14ac:dyDescent="0.3">
      <c r="BG5420" s="387"/>
      <c r="BH5420" s="386"/>
      <c r="BI5420" s="386"/>
      <c r="BJ5420" s="46"/>
    </row>
    <row r="5421" spans="59:62" x14ac:dyDescent="0.3">
      <c r="BG5421" s="387"/>
      <c r="BH5421" s="386"/>
      <c r="BI5421" s="386"/>
      <c r="BJ5421" s="46"/>
    </row>
    <row r="5422" spans="59:62" x14ac:dyDescent="0.3">
      <c r="BG5422" s="387"/>
      <c r="BH5422" s="386"/>
      <c r="BI5422" s="386"/>
      <c r="BJ5422" s="46"/>
    </row>
    <row r="5423" spans="59:62" x14ac:dyDescent="0.3">
      <c r="BG5423" s="387"/>
      <c r="BH5423" s="386"/>
      <c r="BI5423" s="386"/>
      <c r="BJ5423" s="46"/>
    </row>
    <row r="5424" spans="59:62" x14ac:dyDescent="0.3">
      <c r="BG5424" s="387"/>
      <c r="BH5424" s="386"/>
      <c r="BI5424" s="386"/>
      <c r="BJ5424" s="46"/>
    </row>
    <row r="5425" spans="59:62" x14ac:dyDescent="0.3">
      <c r="BG5425" s="387"/>
      <c r="BH5425" s="386"/>
      <c r="BI5425" s="386"/>
      <c r="BJ5425" s="46"/>
    </row>
    <row r="5426" spans="59:62" x14ac:dyDescent="0.3">
      <c r="BG5426" s="387"/>
      <c r="BH5426" s="386"/>
      <c r="BI5426" s="386"/>
      <c r="BJ5426" s="46"/>
    </row>
    <row r="5427" spans="59:62" x14ac:dyDescent="0.3">
      <c r="BG5427" s="387"/>
      <c r="BH5427" s="386"/>
      <c r="BI5427" s="386"/>
      <c r="BJ5427" s="46"/>
    </row>
    <row r="5428" spans="59:62" x14ac:dyDescent="0.3">
      <c r="BG5428" s="387"/>
      <c r="BH5428" s="386"/>
      <c r="BI5428" s="386"/>
      <c r="BJ5428" s="46"/>
    </row>
    <row r="5429" spans="59:62" x14ac:dyDescent="0.3">
      <c r="BG5429" s="387"/>
      <c r="BH5429" s="386"/>
      <c r="BI5429" s="386"/>
      <c r="BJ5429" s="46"/>
    </row>
    <row r="5430" spans="59:62" x14ac:dyDescent="0.3">
      <c r="BG5430" s="387"/>
      <c r="BH5430" s="386"/>
      <c r="BI5430" s="386"/>
      <c r="BJ5430" s="46"/>
    </row>
    <row r="5431" spans="59:62" x14ac:dyDescent="0.3">
      <c r="BG5431" s="387"/>
      <c r="BH5431" s="386"/>
      <c r="BI5431" s="386"/>
      <c r="BJ5431" s="46"/>
    </row>
    <row r="5432" spans="59:62" x14ac:dyDescent="0.3">
      <c r="BG5432" s="387"/>
      <c r="BH5432" s="386"/>
      <c r="BI5432" s="386"/>
      <c r="BJ5432" s="46"/>
    </row>
    <row r="5433" spans="59:62" x14ac:dyDescent="0.3">
      <c r="BG5433" s="387"/>
      <c r="BH5433" s="386"/>
      <c r="BI5433" s="386"/>
      <c r="BJ5433" s="46"/>
    </row>
    <row r="5434" spans="59:62" x14ac:dyDescent="0.3">
      <c r="BG5434" s="387"/>
      <c r="BH5434" s="386"/>
      <c r="BI5434" s="386"/>
      <c r="BJ5434" s="46"/>
    </row>
    <row r="5435" spans="59:62" x14ac:dyDescent="0.3">
      <c r="BG5435" s="387"/>
      <c r="BH5435" s="386"/>
      <c r="BI5435" s="386"/>
      <c r="BJ5435" s="46"/>
    </row>
    <row r="5436" spans="59:62" x14ac:dyDescent="0.3">
      <c r="BG5436" s="387"/>
      <c r="BH5436" s="386"/>
      <c r="BI5436" s="386"/>
      <c r="BJ5436" s="46"/>
    </row>
    <row r="5437" spans="59:62" x14ac:dyDescent="0.3">
      <c r="BG5437" s="387"/>
      <c r="BH5437" s="386"/>
      <c r="BI5437" s="386"/>
      <c r="BJ5437" s="46"/>
    </row>
    <row r="5438" spans="59:62" x14ac:dyDescent="0.3">
      <c r="BG5438" s="387"/>
      <c r="BH5438" s="386"/>
      <c r="BI5438" s="386"/>
      <c r="BJ5438" s="46"/>
    </row>
    <row r="5439" spans="59:62" x14ac:dyDescent="0.3">
      <c r="BG5439" s="387"/>
      <c r="BH5439" s="386"/>
      <c r="BI5439" s="386"/>
      <c r="BJ5439" s="46"/>
    </row>
    <row r="5440" spans="59:62" x14ac:dyDescent="0.3">
      <c r="BG5440" s="387"/>
      <c r="BH5440" s="386"/>
      <c r="BI5440" s="386"/>
      <c r="BJ5440" s="46"/>
    </row>
    <row r="5441" spans="59:62" x14ac:dyDescent="0.3">
      <c r="BG5441" s="387"/>
      <c r="BH5441" s="386"/>
      <c r="BI5441" s="386"/>
      <c r="BJ5441" s="46"/>
    </row>
    <row r="5442" spans="59:62" x14ac:dyDescent="0.3">
      <c r="BG5442" s="387"/>
      <c r="BH5442" s="386"/>
      <c r="BI5442" s="386"/>
      <c r="BJ5442" s="46"/>
    </row>
    <row r="5443" spans="59:62" x14ac:dyDescent="0.3">
      <c r="BG5443" s="387"/>
      <c r="BH5443" s="386"/>
      <c r="BI5443" s="386"/>
      <c r="BJ5443" s="46"/>
    </row>
    <row r="5444" spans="59:62" x14ac:dyDescent="0.3">
      <c r="BG5444" s="387"/>
      <c r="BH5444" s="386"/>
      <c r="BI5444" s="386"/>
      <c r="BJ5444" s="46"/>
    </row>
    <row r="5445" spans="59:62" x14ac:dyDescent="0.3">
      <c r="BG5445" s="387"/>
      <c r="BH5445" s="386"/>
      <c r="BI5445" s="386"/>
      <c r="BJ5445" s="46"/>
    </row>
    <row r="5446" spans="59:62" x14ac:dyDescent="0.3">
      <c r="BG5446" s="387"/>
      <c r="BH5446" s="386"/>
      <c r="BI5446" s="386"/>
      <c r="BJ5446" s="46"/>
    </row>
    <row r="5447" spans="59:62" x14ac:dyDescent="0.3">
      <c r="BG5447" s="387"/>
      <c r="BH5447" s="386"/>
      <c r="BI5447" s="386"/>
      <c r="BJ5447" s="46"/>
    </row>
    <row r="5448" spans="59:62" x14ac:dyDescent="0.3">
      <c r="BG5448" s="387"/>
      <c r="BH5448" s="386"/>
      <c r="BI5448" s="386"/>
      <c r="BJ5448" s="46"/>
    </row>
    <row r="5449" spans="59:62" x14ac:dyDescent="0.3">
      <c r="BG5449" s="387"/>
      <c r="BH5449" s="386"/>
      <c r="BI5449" s="386"/>
      <c r="BJ5449" s="46"/>
    </row>
    <row r="5450" spans="59:62" x14ac:dyDescent="0.3">
      <c r="BG5450" s="387"/>
      <c r="BH5450" s="386"/>
      <c r="BI5450" s="386"/>
      <c r="BJ5450" s="46"/>
    </row>
    <row r="5451" spans="59:62" x14ac:dyDescent="0.3">
      <c r="BG5451" s="387"/>
      <c r="BH5451" s="386"/>
      <c r="BI5451" s="386"/>
      <c r="BJ5451" s="46"/>
    </row>
    <row r="5452" spans="59:62" x14ac:dyDescent="0.3">
      <c r="BG5452" s="387"/>
      <c r="BH5452" s="386"/>
      <c r="BI5452" s="386"/>
      <c r="BJ5452" s="46"/>
    </row>
    <row r="5453" spans="59:62" x14ac:dyDescent="0.3">
      <c r="BG5453" s="387"/>
      <c r="BH5453" s="386"/>
      <c r="BI5453" s="386"/>
      <c r="BJ5453" s="46"/>
    </row>
    <row r="5454" spans="59:62" x14ac:dyDescent="0.3">
      <c r="BG5454" s="387"/>
      <c r="BH5454" s="386"/>
      <c r="BI5454" s="386"/>
      <c r="BJ5454" s="46"/>
    </row>
    <row r="5455" spans="59:62" x14ac:dyDescent="0.3">
      <c r="BG5455" s="387"/>
      <c r="BH5455" s="386"/>
      <c r="BI5455" s="386"/>
      <c r="BJ5455" s="46"/>
    </row>
    <row r="5456" spans="59:62" x14ac:dyDescent="0.3">
      <c r="BG5456" s="387"/>
      <c r="BH5456" s="386"/>
      <c r="BI5456" s="386"/>
      <c r="BJ5456" s="46"/>
    </row>
    <row r="5457" spans="59:62" x14ac:dyDescent="0.3">
      <c r="BG5457" s="387"/>
      <c r="BH5457" s="386"/>
      <c r="BI5457" s="386"/>
      <c r="BJ5457" s="46"/>
    </row>
    <row r="5458" spans="59:62" x14ac:dyDescent="0.3">
      <c r="BG5458" s="387"/>
      <c r="BH5458" s="386"/>
      <c r="BI5458" s="386"/>
      <c r="BJ5458" s="46"/>
    </row>
    <row r="5459" spans="59:62" x14ac:dyDescent="0.3">
      <c r="BG5459" s="387"/>
      <c r="BH5459" s="386"/>
      <c r="BI5459" s="386"/>
      <c r="BJ5459" s="46"/>
    </row>
    <row r="5460" spans="59:62" x14ac:dyDescent="0.3">
      <c r="BG5460" s="387"/>
      <c r="BH5460" s="386"/>
      <c r="BI5460" s="386"/>
      <c r="BJ5460" s="46"/>
    </row>
    <row r="5461" spans="59:62" x14ac:dyDescent="0.3">
      <c r="BG5461" s="387"/>
      <c r="BH5461" s="386"/>
      <c r="BI5461" s="386"/>
      <c r="BJ5461" s="46"/>
    </row>
    <row r="5462" spans="59:62" x14ac:dyDescent="0.3">
      <c r="BG5462" s="387"/>
      <c r="BH5462" s="386"/>
      <c r="BI5462" s="386"/>
      <c r="BJ5462" s="46"/>
    </row>
    <row r="5463" spans="59:62" x14ac:dyDescent="0.3">
      <c r="BG5463" s="387"/>
      <c r="BH5463" s="386"/>
      <c r="BI5463" s="386"/>
      <c r="BJ5463" s="46"/>
    </row>
    <row r="5464" spans="59:62" x14ac:dyDescent="0.3">
      <c r="BG5464" s="387"/>
      <c r="BH5464" s="386"/>
      <c r="BI5464" s="386"/>
      <c r="BJ5464" s="46"/>
    </row>
    <row r="5465" spans="59:62" x14ac:dyDescent="0.3">
      <c r="BG5465" s="387"/>
      <c r="BH5465" s="386"/>
      <c r="BI5465" s="386"/>
      <c r="BJ5465" s="46"/>
    </row>
    <row r="5466" spans="59:62" x14ac:dyDescent="0.3">
      <c r="BG5466" s="387"/>
      <c r="BH5466" s="386"/>
      <c r="BI5466" s="386"/>
      <c r="BJ5466" s="46"/>
    </row>
    <row r="5467" spans="59:62" x14ac:dyDescent="0.3">
      <c r="BG5467" s="387"/>
      <c r="BH5467" s="386"/>
      <c r="BI5467" s="386"/>
      <c r="BJ5467" s="46"/>
    </row>
    <row r="5468" spans="59:62" x14ac:dyDescent="0.3">
      <c r="BG5468" s="387"/>
      <c r="BH5468" s="386"/>
      <c r="BI5468" s="386"/>
      <c r="BJ5468" s="46"/>
    </row>
    <row r="5469" spans="59:62" x14ac:dyDescent="0.3">
      <c r="BG5469" s="387"/>
      <c r="BH5469" s="386"/>
      <c r="BI5469" s="386"/>
      <c r="BJ5469" s="46"/>
    </row>
    <row r="5470" spans="59:62" x14ac:dyDescent="0.3">
      <c r="BG5470" s="387"/>
      <c r="BH5470" s="386"/>
      <c r="BI5470" s="386"/>
      <c r="BJ5470" s="46"/>
    </row>
    <row r="5471" spans="59:62" x14ac:dyDescent="0.3">
      <c r="BG5471" s="387"/>
      <c r="BH5471" s="386"/>
      <c r="BI5471" s="386"/>
      <c r="BJ5471" s="46"/>
    </row>
    <row r="5472" spans="59:62" x14ac:dyDescent="0.3">
      <c r="BG5472" s="387"/>
      <c r="BH5472" s="386"/>
      <c r="BI5472" s="386"/>
      <c r="BJ5472" s="46"/>
    </row>
    <row r="5473" spans="59:62" x14ac:dyDescent="0.3">
      <c r="BG5473" s="387"/>
      <c r="BH5473" s="386"/>
      <c r="BI5473" s="386"/>
      <c r="BJ5473" s="46"/>
    </row>
    <row r="5474" spans="59:62" x14ac:dyDescent="0.3">
      <c r="BG5474" s="387"/>
      <c r="BH5474" s="386"/>
      <c r="BI5474" s="386"/>
      <c r="BJ5474" s="46"/>
    </row>
    <row r="5475" spans="59:62" x14ac:dyDescent="0.3">
      <c r="BG5475" s="387"/>
      <c r="BH5475" s="386"/>
      <c r="BI5475" s="386"/>
      <c r="BJ5475" s="46"/>
    </row>
    <row r="5476" spans="59:62" x14ac:dyDescent="0.3">
      <c r="BG5476" s="387"/>
      <c r="BH5476" s="386"/>
      <c r="BI5476" s="386"/>
      <c r="BJ5476" s="46"/>
    </row>
    <row r="5477" spans="59:62" x14ac:dyDescent="0.3">
      <c r="BG5477" s="387"/>
      <c r="BH5477" s="386"/>
      <c r="BI5477" s="386"/>
      <c r="BJ5477" s="46"/>
    </row>
    <row r="5478" spans="59:62" x14ac:dyDescent="0.3">
      <c r="BG5478" s="387"/>
      <c r="BH5478" s="386"/>
      <c r="BI5478" s="386"/>
      <c r="BJ5478" s="46"/>
    </row>
    <row r="5479" spans="59:62" x14ac:dyDescent="0.3">
      <c r="BG5479" s="387"/>
      <c r="BH5479" s="386"/>
      <c r="BI5479" s="386"/>
      <c r="BJ5479" s="46"/>
    </row>
    <row r="5480" spans="59:62" x14ac:dyDescent="0.3">
      <c r="BG5480" s="387"/>
      <c r="BH5480" s="386"/>
      <c r="BI5480" s="386"/>
      <c r="BJ5480" s="46"/>
    </row>
    <row r="5481" spans="59:62" x14ac:dyDescent="0.3">
      <c r="BG5481" s="387"/>
      <c r="BH5481" s="386"/>
      <c r="BI5481" s="386"/>
      <c r="BJ5481" s="46"/>
    </row>
    <row r="5482" spans="59:62" x14ac:dyDescent="0.3">
      <c r="BG5482" s="387"/>
      <c r="BH5482" s="386"/>
      <c r="BI5482" s="386"/>
      <c r="BJ5482" s="46"/>
    </row>
    <row r="5483" spans="59:62" x14ac:dyDescent="0.3">
      <c r="BG5483" s="387"/>
      <c r="BH5483" s="386"/>
      <c r="BI5483" s="386"/>
      <c r="BJ5483" s="46"/>
    </row>
    <row r="5484" spans="59:62" x14ac:dyDescent="0.3">
      <c r="BG5484" s="387"/>
      <c r="BH5484" s="386"/>
      <c r="BI5484" s="386"/>
      <c r="BJ5484" s="46"/>
    </row>
    <row r="5485" spans="59:62" x14ac:dyDescent="0.3">
      <c r="BG5485" s="387"/>
      <c r="BH5485" s="386"/>
      <c r="BI5485" s="386"/>
      <c r="BJ5485" s="46"/>
    </row>
    <row r="5486" spans="59:62" x14ac:dyDescent="0.3">
      <c r="BG5486" s="387"/>
      <c r="BH5486" s="386"/>
      <c r="BI5486" s="386"/>
      <c r="BJ5486" s="46"/>
    </row>
    <row r="5487" spans="59:62" x14ac:dyDescent="0.3">
      <c r="BG5487" s="387"/>
      <c r="BH5487" s="386"/>
      <c r="BI5487" s="386"/>
      <c r="BJ5487" s="46"/>
    </row>
    <row r="5488" spans="59:62" x14ac:dyDescent="0.3">
      <c r="BG5488" s="387"/>
      <c r="BH5488" s="386"/>
      <c r="BI5488" s="386"/>
      <c r="BJ5488" s="46"/>
    </row>
    <row r="5489" spans="59:62" x14ac:dyDescent="0.3">
      <c r="BG5489" s="387"/>
      <c r="BH5489" s="386"/>
      <c r="BI5489" s="386"/>
      <c r="BJ5489" s="46"/>
    </row>
    <row r="5490" spans="59:62" x14ac:dyDescent="0.3">
      <c r="BG5490" s="387"/>
      <c r="BH5490" s="386"/>
      <c r="BI5490" s="386"/>
      <c r="BJ5490" s="46"/>
    </row>
    <row r="5491" spans="59:62" x14ac:dyDescent="0.3">
      <c r="BG5491" s="387"/>
      <c r="BH5491" s="386"/>
      <c r="BI5491" s="386"/>
      <c r="BJ5491" s="46"/>
    </row>
    <row r="5492" spans="59:62" x14ac:dyDescent="0.3">
      <c r="BG5492" s="387"/>
      <c r="BH5492" s="386"/>
      <c r="BI5492" s="386"/>
      <c r="BJ5492" s="46"/>
    </row>
    <row r="5493" spans="59:62" x14ac:dyDescent="0.3">
      <c r="BG5493" s="387"/>
      <c r="BH5493" s="386"/>
      <c r="BI5493" s="386"/>
      <c r="BJ5493" s="46"/>
    </row>
    <row r="5494" spans="59:62" x14ac:dyDescent="0.3">
      <c r="BG5494" s="387"/>
      <c r="BH5494" s="386"/>
      <c r="BI5494" s="386"/>
      <c r="BJ5494" s="46"/>
    </row>
    <row r="5495" spans="59:62" x14ac:dyDescent="0.3">
      <c r="BG5495" s="387"/>
      <c r="BH5495" s="386"/>
      <c r="BI5495" s="386"/>
      <c r="BJ5495" s="46"/>
    </row>
    <row r="5496" spans="59:62" x14ac:dyDescent="0.3">
      <c r="BG5496" s="387"/>
      <c r="BH5496" s="386"/>
      <c r="BI5496" s="386"/>
      <c r="BJ5496" s="46"/>
    </row>
    <row r="5497" spans="59:62" x14ac:dyDescent="0.3">
      <c r="BG5497" s="387"/>
      <c r="BH5497" s="386"/>
      <c r="BI5497" s="386"/>
      <c r="BJ5497" s="46"/>
    </row>
    <row r="5498" spans="59:62" x14ac:dyDescent="0.3">
      <c r="BG5498" s="387"/>
      <c r="BH5498" s="386"/>
      <c r="BI5498" s="386"/>
      <c r="BJ5498" s="46"/>
    </row>
    <row r="5499" spans="59:62" x14ac:dyDescent="0.3">
      <c r="BG5499" s="387"/>
      <c r="BH5499" s="386"/>
      <c r="BI5499" s="386"/>
      <c r="BJ5499" s="46"/>
    </row>
    <row r="5500" spans="59:62" x14ac:dyDescent="0.3">
      <c r="BG5500" s="387"/>
      <c r="BH5500" s="386"/>
      <c r="BI5500" s="386"/>
      <c r="BJ5500" s="46"/>
    </row>
    <row r="5501" spans="59:62" x14ac:dyDescent="0.3">
      <c r="BG5501" s="387"/>
      <c r="BH5501" s="386"/>
      <c r="BI5501" s="386"/>
      <c r="BJ5501" s="46"/>
    </row>
    <row r="5502" spans="59:62" x14ac:dyDescent="0.3">
      <c r="BG5502" s="387"/>
      <c r="BH5502" s="386"/>
      <c r="BI5502" s="386"/>
      <c r="BJ5502" s="46"/>
    </row>
    <row r="5503" spans="59:62" x14ac:dyDescent="0.3">
      <c r="BG5503" s="387"/>
      <c r="BH5503" s="386"/>
      <c r="BI5503" s="386"/>
      <c r="BJ5503" s="46"/>
    </row>
    <row r="5504" spans="59:62" x14ac:dyDescent="0.3">
      <c r="BG5504" s="387"/>
      <c r="BH5504" s="386"/>
      <c r="BI5504" s="386"/>
      <c r="BJ5504" s="46"/>
    </row>
    <row r="5505" spans="59:62" x14ac:dyDescent="0.3">
      <c r="BG5505" s="387"/>
      <c r="BH5505" s="386"/>
      <c r="BI5505" s="386"/>
      <c r="BJ5505" s="46"/>
    </row>
    <row r="5506" spans="59:62" x14ac:dyDescent="0.3">
      <c r="BG5506" s="387"/>
      <c r="BH5506" s="386"/>
      <c r="BI5506" s="386"/>
      <c r="BJ5506" s="46"/>
    </row>
    <row r="5507" spans="59:62" x14ac:dyDescent="0.3">
      <c r="BG5507" s="387"/>
      <c r="BH5507" s="386"/>
      <c r="BI5507" s="386"/>
      <c r="BJ5507" s="46"/>
    </row>
    <row r="5508" spans="59:62" x14ac:dyDescent="0.3">
      <c r="BG5508" s="387"/>
      <c r="BH5508" s="386"/>
      <c r="BI5508" s="386"/>
      <c r="BJ5508" s="46"/>
    </row>
    <row r="5509" spans="59:62" x14ac:dyDescent="0.3">
      <c r="BG5509" s="387"/>
      <c r="BH5509" s="386"/>
      <c r="BI5509" s="386"/>
      <c r="BJ5509" s="46"/>
    </row>
    <row r="5510" spans="59:62" x14ac:dyDescent="0.3">
      <c r="BG5510" s="387"/>
      <c r="BH5510" s="386"/>
      <c r="BI5510" s="386"/>
      <c r="BJ5510" s="46"/>
    </row>
    <row r="5511" spans="59:62" x14ac:dyDescent="0.3">
      <c r="BG5511" s="387"/>
      <c r="BH5511" s="386"/>
      <c r="BI5511" s="386"/>
      <c r="BJ5511" s="46"/>
    </row>
    <row r="5512" spans="59:62" x14ac:dyDescent="0.3">
      <c r="BG5512" s="387"/>
      <c r="BH5512" s="386"/>
      <c r="BI5512" s="386"/>
      <c r="BJ5512" s="46"/>
    </row>
    <row r="5513" spans="59:62" x14ac:dyDescent="0.3">
      <c r="BG5513" s="387"/>
      <c r="BH5513" s="386"/>
      <c r="BI5513" s="386"/>
      <c r="BJ5513" s="46"/>
    </row>
    <row r="5514" spans="59:62" x14ac:dyDescent="0.3">
      <c r="BG5514" s="387"/>
      <c r="BH5514" s="386"/>
      <c r="BI5514" s="386"/>
      <c r="BJ5514" s="46"/>
    </row>
    <row r="5515" spans="59:62" x14ac:dyDescent="0.3">
      <c r="BG5515" s="387"/>
      <c r="BH5515" s="386"/>
      <c r="BI5515" s="386"/>
      <c r="BJ5515" s="46"/>
    </row>
    <row r="5516" spans="59:62" x14ac:dyDescent="0.3">
      <c r="BG5516" s="387"/>
      <c r="BH5516" s="386"/>
      <c r="BI5516" s="386"/>
      <c r="BJ5516" s="46"/>
    </row>
    <row r="5517" spans="59:62" x14ac:dyDescent="0.3">
      <c r="BG5517" s="387"/>
      <c r="BH5517" s="386"/>
      <c r="BI5517" s="386"/>
      <c r="BJ5517" s="46"/>
    </row>
    <row r="5518" spans="59:62" x14ac:dyDescent="0.3">
      <c r="BG5518" s="387"/>
      <c r="BH5518" s="386"/>
      <c r="BI5518" s="386"/>
      <c r="BJ5518" s="46"/>
    </row>
    <row r="5519" spans="59:62" x14ac:dyDescent="0.3">
      <c r="BG5519" s="387"/>
      <c r="BH5519" s="386"/>
      <c r="BI5519" s="386"/>
      <c r="BJ5519" s="46"/>
    </row>
    <row r="5520" spans="59:62" x14ac:dyDescent="0.3">
      <c r="BG5520" s="387"/>
      <c r="BH5520" s="386"/>
      <c r="BI5520" s="386"/>
      <c r="BJ5520" s="46"/>
    </row>
    <row r="5521" spans="59:62" x14ac:dyDescent="0.3">
      <c r="BG5521" s="387"/>
      <c r="BH5521" s="386"/>
      <c r="BI5521" s="386"/>
      <c r="BJ5521" s="46"/>
    </row>
    <row r="5522" spans="59:62" x14ac:dyDescent="0.3">
      <c r="BG5522" s="387"/>
      <c r="BH5522" s="386"/>
      <c r="BI5522" s="386"/>
      <c r="BJ5522" s="46"/>
    </row>
    <row r="5523" spans="59:62" x14ac:dyDescent="0.3">
      <c r="BG5523" s="387"/>
      <c r="BH5523" s="386"/>
      <c r="BI5523" s="386"/>
      <c r="BJ5523" s="46"/>
    </row>
    <row r="5524" spans="59:62" x14ac:dyDescent="0.3">
      <c r="BG5524" s="387"/>
      <c r="BH5524" s="386"/>
      <c r="BI5524" s="386"/>
      <c r="BJ5524" s="46"/>
    </row>
    <row r="5525" spans="59:62" x14ac:dyDescent="0.3">
      <c r="BG5525" s="387"/>
      <c r="BH5525" s="386"/>
      <c r="BI5525" s="386"/>
      <c r="BJ5525" s="46"/>
    </row>
    <row r="5526" spans="59:62" x14ac:dyDescent="0.3">
      <c r="BG5526" s="387"/>
      <c r="BH5526" s="386"/>
      <c r="BI5526" s="386"/>
      <c r="BJ5526" s="46"/>
    </row>
    <row r="5527" spans="59:62" x14ac:dyDescent="0.3">
      <c r="BG5527" s="387"/>
      <c r="BH5527" s="386"/>
      <c r="BI5527" s="386"/>
      <c r="BJ5527" s="46"/>
    </row>
    <row r="5528" spans="59:62" x14ac:dyDescent="0.3">
      <c r="BG5528" s="387"/>
      <c r="BH5528" s="386"/>
      <c r="BI5528" s="386"/>
      <c r="BJ5528" s="46"/>
    </row>
    <row r="5529" spans="59:62" x14ac:dyDescent="0.3">
      <c r="BG5529" s="387"/>
      <c r="BH5529" s="386"/>
      <c r="BI5529" s="386"/>
      <c r="BJ5529" s="46"/>
    </row>
    <row r="5530" spans="59:62" x14ac:dyDescent="0.3">
      <c r="BG5530" s="387"/>
      <c r="BH5530" s="386"/>
      <c r="BI5530" s="386"/>
      <c r="BJ5530" s="46"/>
    </row>
    <row r="5531" spans="59:62" x14ac:dyDescent="0.3">
      <c r="BG5531" s="387"/>
      <c r="BH5531" s="386"/>
      <c r="BI5531" s="386"/>
      <c r="BJ5531" s="46"/>
    </row>
    <row r="5532" spans="59:62" x14ac:dyDescent="0.3">
      <c r="BG5532" s="387"/>
      <c r="BH5532" s="386"/>
      <c r="BI5532" s="386"/>
      <c r="BJ5532" s="46"/>
    </row>
    <row r="5533" spans="59:62" x14ac:dyDescent="0.3">
      <c r="BG5533" s="387"/>
      <c r="BH5533" s="386"/>
      <c r="BI5533" s="386"/>
      <c r="BJ5533" s="46"/>
    </row>
    <row r="5534" spans="59:62" x14ac:dyDescent="0.3">
      <c r="BG5534" s="387"/>
      <c r="BH5534" s="386"/>
      <c r="BI5534" s="386"/>
      <c r="BJ5534" s="46"/>
    </row>
    <row r="5535" spans="59:62" x14ac:dyDescent="0.3">
      <c r="BG5535" s="387"/>
      <c r="BH5535" s="386"/>
      <c r="BI5535" s="386"/>
      <c r="BJ5535" s="46"/>
    </row>
    <row r="5536" spans="59:62" x14ac:dyDescent="0.3">
      <c r="BG5536" s="387"/>
      <c r="BH5536" s="386"/>
      <c r="BI5536" s="386"/>
      <c r="BJ5536" s="46"/>
    </row>
    <row r="5537" spans="59:62" x14ac:dyDescent="0.3">
      <c r="BG5537" s="387"/>
      <c r="BH5537" s="386"/>
      <c r="BI5537" s="386"/>
      <c r="BJ5537" s="46"/>
    </row>
    <row r="5538" spans="59:62" x14ac:dyDescent="0.3">
      <c r="BG5538" s="387"/>
      <c r="BH5538" s="386"/>
      <c r="BI5538" s="386"/>
      <c r="BJ5538" s="46"/>
    </row>
    <row r="5539" spans="59:62" x14ac:dyDescent="0.3">
      <c r="BG5539" s="387"/>
      <c r="BH5539" s="386"/>
      <c r="BI5539" s="386"/>
      <c r="BJ5539" s="46"/>
    </row>
    <row r="5540" spans="59:62" x14ac:dyDescent="0.3">
      <c r="BG5540" s="387"/>
      <c r="BH5540" s="386"/>
      <c r="BI5540" s="386"/>
      <c r="BJ5540" s="46"/>
    </row>
    <row r="5541" spans="59:62" x14ac:dyDescent="0.3">
      <c r="BG5541" s="387"/>
      <c r="BH5541" s="386"/>
      <c r="BI5541" s="386"/>
      <c r="BJ5541" s="46"/>
    </row>
    <row r="5542" spans="59:62" x14ac:dyDescent="0.3">
      <c r="BG5542" s="387"/>
      <c r="BH5542" s="386"/>
      <c r="BI5542" s="386"/>
      <c r="BJ5542" s="46"/>
    </row>
    <row r="5543" spans="59:62" x14ac:dyDescent="0.3">
      <c r="BG5543" s="387"/>
      <c r="BH5543" s="386"/>
      <c r="BI5543" s="386"/>
      <c r="BJ5543" s="46"/>
    </row>
    <row r="5544" spans="59:62" x14ac:dyDescent="0.3">
      <c r="BG5544" s="387"/>
      <c r="BH5544" s="386"/>
      <c r="BI5544" s="386"/>
      <c r="BJ5544" s="46"/>
    </row>
    <row r="5545" spans="59:62" x14ac:dyDescent="0.3">
      <c r="BG5545" s="387"/>
      <c r="BH5545" s="386"/>
      <c r="BI5545" s="386"/>
      <c r="BJ5545" s="46"/>
    </row>
    <row r="5546" spans="59:62" x14ac:dyDescent="0.3">
      <c r="BG5546" s="387"/>
      <c r="BH5546" s="386"/>
      <c r="BI5546" s="386"/>
      <c r="BJ5546" s="46"/>
    </row>
    <row r="5547" spans="59:62" x14ac:dyDescent="0.3">
      <c r="BG5547" s="387"/>
      <c r="BH5547" s="386"/>
      <c r="BI5547" s="386"/>
      <c r="BJ5547" s="46"/>
    </row>
    <row r="5548" spans="59:62" x14ac:dyDescent="0.3">
      <c r="BG5548" s="387"/>
      <c r="BH5548" s="386"/>
      <c r="BI5548" s="386"/>
      <c r="BJ5548" s="46"/>
    </row>
    <row r="5549" spans="59:62" x14ac:dyDescent="0.3">
      <c r="BG5549" s="387"/>
      <c r="BH5549" s="386"/>
      <c r="BI5549" s="386"/>
      <c r="BJ5549" s="46"/>
    </row>
    <row r="5550" spans="59:62" x14ac:dyDescent="0.3">
      <c r="BG5550" s="387"/>
      <c r="BH5550" s="386"/>
      <c r="BI5550" s="386"/>
      <c r="BJ5550" s="46"/>
    </row>
    <row r="5551" spans="59:62" x14ac:dyDescent="0.3">
      <c r="BG5551" s="387"/>
      <c r="BH5551" s="386"/>
      <c r="BI5551" s="386"/>
      <c r="BJ5551" s="46"/>
    </row>
    <row r="5552" spans="59:62" x14ac:dyDescent="0.3">
      <c r="BG5552" s="387"/>
      <c r="BH5552" s="386"/>
      <c r="BI5552" s="386"/>
      <c r="BJ5552" s="46"/>
    </row>
    <row r="5553" spans="59:62" x14ac:dyDescent="0.3">
      <c r="BG5553" s="387"/>
      <c r="BH5553" s="386"/>
      <c r="BI5553" s="386"/>
      <c r="BJ5553" s="46"/>
    </row>
    <row r="5554" spans="59:62" x14ac:dyDescent="0.3">
      <c r="BG5554" s="387"/>
      <c r="BH5554" s="386"/>
      <c r="BI5554" s="386"/>
      <c r="BJ5554" s="46"/>
    </row>
    <row r="5555" spans="59:62" x14ac:dyDescent="0.3">
      <c r="BG5555" s="387"/>
      <c r="BH5555" s="386"/>
      <c r="BI5555" s="386"/>
      <c r="BJ5555" s="46"/>
    </row>
    <row r="5556" spans="59:62" x14ac:dyDescent="0.3">
      <c r="BG5556" s="387"/>
      <c r="BH5556" s="386"/>
      <c r="BI5556" s="386"/>
      <c r="BJ5556" s="46"/>
    </row>
    <row r="5557" spans="59:62" x14ac:dyDescent="0.3">
      <c r="BG5557" s="387"/>
      <c r="BH5557" s="386"/>
      <c r="BI5557" s="386"/>
      <c r="BJ5557" s="46"/>
    </row>
    <row r="5558" spans="59:62" x14ac:dyDescent="0.3">
      <c r="BG5558" s="387"/>
      <c r="BH5558" s="386"/>
      <c r="BI5558" s="386"/>
      <c r="BJ5558" s="46"/>
    </row>
    <row r="5559" spans="59:62" x14ac:dyDescent="0.3">
      <c r="BG5559" s="387"/>
      <c r="BH5559" s="386"/>
      <c r="BI5559" s="386"/>
      <c r="BJ5559" s="46"/>
    </row>
    <row r="5560" spans="59:62" x14ac:dyDescent="0.3">
      <c r="BG5560" s="387"/>
      <c r="BH5560" s="386"/>
      <c r="BI5560" s="386"/>
      <c r="BJ5560" s="46"/>
    </row>
    <row r="5561" spans="59:62" x14ac:dyDescent="0.3">
      <c r="BG5561" s="387"/>
      <c r="BH5561" s="386"/>
      <c r="BI5561" s="386"/>
      <c r="BJ5561" s="46"/>
    </row>
    <row r="5562" spans="59:62" x14ac:dyDescent="0.3">
      <c r="BG5562" s="387"/>
      <c r="BH5562" s="386"/>
      <c r="BI5562" s="386"/>
      <c r="BJ5562" s="46"/>
    </row>
    <row r="5563" spans="59:62" x14ac:dyDescent="0.3">
      <c r="BG5563" s="387"/>
      <c r="BH5563" s="386"/>
      <c r="BI5563" s="386"/>
      <c r="BJ5563" s="46"/>
    </row>
    <row r="5564" spans="59:62" x14ac:dyDescent="0.3">
      <c r="BG5564" s="387"/>
      <c r="BH5564" s="386"/>
      <c r="BI5564" s="386"/>
      <c r="BJ5564" s="46"/>
    </row>
    <row r="5565" spans="59:62" x14ac:dyDescent="0.3">
      <c r="BG5565" s="387"/>
      <c r="BH5565" s="386"/>
      <c r="BI5565" s="386"/>
      <c r="BJ5565" s="46"/>
    </row>
    <row r="5566" spans="59:62" x14ac:dyDescent="0.3">
      <c r="BG5566" s="387"/>
      <c r="BH5566" s="386"/>
      <c r="BI5566" s="386"/>
      <c r="BJ5566" s="46"/>
    </row>
    <row r="5567" spans="59:62" x14ac:dyDescent="0.3">
      <c r="BG5567" s="387"/>
      <c r="BH5567" s="386"/>
      <c r="BI5567" s="386"/>
      <c r="BJ5567" s="46"/>
    </row>
    <row r="5568" spans="59:62" x14ac:dyDescent="0.3">
      <c r="BG5568" s="387"/>
      <c r="BH5568" s="386"/>
      <c r="BI5568" s="386"/>
      <c r="BJ5568" s="46"/>
    </row>
    <row r="5569" spans="59:62" x14ac:dyDescent="0.3">
      <c r="BG5569" s="387"/>
      <c r="BH5569" s="386"/>
      <c r="BI5569" s="386"/>
      <c r="BJ5569" s="46"/>
    </row>
    <row r="5570" spans="59:62" x14ac:dyDescent="0.3">
      <c r="BG5570" s="387"/>
      <c r="BH5570" s="386"/>
      <c r="BI5570" s="386"/>
      <c r="BJ5570" s="46"/>
    </row>
    <row r="5571" spans="59:62" x14ac:dyDescent="0.3">
      <c r="BG5571" s="387"/>
      <c r="BH5571" s="386"/>
      <c r="BI5571" s="386"/>
      <c r="BJ5571" s="46"/>
    </row>
    <row r="5572" spans="59:62" x14ac:dyDescent="0.3">
      <c r="BG5572" s="387"/>
      <c r="BH5572" s="386"/>
      <c r="BI5572" s="386"/>
      <c r="BJ5572" s="46"/>
    </row>
    <row r="5573" spans="59:62" x14ac:dyDescent="0.3">
      <c r="BG5573" s="387"/>
      <c r="BH5573" s="386"/>
      <c r="BI5573" s="386"/>
      <c r="BJ5573" s="46"/>
    </row>
    <row r="5574" spans="59:62" x14ac:dyDescent="0.3">
      <c r="BG5574" s="387"/>
      <c r="BH5574" s="386"/>
      <c r="BI5574" s="386"/>
      <c r="BJ5574" s="46"/>
    </row>
    <row r="5575" spans="59:62" x14ac:dyDescent="0.3">
      <c r="BG5575" s="387"/>
      <c r="BH5575" s="386"/>
      <c r="BI5575" s="386"/>
      <c r="BJ5575" s="46"/>
    </row>
    <row r="5576" spans="59:62" x14ac:dyDescent="0.3">
      <c r="BG5576" s="387"/>
      <c r="BH5576" s="386"/>
      <c r="BI5576" s="386"/>
      <c r="BJ5576" s="46"/>
    </row>
    <row r="5577" spans="59:62" x14ac:dyDescent="0.3">
      <c r="BG5577" s="387"/>
      <c r="BH5577" s="386"/>
      <c r="BI5577" s="386"/>
      <c r="BJ5577" s="46"/>
    </row>
    <row r="5578" spans="59:62" x14ac:dyDescent="0.3">
      <c r="BG5578" s="387"/>
      <c r="BH5578" s="386"/>
      <c r="BI5578" s="386"/>
      <c r="BJ5578" s="46"/>
    </row>
    <row r="5579" spans="59:62" x14ac:dyDescent="0.3">
      <c r="BG5579" s="387"/>
      <c r="BH5579" s="386"/>
      <c r="BI5579" s="386"/>
      <c r="BJ5579" s="46"/>
    </row>
    <row r="5580" spans="59:62" x14ac:dyDescent="0.3">
      <c r="BG5580" s="387"/>
      <c r="BH5580" s="386"/>
      <c r="BI5580" s="386"/>
      <c r="BJ5580" s="46"/>
    </row>
    <row r="5581" spans="59:62" x14ac:dyDescent="0.3">
      <c r="BG5581" s="387"/>
      <c r="BH5581" s="386"/>
      <c r="BI5581" s="386"/>
      <c r="BJ5581" s="46"/>
    </row>
    <row r="5582" spans="59:62" x14ac:dyDescent="0.3">
      <c r="BG5582" s="387"/>
      <c r="BH5582" s="386"/>
      <c r="BI5582" s="386"/>
      <c r="BJ5582" s="46"/>
    </row>
    <row r="5583" spans="59:62" x14ac:dyDescent="0.3">
      <c r="BG5583" s="387"/>
      <c r="BH5583" s="386"/>
      <c r="BI5583" s="386"/>
      <c r="BJ5583" s="46"/>
    </row>
    <row r="5584" spans="59:62" x14ac:dyDescent="0.3">
      <c r="BG5584" s="387"/>
      <c r="BH5584" s="386"/>
      <c r="BI5584" s="386"/>
      <c r="BJ5584" s="46"/>
    </row>
    <row r="5585" spans="59:62" x14ac:dyDescent="0.3">
      <c r="BG5585" s="387"/>
      <c r="BH5585" s="386"/>
      <c r="BI5585" s="386"/>
      <c r="BJ5585" s="46"/>
    </row>
    <row r="5586" spans="59:62" x14ac:dyDescent="0.3">
      <c r="BG5586" s="387"/>
      <c r="BH5586" s="386"/>
      <c r="BI5586" s="386"/>
      <c r="BJ5586" s="46"/>
    </row>
    <row r="5587" spans="59:62" x14ac:dyDescent="0.3">
      <c r="BG5587" s="387"/>
      <c r="BH5587" s="386"/>
      <c r="BI5587" s="386"/>
      <c r="BJ5587" s="46"/>
    </row>
    <row r="5588" spans="59:62" x14ac:dyDescent="0.3">
      <c r="BG5588" s="387"/>
      <c r="BH5588" s="386"/>
      <c r="BI5588" s="386"/>
      <c r="BJ5588" s="46"/>
    </row>
    <row r="5589" spans="59:62" x14ac:dyDescent="0.3">
      <c r="BG5589" s="387"/>
      <c r="BH5589" s="386"/>
      <c r="BI5589" s="386"/>
      <c r="BJ5589" s="46"/>
    </row>
    <row r="5590" spans="59:62" x14ac:dyDescent="0.3">
      <c r="BG5590" s="387"/>
      <c r="BH5590" s="386"/>
      <c r="BI5590" s="386"/>
      <c r="BJ5590" s="46"/>
    </row>
    <row r="5591" spans="59:62" x14ac:dyDescent="0.3">
      <c r="BG5591" s="387"/>
      <c r="BH5591" s="386"/>
      <c r="BI5591" s="386"/>
      <c r="BJ5591" s="46"/>
    </row>
    <row r="5592" spans="59:62" x14ac:dyDescent="0.3">
      <c r="BG5592" s="387"/>
      <c r="BH5592" s="386"/>
      <c r="BI5592" s="386"/>
      <c r="BJ5592" s="46"/>
    </row>
    <row r="5593" spans="59:62" x14ac:dyDescent="0.3">
      <c r="BG5593" s="387"/>
      <c r="BH5593" s="386"/>
      <c r="BI5593" s="386"/>
      <c r="BJ5593" s="46"/>
    </row>
    <row r="5594" spans="59:62" x14ac:dyDescent="0.3">
      <c r="BG5594" s="387"/>
      <c r="BH5594" s="386"/>
      <c r="BI5594" s="386"/>
      <c r="BJ5594" s="46"/>
    </row>
    <row r="5595" spans="59:62" x14ac:dyDescent="0.3">
      <c r="BG5595" s="387"/>
      <c r="BH5595" s="386"/>
      <c r="BI5595" s="386"/>
      <c r="BJ5595" s="46"/>
    </row>
    <row r="5596" spans="59:62" x14ac:dyDescent="0.3">
      <c r="BG5596" s="387"/>
      <c r="BH5596" s="386"/>
      <c r="BI5596" s="386"/>
      <c r="BJ5596" s="46"/>
    </row>
    <row r="5597" spans="59:62" x14ac:dyDescent="0.3">
      <c r="BG5597" s="387"/>
      <c r="BH5597" s="386"/>
      <c r="BI5597" s="386"/>
      <c r="BJ5597" s="46"/>
    </row>
    <row r="5598" spans="59:62" x14ac:dyDescent="0.3">
      <c r="BG5598" s="387"/>
      <c r="BH5598" s="386"/>
      <c r="BI5598" s="386"/>
      <c r="BJ5598" s="46"/>
    </row>
    <row r="5599" spans="59:62" x14ac:dyDescent="0.3">
      <c r="BG5599" s="387"/>
      <c r="BH5599" s="386"/>
      <c r="BI5599" s="386"/>
      <c r="BJ5599" s="46"/>
    </row>
    <row r="5600" spans="59:62" x14ac:dyDescent="0.3">
      <c r="BG5600" s="387"/>
      <c r="BH5600" s="386"/>
      <c r="BI5600" s="386"/>
      <c r="BJ5600" s="46"/>
    </row>
    <row r="5601" spans="59:62" x14ac:dyDescent="0.3">
      <c r="BG5601" s="387"/>
      <c r="BH5601" s="386"/>
      <c r="BI5601" s="386"/>
      <c r="BJ5601" s="46"/>
    </row>
    <row r="5602" spans="59:62" x14ac:dyDescent="0.3">
      <c r="BG5602" s="387"/>
      <c r="BH5602" s="386"/>
      <c r="BI5602" s="386"/>
      <c r="BJ5602" s="46"/>
    </row>
    <row r="5603" spans="59:62" x14ac:dyDescent="0.3">
      <c r="BG5603" s="387"/>
      <c r="BH5603" s="386"/>
      <c r="BI5603" s="386"/>
      <c r="BJ5603" s="46"/>
    </row>
    <row r="5604" spans="59:62" x14ac:dyDescent="0.3">
      <c r="BG5604" s="387"/>
      <c r="BH5604" s="386"/>
      <c r="BI5604" s="386"/>
      <c r="BJ5604" s="46"/>
    </row>
    <row r="5605" spans="59:62" x14ac:dyDescent="0.3">
      <c r="BG5605" s="387"/>
      <c r="BH5605" s="386"/>
      <c r="BI5605" s="386"/>
      <c r="BJ5605" s="46"/>
    </row>
    <row r="5606" spans="59:62" x14ac:dyDescent="0.3">
      <c r="BG5606" s="387"/>
      <c r="BH5606" s="386"/>
      <c r="BI5606" s="386"/>
      <c r="BJ5606" s="46"/>
    </row>
    <row r="5607" spans="59:62" x14ac:dyDescent="0.3">
      <c r="BG5607" s="387"/>
      <c r="BH5607" s="386"/>
      <c r="BI5607" s="386"/>
      <c r="BJ5607" s="46"/>
    </row>
    <row r="5608" spans="59:62" x14ac:dyDescent="0.3">
      <c r="BG5608" s="387"/>
      <c r="BH5608" s="386"/>
      <c r="BI5608" s="386"/>
      <c r="BJ5608" s="46"/>
    </row>
    <row r="5609" spans="59:62" x14ac:dyDescent="0.3">
      <c r="BG5609" s="387"/>
      <c r="BH5609" s="386"/>
      <c r="BI5609" s="386"/>
      <c r="BJ5609" s="46"/>
    </row>
    <row r="5610" spans="59:62" x14ac:dyDescent="0.3">
      <c r="BG5610" s="387"/>
      <c r="BH5610" s="386"/>
      <c r="BI5610" s="386"/>
      <c r="BJ5610" s="46"/>
    </row>
    <row r="5611" spans="59:62" x14ac:dyDescent="0.3">
      <c r="BG5611" s="387"/>
      <c r="BH5611" s="386"/>
      <c r="BI5611" s="386"/>
      <c r="BJ5611" s="46"/>
    </row>
    <row r="5612" spans="59:62" x14ac:dyDescent="0.3">
      <c r="BG5612" s="387"/>
      <c r="BH5612" s="386"/>
      <c r="BI5612" s="386"/>
      <c r="BJ5612" s="46"/>
    </row>
    <row r="5613" spans="59:62" x14ac:dyDescent="0.3">
      <c r="BG5613" s="387"/>
      <c r="BH5613" s="386"/>
      <c r="BI5613" s="386"/>
      <c r="BJ5613" s="46"/>
    </row>
    <row r="5614" spans="59:62" x14ac:dyDescent="0.3">
      <c r="BG5614" s="387"/>
      <c r="BH5614" s="386"/>
      <c r="BI5614" s="386"/>
      <c r="BJ5614" s="46"/>
    </row>
    <row r="5615" spans="59:62" x14ac:dyDescent="0.3">
      <c r="BG5615" s="387"/>
      <c r="BH5615" s="386"/>
      <c r="BI5615" s="386"/>
      <c r="BJ5615" s="46"/>
    </row>
    <row r="5616" spans="59:62" x14ac:dyDescent="0.3">
      <c r="BG5616" s="387"/>
      <c r="BH5616" s="386"/>
      <c r="BI5616" s="386"/>
      <c r="BJ5616" s="46"/>
    </row>
    <row r="5617" spans="59:62" x14ac:dyDescent="0.3">
      <c r="BG5617" s="387"/>
      <c r="BH5617" s="386"/>
      <c r="BI5617" s="386"/>
      <c r="BJ5617" s="46"/>
    </row>
    <row r="5618" spans="59:62" x14ac:dyDescent="0.3">
      <c r="BG5618" s="387"/>
      <c r="BH5618" s="386"/>
      <c r="BI5618" s="386"/>
      <c r="BJ5618" s="46"/>
    </row>
    <row r="5619" spans="59:62" x14ac:dyDescent="0.3">
      <c r="BG5619" s="387"/>
      <c r="BH5619" s="386"/>
      <c r="BI5619" s="386"/>
      <c r="BJ5619" s="46"/>
    </row>
    <row r="5620" spans="59:62" x14ac:dyDescent="0.3">
      <c r="BG5620" s="387"/>
      <c r="BH5620" s="386"/>
      <c r="BI5620" s="386"/>
      <c r="BJ5620" s="46"/>
    </row>
    <row r="5621" spans="59:62" x14ac:dyDescent="0.3">
      <c r="BG5621" s="387"/>
      <c r="BH5621" s="386"/>
      <c r="BI5621" s="386"/>
      <c r="BJ5621" s="46"/>
    </row>
    <row r="5622" spans="59:62" x14ac:dyDescent="0.3">
      <c r="BG5622" s="387"/>
      <c r="BH5622" s="386"/>
      <c r="BI5622" s="386"/>
      <c r="BJ5622" s="46"/>
    </row>
    <row r="5623" spans="59:62" x14ac:dyDescent="0.3">
      <c r="BG5623" s="387"/>
      <c r="BH5623" s="386"/>
      <c r="BI5623" s="386"/>
      <c r="BJ5623" s="46"/>
    </row>
    <row r="5624" spans="59:62" x14ac:dyDescent="0.3">
      <c r="BG5624" s="387"/>
      <c r="BH5624" s="386"/>
      <c r="BI5624" s="386"/>
      <c r="BJ5624" s="46"/>
    </row>
    <row r="5625" spans="59:62" x14ac:dyDescent="0.3">
      <c r="BG5625" s="387"/>
      <c r="BH5625" s="386"/>
      <c r="BI5625" s="386"/>
      <c r="BJ5625" s="46"/>
    </row>
    <row r="5626" spans="59:62" x14ac:dyDescent="0.3">
      <c r="BG5626" s="387"/>
      <c r="BH5626" s="386"/>
      <c r="BI5626" s="386"/>
      <c r="BJ5626" s="46"/>
    </row>
    <row r="5627" spans="59:62" x14ac:dyDescent="0.3">
      <c r="BG5627" s="387"/>
      <c r="BH5627" s="386"/>
      <c r="BI5627" s="386"/>
      <c r="BJ5627" s="46"/>
    </row>
    <row r="5628" spans="59:62" x14ac:dyDescent="0.3">
      <c r="BG5628" s="387"/>
      <c r="BH5628" s="386"/>
      <c r="BI5628" s="386"/>
      <c r="BJ5628" s="46"/>
    </row>
    <row r="5629" spans="59:62" x14ac:dyDescent="0.3">
      <c r="BG5629" s="387"/>
      <c r="BH5629" s="386"/>
      <c r="BI5629" s="386"/>
      <c r="BJ5629" s="46"/>
    </row>
    <row r="5630" spans="59:62" x14ac:dyDescent="0.3">
      <c r="BG5630" s="387"/>
      <c r="BH5630" s="386"/>
      <c r="BI5630" s="386"/>
      <c r="BJ5630" s="46"/>
    </row>
    <row r="5631" spans="59:62" x14ac:dyDescent="0.3">
      <c r="BG5631" s="387"/>
      <c r="BH5631" s="386"/>
      <c r="BI5631" s="386"/>
      <c r="BJ5631" s="46"/>
    </row>
    <row r="5632" spans="59:62" x14ac:dyDescent="0.3">
      <c r="BG5632" s="387"/>
      <c r="BH5632" s="386"/>
      <c r="BI5632" s="386"/>
      <c r="BJ5632" s="46"/>
    </row>
    <row r="5633" spans="59:62" x14ac:dyDescent="0.3">
      <c r="BG5633" s="387"/>
      <c r="BH5633" s="386"/>
      <c r="BI5633" s="386"/>
      <c r="BJ5633" s="46"/>
    </row>
    <row r="5634" spans="59:62" x14ac:dyDescent="0.3">
      <c r="BG5634" s="387"/>
      <c r="BH5634" s="386"/>
      <c r="BI5634" s="386"/>
      <c r="BJ5634" s="46"/>
    </row>
    <row r="5635" spans="59:62" x14ac:dyDescent="0.3">
      <c r="BG5635" s="387"/>
      <c r="BH5635" s="386"/>
      <c r="BI5635" s="386"/>
      <c r="BJ5635" s="46"/>
    </row>
    <row r="5636" spans="59:62" x14ac:dyDescent="0.3">
      <c r="BG5636" s="387"/>
      <c r="BH5636" s="386"/>
      <c r="BI5636" s="386"/>
      <c r="BJ5636" s="46"/>
    </row>
    <row r="5637" spans="59:62" x14ac:dyDescent="0.3">
      <c r="BG5637" s="387"/>
      <c r="BH5637" s="386"/>
      <c r="BI5637" s="386"/>
      <c r="BJ5637" s="46"/>
    </row>
    <row r="5638" spans="59:62" x14ac:dyDescent="0.3">
      <c r="BG5638" s="387"/>
      <c r="BH5638" s="386"/>
      <c r="BI5638" s="386"/>
      <c r="BJ5638" s="46"/>
    </row>
    <row r="5639" spans="59:62" x14ac:dyDescent="0.3">
      <c r="BG5639" s="387"/>
      <c r="BH5639" s="386"/>
      <c r="BI5639" s="386"/>
      <c r="BJ5639" s="46"/>
    </row>
    <row r="5640" spans="59:62" x14ac:dyDescent="0.3">
      <c r="BG5640" s="387"/>
      <c r="BH5640" s="386"/>
      <c r="BI5640" s="386"/>
      <c r="BJ5640" s="46"/>
    </row>
    <row r="5641" spans="59:62" x14ac:dyDescent="0.3">
      <c r="BG5641" s="387"/>
      <c r="BH5641" s="386"/>
      <c r="BI5641" s="386"/>
      <c r="BJ5641" s="46"/>
    </row>
    <row r="5642" spans="59:62" x14ac:dyDescent="0.3">
      <c r="BG5642" s="387"/>
      <c r="BH5642" s="386"/>
      <c r="BI5642" s="386"/>
      <c r="BJ5642" s="46"/>
    </row>
    <row r="5643" spans="59:62" x14ac:dyDescent="0.3">
      <c r="BG5643" s="387"/>
      <c r="BH5643" s="386"/>
      <c r="BI5643" s="386"/>
      <c r="BJ5643" s="46"/>
    </row>
    <row r="5644" spans="59:62" x14ac:dyDescent="0.3">
      <c r="BG5644" s="387"/>
      <c r="BH5644" s="386"/>
      <c r="BI5644" s="386"/>
      <c r="BJ5644" s="46"/>
    </row>
    <row r="5645" spans="59:62" x14ac:dyDescent="0.3">
      <c r="BG5645" s="387"/>
      <c r="BH5645" s="386"/>
      <c r="BI5645" s="386"/>
      <c r="BJ5645" s="46"/>
    </row>
    <row r="5646" spans="59:62" x14ac:dyDescent="0.3">
      <c r="BG5646" s="387"/>
      <c r="BH5646" s="386"/>
      <c r="BI5646" s="386"/>
      <c r="BJ5646" s="46"/>
    </row>
    <row r="5647" spans="59:62" x14ac:dyDescent="0.3">
      <c r="BG5647" s="387"/>
      <c r="BH5647" s="386"/>
      <c r="BI5647" s="386"/>
      <c r="BJ5647" s="46"/>
    </row>
    <row r="5648" spans="59:62" x14ac:dyDescent="0.3">
      <c r="BG5648" s="387"/>
      <c r="BH5648" s="386"/>
      <c r="BI5648" s="386"/>
      <c r="BJ5648" s="46"/>
    </row>
    <row r="5649" spans="59:62" x14ac:dyDescent="0.3">
      <c r="BG5649" s="387"/>
      <c r="BH5649" s="386"/>
      <c r="BI5649" s="386"/>
      <c r="BJ5649" s="46"/>
    </row>
    <row r="5650" spans="59:62" x14ac:dyDescent="0.3">
      <c r="BG5650" s="387"/>
      <c r="BH5650" s="386"/>
      <c r="BI5650" s="386"/>
      <c r="BJ5650" s="46"/>
    </row>
    <row r="5651" spans="59:62" x14ac:dyDescent="0.3">
      <c r="BG5651" s="387"/>
      <c r="BH5651" s="386"/>
      <c r="BI5651" s="386"/>
      <c r="BJ5651" s="46"/>
    </row>
    <row r="5652" spans="59:62" x14ac:dyDescent="0.3">
      <c r="BG5652" s="387"/>
      <c r="BH5652" s="386"/>
      <c r="BI5652" s="386"/>
      <c r="BJ5652" s="46"/>
    </row>
    <row r="5653" spans="59:62" x14ac:dyDescent="0.3">
      <c r="BG5653" s="387"/>
      <c r="BH5653" s="386"/>
      <c r="BI5653" s="386"/>
      <c r="BJ5653" s="46"/>
    </row>
    <row r="5654" spans="59:62" x14ac:dyDescent="0.3">
      <c r="BG5654" s="387"/>
      <c r="BH5654" s="386"/>
      <c r="BI5654" s="386"/>
      <c r="BJ5654" s="46"/>
    </row>
    <row r="5655" spans="59:62" x14ac:dyDescent="0.3">
      <c r="BG5655" s="387"/>
      <c r="BH5655" s="386"/>
      <c r="BI5655" s="386"/>
      <c r="BJ5655" s="46"/>
    </row>
    <row r="5656" spans="59:62" x14ac:dyDescent="0.3">
      <c r="BG5656" s="387"/>
      <c r="BH5656" s="386"/>
      <c r="BI5656" s="386"/>
      <c r="BJ5656" s="46"/>
    </row>
    <row r="5657" spans="59:62" x14ac:dyDescent="0.3">
      <c r="BG5657" s="387"/>
      <c r="BH5657" s="386"/>
      <c r="BI5657" s="386"/>
      <c r="BJ5657" s="46"/>
    </row>
    <row r="5658" spans="59:62" x14ac:dyDescent="0.3">
      <c r="BG5658" s="387"/>
      <c r="BH5658" s="386"/>
      <c r="BI5658" s="386"/>
      <c r="BJ5658" s="46"/>
    </row>
    <row r="5659" spans="59:62" x14ac:dyDescent="0.3">
      <c r="BG5659" s="387"/>
      <c r="BH5659" s="386"/>
      <c r="BI5659" s="386"/>
      <c r="BJ5659" s="46"/>
    </row>
    <row r="5660" spans="59:62" x14ac:dyDescent="0.3">
      <c r="BG5660" s="387"/>
      <c r="BH5660" s="386"/>
      <c r="BI5660" s="386"/>
      <c r="BJ5660" s="46"/>
    </row>
    <row r="5661" spans="59:62" x14ac:dyDescent="0.3">
      <c r="BG5661" s="387"/>
      <c r="BH5661" s="386"/>
      <c r="BI5661" s="386"/>
      <c r="BJ5661" s="46"/>
    </row>
    <row r="5662" spans="59:62" x14ac:dyDescent="0.3">
      <c r="BG5662" s="387"/>
      <c r="BH5662" s="386"/>
      <c r="BI5662" s="386"/>
      <c r="BJ5662" s="46"/>
    </row>
    <row r="5663" spans="59:62" x14ac:dyDescent="0.3">
      <c r="BG5663" s="387"/>
      <c r="BH5663" s="386"/>
      <c r="BI5663" s="386"/>
      <c r="BJ5663" s="46"/>
    </row>
    <row r="5664" spans="59:62" x14ac:dyDescent="0.3">
      <c r="BG5664" s="387"/>
      <c r="BH5664" s="386"/>
      <c r="BI5664" s="386"/>
      <c r="BJ5664" s="46"/>
    </row>
    <row r="5665" spans="59:62" x14ac:dyDescent="0.3">
      <c r="BG5665" s="387"/>
      <c r="BH5665" s="386"/>
      <c r="BI5665" s="386"/>
      <c r="BJ5665" s="46"/>
    </row>
    <row r="5666" spans="59:62" x14ac:dyDescent="0.3">
      <c r="BG5666" s="387"/>
      <c r="BH5666" s="386"/>
      <c r="BI5666" s="386"/>
      <c r="BJ5666" s="46"/>
    </row>
    <row r="5667" spans="59:62" x14ac:dyDescent="0.3">
      <c r="BG5667" s="387"/>
      <c r="BH5667" s="386"/>
      <c r="BI5667" s="386"/>
      <c r="BJ5667" s="46"/>
    </row>
    <row r="5668" spans="59:62" x14ac:dyDescent="0.3">
      <c r="BG5668" s="387"/>
      <c r="BH5668" s="386"/>
      <c r="BI5668" s="386"/>
      <c r="BJ5668" s="46"/>
    </row>
    <row r="5669" spans="59:62" x14ac:dyDescent="0.3">
      <c r="BG5669" s="387"/>
      <c r="BH5669" s="386"/>
      <c r="BI5669" s="386"/>
      <c r="BJ5669" s="46"/>
    </row>
    <row r="5670" spans="59:62" x14ac:dyDescent="0.3">
      <c r="BG5670" s="387"/>
      <c r="BH5670" s="386"/>
      <c r="BI5670" s="386"/>
      <c r="BJ5670" s="46"/>
    </row>
    <row r="5671" spans="59:62" x14ac:dyDescent="0.3">
      <c r="BG5671" s="387"/>
      <c r="BH5671" s="386"/>
      <c r="BI5671" s="386"/>
      <c r="BJ5671" s="46"/>
    </row>
    <row r="5672" spans="59:62" x14ac:dyDescent="0.3">
      <c r="BG5672" s="387"/>
      <c r="BH5672" s="386"/>
      <c r="BI5672" s="386"/>
      <c r="BJ5672" s="46"/>
    </row>
    <row r="5673" spans="59:62" x14ac:dyDescent="0.3">
      <c r="BG5673" s="387"/>
      <c r="BH5673" s="386"/>
      <c r="BI5673" s="386"/>
      <c r="BJ5673" s="46"/>
    </row>
    <row r="5674" spans="59:62" x14ac:dyDescent="0.3">
      <c r="BG5674" s="387"/>
      <c r="BH5674" s="386"/>
      <c r="BI5674" s="386"/>
      <c r="BJ5674" s="46"/>
    </row>
    <row r="5675" spans="59:62" x14ac:dyDescent="0.3">
      <c r="BG5675" s="387"/>
      <c r="BH5675" s="386"/>
      <c r="BI5675" s="386"/>
      <c r="BJ5675" s="46"/>
    </row>
    <row r="5676" spans="59:62" x14ac:dyDescent="0.3">
      <c r="BG5676" s="387"/>
      <c r="BH5676" s="386"/>
      <c r="BI5676" s="386"/>
      <c r="BJ5676" s="46"/>
    </row>
    <row r="5677" spans="59:62" x14ac:dyDescent="0.3">
      <c r="BG5677" s="387"/>
      <c r="BH5677" s="386"/>
      <c r="BI5677" s="386"/>
      <c r="BJ5677" s="46"/>
    </row>
    <row r="5678" spans="59:62" x14ac:dyDescent="0.3">
      <c r="BG5678" s="387"/>
      <c r="BH5678" s="386"/>
      <c r="BI5678" s="386"/>
      <c r="BJ5678" s="46"/>
    </row>
    <row r="5679" spans="59:62" x14ac:dyDescent="0.3">
      <c r="BG5679" s="387"/>
      <c r="BH5679" s="386"/>
      <c r="BI5679" s="386"/>
      <c r="BJ5679" s="46"/>
    </row>
    <row r="5680" spans="59:62" x14ac:dyDescent="0.3">
      <c r="BG5680" s="387"/>
      <c r="BH5680" s="386"/>
      <c r="BI5680" s="386"/>
      <c r="BJ5680" s="46"/>
    </row>
    <row r="5681" spans="59:62" x14ac:dyDescent="0.3">
      <c r="BG5681" s="387"/>
      <c r="BH5681" s="386"/>
      <c r="BI5681" s="386"/>
      <c r="BJ5681" s="46"/>
    </row>
    <row r="5682" spans="59:62" x14ac:dyDescent="0.3">
      <c r="BG5682" s="387"/>
      <c r="BH5682" s="386"/>
      <c r="BI5682" s="386"/>
      <c r="BJ5682" s="46"/>
    </row>
    <row r="5683" spans="59:62" x14ac:dyDescent="0.3">
      <c r="BG5683" s="387"/>
      <c r="BH5683" s="386"/>
      <c r="BI5683" s="386"/>
      <c r="BJ5683" s="46"/>
    </row>
    <row r="5684" spans="59:62" x14ac:dyDescent="0.3">
      <c r="BG5684" s="387"/>
      <c r="BH5684" s="386"/>
      <c r="BI5684" s="386"/>
      <c r="BJ5684" s="46"/>
    </row>
    <row r="5685" spans="59:62" x14ac:dyDescent="0.3">
      <c r="BG5685" s="387"/>
      <c r="BH5685" s="386"/>
      <c r="BI5685" s="386"/>
      <c r="BJ5685" s="46"/>
    </row>
    <row r="5686" spans="59:62" x14ac:dyDescent="0.3">
      <c r="BG5686" s="387"/>
      <c r="BH5686" s="386"/>
      <c r="BI5686" s="386"/>
      <c r="BJ5686" s="46"/>
    </row>
    <row r="5687" spans="59:62" x14ac:dyDescent="0.3">
      <c r="BG5687" s="387"/>
      <c r="BH5687" s="386"/>
      <c r="BI5687" s="386"/>
      <c r="BJ5687" s="46"/>
    </row>
    <row r="5688" spans="59:62" x14ac:dyDescent="0.3">
      <c r="BG5688" s="387"/>
      <c r="BH5688" s="386"/>
      <c r="BI5688" s="386"/>
      <c r="BJ5688" s="46"/>
    </row>
    <row r="5689" spans="59:62" x14ac:dyDescent="0.3">
      <c r="BG5689" s="387"/>
      <c r="BH5689" s="386"/>
      <c r="BI5689" s="386"/>
      <c r="BJ5689" s="46"/>
    </row>
    <row r="5690" spans="59:62" x14ac:dyDescent="0.3">
      <c r="BG5690" s="387"/>
      <c r="BH5690" s="386"/>
      <c r="BI5690" s="386"/>
      <c r="BJ5690" s="46"/>
    </row>
    <row r="5691" spans="59:62" x14ac:dyDescent="0.3">
      <c r="BG5691" s="387"/>
      <c r="BH5691" s="386"/>
      <c r="BI5691" s="386"/>
      <c r="BJ5691" s="46"/>
    </row>
    <row r="5692" spans="59:62" x14ac:dyDescent="0.3">
      <c r="BG5692" s="387"/>
      <c r="BH5692" s="386"/>
      <c r="BI5692" s="386"/>
      <c r="BJ5692" s="46"/>
    </row>
    <row r="5693" spans="59:62" x14ac:dyDescent="0.3">
      <c r="BG5693" s="387"/>
      <c r="BH5693" s="386"/>
      <c r="BI5693" s="386"/>
      <c r="BJ5693" s="46"/>
    </row>
    <row r="5694" spans="59:62" x14ac:dyDescent="0.3">
      <c r="BG5694" s="387"/>
      <c r="BH5694" s="386"/>
      <c r="BI5694" s="386"/>
      <c r="BJ5694" s="46"/>
    </row>
    <row r="5695" spans="59:62" x14ac:dyDescent="0.3">
      <c r="BG5695" s="387"/>
      <c r="BH5695" s="386"/>
      <c r="BI5695" s="386"/>
      <c r="BJ5695" s="46"/>
    </row>
    <row r="5696" spans="59:62" x14ac:dyDescent="0.3">
      <c r="BG5696" s="387"/>
      <c r="BH5696" s="386"/>
      <c r="BI5696" s="386"/>
      <c r="BJ5696" s="46"/>
    </row>
    <row r="5697" spans="59:62" x14ac:dyDescent="0.3">
      <c r="BG5697" s="387"/>
      <c r="BH5697" s="386"/>
      <c r="BI5697" s="386"/>
      <c r="BJ5697" s="46"/>
    </row>
    <row r="5698" spans="59:62" x14ac:dyDescent="0.3">
      <c r="BG5698" s="387"/>
      <c r="BH5698" s="386"/>
      <c r="BI5698" s="386"/>
      <c r="BJ5698" s="46"/>
    </row>
    <row r="5699" spans="59:62" x14ac:dyDescent="0.3">
      <c r="BG5699" s="387"/>
      <c r="BH5699" s="386"/>
      <c r="BI5699" s="386"/>
      <c r="BJ5699" s="46"/>
    </row>
    <row r="5700" spans="59:62" x14ac:dyDescent="0.3">
      <c r="BG5700" s="387"/>
      <c r="BH5700" s="386"/>
      <c r="BI5700" s="386"/>
      <c r="BJ5700" s="46"/>
    </row>
    <row r="5701" spans="59:62" x14ac:dyDescent="0.3">
      <c r="BG5701" s="387"/>
      <c r="BH5701" s="386"/>
      <c r="BI5701" s="386"/>
      <c r="BJ5701" s="46"/>
    </row>
    <row r="5702" spans="59:62" x14ac:dyDescent="0.3">
      <c r="BG5702" s="387"/>
      <c r="BH5702" s="386"/>
      <c r="BI5702" s="386"/>
      <c r="BJ5702" s="46"/>
    </row>
    <row r="5703" spans="59:62" x14ac:dyDescent="0.3">
      <c r="BG5703" s="387"/>
      <c r="BH5703" s="386"/>
      <c r="BI5703" s="386"/>
      <c r="BJ5703" s="46"/>
    </row>
    <row r="5704" spans="59:62" x14ac:dyDescent="0.3">
      <c r="BG5704" s="387"/>
      <c r="BH5704" s="386"/>
      <c r="BI5704" s="386"/>
      <c r="BJ5704" s="46"/>
    </row>
    <row r="5705" spans="59:62" x14ac:dyDescent="0.3">
      <c r="BG5705" s="387"/>
      <c r="BH5705" s="386"/>
      <c r="BI5705" s="386"/>
      <c r="BJ5705" s="46"/>
    </row>
    <row r="5706" spans="59:62" x14ac:dyDescent="0.3">
      <c r="BG5706" s="387"/>
      <c r="BH5706" s="386"/>
      <c r="BI5706" s="386"/>
      <c r="BJ5706" s="46"/>
    </row>
    <row r="5707" spans="59:62" x14ac:dyDescent="0.3">
      <c r="BG5707" s="387"/>
      <c r="BH5707" s="386"/>
      <c r="BI5707" s="386"/>
      <c r="BJ5707" s="46"/>
    </row>
    <row r="5708" spans="59:62" x14ac:dyDescent="0.3">
      <c r="BG5708" s="387"/>
      <c r="BH5708" s="386"/>
      <c r="BI5708" s="386"/>
      <c r="BJ5708" s="46"/>
    </row>
    <row r="5709" spans="59:62" x14ac:dyDescent="0.3">
      <c r="BG5709" s="387"/>
      <c r="BH5709" s="386"/>
      <c r="BI5709" s="386"/>
      <c r="BJ5709" s="46"/>
    </row>
    <row r="5710" spans="59:62" x14ac:dyDescent="0.3">
      <c r="BG5710" s="387"/>
      <c r="BH5710" s="386"/>
      <c r="BI5710" s="386"/>
      <c r="BJ5710" s="46"/>
    </row>
    <row r="5711" spans="59:62" x14ac:dyDescent="0.3">
      <c r="BG5711" s="387"/>
      <c r="BH5711" s="386"/>
      <c r="BI5711" s="386"/>
      <c r="BJ5711" s="46"/>
    </row>
    <row r="5712" spans="59:62" x14ac:dyDescent="0.3">
      <c r="BG5712" s="387"/>
      <c r="BH5712" s="386"/>
      <c r="BI5712" s="386"/>
      <c r="BJ5712" s="46"/>
    </row>
    <row r="5713" spans="59:62" x14ac:dyDescent="0.3">
      <c r="BG5713" s="387"/>
      <c r="BH5713" s="386"/>
      <c r="BI5713" s="386"/>
      <c r="BJ5713" s="46"/>
    </row>
    <row r="5714" spans="59:62" x14ac:dyDescent="0.3">
      <c r="BG5714" s="387"/>
      <c r="BH5714" s="386"/>
      <c r="BI5714" s="386"/>
      <c r="BJ5714" s="46"/>
    </row>
    <row r="5715" spans="59:62" x14ac:dyDescent="0.3">
      <c r="BG5715" s="387"/>
      <c r="BH5715" s="386"/>
      <c r="BI5715" s="386"/>
      <c r="BJ5715" s="46"/>
    </row>
    <row r="5716" spans="59:62" x14ac:dyDescent="0.3">
      <c r="BG5716" s="387"/>
      <c r="BH5716" s="386"/>
      <c r="BI5716" s="386"/>
      <c r="BJ5716" s="46"/>
    </row>
    <row r="5717" spans="59:62" x14ac:dyDescent="0.3">
      <c r="BG5717" s="387"/>
      <c r="BH5717" s="386"/>
      <c r="BI5717" s="386"/>
      <c r="BJ5717" s="46"/>
    </row>
    <row r="5718" spans="59:62" x14ac:dyDescent="0.3">
      <c r="BG5718" s="387"/>
      <c r="BH5718" s="386"/>
      <c r="BI5718" s="386"/>
      <c r="BJ5718" s="46"/>
    </row>
    <row r="5719" spans="59:62" x14ac:dyDescent="0.3">
      <c r="BG5719" s="387"/>
      <c r="BH5719" s="386"/>
      <c r="BI5719" s="386"/>
      <c r="BJ5719" s="46"/>
    </row>
    <row r="5720" spans="59:62" x14ac:dyDescent="0.3">
      <c r="BG5720" s="387"/>
      <c r="BH5720" s="386"/>
      <c r="BI5720" s="386"/>
      <c r="BJ5720" s="46"/>
    </row>
    <row r="5721" spans="59:62" x14ac:dyDescent="0.3">
      <c r="BG5721" s="387"/>
      <c r="BH5721" s="386"/>
      <c r="BI5721" s="386"/>
      <c r="BJ5721" s="46"/>
    </row>
    <row r="5722" spans="59:62" x14ac:dyDescent="0.3">
      <c r="BG5722" s="387"/>
      <c r="BH5722" s="386"/>
      <c r="BI5722" s="386"/>
      <c r="BJ5722" s="46"/>
    </row>
    <row r="5723" spans="59:62" x14ac:dyDescent="0.3">
      <c r="BG5723" s="387"/>
      <c r="BH5723" s="386"/>
      <c r="BI5723" s="386"/>
      <c r="BJ5723" s="46"/>
    </row>
    <row r="5724" spans="59:62" x14ac:dyDescent="0.3">
      <c r="BG5724" s="387"/>
      <c r="BH5724" s="386"/>
      <c r="BI5724" s="386"/>
      <c r="BJ5724" s="46"/>
    </row>
    <row r="5725" spans="59:62" x14ac:dyDescent="0.3">
      <c r="BG5725" s="387"/>
      <c r="BH5725" s="386"/>
      <c r="BI5725" s="386"/>
      <c r="BJ5725" s="46"/>
    </row>
    <row r="5726" spans="59:62" x14ac:dyDescent="0.3">
      <c r="BG5726" s="387"/>
      <c r="BH5726" s="386"/>
      <c r="BI5726" s="386"/>
      <c r="BJ5726" s="46"/>
    </row>
    <row r="5727" spans="59:62" x14ac:dyDescent="0.3">
      <c r="BG5727" s="387"/>
      <c r="BH5727" s="386"/>
      <c r="BI5727" s="386"/>
      <c r="BJ5727" s="46"/>
    </row>
    <row r="5728" spans="59:62" x14ac:dyDescent="0.3">
      <c r="BG5728" s="387"/>
      <c r="BH5728" s="386"/>
      <c r="BI5728" s="386"/>
      <c r="BJ5728" s="46"/>
    </row>
    <row r="5729" spans="59:62" x14ac:dyDescent="0.3">
      <c r="BG5729" s="387"/>
      <c r="BH5729" s="386"/>
      <c r="BI5729" s="386"/>
      <c r="BJ5729" s="46"/>
    </row>
    <row r="5730" spans="59:62" x14ac:dyDescent="0.3">
      <c r="BG5730" s="387"/>
      <c r="BH5730" s="386"/>
      <c r="BI5730" s="386"/>
      <c r="BJ5730" s="46"/>
    </row>
    <row r="5731" spans="59:62" x14ac:dyDescent="0.3">
      <c r="BG5731" s="387"/>
      <c r="BH5731" s="386"/>
      <c r="BI5731" s="386"/>
      <c r="BJ5731" s="46"/>
    </row>
    <row r="5732" spans="59:62" x14ac:dyDescent="0.3">
      <c r="BG5732" s="387"/>
      <c r="BH5732" s="386"/>
      <c r="BI5732" s="386"/>
      <c r="BJ5732" s="46"/>
    </row>
    <row r="5733" spans="59:62" x14ac:dyDescent="0.3">
      <c r="BG5733" s="387"/>
      <c r="BH5733" s="386"/>
      <c r="BI5733" s="386"/>
      <c r="BJ5733" s="46"/>
    </row>
    <row r="5734" spans="59:62" x14ac:dyDescent="0.3">
      <c r="BG5734" s="387"/>
      <c r="BH5734" s="386"/>
      <c r="BI5734" s="386"/>
      <c r="BJ5734" s="46"/>
    </row>
    <row r="5735" spans="59:62" x14ac:dyDescent="0.3">
      <c r="BG5735" s="387"/>
      <c r="BH5735" s="386"/>
      <c r="BI5735" s="386"/>
      <c r="BJ5735" s="46"/>
    </row>
    <row r="5736" spans="59:62" x14ac:dyDescent="0.3">
      <c r="BG5736" s="387"/>
      <c r="BH5736" s="386"/>
      <c r="BI5736" s="386"/>
      <c r="BJ5736" s="46"/>
    </row>
    <row r="5737" spans="59:62" x14ac:dyDescent="0.3">
      <c r="BG5737" s="387"/>
      <c r="BH5737" s="386"/>
      <c r="BI5737" s="386"/>
      <c r="BJ5737" s="46"/>
    </row>
    <row r="5738" spans="59:62" x14ac:dyDescent="0.3">
      <c r="BG5738" s="387"/>
      <c r="BH5738" s="386"/>
      <c r="BI5738" s="386"/>
      <c r="BJ5738" s="46"/>
    </row>
    <row r="5739" spans="59:62" x14ac:dyDescent="0.3">
      <c r="BG5739" s="387"/>
      <c r="BH5739" s="386"/>
      <c r="BI5739" s="386"/>
      <c r="BJ5739" s="46"/>
    </row>
    <row r="5740" spans="59:62" x14ac:dyDescent="0.3">
      <c r="BG5740" s="387"/>
      <c r="BH5740" s="386"/>
      <c r="BI5740" s="386"/>
      <c r="BJ5740" s="46"/>
    </row>
    <row r="5741" spans="59:62" x14ac:dyDescent="0.3">
      <c r="BG5741" s="387"/>
      <c r="BH5741" s="386"/>
      <c r="BI5741" s="386"/>
      <c r="BJ5741" s="46"/>
    </row>
    <row r="5742" spans="59:62" x14ac:dyDescent="0.3">
      <c r="BG5742" s="387"/>
      <c r="BH5742" s="386"/>
      <c r="BI5742" s="386"/>
      <c r="BJ5742" s="46"/>
    </row>
    <row r="5743" spans="59:62" x14ac:dyDescent="0.3">
      <c r="BG5743" s="387"/>
      <c r="BH5743" s="386"/>
      <c r="BI5743" s="386"/>
      <c r="BJ5743" s="46"/>
    </row>
    <row r="5744" spans="59:62" x14ac:dyDescent="0.3">
      <c r="BG5744" s="387"/>
      <c r="BH5744" s="386"/>
      <c r="BI5744" s="386"/>
      <c r="BJ5744" s="46"/>
    </row>
    <row r="5745" spans="59:62" x14ac:dyDescent="0.3">
      <c r="BG5745" s="387"/>
      <c r="BH5745" s="386"/>
      <c r="BI5745" s="386"/>
      <c r="BJ5745" s="46"/>
    </row>
    <row r="5746" spans="59:62" x14ac:dyDescent="0.3">
      <c r="BG5746" s="387"/>
      <c r="BH5746" s="386"/>
      <c r="BI5746" s="386"/>
      <c r="BJ5746" s="46"/>
    </row>
    <row r="5747" spans="59:62" x14ac:dyDescent="0.3">
      <c r="BG5747" s="387"/>
      <c r="BH5747" s="386"/>
      <c r="BI5747" s="386"/>
      <c r="BJ5747" s="46"/>
    </row>
    <row r="5748" spans="59:62" x14ac:dyDescent="0.3">
      <c r="BG5748" s="387"/>
      <c r="BH5748" s="386"/>
      <c r="BI5748" s="386"/>
      <c r="BJ5748" s="46"/>
    </row>
    <row r="5749" spans="59:62" x14ac:dyDescent="0.3">
      <c r="BG5749" s="387"/>
      <c r="BH5749" s="386"/>
      <c r="BI5749" s="386"/>
      <c r="BJ5749" s="46"/>
    </row>
    <row r="5750" spans="59:62" x14ac:dyDescent="0.3">
      <c r="BG5750" s="387"/>
      <c r="BH5750" s="386"/>
      <c r="BI5750" s="386"/>
      <c r="BJ5750" s="46"/>
    </row>
    <row r="5751" spans="59:62" x14ac:dyDescent="0.3">
      <c r="BG5751" s="387"/>
      <c r="BH5751" s="386"/>
      <c r="BI5751" s="386"/>
      <c r="BJ5751" s="46"/>
    </row>
    <row r="5752" spans="59:62" x14ac:dyDescent="0.3">
      <c r="BG5752" s="387"/>
      <c r="BH5752" s="386"/>
      <c r="BI5752" s="386"/>
      <c r="BJ5752" s="46"/>
    </row>
    <row r="5753" spans="59:62" x14ac:dyDescent="0.3">
      <c r="BG5753" s="387"/>
      <c r="BH5753" s="386"/>
      <c r="BI5753" s="386"/>
      <c r="BJ5753" s="46"/>
    </row>
    <row r="5754" spans="59:62" x14ac:dyDescent="0.3">
      <c r="BG5754" s="387"/>
      <c r="BH5754" s="386"/>
      <c r="BI5754" s="386"/>
      <c r="BJ5754" s="46"/>
    </row>
    <row r="5755" spans="59:62" x14ac:dyDescent="0.3">
      <c r="BG5755" s="387"/>
      <c r="BH5755" s="386"/>
      <c r="BI5755" s="386"/>
      <c r="BJ5755" s="46"/>
    </row>
    <row r="5756" spans="59:62" x14ac:dyDescent="0.3">
      <c r="BG5756" s="387"/>
      <c r="BH5756" s="386"/>
      <c r="BI5756" s="386"/>
      <c r="BJ5756" s="46"/>
    </row>
    <row r="5757" spans="59:62" x14ac:dyDescent="0.3">
      <c r="BG5757" s="387"/>
      <c r="BH5757" s="386"/>
      <c r="BI5757" s="386"/>
      <c r="BJ5757" s="46"/>
    </row>
    <row r="5758" spans="59:62" x14ac:dyDescent="0.3">
      <c r="BG5758" s="387"/>
      <c r="BH5758" s="386"/>
      <c r="BI5758" s="386"/>
      <c r="BJ5758" s="46"/>
    </row>
    <row r="5759" spans="59:62" x14ac:dyDescent="0.3">
      <c r="BG5759" s="387"/>
      <c r="BH5759" s="386"/>
      <c r="BI5759" s="386"/>
      <c r="BJ5759" s="46"/>
    </row>
    <row r="5760" spans="59:62" x14ac:dyDescent="0.3">
      <c r="BG5760" s="387"/>
      <c r="BH5760" s="386"/>
      <c r="BI5760" s="386"/>
      <c r="BJ5760" s="46"/>
    </row>
    <row r="5761" spans="59:62" x14ac:dyDescent="0.3">
      <c r="BG5761" s="387"/>
      <c r="BH5761" s="386"/>
      <c r="BI5761" s="386"/>
      <c r="BJ5761" s="46"/>
    </row>
    <row r="5762" spans="59:62" x14ac:dyDescent="0.3">
      <c r="BG5762" s="387"/>
      <c r="BH5762" s="386"/>
      <c r="BI5762" s="386"/>
      <c r="BJ5762" s="46"/>
    </row>
    <row r="5763" spans="59:62" x14ac:dyDescent="0.3">
      <c r="BG5763" s="387"/>
      <c r="BH5763" s="386"/>
      <c r="BI5763" s="386"/>
      <c r="BJ5763" s="46"/>
    </row>
    <row r="5764" spans="59:62" x14ac:dyDescent="0.3">
      <c r="BG5764" s="387"/>
      <c r="BH5764" s="386"/>
      <c r="BI5764" s="386"/>
      <c r="BJ5764" s="46"/>
    </row>
    <row r="5765" spans="59:62" x14ac:dyDescent="0.3">
      <c r="BG5765" s="387"/>
      <c r="BH5765" s="386"/>
      <c r="BI5765" s="386"/>
      <c r="BJ5765" s="46"/>
    </row>
    <row r="5766" spans="59:62" x14ac:dyDescent="0.3">
      <c r="BG5766" s="387"/>
      <c r="BH5766" s="386"/>
      <c r="BI5766" s="386"/>
      <c r="BJ5766" s="46"/>
    </row>
    <row r="5767" spans="59:62" x14ac:dyDescent="0.3">
      <c r="BG5767" s="387"/>
      <c r="BH5767" s="386"/>
      <c r="BI5767" s="386"/>
      <c r="BJ5767" s="46"/>
    </row>
    <row r="5768" spans="59:62" x14ac:dyDescent="0.3">
      <c r="BG5768" s="387"/>
      <c r="BH5768" s="386"/>
      <c r="BI5768" s="386"/>
      <c r="BJ5768" s="46"/>
    </row>
    <row r="5769" spans="59:62" x14ac:dyDescent="0.3">
      <c r="BG5769" s="387"/>
      <c r="BH5769" s="386"/>
      <c r="BI5769" s="386"/>
      <c r="BJ5769" s="46"/>
    </row>
    <row r="5770" spans="59:62" x14ac:dyDescent="0.3">
      <c r="BG5770" s="387"/>
      <c r="BH5770" s="386"/>
      <c r="BI5770" s="386"/>
      <c r="BJ5770" s="46"/>
    </row>
    <row r="5771" spans="59:62" x14ac:dyDescent="0.3">
      <c r="BG5771" s="387"/>
      <c r="BH5771" s="386"/>
      <c r="BI5771" s="386"/>
      <c r="BJ5771" s="46"/>
    </row>
    <row r="5772" spans="59:62" x14ac:dyDescent="0.3">
      <c r="BG5772" s="387"/>
      <c r="BH5772" s="386"/>
      <c r="BI5772" s="386"/>
      <c r="BJ5772" s="46"/>
    </row>
    <row r="5773" spans="59:62" x14ac:dyDescent="0.3">
      <c r="BG5773" s="387"/>
      <c r="BH5773" s="386"/>
      <c r="BI5773" s="386"/>
      <c r="BJ5773" s="46"/>
    </row>
    <row r="5774" spans="59:62" x14ac:dyDescent="0.3">
      <c r="BG5774" s="387"/>
      <c r="BH5774" s="386"/>
      <c r="BI5774" s="386"/>
      <c r="BJ5774" s="46"/>
    </row>
    <row r="5775" spans="59:62" x14ac:dyDescent="0.3">
      <c r="BG5775" s="387"/>
      <c r="BH5775" s="386"/>
      <c r="BI5775" s="386"/>
      <c r="BJ5775" s="46"/>
    </row>
    <row r="5776" spans="59:62" x14ac:dyDescent="0.3">
      <c r="BG5776" s="387"/>
      <c r="BH5776" s="386"/>
      <c r="BI5776" s="386"/>
      <c r="BJ5776" s="46"/>
    </row>
    <row r="5777" spans="59:62" x14ac:dyDescent="0.3">
      <c r="BG5777" s="387"/>
      <c r="BH5777" s="386"/>
      <c r="BI5777" s="386"/>
      <c r="BJ5777" s="46"/>
    </row>
    <row r="5778" spans="59:62" x14ac:dyDescent="0.3">
      <c r="BG5778" s="387"/>
      <c r="BH5778" s="386"/>
      <c r="BI5778" s="386"/>
      <c r="BJ5778" s="46"/>
    </row>
    <row r="5779" spans="59:62" x14ac:dyDescent="0.3">
      <c r="BG5779" s="387"/>
      <c r="BH5779" s="386"/>
      <c r="BI5779" s="386"/>
      <c r="BJ5779" s="46"/>
    </row>
    <row r="5780" spans="59:62" x14ac:dyDescent="0.3">
      <c r="BG5780" s="387"/>
      <c r="BH5780" s="386"/>
      <c r="BI5780" s="386"/>
      <c r="BJ5780" s="46"/>
    </row>
    <row r="5781" spans="59:62" x14ac:dyDescent="0.3">
      <c r="BG5781" s="387"/>
      <c r="BH5781" s="386"/>
      <c r="BI5781" s="386"/>
      <c r="BJ5781" s="46"/>
    </row>
    <row r="5782" spans="59:62" x14ac:dyDescent="0.3">
      <c r="BG5782" s="387"/>
      <c r="BH5782" s="386"/>
      <c r="BI5782" s="386"/>
      <c r="BJ5782" s="46"/>
    </row>
    <row r="5783" spans="59:62" x14ac:dyDescent="0.3">
      <c r="BG5783" s="387"/>
      <c r="BH5783" s="386"/>
      <c r="BI5783" s="386"/>
      <c r="BJ5783" s="46"/>
    </row>
    <row r="5784" spans="59:62" x14ac:dyDescent="0.3">
      <c r="BG5784" s="387"/>
      <c r="BH5784" s="386"/>
      <c r="BI5784" s="386"/>
      <c r="BJ5784" s="46"/>
    </row>
    <row r="5785" spans="59:62" x14ac:dyDescent="0.3">
      <c r="BG5785" s="387"/>
      <c r="BH5785" s="386"/>
      <c r="BI5785" s="386"/>
      <c r="BJ5785" s="46"/>
    </row>
    <row r="5786" spans="59:62" x14ac:dyDescent="0.3">
      <c r="BG5786" s="387"/>
      <c r="BH5786" s="386"/>
      <c r="BI5786" s="386"/>
      <c r="BJ5786" s="46"/>
    </row>
    <row r="5787" spans="59:62" x14ac:dyDescent="0.3">
      <c r="BG5787" s="387"/>
      <c r="BH5787" s="386"/>
      <c r="BI5787" s="386"/>
      <c r="BJ5787" s="46"/>
    </row>
    <row r="5788" spans="59:62" x14ac:dyDescent="0.3">
      <c r="BG5788" s="387"/>
      <c r="BH5788" s="386"/>
      <c r="BI5788" s="386"/>
      <c r="BJ5788" s="46"/>
    </row>
    <row r="5789" spans="59:62" x14ac:dyDescent="0.3">
      <c r="BG5789" s="387"/>
      <c r="BH5789" s="386"/>
      <c r="BI5789" s="386"/>
      <c r="BJ5789" s="46"/>
    </row>
    <row r="5790" spans="59:62" x14ac:dyDescent="0.3">
      <c r="BG5790" s="387"/>
      <c r="BH5790" s="386"/>
      <c r="BI5790" s="386"/>
      <c r="BJ5790" s="46"/>
    </row>
    <row r="5791" spans="59:62" x14ac:dyDescent="0.3">
      <c r="BG5791" s="387"/>
      <c r="BH5791" s="386"/>
      <c r="BI5791" s="386"/>
      <c r="BJ5791" s="46"/>
    </row>
    <row r="5792" spans="59:62" x14ac:dyDescent="0.3">
      <c r="BG5792" s="387"/>
      <c r="BH5792" s="386"/>
      <c r="BI5792" s="386"/>
      <c r="BJ5792" s="46"/>
    </row>
    <row r="5793" spans="59:62" x14ac:dyDescent="0.3">
      <c r="BG5793" s="387"/>
      <c r="BH5793" s="386"/>
      <c r="BI5793" s="386"/>
      <c r="BJ5793" s="46"/>
    </row>
    <row r="5794" spans="59:62" x14ac:dyDescent="0.3">
      <c r="BG5794" s="387"/>
      <c r="BH5794" s="386"/>
      <c r="BI5794" s="386"/>
      <c r="BJ5794" s="46"/>
    </row>
    <row r="5795" spans="59:62" x14ac:dyDescent="0.3">
      <c r="BG5795" s="387"/>
      <c r="BH5795" s="386"/>
      <c r="BI5795" s="386"/>
      <c r="BJ5795" s="46"/>
    </row>
    <row r="5796" spans="59:62" x14ac:dyDescent="0.3">
      <c r="BG5796" s="387"/>
      <c r="BH5796" s="386"/>
      <c r="BI5796" s="386"/>
      <c r="BJ5796" s="46"/>
    </row>
    <row r="5797" spans="59:62" x14ac:dyDescent="0.3">
      <c r="BG5797" s="387"/>
      <c r="BH5797" s="386"/>
      <c r="BI5797" s="386"/>
      <c r="BJ5797" s="46"/>
    </row>
    <row r="5798" spans="59:62" x14ac:dyDescent="0.3">
      <c r="BG5798" s="387"/>
      <c r="BH5798" s="386"/>
      <c r="BI5798" s="386"/>
      <c r="BJ5798" s="46"/>
    </row>
    <row r="5799" spans="59:62" x14ac:dyDescent="0.3">
      <c r="BG5799" s="387"/>
      <c r="BH5799" s="386"/>
      <c r="BI5799" s="386"/>
      <c r="BJ5799" s="46"/>
    </row>
    <row r="5800" spans="59:62" x14ac:dyDescent="0.3">
      <c r="BG5800" s="387"/>
      <c r="BH5800" s="386"/>
      <c r="BI5800" s="386"/>
      <c r="BJ5800" s="46"/>
    </row>
    <row r="5801" spans="59:62" x14ac:dyDescent="0.3">
      <c r="BG5801" s="387"/>
      <c r="BH5801" s="386"/>
      <c r="BI5801" s="386"/>
      <c r="BJ5801" s="46"/>
    </row>
    <row r="5802" spans="59:62" x14ac:dyDescent="0.3">
      <c r="BG5802" s="387"/>
      <c r="BH5802" s="386"/>
      <c r="BI5802" s="386"/>
      <c r="BJ5802" s="46"/>
    </row>
    <row r="5803" spans="59:62" x14ac:dyDescent="0.3">
      <c r="BG5803" s="387"/>
      <c r="BH5803" s="386"/>
      <c r="BI5803" s="386"/>
      <c r="BJ5803" s="46"/>
    </row>
    <row r="5804" spans="59:62" x14ac:dyDescent="0.3">
      <c r="BG5804" s="387"/>
      <c r="BH5804" s="386"/>
      <c r="BI5804" s="386"/>
      <c r="BJ5804" s="46"/>
    </row>
    <row r="5805" spans="59:62" x14ac:dyDescent="0.3">
      <c r="BG5805" s="387"/>
      <c r="BH5805" s="386"/>
      <c r="BI5805" s="386"/>
      <c r="BJ5805" s="46"/>
    </row>
    <row r="5806" spans="59:62" x14ac:dyDescent="0.3">
      <c r="BG5806" s="387"/>
      <c r="BH5806" s="386"/>
      <c r="BI5806" s="386"/>
      <c r="BJ5806" s="46"/>
    </row>
    <row r="5807" spans="59:62" x14ac:dyDescent="0.3">
      <c r="BG5807" s="387"/>
      <c r="BH5807" s="386"/>
      <c r="BI5807" s="386"/>
      <c r="BJ5807" s="46"/>
    </row>
    <row r="5808" spans="59:62" x14ac:dyDescent="0.3">
      <c r="BG5808" s="387"/>
      <c r="BH5808" s="386"/>
      <c r="BI5808" s="386"/>
      <c r="BJ5808" s="46"/>
    </row>
    <row r="5809" spans="59:62" x14ac:dyDescent="0.3">
      <c r="BG5809" s="387"/>
      <c r="BH5809" s="386"/>
      <c r="BI5809" s="386"/>
      <c r="BJ5809" s="46"/>
    </row>
    <row r="5810" spans="59:62" x14ac:dyDescent="0.3">
      <c r="BG5810" s="387"/>
      <c r="BH5810" s="386"/>
      <c r="BI5810" s="386"/>
      <c r="BJ5810" s="46"/>
    </row>
    <row r="5811" spans="59:62" x14ac:dyDescent="0.3">
      <c r="BG5811" s="387"/>
      <c r="BH5811" s="386"/>
      <c r="BI5811" s="386"/>
      <c r="BJ5811" s="46"/>
    </row>
    <row r="5812" spans="59:62" x14ac:dyDescent="0.3">
      <c r="BG5812" s="387"/>
      <c r="BH5812" s="386"/>
      <c r="BI5812" s="386"/>
      <c r="BJ5812" s="46"/>
    </row>
    <row r="5813" spans="59:62" x14ac:dyDescent="0.3">
      <c r="BG5813" s="387"/>
      <c r="BH5813" s="386"/>
      <c r="BI5813" s="386"/>
      <c r="BJ5813" s="46"/>
    </row>
    <row r="5814" spans="59:62" x14ac:dyDescent="0.3">
      <c r="BG5814" s="387"/>
      <c r="BH5814" s="386"/>
      <c r="BI5814" s="386"/>
      <c r="BJ5814" s="46"/>
    </row>
    <row r="5815" spans="59:62" x14ac:dyDescent="0.3">
      <c r="BG5815" s="387"/>
      <c r="BH5815" s="386"/>
      <c r="BI5815" s="386"/>
      <c r="BJ5815" s="46"/>
    </row>
    <row r="5816" spans="59:62" x14ac:dyDescent="0.3">
      <c r="BG5816" s="387"/>
      <c r="BH5816" s="386"/>
      <c r="BI5816" s="386"/>
      <c r="BJ5816" s="46"/>
    </row>
    <row r="5817" spans="59:62" x14ac:dyDescent="0.3">
      <c r="BG5817" s="387"/>
      <c r="BH5817" s="386"/>
      <c r="BI5817" s="386"/>
      <c r="BJ5817" s="46"/>
    </row>
    <row r="5818" spans="59:62" x14ac:dyDescent="0.3">
      <c r="BG5818" s="387"/>
      <c r="BH5818" s="386"/>
      <c r="BI5818" s="386"/>
      <c r="BJ5818" s="46"/>
    </row>
    <row r="5819" spans="59:62" x14ac:dyDescent="0.3">
      <c r="BG5819" s="387"/>
      <c r="BH5819" s="386"/>
      <c r="BI5819" s="386"/>
      <c r="BJ5819" s="46"/>
    </row>
    <row r="5820" spans="59:62" x14ac:dyDescent="0.3">
      <c r="BG5820" s="387"/>
      <c r="BH5820" s="386"/>
      <c r="BI5820" s="386"/>
      <c r="BJ5820" s="46"/>
    </row>
    <row r="5821" spans="59:62" x14ac:dyDescent="0.3">
      <c r="BG5821" s="387"/>
      <c r="BH5821" s="386"/>
      <c r="BI5821" s="386"/>
      <c r="BJ5821" s="46"/>
    </row>
    <row r="5822" spans="59:62" x14ac:dyDescent="0.3">
      <c r="BG5822" s="387"/>
      <c r="BH5822" s="386"/>
      <c r="BI5822" s="386"/>
      <c r="BJ5822" s="46"/>
    </row>
    <row r="5823" spans="59:62" x14ac:dyDescent="0.3">
      <c r="BG5823" s="387"/>
      <c r="BH5823" s="386"/>
      <c r="BI5823" s="386"/>
      <c r="BJ5823" s="46"/>
    </row>
    <row r="5824" spans="59:62" x14ac:dyDescent="0.3">
      <c r="BG5824" s="387"/>
      <c r="BH5824" s="386"/>
      <c r="BI5824" s="386"/>
      <c r="BJ5824" s="46"/>
    </row>
    <row r="5825" spans="59:62" x14ac:dyDescent="0.3">
      <c r="BG5825" s="387"/>
      <c r="BH5825" s="386"/>
      <c r="BI5825" s="386"/>
      <c r="BJ5825" s="46"/>
    </row>
    <row r="5826" spans="59:62" x14ac:dyDescent="0.3">
      <c r="BG5826" s="387"/>
      <c r="BH5826" s="386"/>
      <c r="BI5826" s="386"/>
      <c r="BJ5826" s="46"/>
    </row>
    <row r="5827" spans="59:62" x14ac:dyDescent="0.3">
      <c r="BG5827" s="387"/>
      <c r="BH5827" s="386"/>
      <c r="BI5827" s="386"/>
      <c r="BJ5827" s="46"/>
    </row>
    <row r="5828" spans="59:62" x14ac:dyDescent="0.3">
      <c r="BG5828" s="387"/>
      <c r="BH5828" s="386"/>
      <c r="BI5828" s="386"/>
      <c r="BJ5828" s="46"/>
    </row>
    <row r="5829" spans="59:62" x14ac:dyDescent="0.3">
      <c r="BG5829" s="387"/>
      <c r="BH5829" s="386"/>
      <c r="BI5829" s="386"/>
      <c r="BJ5829" s="46"/>
    </row>
    <row r="5830" spans="59:62" x14ac:dyDescent="0.3">
      <c r="BG5830" s="387"/>
      <c r="BH5830" s="386"/>
      <c r="BI5830" s="386"/>
      <c r="BJ5830" s="46"/>
    </row>
    <row r="5831" spans="59:62" x14ac:dyDescent="0.3">
      <c r="BG5831" s="387"/>
      <c r="BH5831" s="386"/>
      <c r="BI5831" s="386"/>
      <c r="BJ5831" s="46"/>
    </row>
    <row r="5832" spans="59:62" x14ac:dyDescent="0.3">
      <c r="BG5832" s="387"/>
      <c r="BH5832" s="386"/>
      <c r="BI5832" s="386"/>
      <c r="BJ5832" s="46"/>
    </row>
    <row r="5833" spans="59:62" x14ac:dyDescent="0.3">
      <c r="BG5833" s="387"/>
      <c r="BH5833" s="386"/>
      <c r="BI5833" s="386"/>
      <c r="BJ5833" s="46"/>
    </row>
    <row r="5834" spans="59:62" x14ac:dyDescent="0.3">
      <c r="BG5834" s="387"/>
      <c r="BH5834" s="386"/>
      <c r="BI5834" s="386"/>
      <c r="BJ5834" s="46"/>
    </row>
    <row r="5835" spans="59:62" x14ac:dyDescent="0.3">
      <c r="BG5835" s="387"/>
      <c r="BH5835" s="386"/>
      <c r="BI5835" s="386"/>
      <c r="BJ5835" s="46"/>
    </row>
    <row r="5836" spans="59:62" x14ac:dyDescent="0.3">
      <c r="BG5836" s="387"/>
      <c r="BH5836" s="386"/>
      <c r="BI5836" s="386"/>
      <c r="BJ5836" s="46"/>
    </row>
    <row r="5837" spans="59:62" x14ac:dyDescent="0.3">
      <c r="BG5837" s="387"/>
      <c r="BH5837" s="386"/>
      <c r="BI5837" s="386"/>
      <c r="BJ5837" s="46"/>
    </row>
    <row r="5838" spans="59:62" x14ac:dyDescent="0.3">
      <c r="BG5838" s="387"/>
      <c r="BH5838" s="386"/>
      <c r="BI5838" s="386"/>
      <c r="BJ5838" s="46"/>
    </row>
    <row r="5839" spans="59:62" x14ac:dyDescent="0.3">
      <c r="BG5839" s="387"/>
      <c r="BH5839" s="386"/>
      <c r="BI5839" s="386"/>
      <c r="BJ5839" s="46"/>
    </row>
    <row r="5840" spans="59:62" x14ac:dyDescent="0.3">
      <c r="BG5840" s="387"/>
      <c r="BH5840" s="386"/>
      <c r="BI5840" s="386"/>
      <c r="BJ5840" s="46"/>
    </row>
    <row r="5841" spans="59:62" x14ac:dyDescent="0.3">
      <c r="BG5841" s="387"/>
      <c r="BH5841" s="386"/>
      <c r="BI5841" s="386"/>
      <c r="BJ5841" s="46"/>
    </row>
    <row r="5842" spans="59:62" x14ac:dyDescent="0.3">
      <c r="BG5842" s="387"/>
      <c r="BH5842" s="386"/>
      <c r="BI5842" s="386"/>
      <c r="BJ5842" s="46"/>
    </row>
    <row r="5843" spans="59:62" x14ac:dyDescent="0.3">
      <c r="BG5843" s="387"/>
      <c r="BH5843" s="386"/>
      <c r="BI5843" s="386"/>
      <c r="BJ5843" s="46"/>
    </row>
    <row r="5844" spans="59:62" x14ac:dyDescent="0.3">
      <c r="BG5844" s="387"/>
      <c r="BH5844" s="386"/>
      <c r="BI5844" s="386"/>
      <c r="BJ5844" s="46"/>
    </row>
    <row r="5845" spans="59:62" x14ac:dyDescent="0.3">
      <c r="BG5845" s="387"/>
      <c r="BH5845" s="386"/>
      <c r="BI5845" s="386"/>
      <c r="BJ5845" s="46"/>
    </row>
    <row r="5846" spans="59:62" x14ac:dyDescent="0.3">
      <c r="BG5846" s="387"/>
      <c r="BH5846" s="386"/>
      <c r="BI5846" s="386"/>
      <c r="BJ5846" s="46"/>
    </row>
    <row r="5847" spans="59:62" x14ac:dyDescent="0.3">
      <c r="BG5847" s="387"/>
      <c r="BH5847" s="386"/>
      <c r="BI5847" s="386"/>
      <c r="BJ5847" s="46"/>
    </row>
    <row r="5848" spans="59:62" x14ac:dyDescent="0.3">
      <c r="BG5848" s="387"/>
      <c r="BH5848" s="386"/>
      <c r="BI5848" s="386"/>
      <c r="BJ5848" s="46"/>
    </row>
    <row r="5849" spans="59:62" x14ac:dyDescent="0.3">
      <c r="BG5849" s="387"/>
      <c r="BH5849" s="386"/>
      <c r="BI5849" s="386"/>
      <c r="BJ5849" s="46"/>
    </row>
    <row r="5850" spans="59:62" x14ac:dyDescent="0.3">
      <c r="BG5850" s="387"/>
      <c r="BH5850" s="386"/>
      <c r="BI5850" s="386"/>
      <c r="BJ5850" s="46"/>
    </row>
    <row r="5851" spans="59:62" x14ac:dyDescent="0.3">
      <c r="BG5851" s="387"/>
      <c r="BH5851" s="386"/>
      <c r="BI5851" s="386"/>
      <c r="BJ5851" s="46"/>
    </row>
    <row r="5852" spans="59:62" x14ac:dyDescent="0.3">
      <c r="BG5852" s="387"/>
      <c r="BH5852" s="386"/>
      <c r="BI5852" s="386"/>
      <c r="BJ5852" s="46"/>
    </row>
    <row r="5853" spans="59:62" x14ac:dyDescent="0.3">
      <c r="BG5853" s="387"/>
      <c r="BH5853" s="386"/>
      <c r="BI5853" s="386"/>
      <c r="BJ5853" s="46"/>
    </row>
    <row r="5854" spans="59:62" x14ac:dyDescent="0.3">
      <c r="BG5854" s="387"/>
      <c r="BH5854" s="386"/>
      <c r="BI5854" s="386"/>
      <c r="BJ5854" s="46"/>
    </row>
    <row r="5855" spans="59:62" x14ac:dyDescent="0.3">
      <c r="BG5855" s="387"/>
      <c r="BH5855" s="386"/>
      <c r="BI5855" s="386"/>
      <c r="BJ5855" s="46"/>
    </row>
    <row r="5856" spans="59:62" x14ac:dyDescent="0.3">
      <c r="BG5856" s="387"/>
      <c r="BH5856" s="386"/>
      <c r="BI5856" s="386"/>
      <c r="BJ5856" s="46"/>
    </row>
    <row r="5857" spans="59:62" x14ac:dyDescent="0.3">
      <c r="BG5857" s="387"/>
      <c r="BH5857" s="386"/>
      <c r="BI5857" s="386"/>
      <c r="BJ5857" s="46"/>
    </row>
    <row r="5858" spans="59:62" x14ac:dyDescent="0.3">
      <c r="BG5858" s="387"/>
      <c r="BH5858" s="386"/>
      <c r="BI5858" s="386"/>
      <c r="BJ5858" s="46"/>
    </row>
    <row r="5859" spans="59:62" x14ac:dyDescent="0.3">
      <c r="BG5859" s="387"/>
      <c r="BH5859" s="386"/>
      <c r="BI5859" s="386"/>
      <c r="BJ5859" s="46"/>
    </row>
    <row r="5860" spans="59:62" x14ac:dyDescent="0.3">
      <c r="BG5860" s="387"/>
      <c r="BH5860" s="386"/>
      <c r="BI5860" s="386"/>
      <c r="BJ5860" s="46"/>
    </row>
    <row r="5861" spans="59:62" x14ac:dyDescent="0.3">
      <c r="BG5861" s="387"/>
      <c r="BH5861" s="386"/>
      <c r="BI5861" s="386"/>
      <c r="BJ5861" s="46"/>
    </row>
    <row r="5862" spans="59:62" x14ac:dyDescent="0.3">
      <c r="BG5862" s="387"/>
      <c r="BH5862" s="386"/>
      <c r="BI5862" s="386"/>
      <c r="BJ5862" s="46"/>
    </row>
    <row r="5863" spans="59:62" x14ac:dyDescent="0.3">
      <c r="BG5863" s="387"/>
      <c r="BH5863" s="386"/>
      <c r="BI5863" s="386"/>
      <c r="BJ5863" s="46"/>
    </row>
    <row r="5864" spans="59:62" x14ac:dyDescent="0.3">
      <c r="BG5864" s="387"/>
      <c r="BH5864" s="386"/>
      <c r="BI5864" s="386"/>
      <c r="BJ5864" s="46"/>
    </row>
    <row r="5865" spans="59:62" x14ac:dyDescent="0.3">
      <c r="BG5865" s="387"/>
      <c r="BH5865" s="386"/>
      <c r="BI5865" s="386"/>
      <c r="BJ5865" s="46"/>
    </row>
    <row r="5866" spans="59:62" x14ac:dyDescent="0.3">
      <c r="BG5866" s="387"/>
      <c r="BH5866" s="386"/>
      <c r="BI5866" s="386"/>
      <c r="BJ5866" s="46"/>
    </row>
    <row r="5867" spans="59:62" x14ac:dyDescent="0.3">
      <c r="BG5867" s="387"/>
      <c r="BH5867" s="386"/>
      <c r="BI5867" s="386"/>
      <c r="BJ5867" s="46"/>
    </row>
    <row r="5868" spans="59:62" x14ac:dyDescent="0.3">
      <c r="BG5868" s="387"/>
      <c r="BH5868" s="386"/>
      <c r="BI5868" s="386"/>
      <c r="BJ5868" s="46"/>
    </row>
    <row r="5869" spans="59:62" x14ac:dyDescent="0.3">
      <c r="BG5869" s="387"/>
      <c r="BH5869" s="386"/>
      <c r="BI5869" s="386"/>
      <c r="BJ5869" s="46"/>
    </row>
    <row r="5870" spans="59:62" x14ac:dyDescent="0.3">
      <c r="BG5870" s="387"/>
      <c r="BH5870" s="386"/>
      <c r="BI5870" s="386"/>
      <c r="BJ5870" s="46"/>
    </row>
    <row r="5871" spans="59:62" x14ac:dyDescent="0.3">
      <c r="BG5871" s="387"/>
      <c r="BH5871" s="386"/>
      <c r="BI5871" s="386"/>
      <c r="BJ5871" s="46"/>
    </row>
    <row r="5872" spans="59:62" x14ac:dyDescent="0.3">
      <c r="BG5872" s="387"/>
      <c r="BH5872" s="386"/>
      <c r="BI5872" s="386"/>
      <c r="BJ5872" s="46"/>
    </row>
    <row r="5873" spans="59:62" x14ac:dyDescent="0.3">
      <c r="BG5873" s="387"/>
      <c r="BH5873" s="386"/>
      <c r="BI5873" s="386"/>
      <c r="BJ5873" s="46"/>
    </row>
    <row r="5874" spans="59:62" x14ac:dyDescent="0.3">
      <c r="BG5874" s="387"/>
      <c r="BH5874" s="386"/>
      <c r="BI5874" s="386"/>
      <c r="BJ5874" s="46"/>
    </row>
    <row r="5875" spans="59:62" x14ac:dyDescent="0.3">
      <c r="BG5875" s="387"/>
      <c r="BH5875" s="386"/>
      <c r="BI5875" s="386"/>
      <c r="BJ5875" s="46"/>
    </row>
    <row r="5876" spans="59:62" x14ac:dyDescent="0.3">
      <c r="BG5876" s="387"/>
      <c r="BH5876" s="386"/>
      <c r="BI5876" s="386"/>
      <c r="BJ5876" s="46"/>
    </row>
    <row r="5877" spans="59:62" x14ac:dyDescent="0.3">
      <c r="BG5877" s="387"/>
      <c r="BH5877" s="386"/>
      <c r="BI5877" s="386"/>
      <c r="BJ5877" s="46"/>
    </row>
    <row r="5878" spans="59:62" x14ac:dyDescent="0.3">
      <c r="BG5878" s="387"/>
      <c r="BH5878" s="386"/>
      <c r="BI5878" s="386"/>
      <c r="BJ5878" s="46"/>
    </row>
    <row r="5879" spans="59:62" x14ac:dyDescent="0.3">
      <c r="BG5879" s="387"/>
      <c r="BH5879" s="386"/>
      <c r="BI5879" s="386"/>
      <c r="BJ5879" s="46"/>
    </row>
    <row r="5880" spans="59:62" x14ac:dyDescent="0.3">
      <c r="BG5880" s="387"/>
      <c r="BH5880" s="386"/>
      <c r="BI5880" s="386"/>
      <c r="BJ5880" s="46"/>
    </row>
    <row r="5881" spans="59:62" x14ac:dyDescent="0.3">
      <c r="BG5881" s="387"/>
      <c r="BH5881" s="386"/>
      <c r="BI5881" s="386"/>
      <c r="BJ5881" s="46"/>
    </row>
    <row r="5882" spans="59:62" x14ac:dyDescent="0.3">
      <c r="BG5882" s="387"/>
      <c r="BH5882" s="386"/>
      <c r="BI5882" s="386"/>
      <c r="BJ5882" s="46"/>
    </row>
    <row r="5883" spans="59:62" x14ac:dyDescent="0.3">
      <c r="BG5883" s="387"/>
      <c r="BH5883" s="386"/>
      <c r="BI5883" s="386"/>
      <c r="BJ5883" s="46"/>
    </row>
    <row r="5884" spans="59:62" x14ac:dyDescent="0.3">
      <c r="BG5884" s="387"/>
      <c r="BH5884" s="386"/>
      <c r="BI5884" s="386"/>
      <c r="BJ5884" s="46"/>
    </row>
    <row r="5885" spans="59:62" x14ac:dyDescent="0.3">
      <c r="BG5885" s="387"/>
      <c r="BH5885" s="386"/>
      <c r="BI5885" s="386"/>
      <c r="BJ5885" s="46"/>
    </row>
    <row r="5886" spans="59:62" x14ac:dyDescent="0.3">
      <c r="BG5886" s="387"/>
      <c r="BH5886" s="386"/>
      <c r="BI5886" s="386"/>
      <c r="BJ5886" s="46"/>
    </row>
    <row r="5887" spans="59:62" x14ac:dyDescent="0.3">
      <c r="BG5887" s="387"/>
      <c r="BH5887" s="386"/>
      <c r="BI5887" s="386"/>
      <c r="BJ5887" s="46"/>
    </row>
    <row r="5888" spans="59:62" x14ac:dyDescent="0.3">
      <c r="BG5888" s="387"/>
      <c r="BH5888" s="386"/>
      <c r="BI5888" s="386"/>
      <c r="BJ5888" s="46"/>
    </row>
    <row r="5889" spans="59:62" x14ac:dyDescent="0.3">
      <c r="BG5889" s="387"/>
      <c r="BH5889" s="386"/>
      <c r="BI5889" s="386"/>
      <c r="BJ5889" s="46"/>
    </row>
    <row r="5890" spans="59:62" x14ac:dyDescent="0.3">
      <c r="BG5890" s="387"/>
      <c r="BH5890" s="386"/>
      <c r="BI5890" s="386"/>
      <c r="BJ5890" s="46"/>
    </row>
    <row r="5891" spans="59:62" x14ac:dyDescent="0.3">
      <c r="BG5891" s="387"/>
      <c r="BH5891" s="386"/>
      <c r="BI5891" s="386"/>
      <c r="BJ5891" s="46"/>
    </row>
    <row r="5892" spans="59:62" x14ac:dyDescent="0.3">
      <c r="BG5892" s="387"/>
      <c r="BH5892" s="386"/>
      <c r="BI5892" s="386"/>
      <c r="BJ5892" s="46"/>
    </row>
    <row r="5893" spans="59:62" x14ac:dyDescent="0.3">
      <c r="BG5893" s="387"/>
      <c r="BH5893" s="386"/>
      <c r="BI5893" s="386"/>
      <c r="BJ5893" s="46"/>
    </row>
    <row r="5894" spans="59:62" x14ac:dyDescent="0.3">
      <c r="BG5894" s="387"/>
      <c r="BH5894" s="386"/>
      <c r="BI5894" s="386"/>
      <c r="BJ5894" s="46"/>
    </row>
    <row r="5895" spans="59:62" x14ac:dyDescent="0.3">
      <c r="BG5895" s="387"/>
      <c r="BH5895" s="386"/>
      <c r="BI5895" s="386"/>
      <c r="BJ5895" s="46"/>
    </row>
    <row r="5896" spans="59:62" x14ac:dyDescent="0.3">
      <c r="BG5896" s="387"/>
      <c r="BH5896" s="386"/>
      <c r="BI5896" s="386"/>
      <c r="BJ5896" s="46"/>
    </row>
    <row r="5897" spans="59:62" x14ac:dyDescent="0.3">
      <c r="BG5897" s="387"/>
      <c r="BH5897" s="386"/>
      <c r="BI5897" s="386"/>
      <c r="BJ5897" s="46"/>
    </row>
    <row r="5898" spans="59:62" x14ac:dyDescent="0.3">
      <c r="BG5898" s="387"/>
      <c r="BH5898" s="386"/>
      <c r="BI5898" s="386"/>
      <c r="BJ5898" s="46"/>
    </row>
    <row r="5899" spans="59:62" x14ac:dyDescent="0.3">
      <c r="BG5899" s="387"/>
      <c r="BH5899" s="386"/>
      <c r="BI5899" s="386"/>
      <c r="BJ5899" s="46"/>
    </row>
    <row r="5900" spans="59:62" x14ac:dyDescent="0.3">
      <c r="BG5900" s="387"/>
      <c r="BH5900" s="386"/>
      <c r="BI5900" s="386"/>
      <c r="BJ5900" s="46"/>
    </row>
    <row r="5901" spans="59:62" x14ac:dyDescent="0.3">
      <c r="BG5901" s="387"/>
      <c r="BH5901" s="386"/>
      <c r="BI5901" s="386"/>
      <c r="BJ5901" s="46"/>
    </row>
    <row r="5902" spans="59:62" x14ac:dyDescent="0.3">
      <c r="BG5902" s="387"/>
      <c r="BH5902" s="386"/>
      <c r="BI5902" s="386"/>
      <c r="BJ5902" s="46"/>
    </row>
    <row r="5903" spans="59:62" x14ac:dyDescent="0.3">
      <c r="BG5903" s="387"/>
      <c r="BH5903" s="386"/>
      <c r="BI5903" s="386"/>
      <c r="BJ5903" s="46"/>
    </row>
    <row r="5904" spans="59:62" x14ac:dyDescent="0.3">
      <c r="BG5904" s="387"/>
      <c r="BH5904" s="386"/>
      <c r="BI5904" s="386"/>
      <c r="BJ5904" s="46"/>
    </row>
    <row r="5905" spans="59:62" x14ac:dyDescent="0.3">
      <c r="BG5905" s="387"/>
      <c r="BH5905" s="386"/>
      <c r="BI5905" s="386"/>
      <c r="BJ5905" s="46"/>
    </row>
    <row r="5906" spans="59:62" x14ac:dyDescent="0.3">
      <c r="BG5906" s="387"/>
      <c r="BH5906" s="386"/>
      <c r="BI5906" s="386"/>
      <c r="BJ5906" s="46"/>
    </row>
    <row r="5907" spans="59:62" x14ac:dyDescent="0.3">
      <c r="BG5907" s="387"/>
      <c r="BH5907" s="386"/>
      <c r="BI5907" s="386"/>
      <c r="BJ5907" s="46"/>
    </row>
    <row r="5908" spans="59:62" x14ac:dyDescent="0.3">
      <c r="BG5908" s="387"/>
      <c r="BH5908" s="386"/>
      <c r="BI5908" s="386"/>
      <c r="BJ5908" s="46"/>
    </row>
    <row r="5909" spans="59:62" x14ac:dyDescent="0.3">
      <c r="BG5909" s="387"/>
      <c r="BH5909" s="386"/>
      <c r="BI5909" s="386"/>
      <c r="BJ5909" s="46"/>
    </row>
    <row r="5910" spans="59:62" x14ac:dyDescent="0.3">
      <c r="BG5910" s="387"/>
      <c r="BH5910" s="386"/>
      <c r="BI5910" s="386"/>
      <c r="BJ5910" s="46"/>
    </row>
    <row r="5911" spans="59:62" x14ac:dyDescent="0.3">
      <c r="BG5911" s="387"/>
      <c r="BH5911" s="386"/>
      <c r="BI5911" s="386"/>
      <c r="BJ5911" s="46"/>
    </row>
    <row r="5912" spans="59:62" x14ac:dyDescent="0.3">
      <c r="BG5912" s="387"/>
      <c r="BH5912" s="386"/>
      <c r="BI5912" s="386"/>
      <c r="BJ5912" s="46"/>
    </row>
    <row r="5913" spans="59:62" x14ac:dyDescent="0.3">
      <c r="BG5913" s="387"/>
      <c r="BH5913" s="386"/>
      <c r="BI5913" s="386"/>
      <c r="BJ5913" s="46"/>
    </row>
    <row r="5914" spans="59:62" x14ac:dyDescent="0.3">
      <c r="BG5914" s="387"/>
      <c r="BH5914" s="386"/>
      <c r="BI5914" s="386"/>
      <c r="BJ5914" s="46"/>
    </row>
    <row r="5915" spans="59:62" x14ac:dyDescent="0.3">
      <c r="BG5915" s="387"/>
      <c r="BH5915" s="386"/>
      <c r="BI5915" s="386"/>
      <c r="BJ5915" s="46"/>
    </row>
    <row r="5916" spans="59:62" x14ac:dyDescent="0.3">
      <c r="BG5916" s="387"/>
      <c r="BH5916" s="386"/>
      <c r="BI5916" s="386"/>
      <c r="BJ5916" s="46"/>
    </row>
    <row r="5917" spans="59:62" x14ac:dyDescent="0.3">
      <c r="BG5917" s="387"/>
      <c r="BH5917" s="386"/>
      <c r="BI5917" s="386"/>
      <c r="BJ5917" s="46"/>
    </row>
    <row r="5918" spans="59:62" x14ac:dyDescent="0.3">
      <c r="BG5918" s="387"/>
      <c r="BH5918" s="386"/>
      <c r="BI5918" s="386"/>
      <c r="BJ5918" s="46"/>
    </row>
    <row r="5919" spans="59:62" x14ac:dyDescent="0.3">
      <c r="BG5919" s="387"/>
      <c r="BH5919" s="386"/>
      <c r="BI5919" s="386"/>
      <c r="BJ5919" s="46"/>
    </row>
    <row r="5920" spans="59:62" x14ac:dyDescent="0.3">
      <c r="BG5920" s="387"/>
      <c r="BH5920" s="386"/>
      <c r="BI5920" s="386"/>
      <c r="BJ5920" s="46"/>
    </row>
    <row r="5921" spans="59:62" x14ac:dyDescent="0.3">
      <c r="BG5921" s="387"/>
      <c r="BH5921" s="386"/>
      <c r="BI5921" s="386"/>
      <c r="BJ5921" s="46"/>
    </row>
    <row r="5922" spans="59:62" x14ac:dyDescent="0.3">
      <c r="BG5922" s="387"/>
      <c r="BH5922" s="386"/>
      <c r="BI5922" s="386"/>
      <c r="BJ5922" s="46"/>
    </row>
    <row r="5923" spans="59:62" x14ac:dyDescent="0.3">
      <c r="BG5923" s="387"/>
      <c r="BH5923" s="386"/>
      <c r="BI5923" s="386"/>
      <c r="BJ5923" s="46"/>
    </row>
    <row r="5924" spans="59:62" x14ac:dyDescent="0.3">
      <c r="BG5924" s="387"/>
      <c r="BH5924" s="386"/>
      <c r="BI5924" s="386"/>
      <c r="BJ5924" s="46"/>
    </row>
    <row r="5925" spans="59:62" x14ac:dyDescent="0.3">
      <c r="BG5925" s="387"/>
      <c r="BH5925" s="386"/>
      <c r="BI5925" s="386"/>
      <c r="BJ5925" s="46"/>
    </row>
    <row r="5926" spans="59:62" x14ac:dyDescent="0.3">
      <c r="BG5926" s="387"/>
      <c r="BH5926" s="386"/>
      <c r="BI5926" s="386"/>
      <c r="BJ5926" s="46"/>
    </row>
    <row r="5927" spans="59:62" x14ac:dyDescent="0.3">
      <c r="BG5927" s="387"/>
      <c r="BH5927" s="386"/>
      <c r="BI5927" s="386"/>
      <c r="BJ5927" s="46"/>
    </row>
    <row r="5928" spans="59:62" x14ac:dyDescent="0.3">
      <c r="BG5928" s="387"/>
      <c r="BH5928" s="386"/>
      <c r="BI5928" s="386"/>
      <c r="BJ5928" s="46"/>
    </row>
    <row r="5929" spans="59:62" x14ac:dyDescent="0.3">
      <c r="BG5929" s="387"/>
      <c r="BH5929" s="386"/>
      <c r="BI5929" s="386"/>
      <c r="BJ5929" s="46"/>
    </row>
    <row r="5930" spans="59:62" x14ac:dyDescent="0.3">
      <c r="BG5930" s="387"/>
      <c r="BH5930" s="386"/>
      <c r="BI5930" s="386"/>
      <c r="BJ5930" s="46"/>
    </row>
    <row r="5931" spans="59:62" x14ac:dyDescent="0.3">
      <c r="BG5931" s="387"/>
      <c r="BH5931" s="386"/>
      <c r="BI5931" s="386"/>
      <c r="BJ5931" s="46"/>
    </row>
    <row r="5932" spans="59:62" x14ac:dyDescent="0.3">
      <c r="BG5932" s="387"/>
      <c r="BH5932" s="386"/>
      <c r="BI5932" s="386"/>
      <c r="BJ5932" s="46"/>
    </row>
    <row r="5933" spans="59:62" x14ac:dyDescent="0.3">
      <c r="BG5933" s="387"/>
      <c r="BH5933" s="386"/>
      <c r="BI5933" s="386"/>
      <c r="BJ5933" s="46"/>
    </row>
    <row r="5934" spans="59:62" x14ac:dyDescent="0.3">
      <c r="BG5934" s="387"/>
      <c r="BH5934" s="386"/>
      <c r="BI5934" s="386"/>
      <c r="BJ5934" s="46"/>
    </row>
    <row r="5935" spans="59:62" x14ac:dyDescent="0.3">
      <c r="BG5935" s="387"/>
      <c r="BH5935" s="386"/>
      <c r="BI5935" s="386"/>
      <c r="BJ5935" s="46"/>
    </row>
    <row r="5936" spans="59:62" x14ac:dyDescent="0.3">
      <c r="BG5936" s="387"/>
      <c r="BH5936" s="386"/>
      <c r="BI5936" s="386"/>
      <c r="BJ5936" s="46"/>
    </row>
    <row r="5937" spans="59:62" x14ac:dyDescent="0.3">
      <c r="BG5937" s="387"/>
      <c r="BH5937" s="386"/>
      <c r="BI5937" s="386"/>
      <c r="BJ5937" s="46"/>
    </row>
    <row r="5938" spans="59:62" x14ac:dyDescent="0.3">
      <c r="BG5938" s="387"/>
      <c r="BH5938" s="386"/>
      <c r="BI5938" s="386"/>
      <c r="BJ5938" s="46"/>
    </row>
    <row r="5939" spans="59:62" x14ac:dyDescent="0.3">
      <c r="BG5939" s="387"/>
      <c r="BH5939" s="386"/>
      <c r="BI5939" s="386"/>
      <c r="BJ5939" s="46"/>
    </row>
    <row r="5940" spans="59:62" x14ac:dyDescent="0.3">
      <c r="BG5940" s="387"/>
      <c r="BH5940" s="386"/>
      <c r="BI5940" s="386"/>
      <c r="BJ5940" s="46"/>
    </row>
    <row r="5941" spans="59:62" x14ac:dyDescent="0.3">
      <c r="BG5941" s="387"/>
      <c r="BH5941" s="386"/>
      <c r="BI5941" s="386"/>
      <c r="BJ5941" s="46"/>
    </row>
    <row r="5942" spans="59:62" x14ac:dyDescent="0.3">
      <c r="BG5942" s="387"/>
      <c r="BH5942" s="386"/>
      <c r="BI5942" s="386"/>
      <c r="BJ5942" s="46"/>
    </row>
    <row r="5943" spans="59:62" x14ac:dyDescent="0.3">
      <c r="BG5943" s="387"/>
      <c r="BH5943" s="386"/>
      <c r="BI5943" s="386"/>
      <c r="BJ5943" s="46"/>
    </row>
    <row r="5944" spans="59:62" x14ac:dyDescent="0.3">
      <c r="BG5944" s="387"/>
      <c r="BH5944" s="386"/>
      <c r="BI5944" s="386"/>
      <c r="BJ5944" s="46"/>
    </row>
    <row r="5945" spans="59:62" x14ac:dyDescent="0.3">
      <c r="BG5945" s="387"/>
      <c r="BH5945" s="386"/>
      <c r="BI5945" s="386"/>
      <c r="BJ5945" s="46"/>
    </row>
    <row r="5946" spans="59:62" x14ac:dyDescent="0.3">
      <c r="BG5946" s="387"/>
      <c r="BH5946" s="386"/>
      <c r="BI5946" s="386"/>
      <c r="BJ5946" s="46"/>
    </row>
    <row r="5947" spans="59:62" x14ac:dyDescent="0.3">
      <c r="BG5947" s="387"/>
      <c r="BH5947" s="386"/>
      <c r="BI5947" s="386"/>
      <c r="BJ5947" s="46"/>
    </row>
    <row r="5948" spans="59:62" x14ac:dyDescent="0.3">
      <c r="BG5948" s="387"/>
      <c r="BH5948" s="386"/>
      <c r="BI5948" s="386"/>
      <c r="BJ5948" s="46"/>
    </row>
    <row r="5949" spans="59:62" x14ac:dyDescent="0.3">
      <c r="BG5949" s="387"/>
      <c r="BH5949" s="386"/>
      <c r="BI5949" s="386"/>
      <c r="BJ5949" s="46"/>
    </row>
    <row r="5950" spans="59:62" x14ac:dyDescent="0.3">
      <c r="BG5950" s="387"/>
      <c r="BH5950" s="386"/>
      <c r="BI5950" s="386"/>
      <c r="BJ5950" s="46"/>
    </row>
    <row r="5951" spans="59:62" x14ac:dyDescent="0.3">
      <c r="BG5951" s="387"/>
      <c r="BH5951" s="386"/>
      <c r="BI5951" s="386"/>
      <c r="BJ5951" s="46"/>
    </row>
    <row r="5952" spans="59:62" x14ac:dyDescent="0.3">
      <c r="BG5952" s="387"/>
      <c r="BH5952" s="386"/>
      <c r="BI5952" s="386"/>
      <c r="BJ5952" s="46"/>
    </row>
    <row r="5953" spans="59:62" x14ac:dyDescent="0.3">
      <c r="BG5953" s="387"/>
      <c r="BH5953" s="386"/>
      <c r="BI5953" s="386"/>
      <c r="BJ5953" s="46"/>
    </row>
    <row r="5954" spans="59:62" x14ac:dyDescent="0.3">
      <c r="BG5954" s="387"/>
      <c r="BH5954" s="386"/>
      <c r="BI5954" s="386"/>
      <c r="BJ5954" s="46"/>
    </row>
    <row r="5955" spans="59:62" x14ac:dyDescent="0.3">
      <c r="BG5955" s="387"/>
      <c r="BH5955" s="386"/>
      <c r="BI5955" s="386"/>
      <c r="BJ5955" s="46"/>
    </row>
    <row r="5956" spans="59:62" x14ac:dyDescent="0.3">
      <c r="BG5956" s="387"/>
      <c r="BH5956" s="386"/>
      <c r="BI5956" s="386"/>
      <c r="BJ5956" s="46"/>
    </row>
    <row r="5957" spans="59:62" x14ac:dyDescent="0.3">
      <c r="BG5957" s="387"/>
      <c r="BH5957" s="386"/>
      <c r="BI5957" s="386"/>
      <c r="BJ5957" s="46"/>
    </row>
    <row r="5958" spans="59:62" x14ac:dyDescent="0.3">
      <c r="BG5958" s="387"/>
      <c r="BH5958" s="386"/>
      <c r="BI5958" s="386"/>
      <c r="BJ5958" s="46"/>
    </row>
    <row r="5959" spans="59:62" x14ac:dyDescent="0.3">
      <c r="BG5959" s="387"/>
      <c r="BH5959" s="386"/>
      <c r="BI5959" s="386"/>
      <c r="BJ5959" s="46"/>
    </row>
    <row r="5960" spans="59:62" x14ac:dyDescent="0.3">
      <c r="BG5960" s="387"/>
      <c r="BH5960" s="386"/>
      <c r="BI5960" s="386"/>
      <c r="BJ5960" s="46"/>
    </row>
    <row r="5961" spans="59:62" x14ac:dyDescent="0.3">
      <c r="BG5961" s="387"/>
      <c r="BH5961" s="386"/>
      <c r="BI5961" s="386"/>
      <c r="BJ5961" s="46"/>
    </row>
    <row r="5962" spans="59:62" x14ac:dyDescent="0.3">
      <c r="BG5962" s="387"/>
      <c r="BH5962" s="386"/>
      <c r="BI5962" s="386"/>
      <c r="BJ5962" s="46"/>
    </row>
    <row r="5963" spans="59:62" x14ac:dyDescent="0.3">
      <c r="BG5963" s="387"/>
      <c r="BH5963" s="386"/>
      <c r="BI5963" s="386"/>
      <c r="BJ5963" s="46"/>
    </row>
    <row r="5964" spans="59:62" x14ac:dyDescent="0.3">
      <c r="BG5964" s="387"/>
      <c r="BH5964" s="386"/>
      <c r="BI5964" s="386"/>
      <c r="BJ5964" s="46"/>
    </row>
    <row r="5965" spans="59:62" x14ac:dyDescent="0.3">
      <c r="BG5965" s="387"/>
      <c r="BH5965" s="386"/>
      <c r="BI5965" s="386"/>
      <c r="BJ5965" s="46"/>
    </row>
    <row r="5966" spans="59:62" x14ac:dyDescent="0.3">
      <c r="BG5966" s="387"/>
      <c r="BH5966" s="386"/>
      <c r="BI5966" s="386"/>
      <c r="BJ5966" s="46"/>
    </row>
    <row r="5967" spans="59:62" x14ac:dyDescent="0.3">
      <c r="BG5967" s="387"/>
      <c r="BH5967" s="386"/>
      <c r="BI5967" s="386"/>
      <c r="BJ5967" s="46"/>
    </row>
    <row r="5968" spans="59:62" x14ac:dyDescent="0.3">
      <c r="BG5968" s="387"/>
      <c r="BH5968" s="386"/>
      <c r="BI5968" s="386"/>
      <c r="BJ5968" s="46"/>
    </row>
    <row r="5969" spans="59:62" x14ac:dyDescent="0.3">
      <c r="BG5969" s="387"/>
      <c r="BH5969" s="386"/>
      <c r="BI5969" s="386"/>
      <c r="BJ5969" s="46"/>
    </row>
    <row r="5970" spans="59:62" x14ac:dyDescent="0.3">
      <c r="BG5970" s="387"/>
      <c r="BH5970" s="386"/>
      <c r="BI5970" s="386"/>
      <c r="BJ5970" s="46"/>
    </row>
    <row r="5971" spans="59:62" x14ac:dyDescent="0.3">
      <c r="BG5971" s="387"/>
      <c r="BH5971" s="386"/>
      <c r="BI5971" s="386"/>
      <c r="BJ5971" s="46"/>
    </row>
    <row r="5972" spans="59:62" x14ac:dyDescent="0.3">
      <c r="BG5972" s="387"/>
      <c r="BH5972" s="386"/>
      <c r="BI5972" s="386"/>
      <c r="BJ5972" s="46"/>
    </row>
    <row r="5973" spans="59:62" x14ac:dyDescent="0.3">
      <c r="BG5973" s="387"/>
      <c r="BH5973" s="386"/>
      <c r="BI5973" s="386"/>
      <c r="BJ5973" s="46"/>
    </row>
    <row r="5974" spans="59:62" x14ac:dyDescent="0.3">
      <c r="BG5974" s="387"/>
      <c r="BH5974" s="386"/>
      <c r="BI5974" s="386"/>
      <c r="BJ5974" s="46"/>
    </row>
    <row r="5975" spans="59:62" x14ac:dyDescent="0.3">
      <c r="BG5975" s="387"/>
      <c r="BH5975" s="386"/>
      <c r="BI5975" s="386"/>
      <c r="BJ5975" s="46"/>
    </row>
    <row r="5976" spans="59:62" x14ac:dyDescent="0.3">
      <c r="BG5976" s="387"/>
      <c r="BH5976" s="386"/>
      <c r="BI5976" s="386"/>
      <c r="BJ5976" s="46"/>
    </row>
    <row r="5977" spans="59:62" x14ac:dyDescent="0.3">
      <c r="BG5977" s="387"/>
      <c r="BH5977" s="386"/>
      <c r="BI5977" s="386"/>
      <c r="BJ5977" s="46"/>
    </row>
    <row r="5978" spans="59:62" x14ac:dyDescent="0.3">
      <c r="BG5978" s="387"/>
      <c r="BH5978" s="386"/>
      <c r="BI5978" s="386"/>
      <c r="BJ5978" s="46"/>
    </row>
    <row r="5979" spans="59:62" x14ac:dyDescent="0.3">
      <c r="BG5979" s="387"/>
      <c r="BH5979" s="386"/>
      <c r="BI5979" s="386"/>
      <c r="BJ5979" s="46"/>
    </row>
    <row r="5980" spans="59:62" x14ac:dyDescent="0.3">
      <c r="BG5980" s="387"/>
      <c r="BH5980" s="386"/>
      <c r="BI5980" s="386"/>
      <c r="BJ5980" s="46"/>
    </row>
    <row r="5981" spans="59:62" x14ac:dyDescent="0.3">
      <c r="BG5981" s="387"/>
      <c r="BH5981" s="386"/>
      <c r="BI5981" s="386"/>
      <c r="BJ5981" s="46"/>
    </row>
    <row r="5982" spans="59:62" x14ac:dyDescent="0.3">
      <c r="BG5982" s="387"/>
      <c r="BH5982" s="386"/>
      <c r="BI5982" s="386"/>
      <c r="BJ5982" s="46"/>
    </row>
    <row r="5983" spans="59:62" x14ac:dyDescent="0.3">
      <c r="BG5983" s="387"/>
      <c r="BH5983" s="386"/>
      <c r="BI5983" s="386"/>
      <c r="BJ5983" s="46"/>
    </row>
    <row r="5984" spans="59:62" x14ac:dyDescent="0.3">
      <c r="BG5984" s="387"/>
      <c r="BH5984" s="386"/>
      <c r="BI5984" s="386"/>
      <c r="BJ5984" s="46"/>
    </row>
    <row r="5985" spans="59:62" x14ac:dyDescent="0.3">
      <c r="BG5985" s="387"/>
      <c r="BH5985" s="386"/>
      <c r="BI5985" s="386"/>
      <c r="BJ5985" s="46"/>
    </row>
    <row r="5986" spans="59:62" x14ac:dyDescent="0.3">
      <c r="BG5986" s="387"/>
      <c r="BH5986" s="386"/>
      <c r="BI5986" s="386"/>
      <c r="BJ5986" s="46"/>
    </row>
    <row r="5987" spans="59:62" x14ac:dyDescent="0.3">
      <c r="BG5987" s="387"/>
      <c r="BH5987" s="386"/>
      <c r="BI5987" s="386"/>
      <c r="BJ5987" s="46"/>
    </row>
    <row r="5988" spans="59:62" x14ac:dyDescent="0.3">
      <c r="BG5988" s="387"/>
      <c r="BH5988" s="386"/>
      <c r="BI5988" s="386"/>
      <c r="BJ5988" s="46"/>
    </row>
    <row r="5989" spans="59:62" x14ac:dyDescent="0.3">
      <c r="BG5989" s="387"/>
      <c r="BH5989" s="386"/>
      <c r="BI5989" s="386"/>
      <c r="BJ5989" s="46"/>
    </row>
    <row r="5990" spans="59:62" x14ac:dyDescent="0.3">
      <c r="BG5990" s="387"/>
      <c r="BH5990" s="386"/>
      <c r="BI5990" s="386"/>
      <c r="BJ5990" s="46"/>
    </row>
    <row r="5991" spans="59:62" x14ac:dyDescent="0.3">
      <c r="BG5991" s="387"/>
      <c r="BH5991" s="386"/>
      <c r="BI5991" s="386"/>
      <c r="BJ5991" s="46"/>
    </row>
    <row r="5992" spans="59:62" x14ac:dyDescent="0.3">
      <c r="BG5992" s="387"/>
      <c r="BH5992" s="386"/>
      <c r="BI5992" s="386"/>
      <c r="BJ5992" s="46"/>
    </row>
    <row r="5993" spans="59:62" x14ac:dyDescent="0.3">
      <c r="BG5993" s="387"/>
      <c r="BH5993" s="386"/>
      <c r="BI5993" s="386"/>
      <c r="BJ5993" s="46"/>
    </row>
    <row r="5994" spans="59:62" x14ac:dyDescent="0.3">
      <c r="BG5994" s="387"/>
      <c r="BH5994" s="386"/>
      <c r="BI5994" s="386"/>
      <c r="BJ5994" s="46"/>
    </row>
    <row r="5995" spans="59:62" x14ac:dyDescent="0.3">
      <c r="BG5995" s="387"/>
      <c r="BH5995" s="386"/>
      <c r="BI5995" s="386"/>
      <c r="BJ5995" s="46"/>
    </row>
    <row r="5996" spans="59:62" x14ac:dyDescent="0.3">
      <c r="BG5996" s="387"/>
      <c r="BH5996" s="386"/>
      <c r="BI5996" s="386"/>
      <c r="BJ5996" s="46"/>
    </row>
    <row r="5997" spans="59:62" x14ac:dyDescent="0.3">
      <c r="BG5997" s="387"/>
      <c r="BH5997" s="386"/>
      <c r="BI5997" s="386"/>
      <c r="BJ5997" s="46"/>
    </row>
    <row r="5998" spans="59:62" x14ac:dyDescent="0.3">
      <c r="BG5998" s="387"/>
      <c r="BH5998" s="386"/>
      <c r="BI5998" s="386"/>
      <c r="BJ5998" s="46"/>
    </row>
    <row r="5999" spans="59:62" x14ac:dyDescent="0.3">
      <c r="BG5999" s="387"/>
      <c r="BH5999" s="386"/>
      <c r="BI5999" s="386"/>
      <c r="BJ5999" s="46"/>
    </row>
    <row r="6000" spans="59:62" x14ac:dyDescent="0.3">
      <c r="BG6000" s="387"/>
      <c r="BH6000" s="386"/>
      <c r="BI6000" s="386"/>
      <c r="BJ6000" s="46"/>
    </row>
    <row r="6001" spans="59:62" x14ac:dyDescent="0.3">
      <c r="BG6001" s="387"/>
      <c r="BH6001" s="386"/>
      <c r="BI6001" s="386"/>
      <c r="BJ6001" s="46"/>
    </row>
    <row r="6002" spans="59:62" x14ac:dyDescent="0.3">
      <c r="BG6002" s="387"/>
      <c r="BH6002" s="386"/>
      <c r="BI6002" s="386"/>
      <c r="BJ6002" s="46"/>
    </row>
    <row r="6003" spans="59:62" x14ac:dyDescent="0.3">
      <c r="BG6003" s="387"/>
      <c r="BH6003" s="386"/>
      <c r="BI6003" s="386"/>
      <c r="BJ6003" s="46"/>
    </row>
    <row r="6004" spans="59:62" x14ac:dyDescent="0.3">
      <c r="BG6004" s="387"/>
      <c r="BH6004" s="386"/>
      <c r="BI6004" s="386"/>
      <c r="BJ6004" s="46"/>
    </row>
    <row r="6005" spans="59:62" x14ac:dyDescent="0.3">
      <c r="BG6005" s="387"/>
      <c r="BH6005" s="386"/>
      <c r="BI6005" s="386"/>
      <c r="BJ6005" s="46"/>
    </row>
    <row r="6006" spans="59:62" x14ac:dyDescent="0.3">
      <c r="BG6006" s="387"/>
      <c r="BH6006" s="386"/>
      <c r="BI6006" s="386"/>
      <c r="BJ6006" s="46"/>
    </row>
    <row r="6007" spans="59:62" x14ac:dyDescent="0.3">
      <c r="BG6007" s="387"/>
      <c r="BH6007" s="386"/>
      <c r="BI6007" s="386"/>
      <c r="BJ6007" s="46"/>
    </row>
    <row r="6008" spans="59:62" x14ac:dyDescent="0.3">
      <c r="BG6008" s="387"/>
      <c r="BH6008" s="386"/>
      <c r="BI6008" s="386"/>
      <c r="BJ6008" s="46"/>
    </row>
    <row r="6009" spans="59:62" x14ac:dyDescent="0.3">
      <c r="BG6009" s="387"/>
      <c r="BH6009" s="386"/>
      <c r="BI6009" s="386"/>
      <c r="BJ6009" s="46"/>
    </row>
    <row r="6010" spans="59:62" x14ac:dyDescent="0.3">
      <c r="BG6010" s="387"/>
      <c r="BH6010" s="386"/>
      <c r="BI6010" s="386"/>
      <c r="BJ6010" s="46"/>
    </row>
    <row r="6011" spans="59:62" x14ac:dyDescent="0.3">
      <c r="BG6011" s="387"/>
      <c r="BH6011" s="386"/>
      <c r="BI6011" s="386"/>
      <c r="BJ6011" s="46"/>
    </row>
    <row r="6012" spans="59:62" x14ac:dyDescent="0.3">
      <c r="BG6012" s="387"/>
      <c r="BH6012" s="386"/>
      <c r="BI6012" s="386"/>
      <c r="BJ6012" s="46"/>
    </row>
    <row r="6013" spans="59:62" x14ac:dyDescent="0.3">
      <c r="BG6013" s="387"/>
      <c r="BH6013" s="386"/>
      <c r="BI6013" s="386"/>
      <c r="BJ6013" s="46"/>
    </row>
    <row r="6014" spans="59:62" x14ac:dyDescent="0.3">
      <c r="BG6014" s="387"/>
      <c r="BH6014" s="386"/>
      <c r="BI6014" s="386"/>
      <c r="BJ6014" s="46"/>
    </row>
    <row r="6015" spans="59:62" x14ac:dyDescent="0.3">
      <c r="BG6015" s="387"/>
      <c r="BH6015" s="386"/>
      <c r="BI6015" s="386"/>
      <c r="BJ6015" s="46"/>
    </row>
    <row r="6016" spans="59:62" x14ac:dyDescent="0.3">
      <c r="BG6016" s="387"/>
      <c r="BH6016" s="386"/>
      <c r="BI6016" s="386"/>
      <c r="BJ6016" s="46"/>
    </row>
    <row r="6017" spans="59:62" x14ac:dyDescent="0.3">
      <c r="BG6017" s="387"/>
      <c r="BH6017" s="386"/>
      <c r="BI6017" s="386"/>
      <c r="BJ6017" s="46"/>
    </row>
    <row r="6018" spans="59:62" x14ac:dyDescent="0.3">
      <c r="BG6018" s="387"/>
      <c r="BH6018" s="386"/>
      <c r="BI6018" s="386"/>
      <c r="BJ6018" s="46"/>
    </row>
    <row r="6019" spans="59:62" x14ac:dyDescent="0.3">
      <c r="BG6019" s="387"/>
      <c r="BH6019" s="386"/>
      <c r="BI6019" s="386"/>
      <c r="BJ6019" s="46"/>
    </row>
    <row r="6020" spans="59:62" x14ac:dyDescent="0.3">
      <c r="BG6020" s="387"/>
      <c r="BH6020" s="386"/>
      <c r="BI6020" s="386"/>
      <c r="BJ6020" s="46"/>
    </row>
    <row r="6021" spans="59:62" x14ac:dyDescent="0.3">
      <c r="BG6021" s="387"/>
      <c r="BH6021" s="386"/>
      <c r="BI6021" s="386"/>
      <c r="BJ6021" s="46"/>
    </row>
    <row r="6022" spans="59:62" x14ac:dyDescent="0.3">
      <c r="BG6022" s="387"/>
      <c r="BH6022" s="386"/>
      <c r="BI6022" s="386"/>
      <c r="BJ6022" s="46"/>
    </row>
    <row r="6023" spans="59:62" x14ac:dyDescent="0.3">
      <c r="BG6023" s="387"/>
      <c r="BH6023" s="386"/>
      <c r="BI6023" s="386"/>
      <c r="BJ6023" s="46"/>
    </row>
    <row r="6024" spans="59:62" x14ac:dyDescent="0.3">
      <c r="BG6024" s="387"/>
      <c r="BH6024" s="386"/>
      <c r="BI6024" s="386"/>
      <c r="BJ6024" s="46"/>
    </row>
    <row r="6025" spans="59:62" x14ac:dyDescent="0.3">
      <c r="BG6025" s="387"/>
      <c r="BH6025" s="386"/>
      <c r="BI6025" s="386"/>
      <c r="BJ6025" s="46"/>
    </row>
    <row r="6026" spans="59:62" x14ac:dyDescent="0.3">
      <c r="BG6026" s="387"/>
      <c r="BH6026" s="386"/>
      <c r="BI6026" s="386"/>
      <c r="BJ6026" s="46"/>
    </row>
    <row r="6027" spans="59:62" x14ac:dyDescent="0.3">
      <c r="BG6027" s="387"/>
      <c r="BH6027" s="386"/>
      <c r="BI6027" s="386"/>
      <c r="BJ6027" s="46"/>
    </row>
    <row r="6028" spans="59:62" x14ac:dyDescent="0.3">
      <c r="BG6028" s="387"/>
      <c r="BH6028" s="386"/>
      <c r="BI6028" s="386"/>
      <c r="BJ6028" s="46"/>
    </row>
    <row r="6029" spans="59:62" x14ac:dyDescent="0.3">
      <c r="BG6029" s="387"/>
      <c r="BH6029" s="386"/>
      <c r="BI6029" s="386"/>
      <c r="BJ6029" s="46"/>
    </row>
    <row r="6030" spans="59:62" x14ac:dyDescent="0.3">
      <c r="BG6030" s="387"/>
      <c r="BH6030" s="386"/>
      <c r="BI6030" s="386"/>
      <c r="BJ6030" s="46"/>
    </row>
    <row r="6031" spans="59:62" x14ac:dyDescent="0.3">
      <c r="BG6031" s="387"/>
      <c r="BH6031" s="386"/>
      <c r="BI6031" s="386"/>
      <c r="BJ6031" s="46"/>
    </row>
    <row r="6032" spans="59:62" x14ac:dyDescent="0.3">
      <c r="BG6032" s="387"/>
      <c r="BH6032" s="386"/>
      <c r="BI6032" s="386"/>
      <c r="BJ6032" s="46"/>
    </row>
    <row r="6033" spans="59:62" x14ac:dyDescent="0.3">
      <c r="BG6033" s="387"/>
      <c r="BH6033" s="386"/>
      <c r="BI6033" s="386"/>
      <c r="BJ6033" s="46"/>
    </row>
    <row r="6034" spans="59:62" x14ac:dyDescent="0.3">
      <c r="BG6034" s="387"/>
      <c r="BH6034" s="386"/>
      <c r="BI6034" s="386"/>
      <c r="BJ6034" s="46"/>
    </row>
    <row r="6035" spans="59:62" x14ac:dyDescent="0.3">
      <c r="BG6035" s="387"/>
      <c r="BH6035" s="386"/>
      <c r="BI6035" s="386"/>
      <c r="BJ6035" s="46"/>
    </row>
    <row r="6036" spans="59:62" x14ac:dyDescent="0.3">
      <c r="BG6036" s="387"/>
      <c r="BH6036" s="386"/>
      <c r="BI6036" s="386"/>
      <c r="BJ6036" s="46"/>
    </row>
    <row r="6037" spans="59:62" x14ac:dyDescent="0.3">
      <c r="BG6037" s="387"/>
      <c r="BH6037" s="386"/>
      <c r="BI6037" s="386"/>
      <c r="BJ6037" s="46"/>
    </row>
    <row r="6038" spans="59:62" x14ac:dyDescent="0.3">
      <c r="BG6038" s="387"/>
      <c r="BH6038" s="386"/>
      <c r="BI6038" s="386"/>
      <c r="BJ6038" s="46"/>
    </row>
    <row r="6039" spans="59:62" x14ac:dyDescent="0.3">
      <c r="BG6039" s="387"/>
      <c r="BH6039" s="386"/>
      <c r="BI6039" s="386"/>
      <c r="BJ6039" s="46"/>
    </row>
    <row r="6040" spans="59:62" x14ac:dyDescent="0.3">
      <c r="BG6040" s="387"/>
      <c r="BH6040" s="386"/>
      <c r="BI6040" s="386"/>
      <c r="BJ6040" s="46"/>
    </row>
    <row r="6041" spans="59:62" x14ac:dyDescent="0.3">
      <c r="BG6041" s="387"/>
      <c r="BH6041" s="386"/>
      <c r="BI6041" s="386"/>
      <c r="BJ6041" s="46"/>
    </row>
    <row r="6042" spans="59:62" x14ac:dyDescent="0.3">
      <c r="BG6042" s="387"/>
      <c r="BH6042" s="386"/>
      <c r="BI6042" s="386"/>
      <c r="BJ6042" s="46"/>
    </row>
    <row r="6043" spans="59:62" x14ac:dyDescent="0.3">
      <c r="BG6043" s="387"/>
      <c r="BH6043" s="386"/>
      <c r="BI6043" s="386"/>
      <c r="BJ6043" s="46"/>
    </row>
    <row r="6044" spans="59:62" x14ac:dyDescent="0.3">
      <c r="BG6044" s="387"/>
      <c r="BH6044" s="386"/>
      <c r="BI6044" s="386"/>
      <c r="BJ6044" s="46"/>
    </row>
    <row r="6045" spans="59:62" x14ac:dyDescent="0.3">
      <c r="BG6045" s="387"/>
      <c r="BH6045" s="386"/>
      <c r="BI6045" s="386"/>
      <c r="BJ6045" s="46"/>
    </row>
    <row r="6046" spans="59:62" x14ac:dyDescent="0.3">
      <c r="BG6046" s="387"/>
      <c r="BH6046" s="386"/>
      <c r="BI6046" s="386"/>
      <c r="BJ6046" s="46"/>
    </row>
    <row r="6047" spans="59:62" x14ac:dyDescent="0.3">
      <c r="BG6047" s="387"/>
      <c r="BH6047" s="386"/>
      <c r="BI6047" s="386"/>
      <c r="BJ6047" s="46"/>
    </row>
    <row r="6048" spans="59:62" x14ac:dyDescent="0.3">
      <c r="BG6048" s="387"/>
      <c r="BH6048" s="386"/>
      <c r="BI6048" s="386"/>
      <c r="BJ6048" s="46"/>
    </row>
    <row r="6049" spans="59:62" x14ac:dyDescent="0.3">
      <c r="BG6049" s="387"/>
      <c r="BH6049" s="386"/>
      <c r="BI6049" s="386"/>
      <c r="BJ6049" s="46"/>
    </row>
    <row r="6050" spans="59:62" x14ac:dyDescent="0.3">
      <c r="BG6050" s="387"/>
      <c r="BH6050" s="386"/>
      <c r="BI6050" s="386"/>
      <c r="BJ6050" s="46"/>
    </row>
    <row r="6051" spans="59:62" x14ac:dyDescent="0.3">
      <c r="BG6051" s="387"/>
      <c r="BH6051" s="386"/>
      <c r="BI6051" s="386"/>
      <c r="BJ6051" s="46"/>
    </row>
    <row r="6052" spans="59:62" x14ac:dyDescent="0.3">
      <c r="BG6052" s="387"/>
      <c r="BH6052" s="386"/>
      <c r="BI6052" s="386"/>
      <c r="BJ6052" s="46"/>
    </row>
    <row r="6053" spans="59:62" x14ac:dyDescent="0.3">
      <c r="BG6053" s="387"/>
      <c r="BH6053" s="386"/>
      <c r="BI6053" s="386"/>
      <c r="BJ6053" s="46"/>
    </row>
    <row r="6054" spans="59:62" x14ac:dyDescent="0.3">
      <c r="BG6054" s="387"/>
      <c r="BH6054" s="386"/>
      <c r="BI6054" s="386"/>
      <c r="BJ6054" s="46"/>
    </row>
    <row r="6055" spans="59:62" x14ac:dyDescent="0.3">
      <c r="BG6055" s="387"/>
      <c r="BH6055" s="386"/>
      <c r="BI6055" s="386"/>
      <c r="BJ6055" s="46"/>
    </row>
    <row r="6056" spans="59:62" x14ac:dyDescent="0.3">
      <c r="BG6056" s="387"/>
      <c r="BH6056" s="386"/>
      <c r="BI6056" s="386"/>
      <c r="BJ6056" s="46"/>
    </row>
    <row r="6057" spans="59:62" x14ac:dyDescent="0.3">
      <c r="BG6057" s="387"/>
      <c r="BH6057" s="386"/>
      <c r="BI6057" s="386"/>
      <c r="BJ6057" s="46"/>
    </row>
    <row r="6058" spans="59:62" x14ac:dyDescent="0.3">
      <c r="BG6058" s="387"/>
      <c r="BH6058" s="386"/>
      <c r="BI6058" s="386"/>
      <c r="BJ6058" s="46"/>
    </row>
    <row r="6059" spans="59:62" x14ac:dyDescent="0.3">
      <c r="BG6059" s="387"/>
      <c r="BH6059" s="386"/>
      <c r="BI6059" s="386"/>
      <c r="BJ6059" s="46"/>
    </row>
    <row r="6060" spans="59:62" x14ac:dyDescent="0.3">
      <c r="BG6060" s="387"/>
      <c r="BH6060" s="386"/>
      <c r="BI6060" s="386"/>
      <c r="BJ6060" s="46"/>
    </row>
    <row r="6061" spans="59:62" x14ac:dyDescent="0.3">
      <c r="BG6061" s="387"/>
      <c r="BH6061" s="386"/>
      <c r="BI6061" s="386"/>
      <c r="BJ6061" s="46"/>
    </row>
    <row r="6062" spans="59:62" x14ac:dyDescent="0.3">
      <c r="BG6062" s="387"/>
      <c r="BH6062" s="386"/>
      <c r="BI6062" s="386"/>
      <c r="BJ6062" s="46"/>
    </row>
    <row r="6063" spans="59:62" x14ac:dyDescent="0.3">
      <c r="BG6063" s="387"/>
      <c r="BH6063" s="386"/>
      <c r="BI6063" s="386"/>
      <c r="BJ6063" s="46"/>
    </row>
    <row r="6064" spans="59:62" x14ac:dyDescent="0.3">
      <c r="BG6064" s="387"/>
      <c r="BH6064" s="386"/>
      <c r="BI6064" s="386"/>
      <c r="BJ6064" s="46"/>
    </row>
    <row r="6065" spans="59:62" x14ac:dyDescent="0.3">
      <c r="BG6065" s="387"/>
      <c r="BH6065" s="386"/>
      <c r="BI6065" s="386"/>
      <c r="BJ6065" s="46"/>
    </row>
    <row r="6066" spans="59:62" x14ac:dyDescent="0.3">
      <c r="BG6066" s="387"/>
      <c r="BH6066" s="386"/>
      <c r="BI6066" s="386"/>
      <c r="BJ6066" s="46"/>
    </row>
    <row r="6067" spans="59:62" x14ac:dyDescent="0.3">
      <c r="BG6067" s="387"/>
      <c r="BH6067" s="386"/>
      <c r="BI6067" s="386"/>
      <c r="BJ6067" s="46"/>
    </row>
    <row r="6068" spans="59:62" x14ac:dyDescent="0.3">
      <c r="BG6068" s="387"/>
      <c r="BH6068" s="386"/>
      <c r="BI6068" s="386"/>
      <c r="BJ6068" s="46"/>
    </row>
    <row r="6069" spans="59:62" x14ac:dyDescent="0.3">
      <c r="BG6069" s="387"/>
      <c r="BH6069" s="386"/>
      <c r="BI6069" s="386"/>
      <c r="BJ6069" s="46"/>
    </row>
    <row r="6070" spans="59:62" x14ac:dyDescent="0.3">
      <c r="BG6070" s="387"/>
      <c r="BH6070" s="386"/>
      <c r="BI6070" s="386"/>
      <c r="BJ6070" s="46"/>
    </row>
    <row r="6071" spans="59:62" x14ac:dyDescent="0.3">
      <c r="BG6071" s="387"/>
      <c r="BH6071" s="386"/>
      <c r="BI6071" s="386"/>
      <c r="BJ6071" s="46"/>
    </row>
    <row r="6072" spans="59:62" x14ac:dyDescent="0.3">
      <c r="BG6072" s="387"/>
      <c r="BH6072" s="386"/>
      <c r="BI6072" s="386"/>
      <c r="BJ6072" s="46"/>
    </row>
    <row r="6073" spans="59:62" x14ac:dyDescent="0.3">
      <c r="BG6073" s="387"/>
      <c r="BH6073" s="386"/>
      <c r="BI6073" s="386"/>
      <c r="BJ6073" s="46"/>
    </row>
    <row r="6074" spans="59:62" x14ac:dyDescent="0.3">
      <c r="BG6074" s="387"/>
      <c r="BH6074" s="386"/>
      <c r="BI6074" s="386"/>
      <c r="BJ6074" s="46"/>
    </row>
    <row r="6075" spans="59:62" x14ac:dyDescent="0.3">
      <c r="BG6075" s="387"/>
      <c r="BH6075" s="386"/>
      <c r="BI6075" s="386"/>
      <c r="BJ6075" s="46"/>
    </row>
    <row r="6076" spans="59:62" x14ac:dyDescent="0.3">
      <c r="BG6076" s="387"/>
      <c r="BH6076" s="386"/>
      <c r="BI6076" s="386"/>
      <c r="BJ6076" s="46"/>
    </row>
    <row r="6077" spans="59:62" x14ac:dyDescent="0.3">
      <c r="BG6077" s="387"/>
      <c r="BH6077" s="386"/>
      <c r="BI6077" s="386"/>
      <c r="BJ6077" s="46"/>
    </row>
    <row r="6078" spans="59:62" x14ac:dyDescent="0.3">
      <c r="BG6078" s="387"/>
      <c r="BH6078" s="386"/>
      <c r="BI6078" s="386"/>
      <c r="BJ6078" s="46"/>
    </row>
    <row r="6079" spans="59:62" x14ac:dyDescent="0.3">
      <c r="BG6079" s="387"/>
      <c r="BH6079" s="386"/>
      <c r="BI6079" s="386"/>
      <c r="BJ6079" s="46"/>
    </row>
    <row r="6080" spans="59:62" x14ac:dyDescent="0.3">
      <c r="BG6080" s="387"/>
      <c r="BH6080" s="386"/>
      <c r="BI6080" s="386"/>
      <c r="BJ6080" s="46"/>
    </row>
    <row r="6081" spans="59:62" x14ac:dyDescent="0.3">
      <c r="BG6081" s="387"/>
      <c r="BH6081" s="386"/>
      <c r="BI6081" s="386"/>
      <c r="BJ6081" s="46"/>
    </row>
    <row r="6082" spans="59:62" x14ac:dyDescent="0.3">
      <c r="BG6082" s="387"/>
      <c r="BH6082" s="386"/>
      <c r="BI6082" s="386"/>
      <c r="BJ6082" s="46"/>
    </row>
    <row r="6083" spans="59:62" x14ac:dyDescent="0.3">
      <c r="BG6083" s="387"/>
      <c r="BH6083" s="386"/>
      <c r="BI6083" s="386"/>
      <c r="BJ6083" s="46"/>
    </row>
    <row r="6084" spans="59:62" x14ac:dyDescent="0.3">
      <c r="BG6084" s="387"/>
      <c r="BH6084" s="386"/>
      <c r="BI6084" s="386"/>
      <c r="BJ6084" s="46"/>
    </row>
    <row r="6085" spans="59:62" x14ac:dyDescent="0.3">
      <c r="BG6085" s="387"/>
      <c r="BH6085" s="386"/>
      <c r="BI6085" s="386"/>
      <c r="BJ6085" s="46"/>
    </row>
    <row r="6086" spans="59:62" x14ac:dyDescent="0.3">
      <c r="BG6086" s="387"/>
      <c r="BH6086" s="386"/>
      <c r="BI6086" s="386"/>
      <c r="BJ6086" s="46"/>
    </row>
    <row r="6087" spans="59:62" x14ac:dyDescent="0.3">
      <c r="BG6087" s="387"/>
      <c r="BH6087" s="386"/>
      <c r="BI6087" s="386"/>
      <c r="BJ6087" s="46"/>
    </row>
    <row r="6088" spans="59:62" x14ac:dyDescent="0.3">
      <c r="BG6088" s="387"/>
      <c r="BH6088" s="386"/>
      <c r="BI6088" s="386"/>
      <c r="BJ6088" s="46"/>
    </row>
    <row r="6089" spans="59:62" x14ac:dyDescent="0.3">
      <c r="BG6089" s="387"/>
      <c r="BH6089" s="386"/>
      <c r="BI6089" s="386"/>
      <c r="BJ6089" s="46"/>
    </row>
    <row r="6090" spans="59:62" x14ac:dyDescent="0.3">
      <c r="BG6090" s="387"/>
      <c r="BH6090" s="386"/>
      <c r="BI6090" s="386"/>
      <c r="BJ6090" s="46"/>
    </row>
    <row r="6091" spans="59:62" x14ac:dyDescent="0.3">
      <c r="BG6091" s="387"/>
      <c r="BH6091" s="386"/>
      <c r="BI6091" s="386"/>
      <c r="BJ6091" s="46"/>
    </row>
    <row r="6092" spans="59:62" x14ac:dyDescent="0.3">
      <c r="BG6092" s="387"/>
      <c r="BH6092" s="386"/>
      <c r="BI6092" s="386"/>
      <c r="BJ6092" s="46"/>
    </row>
    <row r="6093" spans="59:62" x14ac:dyDescent="0.3">
      <c r="BG6093" s="387"/>
      <c r="BH6093" s="386"/>
      <c r="BI6093" s="386"/>
      <c r="BJ6093" s="46"/>
    </row>
    <row r="6094" spans="59:62" x14ac:dyDescent="0.3">
      <c r="BG6094" s="387"/>
      <c r="BH6094" s="386"/>
      <c r="BI6094" s="386"/>
      <c r="BJ6094" s="46"/>
    </row>
    <row r="6095" spans="59:62" x14ac:dyDescent="0.3">
      <c r="BG6095" s="387"/>
      <c r="BH6095" s="386"/>
      <c r="BI6095" s="386"/>
      <c r="BJ6095" s="46"/>
    </row>
    <row r="6096" spans="59:62" x14ac:dyDescent="0.3">
      <c r="BG6096" s="387"/>
      <c r="BH6096" s="386"/>
      <c r="BI6096" s="386"/>
      <c r="BJ6096" s="46"/>
    </row>
    <row r="6097" spans="59:62" x14ac:dyDescent="0.3">
      <c r="BG6097" s="387"/>
      <c r="BH6097" s="386"/>
      <c r="BI6097" s="386"/>
      <c r="BJ6097" s="46"/>
    </row>
    <row r="6098" spans="59:62" x14ac:dyDescent="0.3">
      <c r="BG6098" s="387"/>
      <c r="BH6098" s="386"/>
      <c r="BI6098" s="386"/>
      <c r="BJ6098" s="46"/>
    </row>
    <row r="6099" spans="59:62" x14ac:dyDescent="0.3">
      <c r="BG6099" s="387"/>
      <c r="BH6099" s="386"/>
      <c r="BI6099" s="386"/>
      <c r="BJ6099" s="46"/>
    </row>
    <row r="6100" spans="59:62" x14ac:dyDescent="0.3">
      <c r="BG6100" s="387"/>
      <c r="BH6100" s="386"/>
      <c r="BI6100" s="386"/>
      <c r="BJ6100" s="46"/>
    </row>
    <row r="6101" spans="59:62" x14ac:dyDescent="0.3">
      <c r="BG6101" s="387"/>
      <c r="BH6101" s="386"/>
      <c r="BI6101" s="386"/>
      <c r="BJ6101" s="46"/>
    </row>
    <row r="6102" spans="59:62" x14ac:dyDescent="0.3">
      <c r="BG6102" s="387"/>
      <c r="BH6102" s="386"/>
      <c r="BI6102" s="386"/>
      <c r="BJ6102" s="46"/>
    </row>
    <row r="6103" spans="59:62" x14ac:dyDescent="0.3">
      <c r="BG6103" s="387"/>
      <c r="BH6103" s="386"/>
      <c r="BI6103" s="386"/>
      <c r="BJ6103" s="46"/>
    </row>
    <row r="6104" spans="59:62" x14ac:dyDescent="0.3">
      <c r="BG6104" s="387"/>
      <c r="BH6104" s="386"/>
      <c r="BI6104" s="386"/>
      <c r="BJ6104" s="46"/>
    </row>
    <row r="6105" spans="59:62" x14ac:dyDescent="0.3">
      <c r="BG6105" s="387"/>
      <c r="BH6105" s="386"/>
      <c r="BI6105" s="386"/>
      <c r="BJ6105" s="46"/>
    </row>
    <row r="6106" spans="59:62" x14ac:dyDescent="0.3">
      <c r="BG6106" s="387"/>
      <c r="BH6106" s="386"/>
      <c r="BI6106" s="386"/>
      <c r="BJ6106" s="46"/>
    </row>
    <row r="6107" spans="59:62" x14ac:dyDescent="0.3">
      <c r="BG6107" s="387"/>
      <c r="BH6107" s="386"/>
      <c r="BI6107" s="386"/>
      <c r="BJ6107" s="46"/>
    </row>
    <row r="6108" spans="59:62" x14ac:dyDescent="0.3">
      <c r="BG6108" s="387"/>
      <c r="BH6108" s="386"/>
      <c r="BI6108" s="386"/>
      <c r="BJ6108" s="46"/>
    </row>
    <row r="6109" spans="59:62" x14ac:dyDescent="0.3">
      <c r="BG6109" s="387"/>
      <c r="BH6109" s="386"/>
      <c r="BI6109" s="386"/>
      <c r="BJ6109" s="46"/>
    </row>
    <row r="6110" spans="59:62" x14ac:dyDescent="0.3">
      <c r="BG6110" s="387"/>
      <c r="BH6110" s="386"/>
      <c r="BI6110" s="386"/>
      <c r="BJ6110" s="46"/>
    </row>
    <row r="6111" spans="59:62" x14ac:dyDescent="0.3">
      <c r="BG6111" s="387"/>
      <c r="BH6111" s="386"/>
      <c r="BI6111" s="386"/>
      <c r="BJ6111" s="46"/>
    </row>
    <row r="6112" spans="59:62" x14ac:dyDescent="0.3">
      <c r="BG6112" s="387"/>
      <c r="BH6112" s="386"/>
      <c r="BI6112" s="386"/>
      <c r="BJ6112" s="46"/>
    </row>
    <row r="6113" spans="59:62" x14ac:dyDescent="0.3">
      <c r="BG6113" s="387"/>
      <c r="BH6113" s="386"/>
      <c r="BI6113" s="386"/>
      <c r="BJ6113" s="46"/>
    </row>
    <row r="6114" spans="59:62" x14ac:dyDescent="0.3">
      <c r="BG6114" s="387"/>
      <c r="BH6114" s="386"/>
      <c r="BI6114" s="386"/>
      <c r="BJ6114" s="46"/>
    </row>
    <row r="6115" spans="59:62" x14ac:dyDescent="0.3">
      <c r="BG6115" s="387"/>
      <c r="BH6115" s="386"/>
      <c r="BI6115" s="386"/>
      <c r="BJ6115" s="46"/>
    </row>
    <row r="6116" spans="59:62" x14ac:dyDescent="0.3">
      <c r="BG6116" s="387"/>
      <c r="BH6116" s="386"/>
      <c r="BI6116" s="386"/>
      <c r="BJ6116" s="46"/>
    </row>
    <row r="6117" spans="59:62" x14ac:dyDescent="0.3">
      <c r="BG6117" s="387"/>
      <c r="BH6117" s="386"/>
      <c r="BI6117" s="386"/>
      <c r="BJ6117" s="46"/>
    </row>
    <row r="6118" spans="59:62" x14ac:dyDescent="0.3">
      <c r="BG6118" s="387"/>
      <c r="BH6118" s="386"/>
      <c r="BI6118" s="386"/>
      <c r="BJ6118" s="46"/>
    </row>
    <row r="6119" spans="59:62" x14ac:dyDescent="0.3">
      <c r="BG6119" s="387"/>
      <c r="BH6119" s="386"/>
      <c r="BI6119" s="386"/>
      <c r="BJ6119" s="46"/>
    </row>
    <row r="6120" spans="59:62" x14ac:dyDescent="0.3">
      <c r="BG6120" s="387"/>
      <c r="BH6120" s="386"/>
      <c r="BI6120" s="386"/>
      <c r="BJ6120" s="46"/>
    </row>
    <row r="6121" spans="59:62" x14ac:dyDescent="0.3">
      <c r="BG6121" s="387"/>
      <c r="BH6121" s="386"/>
      <c r="BI6121" s="386"/>
      <c r="BJ6121" s="46"/>
    </row>
    <row r="6122" spans="59:62" x14ac:dyDescent="0.3">
      <c r="BG6122" s="387"/>
      <c r="BH6122" s="386"/>
      <c r="BI6122" s="386"/>
      <c r="BJ6122" s="46"/>
    </row>
    <row r="6123" spans="59:62" x14ac:dyDescent="0.3">
      <c r="BG6123" s="387"/>
      <c r="BH6123" s="386"/>
      <c r="BI6123" s="386"/>
      <c r="BJ6123" s="46"/>
    </row>
    <row r="6124" spans="59:62" x14ac:dyDescent="0.3">
      <c r="BG6124" s="387"/>
      <c r="BH6124" s="386"/>
      <c r="BI6124" s="386"/>
      <c r="BJ6124" s="46"/>
    </row>
    <row r="6125" spans="59:62" x14ac:dyDescent="0.3">
      <c r="BG6125" s="387"/>
      <c r="BH6125" s="386"/>
      <c r="BI6125" s="386"/>
      <c r="BJ6125" s="46"/>
    </row>
    <row r="6126" spans="59:62" x14ac:dyDescent="0.3">
      <c r="BG6126" s="387"/>
      <c r="BH6126" s="386"/>
      <c r="BI6126" s="386"/>
      <c r="BJ6126" s="46"/>
    </row>
    <row r="6127" spans="59:62" x14ac:dyDescent="0.3">
      <c r="BG6127" s="387"/>
      <c r="BH6127" s="386"/>
      <c r="BI6127" s="386"/>
      <c r="BJ6127" s="46"/>
    </row>
    <row r="6128" spans="59:62" x14ac:dyDescent="0.3">
      <c r="BG6128" s="387"/>
      <c r="BH6128" s="386"/>
      <c r="BI6128" s="386"/>
      <c r="BJ6128" s="46"/>
    </row>
    <row r="6129" spans="59:62" x14ac:dyDescent="0.3">
      <c r="BG6129" s="387"/>
      <c r="BH6129" s="386"/>
      <c r="BI6129" s="386"/>
      <c r="BJ6129" s="46"/>
    </row>
    <row r="6130" spans="59:62" x14ac:dyDescent="0.3">
      <c r="BG6130" s="387"/>
      <c r="BH6130" s="386"/>
      <c r="BI6130" s="386"/>
      <c r="BJ6130" s="46"/>
    </row>
    <row r="6131" spans="59:62" x14ac:dyDescent="0.3">
      <c r="BG6131" s="387"/>
      <c r="BH6131" s="386"/>
      <c r="BI6131" s="386"/>
      <c r="BJ6131" s="46"/>
    </row>
    <row r="6132" spans="59:62" x14ac:dyDescent="0.3">
      <c r="BG6132" s="387"/>
      <c r="BH6132" s="386"/>
      <c r="BI6132" s="386"/>
      <c r="BJ6132" s="46"/>
    </row>
    <row r="6133" spans="59:62" x14ac:dyDescent="0.3">
      <c r="BG6133" s="387"/>
      <c r="BH6133" s="386"/>
      <c r="BI6133" s="386"/>
      <c r="BJ6133" s="46"/>
    </row>
    <row r="6134" spans="59:62" x14ac:dyDescent="0.3">
      <c r="BG6134" s="387"/>
      <c r="BH6134" s="386"/>
      <c r="BI6134" s="386"/>
      <c r="BJ6134" s="46"/>
    </row>
    <row r="6135" spans="59:62" x14ac:dyDescent="0.3">
      <c r="BG6135" s="387"/>
      <c r="BH6135" s="386"/>
      <c r="BI6135" s="386"/>
      <c r="BJ6135" s="46"/>
    </row>
    <row r="6136" spans="59:62" x14ac:dyDescent="0.3">
      <c r="BG6136" s="387"/>
      <c r="BH6136" s="386"/>
      <c r="BI6136" s="386"/>
      <c r="BJ6136" s="46"/>
    </row>
    <row r="6137" spans="59:62" x14ac:dyDescent="0.3">
      <c r="BG6137" s="387"/>
      <c r="BH6137" s="386"/>
      <c r="BI6137" s="386"/>
      <c r="BJ6137" s="46"/>
    </row>
    <row r="6138" spans="59:62" x14ac:dyDescent="0.3">
      <c r="BG6138" s="387"/>
      <c r="BH6138" s="386"/>
      <c r="BI6138" s="386"/>
      <c r="BJ6138" s="46"/>
    </row>
    <row r="6139" spans="59:62" x14ac:dyDescent="0.3">
      <c r="BG6139" s="387"/>
      <c r="BH6139" s="386"/>
      <c r="BI6139" s="386"/>
      <c r="BJ6139" s="46"/>
    </row>
    <row r="6140" spans="59:62" x14ac:dyDescent="0.3">
      <c r="BG6140" s="387"/>
      <c r="BH6140" s="386"/>
      <c r="BI6140" s="386"/>
      <c r="BJ6140" s="46"/>
    </row>
    <row r="6141" spans="59:62" x14ac:dyDescent="0.3">
      <c r="BG6141" s="387"/>
      <c r="BH6141" s="386"/>
      <c r="BI6141" s="386"/>
      <c r="BJ6141" s="46"/>
    </row>
    <row r="6142" spans="59:62" x14ac:dyDescent="0.3">
      <c r="BG6142" s="387"/>
      <c r="BH6142" s="386"/>
      <c r="BI6142" s="386"/>
      <c r="BJ6142" s="46"/>
    </row>
    <row r="6143" spans="59:62" x14ac:dyDescent="0.3">
      <c r="BG6143" s="387"/>
      <c r="BH6143" s="386"/>
      <c r="BI6143" s="386"/>
      <c r="BJ6143" s="46"/>
    </row>
    <row r="6144" spans="59:62" x14ac:dyDescent="0.3">
      <c r="BG6144" s="387"/>
      <c r="BH6144" s="386"/>
      <c r="BI6144" s="386"/>
      <c r="BJ6144" s="46"/>
    </row>
    <row r="6145" spans="59:62" x14ac:dyDescent="0.3">
      <c r="BG6145" s="387"/>
      <c r="BH6145" s="386"/>
      <c r="BI6145" s="386"/>
      <c r="BJ6145" s="46"/>
    </row>
    <row r="6146" spans="59:62" x14ac:dyDescent="0.3">
      <c r="BG6146" s="387"/>
      <c r="BH6146" s="386"/>
      <c r="BI6146" s="386"/>
      <c r="BJ6146" s="46"/>
    </row>
    <row r="6147" spans="59:62" x14ac:dyDescent="0.3">
      <c r="BG6147" s="387"/>
      <c r="BH6147" s="386"/>
      <c r="BI6147" s="386"/>
      <c r="BJ6147" s="46"/>
    </row>
    <row r="6148" spans="59:62" x14ac:dyDescent="0.3">
      <c r="BG6148" s="387"/>
      <c r="BH6148" s="386"/>
      <c r="BI6148" s="386"/>
      <c r="BJ6148" s="46"/>
    </row>
    <row r="6149" spans="59:62" x14ac:dyDescent="0.3">
      <c r="BG6149" s="387"/>
      <c r="BH6149" s="386"/>
      <c r="BI6149" s="386"/>
      <c r="BJ6149" s="46"/>
    </row>
    <row r="6150" spans="59:62" x14ac:dyDescent="0.3">
      <c r="BG6150" s="387"/>
      <c r="BH6150" s="386"/>
      <c r="BI6150" s="386"/>
      <c r="BJ6150" s="46"/>
    </row>
    <row r="6151" spans="59:62" x14ac:dyDescent="0.3">
      <c r="BG6151" s="387"/>
      <c r="BH6151" s="386"/>
      <c r="BI6151" s="386"/>
      <c r="BJ6151" s="46"/>
    </row>
    <row r="6152" spans="59:62" x14ac:dyDescent="0.3">
      <c r="BG6152" s="387"/>
      <c r="BH6152" s="386"/>
      <c r="BI6152" s="386"/>
      <c r="BJ6152" s="46"/>
    </row>
    <row r="6153" spans="59:62" x14ac:dyDescent="0.3">
      <c r="BG6153" s="387"/>
      <c r="BH6153" s="386"/>
      <c r="BI6153" s="386"/>
      <c r="BJ6153" s="46"/>
    </row>
    <row r="6154" spans="59:62" x14ac:dyDescent="0.3">
      <c r="BG6154" s="387"/>
      <c r="BH6154" s="386"/>
      <c r="BI6154" s="386"/>
      <c r="BJ6154" s="46"/>
    </row>
    <row r="6155" spans="59:62" x14ac:dyDescent="0.3">
      <c r="BG6155" s="387"/>
      <c r="BH6155" s="386"/>
      <c r="BI6155" s="386"/>
      <c r="BJ6155" s="46"/>
    </row>
    <row r="6156" spans="59:62" x14ac:dyDescent="0.3">
      <c r="BG6156" s="387"/>
      <c r="BH6156" s="386"/>
      <c r="BI6156" s="386"/>
      <c r="BJ6156" s="46"/>
    </row>
    <row r="6157" spans="59:62" x14ac:dyDescent="0.3">
      <c r="BG6157" s="387"/>
      <c r="BH6157" s="386"/>
      <c r="BI6157" s="386"/>
      <c r="BJ6157" s="46"/>
    </row>
    <row r="6158" spans="59:62" x14ac:dyDescent="0.3">
      <c r="BG6158" s="387"/>
      <c r="BH6158" s="386"/>
      <c r="BI6158" s="386"/>
      <c r="BJ6158" s="46"/>
    </row>
    <row r="6159" spans="59:62" x14ac:dyDescent="0.3">
      <c r="BG6159" s="387"/>
      <c r="BH6159" s="386"/>
      <c r="BI6159" s="386"/>
      <c r="BJ6159" s="46"/>
    </row>
    <row r="6160" spans="59:62" x14ac:dyDescent="0.3">
      <c r="BG6160" s="387"/>
      <c r="BH6160" s="386"/>
      <c r="BI6160" s="386"/>
      <c r="BJ6160" s="46"/>
    </row>
    <row r="6161" spans="59:62" x14ac:dyDescent="0.3">
      <c r="BG6161" s="387"/>
      <c r="BH6161" s="386"/>
      <c r="BI6161" s="386"/>
      <c r="BJ6161" s="46"/>
    </row>
    <row r="6162" spans="59:62" x14ac:dyDescent="0.3">
      <c r="BG6162" s="387"/>
      <c r="BH6162" s="386"/>
      <c r="BI6162" s="386"/>
      <c r="BJ6162" s="46"/>
    </row>
    <row r="6163" spans="59:62" x14ac:dyDescent="0.3">
      <c r="BG6163" s="387"/>
      <c r="BH6163" s="386"/>
      <c r="BI6163" s="386"/>
      <c r="BJ6163" s="46"/>
    </row>
    <row r="6164" spans="59:62" x14ac:dyDescent="0.3">
      <c r="BG6164" s="387"/>
      <c r="BH6164" s="386"/>
      <c r="BI6164" s="386"/>
      <c r="BJ6164" s="46"/>
    </row>
    <row r="6165" spans="59:62" x14ac:dyDescent="0.3">
      <c r="BG6165" s="387"/>
      <c r="BH6165" s="386"/>
      <c r="BI6165" s="386"/>
      <c r="BJ6165" s="46"/>
    </row>
    <row r="6166" spans="59:62" x14ac:dyDescent="0.3">
      <c r="BG6166" s="387"/>
      <c r="BH6166" s="386"/>
      <c r="BI6166" s="386"/>
      <c r="BJ6166" s="46"/>
    </row>
    <row r="6167" spans="59:62" x14ac:dyDescent="0.3">
      <c r="BG6167" s="387"/>
      <c r="BH6167" s="386"/>
      <c r="BI6167" s="386"/>
      <c r="BJ6167" s="46"/>
    </row>
    <row r="6168" spans="59:62" x14ac:dyDescent="0.3">
      <c r="BG6168" s="387"/>
      <c r="BH6168" s="386"/>
      <c r="BI6168" s="386"/>
      <c r="BJ6168" s="46"/>
    </row>
    <row r="6169" spans="59:62" x14ac:dyDescent="0.3">
      <c r="BG6169" s="387"/>
      <c r="BH6169" s="386"/>
      <c r="BI6169" s="386"/>
      <c r="BJ6169" s="46"/>
    </row>
    <row r="6170" spans="59:62" x14ac:dyDescent="0.3">
      <c r="BG6170" s="387"/>
      <c r="BH6170" s="386"/>
      <c r="BI6170" s="386"/>
      <c r="BJ6170" s="46"/>
    </row>
    <row r="6171" spans="59:62" x14ac:dyDescent="0.3">
      <c r="BG6171" s="387"/>
      <c r="BH6171" s="386"/>
      <c r="BI6171" s="386"/>
      <c r="BJ6171" s="46"/>
    </row>
    <row r="6172" spans="59:62" x14ac:dyDescent="0.3">
      <c r="BG6172" s="387"/>
      <c r="BH6172" s="386"/>
      <c r="BI6172" s="386"/>
      <c r="BJ6172" s="46"/>
    </row>
    <row r="6173" spans="59:62" x14ac:dyDescent="0.3">
      <c r="BG6173" s="387"/>
      <c r="BH6173" s="386"/>
      <c r="BI6173" s="386"/>
      <c r="BJ6173" s="46"/>
    </row>
    <row r="6174" spans="59:62" x14ac:dyDescent="0.3">
      <c r="BG6174" s="387"/>
      <c r="BH6174" s="386"/>
      <c r="BI6174" s="386"/>
      <c r="BJ6174" s="46"/>
    </row>
    <row r="6175" spans="59:62" x14ac:dyDescent="0.3">
      <c r="BG6175" s="387"/>
      <c r="BH6175" s="386"/>
      <c r="BI6175" s="386"/>
      <c r="BJ6175" s="46"/>
    </row>
    <row r="6176" spans="59:62" x14ac:dyDescent="0.3">
      <c r="BG6176" s="387"/>
      <c r="BH6176" s="386"/>
      <c r="BI6176" s="386"/>
      <c r="BJ6176" s="46"/>
    </row>
    <row r="6177" spans="59:62" x14ac:dyDescent="0.3">
      <c r="BG6177" s="387"/>
      <c r="BH6177" s="386"/>
      <c r="BI6177" s="386"/>
      <c r="BJ6177" s="46"/>
    </row>
    <row r="6178" spans="59:62" x14ac:dyDescent="0.3">
      <c r="BG6178" s="387"/>
      <c r="BH6178" s="386"/>
      <c r="BI6178" s="386"/>
      <c r="BJ6178" s="46"/>
    </row>
    <row r="6179" spans="59:62" x14ac:dyDescent="0.3">
      <c r="BG6179" s="387"/>
      <c r="BH6179" s="386"/>
      <c r="BI6179" s="386"/>
      <c r="BJ6179" s="46"/>
    </row>
    <row r="6180" spans="59:62" x14ac:dyDescent="0.3">
      <c r="BG6180" s="387"/>
      <c r="BH6180" s="386"/>
      <c r="BI6180" s="386"/>
      <c r="BJ6180" s="46"/>
    </row>
    <row r="6181" spans="59:62" x14ac:dyDescent="0.3">
      <c r="BG6181" s="387"/>
      <c r="BH6181" s="386"/>
      <c r="BI6181" s="386"/>
      <c r="BJ6181" s="46"/>
    </row>
    <row r="6182" spans="59:62" x14ac:dyDescent="0.3">
      <c r="BG6182" s="387"/>
      <c r="BH6182" s="386"/>
      <c r="BI6182" s="386"/>
      <c r="BJ6182" s="46"/>
    </row>
    <row r="6183" spans="59:62" x14ac:dyDescent="0.3">
      <c r="BG6183" s="387"/>
      <c r="BH6183" s="386"/>
      <c r="BI6183" s="386"/>
      <c r="BJ6183" s="46"/>
    </row>
    <row r="6184" spans="59:62" x14ac:dyDescent="0.3">
      <c r="BG6184" s="387"/>
      <c r="BH6184" s="386"/>
      <c r="BI6184" s="386"/>
      <c r="BJ6184" s="46"/>
    </row>
    <row r="6185" spans="59:62" x14ac:dyDescent="0.3">
      <c r="BG6185" s="387"/>
      <c r="BH6185" s="386"/>
      <c r="BI6185" s="386"/>
      <c r="BJ6185" s="46"/>
    </row>
    <row r="6186" spans="59:62" x14ac:dyDescent="0.3">
      <c r="BG6186" s="387"/>
      <c r="BH6186" s="386"/>
      <c r="BI6186" s="386"/>
      <c r="BJ6186" s="46"/>
    </row>
    <row r="6187" spans="59:62" x14ac:dyDescent="0.3">
      <c r="BG6187" s="387"/>
      <c r="BH6187" s="386"/>
      <c r="BI6187" s="386"/>
      <c r="BJ6187" s="46"/>
    </row>
    <row r="6188" spans="59:62" x14ac:dyDescent="0.3">
      <c r="BG6188" s="387"/>
      <c r="BH6188" s="386"/>
      <c r="BI6188" s="386"/>
      <c r="BJ6188" s="46"/>
    </row>
    <row r="6189" spans="59:62" x14ac:dyDescent="0.3">
      <c r="BG6189" s="387"/>
      <c r="BH6189" s="386"/>
      <c r="BI6189" s="386"/>
      <c r="BJ6189" s="46"/>
    </row>
    <row r="6190" spans="59:62" x14ac:dyDescent="0.3">
      <c r="BG6190" s="387"/>
      <c r="BH6190" s="386"/>
      <c r="BI6190" s="386"/>
      <c r="BJ6190" s="46"/>
    </row>
    <row r="6191" spans="59:62" x14ac:dyDescent="0.3">
      <c r="BG6191" s="387"/>
      <c r="BH6191" s="386"/>
      <c r="BI6191" s="386"/>
      <c r="BJ6191" s="46"/>
    </row>
    <row r="6192" spans="59:62" x14ac:dyDescent="0.3">
      <c r="BG6192" s="387"/>
      <c r="BH6192" s="386"/>
      <c r="BI6192" s="386"/>
      <c r="BJ6192" s="46"/>
    </row>
    <row r="6193" spans="59:62" x14ac:dyDescent="0.3">
      <c r="BG6193" s="387"/>
      <c r="BH6193" s="386"/>
      <c r="BI6193" s="386"/>
      <c r="BJ6193" s="46"/>
    </row>
    <row r="6194" spans="59:62" x14ac:dyDescent="0.3">
      <c r="BG6194" s="387"/>
      <c r="BH6194" s="386"/>
      <c r="BI6194" s="386"/>
      <c r="BJ6194" s="46"/>
    </row>
    <row r="6195" spans="59:62" x14ac:dyDescent="0.3">
      <c r="BG6195" s="387"/>
      <c r="BH6195" s="386"/>
      <c r="BI6195" s="386"/>
      <c r="BJ6195" s="46"/>
    </row>
    <row r="6196" spans="59:62" x14ac:dyDescent="0.3">
      <c r="BG6196" s="387"/>
      <c r="BH6196" s="386"/>
      <c r="BI6196" s="386"/>
      <c r="BJ6196" s="46"/>
    </row>
    <row r="6197" spans="59:62" x14ac:dyDescent="0.3">
      <c r="BG6197" s="387"/>
      <c r="BH6197" s="386"/>
      <c r="BI6197" s="386"/>
      <c r="BJ6197" s="46"/>
    </row>
    <row r="6198" spans="59:62" x14ac:dyDescent="0.3">
      <c r="BG6198" s="387"/>
      <c r="BH6198" s="386"/>
      <c r="BI6198" s="386"/>
      <c r="BJ6198" s="46"/>
    </row>
    <row r="6199" spans="59:62" x14ac:dyDescent="0.3">
      <c r="BG6199" s="387"/>
      <c r="BH6199" s="386"/>
      <c r="BI6199" s="386"/>
      <c r="BJ6199" s="46"/>
    </row>
    <row r="6200" spans="59:62" x14ac:dyDescent="0.3">
      <c r="BG6200" s="387"/>
      <c r="BH6200" s="386"/>
      <c r="BI6200" s="386"/>
      <c r="BJ6200" s="46"/>
    </row>
    <row r="6201" spans="59:62" x14ac:dyDescent="0.3">
      <c r="BG6201" s="387"/>
      <c r="BH6201" s="386"/>
      <c r="BI6201" s="386"/>
      <c r="BJ6201" s="46"/>
    </row>
    <row r="6202" spans="59:62" x14ac:dyDescent="0.3">
      <c r="BG6202" s="387"/>
      <c r="BH6202" s="386"/>
      <c r="BI6202" s="386"/>
      <c r="BJ6202" s="46"/>
    </row>
    <row r="6203" spans="59:62" x14ac:dyDescent="0.3">
      <c r="BG6203" s="387"/>
      <c r="BH6203" s="386"/>
      <c r="BI6203" s="386"/>
      <c r="BJ6203" s="46"/>
    </row>
    <row r="6204" spans="59:62" x14ac:dyDescent="0.3">
      <c r="BG6204" s="387"/>
      <c r="BH6204" s="386"/>
      <c r="BI6204" s="386"/>
      <c r="BJ6204" s="46"/>
    </row>
    <row r="6205" spans="59:62" x14ac:dyDescent="0.3">
      <c r="BG6205" s="387"/>
      <c r="BH6205" s="386"/>
      <c r="BI6205" s="386"/>
      <c r="BJ6205" s="46"/>
    </row>
    <row r="6206" spans="59:62" x14ac:dyDescent="0.3">
      <c r="BG6206" s="387"/>
      <c r="BH6206" s="386"/>
      <c r="BI6206" s="386"/>
      <c r="BJ6206" s="46"/>
    </row>
    <row r="6207" spans="59:62" x14ac:dyDescent="0.3">
      <c r="BG6207" s="387"/>
      <c r="BH6207" s="386"/>
      <c r="BI6207" s="386"/>
      <c r="BJ6207" s="46"/>
    </row>
    <row r="6208" spans="59:62" x14ac:dyDescent="0.3">
      <c r="BG6208" s="387"/>
      <c r="BH6208" s="386"/>
      <c r="BI6208" s="386"/>
      <c r="BJ6208" s="46"/>
    </row>
    <row r="6209" spans="59:62" x14ac:dyDescent="0.3">
      <c r="BG6209" s="387"/>
      <c r="BH6209" s="386"/>
      <c r="BI6209" s="386"/>
      <c r="BJ6209" s="46"/>
    </row>
    <row r="6210" spans="59:62" x14ac:dyDescent="0.3">
      <c r="BG6210" s="387"/>
      <c r="BH6210" s="386"/>
      <c r="BI6210" s="386"/>
      <c r="BJ6210" s="46"/>
    </row>
    <row r="6211" spans="59:62" x14ac:dyDescent="0.3">
      <c r="BG6211" s="387"/>
      <c r="BH6211" s="386"/>
      <c r="BI6211" s="386"/>
      <c r="BJ6211" s="46"/>
    </row>
    <row r="6212" spans="59:62" x14ac:dyDescent="0.3">
      <c r="BG6212" s="387"/>
      <c r="BH6212" s="386"/>
      <c r="BI6212" s="386"/>
      <c r="BJ6212" s="46"/>
    </row>
    <row r="6213" spans="59:62" x14ac:dyDescent="0.3">
      <c r="BG6213" s="387"/>
      <c r="BH6213" s="386"/>
      <c r="BI6213" s="386"/>
      <c r="BJ6213" s="46"/>
    </row>
    <row r="6214" spans="59:62" x14ac:dyDescent="0.3">
      <c r="BG6214" s="387"/>
      <c r="BH6214" s="386"/>
      <c r="BI6214" s="386"/>
      <c r="BJ6214" s="46"/>
    </row>
    <row r="6215" spans="59:62" x14ac:dyDescent="0.3">
      <c r="BG6215" s="387"/>
      <c r="BH6215" s="386"/>
      <c r="BI6215" s="386"/>
      <c r="BJ6215" s="46"/>
    </row>
    <row r="6216" spans="59:62" x14ac:dyDescent="0.3">
      <c r="BG6216" s="387"/>
      <c r="BH6216" s="386"/>
      <c r="BI6216" s="386"/>
      <c r="BJ6216" s="46"/>
    </row>
    <row r="6217" spans="59:62" x14ac:dyDescent="0.3">
      <c r="BG6217" s="387"/>
      <c r="BH6217" s="386"/>
      <c r="BI6217" s="386"/>
      <c r="BJ6217" s="46"/>
    </row>
    <row r="6218" spans="59:62" x14ac:dyDescent="0.3">
      <c r="BG6218" s="387"/>
      <c r="BH6218" s="386"/>
      <c r="BI6218" s="386"/>
      <c r="BJ6218" s="46"/>
    </row>
    <row r="6219" spans="59:62" x14ac:dyDescent="0.3">
      <c r="BG6219" s="387"/>
      <c r="BH6219" s="386"/>
      <c r="BI6219" s="386"/>
      <c r="BJ6219" s="46"/>
    </row>
    <row r="6220" spans="59:62" x14ac:dyDescent="0.3">
      <c r="BG6220" s="387"/>
      <c r="BH6220" s="386"/>
      <c r="BI6220" s="386"/>
      <c r="BJ6220" s="46"/>
    </row>
    <row r="6221" spans="59:62" x14ac:dyDescent="0.3">
      <c r="BG6221" s="387"/>
      <c r="BH6221" s="386"/>
      <c r="BI6221" s="386"/>
      <c r="BJ6221" s="46"/>
    </row>
    <row r="6222" spans="59:62" x14ac:dyDescent="0.3">
      <c r="BG6222" s="387"/>
      <c r="BH6222" s="386"/>
      <c r="BI6222" s="386"/>
      <c r="BJ6222" s="46"/>
    </row>
    <row r="6223" spans="59:62" x14ac:dyDescent="0.3">
      <c r="BG6223" s="387"/>
      <c r="BH6223" s="386"/>
      <c r="BI6223" s="386"/>
      <c r="BJ6223" s="46"/>
    </row>
    <row r="6224" spans="59:62" x14ac:dyDescent="0.3">
      <c r="BG6224" s="387"/>
      <c r="BH6224" s="386"/>
      <c r="BI6224" s="386"/>
      <c r="BJ6224" s="46"/>
    </row>
    <row r="6225" spans="59:62" x14ac:dyDescent="0.3">
      <c r="BG6225" s="387"/>
      <c r="BH6225" s="386"/>
      <c r="BI6225" s="386"/>
      <c r="BJ6225" s="46"/>
    </row>
    <row r="6226" spans="59:62" x14ac:dyDescent="0.3">
      <c r="BG6226" s="387"/>
      <c r="BH6226" s="386"/>
      <c r="BI6226" s="386"/>
      <c r="BJ6226" s="46"/>
    </row>
    <row r="6227" spans="59:62" x14ac:dyDescent="0.3">
      <c r="BG6227" s="387"/>
      <c r="BH6227" s="386"/>
      <c r="BI6227" s="386"/>
      <c r="BJ6227" s="46"/>
    </row>
    <row r="6228" spans="59:62" x14ac:dyDescent="0.3">
      <c r="BG6228" s="387"/>
      <c r="BH6228" s="386"/>
      <c r="BI6228" s="386"/>
      <c r="BJ6228" s="46"/>
    </row>
    <row r="6229" spans="59:62" x14ac:dyDescent="0.3">
      <c r="BG6229" s="387"/>
      <c r="BH6229" s="386"/>
      <c r="BI6229" s="386"/>
      <c r="BJ6229" s="46"/>
    </row>
    <row r="6230" spans="59:62" x14ac:dyDescent="0.3">
      <c r="BG6230" s="387"/>
      <c r="BH6230" s="386"/>
      <c r="BI6230" s="386"/>
      <c r="BJ6230" s="46"/>
    </row>
    <row r="6231" spans="59:62" x14ac:dyDescent="0.3">
      <c r="BG6231" s="387"/>
      <c r="BH6231" s="386"/>
      <c r="BI6231" s="386"/>
      <c r="BJ6231" s="46"/>
    </row>
    <row r="6232" spans="59:62" x14ac:dyDescent="0.3">
      <c r="BG6232" s="387"/>
      <c r="BH6232" s="386"/>
      <c r="BI6232" s="386"/>
      <c r="BJ6232" s="46"/>
    </row>
    <row r="6233" spans="59:62" x14ac:dyDescent="0.3">
      <c r="BG6233" s="387"/>
      <c r="BH6233" s="386"/>
      <c r="BI6233" s="386"/>
      <c r="BJ6233" s="46"/>
    </row>
    <row r="6234" spans="59:62" x14ac:dyDescent="0.3">
      <c r="BG6234" s="387"/>
      <c r="BH6234" s="386"/>
      <c r="BI6234" s="386"/>
      <c r="BJ6234" s="46"/>
    </row>
    <row r="6235" spans="59:62" x14ac:dyDescent="0.3">
      <c r="BG6235" s="387"/>
      <c r="BH6235" s="386"/>
      <c r="BI6235" s="386"/>
      <c r="BJ6235" s="46"/>
    </row>
    <row r="6236" spans="59:62" x14ac:dyDescent="0.3">
      <c r="BG6236" s="387"/>
      <c r="BH6236" s="386"/>
      <c r="BI6236" s="386"/>
      <c r="BJ6236" s="46"/>
    </row>
    <row r="6237" spans="59:62" x14ac:dyDescent="0.3">
      <c r="BG6237" s="387"/>
      <c r="BH6237" s="386"/>
      <c r="BI6237" s="386"/>
      <c r="BJ6237" s="46"/>
    </row>
    <row r="6238" spans="59:62" x14ac:dyDescent="0.3">
      <c r="BG6238" s="387"/>
      <c r="BH6238" s="386"/>
      <c r="BI6238" s="386"/>
      <c r="BJ6238" s="46"/>
    </row>
    <row r="6239" spans="59:62" x14ac:dyDescent="0.3">
      <c r="BG6239" s="387"/>
      <c r="BH6239" s="386"/>
      <c r="BI6239" s="386"/>
      <c r="BJ6239" s="46"/>
    </row>
    <row r="6240" spans="59:62" x14ac:dyDescent="0.3">
      <c r="BG6240" s="387"/>
      <c r="BH6240" s="386"/>
      <c r="BI6240" s="386"/>
      <c r="BJ6240" s="46"/>
    </row>
    <row r="6241" spans="59:62" x14ac:dyDescent="0.3">
      <c r="BG6241" s="387"/>
      <c r="BH6241" s="386"/>
      <c r="BI6241" s="386"/>
      <c r="BJ6241" s="46"/>
    </row>
    <row r="6242" spans="59:62" x14ac:dyDescent="0.3">
      <c r="BG6242" s="387"/>
      <c r="BH6242" s="386"/>
      <c r="BI6242" s="386"/>
      <c r="BJ6242" s="46"/>
    </row>
    <row r="6243" spans="59:62" x14ac:dyDescent="0.3">
      <c r="BG6243" s="387"/>
      <c r="BH6243" s="386"/>
      <c r="BI6243" s="386"/>
      <c r="BJ6243" s="46"/>
    </row>
    <row r="6244" spans="59:62" x14ac:dyDescent="0.3">
      <c r="BG6244" s="387"/>
      <c r="BH6244" s="386"/>
      <c r="BI6244" s="386"/>
      <c r="BJ6244" s="46"/>
    </row>
    <row r="6245" spans="59:62" x14ac:dyDescent="0.3">
      <c r="BG6245" s="387"/>
      <c r="BH6245" s="386"/>
      <c r="BI6245" s="386"/>
      <c r="BJ6245" s="46"/>
    </row>
    <row r="6246" spans="59:62" x14ac:dyDescent="0.3">
      <c r="BG6246" s="387"/>
      <c r="BH6246" s="386"/>
      <c r="BI6246" s="386"/>
      <c r="BJ6246" s="46"/>
    </row>
    <row r="6247" spans="59:62" x14ac:dyDescent="0.3">
      <c r="BG6247" s="387"/>
      <c r="BH6247" s="386"/>
      <c r="BI6247" s="386"/>
      <c r="BJ6247" s="46"/>
    </row>
    <row r="6248" spans="59:62" x14ac:dyDescent="0.3">
      <c r="BG6248" s="387"/>
      <c r="BH6248" s="386"/>
      <c r="BI6248" s="386"/>
      <c r="BJ6248" s="46"/>
    </row>
    <row r="6249" spans="59:62" x14ac:dyDescent="0.3">
      <c r="BG6249" s="387"/>
      <c r="BH6249" s="386"/>
      <c r="BI6249" s="386"/>
      <c r="BJ6249" s="46"/>
    </row>
    <row r="6250" spans="59:62" x14ac:dyDescent="0.3">
      <c r="BG6250" s="387"/>
      <c r="BH6250" s="386"/>
      <c r="BI6250" s="386"/>
      <c r="BJ6250" s="46"/>
    </row>
    <row r="6251" spans="59:62" x14ac:dyDescent="0.3">
      <c r="BG6251" s="387"/>
      <c r="BH6251" s="386"/>
      <c r="BI6251" s="386"/>
      <c r="BJ6251" s="46"/>
    </row>
    <row r="6252" spans="59:62" x14ac:dyDescent="0.3">
      <c r="BG6252" s="387"/>
      <c r="BH6252" s="386"/>
      <c r="BI6252" s="386"/>
      <c r="BJ6252" s="46"/>
    </row>
    <row r="6253" spans="59:62" x14ac:dyDescent="0.3">
      <c r="BG6253" s="387"/>
      <c r="BH6253" s="386"/>
      <c r="BI6253" s="386"/>
      <c r="BJ6253" s="46"/>
    </row>
    <row r="6254" spans="59:62" x14ac:dyDescent="0.3">
      <c r="BG6254" s="387"/>
      <c r="BH6254" s="386"/>
      <c r="BI6254" s="386"/>
      <c r="BJ6254" s="46"/>
    </row>
    <row r="6255" spans="59:62" x14ac:dyDescent="0.3">
      <c r="BG6255" s="387"/>
      <c r="BH6255" s="386"/>
      <c r="BI6255" s="386"/>
      <c r="BJ6255" s="46"/>
    </row>
    <row r="6256" spans="59:62" x14ac:dyDescent="0.3">
      <c r="BG6256" s="387"/>
      <c r="BH6256" s="386"/>
      <c r="BI6256" s="386"/>
      <c r="BJ6256" s="46"/>
    </row>
    <row r="6257" spans="59:62" x14ac:dyDescent="0.3">
      <c r="BG6257" s="387"/>
      <c r="BH6257" s="386"/>
      <c r="BI6257" s="386"/>
      <c r="BJ6257" s="46"/>
    </row>
    <row r="6258" spans="59:62" x14ac:dyDescent="0.3">
      <c r="BG6258" s="387"/>
      <c r="BH6258" s="386"/>
      <c r="BI6258" s="386"/>
      <c r="BJ6258" s="46"/>
    </row>
    <row r="6259" spans="59:62" x14ac:dyDescent="0.3">
      <c r="BG6259" s="387"/>
      <c r="BH6259" s="386"/>
      <c r="BI6259" s="386"/>
      <c r="BJ6259" s="46"/>
    </row>
    <row r="6260" spans="59:62" x14ac:dyDescent="0.3">
      <c r="BG6260" s="387"/>
      <c r="BH6260" s="386"/>
      <c r="BI6260" s="386"/>
      <c r="BJ6260" s="46"/>
    </row>
    <row r="6261" spans="59:62" x14ac:dyDescent="0.3">
      <c r="BG6261" s="387"/>
      <c r="BH6261" s="386"/>
      <c r="BI6261" s="386"/>
      <c r="BJ6261" s="46"/>
    </row>
    <row r="6262" spans="59:62" x14ac:dyDescent="0.3">
      <c r="BG6262" s="387"/>
      <c r="BH6262" s="386"/>
      <c r="BI6262" s="386"/>
      <c r="BJ6262" s="46"/>
    </row>
    <row r="6263" spans="59:62" x14ac:dyDescent="0.3">
      <c r="BG6263" s="387"/>
      <c r="BH6263" s="386"/>
      <c r="BI6263" s="386"/>
      <c r="BJ6263" s="46"/>
    </row>
    <row r="6264" spans="59:62" x14ac:dyDescent="0.3">
      <c r="BG6264" s="387"/>
      <c r="BH6264" s="386"/>
      <c r="BI6264" s="386"/>
      <c r="BJ6264" s="46"/>
    </row>
    <row r="6265" spans="59:62" x14ac:dyDescent="0.3">
      <c r="BG6265" s="387"/>
      <c r="BH6265" s="386"/>
      <c r="BI6265" s="386"/>
      <c r="BJ6265" s="46"/>
    </row>
    <row r="6266" spans="59:62" x14ac:dyDescent="0.3">
      <c r="BG6266" s="387"/>
      <c r="BH6266" s="386"/>
      <c r="BI6266" s="386"/>
      <c r="BJ6266" s="46"/>
    </row>
    <row r="6267" spans="59:62" x14ac:dyDescent="0.3">
      <c r="BG6267" s="387"/>
      <c r="BH6267" s="386"/>
      <c r="BI6267" s="386"/>
      <c r="BJ6267" s="46"/>
    </row>
    <row r="6268" spans="59:62" x14ac:dyDescent="0.3">
      <c r="BG6268" s="387"/>
      <c r="BH6268" s="386"/>
      <c r="BI6268" s="386"/>
      <c r="BJ6268" s="46"/>
    </row>
    <row r="6269" spans="59:62" x14ac:dyDescent="0.3">
      <c r="BG6269" s="387"/>
      <c r="BH6269" s="386"/>
      <c r="BI6269" s="386"/>
      <c r="BJ6269" s="46"/>
    </row>
    <row r="6270" spans="59:62" x14ac:dyDescent="0.3">
      <c r="BG6270" s="387"/>
      <c r="BH6270" s="386"/>
      <c r="BI6270" s="386"/>
      <c r="BJ6270" s="46"/>
    </row>
    <row r="6271" spans="59:62" x14ac:dyDescent="0.3">
      <c r="BG6271" s="387"/>
      <c r="BH6271" s="386"/>
      <c r="BI6271" s="386"/>
      <c r="BJ6271" s="46"/>
    </row>
    <row r="6272" spans="59:62" x14ac:dyDescent="0.3">
      <c r="BG6272" s="387"/>
      <c r="BH6272" s="386"/>
      <c r="BI6272" s="386"/>
      <c r="BJ6272" s="46"/>
    </row>
    <row r="6273" spans="59:62" x14ac:dyDescent="0.3">
      <c r="BG6273" s="387"/>
      <c r="BH6273" s="386"/>
      <c r="BI6273" s="386"/>
      <c r="BJ6273" s="46"/>
    </row>
    <row r="6274" spans="59:62" x14ac:dyDescent="0.3">
      <c r="BG6274" s="387"/>
      <c r="BH6274" s="386"/>
      <c r="BI6274" s="386"/>
      <c r="BJ6274" s="46"/>
    </row>
    <row r="6275" spans="59:62" x14ac:dyDescent="0.3">
      <c r="BG6275" s="387"/>
      <c r="BH6275" s="386"/>
      <c r="BI6275" s="386"/>
      <c r="BJ6275" s="46"/>
    </row>
    <row r="6276" spans="59:62" x14ac:dyDescent="0.3">
      <c r="BG6276" s="387"/>
      <c r="BH6276" s="386"/>
      <c r="BI6276" s="386"/>
      <c r="BJ6276" s="46"/>
    </row>
    <row r="6277" spans="59:62" x14ac:dyDescent="0.3">
      <c r="BG6277" s="387"/>
      <c r="BH6277" s="386"/>
      <c r="BI6277" s="386"/>
      <c r="BJ6277" s="46"/>
    </row>
    <row r="6278" spans="59:62" x14ac:dyDescent="0.3">
      <c r="BG6278" s="387"/>
      <c r="BH6278" s="386"/>
      <c r="BI6278" s="386"/>
      <c r="BJ6278" s="46"/>
    </row>
    <row r="6279" spans="59:62" x14ac:dyDescent="0.3">
      <c r="BG6279" s="387"/>
      <c r="BH6279" s="386"/>
      <c r="BI6279" s="386"/>
      <c r="BJ6279" s="46"/>
    </row>
    <row r="6280" spans="59:62" x14ac:dyDescent="0.3">
      <c r="BG6280" s="387"/>
      <c r="BH6280" s="386"/>
      <c r="BI6280" s="386"/>
      <c r="BJ6280" s="46"/>
    </row>
    <row r="6281" spans="59:62" x14ac:dyDescent="0.3">
      <c r="BG6281" s="387"/>
      <c r="BH6281" s="386"/>
      <c r="BI6281" s="386"/>
      <c r="BJ6281" s="46"/>
    </row>
    <row r="6282" spans="59:62" x14ac:dyDescent="0.3">
      <c r="BG6282" s="387"/>
      <c r="BH6282" s="386"/>
      <c r="BI6282" s="386"/>
      <c r="BJ6282" s="46"/>
    </row>
    <row r="6283" spans="59:62" x14ac:dyDescent="0.3">
      <c r="BG6283" s="387"/>
      <c r="BH6283" s="386"/>
      <c r="BI6283" s="386"/>
      <c r="BJ6283" s="46"/>
    </row>
    <row r="6284" spans="59:62" x14ac:dyDescent="0.3">
      <c r="BG6284" s="387"/>
      <c r="BH6284" s="386"/>
      <c r="BI6284" s="386"/>
      <c r="BJ6284" s="46"/>
    </row>
    <row r="6285" spans="59:62" x14ac:dyDescent="0.3">
      <c r="BG6285" s="387"/>
      <c r="BH6285" s="386"/>
      <c r="BI6285" s="386"/>
      <c r="BJ6285" s="46"/>
    </row>
    <row r="6286" spans="59:62" x14ac:dyDescent="0.3">
      <c r="BG6286" s="387"/>
      <c r="BH6286" s="386"/>
      <c r="BI6286" s="386"/>
      <c r="BJ6286" s="46"/>
    </row>
    <row r="6287" spans="59:62" x14ac:dyDescent="0.3">
      <c r="BG6287" s="387"/>
      <c r="BH6287" s="386"/>
      <c r="BI6287" s="386"/>
      <c r="BJ6287" s="46"/>
    </row>
    <row r="6288" spans="59:62" x14ac:dyDescent="0.3">
      <c r="BG6288" s="387"/>
      <c r="BH6288" s="386"/>
      <c r="BI6288" s="386"/>
      <c r="BJ6288" s="46"/>
    </row>
    <row r="6289" spans="59:62" x14ac:dyDescent="0.3">
      <c r="BG6289" s="387"/>
      <c r="BH6289" s="386"/>
      <c r="BI6289" s="386"/>
      <c r="BJ6289" s="46"/>
    </row>
    <row r="6290" spans="59:62" x14ac:dyDescent="0.3">
      <c r="BG6290" s="387"/>
      <c r="BH6290" s="386"/>
      <c r="BI6290" s="386"/>
      <c r="BJ6290" s="46"/>
    </row>
    <row r="6291" spans="59:62" x14ac:dyDescent="0.3">
      <c r="BG6291" s="387"/>
      <c r="BH6291" s="386"/>
      <c r="BI6291" s="386"/>
      <c r="BJ6291" s="46"/>
    </row>
    <row r="6292" spans="59:62" x14ac:dyDescent="0.3">
      <c r="BG6292" s="387"/>
      <c r="BH6292" s="386"/>
      <c r="BI6292" s="386"/>
      <c r="BJ6292" s="46"/>
    </row>
    <row r="6293" spans="59:62" x14ac:dyDescent="0.3">
      <c r="BG6293" s="387"/>
      <c r="BH6293" s="386"/>
      <c r="BI6293" s="386"/>
      <c r="BJ6293" s="46"/>
    </row>
    <row r="6294" spans="59:62" x14ac:dyDescent="0.3">
      <c r="BG6294" s="387"/>
      <c r="BH6294" s="386"/>
      <c r="BI6294" s="386"/>
      <c r="BJ6294" s="46"/>
    </row>
    <row r="6295" spans="59:62" x14ac:dyDescent="0.3">
      <c r="BG6295" s="387"/>
      <c r="BH6295" s="386"/>
      <c r="BI6295" s="386"/>
      <c r="BJ6295" s="46"/>
    </row>
    <row r="6296" spans="59:62" x14ac:dyDescent="0.3">
      <c r="BG6296" s="387"/>
      <c r="BH6296" s="386"/>
      <c r="BI6296" s="386"/>
      <c r="BJ6296" s="46"/>
    </row>
    <row r="6297" spans="59:62" x14ac:dyDescent="0.3">
      <c r="BG6297" s="387"/>
      <c r="BH6297" s="386"/>
      <c r="BI6297" s="386"/>
      <c r="BJ6297" s="46"/>
    </row>
    <row r="6298" spans="59:62" x14ac:dyDescent="0.3">
      <c r="BG6298" s="387"/>
      <c r="BH6298" s="386"/>
      <c r="BI6298" s="386"/>
      <c r="BJ6298" s="46"/>
    </row>
    <row r="6299" spans="59:62" x14ac:dyDescent="0.3">
      <c r="BG6299" s="387"/>
      <c r="BH6299" s="386"/>
      <c r="BI6299" s="386"/>
      <c r="BJ6299" s="46"/>
    </row>
    <row r="6300" spans="59:62" x14ac:dyDescent="0.3">
      <c r="BG6300" s="387"/>
      <c r="BH6300" s="386"/>
      <c r="BI6300" s="386"/>
      <c r="BJ6300" s="46"/>
    </row>
    <row r="6301" spans="59:62" x14ac:dyDescent="0.3">
      <c r="BG6301" s="387"/>
      <c r="BH6301" s="386"/>
      <c r="BI6301" s="386"/>
      <c r="BJ6301" s="46"/>
    </row>
    <row r="6302" spans="59:62" x14ac:dyDescent="0.3">
      <c r="BG6302" s="387"/>
      <c r="BH6302" s="386"/>
      <c r="BI6302" s="386"/>
      <c r="BJ6302" s="46"/>
    </row>
    <row r="6303" spans="59:62" x14ac:dyDescent="0.3">
      <c r="BG6303" s="387"/>
      <c r="BH6303" s="386"/>
      <c r="BI6303" s="386"/>
      <c r="BJ6303" s="46"/>
    </row>
    <row r="6304" spans="59:62" x14ac:dyDescent="0.3">
      <c r="BG6304" s="387"/>
      <c r="BH6304" s="386"/>
      <c r="BI6304" s="386"/>
      <c r="BJ6304" s="46"/>
    </row>
    <row r="6305" spans="59:62" x14ac:dyDescent="0.3">
      <c r="BG6305" s="387"/>
      <c r="BH6305" s="386"/>
      <c r="BI6305" s="386"/>
      <c r="BJ6305" s="46"/>
    </row>
    <row r="6306" spans="59:62" x14ac:dyDescent="0.3">
      <c r="BG6306" s="387"/>
      <c r="BH6306" s="386"/>
      <c r="BI6306" s="386"/>
      <c r="BJ6306" s="46"/>
    </row>
    <row r="6307" spans="59:62" x14ac:dyDescent="0.3">
      <c r="BG6307" s="387"/>
      <c r="BH6307" s="386"/>
      <c r="BI6307" s="386"/>
      <c r="BJ6307" s="46"/>
    </row>
    <row r="6308" spans="59:62" x14ac:dyDescent="0.3">
      <c r="BG6308" s="387"/>
      <c r="BH6308" s="386"/>
      <c r="BI6308" s="386"/>
      <c r="BJ6308" s="46"/>
    </row>
    <row r="6309" spans="59:62" x14ac:dyDescent="0.3">
      <c r="BG6309" s="387"/>
      <c r="BH6309" s="386"/>
      <c r="BI6309" s="386"/>
      <c r="BJ6309" s="46"/>
    </row>
    <row r="6310" spans="59:62" x14ac:dyDescent="0.3">
      <c r="BG6310" s="387"/>
      <c r="BH6310" s="386"/>
      <c r="BI6310" s="386"/>
      <c r="BJ6310" s="46"/>
    </row>
    <row r="6311" spans="59:62" x14ac:dyDescent="0.3">
      <c r="BG6311" s="387"/>
      <c r="BH6311" s="386"/>
      <c r="BI6311" s="386"/>
      <c r="BJ6311" s="46"/>
    </row>
    <row r="6312" spans="59:62" x14ac:dyDescent="0.3">
      <c r="BG6312" s="387"/>
      <c r="BH6312" s="386"/>
      <c r="BI6312" s="386"/>
      <c r="BJ6312" s="46"/>
    </row>
    <row r="6313" spans="59:62" x14ac:dyDescent="0.3">
      <c r="BG6313" s="387"/>
      <c r="BH6313" s="386"/>
      <c r="BI6313" s="386"/>
      <c r="BJ6313" s="46"/>
    </row>
    <row r="6314" spans="59:62" x14ac:dyDescent="0.3">
      <c r="BG6314" s="387"/>
      <c r="BH6314" s="386"/>
      <c r="BI6314" s="386"/>
      <c r="BJ6314" s="46"/>
    </row>
    <row r="6315" spans="59:62" x14ac:dyDescent="0.3">
      <c r="BG6315" s="387"/>
      <c r="BH6315" s="386"/>
      <c r="BI6315" s="386"/>
      <c r="BJ6315" s="46"/>
    </row>
    <row r="6316" spans="59:62" x14ac:dyDescent="0.3">
      <c r="BG6316" s="387"/>
      <c r="BH6316" s="386"/>
      <c r="BI6316" s="386"/>
      <c r="BJ6316" s="46"/>
    </row>
    <row r="6317" spans="59:62" x14ac:dyDescent="0.3">
      <c r="BG6317" s="387"/>
      <c r="BH6317" s="386"/>
      <c r="BI6317" s="386"/>
      <c r="BJ6317" s="46"/>
    </row>
    <row r="6318" spans="59:62" x14ac:dyDescent="0.3">
      <c r="BG6318" s="387"/>
      <c r="BH6318" s="386"/>
      <c r="BI6318" s="386"/>
      <c r="BJ6318" s="46"/>
    </row>
    <row r="6319" spans="59:62" x14ac:dyDescent="0.3">
      <c r="BG6319" s="387"/>
      <c r="BH6319" s="386"/>
      <c r="BI6319" s="386"/>
      <c r="BJ6319" s="46"/>
    </row>
    <row r="6320" spans="59:62" x14ac:dyDescent="0.3">
      <c r="BG6320" s="387"/>
      <c r="BH6320" s="386"/>
      <c r="BI6320" s="386"/>
      <c r="BJ6320" s="46"/>
    </row>
    <row r="6321" spans="59:62" x14ac:dyDescent="0.3">
      <c r="BG6321" s="387"/>
      <c r="BH6321" s="386"/>
      <c r="BI6321" s="386"/>
      <c r="BJ6321" s="46"/>
    </row>
    <row r="6322" spans="59:62" x14ac:dyDescent="0.3">
      <c r="BG6322" s="387"/>
      <c r="BH6322" s="386"/>
      <c r="BI6322" s="386"/>
      <c r="BJ6322" s="46"/>
    </row>
    <row r="6323" spans="59:62" x14ac:dyDescent="0.3">
      <c r="BG6323" s="387"/>
      <c r="BH6323" s="386"/>
      <c r="BI6323" s="386"/>
      <c r="BJ6323" s="46"/>
    </row>
    <row r="6324" spans="59:62" x14ac:dyDescent="0.3">
      <c r="BG6324" s="387"/>
      <c r="BH6324" s="386"/>
      <c r="BI6324" s="386"/>
      <c r="BJ6324" s="46"/>
    </row>
    <row r="6325" spans="59:62" x14ac:dyDescent="0.3">
      <c r="BG6325" s="387"/>
      <c r="BH6325" s="386"/>
      <c r="BI6325" s="386"/>
      <c r="BJ6325" s="46"/>
    </row>
    <row r="6326" spans="59:62" x14ac:dyDescent="0.3">
      <c r="BG6326" s="387"/>
      <c r="BH6326" s="386"/>
      <c r="BI6326" s="386"/>
      <c r="BJ6326" s="46"/>
    </row>
    <row r="6327" spans="59:62" x14ac:dyDescent="0.3">
      <c r="BG6327" s="387"/>
      <c r="BH6327" s="386"/>
      <c r="BI6327" s="386"/>
      <c r="BJ6327" s="46"/>
    </row>
    <row r="6328" spans="59:62" x14ac:dyDescent="0.3">
      <c r="BG6328" s="387"/>
      <c r="BH6328" s="386"/>
      <c r="BI6328" s="386"/>
      <c r="BJ6328" s="46"/>
    </row>
    <row r="6329" spans="59:62" x14ac:dyDescent="0.3">
      <c r="BG6329" s="387"/>
      <c r="BH6329" s="386"/>
      <c r="BI6329" s="386"/>
      <c r="BJ6329" s="46"/>
    </row>
    <row r="6330" spans="59:62" x14ac:dyDescent="0.3">
      <c r="BG6330" s="387"/>
      <c r="BH6330" s="386"/>
      <c r="BI6330" s="386"/>
      <c r="BJ6330" s="46"/>
    </row>
    <row r="6331" spans="59:62" x14ac:dyDescent="0.3">
      <c r="BG6331" s="387"/>
      <c r="BH6331" s="386"/>
      <c r="BI6331" s="386"/>
      <c r="BJ6331" s="46"/>
    </row>
    <row r="6332" spans="59:62" x14ac:dyDescent="0.3">
      <c r="BG6332" s="387"/>
      <c r="BH6332" s="386"/>
      <c r="BI6332" s="386"/>
      <c r="BJ6332" s="46"/>
    </row>
    <row r="6333" spans="59:62" x14ac:dyDescent="0.3">
      <c r="BG6333" s="387"/>
      <c r="BH6333" s="386"/>
      <c r="BI6333" s="386"/>
      <c r="BJ6333" s="46"/>
    </row>
    <row r="6334" spans="59:62" x14ac:dyDescent="0.3">
      <c r="BG6334" s="387"/>
      <c r="BH6334" s="386"/>
      <c r="BI6334" s="386"/>
      <c r="BJ6334" s="46"/>
    </row>
    <row r="6335" spans="59:62" x14ac:dyDescent="0.3">
      <c r="BG6335" s="387"/>
      <c r="BH6335" s="386"/>
      <c r="BI6335" s="386"/>
      <c r="BJ6335" s="46"/>
    </row>
    <row r="6336" spans="59:62" x14ac:dyDescent="0.3">
      <c r="BG6336" s="387"/>
      <c r="BH6336" s="386"/>
      <c r="BI6336" s="386"/>
      <c r="BJ6336" s="46"/>
    </row>
    <row r="6337" spans="59:62" x14ac:dyDescent="0.3">
      <c r="BG6337" s="387"/>
      <c r="BH6337" s="386"/>
      <c r="BI6337" s="386"/>
      <c r="BJ6337" s="46"/>
    </row>
    <row r="6338" spans="59:62" x14ac:dyDescent="0.3">
      <c r="BG6338" s="387"/>
      <c r="BH6338" s="386"/>
      <c r="BI6338" s="386"/>
      <c r="BJ6338" s="46"/>
    </row>
    <row r="6339" spans="59:62" x14ac:dyDescent="0.3">
      <c r="BG6339" s="387"/>
      <c r="BH6339" s="386"/>
      <c r="BI6339" s="386"/>
      <c r="BJ6339" s="46"/>
    </row>
    <row r="6340" spans="59:62" x14ac:dyDescent="0.3">
      <c r="BG6340" s="387"/>
      <c r="BH6340" s="386"/>
      <c r="BI6340" s="386"/>
      <c r="BJ6340" s="46"/>
    </row>
    <row r="6341" spans="59:62" x14ac:dyDescent="0.3">
      <c r="BG6341" s="387"/>
      <c r="BH6341" s="386"/>
      <c r="BI6341" s="386"/>
      <c r="BJ6341" s="46"/>
    </row>
    <row r="6342" spans="59:62" x14ac:dyDescent="0.3">
      <c r="BG6342" s="387"/>
      <c r="BH6342" s="386"/>
      <c r="BI6342" s="386"/>
      <c r="BJ6342" s="46"/>
    </row>
    <row r="6343" spans="59:62" x14ac:dyDescent="0.3">
      <c r="BG6343" s="387"/>
      <c r="BH6343" s="386"/>
      <c r="BI6343" s="386"/>
      <c r="BJ6343" s="46"/>
    </row>
    <row r="6344" spans="59:62" x14ac:dyDescent="0.3">
      <c r="BG6344" s="387"/>
      <c r="BH6344" s="386"/>
      <c r="BI6344" s="386"/>
      <c r="BJ6344" s="46"/>
    </row>
    <row r="6345" spans="59:62" x14ac:dyDescent="0.3">
      <c r="BG6345" s="387"/>
      <c r="BH6345" s="386"/>
      <c r="BI6345" s="386"/>
      <c r="BJ6345" s="46"/>
    </row>
    <row r="6346" spans="59:62" x14ac:dyDescent="0.3">
      <c r="BG6346" s="387"/>
      <c r="BH6346" s="386"/>
      <c r="BI6346" s="386"/>
      <c r="BJ6346" s="46"/>
    </row>
    <row r="6347" spans="59:62" x14ac:dyDescent="0.3">
      <c r="BG6347" s="387"/>
      <c r="BH6347" s="386"/>
      <c r="BI6347" s="386"/>
      <c r="BJ6347" s="46"/>
    </row>
    <row r="6348" spans="59:62" x14ac:dyDescent="0.3">
      <c r="BG6348" s="387"/>
      <c r="BH6348" s="386"/>
      <c r="BI6348" s="386"/>
      <c r="BJ6348" s="46"/>
    </row>
    <row r="6349" spans="59:62" x14ac:dyDescent="0.3">
      <c r="BG6349" s="387"/>
      <c r="BH6349" s="386"/>
      <c r="BI6349" s="386"/>
      <c r="BJ6349" s="46"/>
    </row>
    <row r="6350" spans="59:62" x14ac:dyDescent="0.3">
      <c r="BG6350" s="387"/>
      <c r="BH6350" s="386"/>
      <c r="BI6350" s="386"/>
      <c r="BJ6350" s="46"/>
    </row>
    <row r="6351" spans="59:62" x14ac:dyDescent="0.3">
      <c r="BG6351" s="387"/>
      <c r="BH6351" s="386"/>
      <c r="BI6351" s="386"/>
      <c r="BJ6351" s="46"/>
    </row>
    <row r="6352" spans="59:62" x14ac:dyDescent="0.3">
      <c r="BG6352" s="387"/>
      <c r="BH6352" s="386"/>
      <c r="BI6352" s="386"/>
      <c r="BJ6352" s="46"/>
    </row>
    <row r="6353" spans="59:62" x14ac:dyDescent="0.3">
      <c r="BG6353" s="387"/>
      <c r="BH6353" s="386"/>
      <c r="BI6353" s="386"/>
      <c r="BJ6353" s="46"/>
    </row>
    <row r="6354" spans="59:62" x14ac:dyDescent="0.3">
      <c r="BG6354" s="387"/>
      <c r="BH6354" s="386"/>
      <c r="BI6354" s="386"/>
      <c r="BJ6354" s="46"/>
    </row>
    <row r="6355" spans="59:62" x14ac:dyDescent="0.3">
      <c r="BG6355" s="387"/>
      <c r="BH6355" s="386"/>
      <c r="BI6355" s="386"/>
      <c r="BJ6355" s="46"/>
    </row>
    <row r="6356" spans="59:62" x14ac:dyDescent="0.3">
      <c r="BG6356" s="387"/>
      <c r="BH6356" s="386"/>
      <c r="BI6356" s="386"/>
      <c r="BJ6356" s="46"/>
    </row>
    <row r="6357" spans="59:62" x14ac:dyDescent="0.3">
      <c r="BG6357" s="387"/>
      <c r="BH6357" s="386"/>
      <c r="BI6357" s="386"/>
      <c r="BJ6357" s="46"/>
    </row>
    <row r="6358" spans="59:62" x14ac:dyDescent="0.3">
      <c r="BG6358" s="387"/>
      <c r="BH6358" s="386"/>
      <c r="BI6358" s="386"/>
      <c r="BJ6358" s="46"/>
    </row>
    <row r="6359" spans="59:62" x14ac:dyDescent="0.3">
      <c r="BG6359" s="387"/>
      <c r="BH6359" s="386"/>
      <c r="BI6359" s="386"/>
      <c r="BJ6359" s="46"/>
    </row>
    <row r="6360" spans="59:62" x14ac:dyDescent="0.3">
      <c r="BG6360" s="387"/>
      <c r="BH6360" s="386"/>
      <c r="BI6360" s="386"/>
      <c r="BJ6360" s="46"/>
    </row>
    <row r="6361" spans="59:62" x14ac:dyDescent="0.3">
      <c r="BG6361" s="387"/>
      <c r="BH6361" s="386"/>
      <c r="BI6361" s="386"/>
      <c r="BJ6361" s="46"/>
    </row>
    <row r="6362" spans="59:62" x14ac:dyDescent="0.3">
      <c r="BG6362" s="387"/>
      <c r="BH6362" s="386"/>
      <c r="BI6362" s="386"/>
      <c r="BJ6362" s="46"/>
    </row>
    <row r="6363" spans="59:62" x14ac:dyDescent="0.3">
      <c r="BG6363" s="387"/>
      <c r="BH6363" s="386"/>
      <c r="BI6363" s="386"/>
      <c r="BJ6363" s="46"/>
    </row>
    <row r="6364" spans="59:62" x14ac:dyDescent="0.3">
      <c r="BG6364" s="387"/>
      <c r="BH6364" s="386"/>
      <c r="BI6364" s="386"/>
      <c r="BJ6364" s="46"/>
    </row>
    <row r="6365" spans="59:62" x14ac:dyDescent="0.3">
      <c r="BG6365" s="387"/>
      <c r="BH6365" s="386"/>
      <c r="BI6365" s="386"/>
      <c r="BJ6365" s="46"/>
    </row>
    <row r="6366" spans="59:62" x14ac:dyDescent="0.3">
      <c r="BG6366" s="387"/>
      <c r="BH6366" s="386"/>
      <c r="BI6366" s="386"/>
      <c r="BJ6366" s="46"/>
    </row>
    <row r="6367" spans="59:62" x14ac:dyDescent="0.3">
      <c r="BG6367" s="387"/>
      <c r="BH6367" s="386"/>
      <c r="BI6367" s="386"/>
      <c r="BJ6367" s="46"/>
    </row>
    <row r="6368" spans="59:62" x14ac:dyDescent="0.3">
      <c r="BG6368" s="387"/>
      <c r="BH6368" s="386"/>
      <c r="BI6368" s="386"/>
      <c r="BJ6368" s="46"/>
    </row>
    <row r="6369" spans="59:62" x14ac:dyDescent="0.3">
      <c r="BG6369" s="387"/>
      <c r="BH6369" s="386"/>
      <c r="BI6369" s="386"/>
      <c r="BJ6369" s="46"/>
    </row>
    <row r="6370" spans="59:62" x14ac:dyDescent="0.3">
      <c r="BG6370" s="387"/>
      <c r="BH6370" s="386"/>
      <c r="BI6370" s="386"/>
      <c r="BJ6370" s="46"/>
    </row>
    <row r="6371" spans="59:62" x14ac:dyDescent="0.3">
      <c r="BG6371" s="387"/>
      <c r="BH6371" s="386"/>
      <c r="BI6371" s="386"/>
      <c r="BJ6371" s="46"/>
    </row>
    <row r="6372" spans="59:62" x14ac:dyDescent="0.3">
      <c r="BG6372" s="387"/>
      <c r="BH6372" s="386"/>
      <c r="BI6372" s="386"/>
      <c r="BJ6372" s="46"/>
    </row>
    <row r="6373" spans="59:62" x14ac:dyDescent="0.3">
      <c r="BG6373" s="387"/>
      <c r="BH6373" s="386"/>
      <c r="BI6373" s="386"/>
      <c r="BJ6373" s="46"/>
    </row>
    <row r="6374" spans="59:62" x14ac:dyDescent="0.3">
      <c r="BG6374" s="387"/>
      <c r="BH6374" s="386"/>
      <c r="BI6374" s="386"/>
      <c r="BJ6374" s="46"/>
    </row>
    <row r="6375" spans="59:62" x14ac:dyDescent="0.3">
      <c r="BG6375" s="387"/>
      <c r="BH6375" s="386"/>
      <c r="BI6375" s="386"/>
      <c r="BJ6375" s="46"/>
    </row>
    <row r="6376" spans="59:62" x14ac:dyDescent="0.3">
      <c r="BG6376" s="387"/>
      <c r="BH6376" s="386"/>
      <c r="BI6376" s="386"/>
      <c r="BJ6376" s="46"/>
    </row>
    <row r="6377" spans="59:62" x14ac:dyDescent="0.3">
      <c r="BG6377" s="387"/>
      <c r="BH6377" s="386"/>
      <c r="BI6377" s="386"/>
      <c r="BJ6377" s="46"/>
    </row>
    <row r="6378" spans="59:62" x14ac:dyDescent="0.3">
      <c r="BG6378" s="387"/>
      <c r="BH6378" s="386"/>
      <c r="BI6378" s="386"/>
      <c r="BJ6378" s="46"/>
    </row>
    <row r="6379" spans="59:62" x14ac:dyDescent="0.3">
      <c r="BG6379" s="387"/>
      <c r="BH6379" s="386"/>
      <c r="BI6379" s="386"/>
      <c r="BJ6379" s="46"/>
    </row>
    <row r="6380" spans="59:62" x14ac:dyDescent="0.3">
      <c r="BG6380" s="387"/>
      <c r="BH6380" s="386"/>
      <c r="BI6380" s="386"/>
      <c r="BJ6380" s="46"/>
    </row>
    <row r="6381" spans="59:62" x14ac:dyDescent="0.3">
      <c r="BG6381" s="387"/>
      <c r="BH6381" s="386"/>
      <c r="BI6381" s="386"/>
      <c r="BJ6381" s="46"/>
    </row>
    <row r="6382" spans="59:62" x14ac:dyDescent="0.3">
      <c r="BG6382" s="387"/>
      <c r="BH6382" s="386"/>
      <c r="BI6382" s="386"/>
      <c r="BJ6382" s="46"/>
    </row>
    <row r="6383" spans="59:62" x14ac:dyDescent="0.3">
      <c r="BG6383" s="387"/>
      <c r="BH6383" s="386"/>
      <c r="BI6383" s="386"/>
      <c r="BJ6383" s="46"/>
    </row>
    <row r="6384" spans="59:62" x14ac:dyDescent="0.3">
      <c r="BG6384" s="387"/>
      <c r="BH6384" s="386"/>
      <c r="BI6384" s="386"/>
      <c r="BJ6384" s="46"/>
    </row>
    <row r="6385" spans="59:62" x14ac:dyDescent="0.3">
      <c r="BG6385" s="387"/>
      <c r="BH6385" s="386"/>
      <c r="BI6385" s="386"/>
      <c r="BJ6385" s="46"/>
    </row>
    <row r="6386" spans="59:62" x14ac:dyDescent="0.3">
      <c r="BG6386" s="387"/>
      <c r="BH6386" s="386"/>
      <c r="BI6386" s="386"/>
      <c r="BJ6386" s="46"/>
    </row>
    <row r="6387" spans="59:62" x14ac:dyDescent="0.3">
      <c r="BG6387" s="387"/>
      <c r="BH6387" s="386"/>
      <c r="BI6387" s="386"/>
      <c r="BJ6387" s="46"/>
    </row>
    <row r="6388" spans="59:62" x14ac:dyDescent="0.3">
      <c r="BG6388" s="387"/>
      <c r="BH6388" s="386"/>
      <c r="BI6388" s="386"/>
      <c r="BJ6388" s="46"/>
    </row>
    <row r="6389" spans="59:62" x14ac:dyDescent="0.3">
      <c r="BG6389" s="387"/>
      <c r="BH6389" s="386"/>
      <c r="BI6389" s="386"/>
      <c r="BJ6389" s="46"/>
    </row>
    <row r="6390" spans="59:62" x14ac:dyDescent="0.3">
      <c r="BG6390" s="387"/>
      <c r="BH6390" s="386"/>
      <c r="BI6390" s="386"/>
      <c r="BJ6390" s="46"/>
    </row>
    <row r="6391" spans="59:62" x14ac:dyDescent="0.3">
      <c r="BG6391" s="387"/>
      <c r="BH6391" s="386"/>
      <c r="BI6391" s="386"/>
      <c r="BJ6391" s="46"/>
    </row>
    <row r="6392" spans="59:62" x14ac:dyDescent="0.3">
      <c r="BG6392" s="387"/>
      <c r="BH6392" s="386"/>
      <c r="BI6392" s="386"/>
      <c r="BJ6392" s="46"/>
    </row>
    <row r="6393" spans="59:62" x14ac:dyDescent="0.3">
      <c r="BG6393" s="387"/>
      <c r="BH6393" s="386"/>
      <c r="BI6393" s="386"/>
      <c r="BJ6393" s="46"/>
    </row>
    <row r="6394" spans="59:62" x14ac:dyDescent="0.3">
      <c r="BG6394" s="387"/>
      <c r="BH6394" s="386"/>
      <c r="BI6394" s="386"/>
      <c r="BJ6394" s="46"/>
    </row>
    <row r="6395" spans="59:62" x14ac:dyDescent="0.3">
      <c r="BG6395" s="387"/>
      <c r="BH6395" s="386"/>
      <c r="BI6395" s="386"/>
      <c r="BJ6395" s="46"/>
    </row>
    <row r="6396" spans="59:62" x14ac:dyDescent="0.3">
      <c r="BG6396" s="387"/>
      <c r="BH6396" s="386"/>
      <c r="BI6396" s="386"/>
      <c r="BJ6396" s="46"/>
    </row>
    <row r="6397" spans="59:62" x14ac:dyDescent="0.3">
      <c r="BG6397" s="387"/>
      <c r="BH6397" s="386"/>
      <c r="BI6397" s="386"/>
      <c r="BJ6397" s="46"/>
    </row>
    <row r="6398" spans="59:62" x14ac:dyDescent="0.3">
      <c r="BG6398" s="387"/>
      <c r="BH6398" s="386"/>
      <c r="BI6398" s="386"/>
      <c r="BJ6398" s="46"/>
    </row>
    <row r="6399" spans="59:62" x14ac:dyDescent="0.3">
      <c r="BG6399" s="387"/>
      <c r="BH6399" s="386"/>
      <c r="BI6399" s="386"/>
      <c r="BJ6399" s="46"/>
    </row>
    <row r="6400" spans="59:62" x14ac:dyDescent="0.3">
      <c r="BG6400" s="387"/>
      <c r="BH6400" s="386"/>
      <c r="BI6400" s="386"/>
      <c r="BJ6400" s="46"/>
    </row>
    <row r="6401" spans="59:62" x14ac:dyDescent="0.3">
      <c r="BG6401" s="387"/>
      <c r="BH6401" s="386"/>
      <c r="BI6401" s="386"/>
      <c r="BJ6401" s="46"/>
    </row>
    <row r="6402" spans="59:62" x14ac:dyDescent="0.3">
      <c r="BG6402" s="387"/>
      <c r="BH6402" s="386"/>
      <c r="BI6402" s="386"/>
      <c r="BJ6402" s="46"/>
    </row>
    <row r="6403" spans="59:62" x14ac:dyDescent="0.3">
      <c r="BG6403" s="387"/>
      <c r="BH6403" s="386"/>
      <c r="BI6403" s="386"/>
      <c r="BJ6403" s="46"/>
    </row>
    <row r="6404" spans="59:62" x14ac:dyDescent="0.3">
      <c r="BG6404" s="387"/>
      <c r="BH6404" s="386"/>
      <c r="BI6404" s="386"/>
      <c r="BJ6404" s="46"/>
    </row>
    <row r="6405" spans="59:62" x14ac:dyDescent="0.3">
      <c r="BG6405" s="387"/>
      <c r="BH6405" s="386"/>
      <c r="BI6405" s="386"/>
      <c r="BJ6405" s="46"/>
    </row>
    <row r="6406" spans="59:62" x14ac:dyDescent="0.3">
      <c r="BG6406" s="387"/>
      <c r="BH6406" s="386"/>
      <c r="BI6406" s="386"/>
      <c r="BJ6406" s="46"/>
    </row>
    <row r="6407" spans="59:62" x14ac:dyDescent="0.3">
      <c r="BG6407" s="387"/>
      <c r="BH6407" s="386"/>
      <c r="BI6407" s="386"/>
      <c r="BJ6407" s="46"/>
    </row>
    <row r="6408" spans="59:62" x14ac:dyDescent="0.3">
      <c r="BG6408" s="387"/>
      <c r="BH6408" s="386"/>
      <c r="BI6408" s="386"/>
      <c r="BJ6408" s="46"/>
    </row>
    <row r="6409" spans="59:62" x14ac:dyDescent="0.3">
      <c r="BG6409" s="387"/>
      <c r="BH6409" s="386"/>
      <c r="BI6409" s="386"/>
      <c r="BJ6409" s="46"/>
    </row>
    <row r="6410" spans="59:62" x14ac:dyDescent="0.3">
      <c r="BG6410" s="387"/>
      <c r="BH6410" s="386"/>
      <c r="BI6410" s="386"/>
      <c r="BJ6410" s="46"/>
    </row>
    <row r="6411" spans="59:62" x14ac:dyDescent="0.3">
      <c r="BG6411" s="387"/>
      <c r="BH6411" s="386"/>
      <c r="BI6411" s="386"/>
      <c r="BJ6411" s="46"/>
    </row>
    <row r="6412" spans="59:62" x14ac:dyDescent="0.3">
      <c r="BG6412" s="387"/>
      <c r="BH6412" s="386"/>
      <c r="BI6412" s="386"/>
      <c r="BJ6412" s="46"/>
    </row>
    <row r="6413" spans="59:62" x14ac:dyDescent="0.3">
      <c r="BG6413" s="387"/>
      <c r="BH6413" s="386"/>
      <c r="BI6413" s="386"/>
      <c r="BJ6413" s="46"/>
    </row>
    <row r="6414" spans="59:62" x14ac:dyDescent="0.3">
      <c r="BG6414" s="387"/>
      <c r="BH6414" s="386"/>
      <c r="BI6414" s="386"/>
      <c r="BJ6414" s="46"/>
    </row>
    <row r="6415" spans="59:62" x14ac:dyDescent="0.3">
      <c r="BG6415" s="387"/>
      <c r="BH6415" s="386"/>
      <c r="BI6415" s="386"/>
      <c r="BJ6415" s="46"/>
    </row>
    <row r="6416" spans="59:62" x14ac:dyDescent="0.3">
      <c r="BG6416" s="387"/>
      <c r="BH6416" s="386"/>
      <c r="BI6416" s="386"/>
      <c r="BJ6416" s="46"/>
    </row>
    <row r="6417" spans="59:62" x14ac:dyDescent="0.3">
      <c r="BG6417" s="387"/>
      <c r="BH6417" s="386"/>
      <c r="BI6417" s="386"/>
      <c r="BJ6417" s="46"/>
    </row>
    <row r="6418" spans="59:62" x14ac:dyDescent="0.3">
      <c r="BG6418" s="387"/>
      <c r="BH6418" s="386"/>
      <c r="BI6418" s="386"/>
      <c r="BJ6418" s="46"/>
    </row>
    <row r="6419" spans="59:62" x14ac:dyDescent="0.3">
      <c r="BG6419" s="387"/>
      <c r="BH6419" s="386"/>
      <c r="BI6419" s="386"/>
      <c r="BJ6419" s="46"/>
    </row>
    <row r="6420" spans="59:62" x14ac:dyDescent="0.3">
      <c r="BG6420" s="387"/>
      <c r="BH6420" s="386"/>
      <c r="BI6420" s="386"/>
      <c r="BJ6420" s="46"/>
    </row>
    <row r="6421" spans="59:62" x14ac:dyDescent="0.3">
      <c r="BG6421" s="387"/>
      <c r="BH6421" s="386"/>
      <c r="BI6421" s="386"/>
      <c r="BJ6421" s="46"/>
    </row>
    <row r="6422" spans="59:62" x14ac:dyDescent="0.3">
      <c r="BG6422" s="387"/>
      <c r="BH6422" s="386"/>
      <c r="BI6422" s="386"/>
      <c r="BJ6422" s="46"/>
    </row>
    <row r="6423" spans="59:62" x14ac:dyDescent="0.3">
      <c r="BG6423" s="387"/>
      <c r="BH6423" s="386"/>
      <c r="BI6423" s="386"/>
      <c r="BJ6423" s="46"/>
    </row>
    <row r="6424" spans="59:62" x14ac:dyDescent="0.3">
      <c r="BG6424" s="387"/>
      <c r="BH6424" s="386"/>
      <c r="BI6424" s="386"/>
      <c r="BJ6424" s="46"/>
    </row>
    <row r="6425" spans="59:62" x14ac:dyDescent="0.3">
      <c r="BG6425" s="387"/>
      <c r="BH6425" s="386"/>
      <c r="BI6425" s="386"/>
      <c r="BJ6425" s="46"/>
    </row>
    <row r="6426" spans="59:62" x14ac:dyDescent="0.3">
      <c r="BG6426" s="387"/>
      <c r="BH6426" s="386"/>
      <c r="BI6426" s="386"/>
      <c r="BJ6426" s="46"/>
    </row>
    <row r="6427" spans="59:62" x14ac:dyDescent="0.3">
      <c r="BG6427" s="387"/>
      <c r="BH6427" s="386"/>
      <c r="BI6427" s="386"/>
      <c r="BJ6427" s="46"/>
    </row>
    <row r="6428" spans="59:62" x14ac:dyDescent="0.3">
      <c r="BG6428" s="387"/>
      <c r="BH6428" s="386"/>
      <c r="BI6428" s="386"/>
      <c r="BJ6428" s="46"/>
    </row>
    <row r="6429" spans="59:62" x14ac:dyDescent="0.3">
      <c r="BG6429" s="387"/>
      <c r="BH6429" s="386"/>
      <c r="BI6429" s="386"/>
      <c r="BJ6429" s="46"/>
    </row>
    <row r="6430" spans="59:62" x14ac:dyDescent="0.3">
      <c r="BG6430" s="387"/>
      <c r="BH6430" s="386"/>
      <c r="BI6430" s="386"/>
      <c r="BJ6430" s="46"/>
    </row>
    <row r="6431" spans="59:62" x14ac:dyDescent="0.3">
      <c r="BG6431" s="387"/>
      <c r="BH6431" s="386"/>
      <c r="BI6431" s="386"/>
      <c r="BJ6431" s="46"/>
    </row>
    <row r="6432" spans="59:62" x14ac:dyDescent="0.3">
      <c r="BG6432" s="387"/>
      <c r="BH6432" s="386"/>
      <c r="BI6432" s="386"/>
      <c r="BJ6432" s="46"/>
    </row>
    <row r="6433" spans="59:62" x14ac:dyDescent="0.3">
      <c r="BG6433" s="387"/>
      <c r="BH6433" s="386"/>
      <c r="BI6433" s="386"/>
      <c r="BJ6433" s="46"/>
    </row>
    <row r="6434" spans="59:62" x14ac:dyDescent="0.3">
      <c r="BG6434" s="387"/>
      <c r="BH6434" s="386"/>
      <c r="BI6434" s="386"/>
      <c r="BJ6434" s="46"/>
    </row>
    <row r="6435" spans="59:62" x14ac:dyDescent="0.3">
      <c r="BG6435" s="387"/>
      <c r="BH6435" s="386"/>
      <c r="BI6435" s="386"/>
      <c r="BJ6435" s="46"/>
    </row>
    <row r="6436" spans="59:62" x14ac:dyDescent="0.3">
      <c r="BG6436" s="387"/>
      <c r="BH6436" s="386"/>
      <c r="BI6436" s="386"/>
      <c r="BJ6436" s="46"/>
    </row>
    <row r="6437" spans="59:62" x14ac:dyDescent="0.3">
      <c r="BG6437" s="387"/>
      <c r="BH6437" s="386"/>
      <c r="BI6437" s="386"/>
      <c r="BJ6437" s="46"/>
    </row>
    <row r="6438" spans="59:62" x14ac:dyDescent="0.3">
      <c r="BG6438" s="387"/>
      <c r="BH6438" s="386"/>
      <c r="BI6438" s="386"/>
      <c r="BJ6438" s="46"/>
    </row>
    <row r="6439" spans="59:62" x14ac:dyDescent="0.3">
      <c r="BG6439" s="387"/>
      <c r="BH6439" s="386"/>
      <c r="BI6439" s="386"/>
      <c r="BJ6439" s="46"/>
    </row>
    <row r="6440" spans="59:62" x14ac:dyDescent="0.3">
      <c r="BG6440" s="387"/>
      <c r="BH6440" s="386"/>
      <c r="BI6440" s="386"/>
      <c r="BJ6440" s="46"/>
    </row>
    <row r="6441" spans="59:62" x14ac:dyDescent="0.3">
      <c r="BG6441" s="387"/>
      <c r="BH6441" s="386"/>
      <c r="BI6441" s="386"/>
      <c r="BJ6441" s="46"/>
    </row>
    <row r="6442" spans="59:62" x14ac:dyDescent="0.3">
      <c r="BG6442" s="387"/>
      <c r="BH6442" s="386"/>
      <c r="BI6442" s="386"/>
      <c r="BJ6442" s="46"/>
    </row>
    <row r="6443" spans="59:62" x14ac:dyDescent="0.3">
      <c r="BG6443" s="387"/>
      <c r="BH6443" s="386"/>
      <c r="BI6443" s="386"/>
      <c r="BJ6443" s="46"/>
    </row>
    <row r="6444" spans="59:62" x14ac:dyDescent="0.3">
      <c r="BG6444" s="387"/>
      <c r="BH6444" s="386"/>
      <c r="BI6444" s="386"/>
      <c r="BJ6444" s="46"/>
    </row>
    <row r="6445" spans="59:62" x14ac:dyDescent="0.3">
      <c r="BG6445" s="387"/>
      <c r="BH6445" s="386"/>
      <c r="BI6445" s="386"/>
      <c r="BJ6445" s="46"/>
    </row>
    <row r="6446" spans="59:62" x14ac:dyDescent="0.3">
      <c r="BG6446" s="387"/>
      <c r="BH6446" s="386"/>
      <c r="BI6446" s="386"/>
      <c r="BJ6446" s="46"/>
    </row>
    <row r="6447" spans="59:62" x14ac:dyDescent="0.3">
      <c r="BG6447" s="387"/>
      <c r="BH6447" s="386"/>
      <c r="BI6447" s="386"/>
      <c r="BJ6447" s="46"/>
    </row>
    <row r="6448" spans="59:62" x14ac:dyDescent="0.3">
      <c r="BG6448" s="387"/>
      <c r="BH6448" s="386"/>
      <c r="BI6448" s="386"/>
      <c r="BJ6448" s="46"/>
    </row>
    <row r="6449" spans="59:62" x14ac:dyDescent="0.3">
      <c r="BG6449" s="387"/>
      <c r="BH6449" s="386"/>
      <c r="BI6449" s="386"/>
      <c r="BJ6449" s="46"/>
    </row>
    <row r="6450" spans="59:62" x14ac:dyDescent="0.3">
      <c r="BG6450" s="387"/>
      <c r="BH6450" s="386"/>
      <c r="BI6450" s="386"/>
      <c r="BJ6450" s="46"/>
    </row>
    <row r="6451" spans="59:62" x14ac:dyDescent="0.3">
      <c r="BG6451" s="387"/>
      <c r="BH6451" s="386"/>
      <c r="BI6451" s="386"/>
      <c r="BJ6451" s="46"/>
    </row>
    <row r="6452" spans="59:62" x14ac:dyDescent="0.3">
      <c r="BG6452" s="387"/>
      <c r="BH6452" s="386"/>
      <c r="BI6452" s="386"/>
      <c r="BJ6452" s="46"/>
    </row>
    <row r="6453" spans="59:62" x14ac:dyDescent="0.3">
      <c r="BG6453" s="387"/>
      <c r="BH6453" s="386"/>
      <c r="BI6453" s="386"/>
      <c r="BJ6453" s="46"/>
    </row>
    <row r="6454" spans="59:62" x14ac:dyDescent="0.3">
      <c r="BG6454" s="387"/>
      <c r="BH6454" s="386"/>
      <c r="BI6454" s="386"/>
      <c r="BJ6454" s="46"/>
    </row>
    <row r="6455" spans="59:62" x14ac:dyDescent="0.3">
      <c r="BG6455" s="387"/>
      <c r="BH6455" s="386"/>
      <c r="BI6455" s="386"/>
      <c r="BJ6455" s="46"/>
    </row>
    <row r="6456" spans="59:62" x14ac:dyDescent="0.3">
      <c r="BG6456" s="387"/>
      <c r="BH6456" s="386"/>
      <c r="BI6456" s="386"/>
      <c r="BJ6456" s="46"/>
    </row>
    <row r="6457" spans="59:62" x14ac:dyDescent="0.3">
      <c r="BG6457" s="387"/>
      <c r="BH6457" s="386"/>
      <c r="BI6457" s="386"/>
      <c r="BJ6457" s="46"/>
    </row>
    <row r="6458" spans="59:62" x14ac:dyDescent="0.3">
      <c r="BG6458" s="387"/>
      <c r="BH6458" s="386"/>
      <c r="BI6458" s="386"/>
      <c r="BJ6458" s="46"/>
    </row>
    <row r="6459" spans="59:62" x14ac:dyDescent="0.3">
      <c r="BG6459" s="387"/>
      <c r="BH6459" s="386"/>
      <c r="BI6459" s="386"/>
      <c r="BJ6459" s="46"/>
    </row>
    <row r="6460" spans="59:62" x14ac:dyDescent="0.3">
      <c r="BG6460" s="387"/>
      <c r="BH6460" s="386"/>
      <c r="BI6460" s="386"/>
      <c r="BJ6460" s="46"/>
    </row>
    <row r="6461" spans="59:62" x14ac:dyDescent="0.3">
      <c r="BG6461" s="387"/>
      <c r="BH6461" s="386"/>
      <c r="BI6461" s="386"/>
      <c r="BJ6461" s="46"/>
    </row>
    <row r="6462" spans="59:62" x14ac:dyDescent="0.3">
      <c r="BG6462" s="387"/>
      <c r="BH6462" s="386"/>
      <c r="BI6462" s="386"/>
      <c r="BJ6462" s="46"/>
    </row>
    <row r="6463" spans="59:62" x14ac:dyDescent="0.3">
      <c r="BG6463" s="387"/>
      <c r="BH6463" s="386"/>
      <c r="BI6463" s="386"/>
      <c r="BJ6463" s="46"/>
    </row>
    <row r="6464" spans="59:62" x14ac:dyDescent="0.3">
      <c r="BG6464" s="387"/>
      <c r="BH6464" s="386"/>
      <c r="BI6464" s="386"/>
      <c r="BJ6464" s="46"/>
    </row>
    <row r="6465" spans="59:62" x14ac:dyDescent="0.3">
      <c r="BG6465" s="387"/>
      <c r="BH6465" s="386"/>
      <c r="BI6465" s="386"/>
      <c r="BJ6465" s="46"/>
    </row>
    <row r="6466" spans="59:62" x14ac:dyDescent="0.3">
      <c r="BG6466" s="387"/>
      <c r="BH6466" s="386"/>
      <c r="BI6466" s="386"/>
      <c r="BJ6466" s="46"/>
    </row>
    <row r="6467" spans="59:62" x14ac:dyDescent="0.3">
      <c r="BG6467" s="387"/>
      <c r="BH6467" s="386"/>
      <c r="BI6467" s="386"/>
      <c r="BJ6467" s="46"/>
    </row>
    <row r="6468" spans="59:62" x14ac:dyDescent="0.3">
      <c r="BG6468" s="387"/>
      <c r="BH6468" s="386"/>
      <c r="BI6468" s="386"/>
      <c r="BJ6468" s="46"/>
    </row>
    <row r="6469" spans="59:62" x14ac:dyDescent="0.3">
      <c r="BG6469" s="387"/>
      <c r="BH6469" s="386"/>
      <c r="BI6469" s="386"/>
      <c r="BJ6469" s="46"/>
    </row>
    <row r="6470" spans="59:62" x14ac:dyDescent="0.3">
      <c r="BG6470" s="387"/>
      <c r="BH6470" s="386"/>
      <c r="BI6470" s="386"/>
      <c r="BJ6470" s="46"/>
    </row>
    <row r="6471" spans="59:62" x14ac:dyDescent="0.3">
      <c r="BG6471" s="387"/>
      <c r="BH6471" s="386"/>
      <c r="BI6471" s="386"/>
      <c r="BJ6471" s="46"/>
    </row>
    <row r="6472" spans="59:62" x14ac:dyDescent="0.3">
      <c r="BG6472" s="387"/>
      <c r="BH6472" s="386"/>
      <c r="BI6472" s="386"/>
      <c r="BJ6472" s="46"/>
    </row>
    <row r="6473" spans="59:62" x14ac:dyDescent="0.3">
      <c r="BG6473" s="387"/>
      <c r="BH6473" s="386"/>
      <c r="BI6473" s="386"/>
      <c r="BJ6473" s="46"/>
    </row>
    <row r="6474" spans="59:62" x14ac:dyDescent="0.3">
      <c r="BG6474" s="387"/>
      <c r="BH6474" s="386"/>
      <c r="BI6474" s="386"/>
      <c r="BJ6474" s="46"/>
    </row>
    <row r="6475" spans="59:62" x14ac:dyDescent="0.3">
      <c r="BG6475" s="387"/>
      <c r="BH6475" s="386"/>
      <c r="BI6475" s="386"/>
      <c r="BJ6475" s="46"/>
    </row>
    <row r="6476" spans="59:62" x14ac:dyDescent="0.3">
      <c r="BG6476" s="387"/>
      <c r="BH6476" s="386"/>
      <c r="BI6476" s="386"/>
      <c r="BJ6476" s="46"/>
    </row>
    <row r="6477" spans="59:62" x14ac:dyDescent="0.3">
      <c r="BG6477" s="387"/>
      <c r="BH6477" s="386"/>
      <c r="BI6477" s="386"/>
      <c r="BJ6477" s="46"/>
    </row>
    <row r="6478" spans="59:62" x14ac:dyDescent="0.3">
      <c r="BG6478" s="387"/>
      <c r="BH6478" s="386"/>
      <c r="BI6478" s="386"/>
      <c r="BJ6478" s="46"/>
    </row>
    <row r="6479" spans="59:62" x14ac:dyDescent="0.3">
      <c r="BG6479" s="387"/>
      <c r="BH6479" s="386"/>
      <c r="BI6479" s="386"/>
      <c r="BJ6479" s="46"/>
    </row>
    <row r="6480" spans="59:62" x14ac:dyDescent="0.3">
      <c r="BG6480" s="387"/>
      <c r="BH6480" s="386"/>
      <c r="BI6480" s="386"/>
      <c r="BJ6480" s="46"/>
    </row>
    <row r="6481" spans="59:62" x14ac:dyDescent="0.3">
      <c r="BG6481" s="387"/>
      <c r="BH6481" s="386"/>
      <c r="BI6481" s="386"/>
      <c r="BJ6481" s="46"/>
    </row>
    <row r="6482" spans="59:62" x14ac:dyDescent="0.3">
      <c r="BG6482" s="387"/>
      <c r="BH6482" s="386"/>
      <c r="BI6482" s="386"/>
      <c r="BJ6482" s="46"/>
    </row>
    <row r="6483" spans="59:62" x14ac:dyDescent="0.3">
      <c r="BG6483" s="387"/>
      <c r="BH6483" s="386"/>
      <c r="BI6483" s="386"/>
      <c r="BJ6483" s="46"/>
    </row>
    <row r="6484" spans="59:62" x14ac:dyDescent="0.3">
      <c r="BG6484" s="387"/>
      <c r="BH6484" s="386"/>
      <c r="BI6484" s="386"/>
      <c r="BJ6484" s="46"/>
    </row>
    <row r="6485" spans="59:62" x14ac:dyDescent="0.3">
      <c r="BG6485" s="387"/>
      <c r="BH6485" s="386"/>
      <c r="BI6485" s="386"/>
      <c r="BJ6485" s="46"/>
    </row>
    <row r="6486" spans="59:62" x14ac:dyDescent="0.3">
      <c r="BG6486" s="387"/>
      <c r="BH6486" s="386"/>
      <c r="BI6486" s="386"/>
      <c r="BJ6486" s="46"/>
    </row>
    <row r="6487" spans="59:62" x14ac:dyDescent="0.3">
      <c r="BG6487" s="387"/>
      <c r="BH6487" s="386"/>
      <c r="BI6487" s="386"/>
      <c r="BJ6487" s="46"/>
    </row>
    <row r="6488" spans="59:62" x14ac:dyDescent="0.3">
      <c r="BG6488" s="387"/>
      <c r="BH6488" s="386"/>
      <c r="BI6488" s="386"/>
      <c r="BJ6488" s="46"/>
    </row>
    <row r="6489" spans="59:62" x14ac:dyDescent="0.3">
      <c r="BG6489" s="387"/>
      <c r="BH6489" s="386"/>
      <c r="BI6489" s="386"/>
      <c r="BJ6489" s="46"/>
    </row>
    <row r="6490" spans="59:62" x14ac:dyDescent="0.3">
      <c r="BG6490" s="387"/>
      <c r="BH6490" s="386"/>
      <c r="BI6490" s="386"/>
      <c r="BJ6490" s="46"/>
    </row>
    <row r="6491" spans="59:62" x14ac:dyDescent="0.3">
      <c r="BG6491" s="387"/>
      <c r="BH6491" s="386"/>
      <c r="BI6491" s="386"/>
      <c r="BJ6491" s="46"/>
    </row>
    <row r="6492" spans="59:62" x14ac:dyDescent="0.3">
      <c r="BG6492" s="387"/>
      <c r="BH6492" s="386"/>
      <c r="BI6492" s="386"/>
      <c r="BJ6492" s="46"/>
    </row>
    <row r="6493" spans="59:62" x14ac:dyDescent="0.3">
      <c r="BG6493" s="387"/>
      <c r="BH6493" s="386"/>
      <c r="BI6493" s="386"/>
      <c r="BJ6493" s="46"/>
    </row>
    <row r="6494" spans="59:62" x14ac:dyDescent="0.3">
      <c r="BG6494" s="387"/>
      <c r="BH6494" s="386"/>
      <c r="BI6494" s="386"/>
      <c r="BJ6494" s="46"/>
    </row>
    <row r="6495" spans="59:62" x14ac:dyDescent="0.3">
      <c r="BG6495" s="387"/>
      <c r="BH6495" s="386"/>
      <c r="BI6495" s="386"/>
      <c r="BJ6495" s="46"/>
    </row>
    <row r="6496" spans="59:62" x14ac:dyDescent="0.3">
      <c r="BG6496" s="387"/>
      <c r="BH6496" s="386"/>
      <c r="BI6496" s="386"/>
      <c r="BJ6496" s="46"/>
    </row>
    <row r="6497" spans="59:62" x14ac:dyDescent="0.3">
      <c r="BG6497" s="387"/>
      <c r="BH6497" s="386"/>
      <c r="BI6497" s="386"/>
      <c r="BJ6497" s="46"/>
    </row>
    <row r="6498" spans="59:62" x14ac:dyDescent="0.3">
      <c r="BG6498" s="387"/>
      <c r="BH6498" s="386"/>
      <c r="BI6498" s="386"/>
      <c r="BJ6498" s="46"/>
    </row>
    <row r="6499" spans="59:62" x14ac:dyDescent="0.3">
      <c r="BG6499" s="387"/>
      <c r="BH6499" s="386"/>
      <c r="BI6499" s="386"/>
      <c r="BJ6499" s="46"/>
    </row>
    <row r="6500" spans="59:62" x14ac:dyDescent="0.3">
      <c r="BG6500" s="387"/>
      <c r="BH6500" s="386"/>
      <c r="BI6500" s="386"/>
      <c r="BJ6500" s="46"/>
    </row>
    <row r="6501" spans="59:62" x14ac:dyDescent="0.3">
      <c r="BG6501" s="387"/>
      <c r="BH6501" s="386"/>
      <c r="BI6501" s="386"/>
      <c r="BJ6501" s="46"/>
    </row>
    <row r="6502" spans="59:62" x14ac:dyDescent="0.3">
      <c r="BG6502" s="387"/>
      <c r="BH6502" s="386"/>
      <c r="BI6502" s="386"/>
      <c r="BJ6502" s="46"/>
    </row>
    <row r="6503" spans="59:62" x14ac:dyDescent="0.3">
      <c r="BG6503" s="387"/>
      <c r="BH6503" s="386"/>
      <c r="BI6503" s="386"/>
      <c r="BJ6503" s="46"/>
    </row>
    <row r="6504" spans="59:62" x14ac:dyDescent="0.3">
      <c r="BG6504" s="387"/>
      <c r="BH6504" s="386"/>
      <c r="BI6504" s="386"/>
      <c r="BJ6504" s="46"/>
    </row>
    <row r="6505" spans="59:62" x14ac:dyDescent="0.3">
      <c r="BG6505" s="387"/>
      <c r="BH6505" s="386"/>
      <c r="BI6505" s="386"/>
      <c r="BJ6505" s="46"/>
    </row>
    <row r="6506" spans="59:62" x14ac:dyDescent="0.3">
      <c r="BG6506" s="387"/>
      <c r="BH6506" s="386"/>
      <c r="BI6506" s="386"/>
      <c r="BJ6506" s="46"/>
    </row>
    <row r="6507" spans="59:62" x14ac:dyDescent="0.3">
      <c r="BG6507" s="387"/>
      <c r="BH6507" s="386"/>
      <c r="BI6507" s="386"/>
      <c r="BJ6507" s="46"/>
    </row>
    <row r="6508" spans="59:62" x14ac:dyDescent="0.3">
      <c r="BG6508" s="387"/>
      <c r="BH6508" s="386"/>
      <c r="BI6508" s="386"/>
      <c r="BJ6508" s="46"/>
    </row>
    <row r="6509" spans="59:62" x14ac:dyDescent="0.3">
      <c r="BG6509" s="387"/>
      <c r="BH6509" s="386"/>
      <c r="BI6509" s="386"/>
      <c r="BJ6509" s="46"/>
    </row>
    <row r="6510" spans="59:62" x14ac:dyDescent="0.3">
      <c r="BG6510" s="387"/>
      <c r="BH6510" s="386"/>
      <c r="BI6510" s="386"/>
      <c r="BJ6510" s="46"/>
    </row>
    <row r="6511" spans="59:62" x14ac:dyDescent="0.3">
      <c r="BG6511" s="387"/>
      <c r="BH6511" s="386"/>
      <c r="BI6511" s="386"/>
      <c r="BJ6511" s="46"/>
    </row>
    <row r="6512" spans="59:62" x14ac:dyDescent="0.3">
      <c r="BG6512" s="387"/>
      <c r="BH6512" s="386"/>
      <c r="BI6512" s="386"/>
      <c r="BJ6512" s="46"/>
    </row>
    <row r="6513" spans="59:62" x14ac:dyDescent="0.3">
      <c r="BG6513" s="387"/>
      <c r="BH6513" s="386"/>
      <c r="BI6513" s="386"/>
      <c r="BJ6513" s="46"/>
    </row>
    <row r="6514" spans="59:62" x14ac:dyDescent="0.3">
      <c r="BG6514" s="387"/>
      <c r="BH6514" s="386"/>
      <c r="BI6514" s="386"/>
      <c r="BJ6514" s="46"/>
    </row>
    <row r="6515" spans="59:62" x14ac:dyDescent="0.3">
      <c r="BG6515" s="387"/>
      <c r="BH6515" s="386"/>
      <c r="BI6515" s="386"/>
      <c r="BJ6515" s="46"/>
    </row>
    <row r="6516" spans="59:62" x14ac:dyDescent="0.3">
      <c r="BG6516" s="387"/>
      <c r="BH6516" s="386"/>
      <c r="BI6516" s="386"/>
      <c r="BJ6516" s="46"/>
    </row>
    <row r="6517" spans="59:62" x14ac:dyDescent="0.3">
      <c r="BG6517" s="387"/>
      <c r="BH6517" s="386"/>
      <c r="BI6517" s="386"/>
      <c r="BJ6517" s="46"/>
    </row>
    <row r="6518" spans="59:62" x14ac:dyDescent="0.3">
      <c r="BG6518" s="387"/>
      <c r="BH6518" s="386"/>
      <c r="BI6518" s="386"/>
      <c r="BJ6518" s="46"/>
    </row>
    <row r="6519" spans="59:62" x14ac:dyDescent="0.3">
      <c r="BG6519" s="387"/>
      <c r="BH6519" s="386"/>
      <c r="BI6519" s="386"/>
      <c r="BJ6519" s="46"/>
    </row>
    <row r="6520" spans="59:62" x14ac:dyDescent="0.3">
      <c r="BG6520" s="387"/>
      <c r="BH6520" s="386"/>
      <c r="BI6520" s="386"/>
      <c r="BJ6520" s="46"/>
    </row>
    <row r="6521" spans="59:62" x14ac:dyDescent="0.3">
      <c r="BG6521" s="387"/>
      <c r="BH6521" s="386"/>
      <c r="BI6521" s="386"/>
      <c r="BJ6521" s="46"/>
    </row>
    <row r="6522" spans="59:62" x14ac:dyDescent="0.3">
      <c r="BG6522" s="387"/>
      <c r="BH6522" s="386"/>
      <c r="BI6522" s="386"/>
      <c r="BJ6522" s="46"/>
    </row>
    <row r="6523" spans="59:62" x14ac:dyDescent="0.3">
      <c r="BG6523" s="387"/>
      <c r="BH6523" s="386"/>
      <c r="BI6523" s="386"/>
      <c r="BJ6523" s="46"/>
    </row>
    <row r="6524" spans="59:62" x14ac:dyDescent="0.3">
      <c r="BG6524" s="387"/>
      <c r="BH6524" s="386"/>
      <c r="BI6524" s="386"/>
      <c r="BJ6524" s="46"/>
    </row>
    <row r="6525" spans="59:62" x14ac:dyDescent="0.3">
      <c r="BG6525" s="387"/>
      <c r="BH6525" s="386"/>
      <c r="BI6525" s="386"/>
      <c r="BJ6525" s="46"/>
    </row>
    <row r="6526" spans="59:62" x14ac:dyDescent="0.3">
      <c r="BG6526" s="387"/>
      <c r="BH6526" s="386"/>
      <c r="BI6526" s="386"/>
      <c r="BJ6526" s="46"/>
    </row>
    <row r="6527" spans="59:62" x14ac:dyDescent="0.3">
      <c r="BG6527" s="387"/>
      <c r="BH6527" s="386"/>
      <c r="BI6527" s="386"/>
      <c r="BJ6527" s="46"/>
    </row>
    <row r="6528" spans="59:62" x14ac:dyDescent="0.3">
      <c r="BG6528" s="387"/>
      <c r="BH6528" s="386"/>
      <c r="BI6528" s="386"/>
      <c r="BJ6528" s="46"/>
    </row>
    <row r="6529" spans="59:62" x14ac:dyDescent="0.3">
      <c r="BG6529" s="387"/>
      <c r="BH6529" s="386"/>
      <c r="BI6529" s="386"/>
      <c r="BJ6529" s="46"/>
    </row>
    <row r="6530" spans="59:62" x14ac:dyDescent="0.3">
      <c r="BG6530" s="387"/>
      <c r="BH6530" s="386"/>
      <c r="BI6530" s="386"/>
      <c r="BJ6530" s="46"/>
    </row>
    <row r="6531" spans="59:62" x14ac:dyDescent="0.3">
      <c r="BG6531" s="387"/>
      <c r="BH6531" s="386"/>
      <c r="BI6531" s="386"/>
      <c r="BJ6531" s="46"/>
    </row>
    <row r="6532" spans="59:62" x14ac:dyDescent="0.3">
      <c r="BG6532" s="387"/>
      <c r="BH6532" s="386"/>
      <c r="BI6532" s="386"/>
      <c r="BJ6532" s="46"/>
    </row>
    <row r="6533" spans="59:62" x14ac:dyDescent="0.3">
      <c r="BG6533" s="387"/>
      <c r="BH6533" s="386"/>
      <c r="BI6533" s="386"/>
      <c r="BJ6533" s="46"/>
    </row>
    <row r="6534" spans="59:62" x14ac:dyDescent="0.3">
      <c r="BG6534" s="387"/>
      <c r="BH6534" s="386"/>
      <c r="BI6534" s="386"/>
      <c r="BJ6534" s="46"/>
    </row>
    <row r="6535" spans="59:62" x14ac:dyDescent="0.3">
      <c r="BG6535" s="387"/>
      <c r="BH6535" s="386"/>
      <c r="BI6535" s="386"/>
      <c r="BJ6535" s="46"/>
    </row>
    <row r="6536" spans="59:62" x14ac:dyDescent="0.3">
      <c r="BG6536" s="387"/>
      <c r="BH6536" s="386"/>
      <c r="BI6536" s="386"/>
      <c r="BJ6536" s="46"/>
    </row>
    <row r="6537" spans="59:62" x14ac:dyDescent="0.3">
      <c r="BG6537" s="387"/>
      <c r="BH6537" s="386"/>
      <c r="BI6537" s="386"/>
      <c r="BJ6537" s="46"/>
    </row>
    <row r="6538" spans="59:62" x14ac:dyDescent="0.3">
      <c r="BG6538" s="387"/>
      <c r="BH6538" s="386"/>
      <c r="BI6538" s="386"/>
      <c r="BJ6538" s="46"/>
    </row>
    <row r="6539" spans="59:62" x14ac:dyDescent="0.3">
      <c r="BG6539" s="387"/>
      <c r="BH6539" s="386"/>
      <c r="BI6539" s="386"/>
      <c r="BJ6539" s="46"/>
    </row>
    <row r="6540" spans="59:62" x14ac:dyDescent="0.3">
      <c r="BG6540" s="387"/>
      <c r="BH6540" s="386"/>
      <c r="BI6540" s="386"/>
      <c r="BJ6540" s="46"/>
    </row>
    <row r="6541" spans="59:62" x14ac:dyDescent="0.3">
      <c r="BG6541" s="387"/>
      <c r="BH6541" s="386"/>
      <c r="BI6541" s="386"/>
      <c r="BJ6541" s="46"/>
    </row>
    <row r="6542" spans="59:62" x14ac:dyDescent="0.3">
      <c r="BG6542" s="387"/>
      <c r="BH6542" s="386"/>
      <c r="BI6542" s="386"/>
      <c r="BJ6542" s="46"/>
    </row>
    <row r="6543" spans="59:62" x14ac:dyDescent="0.3">
      <c r="BG6543" s="387"/>
      <c r="BH6543" s="386"/>
      <c r="BI6543" s="386"/>
      <c r="BJ6543" s="46"/>
    </row>
    <row r="6544" spans="59:62" x14ac:dyDescent="0.3">
      <c r="BG6544" s="387"/>
      <c r="BH6544" s="386"/>
      <c r="BI6544" s="386"/>
      <c r="BJ6544" s="46"/>
    </row>
    <row r="6545" spans="59:62" x14ac:dyDescent="0.3">
      <c r="BG6545" s="387"/>
      <c r="BH6545" s="386"/>
      <c r="BI6545" s="386"/>
      <c r="BJ6545" s="46"/>
    </row>
    <row r="6546" spans="59:62" x14ac:dyDescent="0.3">
      <c r="BG6546" s="387"/>
      <c r="BH6546" s="386"/>
      <c r="BI6546" s="386"/>
      <c r="BJ6546" s="46"/>
    </row>
    <row r="6547" spans="59:62" x14ac:dyDescent="0.3">
      <c r="BG6547" s="387"/>
      <c r="BH6547" s="386"/>
      <c r="BI6547" s="386"/>
      <c r="BJ6547" s="46"/>
    </row>
    <row r="6548" spans="59:62" x14ac:dyDescent="0.3">
      <c r="BG6548" s="387"/>
      <c r="BH6548" s="386"/>
      <c r="BI6548" s="386"/>
      <c r="BJ6548" s="46"/>
    </row>
    <row r="6549" spans="59:62" x14ac:dyDescent="0.3">
      <c r="BG6549" s="387"/>
      <c r="BH6549" s="386"/>
      <c r="BI6549" s="386"/>
      <c r="BJ6549" s="46"/>
    </row>
    <row r="6550" spans="59:62" x14ac:dyDescent="0.3">
      <c r="BG6550" s="387"/>
      <c r="BH6550" s="386"/>
      <c r="BI6550" s="386"/>
      <c r="BJ6550" s="46"/>
    </row>
    <row r="6551" spans="59:62" x14ac:dyDescent="0.3">
      <c r="BG6551" s="387"/>
      <c r="BH6551" s="386"/>
      <c r="BI6551" s="386"/>
      <c r="BJ6551" s="46"/>
    </row>
    <row r="6552" spans="59:62" x14ac:dyDescent="0.3">
      <c r="BG6552" s="387"/>
      <c r="BH6552" s="386"/>
      <c r="BI6552" s="386"/>
      <c r="BJ6552" s="46"/>
    </row>
    <row r="6553" spans="59:62" x14ac:dyDescent="0.3">
      <c r="BG6553" s="387"/>
      <c r="BH6553" s="386"/>
      <c r="BI6553" s="386"/>
      <c r="BJ6553" s="46"/>
    </row>
    <row r="6554" spans="59:62" x14ac:dyDescent="0.3">
      <c r="BG6554" s="387"/>
      <c r="BH6554" s="386"/>
      <c r="BI6554" s="386"/>
      <c r="BJ6554" s="46"/>
    </row>
    <row r="6555" spans="59:62" x14ac:dyDescent="0.3">
      <c r="BG6555" s="387"/>
      <c r="BH6555" s="386"/>
      <c r="BI6555" s="386"/>
      <c r="BJ6555" s="46"/>
    </row>
    <row r="6556" spans="59:62" x14ac:dyDescent="0.3">
      <c r="BG6556" s="387"/>
      <c r="BH6556" s="386"/>
      <c r="BI6556" s="386"/>
      <c r="BJ6556" s="46"/>
    </row>
    <row r="6557" spans="59:62" x14ac:dyDescent="0.3">
      <c r="BG6557" s="387"/>
      <c r="BH6557" s="386"/>
      <c r="BI6557" s="386"/>
      <c r="BJ6557" s="46"/>
    </row>
    <row r="6558" spans="59:62" x14ac:dyDescent="0.3">
      <c r="BG6558" s="387"/>
      <c r="BH6558" s="386"/>
      <c r="BI6558" s="386"/>
      <c r="BJ6558" s="46"/>
    </row>
    <row r="6559" spans="59:62" x14ac:dyDescent="0.3">
      <c r="BG6559" s="387"/>
      <c r="BH6559" s="386"/>
      <c r="BI6559" s="386"/>
      <c r="BJ6559" s="46"/>
    </row>
    <row r="6560" spans="59:62" x14ac:dyDescent="0.3">
      <c r="BG6560" s="387"/>
      <c r="BH6560" s="386"/>
      <c r="BI6560" s="386"/>
      <c r="BJ6560" s="46"/>
    </row>
    <row r="6561" spans="59:62" x14ac:dyDescent="0.3">
      <c r="BG6561" s="387"/>
      <c r="BH6561" s="386"/>
      <c r="BI6561" s="386"/>
      <c r="BJ6561" s="46"/>
    </row>
    <row r="6562" spans="59:62" x14ac:dyDescent="0.3">
      <c r="BG6562" s="387"/>
      <c r="BH6562" s="386"/>
      <c r="BI6562" s="386"/>
      <c r="BJ6562" s="46"/>
    </row>
    <row r="6563" spans="59:62" x14ac:dyDescent="0.3">
      <c r="BG6563" s="387"/>
      <c r="BH6563" s="386"/>
      <c r="BI6563" s="386"/>
      <c r="BJ6563" s="46"/>
    </row>
    <row r="6564" spans="59:62" x14ac:dyDescent="0.3">
      <c r="BG6564" s="387"/>
      <c r="BH6564" s="386"/>
      <c r="BI6564" s="386"/>
      <c r="BJ6564" s="46"/>
    </row>
    <row r="6565" spans="59:62" x14ac:dyDescent="0.3">
      <c r="BG6565" s="387"/>
      <c r="BH6565" s="386"/>
      <c r="BI6565" s="386"/>
      <c r="BJ6565" s="46"/>
    </row>
    <row r="6566" spans="59:62" x14ac:dyDescent="0.3">
      <c r="BG6566" s="387"/>
      <c r="BH6566" s="386"/>
      <c r="BI6566" s="386"/>
      <c r="BJ6566" s="46"/>
    </row>
    <row r="6567" spans="59:62" x14ac:dyDescent="0.3">
      <c r="BG6567" s="387"/>
      <c r="BH6567" s="386"/>
      <c r="BI6567" s="386"/>
      <c r="BJ6567" s="46"/>
    </row>
    <row r="6568" spans="59:62" x14ac:dyDescent="0.3">
      <c r="BG6568" s="387"/>
      <c r="BH6568" s="386"/>
      <c r="BI6568" s="386"/>
      <c r="BJ6568" s="46"/>
    </row>
    <row r="6569" spans="59:62" x14ac:dyDescent="0.3">
      <c r="BG6569" s="387"/>
      <c r="BH6569" s="386"/>
      <c r="BI6569" s="386"/>
      <c r="BJ6569" s="46"/>
    </row>
    <row r="6570" spans="59:62" x14ac:dyDescent="0.3">
      <c r="BG6570" s="387"/>
      <c r="BH6570" s="386"/>
      <c r="BI6570" s="386"/>
      <c r="BJ6570" s="46"/>
    </row>
    <row r="6571" spans="59:62" x14ac:dyDescent="0.3">
      <c r="BG6571" s="387"/>
      <c r="BH6571" s="386"/>
      <c r="BI6571" s="386"/>
      <c r="BJ6571" s="46"/>
    </row>
    <row r="6572" spans="59:62" x14ac:dyDescent="0.3">
      <c r="BG6572" s="387"/>
      <c r="BH6572" s="386"/>
      <c r="BI6572" s="386"/>
      <c r="BJ6572" s="46"/>
    </row>
    <row r="6573" spans="59:62" x14ac:dyDescent="0.3">
      <c r="BG6573" s="387"/>
      <c r="BH6573" s="386"/>
      <c r="BI6573" s="386"/>
      <c r="BJ6573" s="46"/>
    </row>
    <row r="6574" spans="59:62" x14ac:dyDescent="0.3">
      <c r="BG6574" s="387"/>
      <c r="BH6574" s="386"/>
      <c r="BI6574" s="386"/>
      <c r="BJ6574" s="46"/>
    </row>
    <row r="6575" spans="59:62" x14ac:dyDescent="0.3">
      <c r="BG6575" s="387"/>
      <c r="BH6575" s="386"/>
      <c r="BI6575" s="386"/>
      <c r="BJ6575" s="46"/>
    </row>
    <row r="6576" spans="59:62" x14ac:dyDescent="0.3">
      <c r="BG6576" s="387"/>
      <c r="BH6576" s="386"/>
      <c r="BI6576" s="386"/>
      <c r="BJ6576" s="46"/>
    </row>
    <row r="6577" spans="59:62" x14ac:dyDescent="0.3">
      <c r="BG6577" s="387"/>
      <c r="BH6577" s="386"/>
      <c r="BI6577" s="386"/>
      <c r="BJ6577" s="46"/>
    </row>
    <row r="6578" spans="59:62" x14ac:dyDescent="0.3">
      <c r="BG6578" s="387"/>
      <c r="BH6578" s="386"/>
      <c r="BI6578" s="386"/>
      <c r="BJ6578" s="46"/>
    </row>
    <row r="6579" spans="59:62" x14ac:dyDescent="0.3">
      <c r="BG6579" s="387"/>
      <c r="BH6579" s="386"/>
      <c r="BI6579" s="386"/>
      <c r="BJ6579" s="46"/>
    </row>
    <row r="6580" spans="59:62" x14ac:dyDescent="0.3">
      <c r="BG6580" s="387"/>
      <c r="BH6580" s="386"/>
      <c r="BI6580" s="386"/>
      <c r="BJ6580" s="46"/>
    </row>
    <row r="6581" spans="59:62" x14ac:dyDescent="0.3">
      <c r="BG6581" s="387"/>
      <c r="BH6581" s="386"/>
      <c r="BI6581" s="386"/>
      <c r="BJ6581" s="46"/>
    </row>
    <row r="6582" spans="59:62" x14ac:dyDescent="0.3">
      <c r="BG6582" s="387"/>
      <c r="BH6582" s="386"/>
      <c r="BI6582" s="386"/>
      <c r="BJ6582" s="46"/>
    </row>
    <row r="6583" spans="59:62" x14ac:dyDescent="0.3">
      <c r="BG6583" s="387"/>
      <c r="BH6583" s="386"/>
      <c r="BI6583" s="386"/>
      <c r="BJ6583" s="46"/>
    </row>
    <row r="6584" spans="59:62" x14ac:dyDescent="0.3">
      <c r="BG6584" s="387"/>
      <c r="BH6584" s="386"/>
      <c r="BI6584" s="386"/>
      <c r="BJ6584" s="46"/>
    </row>
    <row r="6585" spans="59:62" x14ac:dyDescent="0.3">
      <c r="BG6585" s="387"/>
      <c r="BH6585" s="386"/>
      <c r="BI6585" s="386"/>
      <c r="BJ6585" s="46"/>
    </row>
    <row r="6586" spans="59:62" x14ac:dyDescent="0.3">
      <c r="BG6586" s="387"/>
      <c r="BH6586" s="386"/>
      <c r="BI6586" s="386"/>
      <c r="BJ6586" s="46"/>
    </row>
    <row r="6587" spans="59:62" x14ac:dyDescent="0.3">
      <c r="BG6587" s="387"/>
      <c r="BH6587" s="386"/>
      <c r="BI6587" s="386"/>
      <c r="BJ6587" s="46"/>
    </row>
    <row r="6588" spans="59:62" x14ac:dyDescent="0.3">
      <c r="BG6588" s="387"/>
      <c r="BH6588" s="386"/>
      <c r="BI6588" s="386"/>
      <c r="BJ6588" s="46"/>
    </row>
    <row r="6589" spans="59:62" x14ac:dyDescent="0.3">
      <c r="BG6589" s="387"/>
      <c r="BH6589" s="386"/>
      <c r="BI6589" s="386"/>
      <c r="BJ6589" s="46"/>
    </row>
    <row r="6590" spans="59:62" x14ac:dyDescent="0.3">
      <c r="BG6590" s="387"/>
      <c r="BH6590" s="386"/>
      <c r="BI6590" s="386"/>
      <c r="BJ6590" s="46"/>
    </row>
    <row r="6591" spans="59:62" x14ac:dyDescent="0.3">
      <c r="BG6591" s="387"/>
      <c r="BH6591" s="386"/>
      <c r="BI6591" s="386"/>
      <c r="BJ6591" s="46"/>
    </row>
    <row r="6592" spans="59:62" x14ac:dyDescent="0.3">
      <c r="BG6592" s="387"/>
      <c r="BH6592" s="386"/>
      <c r="BI6592" s="386"/>
      <c r="BJ6592" s="46"/>
    </row>
    <row r="6593" spans="59:62" x14ac:dyDescent="0.3">
      <c r="BG6593" s="387"/>
      <c r="BH6593" s="386"/>
      <c r="BI6593" s="386"/>
      <c r="BJ6593" s="46"/>
    </row>
    <row r="6594" spans="59:62" x14ac:dyDescent="0.3">
      <c r="BG6594" s="387"/>
      <c r="BH6594" s="386"/>
      <c r="BI6594" s="386"/>
      <c r="BJ6594" s="46"/>
    </row>
    <row r="6595" spans="59:62" x14ac:dyDescent="0.3">
      <c r="BG6595" s="387"/>
      <c r="BH6595" s="386"/>
      <c r="BI6595" s="386"/>
      <c r="BJ6595" s="46"/>
    </row>
    <row r="6596" spans="59:62" x14ac:dyDescent="0.3">
      <c r="BG6596" s="387"/>
      <c r="BH6596" s="386"/>
      <c r="BI6596" s="386"/>
      <c r="BJ6596" s="46"/>
    </row>
    <row r="6597" spans="59:62" x14ac:dyDescent="0.3">
      <c r="BG6597" s="387"/>
      <c r="BH6597" s="386"/>
      <c r="BI6597" s="386"/>
      <c r="BJ6597" s="46"/>
    </row>
    <row r="6598" spans="59:62" x14ac:dyDescent="0.3">
      <c r="BG6598" s="387"/>
      <c r="BH6598" s="386"/>
      <c r="BI6598" s="386"/>
      <c r="BJ6598" s="46"/>
    </row>
    <row r="6599" spans="59:62" x14ac:dyDescent="0.3">
      <c r="BG6599" s="387"/>
      <c r="BH6599" s="386"/>
      <c r="BI6599" s="386"/>
      <c r="BJ6599" s="46"/>
    </row>
    <row r="6600" spans="59:62" x14ac:dyDescent="0.3">
      <c r="BG6600" s="387"/>
      <c r="BH6600" s="386"/>
      <c r="BI6600" s="386"/>
      <c r="BJ6600" s="46"/>
    </row>
    <row r="6601" spans="59:62" x14ac:dyDescent="0.3">
      <c r="BG6601" s="387"/>
      <c r="BH6601" s="386"/>
      <c r="BI6601" s="386"/>
      <c r="BJ6601" s="46"/>
    </row>
    <row r="6602" spans="59:62" x14ac:dyDescent="0.3">
      <c r="BG6602" s="387"/>
      <c r="BH6602" s="386"/>
      <c r="BI6602" s="386"/>
      <c r="BJ6602" s="46"/>
    </row>
    <row r="6603" spans="59:62" x14ac:dyDescent="0.3">
      <c r="BG6603" s="387"/>
      <c r="BH6603" s="386"/>
      <c r="BI6603" s="386"/>
      <c r="BJ6603" s="46"/>
    </row>
    <row r="6604" spans="59:62" x14ac:dyDescent="0.3">
      <c r="BG6604" s="387"/>
      <c r="BH6604" s="386"/>
      <c r="BI6604" s="386"/>
      <c r="BJ6604" s="46"/>
    </row>
    <row r="6605" spans="59:62" x14ac:dyDescent="0.3">
      <c r="BG6605" s="387"/>
      <c r="BH6605" s="386"/>
      <c r="BI6605" s="386"/>
      <c r="BJ6605" s="46"/>
    </row>
    <row r="6606" spans="59:62" x14ac:dyDescent="0.3">
      <c r="BG6606" s="387"/>
      <c r="BH6606" s="386"/>
      <c r="BI6606" s="386"/>
      <c r="BJ6606" s="46"/>
    </row>
    <row r="6607" spans="59:62" x14ac:dyDescent="0.3">
      <c r="BG6607" s="387"/>
      <c r="BH6607" s="386"/>
      <c r="BI6607" s="386"/>
      <c r="BJ6607" s="46"/>
    </row>
    <row r="6608" spans="59:62" x14ac:dyDescent="0.3">
      <c r="BG6608" s="387"/>
      <c r="BH6608" s="386"/>
      <c r="BI6608" s="386"/>
      <c r="BJ6608" s="46"/>
    </row>
    <row r="6609" spans="59:62" x14ac:dyDescent="0.3">
      <c r="BG6609" s="387"/>
      <c r="BH6609" s="386"/>
      <c r="BI6609" s="386"/>
      <c r="BJ6609" s="46"/>
    </row>
    <row r="6610" spans="59:62" x14ac:dyDescent="0.3">
      <c r="BG6610" s="387"/>
      <c r="BH6610" s="386"/>
      <c r="BI6610" s="386"/>
      <c r="BJ6610" s="46"/>
    </row>
    <row r="6611" spans="59:62" x14ac:dyDescent="0.3">
      <c r="BG6611" s="387"/>
      <c r="BH6611" s="386"/>
      <c r="BI6611" s="386"/>
      <c r="BJ6611" s="46"/>
    </row>
    <row r="6612" spans="59:62" x14ac:dyDescent="0.3">
      <c r="BG6612" s="387"/>
      <c r="BH6612" s="386"/>
      <c r="BI6612" s="386"/>
      <c r="BJ6612" s="46"/>
    </row>
    <row r="6613" spans="59:62" x14ac:dyDescent="0.3">
      <c r="BG6613" s="387"/>
      <c r="BH6613" s="386"/>
      <c r="BI6613" s="386"/>
      <c r="BJ6613" s="46"/>
    </row>
    <row r="6614" spans="59:62" x14ac:dyDescent="0.3">
      <c r="BG6614" s="387"/>
      <c r="BH6614" s="386"/>
      <c r="BI6614" s="386"/>
      <c r="BJ6614" s="46"/>
    </row>
    <row r="6615" spans="59:62" x14ac:dyDescent="0.3">
      <c r="BG6615" s="387"/>
      <c r="BH6615" s="386"/>
      <c r="BI6615" s="386"/>
      <c r="BJ6615" s="46"/>
    </row>
    <row r="6616" spans="59:62" x14ac:dyDescent="0.3">
      <c r="BG6616" s="387"/>
      <c r="BH6616" s="386"/>
      <c r="BI6616" s="386"/>
      <c r="BJ6616" s="46"/>
    </row>
    <row r="6617" spans="59:62" x14ac:dyDescent="0.3">
      <c r="BG6617" s="387"/>
      <c r="BH6617" s="386"/>
      <c r="BI6617" s="386"/>
      <c r="BJ6617" s="46"/>
    </row>
    <row r="6618" spans="59:62" x14ac:dyDescent="0.3">
      <c r="BG6618" s="387"/>
      <c r="BH6618" s="386"/>
      <c r="BI6618" s="386"/>
      <c r="BJ6618" s="46"/>
    </row>
    <row r="6619" spans="59:62" x14ac:dyDescent="0.3">
      <c r="BG6619" s="387"/>
      <c r="BH6619" s="386"/>
      <c r="BI6619" s="386"/>
      <c r="BJ6619" s="46"/>
    </row>
    <row r="6620" spans="59:62" x14ac:dyDescent="0.3">
      <c r="BG6620" s="387"/>
      <c r="BH6620" s="386"/>
      <c r="BI6620" s="386"/>
      <c r="BJ6620" s="46"/>
    </row>
    <row r="6621" spans="59:62" x14ac:dyDescent="0.3">
      <c r="BG6621" s="387"/>
      <c r="BH6621" s="386"/>
      <c r="BI6621" s="386"/>
      <c r="BJ6621" s="46"/>
    </row>
    <row r="6622" spans="59:62" x14ac:dyDescent="0.3">
      <c r="BG6622" s="387"/>
      <c r="BH6622" s="386"/>
      <c r="BI6622" s="386"/>
      <c r="BJ6622" s="46"/>
    </row>
    <row r="6623" spans="59:62" x14ac:dyDescent="0.3">
      <c r="BG6623" s="387"/>
      <c r="BH6623" s="386"/>
      <c r="BI6623" s="386"/>
      <c r="BJ6623" s="46"/>
    </row>
    <row r="6624" spans="59:62" x14ac:dyDescent="0.3">
      <c r="BG6624" s="387"/>
      <c r="BH6624" s="386"/>
      <c r="BI6624" s="386"/>
      <c r="BJ6624" s="46"/>
    </row>
    <row r="6625" spans="59:62" x14ac:dyDescent="0.3">
      <c r="BG6625" s="387"/>
      <c r="BH6625" s="386"/>
      <c r="BI6625" s="386"/>
      <c r="BJ6625" s="46"/>
    </row>
    <row r="6626" spans="59:62" x14ac:dyDescent="0.3">
      <c r="BG6626" s="387"/>
      <c r="BH6626" s="386"/>
      <c r="BI6626" s="386"/>
      <c r="BJ6626" s="46"/>
    </row>
    <row r="6627" spans="59:62" x14ac:dyDescent="0.3">
      <c r="BG6627" s="387"/>
      <c r="BH6627" s="386"/>
      <c r="BI6627" s="386"/>
      <c r="BJ6627" s="46"/>
    </row>
    <row r="6628" spans="59:62" x14ac:dyDescent="0.3">
      <c r="BG6628" s="387"/>
      <c r="BH6628" s="386"/>
      <c r="BI6628" s="386"/>
      <c r="BJ6628" s="46"/>
    </row>
    <row r="6629" spans="59:62" x14ac:dyDescent="0.3">
      <c r="BG6629" s="387"/>
      <c r="BH6629" s="386"/>
      <c r="BI6629" s="386"/>
      <c r="BJ6629" s="46"/>
    </row>
    <row r="6630" spans="59:62" x14ac:dyDescent="0.3">
      <c r="BG6630" s="387"/>
      <c r="BH6630" s="386"/>
      <c r="BI6630" s="386"/>
      <c r="BJ6630" s="46"/>
    </row>
    <row r="6631" spans="59:62" x14ac:dyDescent="0.3">
      <c r="BG6631" s="387"/>
      <c r="BH6631" s="386"/>
      <c r="BI6631" s="386"/>
      <c r="BJ6631" s="46"/>
    </row>
    <row r="6632" spans="59:62" x14ac:dyDescent="0.3">
      <c r="BG6632" s="387"/>
      <c r="BH6632" s="386"/>
      <c r="BI6632" s="386"/>
      <c r="BJ6632" s="46"/>
    </row>
    <row r="6633" spans="59:62" x14ac:dyDescent="0.3">
      <c r="BG6633" s="387"/>
      <c r="BH6633" s="386"/>
      <c r="BI6633" s="386"/>
      <c r="BJ6633" s="46"/>
    </row>
    <row r="6634" spans="59:62" x14ac:dyDescent="0.3">
      <c r="BG6634" s="387"/>
      <c r="BH6634" s="386"/>
      <c r="BI6634" s="386"/>
      <c r="BJ6634" s="46"/>
    </row>
    <row r="6635" spans="59:62" x14ac:dyDescent="0.3">
      <c r="BG6635" s="387"/>
      <c r="BH6635" s="386"/>
      <c r="BI6635" s="386"/>
      <c r="BJ6635" s="46"/>
    </row>
    <row r="6636" spans="59:62" x14ac:dyDescent="0.3">
      <c r="BG6636" s="387"/>
      <c r="BH6636" s="386"/>
      <c r="BI6636" s="386"/>
      <c r="BJ6636" s="46"/>
    </row>
    <row r="6637" spans="59:62" x14ac:dyDescent="0.3">
      <c r="BG6637" s="387"/>
      <c r="BH6637" s="386"/>
      <c r="BI6637" s="386"/>
      <c r="BJ6637" s="46"/>
    </row>
    <row r="6638" spans="59:62" x14ac:dyDescent="0.3">
      <c r="BG6638" s="387"/>
      <c r="BH6638" s="386"/>
      <c r="BI6638" s="386"/>
      <c r="BJ6638" s="46"/>
    </row>
    <row r="6639" spans="59:62" x14ac:dyDescent="0.3">
      <c r="BG6639" s="387"/>
      <c r="BH6639" s="386"/>
      <c r="BI6639" s="386"/>
      <c r="BJ6639" s="46"/>
    </row>
    <row r="6640" spans="59:62" x14ac:dyDescent="0.3">
      <c r="BG6640" s="387"/>
      <c r="BH6640" s="386"/>
      <c r="BI6640" s="386"/>
      <c r="BJ6640" s="46"/>
    </row>
    <row r="6641" spans="59:62" x14ac:dyDescent="0.3">
      <c r="BG6641" s="387"/>
      <c r="BH6641" s="386"/>
      <c r="BI6641" s="386"/>
      <c r="BJ6641" s="46"/>
    </row>
    <row r="6642" spans="59:62" x14ac:dyDescent="0.3">
      <c r="BG6642" s="387"/>
      <c r="BH6642" s="386"/>
      <c r="BI6642" s="386"/>
      <c r="BJ6642" s="46"/>
    </row>
    <row r="6643" spans="59:62" x14ac:dyDescent="0.3">
      <c r="BG6643" s="387"/>
      <c r="BH6643" s="386"/>
      <c r="BI6643" s="386"/>
      <c r="BJ6643" s="46"/>
    </row>
    <row r="6644" spans="59:62" x14ac:dyDescent="0.3">
      <c r="BG6644" s="387"/>
      <c r="BH6644" s="386"/>
      <c r="BI6644" s="386"/>
      <c r="BJ6644" s="46"/>
    </row>
    <row r="6645" spans="59:62" x14ac:dyDescent="0.3">
      <c r="BG6645" s="387"/>
      <c r="BH6645" s="386"/>
      <c r="BI6645" s="386"/>
      <c r="BJ6645" s="46"/>
    </row>
    <row r="6646" spans="59:62" x14ac:dyDescent="0.3">
      <c r="BG6646" s="387"/>
      <c r="BH6646" s="386"/>
      <c r="BI6646" s="386"/>
      <c r="BJ6646" s="46"/>
    </row>
    <row r="6647" spans="59:62" x14ac:dyDescent="0.3">
      <c r="BG6647" s="387"/>
      <c r="BH6647" s="386"/>
      <c r="BI6647" s="386"/>
      <c r="BJ6647" s="46"/>
    </row>
    <row r="6648" spans="59:62" x14ac:dyDescent="0.3">
      <c r="BG6648" s="387"/>
      <c r="BH6648" s="386"/>
      <c r="BI6648" s="386"/>
      <c r="BJ6648" s="46"/>
    </row>
    <row r="6649" spans="59:62" x14ac:dyDescent="0.3">
      <c r="BG6649" s="387"/>
      <c r="BH6649" s="386"/>
      <c r="BI6649" s="386"/>
      <c r="BJ6649" s="46"/>
    </row>
    <row r="6650" spans="59:62" x14ac:dyDescent="0.3">
      <c r="BG6650" s="387"/>
      <c r="BH6650" s="386"/>
      <c r="BI6650" s="386"/>
      <c r="BJ6650" s="46"/>
    </row>
    <row r="6651" spans="59:62" x14ac:dyDescent="0.3">
      <c r="BG6651" s="387"/>
      <c r="BH6651" s="386"/>
      <c r="BI6651" s="386"/>
      <c r="BJ6651" s="46"/>
    </row>
    <row r="6652" spans="59:62" x14ac:dyDescent="0.3">
      <c r="BG6652" s="387"/>
      <c r="BH6652" s="386"/>
      <c r="BI6652" s="386"/>
      <c r="BJ6652" s="46"/>
    </row>
    <row r="6653" spans="59:62" x14ac:dyDescent="0.3">
      <c r="BG6653" s="387"/>
      <c r="BH6653" s="386"/>
      <c r="BI6653" s="386"/>
      <c r="BJ6653" s="46"/>
    </row>
    <row r="6654" spans="59:62" x14ac:dyDescent="0.3">
      <c r="BG6654" s="387"/>
      <c r="BH6654" s="386"/>
      <c r="BI6654" s="386"/>
      <c r="BJ6654" s="46"/>
    </row>
    <row r="6655" spans="59:62" x14ac:dyDescent="0.3">
      <c r="BG6655" s="387"/>
      <c r="BH6655" s="386"/>
      <c r="BI6655" s="386"/>
      <c r="BJ6655" s="46"/>
    </row>
    <row r="6656" spans="59:62" x14ac:dyDescent="0.3">
      <c r="BG6656" s="387"/>
      <c r="BH6656" s="386"/>
      <c r="BI6656" s="386"/>
      <c r="BJ6656" s="46"/>
    </row>
    <row r="6657" spans="59:62" x14ac:dyDescent="0.3">
      <c r="BG6657" s="387"/>
      <c r="BH6657" s="386"/>
      <c r="BI6657" s="386"/>
      <c r="BJ6657" s="46"/>
    </row>
    <row r="6658" spans="59:62" x14ac:dyDescent="0.3">
      <c r="BG6658" s="387"/>
      <c r="BH6658" s="386"/>
      <c r="BI6658" s="386"/>
      <c r="BJ6658" s="46"/>
    </row>
    <row r="6659" spans="59:62" x14ac:dyDescent="0.3">
      <c r="BG6659" s="387"/>
      <c r="BH6659" s="386"/>
      <c r="BI6659" s="386"/>
      <c r="BJ6659" s="46"/>
    </row>
    <row r="6660" spans="59:62" x14ac:dyDescent="0.3">
      <c r="BG6660" s="387"/>
      <c r="BH6660" s="386"/>
      <c r="BI6660" s="386"/>
      <c r="BJ6660" s="46"/>
    </row>
    <row r="6661" spans="59:62" x14ac:dyDescent="0.3">
      <c r="BG6661" s="387"/>
      <c r="BH6661" s="386"/>
      <c r="BI6661" s="386"/>
      <c r="BJ6661" s="46"/>
    </row>
    <row r="6662" spans="59:62" x14ac:dyDescent="0.3">
      <c r="BG6662" s="387"/>
      <c r="BH6662" s="386"/>
      <c r="BI6662" s="386"/>
      <c r="BJ6662" s="46"/>
    </row>
    <row r="6663" spans="59:62" x14ac:dyDescent="0.3">
      <c r="BG6663" s="387"/>
      <c r="BH6663" s="386"/>
      <c r="BI6663" s="386"/>
      <c r="BJ6663" s="46"/>
    </row>
    <row r="6664" spans="59:62" x14ac:dyDescent="0.3">
      <c r="BG6664" s="387"/>
      <c r="BH6664" s="386"/>
      <c r="BI6664" s="386"/>
      <c r="BJ6664" s="46"/>
    </row>
    <row r="6665" spans="59:62" x14ac:dyDescent="0.3">
      <c r="BG6665" s="387"/>
      <c r="BH6665" s="386"/>
      <c r="BI6665" s="386"/>
      <c r="BJ6665" s="46"/>
    </row>
    <row r="6666" spans="59:62" x14ac:dyDescent="0.3">
      <c r="BG6666" s="387"/>
      <c r="BH6666" s="386"/>
      <c r="BI6666" s="386"/>
      <c r="BJ6666" s="46"/>
    </row>
    <row r="6667" spans="59:62" x14ac:dyDescent="0.3">
      <c r="BG6667" s="387"/>
      <c r="BH6667" s="386"/>
      <c r="BI6667" s="386"/>
      <c r="BJ6667" s="46"/>
    </row>
    <row r="6668" spans="59:62" x14ac:dyDescent="0.3">
      <c r="BG6668" s="387"/>
      <c r="BH6668" s="386"/>
      <c r="BI6668" s="386"/>
      <c r="BJ6668" s="46"/>
    </row>
    <row r="6669" spans="59:62" x14ac:dyDescent="0.3">
      <c r="BG6669" s="387"/>
      <c r="BH6669" s="386"/>
      <c r="BI6669" s="386"/>
      <c r="BJ6669" s="46"/>
    </row>
    <row r="6670" spans="59:62" x14ac:dyDescent="0.3">
      <c r="BG6670" s="387"/>
      <c r="BH6670" s="386"/>
      <c r="BI6670" s="386"/>
      <c r="BJ6670" s="46"/>
    </row>
    <row r="6671" spans="59:62" x14ac:dyDescent="0.3">
      <c r="BG6671" s="387"/>
      <c r="BH6671" s="386"/>
      <c r="BI6671" s="386"/>
      <c r="BJ6671" s="46"/>
    </row>
    <row r="6672" spans="59:62" x14ac:dyDescent="0.3">
      <c r="BG6672" s="387"/>
      <c r="BH6672" s="386"/>
      <c r="BI6672" s="386"/>
      <c r="BJ6672" s="46"/>
    </row>
    <row r="6673" spans="59:62" x14ac:dyDescent="0.3">
      <c r="BG6673" s="387"/>
      <c r="BH6673" s="386"/>
      <c r="BI6673" s="386"/>
      <c r="BJ6673" s="46"/>
    </row>
    <row r="6674" spans="59:62" x14ac:dyDescent="0.3">
      <c r="BG6674" s="387"/>
      <c r="BH6674" s="386"/>
      <c r="BI6674" s="386"/>
      <c r="BJ6674" s="46"/>
    </row>
    <row r="6675" spans="59:62" x14ac:dyDescent="0.3">
      <c r="BG6675" s="387"/>
      <c r="BH6675" s="386"/>
      <c r="BI6675" s="386"/>
      <c r="BJ6675" s="46"/>
    </row>
    <row r="6676" spans="59:62" x14ac:dyDescent="0.3">
      <c r="BG6676" s="387"/>
      <c r="BH6676" s="386"/>
      <c r="BI6676" s="386"/>
      <c r="BJ6676" s="46"/>
    </row>
    <row r="6677" spans="59:62" x14ac:dyDescent="0.3">
      <c r="BG6677" s="387"/>
      <c r="BH6677" s="386"/>
      <c r="BI6677" s="386"/>
      <c r="BJ6677" s="46"/>
    </row>
    <row r="6678" spans="59:62" x14ac:dyDescent="0.3">
      <c r="BG6678" s="387"/>
      <c r="BH6678" s="386"/>
      <c r="BI6678" s="386"/>
      <c r="BJ6678" s="46"/>
    </row>
    <row r="6679" spans="59:62" x14ac:dyDescent="0.3">
      <c r="BG6679" s="387"/>
      <c r="BH6679" s="386"/>
      <c r="BI6679" s="386"/>
      <c r="BJ6679" s="46"/>
    </row>
    <row r="6680" spans="59:62" x14ac:dyDescent="0.3">
      <c r="BG6680" s="387"/>
      <c r="BH6680" s="386"/>
      <c r="BI6680" s="386"/>
      <c r="BJ6680" s="46"/>
    </row>
    <row r="6681" spans="59:62" x14ac:dyDescent="0.3">
      <c r="BG6681" s="387"/>
      <c r="BH6681" s="386"/>
      <c r="BI6681" s="386"/>
      <c r="BJ6681" s="46"/>
    </row>
    <row r="6682" spans="59:62" x14ac:dyDescent="0.3">
      <c r="BG6682" s="387"/>
      <c r="BH6682" s="386"/>
      <c r="BI6682" s="386"/>
      <c r="BJ6682" s="46"/>
    </row>
    <row r="6683" spans="59:62" x14ac:dyDescent="0.3">
      <c r="BG6683" s="387"/>
      <c r="BH6683" s="386"/>
      <c r="BI6683" s="386"/>
      <c r="BJ6683" s="46"/>
    </row>
    <row r="6684" spans="59:62" x14ac:dyDescent="0.3">
      <c r="BG6684" s="387"/>
      <c r="BH6684" s="386"/>
      <c r="BI6684" s="386"/>
      <c r="BJ6684" s="46"/>
    </row>
    <row r="6685" spans="59:62" x14ac:dyDescent="0.3">
      <c r="BG6685" s="387"/>
      <c r="BH6685" s="386"/>
      <c r="BI6685" s="386"/>
      <c r="BJ6685" s="46"/>
    </row>
    <row r="6686" spans="59:62" x14ac:dyDescent="0.3">
      <c r="BG6686" s="387"/>
      <c r="BH6686" s="386"/>
      <c r="BI6686" s="386"/>
      <c r="BJ6686" s="46"/>
    </row>
    <row r="6687" spans="59:62" x14ac:dyDescent="0.3">
      <c r="BG6687" s="387"/>
      <c r="BH6687" s="386"/>
      <c r="BI6687" s="386"/>
      <c r="BJ6687" s="46"/>
    </row>
    <row r="6688" spans="59:62" x14ac:dyDescent="0.3">
      <c r="BG6688" s="387"/>
      <c r="BH6688" s="386"/>
      <c r="BI6688" s="386"/>
      <c r="BJ6688" s="46"/>
    </row>
    <row r="6689" spans="59:62" x14ac:dyDescent="0.3">
      <c r="BG6689" s="387"/>
      <c r="BH6689" s="386"/>
      <c r="BI6689" s="386"/>
      <c r="BJ6689" s="46"/>
    </row>
    <row r="6690" spans="59:62" x14ac:dyDescent="0.3">
      <c r="BG6690" s="387"/>
      <c r="BH6690" s="386"/>
      <c r="BI6690" s="386"/>
      <c r="BJ6690" s="46"/>
    </row>
    <row r="6691" spans="59:62" x14ac:dyDescent="0.3">
      <c r="BG6691" s="387"/>
      <c r="BH6691" s="386"/>
      <c r="BI6691" s="386"/>
      <c r="BJ6691" s="46"/>
    </row>
    <row r="6692" spans="59:62" x14ac:dyDescent="0.3">
      <c r="BG6692" s="387"/>
      <c r="BH6692" s="386"/>
      <c r="BI6692" s="386"/>
      <c r="BJ6692" s="46"/>
    </row>
    <row r="6693" spans="59:62" x14ac:dyDescent="0.3">
      <c r="BG6693" s="387"/>
      <c r="BH6693" s="386"/>
      <c r="BI6693" s="386"/>
      <c r="BJ6693" s="46"/>
    </row>
    <row r="6694" spans="59:62" x14ac:dyDescent="0.3">
      <c r="BG6694" s="387"/>
      <c r="BH6694" s="386"/>
      <c r="BI6694" s="386"/>
      <c r="BJ6694" s="46"/>
    </row>
    <row r="6695" spans="59:62" x14ac:dyDescent="0.3">
      <c r="BG6695" s="387"/>
      <c r="BH6695" s="386"/>
      <c r="BI6695" s="386"/>
      <c r="BJ6695" s="46"/>
    </row>
    <row r="6696" spans="59:62" x14ac:dyDescent="0.3">
      <c r="BG6696" s="387"/>
      <c r="BH6696" s="386"/>
      <c r="BI6696" s="386"/>
      <c r="BJ6696" s="46"/>
    </row>
    <row r="6697" spans="59:62" x14ac:dyDescent="0.3">
      <c r="BG6697" s="387"/>
      <c r="BH6697" s="386"/>
      <c r="BI6697" s="386"/>
      <c r="BJ6697" s="46"/>
    </row>
    <row r="6698" spans="59:62" x14ac:dyDescent="0.3">
      <c r="BG6698" s="387"/>
      <c r="BH6698" s="386"/>
      <c r="BI6698" s="386"/>
      <c r="BJ6698" s="46"/>
    </row>
    <row r="6699" spans="59:62" x14ac:dyDescent="0.3">
      <c r="BG6699" s="387"/>
      <c r="BH6699" s="386"/>
      <c r="BI6699" s="386"/>
      <c r="BJ6699" s="46"/>
    </row>
    <row r="6700" spans="59:62" x14ac:dyDescent="0.3">
      <c r="BG6700" s="387"/>
      <c r="BH6700" s="386"/>
      <c r="BI6700" s="386"/>
      <c r="BJ6700" s="46"/>
    </row>
    <row r="6701" spans="59:62" x14ac:dyDescent="0.3">
      <c r="BG6701" s="387"/>
      <c r="BH6701" s="386"/>
      <c r="BI6701" s="386"/>
      <c r="BJ6701" s="46"/>
    </row>
    <row r="6702" spans="59:62" x14ac:dyDescent="0.3">
      <c r="BG6702" s="387"/>
      <c r="BH6702" s="386"/>
      <c r="BI6702" s="386"/>
      <c r="BJ6702" s="46"/>
    </row>
    <row r="6703" spans="59:62" x14ac:dyDescent="0.3">
      <c r="BG6703" s="387"/>
      <c r="BH6703" s="386"/>
      <c r="BI6703" s="386"/>
      <c r="BJ6703" s="46"/>
    </row>
    <row r="6704" spans="59:62" x14ac:dyDescent="0.3">
      <c r="BG6704" s="387"/>
      <c r="BH6704" s="386"/>
      <c r="BI6704" s="386"/>
      <c r="BJ6704" s="46"/>
    </row>
    <row r="6705" spans="59:62" x14ac:dyDescent="0.3">
      <c r="BG6705" s="387"/>
      <c r="BH6705" s="386"/>
      <c r="BI6705" s="386"/>
      <c r="BJ6705" s="46"/>
    </row>
    <row r="6706" spans="59:62" x14ac:dyDescent="0.3">
      <c r="BG6706" s="387"/>
      <c r="BH6706" s="386"/>
      <c r="BI6706" s="386"/>
      <c r="BJ6706" s="46"/>
    </row>
    <row r="6707" spans="59:62" x14ac:dyDescent="0.3">
      <c r="BG6707" s="387"/>
      <c r="BH6707" s="386"/>
      <c r="BI6707" s="386"/>
      <c r="BJ6707" s="46"/>
    </row>
    <row r="6708" spans="59:62" x14ac:dyDescent="0.3">
      <c r="BG6708" s="387"/>
      <c r="BH6708" s="386"/>
      <c r="BI6708" s="386"/>
      <c r="BJ6708" s="46"/>
    </row>
    <row r="6709" spans="59:62" x14ac:dyDescent="0.3">
      <c r="BG6709" s="387"/>
      <c r="BH6709" s="386"/>
      <c r="BI6709" s="386"/>
      <c r="BJ6709" s="46"/>
    </row>
    <row r="6710" spans="59:62" x14ac:dyDescent="0.3">
      <c r="BG6710" s="387"/>
      <c r="BH6710" s="386"/>
      <c r="BI6710" s="386"/>
      <c r="BJ6710" s="46"/>
    </row>
    <row r="6711" spans="59:62" x14ac:dyDescent="0.3">
      <c r="BG6711" s="387"/>
      <c r="BH6711" s="386"/>
      <c r="BI6711" s="386"/>
      <c r="BJ6711" s="46"/>
    </row>
    <row r="6712" spans="59:62" x14ac:dyDescent="0.3">
      <c r="BG6712" s="387"/>
      <c r="BH6712" s="386"/>
      <c r="BI6712" s="386"/>
      <c r="BJ6712" s="46"/>
    </row>
    <row r="6713" spans="59:62" x14ac:dyDescent="0.3">
      <c r="BG6713" s="387"/>
      <c r="BH6713" s="386"/>
      <c r="BI6713" s="386"/>
      <c r="BJ6713" s="46"/>
    </row>
    <row r="6714" spans="59:62" x14ac:dyDescent="0.3">
      <c r="BG6714" s="387"/>
      <c r="BH6714" s="386"/>
      <c r="BI6714" s="386"/>
      <c r="BJ6714" s="46"/>
    </row>
    <row r="6715" spans="59:62" x14ac:dyDescent="0.3">
      <c r="BG6715" s="387"/>
      <c r="BH6715" s="386"/>
      <c r="BI6715" s="386"/>
      <c r="BJ6715" s="46"/>
    </row>
    <row r="6716" spans="59:62" x14ac:dyDescent="0.3">
      <c r="BG6716" s="387"/>
      <c r="BH6716" s="386"/>
      <c r="BI6716" s="386"/>
      <c r="BJ6716" s="46"/>
    </row>
    <row r="6717" spans="59:62" x14ac:dyDescent="0.3">
      <c r="BG6717" s="387"/>
      <c r="BH6717" s="386"/>
      <c r="BI6717" s="386"/>
      <c r="BJ6717" s="46"/>
    </row>
    <row r="6718" spans="59:62" x14ac:dyDescent="0.3">
      <c r="BG6718" s="387"/>
      <c r="BH6718" s="386"/>
      <c r="BI6718" s="386"/>
      <c r="BJ6718" s="46"/>
    </row>
    <row r="6719" spans="59:62" x14ac:dyDescent="0.3">
      <c r="BG6719" s="387"/>
      <c r="BH6719" s="386"/>
      <c r="BI6719" s="386"/>
      <c r="BJ6719" s="46"/>
    </row>
    <row r="6720" spans="59:62" x14ac:dyDescent="0.3">
      <c r="BG6720" s="387"/>
      <c r="BH6720" s="386"/>
      <c r="BI6720" s="386"/>
      <c r="BJ6720" s="46"/>
    </row>
    <row r="6721" spans="59:62" x14ac:dyDescent="0.3">
      <c r="BG6721" s="387"/>
      <c r="BH6721" s="386"/>
      <c r="BI6721" s="386"/>
      <c r="BJ6721" s="46"/>
    </row>
    <row r="6722" spans="59:62" x14ac:dyDescent="0.3">
      <c r="BG6722" s="387"/>
      <c r="BH6722" s="386"/>
      <c r="BI6722" s="386"/>
      <c r="BJ6722" s="46"/>
    </row>
    <row r="6723" spans="59:62" x14ac:dyDescent="0.3">
      <c r="BG6723" s="387"/>
      <c r="BH6723" s="386"/>
      <c r="BI6723" s="386"/>
      <c r="BJ6723" s="46"/>
    </row>
    <row r="6724" spans="59:62" x14ac:dyDescent="0.3">
      <c r="BG6724" s="387"/>
      <c r="BH6724" s="386"/>
      <c r="BI6724" s="386"/>
      <c r="BJ6724" s="46"/>
    </row>
    <row r="6725" spans="59:62" x14ac:dyDescent="0.3">
      <c r="BG6725" s="387"/>
      <c r="BH6725" s="386"/>
      <c r="BI6725" s="386"/>
      <c r="BJ6725" s="46"/>
    </row>
    <row r="6726" spans="59:62" x14ac:dyDescent="0.3">
      <c r="BG6726" s="387"/>
      <c r="BH6726" s="386"/>
      <c r="BI6726" s="386"/>
      <c r="BJ6726" s="46"/>
    </row>
    <row r="6727" spans="59:62" x14ac:dyDescent="0.3">
      <c r="BG6727" s="387"/>
      <c r="BH6727" s="386"/>
      <c r="BI6727" s="386"/>
      <c r="BJ6727" s="46"/>
    </row>
    <row r="6728" spans="59:62" x14ac:dyDescent="0.3">
      <c r="BG6728" s="387"/>
      <c r="BH6728" s="386"/>
      <c r="BI6728" s="386"/>
      <c r="BJ6728" s="46"/>
    </row>
    <row r="6729" spans="59:62" x14ac:dyDescent="0.3">
      <c r="BG6729" s="387"/>
      <c r="BH6729" s="386"/>
      <c r="BI6729" s="386"/>
      <c r="BJ6729" s="46"/>
    </row>
    <row r="6730" spans="59:62" x14ac:dyDescent="0.3">
      <c r="BG6730" s="387"/>
      <c r="BH6730" s="386"/>
      <c r="BI6730" s="386"/>
      <c r="BJ6730" s="46"/>
    </row>
    <row r="6731" spans="59:62" x14ac:dyDescent="0.3">
      <c r="BG6731" s="387"/>
      <c r="BH6731" s="386"/>
      <c r="BI6731" s="386"/>
      <c r="BJ6731" s="46"/>
    </row>
    <row r="6732" spans="59:62" x14ac:dyDescent="0.3">
      <c r="BG6732" s="387"/>
      <c r="BH6732" s="386"/>
      <c r="BI6732" s="386"/>
      <c r="BJ6732" s="46"/>
    </row>
    <row r="6733" spans="59:62" x14ac:dyDescent="0.3">
      <c r="BG6733" s="387"/>
      <c r="BH6733" s="386"/>
      <c r="BI6733" s="386"/>
      <c r="BJ6733" s="46"/>
    </row>
    <row r="6734" spans="59:62" x14ac:dyDescent="0.3">
      <c r="BG6734" s="387"/>
      <c r="BH6734" s="386"/>
      <c r="BI6734" s="386"/>
      <c r="BJ6734" s="46"/>
    </row>
    <row r="6735" spans="59:62" x14ac:dyDescent="0.3">
      <c r="BG6735" s="387"/>
      <c r="BH6735" s="386"/>
      <c r="BI6735" s="386"/>
      <c r="BJ6735" s="46"/>
    </row>
    <row r="6736" spans="59:62" x14ac:dyDescent="0.3">
      <c r="BG6736" s="387"/>
      <c r="BH6736" s="386"/>
      <c r="BI6736" s="386"/>
      <c r="BJ6736" s="46"/>
    </row>
    <row r="6737" spans="59:62" x14ac:dyDescent="0.3">
      <c r="BG6737" s="387"/>
      <c r="BH6737" s="386"/>
      <c r="BI6737" s="386"/>
      <c r="BJ6737" s="46"/>
    </row>
    <row r="6738" spans="59:62" x14ac:dyDescent="0.3">
      <c r="BG6738" s="387"/>
      <c r="BH6738" s="386"/>
      <c r="BI6738" s="386"/>
      <c r="BJ6738" s="46"/>
    </row>
    <row r="6739" spans="59:62" x14ac:dyDescent="0.3">
      <c r="BG6739" s="387"/>
      <c r="BH6739" s="386"/>
      <c r="BI6739" s="386"/>
      <c r="BJ6739" s="46"/>
    </row>
    <row r="6740" spans="59:62" x14ac:dyDescent="0.3">
      <c r="BG6740" s="387"/>
      <c r="BH6740" s="386"/>
      <c r="BI6740" s="386"/>
      <c r="BJ6740" s="46"/>
    </row>
    <row r="6741" spans="59:62" x14ac:dyDescent="0.3">
      <c r="BG6741" s="387"/>
      <c r="BH6741" s="386"/>
      <c r="BI6741" s="386"/>
      <c r="BJ6741" s="46"/>
    </row>
    <row r="6742" spans="59:62" x14ac:dyDescent="0.3">
      <c r="BG6742" s="387"/>
      <c r="BH6742" s="386"/>
      <c r="BI6742" s="386"/>
      <c r="BJ6742" s="46"/>
    </row>
    <row r="6743" spans="59:62" x14ac:dyDescent="0.3">
      <c r="BG6743" s="387"/>
      <c r="BH6743" s="386"/>
      <c r="BI6743" s="386"/>
      <c r="BJ6743" s="46"/>
    </row>
    <row r="6744" spans="59:62" x14ac:dyDescent="0.3">
      <c r="BG6744" s="387"/>
      <c r="BH6744" s="386"/>
      <c r="BI6744" s="386"/>
      <c r="BJ6744" s="46"/>
    </row>
    <row r="6745" spans="59:62" x14ac:dyDescent="0.3">
      <c r="BG6745" s="387"/>
      <c r="BH6745" s="386"/>
      <c r="BI6745" s="386"/>
      <c r="BJ6745" s="46"/>
    </row>
    <row r="6746" spans="59:62" x14ac:dyDescent="0.3">
      <c r="BG6746" s="387"/>
      <c r="BH6746" s="386"/>
      <c r="BI6746" s="386"/>
      <c r="BJ6746" s="46"/>
    </row>
    <row r="6747" spans="59:62" x14ac:dyDescent="0.3">
      <c r="BG6747" s="387"/>
      <c r="BH6747" s="386"/>
      <c r="BI6747" s="386"/>
      <c r="BJ6747" s="46"/>
    </row>
    <row r="6748" spans="59:62" x14ac:dyDescent="0.3">
      <c r="BG6748" s="387"/>
      <c r="BH6748" s="386"/>
      <c r="BI6748" s="386"/>
      <c r="BJ6748" s="46"/>
    </row>
    <row r="6749" spans="59:62" x14ac:dyDescent="0.3">
      <c r="BG6749" s="387"/>
      <c r="BH6749" s="386"/>
      <c r="BI6749" s="386"/>
      <c r="BJ6749" s="46"/>
    </row>
    <row r="6750" spans="59:62" x14ac:dyDescent="0.3">
      <c r="BG6750" s="387"/>
      <c r="BH6750" s="386"/>
      <c r="BI6750" s="386"/>
      <c r="BJ6750" s="46"/>
    </row>
    <row r="6751" spans="59:62" x14ac:dyDescent="0.3">
      <c r="BG6751" s="387"/>
      <c r="BH6751" s="386"/>
      <c r="BI6751" s="386"/>
      <c r="BJ6751" s="46"/>
    </row>
    <row r="6752" spans="59:62" x14ac:dyDescent="0.3">
      <c r="BG6752" s="387"/>
      <c r="BH6752" s="386"/>
      <c r="BI6752" s="386"/>
      <c r="BJ6752" s="46"/>
    </row>
    <row r="6753" spans="59:62" x14ac:dyDescent="0.3">
      <c r="BG6753" s="387"/>
      <c r="BH6753" s="386"/>
      <c r="BI6753" s="386"/>
      <c r="BJ6753" s="46"/>
    </row>
    <row r="6754" spans="59:62" x14ac:dyDescent="0.3">
      <c r="BG6754" s="387"/>
      <c r="BH6754" s="386"/>
      <c r="BI6754" s="386"/>
      <c r="BJ6754" s="46"/>
    </row>
    <row r="6755" spans="59:62" x14ac:dyDescent="0.3">
      <c r="BG6755" s="387"/>
      <c r="BH6755" s="386"/>
      <c r="BI6755" s="386"/>
      <c r="BJ6755" s="46"/>
    </row>
    <row r="6756" spans="59:62" x14ac:dyDescent="0.3">
      <c r="BG6756" s="387"/>
      <c r="BH6756" s="386"/>
      <c r="BI6756" s="386"/>
      <c r="BJ6756" s="46"/>
    </row>
    <row r="6757" spans="59:62" x14ac:dyDescent="0.3">
      <c r="BG6757" s="387"/>
      <c r="BH6757" s="386"/>
      <c r="BI6757" s="386"/>
      <c r="BJ6757" s="46"/>
    </row>
    <row r="6758" spans="59:62" x14ac:dyDescent="0.3">
      <c r="BG6758" s="387"/>
      <c r="BH6758" s="386"/>
      <c r="BI6758" s="386"/>
      <c r="BJ6758" s="46"/>
    </row>
    <row r="6759" spans="59:62" x14ac:dyDescent="0.3">
      <c r="BG6759" s="387"/>
      <c r="BH6759" s="386"/>
      <c r="BI6759" s="386"/>
      <c r="BJ6759" s="46"/>
    </row>
    <row r="6760" spans="59:62" x14ac:dyDescent="0.3">
      <c r="BG6760" s="387"/>
      <c r="BH6760" s="386"/>
      <c r="BI6760" s="386"/>
      <c r="BJ6760" s="46"/>
    </row>
    <row r="6761" spans="59:62" x14ac:dyDescent="0.3">
      <c r="BG6761" s="387"/>
      <c r="BH6761" s="386"/>
      <c r="BI6761" s="386"/>
      <c r="BJ6761" s="46"/>
    </row>
    <row r="6762" spans="59:62" x14ac:dyDescent="0.3">
      <c r="BG6762" s="387"/>
      <c r="BH6762" s="386"/>
      <c r="BI6762" s="386"/>
      <c r="BJ6762" s="46"/>
    </row>
    <row r="6763" spans="59:62" x14ac:dyDescent="0.3">
      <c r="BG6763" s="387"/>
      <c r="BH6763" s="386"/>
      <c r="BI6763" s="386"/>
      <c r="BJ6763" s="46"/>
    </row>
    <row r="6764" spans="59:62" x14ac:dyDescent="0.3">
      <c r="BG6764" s="387"/>
      <c r="BH6764" s="386"/>
      <c r="BI6764" s="386"/>
      <c r="BJ6764" s="46"/>
    </row>
    <row r="6765" spans="59:62" x14ac:dyDescent="0.3">
      <c r="BG6765" s="387"/>
      <c r="BH6765" s="386"/>
      <c r="BI6765" s="386"/>
      <c r="BJ6765" s="46"/>
    </row>
    <row r="6766" spans="59:62" x14ac:dyDescent="0.3">
      <c r="BG6766" s="387"/>
      <c r="BH6766" s="386"/>
      <c r="BI6766" s="386"/>
      <c r="BJ6766" s="46"/>
    </row>
    <row r="6767" spans="59:62" x14ac:dyDescent="0.3">
      <c r="BG6767" s="387"/>
      <c r="BH6767" s="386"/>
      <c r="BI6767" s="386"/>
      <c r="BJ6767" s="46"/>
    </row>
    <row r="6768" spans="59:62" x14ac:dyDescent="0.3">
      <c r="BG6768" s="387"/>
      <c r="BH6768" s="386"/>
      <c r="BI6768" s="386"/>
      <c r="BJ6768" s="46"/>
    </row>
    <row r="6769" spans="59:62" x14ac:dyDescent="0.3">
      <c r="BG6769" s="387"/>
      <c r="BH6769" s="386"/>
      <c r="BI6769" s="386"/>
      <c r="BJ6769" s="46"/>
    </row>
    <row r="6770" spans="59:62" x14ac:dyDescent="0.3">
      <c r="BG6770" s="387"/>
      <c r="BH6770" s="386"/>
      <c r="BI6770" s="386"/>
      <c r="BJ6770" s="46"/>
    </row>
    <row r="6771" spans="59:62" x14ac:dyDescent="0.3">
      <c r="BG6771" s="387"/>
      <c r="BH6771" s="386"/>
      <c r="BI6771" s="386"/>
      <c r="BJ6771" s="46"/>
    </row>
    <row r="6772" spans="59:62" x14ac:dyDescent="0.3">
      <c r="BG6772" s="387"/>
      <c r="BH6772" s="386"/>
      <c r="BI6772" s="386"/>
      <c r="BJ6772" s="46"/>
    </row>
    <row r="6773" spans="59:62" x14ac:dyDescent="0.3">
      <c r="BG6773" s="387"/>
      <c r="BH6773" s="386"/>
      <c r="BI6773" s="386"/>
      <c r="BJ6773" s="46"/>
    </row>
    <row r="6774" spans="59:62" x14ac:dyDescent="0.3">
      <c r="BG6774" s="387"/>
      <c r="BH6774" s="386"/>
      <c r="BI6774" s="386"/>
      <c r="BJ6774" s="46"/>
    </row>
    <row r="6775" spans="59:62" x14ac:dyDescent="0.3">
      <c r="BG6775" s="387"/>
      <c r="BH6775" s="386"/>
      <c r="BI6775" s="386"/>
      <c r="BJ6775" s="46"/>
    </row>
    <row r="6776" spans="59:62" x14ac:dyDescent="0.3">
      <c r="BG6776" s="387"/>
      <c r="BH6776" s="386"/>
      <c r="BI6776" s="386"/>
      <c r="BJ6776" s="46"/>
    </row>
    <row r="6777" spans="59:62" x14ac:dyDescent="0.3">
      <c r="BG6777" s="387"/>
      <c r="BH6777" s="386"/>
      <c r="BI6777" s="386"/>
      <c r="BJ6777" s="46"/>
    </row>
    <row r="6778" spans="59:62" x14ac:dyDescent="0.3">
      <c r="BG6778" s="387"/>
      <c r="BH6778" s="386"/>
      <c r="BI6778" s="386"/>
      <c r="BJ6778" s="46"/>
    </row>
    <row r="6779" spans="59:62" x14ac:dyDescent="0.3">
      <c r="BG6779" s="387"/>
      <c r="BH6779" s="386"/>
      <c r="BI6779" s="386"/>
      <c r="BJ6779" s="46"/>
    </row>
    <row r="6780" spans="59:62" x14ac:dyDescent="0.3">
      <c r="BG6780" s="387"/>
      <c r="BH6780" s="386"/>
      <c r="BI6780" s="386"/>
      <c r="BJ6780" s="46"/>
    </row>
    <row r="6781" spans="59:62" x14ac:dyDescent="0.3">
      <c r="BG6781" s="387"/>
      <c r="BH6781" s="386"/>
      <c r="BI6781" s="386"/>
      <c r="BJ6781" s="46"/>
    </row>
    <row r="6782" spans="59:62" x14ac:dyDescent="0.3">
      <c r="BG6782" s="387"/>
      <c r="BH6782" s="386"/>
      <c r="BI6782" s="386"/>
      <c r="BJ6782" s="46"/>
    </row>
    <row r="6783" spans="59:62" x14ac:dyDescent="0.3">
      <c r="BG6783" s="387"/>
      <c r="BH6783" s="386"/>
      <c r="BI6783" s="386"/>
      <c r="BJ6783" s="46"/>
    </row>
    <row r="6784" spans="59:62" x14ac:dyDescent="0.3">
      <c r="BG6784" s="387"/>
      <c r="BH6784" s="386"/>
      <c r="BI6784" s="386"/>
      <c r="BJ6784" s="46"/>
    </row>
    <row r="6785" spans="59:62" x14ac:dyDescent="0.3">
      <c r="BG6785" s="387"/>
      <c r="BH6785" s="386"/>
      <c r="BI6785" s="386"/>
      <c r="BJ6785" s="46"/>
    </row>
    <row r="6786" spans="59:62" x14ac:dyDescent="0.3">
      <c r="BG6786" s="387"/>
      <c r="BH6786" s="386"/>
      <c r="BI6786" s="386"/>
      <c r="BJ6786" s="46"/>
    </row>
    <row r="6787" spans="59:62" x14ac:dyDescent="0.3">
      <c r="BG6787" s="387"/>
      <c r="BH6787" s="386"/>
      <c r="BI6787" s="386"/>
      <c r="BJ6787" s="46"/>
    </row>
    <row r="6788" spans="59:62" x14ac:dyDescent="0.3">
      <c r="BG6788" s="387"/>
      <c r="BH6788" s="386"/>
      <c r="BI6788" s="386"/>
      <c r="BJ6788" s="46"/>
    </row>
    <row r="6789" spans="59:62" x14ac:dyDescent="0.3">
      <c r="BG6789" s="387"/>
      <c r="BH6789" s="386"/>
      <c r="BI6789" s="386"/>
      <c r="BJ6789" s="46"/>
    </row>
    <row r="6790" spans="59:62" x14ac:dyDescent="0.3">
      <c r="BG6790" s="387"/>
      <c r="BH6790" s="386"/>
      <c r="BI6790" s="386"/>
      <c r="BJ6790" s="46"/>
    </row>
    <row r="6791" spans="59:62" x14ac:dyDescent="0.3">
      <c r="BG6791" s="387"/>
      <c r="BH6791" s="386"/>
      <c r="BI6791" s="386"/>
      <c r="BJ6791" s="46"/>
    </row>
    <row r="6792" spans="59:62" x14ac:dyDescent="0.3">
      <c r="BG6792" s="387"/>
      <c r="BH6792" s="386"/>
      <c r="BI6792" s="386"/>
      <c r="BJ6792" s="46"/>
    </row>
    <row r="6793" spans="59:62" x14ac:dyDescent="0.3">
      <c r="BG6793" s="387"/>
      <c r="BH6793" s="386"/>
      <c r="BI6793" s="386"/>
      <c r="BJ6793" s="46"/>
    </row>
    <row r="6794" spans="59:62" x14ac:dyDescent="0.3">
      <c r="BG6794" s="387"/>
      <c r="BH6794" s="386"/>
      <c r="BI6794" s="386"/>
      <c r="BJ6794" s="46"/>
    </row>
    <row r="6795" spans="59:62" x14ac:dyDescent="0.3">
      <c r="BG6795" s="387"/>
      <c r="BH6795" s="386"/>
      <c r="BI6795" s="386"/>
      <c r="BJ6795" s="46"/>
    </row>
    <row r="6796" spans="59:62" x14ac:dyDescent="0.3">
      <c r="BG6796" s="387"/>
      <c r="BH6796" s="386"/>
      <c r="BI6796" s="386"/>
      <c r="BJ6796" s="46"/>
    </row>
    <row r="6797" spans="59:62" x14ac:dyDescent="0.3">
      <c r="BG6797" s="387"/>
      <c r="BH6797" s="386"/>
      <c r="BI6797" s="386"/>
      <c r="BJ6797" s="46"/>
    </row>
    <row r="6798" spans="59:62" x14ac:dyDescent="0.3">
      <c r="BG6798" s="387"/>
      <c r="BH6798" s="386"/>
      <c r="BI6798" s="386"/>
      <c r="BJ6798" s="46"/>
    </row>
    <row r="6799" spans="59:62" x14ac:dyDescent="0.3">
      <c r="BG6799" s="387"/>
      <c r="BH6799" s="386"/>
      <c r="BI6799" s="386"/>
      <c r="BJ6799" s="46"/>
    </row>
    <row r="6800" spans="59:62" x14ac:dyDescent="0.3">
      <c r="BG6800" s="387"/>
      <c r="BH6800" s="386"/>
      <c r="BI6800" s="386"/>
      <c r="BJ6800" s="46"/>
    </row>
    <row r="6801" spans="59:62" x14ac:dyDescent="0.3">
      <c r="BG6801" s="387"/>
      <c r="BH6801" s="386"/>
      <c r="BI6801" s="386"/>
      <c r="BJ6801" s="46"/>
    </row>
    <row r="6802" spans="59:62" x14ac:dyDescent="0.3">
      <c r="BG6802" s="387"/>
      <c r="BH6802" s="386"/>
      <c r="BI6802" s="386"/>
      <c r="BJ6802" s="46"/>
    </row>
    <row r="6803" spans="59:62" x14ac:dyDescent="0.3">
      <c r="BG6803" s="387"/>
      <c r="BH6803" s="386"/>
      <c r="BI6803" s="386"/>
      <c r="BJ6803" s="46"/>
    </row>
    <row r="6804" spans="59:62" x14ac:dyDescent="0.3">
      <c r="BG6804" s="387"/>
      <c r="BH6804" s="386"/>
      <c r="BI6804" s="386"/>
      <c r="BJ6804" s="46"/>
    </row>
    <row r="6805" spans="59:62" x14ac:dyDescent="0.3">
      <c r="BG6805" s="387"/>
      <c r="BH6805" s="386"/>
      <c r="BI6805" s="386"/>
      <c r="BJ6805" s="46"/>
    </row>
    <row r="6806" spans="59:62" x14ac:dyDescent="0.3">
      <c r="BG6806" s="387"/>
      <c r="BH6806" s="386"/>
      <c r="BI6806" s="386"/>
      <c r="BJ6806" s="46"/>
    </row>
    <row r="6807" spans="59:62" x14ac:dyDescent="0.3">
      <c r="BG6807" s="387"/>
      <c r="BH6807" s="386"/>
      <c r="BI6807" s="386"/>
      <c r="BJ6807" s="46"/>
    </row>
    <row r="6808" spans="59:62" x14ac:dyDescent="0.3">
      <c r="BG6808" s="387"/>
      <c r="BH6808" s="386"/>
      <c r="BI6808" s="386"/>
      <c r="BJ6808" s="46"/>
    </row>
    <row r="6809" spans="59:62" x14ac:dyDescent="0.3">
      <c r="BG6809" s="387"/>
      <c r="BH6809" s="386"/>
      <c r="BI6809" s="386"/>
      <c r="BJ6809" s="46"/>
    </row>
    <row r="6810" spans="59:62" x14ac:dyDescent="0.3">
      <c r="BG6810" s="387"/>
      <c r="BH6810" s="386"/>
      <c r="BI6810" s="386"/>
      <c r="BJ6810" s="46"/>
    </row>
    <row r="6811" spans="59:62" x14ac:dyDescent="0.3">
      <c r="BG6811" s="387"/>
      <c r="BH6811" s="386"/>
      <c r="BI6811" s="386"/>
      <c r="BJ6811" s="46"/>
    </row>
    <row r="6812" spans="59:62" x14ac:dyDescent="0.3">
      <c r="BG6812" s="387"/>
      <c r="BH6812" s="386"/>
      <c r="BI6812" s="386"/>
      <c r="BJ6812" s="46"/>
    </row>
    <row r="6813" spans="59:62" x14ac:dyDescent="0.3">
      <c r="BG6813" s="387"/>
      <c r="BH6813" s="386"/>
      <c r="BI6813" s="386"/>
      <c r="BJ6813" s="46"/>
    </row>
    <row r="6814" spans="59:62" x14ac:dyDescent="0.3">
      <c r="BG6814" s="387"/>
      <c r="BH6814" s="386"/>
      <c r="BI6814" s="386"/>
      <c r="BJ6814" s="46"/>
    </row>
    <row r="6815" spans="59:62" x14ac:dyDescent="0.3">
      <c r="BG6815" s="387"/>
      <c r="BH6815" s="386"/>
      <c r="BI6815" s="386"/>
      <c r="BJ6815" s="46"/>
    </row>
    <row r="6816" spans="59:62" x14ac:dyDescent="0.3">
      <c r="BG6816" s="387"/>
      <c r="BH6816" s="386"/>
      <c r="BI6816" s="386"/>
      <c r="BJ6816" s="46"/>
    </row>
    <row r="6817" spans="59:62" x14ac:dyDescent="0.3">
      <c r="BG6817" s="387"/>
      <c r="BH6817" s="386"/>
      <c r="BI6817" s="386"/>
      <c r="BJ6817" s="46"/>
    </row>
    <row r="6818" spans="59:62" x14ac:dyDescent="0.3">
      <c r="BG6818" s="387"/>
      <c r="BH6818" s="386"/>
      <c r="BI6818" s="386"/>
      <c r="BJ6818" s="46"/>
    </row>
    <row r="6819" spans="59:62" x14ac:dyDescent="0.3">
      <c r="BG6819" s="387"/>
      <c r="BH6819" s="386"/>
      <c r="BI6819" s="386"/>
      <c r="BJ6819" s="46"/>
    </row>
    <row r="6820" spans="59:62" x14ac:dyDescent="0.3">
      <c r="BG6820" s="387"/>
      <c r="BH6820" s="386"/>
      <c r="BI6820" s="386"/>
      <c r="BJ6820" s="46"/>
    </row>
    <row r="6821" spans="59:62" x14ac:dyDescent="0.3">
      <c r="BG6821" s="387"/>
      <c r="BH6821" s="386"/>
      <c r="BI6821" s="386"/>
      <c r="BJ6821" s="46"/>
    </row>
    <row r="6822" spans="59:62" x14ac:dyDescent="0.3">
      <c r="BG6822" s="387"/>
      <c r="BH6822" s="386"/>
      <c r="BI6822" s="386"/>
      <c r="BJ6822" s="46"/>
    </row>
    <row r="6823" spans="59:62" x14ac:dyDescent="0.3">
      <c r="BG6823" s="387"/>
      <c r="BH6823" s="386"/>
      <c r="BI6823" s="386"/>
      <c r="BJ6823" s="46"/>
    </row>
    <row r="6824" spans="59:62" x14ac:dyDescent="0.3">
      <c r="BG6824" s="387"/>
      <c r="BH6824" s="386"/>
      <c r="BI6824" s="386"/>
      <c r="BJ6824" s="46"/>
    </row>
    <row r="6825" spans="59:62" x14ac:dyDescent="0.3">
      <c r="BG6825" s="387"/>
      <c r="BH6825" s="386"/>
      <c r="BI6825" s="386"/>
      <c r="BJ6825" s="46"/>
    </row>
    <row r="6826" spans="59:62" x14ac:dyDescent="0.3">
      <c r="BG6826" s="387"/>
      <c r="BH6826" s="386"/>
      <c r="BI6826" s="386"/>
      <c r="BJ6826" s="46"/>
    </row>
    <row r="6827" spans="59:62" x14ac:dyDescent="0.3">
      <c r="BG6827" s="387"/>
      <c r="BH6827" s="386"/>
      <c r="BI6827" s="386"/>
      <c r="BJ6827" s="46"/>
    </row>
    <row r="6828" spans="59:62" x14ac:dyDescent="0.3">
      <c r="BG6828" s="387"/>
      <c r="BH6828" s="386"/>
      <c r="BI6828" s="386"/>
      <c r="BJ6828" s="46"/>
    </row>
    <row r="6829" spans="59:62" x14ac:dyDescent="0.3">
      <c r="BG6829" s="387"/>
      <c r="BH6829" s="386"/>
      <c r="BI6829" s="386"/>
      <c r="BJ6829" s="46"/>
    </row>
    <row r="6830" spans="59:62" x14ac:dyDescent="0.3">
      <c r="BG6830" s="387"/>
      <c r="BH6830" s="386"/>
      <c r="BI6830" s="386"/>
      <c r="BJ6830" s="46"/>
    </row>
    <row r="6831" spans="59:62" x14ac:dyDescent="0.3">
      <c r="BG6831" s="387"/>
      <c r="BH6831" s="386"/>
      <c r="BI6831" s="386"/>
      <c r="BJ6831" s="46"/>
    </row>
    <row r="6832" spans="59:62" x14ac:dyDescent="0.3">
      <c r="BG6832" s="387"/>
      <c r="BH6832" s="386"/>
      <c r="BI6832" s="386"/>
      <c r="BJ6832" s="46"/>
    </row>
    <row r="6833" spans="59:62" x14ac:dyDescent="0.3">
      <c r="BG6833" s="387"/>
      <c r="BH6833" s="386"/>
      <c r="BI6833" s="386"/>
      <c r="BJ6833" s="46"/>
    </row>
    <row r="6834" spans="59:62" x14ac:dyDescent="0.3">
      <c r="BG6834" s="387"/>
      <c r="BH6834" s="386"/>
      <c r="BI6834" s="386"/>
      <c r="BJ6834" s="46"/>
    </row>
    <row r="6835" spans="59:62" x14ac:dyDescent="0.3">
      <c r="BG6835" s="387"/>
      <c r="BH6835" s="386"/>
      <c r="BI6835" s="386"/>
      <c r="BJ6835" s="46"/>
    </row>
    <row r="6836" spans="59:62" x14ac:dyDescent="0.3">
      <c r="BG6836" s="387"/>
      <c r="BH6836" s="386"/>
      <c r="BI6836" s="386"/>
      <c r="BJ6836" s="46"/>
    </row>
    <row r="6837" spans="59:62" x14ac:dyDescent="0.3">
      <c r="BG6837" s="387"/>
      <c r="BH6837" s="386"/>
      <c r="BI6837" s="386"/>
      <c r="BJ6837" s="46"/>
    </row>
    <row r="6838" spans="59:62" x14ac:dyDescent="0.3">
      <c r="BG6838" s="387"/>
      <c r="BH6838" s="386"/>
      <c r="BI6838" s="386"/>
      <c r="BJ6838" s="46"/>
    </row>
    <row r="6839" spans="59:62" x14ac:dyDescent="0.3">
      <c r="BG6839" s="387"/>
      <c r="BH6839" s="386"/>
      <c r="BI6839" s="386"/>
      <c r="BJ6839" s="46"/>
    </row>
    <row r="6840" spans="59:62" x14ac:dyDescent="0.3">
      <c r="BG6840" s="387"/>
      <c r="BH6840" s="386"/>
      <c r="BI6840" s="386"/>
      <c r="BJ6840" s="46"/>
    </row>
    <row r="6841" spans="59:62" x14ac:dyDescent="0.3">
      <c r="BG6841" s="387"/>
      <c r="BH6841" s="386"/>
      <c r="BI6841" s="386"/>
      <c r="BJ6841" s="46"/>
    </row>
    <row r="6842" spans="59:62" x14ac:dyDescent="0.3">
      <c r="BG6842" s="387"/>
      <c r="BH6842" s="386"/>
      <c r="BI6842" s="386"/>
      <c r="BJ6842" s="46"/>
    </row>
    <row r="6843" spans="59:62" x14ac:dyDescent="0.3">
      <c r="BG6843" s="387"/>
      <c r="BH6843" s="386"/>
      <c r="BI6843" s="386"/>
      <c r="BJ6843" s="46"/>
    </row>
    <row r="6844" spans="59:62" x14ac:dyDescent="0.3">
      <c r="BG6844" s="387"/>
      <c r="BH6844" s="386"/>
      <c r="BI6844" s="386"/>
      <c r="BJ6844" s="46"/>
    </row>
    <row r="6845" spans="59:62" x14ac:dyDescent="0.3">
      <c r="BG6845" s="387"/>
      <c r="BH6845" s="386"/>
      <c r="BI6845" s="386"/>
      <c r="BJ6845" s="46"/>
    </row>
    <row r="6846" spans="59:62" x14ac:dyDescent="0.3">
      <c r="BG6846" s="387"/>
      <c r="BH6846" s="386"/>
      <c r="BI6846" s="386"/>
      <c r="BJ6846" s="46"/>
    </row>
    <row r="6847" spans="59:62" x14ac:dyDescent="0.3">
      <c r="BG6847" s="387"/>
      <c r="BH6847" s="386"/>
      <c r="BI6847" s="386"/>
      <c r="BJ6847" s="46"/>
    </row>
    <row r="6848" spans="59:62" x14ac:dyDescent="0.3">
      <c r="BG6848" s="387"/>
      <c r="BH6848" s="386"/>
      <c r="BI6848" s="386"/>
      <c r="BJ6848" s="46"/>
    </row>
    <row r="6849" spans="59:62" x14ac:dyDescent="0.3">
      <c r="BG6849" s="387"/>
      <c r="BH6849" s="386"/>
      <c r="BI6849" s="386"/>
      <c r="BJ6849" s="46"/>
    </row>
    <row r="6850" spans="59:62" x14ac:dyDescent="0.3">
      <c r="BG6850" s="387"/>
      <c r="BH6850" s="386"/>
      <c r="BI6850" s="386"/>
      <c r="BJ6850" s="46"/>
    </row>
    <row r="6851" spans="59:62" x14ac:dyDescent="0.3">
      <c r="BG6851" s="387"/>
      <c r="BH6851" s="386"/>
      <c r="BI6851" s="386"/>
      <c r="BJ6851" s="46"/>
    </row>
    <row r="6852" spans="59:62" x14ac:dyDescent="0.3">
      <c r="BG6852" s="387"/>
      <c r="BH6852" s="386"/>
      <c r="BI6852" s="386"/>
      <c r="BJ6852" s="46"/>
    </row>
    <row r="6853" spans="59:62" x14ac:dyDescent="0.3">
      <c r="BG6853" s="387"/>
      <c r="BH6853" s="386"/>
      <c r="BI6853" s="386"/>
      <c r="BJ6853" s="46"/>
    </row>
    <row r="6854" spans="59:62" x14ac:dyDescent="0.3">
      <c r="BG6854" s="387"/>
      <c r="BH6854" s="386"/>
      <c r="BI6854" s="386"/>
      <c r="BJ6854" s="46"/>
    </row>
    <row r="6855" spans="59:62" x14ac:dyDescent="0.3">
      <c r="BG6855" s="387"/>
      <c r="BH6855" s="386"/>
      <c r="BI6855" s="386"/>
      <c r="BJ6855" s="46"/>
    </row>
    <row r="6856" spans="59:62" x14ac:dyDescent="0.3">
      <c r="BG6856" s="387"/>
      <c r="BH6856" s="386"/>
      <c r="BI6856" s="386"/>
      <c r="BJ6856" s="46"/>
    </row>
    <row r="6857" spans="59:62" x14ac:dyDescent="0.3">
      <c r="BG6857" s="387"/>
      <c r="BH6857" s="386"/>
      <c r="BI6857" s="386"/>
      <c r="BJ6857" s="46"/>
    </row>
    <row r="6858" spans="59:62" x14ac:dyDescent="0.3">
      <c r="BG6858" s="387"/>
      <c r="BH6858" s="386"/>
      <c r="BI6858" s="386"/>
      <c r="BJ6858" s="46"/>
    </row>
    <row r="6859" spans="59:62" x14ac:dyDescent="0.3">
      <c r="BG6859" s="387"/>
      <c r="BH6859" s="386"/>
      <c r="BI6859" s="386"/>
      <c r="BJ6859" s="46"/>
    </row>
    <row r="6860" spans="59:62" x14ac:dyDescent="0.3">
      <c r="BG6860" s="387"/>
      <c r="BH6860" s="386"/>
      <c r="BI6860" s="386"/>
      <c r="BJ6860" s="46"/>
    </row>
    <row r="6861" spans="59:62" x14ac:dyDescent="0.3">
      <c r="BG6861" s="387"/>
      <c r="BH6861" s="386"/>
      <c r="BI6861" s="386"/>
      <c r="BJ6861" s="46"/>
    </row>
    <row r="6862" spans="59:62" x14ac:dyDescent="0.3">
      <c r="BG6862" s="387"/>
      <c r="BH6862" s="386"/>
      <c r="BI6862" s="386"/>
      <c r="BJ6862" s="46"/>
    </row>
    <row r="6863" spans="59:62" x14ac:dyDescent="0.3">
      <c r="BG6863" s="387"/>
      <c r="BH6863" s="386"/>
      <c r="BI6863" s="386"/>
      <c r="BJ6863" s="46"/>
    </row>
    <row r="6864" spans="59:62" x14ac:dyDescent="0.3">
      <c r="BG6864" s="387"/>
      <c r="BH6864" s="386"/>
      <c r="BI6864" s="386"/>
      <c r="BJ6864" s="46"/>
    </row>
    <row r="6865" spans="59:62" x14ac:dyDescent="0.3">
      <c r="BG6865" s="387"/>
      <c r="BH6865" s="386"/>
      <c r="BI6865" s="386"/>
      <c r="BJ6865" s="46"/>
    </row>
    <row r="6866" spans="59:62" x14ac:dyDescent="0.3">
      <c r="BG6866" s="387"/>
      <c r="BH6866" s="386"/>
      <c r="BI6866" s="386"/>
      <c r="BJ6866" s="46"/>
    </row>
    <row r="6867" spans="59:62" x14ac:dyDescent="0.3">
      <c r="BG6867" s="387"/>
      <c r="BH6867" s="386"/>
      <c r="BI6867" s="386"/>
      <c r="BJ6867" s="46"/>
    </row>
    <row r="6868" spans="59:62" x14ac:dyDescent="0.3">
      <c r="BG6868" s="387"/>
      <c r="BH6868" s="386"/>
      <c r="BI6868" s="386"/>
      <c r="BJ6868" s="46"/>
    </row>
    <row r="6869" spans="59:62" x14ac:dyDescent="0.3">
      <c r="BG6869" s="387"/>
      <c r="BH6869" s="386"/>
      <c r="BI6869" s="386"/>
      <c r="BJ6869" s="46"/>
    </row>
    <row r="6870" spans="59:62" x14ac:dyDescent="0.3">
      <c r="BG6870" s="387"/>
      <c r="BH6870" s="386"/>
      <c r="BI6870" s="386"/>
      <c r="BJ6870" s="46"/>
    </row>
    <row r="6871" spans="59:62" x14ac:dyDescent="0.3">
      <c r="BG6871" s="387"/>
      <c r="BH6871" s="386"/>
      <c r="BI6871" s="386"/>
      <c r="BJ6871" s="46"/>
    </row>
    <row r="6872" spans="59:62" x14ac:dyDescent="0.3">
      <c r="BG6872" s="387"/>
      <c r="BH6872" s="386"/>
      <c r="BI6872" s="386"/>
      <c r="BJ6872" s="46"/>
    </row>
    <row r="6873" spans="59:62" x14ac:dyDescent="0.3">
      <c r="BG6873" s="387"/>
      <c r="BH6873" s="386"/>
      <c r="BI6873" s="386"/>
      <c r="BJ6873" s="46"/>
    </row>
    <row r="6874" spans="59:62" x14ac:dyDescent="0.3">
      <c r="BG6874" s="387"/>
      <c r="BH6874" s="386"/>
      <c r="BI6874" s="386"/>
      <c r="BJ6874" s="46"/>
    </row>
    <row r="6875" spans="59:62" x14ac:dyDescent="0.3">
      <c r="BG6875" s="387"/>
      <c r="BH6875" s="386"/>
      <c r="BI6875" s="386"/>
      <c r="BJ6875" s="46"/>
    </row>
    <row r="6876" spans="59:62" x14ac:dyDescent="0.3">
      <c r="BG6876" s="387"/>
      <c r="BH6876" s="386"/>
      <c r="BI6876" s="386"/>
      <c r="BJ6876" s="46"/>
    </row>
    <row r="6877" spans="59:62" x14ac:dyDescent="0.3">
      <c r="BG6877" s="387"/>
      <c r="BH6877" s="386"/>
      <c r="BI6877" s="386"/>
      <c r="BJ6877" s="46"/>
    </row>
    <row r="6878" spans="59:62" x14ac:dyDescent="0.3">
      <c r="BG6878" s="387"/>
      <c r="BH6878" s="386"/>
      <c r="BI6878" s="386"/>
      <c r="BJ6878" s="46"/>
    </row>
    <row r="6879" spans="59:62" x14ac:dyDescent="0.3">
      <c r="BG6879" s="387"/>
      <c r="BH6879" s="386"/>
      <c r="BI6879" s="386"/>
      <c r="BJ6879" s="46"/>
    </row>
    <row r="6880" spans="59:62" x14ac:dyDescent="0.3">
      <c r="BG6880" s="387"/>
      <c r="BH6880" s="386"/>
      <c r="BI6880" s="386"/>
      <c r="BJ6880" s="46"/>
    </row>
    <row r="6881" spans="59:62" x14ac:dyDescent="0.3">
      <c r="BG6881" s="387"/>
      <c r="BH6881" s="386"/>
      <c r="BI6881" s="386"/>
      <c r="BJ6881" s="46"/>
    </row>
    <row r="6882" spans="59:62" x14ac:dyDescent="0.3">
      <c r="BG6882" s="387"/>
      <c r="BH6882" s="386"/>
      <c r="BI6882" s="386"/>
      <c r="BJ6882" s="46"/>
    </row>
    <row r="6883" spans="59:62" x14ac:dyDescent="0.3">
      <c r="BG6883" s="387"/>
      <c r="BH6883" s="386"/>
      <c r="BI6883" s="386"/>
      <c r="BJ6883" s="46"/>
    </row>
    <row r="6884" spans="59:62" x14ac:dyDescent="0.3">
      <c r="BG6884" s="387"/>
      <c r="BH6884" s="386"/>
      <c r="BI6884" s="386"/>
      <c r="BJ6884" s="46"/>
    </row>
    <row r="6885" spans="59:62" x14ac:dyDescent="0.3">
      <c r="BG6885" s="387"/>
      <c r="BH6885" s="386"/>
      <c r="BI6885" s="386"/>
      <c r="BJ6885" s="46"/>
    </row>
    <row r="6886" spans="59:62" x14ac:dyDescent="0.3">
      <c r="BG6886" s="387"/>
      <c r="BH6886" s="386"/>
      <c r="BI6886" s="386"/>
      <c r="BJ6886" s="46"/>
    </row>
    <row r="6887" spans="59:62" x14ac:dyDescent="0.3">
      <c r="BG6887" s="387"/>
      <c r="BH6887" s="386"/>
      <c r="BI6887" s="386"/>
      <c r="BJ6887" s="46"/>
    </row>
    <row r="6888" spans="59:62" x14ac:dyDescent="0.3">
      <c r="BG6888" s="387"/>
      <c r="BH6888" s="386"/>
      <c r="BI6888" s="386"/>
      <c r="BJ6888" s="46"/>
    </row>
    <row r="6889" spans="59:62" x14ac:dyDescent="0.3">
      <c r="BG6889" s="387"/>
      <c r="BH6889" s="386"/>
      <c r="BI6889" s="386"/>
      <c r="BJ6889" s="46"/>
    </row>
    <row r="6890" spans="59:62" x14ac:dyDescent="0.3">
      <c r="BG6890" s="387"/>
      <c r="BH6890" s="386"/>
      <c r="BI6890" s="386"/>
      <c r="BJ6890" s="46"/>
    </row>
    <row r="6891" spans="59:62" x14ac:dyDescent="0.3">
      <c r="BG6891" s="387"/>
      <c r="BH6891" s="386"/>
      <c r="BI6891" s="386"/>
      <c r="BJ6891" s="46"/>
    </row>
    <row r="6892" spans="59:62" x14ac:dyDescent="0.3">
      <c r="BG6892" s="387"/>
      <c r="BH6892" s="386"/>
      <c r="BI6892" s="386"/>
      <c r="BJ6892" s="46"/>
    </row>
    <row r="6893" spans="59:62" x14ac:dyDescent="0.3">
      <c r="BG6893" s="387"/>
      <c r="BH6893" s="386"/>
      <c r="BI6893" s="386"/>
      <c r="BJ6893" s="46"/>
    </row>
    <row r="6894" spans="59:62" x14ac:dyDescent="0.3">
      <c r="BG6894" s="387"/>
      <c r="BH6894" s="386"/>
      <c r="BI6894" s="386"/>
      <c r="BJ6894" s="46"/>
    </row>
    <row r="6895" spans="59:62" x14ac:dyDescent="0.3">
      <c r="BG6895" s="387"/>
      <c r="BH6895" s="386"/>
      <c r="BI6895" s="386"/>
      <c r="BJ6895" s="46"/>
    </row>
    <row r="6896" spans="59:62" x14ac:dyDescent="0.3">
      <c r="BG6896" s="387"/>
      <c r="BH6896" s="386"/>
      <c r="BI6896" s="386"/>
      <c r="BJ6896" s="46"/>
    </row>
    <row r="6897" spans="59:62" x14ac:dyDescent="0.3">
      <c r="BG6897" s="387"/>
      <c r="BH6897" s="386"/>
      <c r="BI6897" s="386"/>
      <c r="BJ6897" s="46"/>
    </row>
    <row r="6898" spans="59:62" x14ac:dyDescent="0.3">
      <c r="BG6898" s="387"/>
      <c r="BH6898" s="386"/>
      <c r="BI6898" s="386"/>
      <c r="BJ6898" s="46"/>
    </row>
    <row r="6899" spans="59:62" x14ac:dyDescent="0.3">
      <c r="BG6899" s="387"/>
      <c r="BH6899" s="386"/>
      <c r="BI6899" s="386"/>
      <c r="BJ6899" s="46"/>
    </row>
    <row r="6900" spans="59:62" x14ac:dyDescent="0.3">
      <c r="BG6900" s="387"/>
      <c r="BH6900" s="386"/>
      <c r="BI6900" s="386"/>
      <c r="BJ6900" s="46"/>
    </row>
    <row r="6901" spans="59:62" x14ac:dyDescent="0.3">
      <c r="BG6901" s="387"/>
      <c r="BH6901" s="386"/>
      <c r="BI6901" s="386"/>
      <c r="BJ6901" s="46"/>
    </row>
    <row r="6902" spans="59:62" x14ac:dyDescent="0.3">
      <c r="BG6902" s="387"/>
      <c r="BH6902" s="386"/>
      <c r="BI6902" s="386"/>
      <c r="BJ6902" s="46"/>
    </row>
    <row r="6903" spans="59:62" x14ac:dyDescent="0.3">
      <c r="BG6903" s="387"/>
      <c r="BH6903" s="386"/>
      <c r="BI6903" s="386"/>
      <c r="BJ6903" s="46"/>
    </row>
    <row r="6904" spans="59:62" x14ac:dyDescent="0.3">
      <c r="BG6904" s="387"/>
      <c r="BH6904" s="386"/>
      <c r="BI6904" s="386"/>
      <c r="BJ6904" s="46"/>
    </row>
    <row r="6905" spans="59:62" x14ac:dyDescent="0.3">
      <c r="BG6905" s="387"/>
      <c r="BH6905" s="386"/>
      <c r="BI6905" s="386"/>
      <c r="BJ6905" s="46"/>
    </row>
    <row r="6906" spans="59:62" x14ac:dyDescent="0.3">
      <c r="BG6906" s="387"/>
      <c r="BH6906" s="386"/>
      <c r="BI6906" s="386"/>
      <c r="BJ6906" s="46"/>
    </row>
    <row r="6907" spans="59:62" x14ac:dyDescent="0.3">
      <c r="BG6907" s="387"/>
      <c r="BH6907" s="386"/>
      <c r="BI6907" s="386"/>
      <c r="BJ6907" s="46"/>
    </row>
    <row r="6908" spans="59:62" x14ac:dyDescent="0.3">
      <c r="BG6908" s="387"/>
      <c r="BH6908" s="386"/>
      <c r="BI6908" s="386"/>
      <c r="BJ6908" s="46"/>
    </row>
    <row r="6909" spans="59:62" x14ac:dyDescent="0.3">
      <c r="BG6909" s="387"/>
      <c r="BH6909" s="386"/>
      <c r="BI6909" s="386"/>
      <c r="BJ6909" s="46"/>
    </row>
    <row r="6910" spans="59:62" x14ac:dyDescent="0.3">
      <c r="BG6910" s="387"/>
      <c r="BH6910" s="386"/>
      <c r="BI6910" s="386"/>
      <c r="BJ6910" s="46"/>
    </row>
    <row r="6911" spans="59:62" x14ac:dyDescent="0.3">
      <c r="BG6911" s="387"/>
      <c r="BH6911" s="386"/>
      <c r="BI6911" s="386"/>
      <c r="BJ6911" s="46"/>
    </row>
    <row r="6912" spans="59:62" x14ac:dyDescent="0.3">
      <c r="BG6912" s="387"/>
      <c r="BH6912" s="386"/>
      <c r="BI6912" s="386"/>
      <c r="BJ6912" s="46"/>
    </row>
    <row r="6913" spans="59:62" x14ac:dyDescent="0.3">
      <c r="BG6913" s="387"/>
      <c r="BH6913" s="386"/>
      <c r="BI6913" s="386"/>
      <c r="BJ6913" s="46"/>
    </row>
    <row r="6914" spans="59:62" x14ac:dyDescent="0.3">
      <c r="BG6914" s="387"/>
      <c r="BH6914" s="386"/>
      <c r="BI6914" s="386"/>
      <c r="BJ6914" s="46"/>
    </row>
    <row r="6915" spans="59:62" x14ac:dyDescent="0.3">
      <c r="BG6915" s="387"/>
      <c r="BH6915" s="386"/>
      <c r="BI6915" s="386"/>
      <c r="BJ6915" s="46"/>
    </row>
    <row r="6916" spans="59:62" x14ac:dyDescent="0.3">
      <c r="BG6916" s="387"/>
      <c r="BH6916" s="386"/>
      <c r="BI6916" s="386"/>
      <c r="BJ6916" s="46"/>
    </row>
    <row r="6917" spans="59:62" x14ac:dyDescent="0.3">
      <c r="BG6917" s="387"/>
      <c r="BH6917" s="386"/>
      <c r="BI6917" s="386"/>
      <c r="BJ6917" s="46"/>
    </row>
    <row r="6918" spans="59:62" x14ac:dyDescent="0.3">
      <c r="BG6918" s="387"/>
      <c r="BH6918" s="386"/>
      <c r="BI6918" s="386"/>
      <c r="BJ6918" s="46"/>
    </row>
    <row r="6919" spans="59:62" x14ac:dyDescent="0.3">
      <c r="BG6919" s="387"/>
      <c r="BH6919" s="386"/>
      <c r="BI6919" s="386"/>
      <c r="BJ6919" s="46"/>
    </row>
    <row r="6920" spans="59:62" x14ac:dyDescent="0.3">
      <c r="BG6920" s="387"/>
      <c r="BH6920" s="386"/>
      <c r="BI6920" s="386"/>
      <c r="BJ6920" s="46"/>
    </row>
    <row r="6921" spans="59:62" x14ac:dyDescent="0.3">
      <c r="BG6921" s="387"/>
      <c r="BH6921" s="386"/>
      <c r="BI6921" s="386"/>
      <c r="BJ6921" s="46"/>
    </row>
    <row r="6922" spans="59:62" x14ac:dyDescent="0.3">
      <c r="BG6922" s="387"/>
      <c r="BH6922" s="386"/>
      <c r="BI6922" s="386"/>
      <c r="BJ6922" s="46"/>
    </row>
    <row r="6923" spans="59:62" x14ac:dyDescent="0.3">
      <c r="BG6923" s="387"/>
      <c r="BH6923" s="386"/>
      <c r="BI6923" s="386"/>
      <c r="BJ6923" s="46"/>
    </row>
    <row r="6924" spans="59:62" x14ac:dyDescent="0.3">
      <c r="BG6924" s="387"/>
      <c r="BH6924" s="386"/>
      <c r="BI6924" s="386"/>
      <c r="BJ6924" s="46"/>
    </row>
    <row r="6925" spans="59:62" x14ac:dyDescent="0.3">
      <c r="BG6925" s="387"/>
      <c r="BH6925" s="386"/>
      <c r="BI6925" s="386"/>
      <c r="BJ6925" s="46"/>
    </row>
    <row r="6926" spans="59:62" x14ac:dyDescent="0.3">
      <c r="BG6926" s="387"/>
      <c r="BH6926" s="386"/>
      <c r="BI6926" s="386"/>
      <c r="BJ6926" s="46"/>
    </row>
    <row r="6927" spans="59:62" x14ac:dyDescent="0.3">
      <c r="BG6927" s="387"/>
      <c r="BH6927" s="386"/>
      <c r="BI6927" s="386"/>
      <c r="BJ6927" s="46"/>
    </row>
    <row r="6928" spans="59:62" x14ac:dyDescent="0.3">
      <c r="BG6928" s="387"/>
      <c r="BH6928" s="386"/>
      <c r="BI6928" s="386"/>
      <c r="BJ6928" s="46"/>
    </row>
    <row r="6929" spans="59:62" x14ac:dyDescent="0.3">
      <c r="BG6929" s="387"/>
      <c r="BH6929" s="386"/>
      <c r="BI6929" s="386"/>
      <c r="BJ6929" s="46"/>
    </row>
    <row r="6930" spans="59:62" x14ac:dyDescent="0.3">
      <c r="BG6930" s="387"/>
      <c r="BH6930" s="386"/>
      <c r="BI6930" s="386"/>
      <c r="BJ6930" s="46"/>
    </row>
    <row r="6931" spans="59:62" x14ac:dyDescent="0.3">
      <c r="BG6931" s="387"/>
      <c r="BH6931" s="386"/>
      <c r="BI6931" s="386"/>
      <c r="BJ6931" s="46"/>
    </row>
    <row r="6932" spans="59:62" x14ac:dyDescent="0.3">
      <c r="BG6932" s="387"/>
      <c r="BH6932" s="386"/>
      <c r="BI6932" s="386"/>
      <c r="BJ6932" s="46"/>
    </row>
    <row r="6933" spans="59:62" x14ac:dyDescent="0.3">
      <c r="BG6933" s="387"/>
      <c r="BH6933" s="386"/>
      <c r="BI6933" s="386"/>
      <c r="BJ6933" s="46"/>
    </row>
    <row r="6934" spans="59:62" x14ac:dyDescent="0.3">
      <c r="BG6934" s="387"/>
      <c r="BH6934" s="386"/>
      <c r="BI6934" s="386"/>
      <c r="BJ6934" s="46"/>
    </row>
    <row r="6935" spans="59:62" x14ac:dyDescent="0.3">
      <c r="BG6935" s="387"/>
      <c r="BH6935" s="386"/>
      <c r="BI6935" s="386"/>
      <c r="BJ6935" s="46"/>
    </row>
    <row r="6936" spans="59:62" x14ac:dyDescent="0.3">
      <c r="BG6936" s="387"/>
      <c r="BH6936" s="386"/>
      <c r="BI6936" s="386"/>
      <c r="BJ6936" s="46"/>
    </row>
    <row r="6937" spans="59:62" x14ac:dyDescent="0.3">
      <c r="BG6937" s="387"/>
      <c r="BH6937" s="386"/>
      <c r="BI6937" s="386"/>
      <c r="BJ6937" s="46"/>
    </row>
    <row r="6938" spans="59:62" x14ac:dyDescent="0.3">
      <c r="BG6938" s="387"/>
      <c r="BH6938" s="386"/>
      <c r="BI6938" s="386"/>
      <c r="BJ6938" s="46"/>
    </row>
    <row r="6939" spans="59:62" x14ac:dyDescent="0.3">
      <c r="BG6939" s="387"/>
      <c r="BH6939" s="386"/>
      <c r="BI6939" s="386"/>
      <c r="BJ6939" s="46"/>
    </row>
    <row r="6940" spans="59:62" x14ac:dyDescent="0.3">
      <c r="BG6940" s="387"/>
      <c r="BH6940" s="386"/>
      <c r="BI6940" s="386"/>
      <c r="BJ6940" s="46"/>
    </row>
    <row r="6941" spans="59:62" x14ac:dyDescent="0.3">
      <c r="BG6941" s="387"/>
      <c r="BH6941" s="386"/>
      <c r="BI6941" s="386"/>
      <c r="BJ6941" s="46"/>
    </row>
    <row r="6942" spans="59:62" x14ac:dyDescent="0.3">
      <c r="BG6942" s="387"/>
      <c r="BH6942" s="386"/>
      <c r="BI6942" s="386"/>
      <c r="BJ6942" s="46"/>
    </row>
    <row r="6943" spans="59:62" x14ac:dyDescent="0.3">
      <c r="BG6943" s="387"/>
      <c r="BH6943" s="386"/>
      <c r="BI6943" s="386"/>
      <c r="BJ6943" s="46"/>
    </row>
    <row r="6944" spans="59:62" x14ac:dyDescent="0.3">
      <c r="BG6944" s="387"/>
      <c r="BH6944" s="386"/>
      <c r="BI6944" s="386"/>
      <c r="BJ6944" s="46"/>
    </row>
    <row r="6945" spans="59:62" x14ac:dyDescent="0.3">
      <c r="BG6945" s="387"/>
      <c r="BH6945" s="386"/>
      <c r="BI6945" s="386"/>
      <c r="BJ6945" s="46"/>
    </row>
    <row r="6946" spans="59:62" x14ac:dyDescent="0.3">
      <c r="BG6946" s="387"/>
      <c r="BH6946" s="386"/>
      <c r="BI6946" s="386"/>
      <c r="BJ6946" s="46"/>
    </row>
    <row r="6947" spans="59:62" x14ac:dyDescent="0.3">
      <c r="BG6947" s="387"/>
      <c r="BH6947" s="386"/>
      <c r="BI6947" s="386"/>
      <c r="BJ6947" s="46"/>
    </row>
    <row r="6948" spans="59:62" x14ac:dyDescent="0.3">
      <c r="BG6948" s="387"/>
      <c r="BH6948" s="386"/>
      <c r="BI6948" s="386"/>
      <c r="BJ6948" s="46"/>
    </row>
    <row r="6949" spans="59:62" x14ac:dyDescent="0.3">
      <c r="BG6949" s="387"/>
      <c r="BH6949" s="386"/>
      <c r="BI6949" s="386"/>
      <c r="BJ6949" s="46"/>
    </row>
    <row r="6950" spans="59:62" x14ac:dyDescent="0.3">
      <c r="BG6950" s="387"/>
      <c r="BH6950" s="386"/>
      <c r="BI6950" s="386"/>
      <c r="BJ6950" s="46"/>
    </row>
    <row r="6951" spans="59:62" x14ac:dyDescent="0.3">
      <c r="BG6951" s="387"/>
      <c r="BH6951" s="386"/>
      <c r="BI6951" s="386"/>
      <c r="BJ6951" s="46"/>
    </row>
    <row r="6952" spans="59:62" x14ac:dyDescent="0.3">
      <c r="BG6952" s="387"/>
      <c r="BH6952" s="386"/>
      <c r="BI6952" s="386"/>
      <c r="BJ6952" s="46"/>
    </row>
    <row r="6953" spans="59:62" x14ac:dyDescent="0.3">
      <c r="BG6953" s="387"/>
      <c r="BH6953" s="386"/>
      <c r="BI6953" s="386"/>
      <c r="BJ6953" s="46"/>
    </row>
    <row r="6954" spans="59:62" x14ac:dyDescent="0.3">
      <c r="BG6954" s="387"/>
      <c r="BH6954" s="386"/>
      <c r="BI6954" s="386"/>
      <c r="BJ6954" s="46"/>
    </row>
    <row r="6955" spans="59:62" x14ac:dyDescent="0.3">
      <c r="BG6955" s="387"/>
      <c r="BH6955" s="386"/>
      <c r="BI6955" s="386"/>
      <c r="BJ6955" s="46"/>
    </row>
    <row r="6956" spans="59:62" x14ac:dyDescent="0.3">
      <c r="BG6956" s="387"/>
      <c r="BH6956" s="386"/>
      <c r="BI6956" s="386"/>
      <c r="BJ6956" s="46"/>
    </row>
    <row r="6957" spans="59:62" x14ac:dyDescent="0.3">
      <c r="BG6957" s="387"/>
      <c r="BH6957" s="386"/>
      <c r="BI6957" s="386"/>
      <c r="BJ6957" s="46"/>
    </row>
    <row r="6958" spans="59:62" x14ac:dyDescent="0.3">
      <c r="BG6958" s="387"/>
      <c r="BH6958" s="386"/>
      <c r="BI6958" s="386"/>
      <c r="BJ6958" s="46"/>
    </row>
    <row r="6959" spans="59:62" x14ac:dyDescent="0.3">
      <c r="BG6959" s="387"/>
      <c r="BH6959" s="386"/>
      <c r="BI6959" s="386"/>
      <c r="BJ6959" s="46"/>
    </row>
    <row r="6960" spans="59:62" x14ac:dyDescent="0.3">
      <c r="BG6960" s="387"/>
      <c r="BH6960" s="386"/>
      <c r="BI6960" s="386"/>
      <c r="BJ6960" s="46"/>
    </row>
    <row r="6961" spans="59:62" x14ac:dyDescent="0.3">
      <c r="BG6961" s="387"/>
      <c r="BH6961" s="386"/>
      <c r="BI6961" s="386"/>
      <c r="BJ6961" s="46"/>
    </row>
    <row r="6962" spans="59:62" x14ac:dyDescent="0.3">
      <c r="BG6962" s="387"/>
      <c r="BH6962" s="386"/>
      <c r="BI6962" s="386"/>
      <c r="BJ6962" s="46"/>
    </row>
    <row r="6963" spans="59:62" x14ac:dyDescent="0.3">
      <c r="BG6963" s="387"/>
      <c r="BH6963" s="386"/>
      <c r="BI6963" s="386"/>
      <c r="BJ6963" s="46"/>
    </row>
    <row r="6964" spans="59:62" x14ac:dyDescent="0.3">
      <c r="BG6964" s="387"/>
      <c r="BH6964" s="386"/>
      <c r="BI6964" s="386"/>
      <c r="BJ6964" s="46"/>
    </row>
    <row r="6965" spans="59:62" x14ac:dyDescent="0.3">
      <c r="BG6965" s="387"/>
      <c r="BH6965" s="386"/>
      <c r="BI6965" s="386"/>
      <c r="BJ6965" s="46"/>
    </row>
    <row r="6966" spans="59:62" x14ac:dyDescent="0.3">
      <c r="BG6966" s="387"/>
      <c r="BH6966" s="386"/>
      <c r="BI6966" s="386"/>
      <c r="BJ6966" s="46"/>
    </row>
    <row r="6967" spans="59:62" x14ac:dyDescent="0.3">
      <c r="BG6967" s="387"/>
      <c r="BH6967" s="386"/>
      <c r="BI6967" s="386"/>
      <c r="BJ6967" s="46"/>
    </row>
    <row r="6968" spans="59:62" x14ac:dyDescent="0.3">
      <c r="BG6968" s="387"/>
      <c r="BH6968" s="386"/>
      <c r="BI6968" s="386"/>
      <c r="BJ6968" s="46"/>
    </row>
    <row r="6969" spans="59:62" x14ac:dyDescent="0.3">
      <c r="BG6969" s="387"/>
      <c r="BH6969" s="386"/>
      <c r="BI6969" s="386"/>
      <c r="BJ6969" s="46"/>
    </row>
    <row r="6970" spans="59:62" x14ac:dyDescent="0.3">
      <c r="BG6970" s="387"/>
      <c r="BH6970" s="386"/>
      <c r="BI6970" s="386"/>
      <c r="BJ6970" s="46"/>
    </row>
    <row r="6971" spans="59:62" x14ac:dyDescent="0.3">
      <c r="BG6971" s="387"/>
      <c r="BH6971" s="386"/>
      <c r="BI6971" s="386"/>
      <c r="BJ6971" s="46"/>
    </row>
    <row r="6972" spans="59:62" x14ac:dyDescent="0.3">
      <c r="BG6972" s="387"/>
      <c r="BH6972" s="386"/>
      <c r="BI6972" s="386"/>
      <c r="BJ6972" s="46"/>
    </row>
    <row r="6973" spans="59:62" x14ac:dyDescent="0.3">
      <c r="BG6973" s="387"/>
      <c r="BH6973" s="386"/>
      <c r="BI6973" s="386"/>
      <c r="BJ6973" s="46"/>
    </row>
    <row r="6974" spans="59:62" x14ac:dyDescent="0.3">
      <c r="BG6974" s="387"/>
      <c r="BH6974" s="386"/>
      <c r="BI6974" s="386"/>
      <c r="BJ6974" s="46"/>
    </row>
    <row r="6975" spans="59:62" x14ac:dyDescent="0.3">
      <c r="BG6975" s="387"/>
      <c r="BH6975" s="386"/>
      <c r="BI6975" s="386"/>
      <c r="BJ6975" s="46"/>
    </row>
    <row r="6976" spans="59:62" x14ac:dyDescent="0.3">
      <c r="BG6976" s="387"/>
      <c r="BH6976" s="386"/>
      <c r="BI6976" s="386"/>
      <c r="BJ6976" s="46"/>
    </row>
    <row r="6977" spans="59:62" x14ac:dyDescent="0.3">
      <c r="BG6977" s="387"/>
      <c r="BH6977" s="386"/>
      <c r="BI6977" s="386"/>
      <c r="BJ6977" s="46"/>
    </row>
    <row r="6978" spans="59:62" x14ac:dyDescent="0.3">
      <c r="BG6978" s="387"/>
      <c r="BH6978" s="386"/>
      <c r="BI6978" s="386"/>
      <c r="BJ6978" s="46"/>
    </row>
    <row r="6979" spans="59:62" x14ac:dyDescent="0.3">
      <c r="BG6979" s="387"/>
      <c r="BH6979" s="386"/>
      <c r="BI6979" s="386"/>
      <c r="BJ6979" s="46"/>
    </row>
    <row r="6980" spans="59:62" x14ac:dyDescent="0.3">
      <c r="BG6980" s="387"/>
      <c r="BH6980" s="386"/>
      <c r="BI6980" s="386"/>
      <c r="BJ6980" s="46"/>
    </row>
    <row r="6981" spans="59:62" x14ac:dyDescent="0.3">
      <c r="BG6981" s="387"/>
      <c r="BH6981" s="386"/>
      <c r="BI6981" s="386"/>
      <c r="BJ6981" s="46"/>
    </row>
    <row r="6982" spans="59:62" x14ac:dyDescent="0.3">
      <c r="BG6982" s="387"/>
      <c r="BH6982" s="386"/>
      <c r="BI6982" s="386"/>
      <c r="BJ6982" s="46"/>
    </row>
    <row r="6983" spans="59:62" x14ac:dyDescent="0.3">
      <c r="BG6983" s="387"/>
      <c r="BH6983" s="386"/>
      <c r="BI6983" s="386"/>
      <c r="BJ6983" s="46"/>
    </row>
    <row r="6984" spans="59:62" x14ac:dyDescent="0.3">
      <c r="BG6984" s="387"/>
      <c r="BH6984" s="386"/>
      <c r="BI6984" s="386"/>
      <c r="BJ6984" s="46"/>
    </row>
    <row r="6985" spans="59:62" x14ac:dyDescent="0.3">
      <c r="BG6985" s="387"/>
      <c r="BH6985" s="386"/>
      <c r="BI6985" s="386"/>
      <c r="BJ6985" s="46"/>
    </row>
    <row r="6986" spans="59:62" x14ac:dyDescent="0.3">
      <c r="BG6986" s="387"/>
      <c r="BH6986" s="386"/>
      <c r="BI6986" s="386"/>
      <c r="BJ6986" s="46"/>
    </row>
    <row r="6987" spans="59:62" x14ac:dyDescent="0.3">
      <c r="BG6987" s="387"/>
      <c r="BH6987" s="386"/>
      <c r="BI6987" s="386"/>
      <c r="BJ6987" s="46"/>
    </row>
    <row r="6988" spans="59:62" x14ac:dyDescent="0.3">
      <c r="BG6988" s="387"/>
      <c r="BH6988" s="386"/>
      <c r="BI6988" s="386"/>
      <c r="BJ6988" s="46"/>
    </row>
    <row r="6989" spans="59:62" x14ac:dyDescent="0.3">
      <c r="BG6989" s="387"/>
      <c r="BH6989" s="386"/>
      <c r="BI6989" s="386"/>
      <c r="BJ6989" s="46"/>
    </row>
    <row r="6990" spans="59:62" x14ac:dyDescent="0.3">
      <c r="BG6990" s="387"/>
      <c r="BH6990" s="386"/>
      <c r="BI6990" s="386"/>
      <c r="BJ6990" s="46"/>
    </row>
    <row r="6991" spans="59:62" x14ac:dyDescent="0.3">
      <c r="BG6991" s="387"/>
      <c r="BH6991" s="386"/>
      <c r="BI6991" s="386"/>
      <c r="BJ6991" s="46"/>
    </row>
    <row r="6992" spans="59:62" x14ac:dyDescent="0.3">
      <c r="BG6992" s="387"/>
      <c r="BH6992" s="386"/>
      <c r="BI6992" s="386"/>
      <c r="BJ6992" s="46"/>
    </row>
    <row r="6993" spans="59:62" x14ac:dyDescent="0.3">
      <c r="BG6993" s="387"/>
      <c r="BH6993" s="386"/>
      <c r="BI6993" s="386"/>
      <c r="BJ6993" s="46"/>
    </row>
    <row r="6994" spans="59:62" x14ac:dyDescent="0.3">
      <c r="BG6994" s="387"/>
      <c r="BH6994" s="386"/>
      <c r="BI6994" s="386"/>
      <c r="BJ6994" s="46"/>
    </row>
    <row r="6995" spans="59:62" x14ac:dyDescent="0.3">
      <c r="BG6995" s="387"/>
      <c r="BH6995" s="386"/>
      <c r="BI6995" s="386"/>
      <c r="BJ6995" s="46"/>
    </row>
    <row r="6996" spans="59:62" x14ac:dyDescent="0.3">
      <c r="BG6996" s="387"/>
      <c r="BH6996" s="386"/>
      <c r="BI6996" s="386"/>
      <c r="BJ6996" s="46"/>
    </row>
    <row r="6997" spans="59:62" x14ac:dyDescent="0.3">
      <c r="BG6997" s="387"/>
      <c r="BH6997" s="386"/>
      <c r="BI6997" s="386"/>
      <c r="BJ6997" s="46"/>
    </row>
    <row r="6998" spans="59:62" x14ac:dyDescent="0.3">
      <c r="BG6998" s="387"/>
      <c r="BH6998" s="386"/>
      <c r="BI6998" s="386"/>
      <c r="BJ6998" s="46"/>
    </row>
    <row r="6999" spans="59:62" x14ac:dyDescent="0.3">
      <c r="BG6999" s="387"/>
      <c r="BH6999" s="386"/>
      <c r="BI6999" s="386"/>
      <c r="BJ6999" s="46"/>
    </row>
    <row r="7000" spans="59:62" x14ac:dyDescent="0.3">
      <c r="BG7000" s="387"/>
      <c r="BH7000" s="386"/>
      <c r="BI7000" s="386"/>
      <c r="BJ7000" s="46"/>
    </row>
    <row r="7001" spans="59:62" x14ac:dyDescent="0.3">
      <c r="BG7001" s="387"/>
      <c r="BH7001" s="386"/>
      <c r="BI7001" s="386"/>
      <c r="BJ7001" s="46"/>
    </row>
    <row r="7002" spans="59:62" x14ac:dyDescent="0.3">
      <c r="BG7002" s="387"/>
      <c r="BH7002" s="386"/>
      <c r="BI7002" s="386"/>
      <c r="BJ7002" s="46"/>
    </row>
    <row r="7003" spans="59:62" x14ac:dyDescent="0.3">
      <c r="BG7003" s="387"/>
      <c r="BH7003" s="386"/>
      <c r="BI7003" s="386"/>
      <c r="BJ7003" s="46"/>
    </row>
    <row r="7004" spans="59:62" x14ac:dyDescent="0.3">
      <c r="BG7004" s="387"/>
      <c r="BH7004" s="386"/>
      <c r="BI7004" s="386"/>
      <c r="BJ7004" s="46"/>
    </row>
    <row r="7005" spans="59:62" x14ac:dyDescent="0.3">
      <c r="BG7005" s="387"/>
      <c r="BH7005" s="386"/>
      <c r="BI7005" s="386"/>
      <c r="BJ7005" s="46"/>
    </row>
    <row r="7006" spans="59:62" x14ac:dyDescent="0.3">
      <c r="BG7006" s="387"/>
      <c r="BH7006" s="386"/>
      <c r="BI7006" s="386"/>
      <c r="BJ7006" s="46"/>
    </row>
    <row r="7007" spans="59:62" x14ac:dyDescent="0.3">
      <c r="BG7007" s="387"/>
      <c r="BH7007" s="386"/>
      <c r="BI7007" s="386"/>
      <c r="BJ7007" s="46"/>
    </row>
    <row r="7008" spans="59:62" x14ac:dyDescent="0.3">
      <c r="BG7008" s="387"/>
      <c r="BH7008" s="386"/>
      <c r="BI7008" s="386"/>
      <c r="BJ7008" s="46"/>
    </row>
    <row r="7009" spans="59:62" x14ac:dyDescent="0.3">
      <c r="BG7009" s="387"/>
      <c r="BH7009" s="386"/>
      <c r="BI7009" s="386"/>
      <c r="BJ7009" s="46"/>
    </row>
    <row r="7010" spans="59:62" x14ac:dyDescent="0.3">
      <c r="BG7010" s="387"/>
      <c r="BH7010" s="386"/>
      <c r="BI7010" s="386"/>
      <c r="BJ7010" s="46"/>
    </row>
    <row r="7011" spans="59:62" x14ac:dyDescent="0.3">
      <c r="BG7011" s="387"/>
      <c r="BH7011" s="386"/>
      <c r="BI7011" s="386"/>
      <c r="BJ7011" s="46"/>
    </row>
    <row r="7012" spans="59:62" x14ac:dyDescent="0.3">
      <c r="BG7012" s="387"/>
      <c r="BH7012" s="386"/>
      <c r="BI7012" s="386"/>
      <c r="BJ7012" s="46"/>
    </row>
    <row r="7013" spans="59:62" x14ac:dyDescent="0.3">
      <c r="BG7013" s="387"/>
      <c r="BH7013" s="386"/>
      <c r="BI7013" s="386"/>
      <c r="BJ7013" s="46"/>
    </row>
    <row r="7014" spans="59:62" x14ac:dyDescent="0.3">
      <c r="BG7014" s="387"/>
      <c r="BH7014" s="386"/>
      <c r="BI7014" s="386"/>
      <c r="BJ7014" s="46"/>
    </row>
    <row r="7015" spans="59:62" x14ac:dyDescent="0.3">
      <c r="BG7015" s="387"/>
      <c r="BH7015" s="386"/>
      <c r="BI7015" s="386"/>
      <c r="BJ7015" s="46"/>
    </row>
    <row r="7016" spans="59:62" x14ac:dyDescent="0.3">
      <c r="BG7016" s="387"/>
      <c r="BH7016" s="386"/>
      <c r="BI7016" s="386"/>
      <c r="BJ7016" s="46"/>
    </row>
    <row r="7017" spans="59:62" x14ac:dyDescent="0.3">
      <c r="BG7017" s="387"/>
      <c r="BH7017" s="386"/>
      <c r="BI7017" s="386"/>
      <c r="BJ7017" s="46"/>
    </row>
    <row r="7018" spans="59:62" x14ac:dyDescent="0.3">
      <c r="BG7018" s="387"/>
      <c r="BH7018" s="386"/>
      <c r="BI7018" s="386"/>
      <c r="BJ7018" s="46"/>
    </row>
    <row r="7019" spans="59:62" x14ac:dyDescent="0.3">
      <c r="BG7019" s="387"/>
      <c r="BH7019" s="386"/>
      <c r="BI7019" s="386"/>
      <c r="BJ7019" s="46"/>
    </row>
    <row r="7020" spans="59:62" x14ac:dyDescent="0.3">
      <c r="BG7020" s="387"/>
      <c r="BH7020" s="386"/>
      <c r="BI7020" s="386"/>
      <c r="BJ7020" s="46"/>
    </row>
    <row r="7021" spans="59:62" x14ac:dyDescent="0.3">
      <c r="BG7021" s="387"/>
      <c r="BH7021" s="386"/>
      <c r="BI7021" s="386"/>
      <c r="BJ7021" s="46"/>
    </row>
    <row r="7022" spans="59:62" x14ac:dyDescent="0.3">
      <c r="BG7022" s="387"/>
      <c r="BH7022" s="386"/>
      <c r="BI7022" s="386"/>
      <c r="BJ7022" s="46"/>
    </row>
    <row r="7023" spans="59:62" x14ac:dyDescent="0.3">
      <c r="BG7023" s="387"/>
      <c r="BH7023" s="386"/>
      <c r="BI7023" s="386"/>
      <c r="BJ7023" s="46"/>
    </row>
    <row r="7024" spans="59:62" x14ac:dyDescent="0.3">
      <c r="BG7024" s="387"/>
      <c r="BH7024" s="386"/>
      <c r="BI7024" s="386"/>
      <c r="BJ7024" s="46"/>
    </row>
    <row r="7025" spans="59:62" x14ac:dyDescent="0.3">
      <c r="BG7025" s="387"/>
      <c r="BH7025" s="386"/>
      <c r="BI7025" s="386"/>
      <c r="BJ7025" s="46"/>
    </row>
    <row r="7026" spans="59:62" x14ac:dyDescent="0.3">
      <c r="BG7026" s="387"/>
      <c r="BH7026" s="386"/>
      <c r="BI7026" s="386"/>
      <c r="BJ7026" s="46"/>
    </row>
    <row r="7027" spans="59:62" x14ac:dyDescent="0.3">
      <c r="BG7027" s="387"/>
      <c r="BH7027" s="386"/>
      <c r="BI7027" s="386"/>
      <c r="BJ7027" s="46"/>
    </row>
    <row r="7028" spans="59:62" x14ac:dyDescent="0.3">
      <c r="BG7028" s="387"/>
      <c r="BH7028" s="386"/>
      <c r="BI7028" s="386"/>
      <c r="BJ7028" s="46"/>
    </row>
    <row r="7029" spans="59:62" x14ac:dyDescent="0.3">
      <c r="BG7029" s="387"/>
      <c r="BH7029" s="386"/>
      <c r="BI7029" s="386"/>
      <c r="BJ7029" s="46"/>
    </row>
    <row r="7030" spans="59:62" x14ac:dyDescent="0.3">
      <c r="BG7030" s="387"/>
      <c r="BH7030" s="386"/>
      <c r="BI7030" s="386"/>
      <c r="BJ7030" s="46"/>
    </row>
    <row r="7031" spans="59:62" x14ac:dyDescent="0.3">
      <c r="BG7031" s="387"/>
      <c r="BH7031" s="386"/>
      <c r="BI7031" s="386"/>
      <c r="BJ7031" s="46"/>
    </row>
    <row r="7032" spans="59:62" x14ac:dyDescent="0.3">
      <c r="BG7032" s="387"/>
      <c r="BH7032" s="386"/>
      <c r="BI7032" s="386"/>
      <c r="BJ7032" s="46"/>
    </row>
    <row r="7033" spans="59:62" x14ac:dyDescent="0.3">
      <c r="BG7033" s="387"/>
      <c r="BH7033" s="386"/>
      <c r="BI7033" s="386"/>
      <c r="BJ7033" s="46"/>
    </row>
    <row r="7034" spans="59:62" x14ac:dyDescent="0.3">
      <c r="BG7034" s="387"/>
      <c r="BH7034" s="386"/>
      <c r="BI7034" s="386"/>
      <c r="BJ7034" s="46"/>
    </row>
    <row r="7035" spans="59:62" x14ac:dyDescent="0.3">
      <c r="BG7035" s="387"/>
      <c r="BH7035" s="386"/>
      <c r="BI7035" s="386"/>
      <c r="BJ7035" s="46"/>
    </row>
    <row r="7036" spans="59:62" x14ac:dyDescent="0.3">
      <c r="BG7036" s="387"/>
      <c r="BH7036" s="386"/>
      <c r="BI7036" s="386"/>
      <c r="BJ7036" s="46"/>
    </row>
    <row r="7037" spans="59:62" x14ac:dyDescent="0.3">
      <c r="BG7037" s="387"/>
      <c r="BH7037" s="386"/>
      <c r="BI7037" s="386"/>
      <c r="BJ7037" s="46"/>
    </row>
    <row r="7038" spans="59:62" x14ac:dyDescent="0.3">
      <c r="BG7038" s="387"/>
      <c r="BH7038" s="386"/>
      <c r="BI7038" s="386"/>
      <c r="BJ7038" s="46"/>
    </row>
    <row r="7039" spans="59:62" x14ac:dyDescent="0.3">
      <c r="BG7039" s="387"/>
      <c r="BH7039" s="386"/>
      <c r="BI7039" s="386"/>
      <c r="BJ7039" s="46"/>
    </row>
    <row r="7040" spans="59:62" x14ac:dyDescent="0.3">
      <c r="BG7040" s="387"/>
      <c r="BH7040" s="386"/>
      <c r="BI7040" s="386"/>
      <c r="BJ7040" s="46"/>
    </row>
    <row r="7041" spans="59:62" x14ac:dyDescent="0.3">
      <c r="BG7041" s="387"/>
      <c r="BH7041" s="386"/>
      <c r="BI7041" s="386"/>
      <c r="BJ7041" s="46"/>
    </row>
    <row r="7042" spans="59:62" x14ac:dyDescent="0.3">
      <c r="BG7042" s="387"/>
      <c r="BH7042" s="386"/>
      <c r="BI7042" s="386"/>
      <c r="BJ7042" s="46"/>
    </row>
    <row r="7043" spans="59:62" x14ac:dyDescent="0.3">
      <c r="BG7043" s="387"/>
      <c r="BH7043" s="386"/>
      <c r="BI7043" s="386"/>
      <c r="BJ7043" s="46"/>
    </row>
    <row r="7044" spans="59:62" x14ac:dyDescent="0.3">
      <c r="BG7044" s="387"/>
      <c r="BH7044" s="386"/>
      <c r="BI7044" s="386"/>
      <c r="BJ7044" s="46"/>
    </row>
    <row r="7045" spans="59:62" x14ac:dyDescent="0.3">
      <c r="BG7045" s="387"/>
      <c r="BH7045" s="386"/>
      <c r="BI7045" s="386"/>
      <c r="BJ7045" s="46"/>
    </row>
    <row r="7046" spans="59:62" x14ac:dyDescent="0.3">
      <c r="BG7046" s="387"/>
      <c r="BH7046" s="386"/>
      <c r="BI7046" s="386"/>
      <c r="BJ7046" s="46"/>
    </row>
    <row r="7047" spans="59:62" x14ac:dyDescent="0.3">
      <c r="BG7047" s="387"/>
      <c r="BH7047" s="386"/>
      <c r="BI7047" s="386"/>
      <c r="BJ7047" s="46"/>
    </row>
    <row r="7048" spans="59:62" x14ac:dyDescent="0.3">
      <c r="BG7048" s="387"/>
      <c r="BH7048" s="386"/>
      <c r="BI7048" s="386"/>
      <c r="BJ7048" s="46"/>
    </row>
    <row r="7049" spans="59:62" x14ac:dyDescent="0.3">
      <c r="BG7049" s="387"/>
      <c r="BH7049" s="386"/>
      <c r="BI7049" s="386"/>
      <c r="BJ7049" s="46"/>
    </row>
    <row r="7050" spans="59:62" x14ac:dyDescent="0.3">
      <c r="BG7050" s="387"/>
      <c r="BH7050" s="386"/>
      <c r="BI7050" s="386"/>
      <c r="BJ7050" s="46"/>
    </row>
    <row r="7051" spans="59:62" x14ac:dyDescent="0.3">
      <c r="BG7051" s="387"/>
      <c r="BH7051" s="386"/>
      <c r="BI7051" s="386"/>
      <c r="BJ7051" s="46"/>
    </row>
    <row r="7052" spans="59:62" x14ac:dyDescent="0.3">
      <c r="BG7052" s="387"/>
      <c r="BH7052" s="386"/>
      <c r="BI7052" s="386"/>
      <c r="BJ7052" s="46"/>
    </row>
    <row r="7053" spans="59:62" x14ac:dyDescent="0.3">
      <c r="BG7053" s="387"/>
      <c r="BH7053" s="386"/>
      <c r="BI7053" s="386"/>
      <c r="BJ7053" s="46"/>
    </row>
    <row r="7054" spans="59:62" x14ac:dyDescent="0.3">
      <c r="BG7054" s="387"/>
      <c r="BH7054" s="386"/>
      <c r="BI7054" s="386"/>
      <c r="BJ7054" s="46"/>
    </row>
    <row r="7055" spans="59:62" x14ac:dyDescent="0.3">
      <c r="BG7055" s="387"/>
      <c r="BH7055" s="386"/>
      <c r="BI7055" s="386"/>
      <c r="BJ7055" s="46"/>
    </row>
    <row r="7056" spans="59:62" x14ac:dyDescent="0.3">
      <c r="BG7056" s="387"/>
      <c r="BH7056" s="386"/>
      <c r="BI7056" s="386"/>
      <c r="BJ7056" s="46"/>
    </row>
    <row r="7057" spans="59:62" x14ac:dyDescent="0.3">
      <c r="BG7057" s="387"/>
      <c r="BH7057" s="386"/>
      <c r="BI7057" s="386"/>
      <c r="BJ7057" s="46"/>
    </row>
    <row r="7058" spans="59:62" x14ac:dyDescent="0.3">
      <c r="BG7058" s="387"/>
      <c r="BH7058" s="386"/>
      <c r="BI7058" s="386"/>
      <c r="BJ7058" s="46"/>
    </row>
    <row r="7059" spans="59:62" x14ac:dyDescent="0.3">
      <c r="BG7059" s="387"/>
      <c r="BH7059" s="386"/>
      <c r="BI7059" s="386"/>
      <c r="BJ7059" s="46"/>
    </row>
    <row r="7060" spans="59:62" x14ac:dyDescent="0.3">
      <c r="BG7060" s="387"/>
      <c r="BH7060" s="386"/>
      <c r="BI7060" s="386"/>
      <c r="BJ7060" s="46"/>
    </row>
    <row r="7061" spans="59:62" x14ac:dyDescent="0.3">
      <c r="BG7061" s="387"/>
      <c r="BH7061" s="386"/>
      <c r="BI7061" s="386"/>
      <c r="BJ7061" s="46"/>
    </row>
    <row r="7062" spans="59:62" x14ac:dyDescent="0.3">
      <c r="BG7062" s="387"/>
      <c r="BH7062" s="386"/>
      <c r="BI7062" s="386"/>
      <c r="BJ7062" s="46"/>
    </row>
    <row r="7063" spans="59:62" x14ac:dyDescent="0.3">
      <c r="BG7063" s="387"/>
      <c r="BH7063" s="386"/>
      <c r="BI7063" s="386"/>
      <c r="BJ7063" s="46"/>
    </row>
    <row r="7064" spans="59:62" x14ac:dyDescent="0.3">
      <c r="BG7064" s="387"/>
      <c r="BH7064" s="386"/>
      <c r="BI7064" s="386"/>
      <c r="BJ7064" s="46"/>
    </row>
    <row r="7065" spans="59:62" x14ac:dyDescent="0.3">
      <c r="BG7065" s="387"/>
      <c r="BH7065" s="386"/>
      <c r="BI7065" s="386"/>
      <c r="BJ7065" s="46"/>
    </row>
    <row r="7066" spans="59:62" x14ac:dyDescent="0.3">
      <c r="BG7066" s="387"/>
      <c r="BH7066" s="386"/>
      <c r="BI7066" s="386"/>
      <c r="BJ7066" s="46"/>
    </row>
    <row r="7067" spans="59:62" x14ac:dyDescent="0.3">
      <c r="BG7067" s="387"/>
      <c r="BH7067" s="386"/>
      <c r="BI7067" s="386"/>
      <c r="BJ7067" s="46"/>
    </row>
    <row r="7068" spans="59:62" x14ac:dyDescent="0.3">
      <c r="BG7068" s="387"/>
      <c r="BH7068" s="386"/>
      <c r="BI7068" s="386"/>
      <c r="BJ7068" s="46"/>
    </row>
    <row r="7069" spans="59:62" x14ac:dyDescent="0.3">
      <c r="BG7069" s="387"/>
      <c r="BH7069" s="386"/>
      <c r="BI7069" s="386"/>
      <c r="BJ7069" s="46"/>
    </row>
    <row r="7070" spans="59:62" x14ac:dyDescent="0.3">
      <c r="BG7070" s="387"/>
      <c r="BH7070" s="386"/>
      <c r="BI7070" s="386"/>
      <c r="BJ7070" s="46"/>
    </row>
    <row r="7071" spans="59:62" x14ac:dyDescent="0.3">
      <c r="BG7071" s="387"/>
      <c r="BH7071" s="386"/>
      <c r="BI7071" s="386"/>
      <c r="BJ7071" s="46"/>
    </row>
    <row r="7072" spans="59:62" x14ac:dyDescent="0.3">
      <c r="BG7072" s="387"/>
      <c r="BH7072" s="386"/>
      <c r="BI7072" s="386"/>
      <c r="BJ7072" s="46"/>
    </row>
    <row r="7073" spans="59:62" x14ac:dyDescent="0.3">
      <c r="BG7073" s="387"/>
      <c r="BH7073" s="386"/>
      <c r="BI7073" s="386"/>
      <c r="BJ7073" s="46"/>
    </row>
    <row r="7074" spans="59:62" x14ac:dyDescent="0.3">
      <c r="BG7074" s="387"/>
      <c r="BH7074" s="386"/>
      <c r="BI7074" s="386"/>
      <c r="BJ7074" s="46"/>
    </row>
    <row r="7075" spans="59:62" x14ac:dyDescent="0.3">
      <c r="BG7075" s="387"/>
      <c r="BH7075" s="386"/>
      <c r="BI7075" s="386"/>
      <c r="BJ7075" s="46"/>
    </row>
    <row r="7076" spans="59:62" x14ac:dyDescent="0.3">
      <c r="BG7076" s="387"/>
      <c r="BH7076" s="386"/>
      <c r="BI7076" s="386"/>
      <c r="BJ7076" s="46"/>
    </row>
    <row r="7077" spans="59:62" x14ac:dyDescent="0.3">
      <c r="BG7077" s="387"/>
      <c r="BH7077" s="386"/>
      <c r="BI7077" s="386"/>
      <c r="BJ7077" s="46"/>
    </row>
    <row r="7078" spans="59:62" x14ac:dyDescent="0.3">
      <c r="BG7078" s="387"/>
      <c r="BH7078" s="386"/>
      <c r="BI7078" s="386"/>
      <c r="BJ7078" s="46"/>
    </row>
    <row r="7079" spans="59:62" x14ac:dyDescent="0.3">
      <c r="BG7079" s="387"/>
      <c r="BH7079" s="386"/>
      <c r="BI7079" s="386"/>
      <c r="BJ7079" s="46"/>
    </row>
    <row r="7080" spans="59:62" x14ac:dyDescent="0.3">
      <c r="BG7080" s="387"/>
      <c r="BH7080" s="386"/>
      <c r="BI7080" s="386"/>
      <c r="BJ7080" s="46"/>
    </row>
    <row r="7081" spans="59:62" x14ac:dyDescent="0.3">
      <c r="BG7081" s="387"/>
      <c r="BH7081" s="386"/>
      <c r="BI7081" s="386"/>
      <c r="BJ7081" s="46"/>
    </row>
    <row r="7082" spans="59:62" x14ac:dyDescent="0.3">
      <c r="BG7082" s="387"/>
      <c r="BH7082" s="386"/>
      <c r="BI7082" s="386"/>
      <c r="BJ7082" s="46"/>
    </row>
    <row r="7083" spans="59:62" x14ac:dyDescent="0.3">
      <c r="BG7083" s="387"/>
      <c r="BH7083" s="386"/>
      <c r="BI7083" s="386"/>
      <c r="BJ7083" s="46"/>
    </row>
    <row r="7084" spans="59:62" x14ac:dyDescent="0.3">
      <c r="BG7084" s="387"/>
      <c r="BH7084" s="386"/>
      <c r="BI7084" s="386"/>
      <c r="BJ7084" s="46"/>
    </row>
    <row r="7085" spans="59:62" x14ac:dyDescent="0.3">
      <c r="BG7085" s="387"/>
      <c r="BH7085" s="386"/>
      <c r="BI7085" s="386"/>
      <c r="BJ7085" s="46"/>
    </row>
    <row r="7086" spans="59:62" x14ac:dyDescent="0.3">
      <c r="BG7086" s="387"/>
      <c r="BH7086" s="386"/>
      <c r="BI7086" s="386"/>
      <c r="BJ7086" s="46"/>
    </row>
    <row r="7087" spans="59:62" x14ac:dyDescent="0.3">
      <c r="BG7087" s="387"/>
      <c r="BH7087" s="386"/>
      <c r="BI7087" s="386"/>
      <c r="BJ7087" s="46"/>
    </row>
    <row r="7088" spans="59:62" x14ac:dyDescent="0.3">
      <c r="BG7088" s="387"/>
      <c r="BH7088" s="386"/>
      <c r="BI7088" s="386"/>
      <c r="BJ7088" s="46"/>
    </row>
    <row r="7089" spans="59:62" x14ac:dyDescent="0.3">
      <c r="BG7089" s="387"/>
      <c r="BH7089" s="386"/>
      <c r="BI7089" s="386"/>
      <c r="BJ7089" s="46"/>
    </row>
    <row r="7090" spans="59:62" x14ac:dyDescent="0.3">
      <c r="BG7090" s="387"/>
      <c r="BH7090" s="386"/>
      <c r="BI7090" s="386"/>
      <c r="BJ7090" s="46"/>
    </row>
    <row r="7091" spans="59:62" x14ac:dyDescent="0.3">
      <c r="BG7091" s="387"/>
      <c r="BH7091" s="386"/>
      <c r="BI7091" s="386"/>
      <c r="BJ7091" s="46"/>
    </row>
    <row r="7092" spans="59:62" x14ac:dyDescent="0.3">
      <c r="BG7092" s="387"/>
      <c r="BH7092" s="386"/>
      <c r="BI7092" s="386"/>
      <c r="BJ7092" s="46"/>
    </row>
    <row r="7093" spans="59:62" x14ac:dyDescent="0.3">
      <c r="BG7093" s="387"/>
      <c r="BH7093" s="386"/>
      <c r="BI7093" s="386"/>
      <c r="BJ7093" s="46"/>
    </row>
    <row r="7094" spans="59:62" x14ac:dyDescent="0.3">
      <c r="BG7094" s="387"/>
      <c r="BH7094" s="386"/>
      <c r="BI7094" s="386"/>
      <c r="BJ7094" s="46"/>
    </row>
    <row r="7095" spans="59:62" x14ac:dyDescent="0.3">
      <c r="BG7095" s="387"/>
      <c r="BH7095" s="386"/>
      <c r="BI7095" s="386"/>
      <c r="BJ7095" s="46"/>
    </row>
    <row r="7096" spans="59:62" x14ac:dyDescent="0.3">
      <c r="BG7096" s="387"/>
      <c r="BH7096" s="386"/>
      <c r="BI7096" s="386"/>
      <c r="BJ7096" s="46"/>
    </row>
    <row r="7097" spans="59:62" x14ac:dyDescent="0.3">
      <c r="BG7097" s="387"/>
      <c r="BH7097" s="386"/>
      <c r="BI7097" s="386"/>
      <c r="BJ7097" s="46"/>
    </row>
    <row r="7098" spans="59:62" x14ac:dyDescent="0.3">
      <c r="BG7098" s="387"/>
      <c r="BH7098" s="386"/>
      <c r="BI7098" s="386"/>
      <c r="BJ7098" s="46"/>
    </row>
    <row r="7099" spans="59:62" x14ac:dyDescent="0.3">
      <c r="BG7099" s="387"/>
      <c r="BH7099" s="386"/>
      <c r="BI7099" s="386"/>
      <c r="BJ7099" s="46"/>
    </row>
    <row r="7100" spans="59:62" x14ac:dyDescent="0.3">
      <c r="BG7100" s="387"/>
      <c r="BH7100" s="386"/>
      <c r="BI7100" s="386"/>
      <c r="BJ7100" s="46"/>
    </row>
    <row r="7101" spans="59:62" x14ac:dyDescent="0.3">
      <c r="BG7101" s="387"/>
      <c r="BH7101" s="386"/>
      <c r="BI7101" s="386"/>
      <c r="BJ7101" s="46"/>
    </row>
    <row r="7102" spans="59:62" x14ac:dyDescent="0.3">
      <c r="BG7102" s="387"/>
      <c r="BH7102" s="386"/>
      <c r="BI7102" s="386"/>
      <c r="BJ7102" s="46"/>
    </row>
    <row r="7103" spans="59:62" x14ac:dyDescent="0.3">
      <c r="BG7103" s="387"/>
      <c r="BH7103" s="386"/>
      <c r="BI7103" s="386"/>
      <c r="BJ7103" s="46"/>
    </row>
    <row r="7104" spans="59:62" x14ac:dyDescent="0.3">
      <c r="BG7104" s="387"/>
      <c r="BH7104" s="386"/>
      <c r="BI7104" s="386"/>
      <c r="BJ7104" s="46"/>
    </row>
    <row r="7105" spans="59:62" x14ac:dyDescent="0.3">
      <c r="BG7105" s="387"/>
      <c r="BH7105" s="386"/>
      <c r="BI7105" s="386"/>
      <c r="BJ7105" s="46"/>
    </row>
    <row r="7106" spans="59:62" x14ac:dyDescent="0.3">
      <c r="BG7106" s="387"/>
      <c r="BH7106" s="386"/>
      <c r="BI7106" s="386"/>
      <c r="BJ7106" s="46"/>
    </row>
    <row r="7107" spans="59:62" x14ac:dyDescent="0.3">
      <c r="BG7107" s="387"/>
      <c r="BH7107" s="386"/>
      <c r="BI7107" s="386"/>
      <c r="BJ7107" s="46"/>
    </row>
    <row r="7108" spans="59:62" x14ac:dyDescent="0.3">
      <c r="BG7108" s="387"/>
      <c r="BH7108" s="386"/>
      <c r="BI7108" s="386"/>
      <c r="BJ7108" s="46"/>
    </row>
    <row r="7109" spans="59:62" x14ac:dyDescent="0.3">
      <c r="BG7109" s="387"/>
      <c r="BH7109" s="386"/>
      <c r="BI7109" s="386"/>
      <c r="BJ7109" s="46"/>
    </row>
    <row r="7110" spans="59:62" x14ac:dyDescent="0.3">
      <c r="BG7110" s="387"/>
      <c r="BH7110" s="386"/>
      <c r="BI7110" s="386"/>
      <c r="BJ7110" s="46"/>
    </row>
    <row r="7111" spans="59:62" x14ac:dyDescent="0.3">
      <c r="BG7111" s="387"/>
      <c r="BH7111" s="386"/>
      <c r="BI7111" s="386"/>
      <c r="BJ7111" s="46"/>
    </row>
    <row r="7112" spans="59:62" x14ac:dyDescent="0.3">
      <c r="BG7112" s="387"/>
      <c r="BH7112" s="386"/>
      <c r="BI7112" s="386"/>
      <c r="BJ7112" s="46"/>
    </row>
    <row r="7113" spans="59:62" x14ac:dyDescent="0.3">
      <c r="BG7113" s="387"/>
      <c r="BH7113" s="386"/>
      <c r="BI7113" s="386"/>
      <c r="BJ7113" s="46"/>
    </row>
    <row r="7114" spans="59:62" x14ac:dyDescent="0.3">
      <c r="BG7114" s="387"/>
      <c r="BH7114" s="386"/>
      <c r="BI7114" s="386"/>
      <c r="BJ7114" s="46"/>
    </row>
    <row r="7115" spans="59:62" x14ac:dyDescent="0.3">
      <c r="BG7115" s="387"/>
      <c r="BH7115" s="386"/>
      <c r="BI7115" s="386"/>
      <c r="BJ7115" s="46"/>
    </row>
    <row r="7116" spans="59:62" x14ac:dyDescent="0.3">
      <c r="BG7116" s="387"/>
      <c r="BH7116" s="386"/>
      <c r="BI7116" s="386"/>
      <c r="BJ7116" s="46"/>
    </row>
    <row r="7117" spans="59:62" x14ac:dyDescent="0.3">
      <c r="BG7117" s="387"/>
      <c r="BH7117" s="386"/>
      <c r="BI7117" s="386"/>
      <c r="BJ7117" s="46"/>
    </row>
    <row r="7118" spans="59:62" x14ac:dyDescent="0.3">
      <c r="BG7118" s="387"/>
      <c r="BH7118" s="386"/>
      <c r="BI7118" s="386"/>
      <c r="BJ7118" s="46"/>
    </row>
    <row r="7119" spans="59:62" x14ac:dyDescent="0.3">
      <c r="BG7119" s="387"/>
      <c r="BH7119" s="386"/>
      <c r="BI7119" s="386"/>
      <c r="BJ7119" s="46"/>
    </row>
    <row r="7120" spans="59:62" x14ac:dyDescent="0.3">
      <c r="BG7120" s="387"/>
      <c r="BH7120" s="386"/>
      <c r="BI7120" s="386"/>
      <c r="BJ7120" s="46"/>
    </row>
    <row r="7121" spans="59:62" x14ac:dyDescent="0.3">
      <c r="BG7121" s="387"/>
      <c r="BH7121" s="386"/>
      <c r="BI7121" s="386"/>
      <c r="BJ7121" s="46"/>
    </row>
    <row r="7122" spans="59:62" x14ac:dyDescent="0.3">
      <c r="BG7122" s="387"/>
      <c r="BH7122" s="386"/>
      <c r="BI7122" s="386"/>
      <c r="BJ7122" s="46"/>
    </row>
    <row r="7123" spans="59:62" x14ac:dyDescent="0.3">
      <c r="BG7123" s="387"/>
      <c r="BH7123" s="386"/>
      <c r="BI7123" s="386"/>
      <c r="BJ7123" s="46"/>
    </row>
    <row r="7124" spans="59:62" x14ac:dyDescent="0.3">
      <c r="BG7124" s="387"/>
      <c r="BH7124" s="386"/>
      <c r="BI7124" s="386"/>
      <c r="BJ7124" s="46"/>
    </row>
    <row r="7125" spans="59:62" x14ac:dyDescent="0.3">
      <c r="BG7125" s="387"/>
      <c r="BH7125" s="386"/>
      <c r="BI7125" s="386"/>
      <c r="BJ7125" s="46"/>
    </row>
    <row r="7126" spans="59:62" x14ac:dyDescent="0.3">
      <c r="BG7126" s="387"/>
      <c r="BH7126" s="386"/>
      <c r="BI7126" s="386"/>
      <c r="BJ7126" s="46"/>
    </row>
    <row r="7127" spans="59:62" x14ac:dyDescent="0.3">
      <c r="BG7127" s="387"/>
      <c r="BH7127" s="386"/>
      <c r="BI7127" s="386"/>
      <c r="BJ7127" s="46"/>
    </row>
    <row r="7128" spans="59:62" x14ac:dyDescent="0.3">
      <c r="BG7128" s="387"/>
      <c r="BH7128" s="386"/>
      <c r="BI7128" s="386"/>
      <c r="BJ7128" s="46"/>
    </row>
    <row r="7129" spans="59:62" x14ac:dyDescent="0.3">
      <c r="BG7129" s="387"/>
      <c r="BH7129" s="386"/>
      <c r="BI7129" s="386"/>
      <c r="BJ7129" s="46"/>
    </row>
    <row r="7130" spans="59:62" x14ac:dyDescent="0.3">
      <c r="BG7130" s="387"/>
      <c r="BH7130" s="386"/>
      <c r="BI7130" s="386"/>
      <c r="BJ7130" s="46"/>
    </row>
    <row r="7131" spans="59:62" x14ac:dyDescent="0.3">
      <c r="BG7131" s="387"/>
      <c r="BH7131" s="386"/>
      <c r="BI7131" s="386"/>
      <c r="BJ7131" s="46"/>
    </row>
    <row r="7132" spans="59:62" x14ac:dyDescent="0.3">
      <c r="BG7132" s="387"/>
      <c r="BH7132" s="386"/>
      <c r="BI7132" s="386"/>
      <c r="BJ7132" s="46"/>
    </row>
    <row r="7133" spans="59:62" x14ac:dyDescent="0.3">
      <c r="BG7133" s="387"/>
      <c r="BH7133" s="386"/>
      <c r="BI7133" s="386"/>
      <c r="BJ7133" s="46"/>
    </row>
    <row r="7134" spans="59:62" x14ac:dyDescent="0.3">
      <c r="BG7134" s="387"/>
      <c r="BH7134" s="386"/>
      <c r="BI7134" s="386"/>
      <c r="BJ7134" s="46"/>
    </row>
    <row r="7135" spans="59:62" x14ac:dyDescent="0.3">
      <c r="BG7135" s="387"/>
      <c r="BH7135" s="386"/>
      <c r="BI7135" s="386"/>
      <c r="BJ7135" s="46"/>
    </row>
    <row r="7136" spans="59:62" x14ac:dyDescent="0.3">
      <c r="BG7136" s="387"/>
      <c r="BH7136" s="386"/>
      <c r="BI7136" s="386"/>
      <c r="BJ7136" s="46"/>
    </row>
    <row r="7137" spans="59:62" x14ac:dyDescent="0.3">
      <c r="BG7137" s="387"/>
      <c r="BH7137" s="386"/>
      <c r="BI7137" s="386"/>
      <c r="BJ7137" s="46"/>
    </row>
    <row r="7138" spans="59:62" x14ac:dyDescent="0.3">
      <c r="BG7138" s="387"/>
      <c r="BH7138" s="386"/>
      <c r="BI7138" s="386"/>
      <c r="BJ7138" s="46"/>
    </row>
    <row r="7139" spans="59:62" x14ac:dyDescent="0.3">
      <c r="BG7139" s="387"/>
      <c r="BH7139" s="386"/>
      <c r="BI7139" s="386"/>
      <c r="BJ7139" s="46"/>
    </row>
    <row r="7140" spans="59:62" x14ac:dyDescent="0.3">
      <c r="BG7140" s="387"/>
      <c r="BH7140" s="386"/>
      <c r="BI7140" s="386"/>
      <c r="BJ7140" s="46"/>
    </row>
    <row r="7141" spans="59:62" x14ac:dyDescent="0.3">
      <c r="BG7141" s="387"/>
      <c r="BH7141" s="386"/>
      <c r="BI7141" s="386"/>
      <c r="BJ7141" s="46"/>
    </row>
    <row r="7142" spans="59:62" x14ac:dyDescent="0.3">
      <c r="BG7142" s="387"/>
      <c r="BH7142" s="386"/>
      <c r="BI7142" s="386"/>
      <c r="BJ7142" s="46"/>
    </row>
    <row r="7143" spans="59:62" x14ac:dyDescent="0.3">
      <c r="BG7143" s="387"/>
      <c r="BH7143" s="386"/>
      <c r="BI7143" s="386"/>
      <c r="BJ7143" s="46"/>
    </row>
    <row r="7144" spans="59:62" x14ac:dyDescent="0.3">
      <c r="BG7144" s="387"/>
      <c r="BH7144" s="386"/>
      <c r="BI7144" s="386"/>
      <c r="BJ7144" s="46"/>
    </row>
    <row r="7145" spans="59:62" x14ac:dyDescent="0.3">
      <c r="BG7145" s="387"/>
      <c r="BH7145" s="386"/>
      <c r="BI7145" s="386"/>
      <c r="BJ7145" s="46"/>
    </row>
    <row r="7146" spans="59:62" x14ac:dyDescent="0.3">
      <c r="BG7146" s="387"/>
      <c r="BH7146" s="386"/>
      <c r="BI7146" s="386"/>
      <c r="BJ7146" s="46"/>
    </row>
    <row r="7147" spans="59:62" x14ac:dyDescent="0.3">
      <c r="BG7147" s="387"/>
      <c r="BH7147" s="386"/>
      <c r="BI7147" s="386"/>
      <c r="BJ7147" s="46"/>
    </row>
    <row r="7148" spans="59:62" x14ac:dyDescent="0.3">
      <c r="BG7148" s="387"/>
      <c r="BH7148" s="386"/>
      <c r="BI7148" s="386"/>
      <c r="BJ7148" s="46"/>
    </row>
    <row r="7149" spans="59:62" x14ac:dyDescent="0.3">
      <c r="BG7149" s="387"/>
      <c r="BH7149" s="386"/>
      <c r="BI7149" s="386"/>
      <c r="BJ7149" s="46"/>
    </row>
    <row r="7150" spans="59:62" x14ac:dyDescent="0.3">
      <c r="BG7150" s="387"/>
      <c r="BH7150" s="386"/>
      <c r="BI7150" s="386"/>
      <c r="BJ7150" s="46"/>
    </row>
    <row r="7151" spans="59:62" x14ac:dyDescent="0.3">
      <c r="BG7151" s="387"/>
      <c r="BH7151" s="386"/>
      <c r="BI7151" s="386"/>
      <c r="BJ7151" s="46"/>
    </row>
    <row r="7152" spans="59:62" x14ac:dyDescent="0.3">
      <c r="BG7152" s="387"/>
      <c r="BH7152" s="386"/>
      <c r="BI7152" s="386"/>
      <c r="BJ7152" s="46"/>
    </row>
    <row r="7153" spans="59:62" x14ac:dyDescent="0.3">
      <c r="BG7153" s="387"/>
      <c r="BH7153" s="386"/>
      <c r="BI7153" s="386"/>
      <c r="BJ7153" s="46"/>
    </row>
    <row r="7154" spans="59:62" x14ac:dyDescent="0.3">
      <c r="BG7154" s="387"/>
      <c r="BH7154" s="386"/>
      <c r="BI7154" s="386"/>
      <c r="BJ7154" s="46"/>
    </row>
    <row r="7155" spans="59:62" x14ac:dyDescent="0.3">
      <c r="BG7155" s="387"/>
      <c r="BH7155" s="386"/>
      <c r="BI7155" s="386"/>
      <c r="BJ7155" s="46"/>
    </row>
    <row r="7156" spans="59:62" x14ac:dyDescent="0.3">
      <c r="BG7156" s="387"/>
      <c r="BH7156" s="386"/>
      <c r="BI7156" s="386"/>
      <c r="BJ7156" s="46"/>
    </row>
    <row r="7157" spans="59:62" x14ac:dyDescent="0.3">
      <c r="BG7157" s="387"/>
      <c r="BH7157" s="386"/>
      <c r="BI7157" s="386"/>
      <c r="BJ7157" s="46"/>
    </row>
    <row r="7158" spans="59:62" x14ac:dyDescent="0.3">
      <c r="BG7158" s="387"/>
      <c r="BH7158" s="386"/>
      <c r="BI7158" s="386"/>
      <c r="BJ7158" s="46"/>
    </row>
    <row r="7159" spans="59:62" x14ac:dyDescent="0.3">
      <c r="BG7159" s="387"/>
      <c r="BH7159" s="386"/>
      <c r="BI7159" s="386"/>
      <c r="BJ7159" s="46"/>
    </row>
    <row r="7160" spans="59:62" x14ac:dyDescent="0.3">
      <c r="BG7160" s="387"/>
      <c r="BH7160" s="386"/>
      <c r="BI7160" s="386"/>
      <c r="BJ7160" s="46"/>
    </row>
    <row r="7161" spans="59:62" x14ac:dyDescent="0.3">
      <c r="BG7161" s="387"/>
      <c r="BH7161" s="386"/>
      <c r="BI7161" s="386"/>
      <c r="BJ7161" s="46"/>
    </row>
    <row r="7162" spans="59:62" x14ac:dyDescent="0.3">
      <c r="BG7162" s="387"/>
      <c r="BH7162" s="386"/>
      <c r="BI7162" s="386"/>
      <c r="BJ7162" s="46"/>
    </row>
    <row r="7163" spans="59:62" x14ac:dyDescent="0.3">
      <c r="BG7163" s="387"/>
      <c r="BH7163" s="386"/>
      <c r="BI7163" s="386"/>
      <c r="BJ7163" s="46"/>
    </row>
    <row r="7164" spans="59:62" x14ac:dyDescent="0.3">
      <c r="BG7164" s="387"/>
      <c r="BH7164" s="386"/>
      <c r="BI7164" s="386"/>
      <c r="BJ7164" s="46"/>
    </row>
    <row r="7165" spans="59:62" x14ac:dyDescent="0.3">
      <c r="BG7165" s="387"/>
      <c r="BH7165" s="386"/>
      <c r="BI7165" s="386"/>
      <c r="BJ7165" s="46"/>
    </row>
    <row r="7166" spans="59:62" x14ac:dyDescent="0.3">
      <c r="BG7166" s="387"/>
      <c r="BH7166" s="386"/>
      <c r="BI7166" s="386"/>
      <c r="BJ7166" s="46"/>
    </row>
    <row r="7167" spans="59:62" x14ac:dyDescent="0.3">
      <c r="BG7167" s="387"/>
      <c r="BH7167" s="386"/>
      <c r="BI7167" s="386"/>
      <c r="BJ7167" s="46"/>
    </row>
    <row r="7168" spans="59:62" x14ac:dyDescent="0.3">
      <c r="BG7168" s="387"/>
      <c r="BH7168" s="386"/>
      <c r="BI7168" s="386"/>
      <c r="BJ7168" s="46"/>
    </row>
    <row r="7169" spans="59:62" x14ac:dyDescent="0.3">
      <c r="BG7169" s="387"/>
      <c r="BH7169" s="386"/>
      <c r="BI7169" s="386"/>
      <c r="BJ7169" s="46"/>
    </row>
    <row r="7170" spans="59:62" x14ac:dyDescent="0.3">
      <c r="BG7170" s="387"/>
      <c r="BH7170" s="386"/>
      <c r="BI7170" s="386"/>
      <c r="BJ7170" s="46"/>
    </row>
    <row r="7171" spans="59:62" x14ac:dyDescent="0.3">
      <c r="BG7171" s="387"/>
      <c r="BH7171" s="386"/>
      <c r="BI7171" s="386"/>
      <c r="BJ7171" s="46"/>
    </row>
    <row r="7172" spans="59:62" x14ac:dyDescent="0.3">
      <c r="BG7172" s="387"/>
      <c r="BH7172" s="386"/>
      <c r="BI7172" s="386"/>
      <c r="BJ7172" s="46"/>
    </row>
    <row r="7173" spans="59:62" x14ac:dyDescent="0.3">
      <c r="BG7173" s="387"/>
      <c r="BH7173" s="386"/>
      <c r="BI7173" s="386"/>
      <c r="BJ7173" s="46"/>
    </row>
    <row r="7174" spans="59:62" x14ac:dyDescent="0.3">
      <c r="BG7174" s="387"/>
      <c r="BH7174" s="386"/>
      <c r="BI7174" s="386"/>
      <c r="BJ7174" s="46"/>
    </row>
    <row r="7175" spans="59:62" x14ac:dyDescent="0.3">
      <c r="BG7175" s="387"/>
      <c r="BH7175" s="386"/>
      <c r="BI7175" s="386"/>
      <c r="BJ7175" s="46"/>
    </row>
    <row r="7176" spans="59:62" x14ac:dyDescent="0.3">
      <c r="BG7176" s="387"/>
      <c r="BH7176" s="386"/>
      <c r="BI7176" s="386"/>
      <c r="BJ7176" s="46"/>
    </row>
    <row r="7177" spans="59:62" x14ac:dyDescent="0.3">
      <c r="BG7177" s="387"/>
      <c r="BH7177" s="386"/>
      <c r="BI7177" s="386"/>
      <c r="BJ7177" s="46"/>
    </row>
    <row r="7178" spans="59:62" x14ac:dyDescent="0.3">
      <c r="BG7178" s="387"/>
      <c r="BH7178" s="386"/>
      <c r="BI7178" s="386"/>
      <c r="BJ7178" s="46"/>
    </row>
    <row r="7179" spans="59:62" x14ac:dyDescent="0.3">
      <c r="BG7179" s="387"/>
      <c r="BH7179" s="386"/>
      <c r="BI7179" s="386"/>
      <c r="BJ7179" s="46"/>
    </row>
    <row r="7180" spans="59:62" x14ac:dyDescent="0.3">
      <c r="BG7180" s="387"/>
      <c r="BH7180" s="386"/>
      <c r="BI7180" s="386"/>
      <c r="BJ7180" s="46"/>
    </row>
    <row r="7181" spans="59:62" x14ac:dyDescent="0.3">
      <c r="BG7181" s="387"/>
      <c r="BH7181" s="386"/>
      <c r="BI7181" s="386"/>
      <c r="BJ7181" s="46"/>
    </row>
    <row r="7182" spans="59:62" x14ac:dyDescent="0.3">
      <c r="BG7182" s="387"/>
      <c r="BH7182" s="386"/>
      <c r="BI7182" s="386"/>
      <c r="BJ7182" s="46"/>
    </row>
    <row r="7183" spans="59:62" x14ac:dyDescent="0.3">
      <c r="BG7183" s="387"/>
      <c r="BH7183" s="386"/>
      <c r="BI7183" s="386"/>
      <c r="BJ7183" s="46"/>
    </row>
    <row r="7184" spans="59:62" x14ac:dyDescent="0.3">
      <c r="BG7184" s="387"/>
      <c r="BH7184" s="386"/>
      <c r="BI7184" s="386"/>
      <c r="BJ7184" s="46"/>
    </row>
    <row r="7185" spans="59:62" x14ac:dyDescent="0.3">
      <c r="BG7185" s="387"/>
      <c r="BH7185" s="386"/>
      <c r="BI7185" s="386"/>
      <c r="BJ7185" s="46"/>
    </row>
    <row r="7186" spans="59:62" x14ac:dyDescent="0.3">
      <c r="BG7186" s="387"/>
      <c r="BH7186" s="386"/>
      <c r="BI7186" s="386"/>
      <c r="BJ7186" s="46"/>
    </row>
    <row r="7187" spans="59:62" x14ac:dyDescent="0.3">
      <c r="BG7187" s="387"/>
      <c r="BH7187" s="386"/>
      <c r="BI7187" s="386"/>
      <c r="BJ7187" s="46"/>
    </row>
    <row r="7188" spans="59:62" x14ac:dyDescent="0.3">
      <c r="BG7188" s="387"/>
      <c r="BH7188" s="386"/>
      <c r="BI7188" s="386"/>
      <c r="BJ7188" s="46"/>
    </row>
    <row r="7189" spans="59:62" x14ac:dyDescent="0.3">
      <c r="BG7189" s="387"/>
      <c r="BH7189" s="386"/>
      <c r="BI7189" s="386"/>
      <c r="BJ7189" s="46"/>
    </row>
    <row r="7190" spans="59:62" x14ac:dyDescent="0.3">
      <c r="BG7190" s="387"/>
      <c r="BH7190" s="386"/>
      <c r="BI7190" s="386"/>
      <c r="BJ7190" s="46"/>
    </row>
    <row r="7191" spans="59:62" x14ac:dyDescent="0.3">
      <c r="BG7191" s="387"/>
      <c r="BH7191" s="386"/>
      <c r="BI7191" s="386"/>
      <c r="BJ7191" s="46"/>
    </row>
    <row r="7192" spans="59:62" x14ac:dyDescent="0.3">
      <c r="BG7192" s="387"/>
      <c r="BH7192" s="386"/>
      <c r="BI7192" s="386"/>
      <c r="BJ7192" s="46"/>
    </row>
    <row r="7193" spans="59:62" x14ac:dyDescent="0.3">
      <c r="BG7193" s="387"/>
      <c r="BH7193" s="386"/>
      <c r="BI7193" s="386"/>
      <c r="BJ7193" s="46"/>
    </row>
    <row r="7194" spans="59:62" x14ac:dyDescent="0.3">
      <c r="BG7194" s="387"/>
      <c r="BH7194" s="386"/>
      <c r="BI7194" s="386"/>
      <c r="BJ7194" s="46"/>
    </row>
    <row r="7195" spans="59:62" x14ac:dyDescent="0.3">
      <c r="BG7195" s="387"/>
      <c r="BH7195" s="386"/>
      <c r="BI7195" s="386"/>
      <c r="BJ7195" s="46"/>
    </row>
    <row r="7196" spans="59:62" x14ac:dyDescent="0.3">
      <c r="BG7196" s="387"/>
      <c r="BH7196" s="386"/>
      <c r="BI7196" s="386"/>
      <c r="BJ7196" s="46"/>
    </row>
    <row r="7197" spans="59:62" x14ac:dyDescent="0.3">
      <c r="BG7197" s="387"/>
      <c r="BH7197" s="386"/>
      <c r="BI7197" s="386"/>
      <c r="BJ7197" s="46"/>
    </row>
    <row r="7198" spans="59:62" x14ac:dyDescent="0.3">
      <c r="BG7198" s="387"/>
      <c r="BH7198" s="386"/>
      <c r="BI7198" s="386"/>
      <c r="BJ7198" s="46"/>
    </row>
    <row r="7199" spans="59:62" x14ac:dyDescent="0.3">
      <c r="BG7199" s="387"/>
      <c r="BH7199" s="386"/>
      <c r="BI7199" s="386"/>
      <c r="BJ7199" s="46"/>
    </row>
    <row r="7200" spans="59:62" x14ac:dyDescent="0.3">
      <c r="BG7200" s="387"/>
      <c r="BH7200" s="386"/>
      <c r="BI7200" s="386"/>
      <c r="BJ7200" s="46"/>
    </row>
    <row r="7201" spans="59:62" x14ac:dyDescent="0.3">
      <c r="BG7201" s="387"/>
      <c r="BH7201" s="386"/>
      <c r="BI7201" s="386"/>
      <c r="BJ7201" s="46"/>
    </row>
    <row r="7202" spans="59:62" x14ac:dyDescent="0.3">
      <c r="BG7202" s="387"/>
      <c r="BH7202" s="386"/>
      <c r="BI7202" s="386"/>
      <c r="BJ7202" s="46"/>
    </row>
    <row r="7203" spans="59:62" x14ac:dyDescent="0.3">
      <c r="BG7203" s="387"/>
      <c r="BH7203" s="386"/>
      <c r="BI7203" s="386"/>
      <c r="BJ7203" s="46"/>
    </row>
    <row r="7204" spans="59:62" x14ac:dyDescent="0.3">
      <c r="BG7204" s="387"/>
      <c r="BH7204" s="386"/>
      <c r="BI7204" s="386"/>
      <c r="BJ7204" s="46"/>
    </row>
    <row r="7205" spans="59:62" x14ac:dyDescent="0.3">
      <c r="BG7205" s="387"/>
      <c r="BH7205" s="386"/>
      <c r="BI7205" s="386"/>
      <c r="BJ7205" s="46"/>
    </row>
    <row r="7206" spans="59:62" x14ac:dyDescent="0.3">
      <c r="BG7206" s="387"/>
      <c r="BH7206" s="386"/>
      <c r="BI7206" s="386"/>
      <c r="BJ7206" s="46"/>
    </row>
    <row r="7207" spans="59:62" x14ac:dyDescent="0.3">
      <c r="BG7207" s="387"/>
      <c r="BH7207" s="386"/>
      <c r="BI7207" s="386"/>
      <c r="BJ7207" s="46"/>
    </row>
    <row r="7208" spans="59:62" x14ac:dyDescent="0.3">
      <c r="BG7208" s="387"/>
      <c r="BH7208" s="386"/>
      <c r="BI7208" s="386"/>
      <c r="BJ7208" s="46"/>
    </row>
    <row r="7209" spans="59:62" x14ac:dyDescent="0.3">
      <c r="BG7209" s="387"/>
      <c r="BH7209" s="386"/>
      <c r="BI7209" s="386"/>
      <c r="BJ7209" s="46"/>
    </row>
    <row r="7210" spans="59:62" x14ac:dyDescent="0.3">
      <c r="BG7210" s="387"/>
      <c r="BH7210" s="386"/>
      <c r="BI7210" s="386"/>
      <c r="BJ7210" s="46"/>
    </row>
    <row r="7211" spans="59:62" x14ac:dyDescent="0.3">
      <c r="BG7211" s="387"/>
      <c r="BH7211" s="386"/>
      <c r="BI7211" s="386"/>
      <c r="BJ7211" s="46"/>
    </row>
    <row r="7212" spans="59:62" x14ac:dyDescent="0.3">
      <c r="BG7212" s="387"/>
      <c r="BH7212" s="386"/>
      <c r="BI7212" s="386"/>
      <c r="BJ7212" s="46"/>
    </row>
    <row r="7213" spans="59:62" x14ac:dyDescent="0.3">
      <c r="BG7213" s="387"/>
      <c r="BH7213" s="386"/>
      <c r="BI7213" s="386"/>
      <c r="BJ7213" s="46"/>
    </row>
    <row r="7214" spans="59:62" x14ac:dyDescent="0.3">
      <c r="BG7214" s="387"/>
      <c r="BH7214" s="386"/>
      <c r="BI7214" s="386"/>
      <c r="BJ7214" s="46"/>
    </row>
    <row r="7215" spans="59:62" x14ac:dyDescent="0.3">
      <c r="BG7215" s="387"/>
      <c r="BH7215" s="386"/>
      <c r="BI7215" s="386"/>
      <c r="BJ7215" s="46"/>
    </row>
    <row r="7216" spans="59:62" x14ac:dyDescent="0.3">
      <c r="BG7216" s="387"/>
      <c r="BH7216" s="386"/>
      <c r="BI7216" s="386"/>
      <c r="BJ7216" s="46"/>
    </row>
    <row r="7217" spans="59:62" x14ac:dyDescent="0.3">
      <c r="BG7217" s="387"/>
      <c r="BH7217" s="386"/>
      <c r="BI7217" s="386"/>
      <c r="BJ7217" s="46"/>
    </row>
    <row r="7218" spans="59:62" x14ac:dyDescent="0.3">
      <c r="BG7218" s="387"/>
      <c r="BH7218" s="386"/>
      <c r="BI7218" s="386"/>
      <c r="BJ7218" s="46"/>
    </row>
    <row r="7219" spans="59:62" x14ac:dyDescent="0.3">
      <c r="BG7219" s="387"/>
      <c r="BH7219" s="386"/>
      <c r="BI7219" s="386"/>
      <c r="BJ7219" s="46"/>
    </row>
    <row r="7220" spans="59:62" x14ac:dyDescent="0.3">
      <c r="BG7220" s="387"/>
      <c r="BH7220" s="386"/>
      <c r="BI7220" s="386"/>
      <c r="BJ7220" s="46"/>
    </row>
    <row r="7221" spans="59:62" x14ac:dyDescent="0.3">
      <c r="BG7221" s="387"/>
      <c r="BH7221" s="386"/>
      <c r="BI7221" s="386"/>
      <c r="BJ7221" s="46"/>
    </row>
    <row r="7222" spans="59:62" x14ac:dyDescent="0.3">
      <c r="BG7222" s="387"/>
      <c r="BH7222" s="386"/>
      <c r="BI7222" s="386"/>
      <c r="BJ7222" s="46"/>
    </row>
    <row r="7223" spans="59:62" x14ac:dyDescent="0.3">
      <c r="BG7223" s="387"/>
      <c r="BH7223" s="386"/>
      <c r="BI7223" s="386"/>
      <c r="BJ7223" s="46"/>
    </row>
    <row r="7224" spans="59:62" x14ac:dyDescent="0.3">
      <c r="BG7224" s="387"/>
      <c r="BH7224" s="386"/>
      <c r="BI7224" s="386"/>
      <c r="BJ7224" s="46"/>
    </row>
    <row r="7225" spans="59:62" x14ac:dyDescent="0.3">
      <c r="BG7225" s="387"/>
      <c r="BH7225" s="386"/>
      <c r="BI7225" s="386"/>
      <c r="BJ7225" s="46"/>
    </row>
    <row r="7226" spans="59:62" x14ac:dyDescent="0.3">
      <c r="BG7226" s="387"/>
      <c r="BH7226" s="386"/>
      <c r="BI7226" s="386"/>
      <c r="BJ7226" s="46"/>
    </row>
    <row r="7227" spans="59:62" x14ac:dyDescent="0.3">
      <c r="BG7227" s="387"/>
      <c r="BH7227" s="386"/>
      <c r="BI7227" s="386"/>
      <c r="BJ7227" s="46"/>
    </row>
    <row r="7228" spans="59:62" x14ac:dyDescent="0.3">
      <c r="BG7228" s="387"/>
      <c r="BH7228" s="386"/>
      <c r="BI7228" s="386"/>
      <c r="BJ7228" s="46"/>
    </row>
    <row r="7229" spans="59:62" x14ac:dyDescent="0.3">
      <c r="BG7229" s="387"/>
      <c r="BH7229" s="386"/>
      <c r="BI7229" s="386"/>
      <c r="BJ7229" s="46"/>
    </row>
    <row r="7230" spans="59:62" x14ac:dyDescent="0.3">
      <c r="BG7230" s="387"/>
      <c r="BH7230" s="386"/>
      <c r="BI7230" s="386"/>
      <c r="BJ7230" s="46"/>
    </row>
    <row r="7231" spans="59:62" x14ac:dyDescent="0.3">
      <c r="BG7231" s="387"/>
      <c r="BH7231" s="386"/>
      <c r="BI7231" s="386"/>
      <c r="BJ7231" s="46"/>
    </row>
    <row r="7232" spans="59:62" x14ac:dyDescent="0.3">
      <c r="BG7232" s="387"/>
      <c r="BH7232" s="386"/>
      <c r="BI7232" s="386"/>
      <c r="BJ7232" s="46"/>
    </row>
    <row r="7233" spans="59:62" x14ac:dyDescent="0.3">
      <c r="BG7233" s="387"/>
      <c r="BH7233" s="386"/>
      <c r="BI7233" s="386"/>
      <c r="BJ7233" s="46"/>
    </row>
    <row r="7234" spans="59:62" x14ac:dyDescent="0.3">
      <c r="BG7234" s="387"/>
      <c r="BH7234" s="386"/>
      <c r="BI7234" s="386"/>
      <c r="BJ7234" s="46"/>
    </row>
    <row r="7235" spans="59:62" x14ac:dyDescent="0.3">
      <c r="BG7235" s="387"/>
      <c r="BH7235" s="386"/>
      <c r="BI7235" s="386"/>
      <c r="BJ7235" s="46"/>
    </row>
    <row r="7236" spans="59:62" x14ac:dyDescent="0.3">
      <c r="BG7236" s="387"/>
      <c r="BH7236" s="386"/>
      <c r="BI7236" s="386"/>
      <c r="BJ7236" s="46"/>
    </row>
    <row r="7237" spans="59:62" x14ac:dyDescent="0.3">
      <c r="BG7237" s="387"/>
      <c r="BH7237" s="386"/>
      <c r="BI7237" s="386"/>
      <c r="BJ7237" s="46"/>
    </row>
    <row r="7238" spans="59:62" x14ac:dyDescent="0.3">
      <c r="BG7238" s="387"/>
      <c r="BH7238" s="386"/>
      <c r="BI7238" s="386"/>
      <c r="BJ7238" s="46"/>
    </row>
    <row r="7239" spans="59:62" x14ac:dyDescent="0.3">
      <c r="BG7239" s="387"/>
      <c r="BH7239" s="386"/>
      <c r="BI7239" s="386"/>
      <c r="BJ7239" s="46"/>
    </row>
    <row r="7240" spans="59:62" x14ac:dyDescent="0.3">
      <c r="BG7240" s="387"/>
      <c r="BH7240" s="386"/>
      <c r="BI7240" s="386"/>
      <c r="BJ7240" s="46"/>
    </row>
    <row r="7241" spans="59:62" x14ac:dyDescent="0.3">
      <c r="BG7241" s="387"/>
      <c r="BH7241" s="386"/>
      <c r="BI7241" s="386"/>
      <c r="BJ7241" s="46"/>
    </row>
    <row r="7242" spans="59:62" x14ac:dyDescent="0.3">
      <c r="BG7242" s="387"/>
      <c r="BH7242" s="386"/>
      <c r="BI7242" s="386"/>
      <c r="BJ7242" s="46"/>
    </row>
    <row r="7243" spans="59:62" x14ac:dyDescent="0.3">
      <c r="BG7243" s="387"/>
      <c r="BH7243" s="386"/>
      <c r="BI7243" s="386"/>
      <c r="BJ7243" s="46"/>
    </row>
    <row r="7244" spans="59:62" x14ac:dyDescent="0.3">
      <c r="BG7244" s="387"/>
      <c r="BH7244" s="386"/>
      <c r="BI7244" s="386"/>
      <c r="BJ7244" s="46"/>
    </row>
    <row r="7245" spans="59:62" x14ac:dyDescent="0.3">
      <c r="BG7245" s="387"/>
      <c r="BH7245" s="386"/>
      <c r="BI7245" s="386"/>
      <c r="BJ7245" s="46"/>
    </row>
    <row r="7246" spans="59:62" x14ac:dyDescent="0.3">
      <c r="BG7246" s="387"/>
      <c r="BH7246" s="386"/>
      <c r="BI7246" s="386"/>
      <c r="BJ7246" s="46"/>
    </row>
    <row r="7247" spans="59:62" x14ac:dyDescent="0.3">
      <c r="BG7247" s="387"/>
      <c r="BH7247" s="386"/>
      <c r="BI7247" s="386"/>
      <c r="BJ7247" s="46"/>
    </row>
    <row r="7248" spans="59:62" x14ac:dyDescent="0.3">
      <c r="BG7248" s="387"/>
      <c r="BH7248" s="386"/>
      <c r="BI7248" s="386"/>
      <c r="BJ7248" s="46"/>
    </row>
    <row r="7249" spans="59:62" x14ac:dyDescent="0.3">
      <c r="BG7249" s="387"/>
      <c r="BH7249" s="386"/>
      <c r="BI7249" s="386"/>
      <c r="BJ7249" s="46"/>
    </row>
    <row r="7250" spans="59:62" x14ac:dyDescent="0.3">
      <c r="BG7250" s="387"/>
      <c r="BH7250" s="386"/>
      <c r="BI7250" s="386"/>
      <c r="BJ7250" s="46"/>
    </row>
    <row r="7251" spans="59:62" x14ac:dyDescent="0.3">
      <c r="BG7251" s="387"/>
      <c r="BH7251" s="386"/>
      <c r="BI7251" s="386"/>
      <c r="BJ7251" s="46"/>
    </row>
    <row r="7252" spans="59:62" x14ac:dyDescent="0.3">
      <c r="BG7252" s="387"/>
      <c r="BH7252" s="386"/>
      <c r="BI7252" s="386"/>
      <c r="BJ7252" s="46"/>
    </row>
    <row r="7253" spans="59:62" x14ac:dyDescent="0.3">
      <c r="BG7253" s="387"/>
      <c r="BH7253" s="386"/>
      <c r="BI7253" s="386"/>
      <c r="BJ7253" s="46"/>
    </row>
    <row r="7254" spans="59:62" x14ac:dyDescent="0.3">
      <c r="BG7254" s="387"/>
      <c r="BH7254" s="386"/>
      <c r="BI7254" s="386"/>
      <c r="BJ7254" s="46"/>
    </row>
    <row r="7255" spans="59:62" x14ac:dyDescent="0.3">
      <c r="BG7255" s="387"/>
      <c r="BH7255" s="386"/>
      <c r="BI7255" s="386"/>
      <c r="BJ7255" s="46"/>
    </row>
    <row r="7256" spans="59:62" x14ac:dyDescent="0.3">
      <c r="BG7256" s="387"/>
      <c r="BH7256" s="386"/>
      <c r="BI7256" s="386"/>
      <c r="BJ7256" s="46"/>
    </row>
    <row r="7257" spans="59:62" x14ac:dyDescent="0.3">
      <c r="BG7257" s="387"/>
      <c r="BH7257" s="386"/>
      <c r="BI7257" s="386"/>
      <c r="BJ7257" s="46"/>
    </row>
    <row r="7258" spans="59:62" x14ac:dyDescent="0.3">
      <c r="BG7258" s="387"/>
      <c r="BH7258" s="386"/>
      <c r="BI7258" s="386"/>
      <c r="BJ7258" s="46"/>
    </row>
    <row r="7259" spans="59:62" x14ac:dyDescent="0.3">
      <c r="BG7259" s="387"/>
      <c r="BH7259" s="386"/>
      <c r="BI7259" s="386"/>
      <c r="BJ7259" s="46"/>
    </row>
    <row r="7260" spans="59:62" x14ac:dyDescent="0.3">
      <c r="BG7260" s="387"/>
      <c r="BH7260" s="386"/>
      <c r="BI7260" s="386"/>
      <c r="BJ7260" s="46"/>
    </row>
    <row r="7261" spans="59:62" x14ac:dyDescent="0.3">
      <c r="BG7261" s="387"/>
      <c r="BH7261" s="386"/>
      <c r="BI7261" s="386"/>
      <c r="BJ7261" s="46"/>
    </row>
    <row r="7262" spans="59:62" x14ac:dyDescent="0.3">
      <c r="BG7262" s="387"/>
      <c r="BH7262" s="386"/>
      <c r="BI7262" s="386"/>
      <c r="BJ7262" s="46"/>
    </row>
    <row r="7263" spans="59:62" x14ac:dyDescent="0.3">
      <c r="BG7263" s="387"/>
      <c r="BH7263" s="386"/>
      <c r="BI7263" s="386"/>
      <c r="BJ7263" s="46"/>
    </row>
    <row r="7264" spans="59:62" x14ac:dyDescent="0.3">
      <c r="BG7264" s="387"/>
      <c r="BH7264" s="386"/>
      <c r="BI7264" s="386"/>
      <c r="BJ7264" s="46"/>
    </row>
    <row r="7265" spans="59:62" x14ac:dyDescent="0.3">
      <c r="BG7265" s="387"/>
      <c r="BH7265" s="386"/>
      <c r="BI7265" s="386"/>
      <c r="BJ7265" s="46"/>
    </row>
    <row r="7266" spans="59:62" x14ac:dyDescent="0.3">
      <c r="BG7266" s="387"/>
      <c r="BH7266" s="386"/>
      <c r="BI7266" s="386"/>
      <c r="BJ7266" s="46"/>
    </row>
    <row r="7267" spans="59:62" x14ac:dyDescent="0.3">
      <c r="BG7267" s="387"/>
      <c r="BH7267" s="386"/>
      <c r="BI7267" s="386"/>
      <c r="BJ7267" s="46"/>
    </row>
    <row r="7268" spans="59:62" x14ac:dyDescent="0.3">
      <c r="BG7268" s="387"/>
      <c r="BH7268" s="386"/>
      <c r="BI7268" s="386"/>
      <c r="BJ7268" s="46"/>
    </row>
    <row r="7269" spans="59:62" x14ac:dyDescent="0.3">
      <c r="BG7269" s="387"/>
      <c r="BH7269" s="386"/>
      <c r="BI7269" s="386"/>
      <c r="BJ7269" s="46"/>
    </row>
    <row r="7270" spans="59:62" x14ac:dyDescent="0.3">
      <c r="BG7270" s="387"/>
      <c r="BH7270" s="386"/>
      <c r="BI7270" s="386"/>
      <c r="BJ7270" s="46"/>
    </row>
    <row r="7271" spans="59:62" x14ac:dyDescent="0.3">
      <c r="BG7271" s="387"/>
      <c r="BH7271" s="386"/>
      <c r="BI7271" s="386"/>
      <c r="BJ7271" s="46"/>
    </row>
    <row r="7272" spans="59:62" x14ac:dyDescent="0.3">
      <c r="BG7272" s="387"/>
      <c r="BH7272" s="386"/>
      <c r="BI7272" s="386"/>
      <c r="BJ7272" s="46"/>
    </row>
    <row r="7273" spans="59:62" x14ac:dyDescent="0.3">
      <c r="BG7273" s="387"/>
      <c r="BH7273" s="386"/>
      <c r="BI7273" s="386"/>
      <c r="BJ7273" s="46"/>
    </row>
    <row r="7274" spans="59:62" x14ac:dyDescent="0.3">
      <c r="BG7274" s="387"/>
      <c r="BH7274" s="386"/>
      <c r="BI7274" s="386"/>
      <c r="BJ7274" s="46"/>
    </row>
    <row r="7275" spans="59:62" x14ac:dyDescent="0.3">
      <c r="BG7275" s="387"/>
      <c r="BH7275" s="386"/>
      <c r="BI7275" s="386"/>
      <c r="BJ7275" s="46"/>
    </row>
    <row r="7276" spans="59:62" x14ac:dyDescent="0.3">
      <c r="BG7276" s="387"/>
      <c r="BH7276" s="386"/>
      <c r="BI7276" s="386"/>
      <c r="BJ7276" s="46"/>
    </row>
    <row r="7277" spans="59:62" x14ac:dyDescent="0.3">
      <c r="BG7277" s="387"/>
      <c r="BH7277" s="386"/>
      <c r="BI7277" s="386"/>
      <c r="BJ7277" s="46"/>
    </row>
    <row r="7278" spans="59:62" x14ac:dyDescent="0.3">
      <c r="BG7278" s="387"/>
      <c r="BH7278" s="386"/>
      <c r="BI7278" s="386"/>
      <c r="BJ7278" s="46"/>
    </row>
    <row r="7279" spans="59:62" x14ac:dyDescent="0.3">
      <c r="BG7279" s="387"/>
      <c r="BH7279" s="386"/>
      <c r="BI7279" s="386"/>
      <c r="BJ7279" s="46"/>
    </row>
    <row r="7280" spans="59:62" x14ac:dyDescent="0.3">
      <c r="BG7280" s="387"/>
      <c r="BH7280" s="386"/>
      <c r="BI7280" s="386"/>
      <c r="BJ7280" s="46"/>
    </row>
    <row r="7281" spans="59:62" x14ac:dyDescent="0.3">
      <c r="BG7281" s="387"/>
      <c r="BH7281" s="386"/>
      <c r="BI7281" s="386"/>
      <c r="BJ7281" s="46"/>
    </row>
    <row r="7282" spans="59:62" x14ac:dyDescent="0.3">
      <c r="BG7282" s="387"/>
      <c r="BH7282" s="386"/>
      <c r="BI7282" s="386"/>
      <c r="BJ7282" s="46"/>
    </row>
    <row r="7283" spans="59:62" x14ac:dyDescent="0.3">
      <c r="BG7283" s="387"/>
      <c r="BH7283" s="386"/>
      <c r="BI7283" s="386"/>
      <c r="BJ7283" s="46"/>
    </row>
    <row r="7284" spans="59:62" x14ac:dyDescent="0.3">
      <c r="BG7284" s="387"/>
      <c r="BH7284" s="386"/>
      <c r="BI7284" s="386"/>
      <c r="BJ7284" s="46"/>
    </row>
    <row r="7285" spans="59:62" x14ac:dyDescent="0.3">
      <c r="BG7285" s="387"/>
      <c r="BH7285" s="386"/>
      <c r="BI7285" s="386"/>
      <c r="BJ7285" s="46"/>
    </row>
    <row r="7286" spans="59:62" x14ac:dyDescent="0.3">
      <c r="BG7286" s="387"/>
      <c r="BH7286" s="386"/>
      <c r="BI7286" s="386"/>
      <c r="BJ7286" s="46"/>
    </row>
    <row r="7287" spans="59:62" x14ac:dyDescent="0.3">
      <c r="BG7287" s="387"/>
      <c r="BH7287" s="386"/>
      <c r="BI7287" s="386"/>
      <c r="BJ7287" s="46"/>
    </row>
    <row r="7288" spans="59:62" x14ac:dyDescent="0.3">
      <c r="BG7288" s="387"/>
      <c r="BH7288" s="386"/>
      <c r="BI7288" s="386"/>
      <c r="BJ7288" s="46"/>
    </row>
    <row r="7289" spans="59:62" x14ac:dyDescent="0.3">
      <c r="BG7289" s="387"/>
      <c r="BH7289" s="386"/>
      <c r="BI7289" s="386"/>
      <c r="BJ7289" s="46"/>
    </row>
    <row r="7290" spans="59:62" x14ac:dyDescent="0.3">
      <c r="BG7290" s="387"/>
      <c r="BH7290" s="386"/>
      <c r="BI7290" s="386"/>
      <c r="BJ7290" s="46"/>
    </row>
    <row r="7291" spans="59:62" x14ac:dyDescent="0.3">
      <c r="BG7291" s="387"/>
      <c r="BH7291" s="386"/>
      <c r="BI7291" s="386"/>
      <c r="BJ7291" s="46"/>
    </row>
    <row r="7292" spans="59:62" x14ac:dyDescent="0.3">
      <c r="BG7292" s="387"/>
      <c r="BH7292" s="386"/>
      <c r="BI7292" s="386"/>
      <c r="BJ7292" s="46"/>
    </row>
    <row r="7293" spans="59:62" x14ac:dyDescent="0.3">
      <c r="BG7293" s="387"/>
      <c r="BH7293" s="386"/>
      <c r="BI7293" s="386"/>
      <c r="BJ7293" s="46"/>
    </row>
    <row r="7294" spans="59:62" x14ac:dyDescent="0.3">
      <c r="BG7294" s="387"/>
      <c r="BH7294" s="386"/>
      <c r="BI7294" s="386"/>
      <c r="BJ7294" s="46"/>
    </row>
    <row r="7295" spans="59:62" x14ac:dyDescent="0.3">
      <c r="BG7295" s="387"/>
      <c r="BH7295" s="386"/>
      <c r="BI7295" s="386"/>
      <c r="BJ7295" s="46"/>
    </row>
    <row r="7296" spans="59:62" x14ac:dyDescent="0.3">
      <c r="BG7296" s="387"/>
      <c r="BH7296" s="386"/>
      <c r="BI7296" s="386"/>
      <c r="BJ7296" s="46"/>
    </row>
    <row r="7297" spans="59:62" x14ac:dyDescent="0.3">
      <c r="BG7297" s="387"/>
      <c r="BH7297" s="386"/>
      <c r="BI7297" s="386"/>
      <c r="BJ7297" s="46"/>
    </row>
    <row r="7298" spans="59:62" x14ac:dyDescent="0.3">
      <c r="BG7298" s="387"/>
      <c r="BH7298" s="386"/>
      <c r="BI7298" s="386"/>
      <c r="BJ7298" s="46"/>
    </row>
    <row r="7299" spans="59:62" x14ac:dyDescent="0.3">
      <c r="BG7299" s="387"/>
      <c r="BH7299" s="386"/>
      <c r="BI7299" s="386"/>
      <c r="BJ7299" s="46"/>
    </row>
    <row r="7300" spans="59:62" x14ac:dyDescent="0.3">
      <c r="BG7300" s="387"/>
      <c r="BH7300" s="386"/>
      <c r="BI7300" s="386"/>
      <c r="BJ7300" s="46"/>
    </row>
    <row r="7301" spans="59:62" x14ac:dyDescent="0.3">
      <c r="BG7301" s="387"/>
      <c r="BH7301" s="386"/>
      <c r="BI7301" s="386"/>
      <c r="BJ7301" s="46"/>
    </row>
    <row r="7302" spans="59:62" x14ac:dyDescent="0.3">
      <c r="BG7302" s="387"/>
      <c r="BH7302" s="386"/>
      <c r="BI7302" s="386"/>
      <c r="BJ7302" s="46"/>
    </row>
    <row r="7303" spans="59:62" x14ac:dyDescent="0.3">
      <c r="BG7303" s="387"/>
      <c r="BH7303" s="386"/>
      <c r="BI7303" s="386"/>
      <c r="BJ7303" s="46"/>
    </row>
    <row r="7304" spans="59:62" x14ac:dyDescent="0.3">
      <c r="BG7304" s="387"/>
      <c r="BH7304" s="386"/>
      <c r="BI7304" s="386"/>
      <c r="BJ7304" s="46"/>
    </row>
    <row r="7305" spans="59:62" x14ac:dyDescent="0.3">
      <c r="BG7305" s="387"/>
      <c r="BH7305" s="386"/>
      <c r="BI7305" s="386"/>
      <c r="BJ7305" s="46"/>
    </row>
    <row r="7306" spans="59:62" x14ac:dyDescent="0.3">
      <c r="BG7306" s="387"/>
      <c r="BH7306" s="386"/>
      <c r="BI7306" s="386"/>
      <c r="BJ7306" s="46"/>
    </row>
    <row r="7307" spans="59:62" x14ac:dyDescent="0.3">
      <c r="BG7307" s="387"/>
      <c r="BH7307" s="386"/>
      <c r="BI7307" s="386"/>
      <c r="BJ7307" s="46"/>
    </row>
    <row r="7308" spans="59:62" x14ac:dyDescent="0.3">
      <c r="BG7308" s="387"/>
      <c r="BH7308" s="386"/>
      <c r="BI7308" s="386"/>
      <c r="BJ7308" s="46"/>
    </row>
    <row r="7309" spans="59:62" x14ac:dyDescent="0.3">
      <c r="BG7309" s="387"/>
      <c r="BH7309" s="386"/>
      <c r="BI7309" s="386"/>
      <c r="BJ7309" s="46"/>
    </row>
    <row r="7310" spans="59:62" x14ac:dyDescent="0.3">
      <c r="BG7310" s="387"/>
      <c r="BH7310" s="386"/>
      <c r="BI7310" s="386"/>
      <c r="BJ7310" s="46"/>
    </row>
    <row r="7311" spans="59:62" x14ac:dyDescent="0.3">
      <c r="BG7311" s="387"/>
      <c r="BH7311" s="386"/>
      <c r="BI7311" s="386"/>
      <c r="BJ7311" s="46"/>
    </row>
    <row r="7312" spans="59:62" x14ac:dyDescent="0.3">
      <c r="BG7312" s="387"/>
      <c r="BH7312" s="386"/>
      <c r="BI7312" s="386"/>
      <c r="BJ7312" s="46"/>
    </row>
    <row r="7313" spans="59:62" x14ac:dyDescent="0.3">
      <c r="BG7313" s="387"/>
      <c r="BH7313" s="386"/>
      <c r="BI7313" s="386"/>
      <c r="BJ7313" s="46"/>
    </row>
    <row r="7314" spans="59:62" x14ac:dyDescent="0.3">
      <c r="BG7314" s="387"/>
      <c r="BH7314" s="386"/>
      <c r="BI7314" s="386"/>
      <c r="BJ7314" s="46"/>
    </row>
    <row r="7315" spans="59:62" x14ac:dyDescent="0.3">
      <c r="BG7315" s="387"/>
      <c r="BH7315" s="386"/>
      <c r="BI7315" s="386"/>
      <c r="BJ7315" s="46"/>
    </row>
    <row r="7316" spans="59:62" x14ac:dyDescent="0.3">
      <c r="BG7316" s="387"/>
      <c r="BH7316" s="386"/>
      <c r="BI7316" s="386"/>
      <c r="BJ7316" s="46"/>
    </row>
    <row r="7317" spans="59:62" x14ac:dyDescent="0.3">
      <c r="BG7317" s="387"/>
      <c r="BH7317" s="386"/>
      <c r="BI7317" s="386"/>
      <c r="BJ7317" s="46"/>
    </row>
    <row r="7318" spans="59:62" x14ac:dyDescent="0.3">
      <c r="BG7318" s="387"/>
      <c r="BH7318" s="386"/>
      <c r="BI7318" s="386"/>
      <c r="BJ7318" s="46"/>
    </row>
    <row r="7319" spans="59:62" x14ac:dyDescent="0.3">
      <c r="BG7319" s="387"/>
      <c r="BH7319" s="386"/>
      <c r="BI7319" s="386"/>
      <c r="BJ7319" s="46"/>
    </row>
    <row r="7320" spans="59:62" x14ac:dyDescent="0.3">
      <c r="BG7320" s="387"/>
      <c r="BH7320" s="386"/>
      <c r="BI7320" s="386"/>
      <c r="BJ7320" s="46"/>
    </row>
    <row r="7321" spans="59:62" x14ac:dyDescent="0.3">
      <c r="BG7321" s="387"/>
      <c r="BH7321" s="386"/>
      <c r="BI7321" s="386"/>
      <c r="BJ7321" s="46"/>
    </row>
    <row r="7322" spans="59:62" x14ac:dyDescent="0.3">
      <c r="BG7322" s="387"/>
      <c r="BH7322" s="386"/>
      <c r="BI7322" s="386"/>
      <c r="BJ7322" s="46"/>
    </row>
    <row r="7323" spans="59:62" x14ac:dyDescent="0.3">
      <c r="BG7323" s="387"/>
      <c r="BH7323" s="386"/>
      <c r="BI7323" s="386"/>
      <c r="BJ7323" s="46"/>
    </row>
    <row r="7324" spans="59:62" x14ac:dyDescent="0.3">
      <c r="BG7324" s="387"/>
      <c r="BH7324" s="386"/>
      <c r="BI7324" s="386"/>
      <c r="BJ7324" s="46"/>
    </row>
    <row r="7325" spans="59:62" x14ac:dyDescent="0.3">
      <c r="BG7325" s="387"/>
      <c r="BH7325" s="386"/>
      <c r="BI7325" s="386"/>
      <c r="BJ7325" s="46"/>
    </row>
    <row r="7326" spans="59:62" x14ac:dyDescent="0.3">
      <c r="BG7326" s="387"/>
      <c r="BH7326" s="386"/>
      <c r="BI7326" s="386"/>
      <c r="BJ7326" s="46"/>
    </row>
    <row r="7327" spans="59:62" x14ac:dyDescent="0.3">
      <c r="BG7327" s="387"/>
      <c r="BH7327" s="386"/>
      <c r="BI7327" s="386"/>
      <c r="BJ7327" s="46"/>
    </row>
    <row r="7328" spans="59:62" x14ac:dyDescent="0.3">
      <c r="BG7328" s="387"/>
      <c r="BH7328" s="386"/>
      <c r="BI7328" s="386"/>
      <c r="BJ7328" s="46"/>
    </row>
    <row r="7329" spans="59:62" x14ac:dyDescent="0.3">
      <c r="BG7329" s="387"/>
      <c r="BH7329" s="386"/>
      <c r="BI7329" s="386"/>
      <c r="BJ7329" s="46"/>
    </row>
    <row r="7330" spans="59:62" x14ac:dyDescent="0.3">
      <c r="BG7330" s="387"/>
      <c r="BH7330" s="386"/>
      <c r="BI7330" s="386"/>
      <c r="BJ7330" s="46"/>
    </row>
    <row r="7331" spans="59:62" x14ac:dyDescent="0.3">
      <c r="BG7331" s="387"/>
      <c r="BH7331" s="386"/>
      <c r="BI7331" s="386"/>
      <c r="BJ7331" s="46"/>
    </row>
    <row r="7332" spans="59:62" x14ac:dyDescent="0.3">
      <c r="BG7332" s="387"/>
      <c r="BH7332" s="386"/>
      <c r="BI7332" s="386"/>
      <c r="BJ7332" s="46"/>
    </row>
    <row r="7333" spans="59:62" x14ac:dyDescent="0.3">
      <c r="BG7333" s="387"/>
      <c r="BH7333" s="386"/>
      <c r="BI7333" s="386"/>
      <c r="BJ7333" s="46"/>
    </row>
    <row r="7334" spans="59:62" x14ac:dyDescent="0.3">
      <c r="BG7334" s="387"/>
      <c r="BH7334" s="386"/>
      <c r="BI7334" s="386"/>
      <c r="BJ7334" s="46"/>
    </row>
    <row r="7335" spans="59:62" x14ac:dyDescent="0.3">
      <c r="BG7335" s="387"/>
      <c r="BH7335" s="386"/>
      <c r="BI7335" s="386"/>
      <c r="BJ7335" s="46"/>
    </row>
    <row r="7336" spans="59:62" x14ac:dyDescent="0.3">
      <c r="BG7336" s="387"/>
      <c r="BH7336" s="386"/>
      <c r="BI7336" s="386"/>
      <c r="BJ7336" s="46"/>
    </row>
    <row r="7337" spans="59:62" x14ac:dyDescent="0.3">
      <c r="BG7337" s="387"/>
      <c r="BH7337" s="386"/>
      <c r="BI7337" s="386"/>
      <c r="BJ7337" s="46"/>
    </row>
    <row r="7338" spans="59:62" x14ac:dyDescent="0.3">
      <c r="BG7338" s="387"/>
      <c r="BH7338" s="386"/>
      <c r="BI7338" s="386"/>
      <c r="BJ7338" s="46"/>
    </row>
    <row r="7339" spans="59:62" x14ac:dyDescent="0.3">
      <c r="BG7339" s="387"/>
      <c r="BH7339" s="386"/>
      <c r="BI7339" s="386"/>
      <c r="BJ7339" s="46"/>
    </row>
    <row r="7340" spans="59:62" x14ac:dyDescent="0.3">
      <c r="BG7340" s="387"/>
      <c r="BH7340" s="386"/>
      <c r="BI7340" s="386"/>
      <c r="BJ7340" s="46"/>
    </row>
    <row r="7341" spans="59:62" x14ac:dyDescent="0.3">
      <c r="BG7341" s="387"/>
      <c r="BH7341" s="386"/>
      <c r="BI7341" s="386"/>
      <c r="BJ7341" s="46"/>
    </row>
    <row r="7342" spans="59:62" x14ac:dyDescent="0.3">
      <c r="BG7342" s="387"/>
      <c r="BH7342" s="386"/>
      <c r="BI7342" s="386"/>
      <c r="BJ7342" s="46"/>
    </row>
    <row r="7343" spans="59:62" x14ac:dyDescent="0.3">
      <c r="BG7343" s="387"/>
      <c r="BH7343" s="386"/>
      <c r="BI7343" s="386"/>
      <c r="BJ7343" s="46"/>
    </row>
    <row r="7344" spans="59:62" x14ac:dyDescent="0.3">
      <c r="BG7344" s="387"/>
      <c r="BH7344" s="386"/>
      <c r="BI7344" s="386"/>
      <c r="BJ7344" s="46"/>
    </row>
    <row r="7345" spans="59:62" x14ac:dyDescent="0.3">
      <c r="BG7345" s="387"/>
      <c r="BH7345" s="386"/>
      <c r="BI7345" s="386"/>
      <c r="BJ7345" s="46"/>
    </row>
    <row r="7346" spans="59:62" x14ac:dyDescent="0.3">
      <c r="BG7346" s="387"/>
      <c r="BH7346" s="386"/>
      <c r="BI7346" s="386"/>
      <c r="BJ7346" s="46"/>
    </row>
    <row r="7347" spans="59:62" x14ac:dyDescent="0.3">
      <c r="BG7347" s="387"/>
      <c r="BH7347" s="386"/>
      <c r="BI7347" s="386"/>
      <c r="BJ7347" s="46"/>
    </row>
    <row r="7348" spans="59:62" x14ac:dyDescent="0.3">
      <c r="BG7348" s="387"/>
      <c r="BH7348" s="386"/>
      <c r="BI7348" s="386"/>
      <c r="BJ7348" s="46"/>
    </row>
    <row r="7349" spans="59:62" x14ac:dyDescent="0.3">
      <c r="BG7349" s="387"/>
      <c r="BH7349" s="386"/>
      <c r="BI7349" s="386"/>
      <c r="BJ7349" s="46"/>
    </row>
    <row r="7350" spans="59:62" x14ac:dyDescent="0.3">
      <c r="BG7350" s="387"/>
      <c r="BH7350" s="386"/>
      <c r="BI7350" s="386"/>
      <c r="BJ7350" s="46"/>
    </row>
    <row r="7351" spans="59:62" x14ac:dyDescent="0.3">
      <c r="BG7351" s="387"/>
      <c r="BH7351" s="386"/>
      <c r="BI7351" s="386"/>
      <c r="BJ7351" s="46"/>
    </row>
    <row r="7352" spans="59:62" x14ac:dyDescent="0.3">
      <c r="BG7352" s="387"/>
      <c r="BH7352" s="386"/>
      <c r="BI7352" s="386"/>
      <c r="BJ7352" s="46"/>
    </row>
    <row r="7353" spans="59:62" x14ac:dyDescent="0.3">
      <c r="BG7353" s="387"/>
      <c r="BH7353" s="386"/>
      <c r="BI7353" s="386"/>
      <c r="BJ7353" s="46"/>
    </row>
    <row r="7354" spans="59:62" x14ac:dyDescent="0.3">
      <c r="BG7354" s="387"/>
      <c r="BH7354" s="386"/>
      <c r="BI7354" s="386"/>
      <c r="BJ7354" s="46"/>
    </row>
    <row r="7355" spans="59:62" x14ac:dyDescent="0.3">
      <c r="BG7355" s="387"/>
      <c r="BH7355" s="386"/>
      <c r="BI7355" s="386"/>
      <c r="BJ7355" s="46"/>
    </row>
    <row r="7356" spans="59:62" x14ac:dyDescent="0.3">
      <c r="BG7356" s="387"/>
      <c r="BH7356" s="386"/>
      <c r="BI7356" s="386"/>
      <c r="BJ7356" s="46"/>
    </row>
    <row r="7357" spans="59:62" x14ac:dyDescent="0.3">
      <c r="BG7357" s="387"/>
      <c r="BH7357" s="386"/>
      <c r="BI7357" s="386"/>
      <c r="BJ7357" s="46"/>
    </row>
    <row r="7358" spans="59:62" x14ac:dyDescent="0.3">
      <c r="BG7358" s="387"/>
      <c r="BH7358" s="386"/>
      <c r="BI7358" s="386"/>
      <c r="BJ7358" s="46"/>
    </row>
    <row r="7359" spans="59:62" x14ac:dyDescent="0.3">
      <c r="BG7359" s="387"/>
      <c r="BH7359" s="386"/>
      <c r="BI7359" s="386"/>
      <c r="BJ7359" s="46"/>
    </row>
    <row r="7360" spans="59:62" x14ac:dyDescent="0.3">
      <c r="BG7360" s="387"/>
      <c r="BH7360" s="386"/>
      <c r="BI7360" s="386"/>
      <c r="BJ7360" s="46"/>
    </row>
    <row r="7361" spans="59:62" x14ac:dyDescent="0.3">
      <c r="BG7361" s="387"/>
      <c r="BH7361" s="386"/>
      <c r="BI7361" s="386"/>
      <c r="BJ7361" s="46"/>
    </row>
    <row r="7362" spans="59:62" x14ac:dyDescent="0.3">
      <c r="BG7362" s="387"/>
      <c r="BH7362" s="386"/>
      <c r="BI7362" s="386"/>
      <c r="BJ7362" s="46"/>
    </row>
    <row r="7363" spans="59:62" x14ac:dyDescent="0.3">
      <c r="BG7363" s="387"/>
      <c r="BH7363" s="386"/>
      <c r="BI7363" s="386"/>
      <c r="BJ7363" s="46"/>
    </row>
    <row r="7364" spans="59:62" x14ac:dyDescent="0.3">
      <c r="BG7364" s="387"/>
      <c r="BH7364" s="386"/>
      <c r="BI7364" s="386"/>
      <c r="BJ7364" s="46"/>
    </row>
    <row r="7365" spans="59:62" x14ac:dyDescent="0.3">
      <c r="BG7365" s="387"/>
      <c r="BH7365" s="386"/>
      <c r="BI7365" s="386"/>
      <c r="BJ7365" s="46"/>
    </row>
    <row r="7366" spans="59:62" x14ac:dyDescent="0.3">
      <c r="BG7366" s="387"/>
      <c r="BH7366" s="386"/>
      <c r="BI7366" s="386"/>
      <c r="BJ7366" s="46"/>
    </row>
    <row r="7367" spans="59:62" x14ac:dyDescent="0.3">
      <c r="BG7367" s="387"/>
      <c r="BH7367" s="386"/>
      <c r="BI7367" s="386"/>
      <c r="BJ7367" s="46"/>
    </row>
    <row r="7368" spans="59:62" x14ac:dyDescent="0.3">
      <c r="BG7368" s="387"/>
      <c r="BH7368" s="386"/>
      <c r="BI7368" s="386"/>
      <c r="BJ7368" s="46"/>
    </row>
    <row r="7369" spans="59:62" x14ac:dyDescent="0.3">
      <c r="BG7369" s="387"/>
      <c r="BH7369" s="386"/>
      <c r="BI7369" s="386"/>
      <c r="BJ7369" s="46"/>
    </row>
    <row r="7370" spans="59:62" x14ac:dyDescent="0.3">
      <c r="BG7370" s="387"/>
      <c r="BH7370" s="386"/>
      <c r="BI7370" s="386"/>
      <c r="BJ7370" s="46"/>
    </row>
    <row r="7371" spans="59:62" x14ac:dyDescent="0.3">
      <c r="BG7371" s="387"/>
      <c r="BH7371" s="386"/>
      <c r="BI7371" s="386"/>
      <c r="BJ7371" s="46"/>
    </row>
    <row r="7372" spans="59:62" x14ac:dyDescent="0.3">
      <c r="BG7372" s="387"/>
      <c r="BH7372" s="386"/>
      <c r="BI7372" s="386"/>
      <c r="BJ7372" s="46"/>
    </row>
    <row r="7373" spans="59:62" x14ac:dyDescent="0.3">
      <c r="BG7373" s="387"/>
      <c r="BH7373" s="386"/>
      <c r="BI7373" s="386"/>
      <c r="BJ7373" s="46"/>
    </row>
    <row r="7374" spans="59:62" x14ac:dyDescent="0.3">
      <c r="BG7374" s="387"/>
      <c r="BH7374" s="386"/>
      <c r="BI7374" s="386"/>
      <c r="BJ7374" s="46"/>
    </row>
    <row r="7375" spans="59:62" x14ac:dyDescent="0.3">
      <c r="BG7375" s="387"/>
      <c r="BH7375" s="386"/>
      <c r="BI7375" s="386"/>
      <c r="BJ7375" s="46"/>
    </row>
    <row r="7376" spans="59:62" x14ac:dyDescent="0.3">
      <c r="BG7376" s="387"/>
      <c r="BH7376" s="386"/>
      <c r="BI7376" s="386"/>
      <c r="BJ7376" s="46"/>
    </row>
    <row r="7377" spans="59:62" x14ac:dyDescent="0.3">
      <c r="BG7377" s="387"/>
      <c r="BH7377" s="386"/>
      <c r="BI7377" s="386"/>
      <c r="BJ7377" s="46"/>
    </row>
    <row r="7378" spans="59:62" x14ac:dyDescent="0.3">
      <c r="BG7378" s="387"/>
      <c r="BH7378" s="386"/>
      <c r="BI7378" s="386"/>
      <c r="BJ7378" s="46"/>
    </row>
    <row r="7379" spans="59:62" x14ac:dyDescent="0.3">
      <c r="BG7379" s="387"/>
      <c r="BH7379" s="386"/>
      <c r="BI7379" s="386"/>
      <c r="BJ7379" s="46"/>
    </row>
    <row r="7380" spans="59:62" x14ac:dyDescent="0.3">
      <c r="BG7380" s="387"/>
      <c r="BH7380" s="386"/>
      <c r="BI7380" s="386"/>
      <c r="BJ7380" s="46"/>
    </row>
    <row r="7381" spans="59:62" x14ac:dyDescent="0.3">
      <c r="BG7381" s="387"/>
      <c r="BH7381" s="386"/>
      <c r="BI7381" s="386"/>
      <c r="BJ7381" s="46"/>
    </row>
    <row r="7382" spans="59:62" x14ac:dyDescent="0.3">
      <c r="BG7382" s="387"/>
      <c r="BH7382" s="386"/>
      <c r="BI7382" s="386"/>
      <c r="BJ7382" s="46"/>
    </row>
    <row r="7383" spans="59:62" x14ac:dyDescent="0.3">
      <c r="BG7383" s="387"/>
      <c r="BH7383" s="386"/>
      <c r="BI7383" s="386"/>
      <c r="BJ7383" s="46"/>
    </row>
    <row r="7384" spans="59:62" x14ac:dyDescent="0.3">
      <c r="BG7384" s="387"/>
      <c r="BH7384" s="386"/>
      <c r="BI7384" s="386"/>
      <c r="BJ7384" s="46"/>
    </row>
    <row r="7385" spans="59:62" x14ac:dyDescent="0.3">
      <c r="BG7385" s="387"/>
      <c r="BH7385" s="386"/>
      <c r="BI7385" s="386"/>
      <c r="BJ7385" s="46"/>
    </row>
    <row r="7386" spans="59:62" x14ac:dyDescent="0.3">
      <c r="BG7386" s="387"/>
      <c r="BH7386" s="386"/>
      <c r="BI7386" s="386"/>
      <c r="BJ7386" s="46"/>
    </row>
    <row r="7387" spans="59:62" x14ac:dyDescent="0.3">
      <c r="BG7387" s="387"/>
      <c r="BH7387" s="386"/>
      <c r="BI7387" s="386"/>
      <c r="BJ7387" s="46"/>
    </row>
    <row r="7388" spans="59:62" x14ac:dyDescent="0.3">
      <c r="BG7388" s="387"/>
      <c r="BH7388" s="386"/>
      <c r="BI7388" s="386"/>
      <c r="BJ7388" s="46"/>
    </row>
    <row r="7389" spans="59:62" x14ac:dyDescent="0.3">
      <c r="BG7389" s="387"/>
      <c r="BH7389" s="386"/>
      <c r="BI7389" s="386"/>
      <c r="BJ7389" s="46"/>
    </row>
    <row r="7390" spans="59:62" x14ac:dyDescent="0.3">
      <c r="BG7390" s="387"/>
      <c r="BH7390" s="386"/>
      <c r="BI7390" s="386"/>
      <c r="BJ7390" s="46"/>
    </row>
    <row r="7391" spans="59:62" x14ac:dyDescent="0.3">
      <c r="BG7391" s="387"/>
      <c r="BH7391" s="386"/>
      <c r="BI7391" s="386"/>
      <c r="BJ7391" s="46"/>
    </row>
    <row r="7392" spans="59:62" x14ac:dyDescent="0.3">
      <c r="BG7392" s="387"/>
      <c r="BH7392" s="386"/>
      <c r="BI7392" s="386"/>
      <c r="BJ7392" s="46"/>
    </row>
    <row r="7393" spans="59:62" x14ac:dyDescent="0.3">
      <c r="BG7393" s="387"/>
      <c r="BH7393" s="386"/>
      <c r="BI7393" s="386"/>
      <c r="BJ7393" s="46"/>
    </row>
    <row r="7394" spans="59:62" x14ac:dyDescent="0.3">
      <c r="BG7394" s="387"/>
      <c r="BH7394" s="386"/>
      <c r="BI7394" s="386"/>
      <c r="BJ7394" s="46"/>
    </row>
    <row r="7395" spans="59:62" x14ac:dyDescent="0.3">
      <c r="BG7395" s="387"/>
      <c r="BH7395" s="386"/>
      <c r="BI7395" s="386"/>
      <c r="BJ7395" s="46"/>
    </row>
    <row r="7396" spans="59:62" x14ac:dyDescent="0.3">
      <c r="BG7396" s="387"/>
      <c r="BH7396" s="386"/>
      <c r="BI7396" s="386"/>
      <c r="BJ7396" s="46"/>
    </row>
    <row r="7397" spans="59:62" x14ac:dyDescent="0.3">
      <c r="BG7397" s="387"/>
      <c r="BH7397" s="386"/>
      <c r="BI7397" s="386"/>
      <c r="BJ7397" s="46"/>
    </row>
    <row r="7398" spans="59:62" x14ac:dyDescent="0.3">
      <c r="BG7398" s="387"/>
      <c r="BH7398" s="386"/>
      <c r="BI7398" s="386"/>
      <c r="BJ7398" s="46"/>
    </row>
    <row r="7399" spans="59:62" x14ac:dyDescent="0.3">
      <c r="BG7399" s="387"/>
      <c r="BH7399" s="386"/>
      <c r="BI7399" s="386"/>
      <c r="BJ7399" s="46"/>
    </row>
    <row r="7400" spans="59:62" x14ac:dyDescent="0.3">
      <c r="BG7400" s="387"/>
      <c r="BH7400" s="386"/>
      <c r="BI7400" s="386"/>
      <c r="BJ7400" s="46"/>
    </row>
    <row r="7401" spans="59:62" x14ac:dyDescent="0.3">
      <c r="BG7401" s="387"/>
      <c r="BH7401" s="386"/>
      <c r="BI7401" s="386"/>
      <c r="BJ7401" s="46"/>
    </row>
    <row r="7402" spans="59:62" x14ac:dyDescent="0.3">
      <c r="BG7402" s="387"/>
      <c r="BH7402" s="386"/>
      <c r="BI7402" s="386"/>
      <c r="BJ7402" s="46"/>
    </row>
    <row r="7403" spans="59:62" x14ac:dyDescent="0.3">
      <c r="BG7403" s="387"/>
      <c r="BH7403" s="386"/>
      <c r="BI7403" s="386"/>
      <c r="BJ7403" s="46"/>
    </row>
    <row r="7404" spans="59:62" x14ac:dyDescent="0.3">
      <c r="BG7404" s="387"/>
      <c r="BH7404" s="386"/>
      <c r="BI7404" s="386"/>
      <c r="BJ7404" s="46"/>
    </row>
    <row r="7405" spans="59:62" x14ac:dyDescent="0.3">
      <c r="BG7405" s="387"/>
      <c r="BH7405" s="386"/>
      <c r="BI7405" s="386"/>
      <c r="BJ7405" s="46"/>
    </row>
    <row r="7406" spans="59:62" x14ac:dyDescent="0.3">
      <c r="BG7406" s="387"/>
      <c r="BH7406" s="386"/>
      <c r="BI7406" s="386"/>
      <c r="BJ7406" s="46"/>
    </row>
    <row r="7407" spans="59:62" x14ac:dyDescent="0.3">
      <c r="BG7407" s="387"/>
      <c r="BH7407" s="386"/>
      <c r="BI7407" s="386"/>
      <c r="BJ7407" s="46"/>
    </row>
    <row r="7408" spans="59:62" x14ac:dyDescent="0.3">
      <c r="BG7408" s="387"/>
      <c r="BH7408" s="386"/>
      <c r="BI7408" s="386"/>
      <c r="BJ7408" s="46"/>
    </row>
    <row r="7409" spans="59:62" x14ac:dyDescent="0.3">
      <c r="BG7409" s="387"/>
      <c r="BH7409" s="386"/>
      <c r="BI7409" s="386"/>
      <c r="BJ7409" s="46"/>
    </row>
    <row r="7410" spans="59:62" x14ac:dyDescent="0.3">
      <c r="BG7410" s="387"/>
      <c r="BH7410" s="386"/>
      <c r="BI7410" s="386"/>
      <c r="BJ7410" s="46"/>
    </row>
    <row r="7411" spans="59:62" x14ac:dyDescent="0.3">
      <c r="BG7411" s="387"/>
      <c r="BH7411" s="386"/>
      <c r="BI7411" s="386"/>
      <c r="BJ7411" s="46"/>
    </row>
    <row r="7412" spans="59:62" x14ac:dyDescent="0.3">
      <c r="BG7412" s="387"/>
      <c r="BH7412" s="386"/>
      <c r="BI7412" s="386"/>
      <c r="BJ7412" s="46"/>
    </row>
    <row r="7413" spans="59:62" x14ac:dyDescent="0.3">
      <c r="BG7413" s="387"/>
      <c r="BH7413" s="386"/>
      <c r="BI7413" s="386"/>
      <c r="BJ7413" s="46"/>
    </row>
    <row r="7414" spans="59:62" x14ac:dyDescent="0.3">
      <c r="BG7414" s="387"/>
      <c r="BH7414" s="386"/>
      <c r="BI7414" s="386"/>
      <c r="BJ7414" s="46"/>
    </row>
    <row r="7415" spans="59:62" x14ac:dyDescent="0.3">
      <c r="BG7415" s="387"/>
      <c r="BH7415" s="386"/>
      <c r="BI7415" s="386"/>
      <c r="BJ7415" s="46"/>
    </row>
    <row r="7416" spans="59:62" x14ac:dyDescent="0.3">
      <c r="BG7416" s="387"/>
      <c r="BH7416" s="386"/>
      <c r="BI7416" s="386"/>
      <c r="BJ7416" s="46"/>
    </row>
    <row r="7417" spans="59:62" x14ac:dyDescent="0.3">
      <c r="BG7417" s="387"/>
      <c r="BH7417" s="386"/>
      <c r="BI7417" s="386"/>
      <c r="BJ7417" s="46"/>
    </row>
    <row r="7418" spans="59:62" x14ac:dyDescent="0.3">
      <c r="BG7418" s="387"/>
      <c r="BH7418" s="386"/>
      <c r="BI7418" s="386"/>
      <c r="BJ7418" s="46"/>
    </row>
    <row r="7419" spans="59:62" x14ac:dyDescent="0.3">
      <c r="BG7419" s="387"/>
      <c r="BH7419" s="386"/>
      <c r="BI7419" s="386"/>
      <c r="BJ7419" s="46"/>
    </row>
    <row r="7420" spans="59:62" x14ac:dyDescent="0.3">
      <c r="BG7420" s="387"/>
      <c r="BH7420" s="386"/>
      <c r="BI7420" s="386"/>
      <c r="BJ7420" s="46"/>
    </row>
    <row r="7421" spans="59:62" x14ac:dyDescent="0.3">
      <c r="BG7421" s="387"/>
      <c r="BH7421" s="386"/>
      <c r="BI7421" s="386"/>
      <c r="BJ7421" s="46"/>
    </row>
    <row r="7422" spans="59:62" x14ac:dyDescent="0.3">
      <c r="BG7422" s="387"/>
      <c r="BH7422" s="386"/>
      <c r="BI7422" s="386"/>
      <c r="BJ7422" s="46"/>
    </row>
    <row r="7423" spans="59:62" x14ac:dyDescent="0.3">
      <c r="BG7423" s="387"/>
      <c r="BH7423" s="386"/>
      <c r="BI7423" s="386"/>
      <c r="BJ7423" s="46"/>
    </row>
    <row r="7424" spans="59:62" x14ac:dyDescent="0.3">
      <c r="BG7424" s="387"/>
      <c r="BH7424" s="386"/>
      <c r="BI7424" s="386"/>
      <c r="BJ7424" s="46"/>
    </row>
    <row r="7425" spans="59:62" x14ac:dyDescent="0.3">
      <c r="BG7425" s="387"/>
      <c r="BH7425" s="386"/>
      <c r="BI7425" s="386"/>
      <c r="BJ7425" s="46"/>
    </row>
    <row r="7426" spans="59:62" x14ac:dyDescent="0.3">
      <c r="BG7426" s="387"/>
      <c r="BH7426" s="386"/>
      <c r="BI7426" s="386"/>
      <c r="BJ7426" s="46"/>
    </row>
    <row r="7427" spans="59:62" x14ac:dyDescent="0.3">
      <c r="BG7427" s="387"/>
      <c r="BH7427" s="386"/>
      <c r="BI7427" s="386"/>
      <c r="BJ7427" s="46"/>
    </row>
    <row r="7428" spans="59:62" x14ac:dyDescent="0.3">
      <c r="BG7428" s="387"/>
      <c r="BH7428" s="386"/>
      <c r="BI7428" s="386"/>
      <c r="BJ7428" s="46"/>
    </row>
    <row r="7429" spans="59:62" x14ac:dyDescent="0.3">
      <c r="BG7429" s="387"/>
      <c r="BH7429" s="386"/>
      <c r="BI7429" s="386"/>
      <c r="BJ7429" s="46"/>
    </row>
    <row r="7430" spans="59:62" x14ac:dyDescent="0.3">
      <c r="BG7430" s="387"/>
      <c r="BH7430" s="386"/>
      <c r="BI7430" s="386"/>
      <c r="BJ7430" s="46"/>
    </row>
    <row r="7431" spans="59:62" x14ac:dyDescent="0.3">
      <c r="BG7431" s="387"/>
      <c r="BH7431" s="386"/>
      <c r="BI7431" s="386"/>
      <c r="BJ7431" s="46"/>
    </row>
    <row r="7432" spans="59:62" x14ac:dyDescent="0.3">
      <c r="BG7432" s="387"/>
      <c r="BH7432" s="386"/>
      <c r="BI7432" s="386"/>
      <c r="BJ7432" s="46"/>
    </row>
    <row r="7433" spans="59:62" x14ac:dyDescent="0.3">
      <c r="BG7433" s="387"/>
      <c r="BH7433" s="386"/>
      <c r="BI7433" s="386"/>
      <c r="BJ7433" s="46"/>
    </row>
    <row r="7434" spans="59:62" x14ac:dyDescent="0.3">
      <c r="BG7434" s="387"/>
      <c r="BH7434" s="386"/>
      <c r="BI7434" s="386"/>
      <c r="BJ7434" s="46"/>
    </row>
    <row r="7435" spans="59:62" x14ac:dyDescent="0.3">
      <c r="BG7435" s="387"/>
      <c r="BH7435" s="386"/>
      <c r="BI7435" s="386"/>
      <c r="BJ7435" s="46"/>
    </row>
    <row r="7436" spans="59:62" x14ac:dyDescent="0.3">
      <c r="BG7436" s="387"/>
      <c r="BH7436" s="386"/>
      <c r="BI7436" s="386"/>
      <c r="BJ7436" s="46"/>
    </row>
    <row r="7437" spans="59:62" x14ac:dyDescent="0.3">
      <c r="BG7437" s="387"/>
      <c r="BH7437" s="386"/>
      <c r="BI7437" s="386"/>
      <c r="BJ7437" s="46"/>
    </row>
    <row r="7438" spans="59:62" x14ac:dyDescent="0.3">
      <c r="BG7438" s="387"/>
      <c r="BH7438" s="386"/>
      <c r="BI7438" s="386"/>
      <c r="BJ7438" s="46"/>
    </row>
    <row r="7439" spans="59:62" x14ac:dyDescent="0.3">
      <c r="BG7439" s="387"/>
      <c r="BH7439" s="386"/>
      <c r="BI7439" s="386"/>
      <c r="BJ7439" s="46"/>
    </row>
    <row r="7440" spans="59:62" x14ac:dyDescent="0.3">
      <c r="BG7440" s="387"/>
      <c r="BH7440" s="386"/>
      <c r="BI7440" s="386"/>
      <c r="BJ7440" s="46"/>
    </row>
    <row r="7441" spans="59:62" x14ac:dyDescent="0.3">
      <c r="BG7441" s="387"/>
      <c r="BH7441" s="386"/>
      <c r="BI7441" s="386"/>
      <c r="BJ7441" s="46"/>
    </row>
    <row r="7442" spans="59:62" x14ac:dyDescent="0.3">
      <c r="BG7442" s="387"/>
      <c r="BH7442" s="386"/>
      <c r="BI7442" s="386"/>
      <c r="BJ7442" s="46"/>
    </row>
    <row r="7443" spans="59:62" x14ac:dyDescent="0.3">
      <c r="BG7443" s="387"/>
      <c r="BH7443" s="386"/>
      <c r="BI7443" s="386"/>
      <c r="BJ7443" s="46"/>
    </row>
    <row r="7444" spans="59:62" x14ac:dyDescent="0.3">
      <c r="BG7444" s="387"/>
      <c r="BH7444" s="386"/>
      <c r="BI7444" s="386"/>
      <c r="BJ7444" s="46"/>
    </row>
    <row r="7445" spans="59:62" x14ac:dyDescent="0.3">
      <c r="BG7445" s="387"/>
      <c r="BH7445" s="386"/>
      <c r="BI7445" s="386"/>
      <c r="BJ7445" s="46"/>
    </row>
    <row r="7446" spans="59:62" x14ac:dyDescent="0.3">
      <c r="BG7446" s="387"/>
      <c r="BH7446" s="386"/>
      <c r="BI7446" s="386"/>
      <c r="BJ7446" s="46"/>
    </row>
    <row r="7447" spans="59:62" x14ac:dyDescent="0.3">
      <c r="BG7447" s="387"/>
      <c r="BH7447" s="386"/>
      <c r="BI7447" s="386"/>
      <c r="BJ7447" s="46"/>
    </row>
    <row r="7448" spans="59:62" x14ac:dyDescent="0.3">
      <c r="BG7448" s="387"/>
      <c r="BH7448" s="386"/>
      <c r="BI7448" s="386"/>
      <c r="BJ7448" s="46"/>
    </row>
    <row r="7449" spans="59:62" x14ac:dyDescent="0.3">
      <c r="BG7449" s="387"/>
      <c r="BH7449" s="386"/>
      <c r="BI7449" s="386"/>
      <c r="BJ7449" s="46"/>
    </row>
    <row r="7450" spans="59:62" x14ac:dyDescent="0.3">
      <c r="BG7450" s="387"/>
      <c r="BH7450" s="386"/>
      <c r="BI7450" s="386"/>
      <c r="BJ7450" s="46"/>
    </row>
    <row r="7451" spans="59:62" x14ac:dyDescent="0.3">
      <c r="BG7451" s="387"/>
      <c r="BH7451" s="386"/>
      <c r="BI7451" s="386"/>
      <c r="BJ7451" s="46"/>
    </row>
    <row r="7452" spans="59:62" x14ac:dyDescent="0.3">
      <c r="BG7452" s="387"/>
      <c r="BH7452" s="386"/>
      <c r="BI7452" s="386"/>
      <c r="BJ7452" s="46"/>
    </row>
    <row r="7453" spans="59:62" x14ac:dyDescent="0.3">
      <c r="BG7453" s="387"/>
      <c r="BH7453" s="386"/>
      <c r="BI7453" s="386"/>
      <c r="BJ7453" s="46"/>
    </row>
    <row r="7454" spans="59:62" x14ac:dyDescent="0.3">
      <c r="BG7454" s="387"/>
      <c r="BH7454" s="386"/>
      <c r="BI7454" s="386"/>
      <c r="BJ7454" s="46"/>
    </row>
    <row r="7455" spans="59:62" x14ac:dyDescent="0.3">
      <c r="BG7455" s="387"/>
      <c r="BH7455" s="386"/>
      <c r="BI7455" s="386"/>
      <c r="BJ7455" s="46"/>
    </row>
    <row r="7456" spans="59:62" x14ac:dyDescent="0.3">
      <c r="BG7456" s="387"/>
      <c r="BH7456" s="386"/>
      <c r="BI7456" s="386"/>
      <c r="BJ7456" s="46"/>
    </row>
    <row r="7457" spans="59:62" x14ac:dyDescent="0.3">
      <c r="BG7457" s="387"/>
      <c r="BH7457" s="386"/>
      <c r="BI7457" s="386"/>
      <c r="BJ7457" s="46"/>
    </row>
    <row r="7458" spans="59:62" x14ac:dyDescent="0.3">
      <c r="BG7458" s="387"/>
      <c r="BH7458" s="386"/>
      <c r="BI7458" s="386"/>
      <c r="BJ7458" s="46"/>
    </row>
    <row r="7459" spans="59:62" x14ac:dyDescent="0.3">
      <c r="BG7459" s="387"/>
      <c r="BH7459" s="386"/>
      <c r="BI7459" s="386"/>
      <c r="BJ7459" s="46"/>
    </row>
    <row r="7460" spans="59:62" x14ac:dyDescent="0.3">
      <c r="BG7460" s="387"/>
      <c r="BH7460" s="386"/>
      <c r="BI7460" s="386"/>
      <c r="BJ7460" s="46"/>
    </row>
    <row r="7461" spans="59:62" x14ac:dyDescent="0.3">
      <c r="BG7461" s="387"/>
      <c r="BH7461" s="386"/>
      <c r="BI7461" s="386"/>
      <c r="BJ7461" s="46"/>
    </row>
    <row r="7462" spans="59:62" x14ac:dyDescent="0.3">
      <c r="BG7462" s="387"/>
      <c r="BH7462" s="386"/>
      <c r="BI7462" s="386"/>
      <c r="BJ7462" s="46"/>
    </row>
    <row r="7463" spans="59:62" x14ac:dyDescent="0.3">
      <c r="BG7463" s="387"/>
      <c r="BH7463" s="386"/>
      <c r="BI7463" s="386"/>
      <c r="BJ7463" s="46"/>
    </row>
    <row r="7464" spans="59:62" x14ac:dyDescent="0.3">
      <c r="BG7464" s="387"/>
      <c r="BH7464" s="386"/>
      <c r="BI7464" s="386"/>
      <c r="BJ7464" s="46"/>
    </row>
    <row r="7465" spans="59:62" x14ac:dyDescent="0.3">
      <c r="BG7465" s="387"/>
      <c r="BH7465" s="386"/>
      <c r="BI7465" s="386"/>
      <c r="BJ7465" s="46"/>
    </row>
    <row r="7466" spans="59:62" x14ac:dyDescent="0.3">
      <c r="BG7466" s="387"/>
      <c r="BH7466" s="386"/>
      <c r="BI7466" s="386"/>
      <c r="BJ7466" s="46"/>
    </row>
    <row r="7467" spans="59:62" x14ac:dyDescent="0.3">
      <c r="BG7467" s="387"/>
      <c r="BH7467" s="386"/>
      <c r="BI7467" s="386"/>
      <c r="BJ7467" s="46"/>
    </row>
    <row r="7468" spans="59:62" x14ac:dyDescent="0.3">
      <c r="BG7468" s="387"/>
      <c r="BH7468" s="386"/>
      <c r="BI7468" s="386"/>
      <c r="BJ7468" s="46"/>
    </row>
    <row r="7469" spans="59:62" x14ac:dyDescent="0.3">
      <c r="BG7469" s="387"/>
      <c r="BH7469" s="386"/>
      <c r="BI7469" s="386"/>
      <c r="BJ7469" s="46"/>
    </row>
    <row r="7470" spans="59:62" x14ac:dyDescent="0.3">
      <c r="BG7470" s="387"/>
      <c r="BH7470" s="386"/>
      <c r="BI7470" s="386"/>
      <c r="BJ7470" s="46"/>
    </row>
    <row r="7471" spans="59:62" x14ac:dyDescent="0.3">
      <c r="BG7471" s="387"/>
      <c r="BH7471" s="386"/>
      <c r="BI7471" s="386"/>
      <c r="BJ7471" s="46"/>
    </row>
    <row r="7472" spans="59:62" x14ac:dyDescent="0.3">
      <c r="BG7472" s="387"/>
      <c r="BH7472" s="386"/>
      <c r="BI7472" s="386"/>
      <c r="BJ7472" s="46"/>
    </row>
    <row r="7473" spans="59:62" x14ac:dyDescent="0.3">
      <c r="BG7473" s="387"/>
      <c r="BH7473" s="386"/>
      <c r="BI7473" s="386"/>
      <c r="BJ7473" s="46"/>
    </row>
    <row r="7474" spans="59:62" x14ac:dyDescent="0.3">
      <c r="BG7474" s="387"/>
      <c r="BH7474" s="386"/>
      <c r="BI7474" s="386"/>
      <c r="BJ7474" s="46"/>
    </row>
    <row r="7475" spans="59:62" x14ac:dyDescent="0.3">
      <c r="BG7475" s="387"/>
      <c r="BH7475" s="386"/>
      <c r="BI7475" s="386"/>
      <c r="BJ7475" s="46"/>
    </row>
    <row r="7476" spans="59:62" x14ac:dyDescent="0.3">
      <c r="BG7476" s="387"/>
      <c r="BH7476" s="386"/>
      <c r="BI7476" s="386"/>
      <c r="BJ7476" s="46"/>
    </row>
    <row r="7477" spans="59:62" x14ac:dyDescent="0.3">
      <c r="BG7477" s="387"/>
      <c r="BH7477" s="386"/>
      <c r="BI7477" s="386"/>
      <c r="BJ7477" s="46"/>
    </row>
    <row r="7478" spans="59:62" x14ac:dyDescent="0.3">
      <c r="BG7478" s="387"/>
      <c r="BH7478" s="386"/>
      <c r="BI7478" s="386"/>
      <c r="BJ7478" s="46"/>
    </row>
    <row r="7479" spans="59:62" x14ac:dyDescent="0.3">
      <c r="BG7479" s="387"/>
      <c r="BH7479" s="386"/>
      <c r="BI7479" s="386"/>
      <c r="BJ7479" s="46"/>
    </row>
    <row r="7480" spans="59:62" x14ac:dyDescent="0.3">
      <c r="BG7480" s="387"/>
      <c r="BH7480" s="386"/>
      <c r="BI7480" s="386"/>
      <c r="BJ7480" s="46"/>
    </row>
    <row r="7481" spans="59:62" x14ac:dyDescent="0.3">
      <c r="BG7481" s="387"/>
      <c r="BH7481" s="386"/>
      <c r="BI7481" s="386"/>
      <c r="BJ7481" s="46"/>
    </row>
    <row r="7482" spans="59:62" x14ac:dyDescent="0.3">
      <c r="BG7482" s="387"/>
      <c r="BH7482" s="386"/>
      <c r="BI7482" s="386"/>
      <c r="BJ7482" s="46"/>
    </row>
    <row r="7483" spans="59:62" x14ac:dyDescent="0.3">
      <c r="BG7483" s="387"/>
      <c r="BH7483" s="386"/>
      <c r="BI7483" s="386"/>
      <c r="BJ7483" s="46"/>
    </row>
    <row r="7484" spans="59:62" x14ac:dyDescent="0.3">
      <c r="BG7484" s="387"/>
      <c r="BH7484" s="386"/>
      <c r="BI7484" s="386"/>
      <c r="BJ7484" s="46"/>
    </row>
    <row r="7485" spans="59:62" x14ac:dyDescent="0.3">
      <c r="BG7485" s="387"/>
      <c r="BH7485" s="386"/>
      <c r="BI7485" s="386"/>
      <c r="BJ7485" s="46"/>
    </row>
    <row r="7486" spans="59:62" x14ac:dyDescent="0.3">
      <c r="BG7486" s="387"/>
      <c r="BH7486" s="386"/>
      <c r="BI7486" s="386"/>
      <c r="BJ7486" s="46"/>
    </row>
    <row r="7487" spans="59:62" x14ac:dyDescent="0.3">
      <c r="BG7487" s="387"/>
      <c r="BH7487" s="386"/>
      <c r="BI7487" s="386"/>
      <c r="BJ7487" s="46"/>
    </row>
    <row r="7488" spans="59:62" x14ac:dyDescent="0.3">
      <c r="BG7488" s="387"/>
      <c r="BH7488" s="386"/>
      <c r="BI7488" s="386"/>
      <c r="BJ7488" s="46"/>
    </row>
    <row r="7489" spans="59:62" x14ac:dyDescent="0.3">
      <c r="BG7489" s="387"/>
      <c r="BH7489" s="386"/>
      <c r="BI7489" s="386"/>
      <c r="BJ7489" s="46"/>
    </row>
    <row r="7490" spans="59:62" x14ac:dyDescent="0.3">
      <c r="BG7490" s="387"/>
      <c r="BH7490" s="386"/>
      <c r="BI7490" s="386"/>
      <c r="BJ7490" s="46"/>
    </row>
    <row r="7491" spans="59:62" x14ac:dyDescent="0.3">
      <c r="BG7491" s="387"/>
      <c r="BH7491" s="386"/>
      <c r="BI7491" s="386"/>
      <c r="BJ7491" s="46"/>
    </row>
    <row r="7492" spans="59:62" x14ac:dyDescent="0.3">
      <c r="BG7492" s="387"/>
      <c r="BH7492" s="386"/>
      <c r="BI7492" s="386"/>
      <c r="BJ7492" s="46"/>
    </row>
    <row r="7493" spans="59:62" x14ac:dyDescent="0.3">
      <c r="BG7493" s="387"/>
      <c r="BH7493" s="386"/>
      <c r="BI7493" s="386"/>
      <c r="BJ7493" s="46"/>
    </row>
    <row r="7494" spans="59:62" x14ac:dyDescent="0.3">
      <c r="BG7494" s="387"/>
      <c r="BH7494" s="386"/>
      <c r="BI7494" s="386"/>
      <c r="BJ7494" s="46"/>
    </row>
    <row r="7495" spans="59:62" x14ac:dyDescent="0.3">
      <c r="BG7495" s="387"/>
      <c r="BH7495" s="386"/>
      <c r="BI7495" s="386"/>
      <c r="BJ7495" s="46"/>
    </row>
    <row r="7496" spans="59:62" x14ac:dyDescent="0.3">
      <c r="BG7496" s="387"/>
      <c r="BH7496" s="386"/>
      <c r="BI7496" s="386"/>
      <c r="BJ7496" s="46"/>
    </row>
    <row r="7497" spans="59:62" x14ac:dyDescent="0.3">
      <c r="BG7497" s="387"/>
      <c r="BH7497" s="386"/>
      <c r="BI7497" s="386"/>
      <c r="BJ7497" s="46"/>
    </row>
    <row r="7498" spans="59:62" x14ac:dyDescent="0.3">
      <c r="BG7498" s="387"/>
      <c r="BH7498" s="386"/>
      <c r="BI7498" s="386"/>
      <c r="BJ7498" s="46"/>
    </row>
    <row r="7499" spans="59:62" x14ac:dyDescent="0.3">
      <c r="BG7499" s="387"/>
      <c r="BH7499" s="386"/>
      <c r="BI7499" s="386"/>
      <c r="BJ7499" s="46"/>
    </row>
    <row r="7500" spans="59:62" x14ac:dyDescent="0.3">
      <c r="BG7500" s="387"/>
      <c r="BH7500" s="386"/>
      <c r="BI7500" s="386"/>
      <c r="BJ7500" s="46"/>
    </row>
    <row r="7501" spans="59:62" x14ac:dyDescent="0.3">
      <c r="BG7501" s="387"/>
      <c r="BH7501" s="386"/>
      <c r="BI7501" s="386"/>
      <c r="BJ7501" s="46"/>
    </row>
    <row r="7502" spans="59:62" x14ac:dyDescent="0.3">
      <c r="BG7502" s="387"/>
      <c r="BH7502" s="386"/>
      <c r="BI7502" s="386"/>
      <c r="BJ7502" s="46"/>
    </row>
    <row r="7503" spans="59:62" x14ac:dyDescent="0.3">
      <c r="BG7503" s="387"/>
      <c r="BH7503" s="386"/>
      <c r="BI7503" s="386"/>
      <c r="BJ7503" s="46"/>
    </row>
    <row r="7504" spans="59:62" x14ac:dyDescent="0.3">
      <c r="BG7504" s="387"/>
      <c r="BH7504" s="386"/>
      <c r="BI7504" s="386"/>
      <c r="BJ7504" s="46"/>
    </row>
    <row r="7505" spans="59:62" x14ac:dyDescent="0.3">
      <c r="BG7505" s="387"/>
      <c r="BH7505" s="386"/>
      <c r="BI7505" s="386"/>
      <c r="BJ7505" s="46"/>
    </row>
    <row r="7506" spans="59:62" x14ac:dyDescent="0.3">
      <c r="BG7506" s="387"/>
      <c r="BH7506" s="386"/>
      <c r="BI7506" s="386"/>
      <c r="BJ7506" s="46"/>
    </row>
    <row r="7507" spans="59:62" x14ac:dyDescent="0.3">
      <c r="BG7507" s="387"/>
      <c r="BH7507" s="386"/>
      <c r="BI7507" s="386"/>
      <c r="BJ7507" s="46"/>
    </row>
    <row r="7508" spans="59:62" x14ac:dyDescent="0.3">
      <c r="BG7508" s="387"/>
      <c r="BH7508" s="386"/>
      <c r="BI7508" s="386"/>
      <c r="BJ7508" s="46"/>
    </row>
    <row r="7509" spans="59:62" x14ac:dyDescent="0.3">
      <c r="BG7509" s="387"/>
      <c r="BH7509" s="386"/>
      <c r="BI7509" s="386"/>
      <c r="BJ7509" s="46"/>
    </row>
    <row r="7510" spans="59:62" x14ac:dyDescent="0.3">
      <c r="BG7510" s="387"/>
      <c r="BH7510" s="386"/>
      <c r="BI7510" s="386"/>
      <c r="BJ7510" s="46"/>
    </row>
    <row r="7511" spans="59:62" x14ac:dyDescent="0.3">
      <c r="BG7511" s="387"/>
      <c r="BH7511" s="386"/>
      <c r="BI7511" s="386"/>
      <c r="BJ7511" s="46"/>
    </row>
    <row r="7512" spans="59:62" x14ac:dyDescent="0.3">
      <c r="BG7512" s="387"/>
      <c r="BH7512" s="386"/>
      <c r="BI7512" s="386"/>
      <c r="BJ7512" s="46"/>
    </row>
    <row r="7513" spans="59:62" x14ac:dyDescent="0.3">
      <c r="BG7513" s="387"/>
      <c r="BH7513" s="386"/>
      <c r="BI7513" s="386"/>
      <c r="BJ7513" s="46"/>
    </row>
    <row r="7514" spans="59:62" x14ac:dyDescent="0.3">
      <c r="BG7514" s="387"/>
      <c r="BH7514" s="386"/>
      <c r="BI7514" s="386"/>
      <c r="BJ7514" s="46"/>
    </row>
    <row r="7515" spans="59:62" x14ac:dyDescent="0.3">
      <c r="BG7515" s="387"/>
      <c r="BH7515" s="386"/>
      <c r="BI7515" s="386"/>
      <c r="BJ7515" s="46"/>
    </row>
    <row r="7516" spans="59:62" x14ac:dyDescent="0.3">
      <c r="BG7516" s="387"/>
      <c r="BH7516" s="386"/>
      <c r="BI7516" s="386"/>
      <c r="BJ7516" s="46"/>
    </row>
    <row r="7517" spans="59:62" x14ac:dyDescent="0.3">
      <c r="BG7517" s="387"/>
      <c r="BH7517" s="386"/>
      <c r="BI7517" s="386"/>
      <c r="BJ7517" s="46"/>
    </row>
    <row r="7518" spans="59:62" x14ac:dyDescent="0.3">
      <c r="BG7518" s="387"/>
      <c r="BH7518" s="386"/>
      <c r="BI7518" s="386"/>
      <c r="BJ7518" s="46"/>
    </row>
    <row r="7519" spans="59:62" x14ac:dyDescent="0.3">
      <c r="BG7519" s="387"/>
      <c r="BH7519" s="386"/>
      <c r="BI7519" s="386"/>
      <c r="BJ7519" s="46"/>
    </row>
    <row r="7520" spans="59:62" x14ac:dyDescent="0.3">
      <c r="BG7520" s="387"/>
      <c r="BH7520" s="386"/>
      <c r="BI7520" s="386"/>
      <c r="BJ7520" s="46"/>
    </row>
    <row r="7521" spans="59:62" x14ac:dyDescent="0.3">
      <c r="BG7521" s="387"/>
      <c r="BH7521" s="386"/>
      <c r="BI7521" s="386"/>
      <c r="BJ7521" s="46"/>
    </row>
    <row r="7522" spans="59:62" x14ac:dyDescent="0.3">
      <c r="BG7522" s="387"/>
      <c r="BH7522" s="386"/>
      <c r="BI7522" s="386"/>
      <c r="BJ7522" s="46"/>
    </row>
    <row r="7523" spans="59:62" x14ac:dyDescent="0.3">
      <c r="BG7523" s="387"/>
      <c r="BH7523" s="386"/>
      <c r="BI7523" s="386"/>
      <c r="BJ7523" s="46"/>
    </row>
    <row r="7524" spans="59:62" x14ac:dyDescent="0.3">
      <c r="BG7524" s="387"/>
      <c r="BH7524" s="386"/>
      <c r="BI7524" s="386"/>
      <c r="BJ7524" s="46"/>
    </row>
    <row r="7525" spans="59:62" x14ac:dyDescent="0.3">
      <c r="BG7525" s="387"/>
      <c r="BH7525" s="386"/>
      <c r="BI7525" s="386"/>
      <c r="BJ7525" s="46"/>
    </row>
    <row r="7526" spans="59:62" x14ac:dyDescent="0.3">
      <c r="BG7526" s="387"/>
      <c r="BH7526" s="386"/>
      <c r="BI7526" s="386"/>
      <c r="BJ7526" s="46"/>
    </row>
    <row r="7527" spans="59:62" x14ac:dyDescent="0.3">
      <c r="BG7527" s="387"/>
      <c r="BH7527" s="386"/>
      <c r="BI7527" s="386"/>
      <c r="BJ7527" s="46"/>
    </row>
    <row r="7528" spans="59:62" x14ac:dyDescent="0.3">
      <c r="BG7528" s="387"/>
      <c r="BH7528" s="386"/>
      <c r="BI7528" s="386"/>
      <c r="BJ7528" s="46"/>
    </row>
    <row r="7529" spans="59:62" x14ac:dyDescent="0.3">
      <c r="BG7529" s="387"/>
      <c r="BH7529" s="386"/>
      <c r="BI7529" s="386"/>
      <c r="BJ7529" s="46"/>
    </row>
    <row r="7530" spans="59:62" x14ac:dyDescent="0.3">
      <c r="BG7530" s="387"/>
      <c r="BH7530" s="386"/>
      <c r="BI7530" s="386"/>
      <c r="BJ7530" s="46"/>
    </row>
    <row r="7531" spans="59:62" x14ac:dyDescent="0.3">
      <c r="BG7531" s="387"/>
      <c r="BH7531" s="386"/>
      <c r="BI7531" s="386"/>
      <c r="BJ7531" s="46"/>
    </row>
    <row r="7532" spans="59:62" x14ac:dyDescent="0.3">
      <c r="BG7532" s="387"/>
      <c r="BH7532" s="386"/>
      <c r="BI7532" s="386"/>
      <c r="BJ7532" s="46"/>
    </row>
    <row r="7533" spans="59:62" x14ac:dyDescent="0.3">
      <c r="BG7533" s="387"/>
      <c r="BH7533" s="386"/>
      <c r="BI7533" s="386"/>
      <c r="BJ7533" s="46"/>
    </row>
    <row r="7534" spans="59:62" x14ac:dyDescent="0.3">
      <c r="BG7534" s="387"/>
      <c r="BH7534" s="386"/>
      <c r="BI7534" s="386"/>
      <c r="BJ7534" s="46"/>
    </row>
    <row r="7535" spans="59:62" x14ac:dyDescent="0.3">
      <c r="BG7535" s="387"/>
      <c r="BH7535" s="386"/>
      <c r="BI7535" s="386"/>
      <c r="BJ7535" s="46"/>
    </row>
    <row r="7536" spans="59:62" x14ac:dyDescent="0.3">
      <c r="BG7536" s="387"/>
      <c r="BH7536" s="386"/>
      <c r="BI7536" s="386"/>
      <c r="BJ7536" s="46"/>
    </row>
    <row r="7537" spans="59:62" x14ac:dyDescent="0.3">
      <c r="BG7537" s="387"/>
      <c r="BH7537" s="386"/>
      <c r="BI7537" s="386"/>
      <c r="BJ7537" s="46"/>
    </row>
    <row r="7538" spans="59:62" x14ac:dyDescent="0.3">
      <c r="BG7538" s="387"/>
      <c r="BH7538" s="386"/>
      <c r="BI7538" s="386"/>
      <c r="BJ7538" s="46"/>
    </row>
    <row r="7539" spans="59:62" x14ac:dyDescent="0.3">
      <c r="BG7539" s="387"/>
      <c r="BH7539" s="386"/>
      <c r="BI7539" s="386"/>
      <c r="BJ7539" s="46"/>
    </row>
    <row r="7540" spans="59:62" x14ac:dyDescent="0.3">
      <c r="BG7540" s="387"/>
      <c r="BH7540" s="386"/>
      <c r="BI7540" s="386"/>
      <c r="BJ7540" s="46"/>
    </row>
    <row r="7541" spans="59:62" x14ac:dyDescent="0.3">
      <c r="BG7541" s="387"/>
      <c r="BH7541" s="386"/>
      <c r="BI7541" s="386"/>
      <c r="BJ7541" s="46"/>
    </row>
    <row r="7542" spans="59:62" x14ac:dyDescent="0.3">
      <c r="BG7542" s="387"/>
      <c r="BH7542" s="386"/>
      <c r="BI7542" s="386"/>
      <c r="BJ7542" s="46"/>
    </row>
    <row r="7543" spans="59:62" x14ac:dyDescent="0.3">
      <c r="BG7543" s="387"/>
      <c r="BH7543" s="386"/>
      <c r="BI7543" s="386"/>
      <c r="BJ7543" s="46"/>
    </row>
    <row r="7544" spans="59:62" x14ac:dyDescent="0.3">
      <c r="BG7544" s="387"/>
      <c r="BH7544" s="386"/>
      <c r="BI7544" s="386"/>
      <c r="BJ7544" s="46"/>
    </row>
    <row r="7545" spans="59:62" x14ac:dyDescent="0.3">
      <c r="BG7545" s="387"/>
      <c r="BH7545" s="386"/>
      <c r="BI7545" s="386"/>
      <c r="BJ7545" s="46"/>
    </row>
    <row r="7546" spans="59:62" x14ac:dyDescent="0.3">
      <c r="BG7546" s="387"/>
      <c r="BH7546" s="386"/>
      <c r="BI7546" s="386"/>
      <c r="BJ7546" s="46"/>
    </row>
    <row r="7547" spans="59:62" x14ac:dyDescent="0.3">
      <c r="BG7547" s="387"/>
      <c r="BH7547" s="386"/>
      <c r="BI7547" s="386"/>
      <c r="BJ7547" s="46"/>
    </row>
    <row r="7548" spans="59:62" x14ac:dyDescent="0.3">
      <c r="BG7548" s="387"/>
      <c r="BH7548" s="386"/>
      <c r="BI7548" s="386"/>
      <c r="BJ7548" s="46"/>
    </row>
    <row r="7549" spans="59:62" x14ac:dyDescent="0.3">
      <c r="BG7549" s="387"/>
      <c r="BH7549" s="386"/>
      <c r="BI7549" s="386"/>
      <c r="BJ7549" s="46"/>
    </row>
    <row r="7550" spans="59:62" x14ac:dyDescent="0.3">
      <c r="BG7550" s="387"/>
      <c r="BH7550" s="386"/>
      <c r="BI7550" s="386"/>
      <c r="BJ7550" s="46"/>
    </row>
    <row r="7551" spans="59:62" x14ac:dyDescent="0.3">
      <c r="BG7551" s="387"/>
      <c r="BH7551" s="386"/>
      <c r="BI7551" s="386"/>
      <c r="BJ7551" s="46"/>
    </row>
    <row r="7552" spans="59:62" x14ac:dyDescent="0.3">
      <c r="BG7552" s="387"/>
      <c r="BH7552" s="386"/>
      <c r="BI7552" s="386"/>
      <c r="BJ7552" s="46"/>
    </row>
    <row r="7553" spans="59:62" x14ac:dyDescent="0.3">
      <c r="BG7553" s="387"/>
      <c r="BH7553" s="386"/>
      <c r="BI7553" s="386"/>
      <c r="BJ7553" s="46"/>
    </row>
    <row r="7554" spans="59:62" x14ac:dyDescent="0.3">
      <c r="BG7554" s="387"/>
      <c r="BH7554" s="386"/>
      <c r="BI7554" s="386"/>
      <c r="BJ7554" s="46"/>
    </row>
    <row r="7555" spans="59:62" x14ac:dyDescent="0.3">
      <c r="BG7555" s="387"/>
      <c r="BH7555" s="386"/>
      <c r="BI7555" s="386"/>
      <c r="BJ7555" s="46"/>
    </row>
    <row r="7556" spans="59:62" x14ac:dyDescent="0.3">
      <c r="BG7556" s="387"/>
      <c r="BH7556" s="386"/>
      <c r="BI7556" s="386"/>
      <c r="BJ7556" s="46"/>
    </row>
    <row r="7557" spans="59:62" x14ac:dyDescent="0.3">
      <c r="BG7557" s="387"/>
      <c r="BH7557" s="386"/>
      <c r="BI7557" s="386"/>
      <c r="BJ7557" s="46"/>
    </row>
    <row r="7558" spans="59:62" x14ac:dyDescent="0.3">
      <c r="BG7558" s="387"/>
      <c r="BH7558" s="386"/>
      <c r="BI7558" s="386"/>
      <c r="BJ7558" s="46"/>
    </row>
    <row r="7559" spans="59:62" x14ac:dyDescent="0.3">
      <c r="BG7559" s="387"/>
      <c r="BH7559" s="386"/>
      <c r="BI7559" s="386"/>
      <c r="BJ7559" s="46"/>
    </row>
    <row r="7560" spans="59:62" x14ac:dyDescent="0.3">
      <c r="BG7560" s="387"/>
      <c r="BH7560" s="386"/>
      <c r="BI7560" s="386"/>
      <c r="BJ7560" s="46"/>
    </row>
    <row r="7561" spans="59:62" x14ac:dyDescent="0.3">
      <c r="BG7561" s="387"/>
      <c r="BH7561" s="386"/>
      <c r="BI7561" s="386"/>
      <c r="BJ7561" s="46"/>
    </row>
    <row r="7562" spans="59:62" x14ac:dyDescent="0.3">
      <c r="BG7562" s="387"/>
      <c r="BH7562" s="386"/>
      <c r="BI7562" s="386"/>
      <c r="BJ7562" s="46"/>
    </row>
    <row r="7563" spans="59:62" x14ac:dyDescent="0.3">
      <c r="BG7563" s="387"/>
      <c r="BH7563" s="386"/>
      <c r="BI7563" s="386"/>
      <c r="BJ7563" s="46"/>
    </row>
    <row r="7564" spans="59:62" x14ac:dyDescent="0.3">
      <c r="BG7564" s="387"/>
      <c r="BH7564" s="386"/>
      <c r="BI7564" s="386"/>
      <c r="BJ7564" s="46"/>
    </row>
    <row r="7565" spans="59:62" x14ac:dyDescent="0.3">
      <c r="BG7565" s="387"/>
      <c r="BH7565" s="386"/>
      <c r="BI7565" s="386"/>
      <c r="BJ7565" s="46"/>
    </row>
    <row r="7566" spans="59:62" x14ac:dyDescent="0.3">
      <c r="BG7566" s="387"/>
      <c r="BH7566" s="386"/>
      <c r="BI7566" s="386"/>
      <c r="BJ7566" s="46"/>
    </row>
    <row r="7567" spans="59:62" x14ac:dyDescent="0.3">
      <c r="BG7567" s="387"/>
      <c r="BH7567" s="386"/>
      <c r="BI7567" s="386"/>
      <c r="BJ7567" s="46"/>
    </row>
    <row r="7568" spans="59:62" x14ac:dyDescent="0.3">
      <c r="BG7568" s="387"/>
      <c r="BH7568" s="386"/>
      <c r="BI7568" s="386"/>
      <c r="BJ7568" s="46"/>
    </row>
    <row r="7569" spans="59:62" x14ac:dyDescent="0.3">
      <c r="BG7569" s="387"/>
      <c r="BH7569" s="386"/>
      <c r="BI7569" s="386"/>
      <c r="BJ7569" s="46"/>
    </row>
    <row r="7570" spans="59:62" x14ac:dyDescent="0.3">
      <c r="BG7570" s="387"/>
      <c r="BH7570" s="386"/>
      <c r="BI7570" s="386"/>
      <c r="BJ7570" s="46"/>
    </row>
    <row r="7571" spans="59:62" x14ac:dyDescent="0.3">
      <c r="BG7571" s="387"/>
      <c r="BH7571" s="386"/>
      <c r="BI7571" s="386"/>
      <c r="BJ7571" s="46"/>
    </row>
    <row r="7572" spans="59:62" x14ac:dyDescent="0.3">
      <c r="BG7572" s="387"/>
      <c r="BH7572" s="386"/>
      <c r="BI7572" s="386"/>
      <c r="BJ7572" s="46"/>
    </row>
    <row r="7573" spans="59:62" x14ac:dyDescent="0.3">
      <c r="BG7573" s="387"/>
      <c r="BH7573" s="386"/>
      <c r="BI7573" s="386"/>
      <c r="BJ7573" s="46"/>
    </row>
    <row r="7574" spans="59:62" x14ac:dyDescent="0.3">
      <c r="BG7574" s="387"/>
      <c r="BH7574" s="386"/>
      <c r="BI7574" s="386"/>
      <c r="BJ7574" s="46"/>
    </row>
    <row r="7575" spans="59:62" x14ac:dyDescent="0.3">
      <c r="BG7575" s="387"/>
      <c r="BH7575" s="386"/>
      <c r="BI7575" s="386"/>
      <c r="BJ7575" s="46"/>
    </row>
    <row r="7576" spans="59:62" x14ac:dyDescent="0.3">
      <c r="BG7576" s="387"/>
      <c r="BH7576" s="386"/>
      <c r="BI7576" s="386"/>
      <c r="BJ7576" s="46"/>
    </row>
    <row r="7577" spans="59:62" x14ac:dyDescent="0.3">
      <c r="BG7577" s="387"/>
      <c r="BH7577" s="386"/>
      <c r="BI7577" s="386"/>
      <c r="BJ7577" s="46"/>
    </row>
    <row r="7578" spans="59:62" x14ac:dyDescent="0.3">
      <c r="BG7578" s="387"/>
      <c r="BH7578" s="386"/>
      <c r="BI7578" s="386"/>
      <c r="BJ7578" s="46"/>
    </row>
    <row r="7579" spans="59:62" x14ac:dyDescent="0.3">
      <c r="BG7579" s="387"/>
      <c r="BH7579" s="386"/>
      <c r="BI7579" s="386"/>
      <c r="BJ7579" s="46"/>
    </row>
    <row r="7580" spans="59:62" x14ac:dyDescent="0.3">
      <c r="BG7580" s="387"/>
      <c r="BH7580" s="386"/>
      <c r="BI7580" s="386"/>
      <c r="BJ7580" s="46"/>
    </row>
    <row r="7581" spans="59:62" x14ac:dyDescent="0.3">
      <c r="BG7581" s="387"/>
      <c r="BH7581" s="386"/>
      <c r="BI7581" s="386"/>
      <c r="BJ7581" s="46"/>
    </row>
    <row r="7582" spans="59:62" x14ac:dyDescent="0.3">
      <c r="BG7582" s="387"/>
      <c r="BH7582" s="386"/>
      <c r="BI7582" s="386"/>
      <c r="BJ7582" s="46"/>
    </row>
    <row r="7583" spans="59:62" x14ac:dyDescent="0.3">
      <c r="BG7583" s="387"/>
      <c r="BH7583" s="386"/>
      <c r="BI7583" s="386"/>
      <c r="BJ7583" s="46"/>
    </row>
    <row r="7584" spans="59:62" x14ac:dyDescent="0.3">
      <c r="BG7584" s="387"/>
      <c r="BH7584" s="386"/>
      <c r="BI7584" s="386"/>
      <c r="BJ7584" s="46"/>
    </row>
    <row r="7585" spans="59:62" x14ac:dyDescent="0.3">
      <c r="BG7585" s="387"/>
      <c r="BH7585" s="386"/>
      <c r="BI7585" s="386"/>
      <c r="BJ7585" s="46"/>
    </row>
    <row r="7586" spans="59:62" x14ac:dyDescent="0.3">
      <c r="BG7586" s="387"/>
      <c r="BH7586" s="386"/>
      <c r="BI7586" s="386"/>
      <c r="BJ7586" s="46"/>
    </row>
    <row r="7587" spans="59:62" x14ac:dyDescent="0.3">
      <c r="BG7587" s="387"/>
      <c r="BH7587" s="386"/>
      <c r="BI7587" s="386"/>
      <c r="BJ7587" s="46"/>
    </row>
    <row r="7588" spans="59:62" x14ac:dyDescent="0.3">
      <c r="BG7588" s="387"/>
      <c r="BH7588" s="386"/>
      <c r="BI7588" s="386"/>
      <c r="BJ7588" s="46"/>
    </row>
    <row r="7589" spans="59:62" x14ac:dyDescent="0.3">
      <c r="BG7589" s="387"/>
      <c r="BH7589" s="386"/>
      <c r="BI7589" s="386"/>
      <c r="BJ7589" s="46"/>
    </row>
    <row r="7590" spans="59:62" x14ac:dyDescent="0.3">
      <c r="BG7590" s="387"/>
      <c r="BH7590" s="386"/>
      <c r="BI7590" s="386"/>
      <c r="BJ7590" s="46"/>
    </row>
    <row r="7591" spans="59:62" x14ac:dyDescent="0.3">
      <c r="BG7591" s="387"/>
      <c r="BH7591" s="386"/>
      <c r="BI7591" s="386"/>
      <c r="BJ7591" s="46"/>
    </row>
    <row r="7592" spans="59:62" x14ac:dyDescent="0.3">
      <c r="BG7592" s="387"/>
      <c r="BH7592" s="386"/>
      <c r="BI7592" s="386"/>
      <c r="BJ7592" s="46"/>
    </row>
    <row r="7593" spans="59:62" x14ac:dyDescent="0.3">
      <c r="BG7593" s="387"/>
      <c r="BH7593" s="386"/>
      <c r="BI7593" s="386"/>
      <c r="BJ7593" s="46"/>
    </row>
    <row r="7594" spans="59:62" x14ac:dyDescent="0.3">
      <c r="BG7594" s="387"/>
      <c r="BH7594" s="386"/>
      <c r="BI7594" s="386"/>
      <c r="BJ7594" s="46"/>
    </row>
    <row r="7595" spans="59:62" x14ac:dyDescent="0.3">
      <c r="BG7595" s="387"/>
      <c r="BH7595" s="386"/>
      <c r="BI7595" s="386"/>
      <c r="BJ7595" s="46"/>
    </row>
    <row r="7596" spans="59:62" x14ac:dyDescent="0.3">
      <c r="BG7596" s="387"/>
      <c r="BH7596" s="386"/>
      <c r="BI7596" s="386"/>
      <c r="BJ7596" s="46"/>
    </row>
    <row r="7597" spans="59:62" x14ac:dyDescent="0.3">
      <c r="BG7597" s="387"/>
      <c r="BH7597" s="386"/>
      <c r="BI7597" s="386"/>
      <c r="BJ7597" s="46"/>
    </row>
    <row r="7598" spans="59:62" x14ac:dyDescent="0.3">
      <c r="BG7598" s="387"/>
      <c r="BH7598" s="386"/>
      <c r="BI7598" s="386"/>
      <c r="BJ7598" s="46"/>
    </row>
    <row r="7599" spans="59:62" x14ac:dyDescent="0.3">
      <c r="BG7599" s="387"/>
      <c r="BH7599" s="386"/>
      <c r="BI7599" s="386"/>
      <c r="BJ7599" s="46"/>
    </row>
    <row r="7600" spans="59:62" x14ac:dyDescent="0.3">
      <c r="BG7600" s="387"/>
      <c r="BH7600" s="386"/>
      <c r="BI7600" s="386"/>
      <c r="BJ7600" s="46"/>
    </row>
    <row r="7601" spans="59:62" x14ac:dyDescent="0.3">
      <c r="BG7601" s="387"/>
      <c r="BH7601" s="386"/>
      <c r="BI7601" s="386"/>
      <c r="BJ7601" s="46"/>
    </row>
    <row r="7602" spans="59:62" x14ac:dyDescent="0.3">
      <c r="BG7602" s="387"/>
      <c r="BH7602" s="386"/>
      <c r="BI7602" s="386"/>
      <c r="BJ7602" s="46"/>
    </row>
    <row r="7603" spans="59:62" x14ac:dyDescent="0.3">
      <c r="BG7603" s="387"/>
      <c r="BH7603" s="386"/>
      <c r="BI7603" s="386"/>
      <c r="BJ7603" s="46"/>
    </row>
    <row r="7604" spans="59:62" x14ac:dyDescent="0.3">
      <c r="BG7604" s="387"/>
      <c r="BH7604" s="386"/>
      <c r="BI7604" s="386"/>
      <c r="BJ7604" s="46"/>
    </row>
    <row r="7605" spans="59:62" x14ac:dyDescent="0.3">
      <c r="BG7605" s="387"/>
      <c r="BH7605" s="386"/>
      <c r="BI7605" s="386"/>
      <c r="BJ7605" s="46"/>
    </row>
    <row r="7606" spans="59:62" x14ac:dyDescent="0.3">
      <c r="BG7606" s="387"/>
      <c r="BH7606" s="386"/>
      <c r="BI7606" s="386"/>
      <c r="BJ7606" s="46"/>
    </row>
    <row r="7607" spans="59:62" x14ac:dyDescent="0.3">
      <c r="BG7607" s="387"/>
      <c r="BH7607" s="386"/>
      <c r="BI7607" s="386"/>
      <c r="BJ7607" s="46"/>
    </row>
    <row r="7608" spans="59:62" x14ac:dyDescent="0.3">
      <c r="BG7608" s="387"/>
      <c r="BH7608" s="386"/>
      <c r="BI7608" s="386"/>
      <c r="BJ7608" s="46"/>
    </row>
    <row r="7609" spans="59:62" x14ac:dyDescent="0.3">
      <c r="BG7609" s="387"/>
      <c r="BH7609" s="386"/>
      <c r="BI7609" s="386"/>
      <c r="BJ7609" s="46"/>
    </row>
    <row r="7610" spans="59:62" x14ac:dyDescent="0.3">
      <c r="BG7610" s="387"/>
      <c r="BH7610" s="386"/>
      <c r="BI7610" s="386"/>
      <c r="BJ7610" s="46"/>
    </row>
    <row r="7611" spans="59:62" x14ac:dyDescent="0.3">
      <c r="BG7611" s="387"/>
      <c r="BH7611" s="386"/>
      <c r="BI7611" s="386"/>
      <c r="BJ7611" s="46"/>
    </row>
    <row r="7612" spans="59:62" x14ac:dyDescent="0.3">
      <c r="BG7612" s="387"/>
      <c r="BH7612" s="386"/>
      <c r="BI7612" s="386"/>
      <c r="BJ7612" s="46"/>
    </row>
    <row r="7613" spans="59:62" x14ac:dyDescent="0.3">
      <c r="BG7613" s="387"/>
      <c r="BH7613" s="386"/>
      <c r="BI7613" s="386"/>
      <c r="BJ7613" s="46"/>
    </row>
    <row r="7614" spans="59:62" x14ac:dyDescent="0.3">
      <c r="BG7614" s="387"/>
      <c r="BH7614" s="386"/>
      <c r="BI7614" s="386"/>
      <c r="BJ7614" s="46"/>
    </row>
    <row r="7615" spans="59:62" x14ac:dyDescent="0.3">
      <c r="BG7615" s="387"/>
      <c r="BH7615" s="386"/>
      <c r="BI7615" s="386"/>
      <c r="BJ7615" s="46"/>
    </row>
    <row r="7616" spans="59:62" x14ac:dyDescent="0.3">
      <c r="BG7616" s="387"/>
      <c r="BH7616" s="386"/>
      <c r="BI7616" s="386"/>
      <c r="BJ7616" s="46"/>
    </row>
    <row r="7617" spans="59:62" x14ac:dyDescent="0.3">
      <c r="BG7617" s="387"/>
      <c r="BH7617" s="386"/>
      <c r="BI7617" s="386"/>
      <c r="BJ7617" s="46"/>
    </row>
    <row r="7618" spans="59:62" x14ac:dyDescent="0.3">
      <c r="BG7618" s="387"/>
      <c r="BH7618" s="386"/>
      <c r="BI7618" s="386"/>
      <c r="BJ7618" s="46"/>
    </row>
    <row r="7619" spans="59:62" x14ac:dyDescent="0.3">
      <c r="BG7619" s="387"/>
      <c r="BH7619" s="386"/>
      <c r="BI7619" s="386"/>
      <c r="BJ7619" s="46"/>
    </row>
    <row r="7620" spans="59:62" x14ac:dyDescent="0.3">
      <c r="BG7620" s="387"/>
      <c r="BH7620" s="386"/>
      <c r="BI7620" s="386"/>
      <c r="BJ7620" s="46"/>
    </row>
    <row r="7621" spans="59:62" x14ac:dyDescent="0.3">
      <c r="BG7621" s="387"/>
      <c r="BH7621" s="386"/>
      <c r="BI7621" s="386"/>
      <c r="BJ7621" s="46"/>
    </row>
    <row r="7622" spans="59:62" x14ac:dyDescent="0.3">
      <c r="BG7622" s="387"/>
      <c r="BH7622" s="386"/>
      <c r="BI7622" s="386"/>
      <c r="BJ7622" s="46"/>
    </row>
    <row r="7623" spans="59:62" x14ac:dyDescent="0.3">
      <c r="BG7623" s="387"/>
      <c r="BH7623" s="386"/>
      <c r="BI7623" s="386"/>
      <c r="BJ7623" s="46"/>
    </row>
    <row r="7624" spans="59:62" x14ac:dyDescent="0.3">
      <c r="BG7624" s="387"/>
      <c r="BH7624" s="386"/>
      <c r="BI7624" s="386"/>
      <c r="BJ7624" s="46"/>
    </row>
    <row r="7625" spans="59:62" x14ac:dyDescent="0.3">
      <c r="BG7625" s="387"/>
      <c r="BH7625" s="386"/>
      <c r="BI7625" s="386"/>
      <c r="BJ7625" s="46"/>
    </row>
    <row r="7626" spans="59:62" x14ac:dyDescent="0.3">
      <c r="BG7626" s="387"/>
      <c r="BH7626" s="386"/>
      <c r="BI7626" s="386"/>
      <c r="BJ7626" s="46"/>
    </row>
    <row r="7627" spans="59:62" x14ac:dyDescent="0.3">
      <c r="BG7627" s="387"/>
      <c r="BH7627" s="386"/>
      <c r="BI7627" s="386"/>
      <c r="BJ7627" s="46"/>
    </row>
    <row r="7628" spans="59:62" x14ac:dyDescent="0.3">
      <c r="BG7628" s="387"/>
      <c r="BH7628" s="386"/>
      <c r="BI7628" s="386"/>
      <c r="BJ7628" s="46"/>
    </row>
    <row r="7629" spans="59:62" x14ac:dyDescent="0.3">
      <c r="BG7629" s="387"/>
      <c r="BH7629" s="386"/>
      <c r="BI7629" s="386"/>
      <c r="BJ7629" s="46"/>
    </row>
    <row r="7630" spans="59:62" x14ac:dyDescent="0.3">
      <c r="BG7630" s="387"/>
      <c r="BH7630" s="386"/>
      <c r="BI7630" s="386"/>
      <c r="BJ7630" s="46"/>
    </row>
    <row r="7631" spans="59:62" x14ac:dyDescent="0.3">
      <c r="BG7631" s="387"/>
      <c r="BH7631" s="386"/>
      <c r="BI7631" s="386"/>
      <c r="BJ7631" s="46"/>
    </row>
    <row r="7632" spans="59:62" x14ac:dyDescent="0.3">
      <c r="BG7632" s="387"/>
      <c r="BH7632" s="386"/>
      <c r="BI7632" s="386"/>
      <c r="BJ7632" s="46"/>
    </row>
    <row r="7633" spans="59:62" x14ac:dyDescent="0.3">
      <c r="BG7633" s="387"/>
      <c r="BH7633" s="386"/>
      <c r="BI7633" s="386"/>
      <c r="BJ7633" s="46"/>
    </row>
    <row r="7634" spans="59:62" x14ac:dyDescent="0.3">
      <c r="BG7634" s="387"/>
      <c r="BH7634" s="386"/>
      <c r="BI7634" s="386"/>
      <c r="BJ7634" s="46"/>
    </row>
    <row r="7635" spans="59:62" x14ac:dyDescent="0.3">
      <c r="BG7635" s="387"/>
      <c r="BH7635" s="386"/>
      <c r="BI7635" s="386"/>
      <c r="BJ7635" s="46"/>
    </row>
    <row r="7636" spans="59:62" x14ac:dyDescent="0.3">
      <c r="BG7636" s="387"/>
      <c r="BH7636" s="386"/>
      <c r="BI7636" s="386"/>
      <c r="BJ7636" s="46"/>
    </row>
    <row r="7637" spans="59:62" x14ac:dyDescent="0.3">
      <c r="BG7637" s="387"/>
      <c r="BH7637" s="386"/>
      <c r="BI7637" s="386"/>
      <c r="BJ7637" s="46"/>
    </row>
    <row r="7638" spans="59:62" x14ac:dyDescent="0.3">
      <c r="BG7638" s="387"/>
      <c r="BH7638" s="386"/>
      <c r="BI7638" s="386"/>
      <c r="BJ7638" s="46"/>
    </row>
    <row r="7639" spans="59:62" x14ac:dyDescent="0.3">
      <c r="BG7639" s="387"/>
      <c r="BH7639" s="386"/>
      <c r="BI7639" s="386"/>
      <c r="BJ7639" s="46"/>
    </row>
    <row r="7640" spans="59:62" x14ac:dyDescent="0.3">
      <c r="BG7640" s="387"/>
      <c r="BH7640" s="386"/>
      <c r="BI7640" s="386"/>
      <c r="BJ7640" s="46"/>
    </row>
    <row r="7641" spans="59:62" x14ac:dyDescent="0.3">
      <c r="BG7641" s="387"/>
      <c r="BH7641" s="386"/>
      <c r="BI7641" s="386"/>
      <c r="BJ7641" s="46"/>
    </row>
    <row r="7642" spans="59:62" x14ac:dyDescent="0.3">
      <c r="BG7642" s="387"/>
      <c r="BH7642" s="386"/>
      <c r="BI7642" s="386"/>
      <c r="BJ7642" s="46"/>
    </row>
    <row r="7643" spans="59:62" x14ac:dyDescent="0.3">
      <c r="BG7643" s="387"/>
      <c r="BH7643" s="386"/>
      <c r="BI7643" s="386"/>
      <c r="BJ7643" s="46"/>
    </row>
    <row r="7644" spans="59:62" x14ac:dyDescent="0.3">
      <c r="BG7644" s="387"/>
      <c r="BH7644" s="386"/>
      <c r="BI7644" s="386"/>
      <c r="BJ7644" s="46"/>
    </row>
    <row r="7645" spans="59:62" x14ac:dyDescent="0.3">
      <c r="BG7645" s="387"/>
      <c r="BH7645" s="386"/>
      <c r="BI7645" s="386"/>
      <c r="BJ7645" s="46"/>
    </row>
    <row r="7646" spans="59:62" x14ac:dyDescent="0.3">
      <c r="BG7646" s="387"/>
      <c r="BH7646" s="386"/>
      <c r="BI7646" s="386"/>
      <c r="BJ7646" s="46"/>
    </row>
    <row r="7647" spans="59:62" x14ac:dyDescent="0.3">
      <c r="BG7647" s="387"/>
      <c r="BH7647" s="386"/>
      <c r="BI7647" s="386"/>
      <c r="BJ7647" s="46"/>
    </row>
    <row r="7648" spans="59:62" x14ac:dyDescent="0.3">
      <c r="BG7648" s="387"/>
      <c r="BH7648" s="386"/>
      <c r="BI7648" s="386"/>
      <c r="BJ7648" s="46"/>
    </row>
    <row r="7649" spans="59:62" x14ac:dyDescent="0.3">
      <c r="BG7649" s="387"/>
      <c r="BH7649" s="386"/>
      <c r="BI7649" s="386"/>
      <c r="BJ7649" s="46"/>
    </row>
    <row r="7650" spans="59:62" x14ac:dyDescent="0.3">
      <c r="BG7650" s="387"/>
      <c r="BH7650" s="386"/>
      <c r="BI7650" s="386"/>
      <c r="BJ7650" s="46"/>
    </row>
    <row r="7651" spans="59:62" x14ac:dyDescent="0.3">
      <c r="BG7651" s="387"/>
      <c r="BH7651" s="386"/>
      <c r="BI7651" s="386"/>
      <c r="BJ7651" s="46"/>
    </row>
    <row r="7652" spans="59:62" x14ac:dyDescent="0.3">
      <c r="BG7652" s="387"/>
      <c r="BH7652" s="386"/>
      <c r="BI7652" s="386"/>
      <c r="BJ7652" s="46"/>
    </row>
    <row r="7653" spans="59:62" x14ac:dyDescent="0.3">
      <c r="BG7653" s="387"/>
      <c r="BH7653" s="386"/>
      <c r="BI7653" s="386"/>
      <c r="BJ7653" s="46"/>
    </row>
    <row r="7654" spans="59:62" x14ac:dyDescent="0.3">
      <c r="BG7654" s="387"/>
      <c r="BH7654" s="386"/>
      <c r="BI7654" s="386"/>
      <c r="BJ7654" s="46"/>
    </row>
    <row r="7655" spans="59:62" x14ac:dyDescent="0.3">
      <c r="BG7655" s="387"/>
      <c r="BH7655" s="386"/>
      <c r="BI7655" s="386"/>
      <c r="BJ7655" s="46"/>
    </row>
    <row r="7656" spans="59:62" x14ac:dyDescent="0.3">
      <c r="BG7656" s="387"/>
      <c r="BH7656" s="386"/>
      <c r="BI7656" s="386"/>
      <c r="BJ7656" s="46"/>
    </row>
    <row r="7657" spans="59:62" x14ac:dyDescent="0.3">
      <c r="BG7657" s="387"/>
      <c r="BH7657" s="386"/>
      <c r="BI7657" s="386"/>
      <c r="BJ7657" s="46"/>
    </row>
    <row r="7658" spans="59:62" x14ac:dyDescent="0.3">
      <c r="BG7658" s="387"/>
      <c r="BH7658" s="386"/>
      <c r="BI7658" s="386"/>
      <c r="BJ7658" s="46"/>
    </row>
    <row r="7659" spans="59:62" x14ac:dyDescent="0.3">
      <c r="BG7659" s="387"/>
      <c r="BH7659" s="386"/>
      <c r="BI7659" s="386"/>
      <c r="BJ7659" s="46"/>
    </row>
    <row r="7660" spans="59:62" x14ac:dyDescent="0.3">
      <c r="BG7660" s="387"/>
      <c r="BH7660" s="386"/>
      <c r="BI7660" s="386"/>
      <c r="BJ7660" s="46"/>
    </row>
    <row r="7661" spans="59:62" x14ac:dyDescent="0.3">
      <c r="BG7661" s="387"/>
      <c r="BH7661" s="386"/>
      <c r="BI7661" s="386"/>
      <c r="BJ7661" s="46"/>
    </row>
    <row r="7662" spans="59:62" x14ac:dyDescent="0.3">
      <c r="BG7662" s="387"/>
      <c r="BH7662" s="386"/>
      <c r="BI7662" s="386"/>
      <c r="BJ7662" s="46"/>
    </row>
    <row r="7663" spans="59:62" x14ac:dyDescent="0.3">
      <c r="BG7663" s="387"/>
      <c r="BH7663" s="386"/>
      <c r="BI7663" s="386"/>
      <c r="BJ7663" s="46"/>
    </row>
    <row r="7664" spans="59:62" x14ac:dyDescent="0.3">
      <c r="BG7664" s="387"/>
      <c r="BH7664" s="386"/>
      <c r="BI7664" s="386"/>
      <c r="BJ7664" s="46"/>
    </row>
    <row r="7665" spans="59:62" x14ac:dyDescent="0.3">
      <c r="BG7665" s="387"/>
      <c r="BH7665" s="386"/>
      <c r="BI7665" s="386"/>
      <c r="BJ7665" s="46"/>
    </row>
    <row r="7666" spans="59:62" x14ac:dyDescent="0.3">
      <c r="BG7666" s="387"/>
      <c r="BH7666" s="386"/>
      <c r="BI7666" s="386"/>
      <c r="BJ7666" s="46"/>
    </row>
    <row r="7667" spans="59:62" x14ac:dyDescent="0.3">
      <c r="BG7667" s="387"/>
      <c r="BH7667" s="386"/>
      <c r="BI7667" s="386"/>
      <c r="BJ7667" s="46"/>
    </row>
    <row r="7668" spans="59:62" x14ac:dyDescent="0.3">
      <c r="BG7668" s="387"/>
      <c r="BH7668" s="386"/>
      <c r="BI7668" s="386"/>
      <c r="BJ7668" s="46"/>
    </row>
    <row r="7669" spans="59:62" x14ac:dyDescent="0.3">
      <c r="BG7669" s="387"/>
      <c r="BH7669" s="386"/>
      <c r="BI7669" s="386"/>
      <c r="BJ7669" s="46"/>
    </row>
    <row r="7670" spans="59:62" x14ac:dyDescent="0.3">
      <c r="BG7670" s="387"/>
      <c r="BH7670" s="386"/>
      <c r="BI7670" s="386"/>
      <c r="BJ7670" s="46"/>
    </row>
    <row r="7671" spans="59:62" x14ac:dyDescent="0.3">
      <c r="BG7671" s="387"/>
      <c r="BH7671" s="386"/>
      <c r="BI7671" s="386"/>
      <c r="BJ7671" s="46"/>
    </row>
    <row r="7672" spans="59:62" x14ac:dyDescent="0.3">
      <c r="BG7672" s="387"/>
      <c r="BH7672" s="386"/>
      <c r="BI7672" s="386"/>
      <c r="BJ7672" s="46"/>
    </row>
    <row r="7673" spans="59:62" x14ac:dyDescent="0.3">
      <c r="BG7673" s="387"/>
      <c r="BH7673" s="386"/>
      <c r="BI7673" s="386"/>
      <c r="BJ7673" s="46"/>
    </row>
    <row r="7674" spans="59:62" x14ac:dyDescent="0.3">
      <c r="BG7674" s="387"/>
      <c r="BH7674" s="386"/>
      <c r="BI7674" s="386"/>
      <c r="BJ7674" s="46"/>
    </row>
    <row r="7675" spans="59:62" x14ac:dyDescent="0.3">
      <c r="BG7675" s="387"/>
      <c r="BH7675" s="386"/>
      <c r="BI7675" s="386"/>
      <c r="BJ7675" s="46"/>
    </row>
    <row r="7676" spans="59:62" x14ac:dyDescent="0.3">
      <c r="BG7676" s="387"/>
      <c r="BH7676" s="386"/>
      <c r="BI7676" s="386"/>
      <c r="BJ7676" s="46"/>
    </row>
    <row r="7677" spans="59:62" x14ac:dyDescent="0.3">
      <c r="BG7677" s="387"/>
      <c r="BH7677" s="386"/>
      <c r="BI7677" s="386"/>
      <c r="BJ7677" s="46"/>
    </row>
    <row r="7678" spans="59:62" x14ac:dyDescent="0.3">
      <c r="BG7678" s="387"/>
      <c r="BH7678" s="386"/>
      <c r="BI7678" s="386"/>
      <c r="BJ7678" s="46"/>
    </row>
    <row r="7679" spans="59:62" x14ac:dyDescent="0.3">
      <c r="BG7679" s="387"/>
      <c r="BH7679" s="386"/>
      <c r="BI7679" s="386"/>
      <c r="BJ7679" s="46"/>
    </row>
    <row r="7680" spans="59:62" x14ac:dyDescent="0.3">
      <c r="BG7680" s="387"/>
      <c r="BH7680" s="386"/>
      <c r="BI7680" s="386"/>
      <c r="BJ7680" s="46"/>
    </row>
    <row r="7681" spans="59:62" x14ac:dyDescent="0.3">
      <c r="BG7681" s="387"/>
      <c r="BH7681" s="386"/>
      <c r="BI7681" s="386"/>
      <c r="BJ7681" s="46"/>
    </row>
    <row r="7682" spans="59:62" x14ac:dyDescent="0.3">
      <c r="BG7682" s="387"/>
      <c r="BH7682" s="386"/>
      <c r="BI7682" s="386"/>
      <c r="BJ7682" s="46"/>
    </row>
    <row r="7683" spans="59:62" x14ac:dyDescent="0.3">
      <c r="BG7683" s="387"/>
      <c r="BH7683" s="386"/>
      <c r="BI7683" s="386"/>
      <c r="BJ7683" s="46"/>
    </row>
    <row r="7684" spans="59:62" x14ac:dyDescent="0.3">
      <c r="BG7684" s="387"/>
      <c r="BH7684" s="386"/>
      <c r="BI7684" s="386"/>
      <c r="BJ7684" s="46"/>
    </row>
    <row r="7685" spans="59:62" x14ac:dyDescent="0.3">
      <c r="BG7685" s="387"/>
      <c r="BH7685" s="386"/>
      <c r="BI7685" s="386"/>
      <c r="BJ7685" s="46"/>
    </row>
    <row r="7686" spans="59:62" x14ac:dyDescent="0.3">
      <c r="BG7686" s="387"/>
      <c r="BH7686" s="386"/>
      <c r="BI7686" s="386"/>
      <c r="BJ7686" s="46"/>
    </row>
    <row r="7687" spans="59:62" x14ac:dyDescent="0.3">
      <c r="BG7687" s="387"/>
      <c r="BH7687" s="386"/>
      <c r="BI7687" s="386"/>
      <c r="BJ7687" s="46"/>
    </row>
    <row r="7688" spans="59:62" x14ac:dyDescent="0.3">
      <c r="BG7688" s="387"/>
      <c r="BH7688" s="386"/>
      <c r="BI7688" s="386"/>
      <c r="BJ7688" s="46"/>
    </row>
    <row r="7689" spans="59:62" x14ac:dyDescent="0.3">
      <c r="BG7689" s="387"/>
      <c r="BH7689" s="386"/>
      <c r="BI7689" s="386"/>
      <c r="BJ7689" s="46"/>
    </row>
    <row r="7690" spans="59:62" x14ac:dyDescent="0.3">
      <c r="BG7690" s="387"/>
      <c r="BH7690" s="386"/>
      <c r="BI7690" s="386"/>
      <c r="BJ7690" s="46"/>
    </row>
    <row r="7691" spans="59:62" x14ac:dyDescent="0.3">
      <c r="BG7691" s="387"/>
      <c r="BH7691" s="386"/>
      <c r="BI7691" s="386"/>
      <c r="BJ7691" s="46"/>
    </row>
    <row r="7692" spans="59:62" x14ac:dyDescent="0.3">
      <c r="BG7692" s="387"/>
      <c r="BH7692" s="386"/>
      <c r="BI7692" s="386"/>
      <c r="BJ7692" s="46"/>
    </row>
    <row r="7693" spans="59:62" x14ac:dyDescent="0.3">
      <c r="BG7693" s="387"/>
      <c r="BH7693" s="386"/>
      <c r="BI7693" s="386"/>
      <c r="BJ7693" s="46"/>
    </row>
    <row r="7694" spans="59:62" x14ac:dyDescent="0.3">
      <c r="BG7694" s="387"/>
      <c r="BH7694" s="386"/>
      <c r="BI7694" s="386"/>
      <c r="BJ7694" s="46"/>
    </row>
    <row r="7695" spans="59:62" x14ac:dyDescent="0.3">
      <c r="BG7695" s="387"/>
      <c r="BH7695" s="386"/>
      <c r="BI7695" s="386"/>
      <c r="BJ7695" s="46"/>
    </row>
    <row r="7696" spans="59:62" x14ac:dyDescent="0.3">
      <c r="BG7696" s="387"/>
      <c r="BH7696" s="386"/>
      <c r="BI7696" s="386"/>
      <c r="BJ7696" s="46"/>
    </row>
    <row r="7697" spans="59:62" x14ac:dyDescent="0.3">
      <c r="BG7697" s="387"/>
      <c r="BH7697" s="386"/>
      <c r="BI7697" s="386"/>
      <c r="BJ7697" s="46"/>
    </row>
    <row r="7698" spans="59:62" x14ac:dyDescent="0.3">
      <c r="BG7698" s="387"/>
      <c r="BH7698" s="386"/>
      <c r="BI7698" s="386"/>
      <c r="BJ7698" s="46"/>
    </row>
    <row r="7699" spans="59:62" x14ac:dyDescent="0.3">
      <c r="BG7699" s="387"/>
      <c r="BH7699" s="386"/>
      <c r="BI7699" s="386"/>
      <c r="BJ7699" s="46"/>
    </row>
    <row r="7700" spans="59:62" x14ac:dyDescent="0.3">
      <c r="BG7700" s="387"/>
      <c r="BH7700" s="386"/>
      <c r="BI7700" s="386"/>
      <c r="BJ7700" s="46"/>
    </row>
    <row r="7701" spans="59:62" x14ac:dyDescent="0.3">
      <c r="BG7701" s="387"/>
      <c r="BH7701" s="386"/>
      <c r="BI7701" s="386"/>
      <c r="BJ7701" s="46"/>
    </row>
    <row r="7702" spans="59:62" x14ac:dyDescent="0.3">
      <c r="BG7702" s="387"/>
      <c r="BH7702" s="386"/>
      <c r="BI7702" s="386"/>
      <c r="BJ7702" s="46"/>
    </row>
    <row r="7703" spans="59:62" x14ac:dyDescent="0.3">
      <c r="BG7703" s="387"/>
      <c r="BH7703" s="386"/>
      <c r="BI7703" s="386"/>
      <c r="BJ7703" s="46"/>
    </row>
    <row r="7704" spans="59:62" x14ac:dyDescent="0.3">
      <c r="BG7704" s="387"/>
      <c r="BH7704" s="386"/>
      <c r="BI7704" s="386"/>
      <c r="BJ7704" s="46"/>
    </row>
    <row r="7705" spans="59:62" x14ac:dyDescent="0.3">
      <c r="BG7705" s="387"/>
      <c r="BH7705" s="386"/>
      <c r="BI7705" s="386"/>
      <c r="BJ7705" s="46"/>
    </row>
    <row r="7706" spans="59:62" x14ac:dyDescent="0.3">
      <c r="BG7706" s="387"/>
      <c r="BH7706" s="386"/>
      <c r="BI7706" s="386"/>
      <c r="BJ7706" s="46"/>
    </row>
    <row r="7707" spans="59:62" x14ac:dyDescent="0.3">
      <c r="BG7707" s="387"/>
      <c r="BH7707" s="386"/>
      <c r="BI7707" s="386"/>
      <c r="BJ7707" s="46"/>
    </row>
    <row r="7708" spans="59:62" x14ac:dyDescent="0.3">
      <c r="BG7708" s="387"/>
      <c r="BH7708" s="386"/>
      <c r="BI7708" s="386"/>
      <c r="BJ7708" s="46"/>
    </row>
    <row r="7709" spans="59:62" x14ac:dyDescent="0.3">
      <c r="BG7709" s="387"/>
      <c r="BH7709" s="386"/>
      <c r="BI7709" s="386"/>
      <c r="BJ7709" s="46"/>
    </row>
    <row r="7710" spans="59:62" x14ac:dyDescent="0.3">
      <c r="BG7710" s="387"/>
      <c r="BH7710" s="386"/>
      <c r="BI7710" s="386"/>
      <c r="BJ7710" s="46"/>
    </row>
    <row r="7711" spans="59:62" x14ac:dyDescent="0.3">
      <c r="BG7711" s="387"/>
      <c r="BH7711" s="386"/>
      <c r="BI7711" s="386"/>
      <c r="BJ7711" s="46"/>
    </row>
    <row r="7712" spans="59:62" x14ac:dyDescent="0.3">
      <c r="BG7712" s="387"/>
      <c r="BH7712" s="386"/>
      <c r="BI7712" s="386"/>
      <c r="BJ7712" s="46"/>
    </row>
    <row r="7713" spans="59:62" x14ac:dyDescent="0.3">
      <c r="BG7713" s="387"/>
      <c r="BH7713" s="386"/>
      <c r="BI7713" s="386"/>
      <c r="BJ7713" s="46"/>
    </row>
    <row r="7714" spans="59:62" x14ac:dyDescent="0.3">
      <c r="BG7714" s="387"/>
      <c r="BH7714" s="386"/>
      <c r="BI7714" s="386"/>
      <c r="BJ7714" s="46"/>
    </row>
    <row r="7715" spans="59:62" x14ac:dyDescent="0.3">
      <c r="BG7715" s="387"/>
      <c r="BH7715" s="386"/>
      <c r="BI7715" s="386"/>
      <c r="BJ7715" s="46"/>
    </row>
    <row r="7716" spans="59:62" x14ac:dyDescent="0.3">
      <c r="BG7716" s="387"/>
      <c r="BH7716" s="386"/>
      <c r="BI7716" s="386"/>
      <c r="BJ7716" s="46"/>
    </row>
    <row r="7717" spans="59:62" x14ac:dyDescent="0.3">
      <c r="BG7717" s="387"/>
      <c r="BH7717" s="386"/>
      <c r="BI7717" s="386"/>
      <c r="BJ7717" s="46"/>
    </row>
    <row r="7718" spans="59:62" x14ac:dyDescent="0.3">
      <c r="BG7718" s="387"/>
      <c r="BH7718" s="386"/>
      <c r="BI7718" s="386"/>
      <c r="BJ7718" s="46"/>
    </row>
    <row r="7719" spans="59:62" x14ac:dyDescent="0.3">
      <c r="BG7719" s="387"/>
      <c r="BH7719" s="386"/>
      <c r="BI7719" s="386"/>
      <c r="BJ7719" s="46"/>
    </row>
    <row r="7720" spans="59:62" x14ac:dyDescent="0.3">
      <c r="BG7720" s="387"/>
      <c r="BH7720" s="386"/>
      <c r="BI7720" s="386"/>
      <c r="BJ7720" s="46"/>
    </row>
    <row r="7721" spans="59:62" x14ac:dyDescent="0.3">
      <c r="BG7721" s="387"/>
      <c r="BH7721" s="386"/>
      <c r="BI7721" s="386"/>
      <c r="BJ7721" s="46"/>
    </row>
    <row r="7722" spans="59:62" x14ac:dyDescent="0.3">
      <c r="BG7722" s="387"/>
      <c r="BH7722" s="386"/>
      <c r="BI7722" s="386"/>
      <c r="BJ7722" s="46"/>
    </row>
    <row r="7723" spans="59:62" x14ac:dyDescent="0.3">
      <c r="BG7723" s="387"/>
      <c r="BH7723" s="386"/>
      <c r="BI7723" s="386"/>
      <c r="BJ7723" s="46"/>
    </row>
    <row r="7724" spans="59:62" x14ac:dyDescent="0.3">
      <c r="BG7724" s="387"/>
      <c r="BH7724" s="386"/>
      <c r="BI7724" s="386"/>
      <c r="BJ7724" s="46"/>
    </row>
    <row r="7725" spans="59:62" x14ac:dyDescent="0.3">
      <c r="BG7725" s="387"/>
      <c r="BH7725" s="386"/>
      <c r="BI7725" s="386"/>
      <c r="BJ7725" s="46"/>
    </row>
    <row r="7726" spans="59:62" x14ac:dyDescent="0.3">
      <c r="BG7726" s="387"/>
      <c r="BH7726" s="386"/>
      <c r="BI7726" s="386"/>
      <c r="BJ7726" s="46"/>
    </row>
    <row r="7727" spans="59:62" x14ac:dyDescent="0.3">
      <c r="BG7727" s="387"/>
      <c r="BH7727" s="386"/>
      <c r="BI7727" s="386"/>
      <c r="BJ7727" s="46"/>
    </row>
    <row r="7728" spans="59:62" x14ac:dyDescent="0.3">
      <c r="BG7728" s="387"/>
      <c r="BH7728" s="386"/>
      <c r="BI7728" s="386"/>
      <c r="BJ7728" s="46"/>
    </row>
    <row r="7729" spans="59:62" x14ac:dyDescent="0.3">
      <c r="BG7729" s="387"/>
      <c r="BH7729" s="386"/>
      <c r="BI7729" s="386"/>
      <c r="BJ7729" s="46"/>
    </row>
    <row r="7730" spans="59:62" x14ac:dyDescent="0.3">
      <c r="BG7730" s="387"/>
      <c r="BH7730" s="386"/>
      <c r="BI7730" s="386"/>
      <c r="BJ7730" s="46"/>
    </row>
    <row r="7731" spans="59:62" x14ac:dyDescent="0.3">
      <c r="BG7731" s="387"/>
      <c r="BH7731" s="386"/>
      <c r="BI7731" s="386"/>
      <c r="BJ7731" s="46"/>
    </row>
    <row r="7732" spans="59:62" x14ac:dyDescent="0.3">
      <c r="BG7732" s="387"/>
      <c r="BH7732" s="386"/>
      <c r="BI7732" s="386"/>
      <c r="BJ7732" s="46"/>
    </row>
    <row r="7733" spans="59:62" x14ac:dyDescent="0.3">
      <c r="BG7733" s="387"/>
      <c r="BH7733" s="386"/>
      <c r="BI7733" s="386"/>
      <c r="BJ7733" s="46"/>
    </row>
    <row r="7734" spans="59:62" x14ac:dyDescent="0.3">
      <c r="BG7734" s="387"/>
      <c r="BH7734" s="386"/>
      <c r="BI7734" s="386"/>
      <c r="BJ7734" s="46"/>
    </row>
    <row r="7735" spans="59:62" x14ac:dyDescent="0.3">
      <c r="BG7735" s="387"/>
      <c r="BH7735" s="386"/>
      <c r="BI7735" s="386"/>
      <c r="BJ7735" s="46"/>
    </row>
    <row r="7736" spans="59:62" x14ac:dyDescent="0.3">
      <c r="BG7736" s="387"/>
      <c r="BH7736" s="386"/>
      <c r="BI7736" s="386"/>
      <c r="BJ7736" s="46"/>
    </row>
    <row r="7737" spans="59:62" x14ac:dyDescent="0.3">
      <c r="BG7737" s="387"/>
      <c r="BH7737" s="386"/>
      <c r="BI7737" s="386"/>
      <c r="BJ7737" s="46"/>
    </row>
    <row r="7738" spans="59:62" x14ac:dyDescent="0.3">
      <c r="BG7738" s="387"/>
      <c r="BH7738" s="386"/>
      <c r="BI7738" s="386"/>
      <c r="BJ7738" s="46"/>
    </row>
    <row r="7739" spans="59:62" x14ac:dyDescent="0.3">
      <c r="BG7739" s="387"/>
      <c r="BH7739" s="386"/>
      <c r="BI7739" s="386"/>
      <c r="BJ7739" s="46"/>
    </row>
    <row r="7740" spans="59:62" x14ac:dyDescent="0.3">
      <c r="BG7740" s="387"/>
      <c r="BH7740" s="386"/>
      <c r="BI7740" s="386"/>
      <c r="BJ7740" s="46"/>
    </row>
    <row r="7741" spans="59:62" x14ac:dyDescent="0.3">
      <c r="BG7741" s="387"/>
      <c r="BH7741" s="386"/>
      <c r="BI7741" s="386"/>
      <c r="BJ7741" s="46"/>
    </row>
    <row r="7742" spans="59:62" x14ac:dyDescent="0.3">
      <c r="BG7742" s="387"/>
      <c r="BH7742" s="386"/>
      <c r="BI7742" s="386"/>
      <c r="BJ7742" s="46"/>
    </row>
    <row r="7743" spans="59:62" x14ac:dyDescent="0.3">
      <c r="BG7743" s="387"/>
      <c r="BH7743" s="386"/>
      <c r="BI7743" s="386"/>
      <c r="BJ7743" s="46"/>
    </row>
    <row r="7744" spans="59:62" x14ac:dyDescent="0.3">
      <c r="BG7744" s="387"/>
      <c r="BH7744" s="386"/>
      <c r="BI7744" s="386"/>
      <c r="BJ7744" s="46"/>
    </row>
    <row r="7745" spans="59:62" x14ac:dyDescent="0.3">
      <c r="BG7745" s="387"/>
      <c r="BH7745" s="386"/>
      <c r="BI7745" s="386"/>
      <c r="BJ7745" s="46"/>
    </row>
    <row r="7746" spans="59:62" x14ac:dyDescent="0.3">
      <c r="BG7746" s="387"/>
      <c r="BH7746" s="386"/>
      <c r="BI7746" s="386"/>
      <c r="BJ7746" s="46"/>
    </row>
    <row r="7747" spans="59:62" x14ac:dyDescent="0.3">
      <c r="BG7747" s="387"/>
      <c r="BH7747" s="386"/>
      <c r="BI7747" s="386"/>
      <c r="BJ7747" s="46"/>
    </row>
    <row r="7748" spans="59:62" x14ac:dyDescent="0.3">
      <c r="BG7748" s="387"/>
      <c r="BH7748" s="386"/>
      <c r="BI7748" s="386"/>
      <c r="BJ7748" s="46"/>
    </row>
    <row r="7749" spans="59:62" x14ac:dyDescent="0.3">
      <c r="BG7749" s="387"/>
      <c r="BH7749" s="386"/>
      <c r="BI7749" s="386"/>
      <c r="BJ7749" s="46"/>
    </row>
    <row r="7750" spans="59:62" x14ac:dyDescent="0.3">
      <c r="BG7750" s="387"/>
      <c r="BH7750" s="386"/>
      <c r="BI7750" s="386"/>
      <c r="BJ7750" s="46"/>
    </row>
    <row r="7751" spans="59:62" x14ac:dyDescent="0.3">
      <c r="BG7751" s="387"/>
      <c r="BH7751" s="386"/>
      <c r="BI7751" s="386"/>
      <c r="BJ7751" s="46"/>
    </row>
    <row r="7752" spans="59:62" x14ac:dyDescent="0.3">
      <c r="BG7752" s="387"/>
      <c r="BH7752" s="386"/>
      <c r="BI7752" s="386"/>
      <c r="BJ7752" s="46"/>
    </row>
    <row r="7753" spans="59:62" x14ac:dyDescent="0.3">
      <c r="BG7753" s="387"/>
      <c r="BH7753" s="386"/>
      <c r="BI7753" s="386"/>
      <c r="BJ7753" s="46"/>
    </row>
    <row r="7754" spans="59:62" x14ac:dyDescent="0.3">
      <c r="BG7754" s="387"/>
      <c r="BH7754" s="386"/>
      <c r="BI7754" s="386"/>
      <c r="BJ7754" s="46"/>
    </row>
    <row r="7755" spans="59:62" x14ac:dyDescent="0.3">
      <c r="BG7755" s="387"/>
      <c r="BH7755" s="386"/>
      <c r="BI7755" s="386"/>
      <c r="BJ7755" s="46"/>
    </row>
    <row r="7756" spans="59:62" x14ac:dyDescent="0.3">
      <c r="BG7756" s="387"/>
      <c r="BH7756" s="386"/>
      <c r="BI7756" s="386"/>
      <c r="BJ7756" s="46"/>
    </row>
    <row r="7757" spans="59:62" x14ac:dyDescent="0.3">
      <c r="BG7757" s="387"/>
      <c r="BH7757" s="386"/>
      <c r="BI7757" s="386"/>
      <c r="BJ7757" s="46"/>
    </row>
    <row r="7758" spans="59:62" x14ac:dyDescent="0.3">
      <c r="BG7758" s="387"/>
      <c r="BH7758" s="386"/>
      <c r="BI7758" s="386"/>
      <c r="BJ7758" s="46"/>
    </row>
    <row r="7759" spans="59:62" x14ac:dyDescent="0.3">
      <c r="BG7759" s="387"/>
      <c r="BH7759" s="386"/>
      <c r="BI7759" s="386"/>
      <c r="BJ7759" s="46"/>
    </row>
    <row r="7760" spans="59:62" x14ac:dyDescent="0.3">
      <c r="BG7760" s="387"/>
      <c r="BH7760" s="386"/>
      <c r="BI7760" s="386"/>
      <c r="BJ7760" s="46"/>
    </row>
    <row r="7761" spans="59:62" x14ac:dyDescent="0.3">
      <c r="BG7761" s="387"/>
      <c r="BH7761" s="386"/>
      <c r="BI7761" s="386"/>
      <c r="BJ7761" s="46"/>
    </row>
    <row r="7762" spans="59:62" x14ac:dyDescent="0.3">
      <c r="BG7762" s="387"/>
      <c r="BH7762" s="386"/>
      <c r="BI7762" s="386"/>
      <c r="BJ7762" s="46"/>
    </row>
    <row r="7763" spans="59:62" x14ac:dyDescent="0.3">
      <c r="BG7763" s="387"/>
      <c r="BH7763" s="386"/>
      <c r="BI7763" s="386"/>
      <c r="BJ7763" s="46"/>
    </row>
    <row r="7764" spans="59:62" x14ac:dyDescent="0.3">
      <c r="BG7764" s="387"/>
      <c r="BH7764" s="386"/>
      <c r="BI7764" s="386"/>
      <c r="BJ7764" s="46"/>
    </row>
    <row r="7765" spans="59:62" x14ac:dyDescent="0.3">
      <c r="BG7765" s="387"/>
      <c r="BH7765" s="386"/>
      <c r="BI7765" s="386"/>
      <c r="BJ7765" s="46"/>
    </row>
    <row r="7766" spans="59:62" x14ac:dyDescent="0.3">
      <c r="BG7766" s="387"/>
      <c r="BH7766" s="386"/>
      <c r="BI7766" s="386"/>
      <c r="BJ7766" s="46"/>
    </row>
    <row r="7767" spans="59:62" x14ac:dyDescent="0.3">
      <c r="BG7767" s="387"/>
      <c r="BH7767" s="386"/>
      <c r="BI7767" s="386"/>
      <c r="BJ7767" s="46"/>
    </row>
    <row r="7768" spans="59:62" x14ac:dyDescent="0.3">
      <c r="BG7768" s="387"/>
      <c r="BH7768" s="386"/>
      <c r="BI7768" s="386"/>
      <c r="BJ7768" s="46"/>
    </row>
    <row r="7769" spans="59:62" x14ac:dyDescent="0.3">
      <c r="BG7769" s="387"/>
      <c r="BH7769" s="386"/>
      <c r="BI7769" s="386"/>
      <c r="BJ7769" s="46"/>
    </row>
    <row r="7770" spans="59:62" x14ac:dyDescent="0.3">
      <c r="BG7770" s="387"/>
      <c r="BH7770" s="386"/>
      <c r="BI7770" s="386"/>
      <c r="BJ7770" s="46"/>
    </row>
    <row r="7771" spans="59:62" x14ac:dyDescent="0.3">
      <c r="BG7771" s="387"/>
      <c r="BH7771" s="386"/>
      <c r="BI7771" s="386"/>
      <c r="BJ7771" s="46"/>
    </row>
    <row r="7772" spans="59:62" x14ac:dyDescent="0.3">
      <c r="BG7772" s="387"/>
      <c r="BH7772" s="386"/>
      <c r="BI7772" s="386"/>
      <c r="BJ7772" s="46"/>
    </row>
    <row r="7773" spans="59:62" x14ac:dyDescent="0.3">
      <c r="BG7773" s="387"/>
      <c r="BH7773" s="386"/>
      <c r="BI7773" s="386"/>
      <c r="BJ7773" s="46"/>
    </row>
    <row r="7774" spans="59:62" x14ac:dyDescent="0.3">
      <c r="BG7774" s="387"/>
      <c r="BH7774" s="386"/>
      <c r="BI7774" s="386"/>
      <c r="BJ7774" s="46"/>
    </row>
    <row r="7775" spans="59:62" x14ac:dyDescent="0.3">
      <c r="BG7775" s="387"/>
      <c r="BH7775" s="386"/>
      <c r="BI7775" s="386"/>
      <c r="BJ7775" s="46"/>
    </row>
    <row r="7776" spans="59:62" x14ac:dyDescent="0.3">
      <c r="BG7776" s="387"/>
      <c r="BH7776" s="386"/>
      <c r="BI7776" s="386"/>
      <c r="BJ7776" s="46"/>
    </row>
    <row r="7777" spans="59:62" x14ac:dyDescent="0.3">
      <c r="BG7777" s="387"/>
      <c r="BH7777" s="386"/>
      <c r="BI7777" s="386"/>
      <c r="BJ7777" s="46"/>
    </row>
    <row r="7778" spans="59:62" x14ac:dyDescent="0.3">
      <c r="BG7778" s="387"/>
      <c r="BH7778" s="386"/>
      <c r="BI7778" s="386"/>
      <c r="BJ7778" s="46"/>
    </row>
    <row r="7779" spans="59:62" x14ac:dyDescent="0.3">
      <c r="BG7779" s="387"/>
      <c r="BH7779" s="386"/>
      <c r="BI7779" s="386"/>
      <c r="BJ7779" s="46"/>
    </row>
    <row r="7780" spans="59:62" x14ac:dyDescent="0.3">
      <c r="BG7780" s="387"/>
      <c r="BH7780" s="386"/>
      <c r="BI7780" s="386"/>
      <c r="BJ7780" s="46"/>
    </row>
    <row r="7781" spans="59:62" x14ac:dyDescent="0.3">
      <c r="BG7781" s="387"/>
      <c r="BH7781" s="386"/>
      <c r="BI7781" s="386"/>
      <c r="BJ7781" s="46"/>
    </row>
    <row r="7782" spans="59:62" x14ac:dyDescent="0.3">
      <c r="BG7782" s="387"/>
      <c r="BH7782" s="386"/>
      <c r="BI7782" s="386"/>
      <c r="BJ7782" s="46"/>
    </row>
    <row r="7783" spans="59:62" x14ac:dyDescent="0.3">
      <c r="BG7783" s="387"/>
      <c r="BH7783" s="386"/>
      <c r="BI7783" s="386"/>
      <c r="BJ7783" s="46"/>
    </row>
    <row r="7784" spans="59:62" x14ac:dyDescent="0.3">
      <c r="BG7784" s="387"/>
      <c r="BH7784" s="386"/>
      <c r="BI7784" s="386"/>
      <c r="BJ7784" s="46"/>
    </row>
    <row r="7785" spans="59:62" x14ac:dyDescent="0.3">
      <c r="BG7785" s="387"/>
      <c r="BH7785" s="386"/>
      <c r="BI7785" s="386"/>
      <c r="BJ7785" s="46"/>
    </row>
    <row r="7786" spans="59:62" x14ac:dyDescent="0.3">
      <c r="BG7786" s="387"/>
      <c r="BH7786" s="386"/>
      <c r="BI7786" s="386"/>
      <c r="BJ7786" s="46"/>
    </row>
    <row r="7787" spans="59:62" x14ac:dyDescent="0.3">
      <c r="BG7787" s="387"/>
      <c r="BH7787" s="386"/>
      <c r="BI7787" s="386"/>
      <c r="BJ7787" s="46"/>
    </row>
    <row r="7788" spans="59:62" x14ac:dyDescent="0.3">
      <c r="BG7788" s="387"/>
      <c r="BH7788" s="386"/>
      <c r="BI7788" s="386"/>
      <c r="BJ7788" s="46"/>
    </row>
    <row r="7789" spans="59:62" x14ac:dyDescent="0.3">
      <c r="BG7789" s="387"/>
      <c r="BH7789" s="386"/>
      <c r="BI7789" s="386"/>
      <c r="BJ7789" s="46"/>
    </row>
    <row r="7790" spans="59:62" x14ac:dyDescent="0.3">
      <c r="BG7790" s="387"/>
      <c r="BH7790" s="386"/>
      <c r="BI7790" s="386"/>
      <c r="BJ7790" s="46"/>
    </row>
    <row r="7791" spans="59:62" x14ac:dyDescent="0.3">
      <c r="BG7791" s="387"/>
      <c r="BH7791" s="386"/>
      <c r="BI7791" s="386"/>
      <c r="BJ7791" s="46"/>
    </row>
    <row r="7792" spans="59:62" x14ac:dyDescent="0.3">
      <c r="BG7792" s="387"/>
      <c r="BH7792" s="386"/>
      <c r="BI7792" s="386"/>
      <c r="BJ7792" s="46"/>
    </row>
    <row r="7793" spans="59:62" x14ac:dyDescent="0.3">
      <c r="BG7793" s="387"/>
      <c r="BH7793" s="386"/>
      <c r="BI7793" s="386"/>
      <c r="BJ7793" s="46"/>
    </row>
    <row r="7794" spans="59:62" x14ac:dyDescent="0.3">
      <c r="BG7794" s="387"/>
      <c r="BH7794" s="386"/>
      <c r="BI7794" s="386"/>
      <c r="BJ7794" s="46"/>
    </row>
    <row r="7795" spans="59:62" x14ac:dyDescent="0.3">
      <c r="BG7795" s="387"/>
      <c r="BH7795" s="386"/>
      <c r="BI7795" s="386"/>
      <c r="BJ7795" s="46"/>
    </row>
    <row r="7796" spans="59:62" x14ac:dyDescent="0.3">
      <c r="BG7796" s="387"/>
      <c r="BH7796" s="386"/>
      <c r="BI7796" s="386"/>
      <c r="BJ7796" s="46"/>
    </row>
    <row r="7797" spans="59:62" x14ac:dyDescent="0.3">
      <c r="BG7797" s="387"/>
      <c r="BH7797" s="386"/>
      <c r="BI7797" s="386"/>
      <c r="BJ7797" s="46"/>
    </row>
    <row r="7798" spans="59:62" x14ac:dyDescent="0.3">
      <c r="BG7798" s="387"/>
      <c r="BH7798" s="386"/>
      <c r="BI7798" s="386"/>
      <c r="BJ7798" s="46"/>
    </row>
    <row r="7799" spans="59:62" x14ac:dyDescent="0.3">
      <c r="BG7799" s="387"/>
      <c r="BH7799" s="386"/>
      <c r="BI7799" s="386"/>
      <c r="BJ7799" s="46"/>
    </row>
    <row r="7800" spans="59:62" x14ac:dyDescent="0.3">
      <c r="BG7800" s="387"/>
      <c r="BH7800" s="386"/>
      <c r="BI7800" s="386"/>
      <c r="BJ7800" s="46"/>
    </row>
    <row r="7801" spans="59:62" x14ac:dyDescent="0.3">
      <c r="BG7801" s="387"/>
      <c r="BH7801" s="386"/>
      <c r="BI7801" s="386"/>
      <c r="BJ7801" s="46"/>
    </row>
    <row r="7802" spans="59:62" x14ac:dyDescent="0.3">
      <c r="BG7802" s="387"/>
      <c r="BH7802" s="386"/>
      <c r="BI7802" s="386"/>
      <c r="BJ7802" s="46"/>
    </row>
    <row r="7803" spans="59:62" x14ac:dyDescent="0.3">
      <c r="BG7803" s="387"/>
      <c r="BH7803" s="386"/>
      <c r="BI7803" s="386"/>
      <c r="BJ7803" s="46"/>
    </row>
    <row r="7804" spans="59:62" x14ac:dyDescent="0.3">
      <c r="BG7804" s="387"/>
      <c r="BH7804" s="386"/>
      <c r="BI7804" s="386"/>
      <c r="BJ7804" s="46"/>
    </row>
    <row r="7805" spans="59:62" x14ac:dyDescent="0.3">
      <c r="BG7805" s="387"/>
      <c r="BH7805" s="386"/>
      <c r="BI7805" s="386"/>
      <c r="BJ7805" s="46"/>
    </row>
    <row r="7806" spans="59:62" x14ac:dyDescent="0.3">
      <c r="BG7806" s="387"/>
      <c r="BH7806" s="386"/>
      <c r="BI7806" s="386"/>
      <c r="BJ7806" s="46"/>
    </row>
    <row r="7807" spans="59:62" x14ac:dyDescent="0.3">
      <c r="BG7807" s="387"/>
      <c r="BH7807" s="386"/>
      <c r="BI7807" s="386"/>
      <c r="BJ7807" s="46"/>
    </row>
    <row r="7808" spans="59:62" x14ac:dyDescent="0.3">
      <c r="BG7808" s="387"/>
      <c r="BH7808" s="386"/>
      <c r="BI7808" s="386"/>
      <c r="BJ7808" s="46"/>
    </row>
    <row r="7809" spans="59:62" x14ac:dyDescent="0.3">
      <c r="BG7809" s="387"/>
      <c r="BH7809" s="386"/>
      <c r="BI7809" s="386"/>
      <c r="BJ7809" s="46"/>
    </row>
    <row r="7810" spans="59:62" x14ac:dyDescent="0.3">
      <c r="BG7810" s="387"/>
      <c r="BH7810" s="386"/>
      <c r="BI7810" s="386"/>
      <c r="BJ7810" s="46"/>
    </row>
    <row r="7811" spans="59:62" x14ac:dyDescent="0.3">
      <c r="BG7811" s="387"/>
      <c r="BH7811" s="386"/>
      <c r="BI7811" s="386"/>
      <c r="BJ7811" s="46"/>
    </row>
    <row r="7812" spans="59:62" x14ac:dyDescent="0.3">
      <c r="BG7812" s="387"/>
      <c r="BH7812" s="386"/>
      <c r="BI7812" s="386"/>
      <c r="BJ7812" s="46"/>
    </row>
    <row r="7813" spans="59:62" x14ac:dyDescent="0.3">
      <c r="BG7813" s="387"/>
      <c r="BH7813" s="386"/>
      <c r="BI7813" s="386"/>
      <c r="BJ7813" s="46"/>
    </row>
    <row r="7814" spans="59:62" x14ac:dyDescent="0.3">
      <c r="BG7814" s="387"/>
      <c r="BH7814" s="386"/>
      <c r="BI7814" s="386"/>
      <c r="BJ7814" s="46"/>
    </row>
    <row r="7815" spans="59:62" x14ac:dyDescent="0.3">
      <c r="BG7815" s="387"/>
      <c r="BH7815" s="386"/>
      <c r="BI7815" s="386"/>
      <c r="BJ7815" s="46"/>
    </row>
    <row r="7816" spans="59:62" x14ac:dyDescent="0.3">
      <c r="BG7816" s="387"/>
      <c r="BH7816" s="386"/>
      <c r="BI7816" s="386"/>
      <c r="BJ7816" s="46"/>
    </row>
    <row r="7817" spans="59:62" x14ac:dyDescent="0.3">
      <c r="BG7817" s="387"/>
      <c r="BH7817" s="386"/>
      <c r="BI7817" s="386"/>
      <c r="BJ7817" s="46"/>
    </row>
    <row r="7818" spans="59:62" x14ac:dyDescent="0.3">
      <c r="BG7818" s="387"/>
      <c r="BH7818" s="386"/>
      <c r="BI7818" s="386"/>
      <c r="BJ7818" s="46"/>
    </row>
    <row r="7819" spans="59:62" x14ac:dyDescent="0.3">
      <c r="BG7819" s="387"/>
      <c r="BH7819" s="386"/>
      <c r="BI7819" s="386"/>
      <c r="BJ7819" s="46"/>
    </row>
    <row r="7820" spans="59:62" x14ac:dyDescent="0.3">
      <c r="BG7820" s="387"/>
      <c r="BH7820" s="386"/>
      <c r="BI7820" s="386"/>
      <c r="BJ7820" s="46"/>
    </row>
    <row r="7821" spans="59:62" x14ac:dyDescent="0.3">
      <c r="BG7821" s="387"/>
      <c r="BH7821" s="386"/>
      <c r="BI7821" s="386"/>
      <c r="BJ7821" s="46"/>
    </row>
    <row r="7822" spans="59:62" x14ac:dyDescent="0.3">
      <c r="BG7822" s="387"/>
      <c r="BH7822" s="386"/>
      <c r="BI7822" s="386"/>
      <c r="BJ7822" s="46"/>
    </row>
    <row r="7823" spans="59:62" x14ac:dyDescent="0.3">
      <c r="BG7823" s="387"/>
      <c r="BH7823" s="386"/>
      <c r="BI7823" s="386"/>
      <c r="BJ7823" s="46"/>
    </row>
    <row r="7824" spans="59:62" x14ac:dyDescent="0.3">
      <c r="BG7824" s="387"/>
      <c r="BH7824" s="386"/>
      <c r="BI7824" s="386"/>
      <c r="BJ7824" s="46"/>
    </row>
    <row r="7825" spans="59:62" x14ac:dyDescent="0.3">
      <c r="BG7825" s="387"/>
      <c r="BH7825" s="386"/>
      <c r="BI7825" s="386"/>
      <c r="BJ7825" s="46"/>
    </row>
    <row r="7826" spans="59:62" x14ac:dyDescent="0.3">
      <c r="BG7826" s="387"/>
      <c r="BH7826" s="386"/>
      <c r="BI7826" s="386"/>
      <c r="BJ7826" s="46"/>
    </row>
    <row r="7827" spans="59:62" x14ac:dyDescent="0.3">
      <c r="BG7827" s="387"/>
      <c r="BH7827" s="386"/>
      <c r="BI7827" s="386"/>
      <c r="BJ7827" s="46"/>
    </row>
    <row r="7828" spans="59:62" x14ac:dyDescent="0.3">
      <c r="BG7828" s="387"/>
      <c r="BH7828" s="386"/>
      <c r="BI7828" s="386"/>
      <c r="BJ7828" s="46"/>
    </row>
    <row r="7829" spans="59:62" x14ac:dyDescent="0.3">
      <c r="BG7829" s="387"/>
      <c r="BH7829" s="386"/>
      <c r="BI7829" s="386"/>
      <c r="BJ7829" s="46"/>
    </row>
    <row r="7830" spans="59:62" x14ac:dyDescent="0.3">
      <c r="BG7830" s="387"/>
      <c r="BH7830" s="386"/>
      <c r="BI7830" s="386"/>
      <c r="BJ7830" s="46"/>
    </row>
    <row r="7831" spans="59:62" x14ac:dyDescent="0.3">
      <c r="BG7831" s="387"/>
      <c r="BH7831" s="386"/>
      <c r="BI7831" s="386"/>
      <c r="BJ7831" s="46"/>
    </row>
    <row r="7832" spans="59:62" x14ac:dyDescent="0.3">
      <c r="BG7832" s="387"/>
      <c r="BH7832" s="386"/>
      <c r="BI7832" s="386"/>
      <c r="BJ7832" s="46"/>
    </row>
    <row r="7833" spans="59:62" x14ac:dyDescent="0.3">
      <c r="BG7833" s="387"/>
      <c r="BH7833" s="386"/>
      <c r="BI7833" s="386"/>
      <c r="BJ7833" s="46"/>
    </row>
    <row r="7834" spans="59:62" x14ac:dyDescent="0.3">
      <c r="BG7834" s="387"/>
      <c r="BH7834" s="386"/>
      <c r="BI7834" s="386"/>
      <c r="BJ7834" s="46"/>
    </row>
    <row r="7835" spans="59:62" x14ac:dyDescent="0.3">
      <c r="BG7835" s="387"/>
      <c r="BH7835" s="386"/>
      <c r="BI7835" s="386"/>
      <c r="BJ7835" s="46"/>
    </row>
    <row r="7836" spans="59:62" x14ac:dyDescent="0.3">
      <c r="BG7836" s="387"/>
      <c r="BH7836" s="386"/>
      <c r="BI7836" s="386"/>
      <c r="BJ7836" s="46"/>
    </row>
    <row r="7837" spans="59:62" x14ac:dyDescent="0.3">
      <c r="BG7837" s="387"/>
      <c r="BH7837" s="386"/>
      <c r="BI7837" s="386"/>
      <c r="BJ7837" s="46"/>
    </row>
    <row r="7838" spans="59:62" x14ac:dyDescent="0.3">
      <c r="BG7838" s="387"/>
      <c r="BH7838" s="386"/>
      <c r="BI7838" s="386"/>
      <c r="BJ7838" s="46"/>
    </row>
    <row r="7839" spans="59:62" x14ac:dyDescent="0.3">
      <c r="BG7839" s="387"/>
      <c r="BH7839" s="386"/>
      <c r="BI7839" s="386"/>
      <c r="BJ7839" s="46"/>
    </row>
    <row r="7840" spans="59:62" x14ac:dyDescent="0.3">
      <c r="BG7840" s="387"/>
      <c r="BH7840" s="386"/>
      <c r="BI7840" s="386"/>
      <c r="BJ7840" s="46"/>
    </row>
    <row r="7841" spans="59:62" x14ac:dyDescent="0.3">
      <c r="BG7841" s="387"/>
      <c r="BH7841" s="386"/>
      <c r="BI7841" s="386"/>
      <c r="BJ7841" s="46"/>
    </row>
    <row r="7842" spans="59:62" x14ac:dyDescent="0.3">
      <c r="BG7842" s="387"/>
      <c r="BH7842" s="386"/>
      <c r="BI7842" s="386"/>
      <c r="BJ7842" s="46"/>
    </row>
    <row r="7843" spans="59:62" x14ac:dyDescent="0.3">
      <c r="BG7843" s="387"/>
      <c r="BH7843" s="386"/>
      <c r="BI7843" s="386"/>
      <c r="BJ7843" s="46"/>
    </row>
    <row r="7844" spans="59:62" x14ac:dyDescent="0.3">
      <c r="BG7844" s="387"/>
      <c r="BH7844" s="386"/>
      <c r="BI7844" s="386"/>
      <c r="BJ7844" s="46"/>
    </row>
    <row r="7845" spans="59:62" x14ac:dyDescent="0.3">
      <c r="BG7845" s="387"/>
      <c r="BH7845" s="386"/>
      <c r="BI7845" s="386"/>
      <c r="BJ7845" s="46"/>
    </row>
    <row r="7846" spans="59:62" x14ac:dyDescent="0.3">
      <c r="BG7846" s="387"/>
      <c r="BH7846" s="386"/>
      <c r="BI7846" s="386"/>
      <c r="BJ7846" s="46"/>
    </row>
    <row r="7847" spans="59:62" x14ac:dyDescent="0.3">
      <c r="BG7847" s="387"/>
      <c r="BH7847" s="386"/>
      <c r="BI7847" s="386"/>
      <c r="BJ7847" s="46"/>
    </row>
    <row r="7848" spans="59:62" x14ac:dyDescent="0.3">
      <c r="BG7848" s="387"/>
      <c r="BH7848" s="386"/>
      <c r="BI7848" s="386"/>
      <c r="BJ7848" s="46"/>
    </row>
    <row r="7849" spans="59:62" x14ac:dyDescent="0.3">
      <c r="BG7849" s="387"/>
      <c r="BH7849" s="386"/>
      <c r="BI7849" s="386"/>
      <c r="BJ7849" s="46"/>
    </row>
    <row r="7850" spans="59:62" x14ac:dyDescent="0.3">
      <c r="BG7850" s="387"/>
      <c r="BH7850" s="386"/>
      <c r="BI7850" s="386"/>
      <c r="BJ7850" s="46"/>
    </row>
    <row r="7851" spans="59:62" x14ac:dyDescent="0.3">
      <c r="BG7851" s="387"/>
      <c r="BH7851" s="386"/>
      <c r="BI7851" s="386"/>
      <c r="BJ7851" s="46"/>
    </row>
    <row r="7852" spans="59:62" x14ac:dyDescent="0.3">
      <c r="BG7852" s="387"/>
      <c r="BH7852" s="386"/>
      <c r="BI7852" s="386"/>
      <c r="BJ7852" s="46"/>
    </row>
    <row r="7853" spans="59:62" x14ac:dyDescent="0.3">
      <c r="BG7853" s="387"/>
      <c r="BH7853" s="386"/>
      <c r="BI7853" s="386"/>
      <c r="BJ7853" s="46"/>
    </row>
    <row r="7854" spans="59:62" x14ac:dyDescent="0.3">
      <c r="BG7854" s="387"/>
      <c r="BH7854" s="386"/>
      <c r="BI7854" s="386"/>
      <c r="BJ7854" s="46"/>
    </row>
    <row r="7855" spans="59:62" x14ac:dyDescent="0.3">
      <c r="BG7855" s="387"/>
      <c r="BH7855" s="386"/>
      <c r="BI7855" s="386"/>
      <c r="BJ7855" s="46"/>
    </row>
    <row r="7856" spans="59:62" x14ac:dyDescent="0.3">
      <c r="BG7856" s="387"/>
      <c r="BH7856" s="386"/>
      <c r="BI7856" s="386"/>
      <c r="BJ7856" s="46"/>
    </row>
    <row r="7857" spans="59:62" x14ac:dyDescent="0.3">
      <c r="BG7857" s="387"/>
      <c r="BH7857" s="386"/>
      <c r="BI7857" s="386"/>
      <c r="BJ7857" s="46"/>
    </row>
    <row r="7858" spans="59:62" x14ac:dyDescent="0.3">
      <c r="BG7858" s="387"/>
      <c r="BH7858" s="386"/>
      <c r="BI7858" s="386"/>
      <c r="BJ7858" s="46"/>
    </row>
    <row r="7859" spans="59:62" x14ac:dyDescent="0.3">
      <c r="BG7859" s="387"/>
      <c r="BH7859" s="386"/>
      <c r="BI7859" s="386"/>
      <c r="BJ7859" s="46"/>
    </row>
    <row r="7860" spans="59:62" x14ac:dyDescent="0.3">
      <c r="BG7860" s="387"/>
      <c r="BH7860" s="386"/>
      <c r="BI7860" s="386"/>
      <c r="BJ7860" s="46"/>
    </row>
    <row r="7861" spans="59:62" x14ac:dyDescent="0.3">
      <c r="BG7861" s="387"/>
      <c r="BH7861" s="386"/>
      <c r="BI7861" s="386"/>
      <c r="BJ7861" s="46"/>
    </row>
    <row r="7862" spans="59:62" x14ac:dyDescent="0.3">
      <c r="BG7862" s="387"/>
      <c r="BH7862" s="386"/>
      <c r="BI7862" s="386"/>
      <c r="BJ7862" s="46"/>
    </row>
    <row r="7863" spans="59:62" x14ac:dyDescent="0.3">
      <c r="BG7863" s="387"/>
      <c r="BH7863" s="386"/>
      <c r="BI7863" s="386"/>
      <c r="BJ7863" s="46"/>
    </row>
    <row r="7864" spans="59:62" x14ac:dyDescent="0.3">
      <c r="BG7864" s="387"/>
      <c r="BH7864" s="386"/>
      <c r="BI7864" s="386"/>
      <c r="BJ7864" s="46"/>
    </row>
    <row r="7865" spans="59:62" x14ac:dyDescent="0.3">
      <c r="BG7865" s="387"/>
      <c r="BH7865" s="386"/>
      <c r="BI7865" s="386"/>
      <c r="BJ7865" s="46"/>
    </row>
    <row r="7866" spans="59:62" x14ac:dyDescent="0.3">
      <c r="BG7866" s="387"/>
      <c r="BH7866" s="386"/>
      <c r="BI7866" s="386"/>
      <c r="BJ7866" s="46"/>
    </row>
    <row r="7867" spans="59:62" x14ac:dyDescent="0.3">
      <c r="BG7867" s="387"/>
      <c r="BH7867" s="386"/>
      <c r="BI7867" s="386"/>
      <c r="BJ7867" s="46"/>
    </row>
    <row r="7868" spans="59:62" x14ac:dyDescent="0.3">
      <c r="BG7868" s="387"/>
      <c r="BH7868" s="386"/>
      <c r="BI7868" s="386"/>
      <c r="BJ7868" s="46"/>
    </row>
    <row r="7869" spans="59:62" x14ac:dyDescent="0.3">
      <c r="BG7869" s="387"/>
      <c r="BH7869" s="386"/>
      <c r="BI7869" s="386"/>
      <c r="BJ7869" s="46"/>
    </row>
    <row r="7870" spans="59:62" x14ac:dyDescent="0.3">
      <c r="BG7870" s="387"/>
      <c r="BH7870" s="386"/>
      <c r="BI7870" s="386"/>
      <c r="BJ7870" s="46"/>
    </row>
    <row r="7871" spans="59:62" x14ac:dyDescent="0.3">
      <c r="BG7871" s="387"/>
      <c r="BH7871" s="386"/>
      <c r="BI7871" s="386"/>
      <c r="BJ7871" s="46"/>
    </row>
    <row r="7872" spans="59:62" x14ac:dyDescent="0.3">
      <c r="BG7872" s="387"/>
      <c r="BH7872" s="386"/>
      <c r="BI7872" s="386"/>
      <c r="BJ7872" s="46"/>
    </row>
    <row r="7873" spans="59:62" x14ac:dyDescent="0.3">
      <c r="BG7873" s="387"/>
      <c r="BH7873" s="386"/>
      <c r="BI7873" s="386"/>
      <c r="BJ7873" s="46"/>
    </row>
    <row r="7874" spans="59:62" x14ac:dyDescent="0.3">
      <c r="BG7874" s="387"/>
      <c r="BH7874" s="386"/>
      <c r="BI7874" s="386"/>
      <c r="BJ7874" s="46"/>
    </row>
    <row r="7875" spans="59:62" x14ac:dyDescent="0.3">
      <c r="BG7875" s="387"/>
      <c r="BH7875" s="386"/>
      <c r="BI7875" s="386"/>
      <c r="BJ7875" s="46"/>
    </row>
    <row r="7876" spans="59:62" x14ac:dyDescent="0.3">
      <c r="BG7876" s="387"/>
      <c r="BH7876" s="386"/>
      <c r="BI7876" s="386"/>
      <c r="BJ7876" s="46"/>
    </row>
    <row r="7877" spans="59:62" x14ac:dyDescent="0.3">
      <c r="BG7877" s="387"/>
      <c r="BH7877" s="386"/>
      <c r="BI7877" s="386"/>
      <c r="BJ7877" s="46"/>
    </row>
    <row r="7878" spans="59:62" x14ac:dyDescent="0.3">
      <c r="BG7878" s="387"/>
      <c r="BH7878" s="386"/>
      <c r="BI7878" s="386"/>
      <c r="BJ7878" s="46"/>
    </row>
    <row r="7879" spans="59:62" x14ac:dyDescent="0.3">
      <c r="BG7879" s="387"/>
      <c r="BH7879" s="386"/>
      <c r="BI7879" s="386"/>
      <c r="BJ7879" s="46"/>
    </row>
    <row r="7880" spans="59:62" x14ac:dyDescent="0.3">
      <c r="BG7880" s="387"/>
      <c r="BH7880" s="386"/>
      <c r="BI7880" s="386"/>
      <c r="BJ7880" s="46"/>
    </row>
    <row r="7881" spans="59:62" x14ac:dyDescent="0.3">
      <c r="BG7881" s="387"/>
      <c r="BH7881" s="386"/>
      <c r="BI7881" s="386"/>
      <c r="BJ7881" s="46"/>
    </row>
    <row r="7882" spans="59:62" x14ac:dyDescent="0.3">
      <c r="BG7882" s="387"/>
      <c r="BH7882" s="386"/>
      <c r="BI7882" s="386"/>
      <c r="BJ7882" s="46"/>
    </row>
    <row r="7883" spans="59:62" x14ac:dyDescent="0.3">
      <c r="BG7883" s="387"/>
      <c r="BH7883" s="386"/>
      <c r="BI7883" s="386"/>
      <c r="BJ7883" s="46"/>
    </row>
    <row r="7884" spans="59:62" x14ac:dyDescent="0.3">
      <c r="BG7884" s="387"/>
      <c r="BH7884" s="386"/>
      <c r="BI7884" s="386"/>
      <c r="BJ7884" s="46"/>
    </row>
    <row r="7885" spans="59:62" x14ac:dyDescent="0.3">
      <c r="BG7885" s="387"/>
      <c r="BH7885" s="386"/>
      <c r="BI7885" s="386"/>
      <c r="BJ7885" s="46"/>
    </row>
    <row r="7886" spans="59:62" x14ac:dyDescent="0.3">
      <c r="BG7886" s="387"/>
      <c r="BH7886" s="386"/>
      <c r="BI7886" s="386"/>
      <c r="BJ7886" s="46"/>
    </row>
    <row r="7887" spans="59:62" x14ac:dyDescent="0.3">
      <c r="BG7887" s="387"/>
      <c r="BH7887" s="386"/>
      <c r="BI7887" s="386"/>
      <c r="BJ7887" s="46"/>
    </row>
    <row r="7888" spans="59:62" x14ac:dyDescent="0.3">
      <c r="BG7888" s="387"/>
      <c r="BH7888" s="386"/>
      <c r="BI7888" s="386"/>
      <c r="BJ7888" s="46"/>
    </row>
    <row r="7889" spans="59:62" x14ac:dyDescent="0.3">
      <c r="BG7889" s="387"/>
      <c r="BH7889" s="386"/>
      <c r="BI7889" s="386"/>
      <c r="BJ7889" s="46"/>
    </row>
    <row r="7890" spans="59:62" x14ac:dyDescent="0.3">
      <c r="BG7890" s="387"/>
      <c r="BH7890" s="386"/>
      <c r="BI7890" s="386"/>
      <c r="BJ7890" s="46"/>
    </row>
    <row r="7891" spans="59:62" x14ac:dyDescent="0.3">
      <c r="BG7891" s="387"/>
      <c r="BH7891" s="386"/>
      <c r="BI7891" s="386"/>
      <c r="BJ7891" s="46"/>
    </row>
    <row r="7892" spans="59:62" x14ac:dyDescent="0.3">
      <c r="BG7892" s="387"/>
      <c r="BH7892" s="386"/>
      <c r="BI7892" s="386"/>
      <c r="BJ7892" s="46"/>
    </row>
    <row r="7893" spans="59:62" x14ac:dyDescent="0.3">
      <c r="BG7893" s="387"/>
      <c r="BH7893" s="386"/>
      <c r="BI7893" s="386"/>
      <c r="BJ7893" s="46"/>
    </row>
    <row r="7894" spans="59:62" x14ac:dyDescent="0.3">
      <c r="BG7894" s="387"/>
      <c r="BH7894" s="386"/>
      <c r="BI7894" s="386"/>
      <c r="BJ7894" s="46"/>
    </row>
    <row r="7895" spans="59:62" x14ac:dyDescent="0.3">
      <c r="BG7895" s="387"/>
      <c r="BH7895" s="386"/>
      <c r="BI7895" s="386"/>
      <c r="BJ7895" s="46"/>
    </row>
    <row r="7896" spans="59:62" x14ac:dyDescent="0.3">
      <c r="BG7896" s="387"/>
      <c r="BH7896" s="386"/>
      <c r="BI7896" s="386"/>
      <c r="BJ7896" s="46"/>
    </row>
    <row r="7897" spans="59:62" x14ac:dyDescent="0.3">
      <c r="BG7897" s="387"/>
      <c r="BH7897" s="386"/>
      <c r="BI7897" s="386"/>
      <c r="BJ7897" s="46"/>
    </row>
    <row r="7898" spans="59:62" x14ac:dyDescent="0.3">
      <c r="BG7898" s="387"/>
      <c r="BH7898" s="386"/>
      <c r="BI7898" s="386"/>
      <c r="BJ7898" s="46"/>
    </row>
    <row r="7899" spans="59:62" x14ac:dyDescent="0.3">
      <c r="BG7899" s="387"/>
      <c r="BH7899" s="386"/>
      <c r="BI7899" s="386"/>
      <c r="BJ7899" s="46"/>
    </row>
    <row r="7900" spans="59:62" x14ac:dyDescent="0.3">
      <c r="BG7900" s="387"/>
      <c r="BH7900" s="386"/>
      <c r="BI7900" s="386"/>
      <c r="BJ7900" s="46"/>
    </row>
    <row r="7901" spans="59:62" x14ac:dyDescent="0.3">
      <c r="BG7901" s="387"/>
      <c r="BH7901" s="386"/>
      <c r="BI7901" s="386"/>
      <c r="BJ7901" s="46"/>
    </row>
    <row r="7902" spans="59:62" x14ac:dyDescent="0.3">
      <c r="BG7902" s="387"/>
      <c r="BH7902" s="386"/>
      <c r="BI7902" s="386"/>
      <c r="BJ7902" s="46"/>
    </row>
    <row r="7903" spans="59:62" x14ac:dyDescent="0.3">
      <c r="BG7903" s="387"/>
      <c r="BH7903" s="386"/>
      <c r="BI7903" s="386"/>
      <c r="BJ7903" s="46"/>
    </row>
    <row r="7904" spans="59:62" x14ac:dyDescent="0.3">
      <c r="BG7904" s="387"/>
      <c r="BH7904" s="386"/>
      <c r="BI7904" s="386"/>
      <c r="BJ7904" s="46"/>
    </row>
    <row r="7905" spans="59:62" x14ac:dyDescent="0.3">
      <c r="BG7905" s="387"/>
      <c r="BH7905" s="386"/>
      <c r="BI7905" s="386"/>
      <c r="BJ7905" s="46"/>
    </row>
    <row r="7906" spans="59:62" x14ac:dyDescent="0.3">
      <c r="BG7906" s="387"/>
      <c r="BH7906" s="386"/>
      <c r="BI7906" s="386"/>
      <c r="BJ7906" s="46"/>
    </row>
    <row r="7907" spans="59:62" x14ac:dyDescent="0.3">
      <c r="BG7907" s="387"/>
      <c r="BH7907" s="386"/>
      <c r="BI7907" s="386"/>
      <c r="BJ7907" s="46"/>
    </row>
    <row r="7908" spans="59:62" x14ac:dyDescent="0.3">
      <c r="BG7908" s="387"/>
      <c r="BH7908" s="386"/>
      <c r="BI7908" s="386"/>
      <c r="BJ7908" s="46"/>
    </row>
    <row r="7909" spans="59:62" x14ac:dyDescent="0.3">
      <c r="BG7909" s="387"/>
      <c r="BH7909" s="386"/>
      <c r="BI7909" s="386"/>
      <c r="BJ7909" s="46"/>
    </row>
    <row r="7910" spans="59:62" x14ac:dyDescent="0.3">
      <c r="BG7910" s="387"/>
      <c r="BH7910" s="386"/>
      <c r="BI7910" s="386"/>
      <c r="BJ7910" s="46"/>
    </row>
    <row r="7911" spans="59:62" x14ac:dyDescent="0.3">
      <c r="BG7911" s="387"/>
      <c r="BH7911" s="386"/>
      <c r="BI7911" s="386"/>
      <c r="BJ7911" s="46"/>
    </row>
    <row r="7912" spans="59:62" x14ac:dyDescent="0.3">
      <c r="BG7912" s="387"/>
      <c r="BH7912" s="386"/>
      <c r="BI7912" s="386"/>
      <c r="BJ7912" s="46"/>
    </row>
    <row r="7913" spans="59:62" x14ac:dyDescent="0.3">
      <c r="BG7913" s="387"/>
      <c r="BH7913" s="386"/>
      <c r="BI7913" s="386"/>
      <c r="BJ7913" s="46"/>
    </row>
    <row r="7914" spans="59:62" x14ac:dyDescent="0.3">
      <c r="BG7914" s="387"/>
      <c r="BH7914" s="386"/>
      <c r="BI7914" s="386"/>
      <c r="BJ7914" s="46"/>
    </row>
    <row r="7915" spans="59:62" x14ac:dyDescent="0.3">
      <c r="BG7915" s="387"/>
      <c r="BH7915" s="386"/>
      <c r="BI7915" s="386"/>
      <c r="BJ7915" s="46"/>
    </row>
    <row r="7916" spans="59:62" x14ac:dyDescent="0.3">
      <c r="BG7916" s="387"/>
      <c r="BH7916" s="386"/>
      <c r="BI7916" s="386"/>
      <c r="BJ7916" s="46"/>
    </row>
    <row r="7917" spans="59:62" x14ac:dyDescent="0.3">
      <c r="BG7917" s="387"/>
      <c r="BH7917" s="386"/>
      <c r="BI7917" s="386"/>
      <c r="BJ7917" s="46"/>
    </row>
    <row r="7918" spans="59:62" x14ac:dyDescent="0.3">
      <c r="BG7918" s="387"/>
      <c r="BH7918" s="386"/>
      <c r="BI7918" s="386"/>
      <c r="BJ7918" s="46"/>
    </row>
    <row r="7919" spans="59:62" x14ac:dyDescent="0.3">
      <c r="BG7919" s="387"/>
      <c r="BH7919" s="386"/>
      <c r="BI7919" s="386"/>
      <c r="BJ7919" s="46"/>
    </row>
    <row r="7920" spans="59:62" x14ac:dyDescent="0.3">
      <c r="BG7920" s="387"/>
      <c r="BH7920" s="386"/>
      <c r="BI7920" s="386"/>
      <c r="BJ7920" s="46"/>
    </row>
    <row r="7921" spans="59:62" x14ac:dyDescent="0.3">
      <c r="BG7921" s="387"/>
      <c r="BH7921" s="386"/>
      <c r="BI7921" s="386"/>
      <c r="BJ7921" s="46"/>
    </row>
    <row r="7922" spans="59:62" x14ac:dyDescent="0.3">
      <c r="BG7922" s="387"/>
      <c r="BH7922" s="386"/>
      <c r="BI7922" s="386"/>
      <c r="BJ7922" s="46"/>
    </row>
    <row r="7923" spans="59:62" x14ac:dyDescent="0.3">
      <c r="BG7923" s="387"/>
      <c r="BH7923" s="386"/>
      <c r="BI7923" s="386"/>
      <c r="BJ7923" s="46"/>
    </row>
    <row r="7924" spans="59:62" x14ac:dyDescent="0.3">
      <c r="BG7924" s="387"/>
      <c r="BH7924" s="386"/>
      <c r="BI7924" s="386"/>
      <c r="BJ7924" s="46"/>
    </row>
    <row r="7925" spans="59:62" x14ac:dyDescent="0.3">
      <c r="BG7925" s="387"/>
      <c r="BH7925" s="386"/>
      <c r="BI7925" s="386"/>
      <c r="BJ7925" s="46"/>
    </row>
    <row r="7926" spans="59:62" x14ac:dyDescent="0.3">
      <c r="BG7926" s="387"/>
      <c r="BH7926" s="386"/>
      <c r="BI7926" s="386"/>
      <c r="BJ7926" s="46"/>
    </row>
    <row r="7927" spans="59:62" x14ac:dyDescent="0.3">
      <c r="BG7927" s="387"/>
      <c r="BH7927" s="386"/>
      <c r="BI7927" s="386"/>
      <c r="BJ7927" s="46"/>
    </row>
    <row r="7928" spans="59:62" x14ac:dyDescent="0.3">
      <c r="BG7928" s="387"/>
      <c r="BH7928" s="386"/>
      <c r="BI7928" s="386"/>
      <c r="BJ7928" s="46"/>
    </row>
    <row r="7929" spans="59:62" x14ac:dyDescent="0.3">
      <c r="BG7929" s="387"/>
      <c r="BH7929" s="386"/>
      <c r="BI7929" s="386"/>
      <c r="BJ7929" s="46"/>
    </row>
    <row r="7930" spans="59:62" x14ac:dyDescent="0.3">
      <c r="BG7930" s="387"/>
      <c r="BH7930" s="386"/>
      <c r="BI7930" s="386"/>
      <c r="BJ7930" s="46"/>
    </row>
    <row r="7931" spans="59:62" x14ac:dyDescent="0.3">
      <c r="BG7931" s="387"/>
      <c r="BH7931" s="386"/>
      <c r="BI7931" s="386"/>
      <c r="BJ7931" s="46"/>
    </row>
    <row r="7932" spans="59:62" x14ac:dyDescent="0.3">
      <c r="BG7932" s="387"/>
      <c r="BH7932" s="386"/>
      <c r="BI7932" s="386"/>
      <c r="BJ7932" s="46"/>
    </row>
    <row r="7933" spans="59:62" x14ac:dyDescent="0.3">
      <c r="BG7933" s="387"/>
      <c r="BH7933" s="386"/>
      <c r="BI7933" s="386"/>
      <c r="BJ7933" s="46"/>
    </row>
    <row r="7934" spans="59:62" x14ac:dyDescent="0.3">
      <c r="BG7934" s="387"/>
      <c r="BH7934" s="386"/>
      <c r="BI7934" s="386"/>
      <c r="BJ7934" s="46"/>
    </row>
    <row r="7935" spans="59:62" x14ac:dyDescent="0.3">
      <c r="BG7935" s="387"/>
      <c r="BH7935" s="386"/>
      <c r="BI7935" s="386"/>
      <c r="BJ7935" s="46"/>
    </row>
    <row r="7936" spans="59:62" x14ac:dyDescent="0.3">
      <c r="BG7936" s="387"/>
      <c r="BH7936" s="386"/>
      <c r="BI7936" s="386"/>
      <c r="BJ7936" s="46"/>
    </row>
    <row r="7937" spans="59:62" x14ac:dyDescent="0.3">
      <c r="BG7937" s="387"/>
      <c r="BH7937" s="386"/>
      <c r="BI7937" s="386"/>
      <c r="BJ7937" s="46"/>
    </row>
    <row r="7938" spans="59:62" x14ac:dyDescent="0.3">
      <c r="BG7938" s="387"/>
      <c r="BH7938" s="386"/>
      <c r="BI7938" s="386"/>
      <c r="BJ7938" s="46"/>
    </row>
    <row r="7939" spans="59:62" x14ac:dyDescent="0.3">
      <c r="BG7939" s="387"/>
      <c r="BH7939" s="386"/>
      <c r="BI7939" s="386"/>
      <c r="BJ7939" s="46"/>
    </row>
    <row r="7940" spans="59:62" x14ac:dyDescent="0.3">
      <c r="BG7940" s="387"/>
      <c r="BH7940" s="386"/>
      <c r="BI7940" s="386"/>
      <c r="BJ7940" s="46"/>
    </row>
    <row r="7941" spans="59:62" x14ac:dyDescent="0.3">
      <c r="BG7941" s="387"/>
      <c r="BH7941" s="386"/>
      <c r="BI7941" s="386"/>
      <c r="BJ7941" s="46"/>
    </row>
    <row r="7942" spans="59:62" x14ac:dyDescent="0.3">
      <c r="BG7942" s="387"/>
      <c r="BH7942" s="386"/>
      <c r="BI7942" s="386"/>
      <c r="BJ7942" s="46"/>
    </row>
    <row r="7943" spans="59:62" x14ac:dyDescent="0.3">
      <c r="BG7943" s="387"/>
      <c r="BH7943" s="386"/>
      <c r="BI7943" s="386"/>
      <c r="BJ7943" s="46"/>
    </row>
    <row r="7944" spans="59:62" x14ac:dyDescent="0.3">
      <c r="BG7944" s="387"/>
      <c r="BH7944" s="386"/>
      <c r="BI7944" s="386"/>
      <c r="BJ7944" s="46"/>
    </row>
    <row r="7945" spans="59:62" x14ac:dyDescent="0.3">
      <c r="BG7945" s="387"/>
      <c r="BH7945" s="386"/>
      <c r="BI7945" s="386"/>
      <c r="BJ7945" s="46"/>
    </row>
    <row r="7946" spans="59:62" x14ac:dyDescent="0.3">
      <c r="BG7946" s="387"/>
      <c r="BH7946" s="386"/>
      <c r="BI7946" s="386"/>
      <c r="BJ7946" s="46"/>
    </row>
    <row r="7947" spans="59:62" x14ac:dyDescent="0.3">
      <c r="BG7947" s="387"/>
      <c r="BH7947" s="386"/>
      <c r="BI7947" s="386"/>
      <c r="BJ7947" s="46"/>
    </row>
    <row r="7948" spans="59:62" x14ac:dyDescent="0.3">
      <c r="BG7948" s="387"/>
      <c r="BH7948" s="386"/>
      <c r="BI7948" s="386"/>
      <c r="BJ7948" s="46"/>
    </row>
    <row r="7949" spans="59:62" x14ac:dyDescent="0.3">
      <c r="BG7949" s="387"/>
      <c r="BH7949" s="386"/>
      <c r="BI7949" s="386"/>
      <c r="BJ7949" s="46"/>
    </row>
    <row r="7950" spans="59:62" x14ac:dyDescent="0.3">
      <c r="BG7950" s="387"/>
      <c r="BH7950" s="386"/>
      <c r="BI7950" s="386"/>
      <c r="BJ7950" s="46"/>
    </row>
    <row r="7951" spans="59:62" x14ac:dyDescent="0.3">
      <c r="BG7951" s="387"/>
      <c r="BH7951" s="386"/>
      <c r="BI7951" s="386"/>
      <c r="BJ7951" s="46"/>
    </row>
    <row r="7952" spans="59:62" x14ac:dyDescent="0.3">
      <c r="BG7952" s="387"/>
      <c r="BH7952" s="386"/>
      <c r="BI7952" s="386"/>
      <c r="BJ7952" s="46"/>
    </row>
    <row r="7953" spans="59:62" x14ac:dyDescent="0.3">
      <c r="BG7953" s="387"/>
      <c r="BH7953" s="386"/>
      <c r="BI7953" s="386"/>
      <c r="BJ7953" s="46"/>
    </row>
    <row r="7954" spans="59:62" x14ac:dyDescent="0.3">
      <c r="BG7954" s="387"/>
      <c r="BH7954" s="386"/>
      <c r="BI7954" s="386"/>
      <c r="BJ7954" s="46"/>
    </row>
    <row r="7955" spans="59:62" x14ac:dyDescent="0.3">
      <c r="BG7955" s="387"/>
      <c r="BH7955" s="386"/>
      <c r="BI7955" s="386"/>
      <c r="BJ7955" s="46"/>
    </row>
    <row r="7956" spans="59:62" x14ac:dyDescent="0.3">
      <c r="BG7956" s="387"/>
      <c r="BH7956" s="386"/>
      <c r="BI7956" s="386"/>
      <c r="BJ7956" s="46"/>
    </row>
    <row r="7957" spans="59:62" x14ac:dyDescent="0.3">
      <c r="BG7957" s="387"/>
      <c r="BH7957" s="386"/>
      <c r="BI7957" s="386"/>
      <c r="BJ7957" s="46"/>
    </row>
    <row r="7958" spans="59:62" x14ac:dyDescent="0.3">
      <c r="BG7958" s="387"/>
      <c r="BH7958" s="386"/>
      <c r="BI7958" s="386"/>
      <c r="BJ7958" s="46"/>
    </row>
    <row r="7959" spans="59:62" x14ac:dyDescent="0.3">
      <c r="BG7959" s="387"/>
      <c r="BH7959" s="386"/>
      <c r="BI7959" s="386"/>
      <c r="BJ7959" s="46"/>
    </row>
    <row r="7960" spans="59:62" x14ac:dyDescent="0.3">
      <c r="BG7960" s="387"/>
      <c r="BH7960" s="386"/>
      <c r="BI7960" s="386"/>
      <c r="BJ7960" s="46"/>
    </row>
    <row r="7961" spans="59:62" x14ac:dyDescent="0.3">
      <c r="BG7961" s="387"/>
      <c r="BH7961" s="386"/>
      <c r="BI7961" s="386"/>
      <c r="BJ7961" s="46"/>
    </row>
    <row r="7962" spans="59:62" x14ac:dyDescent="0.3">
      <c r="BG7962" s="387"/>
      <c r="BH7962" s="386"/>
      <c r="BI7962" s="386"/>
      <c r="BJ7962" s="46"/>
    </row>
    <row r="7963" spans="59:62" x14ac:dyDescent="0.3">
      <c r="BG7963" s="387"/>
      <c r="BH7963" s="386"/>
      <c r="BI7963" s="386"/>
      <c r="BJ7963" s="46"/>
    </row>
    <row r="7964" spans="59:62" x14ac:dyDescent="0.3">
      <c r="BG7964" s="387"/>
      <c r="BH7964" s="386"/>
      <c r="BI7964" s="386"/>
      <c r="BJ7964" s="46"/>
    </row>
    <row r="7965" spans="59:62" x14ac:dyDescent="0.3">
      <c r="BG7965" s="387"/>
      <c r="BH7965" s="386"/>
      <c r="BI7965" s="386"/>
      <c r="BJ7965" s="46"/>
    </row>
    <row r="7966" spans="59:62" x14ac:dyDescent="0.3">
      <c r="BG7966" s="387"/>
      <c r="BH7966" s="386"/>
      <c r="BI7966" s="386"/>
      <c r="BJ7966" s="46"/>
    </row>
    <row r="7967" spans="59:62" x14ac:dyDescent="0.3">
      <c r="BG7967" s="387"/>
      <c r="BH7967" s="386"/>
      <c r="BI7967" s="386"/>
      <c r="BJ7967" s="46"/>
    </row>
    <row r="7968" spans="59:62" x14ac:dyDescent="0.3">
      <c r="BG7968" s="387"/>
      <c r="BH7968" s="386"/>
      <c r="BI7968" s="386"/>
      <c r="BJ7968" s="46"/>
    </row>
    <row r="7969" spans="59:62" x14ac:dyDescent="0.3">
      <c r="BG7969" s="387"/>
      <c r="BH7969" s="386"/>
      <c r="BI7969" s="386"/>
      <c r="BJ7969" s="46"/>
    </row>
    <row r="7970" spans="59:62" x14ac:dyDescent="0.3">
      <c r="BG7970" s="387"/>
      <c r="BH7970" s="386"/>
      <c r="BI7970" s="386"/>
      <c r="BJ7970" s="46"/>
    </row>
    <row r="7971" spans="59:62" x14ac:dyDescent="0.3">
      <c r="BG7971" s="387"/>
      <c r="BH7971" s="386"/>
      <c r="BI7971" s="386"/>
      <c r="BJ7971" s="46"/>
    </row>
    <row r="7972" spans="59:62" x14ac:dyDescent="0.3">
      <c r="BG7972" s="387"/>
      <c r="BH7972" s="386"/>
      <c r="BI7972" s="386"/>
      <c r="BJ7972" s="46"/>
    </row>
    <row r="7973" spans="59:62" x14ac:dyDescent="0.3">
      <c r="BG7973" s="387"/>
      <c r="BH7973" s="386"/>
      <c r="BI7973" s="386"/>
      <c r="BJ7973" s="46"/>
    </row>
    <row r="7974" spans="59:62" x14ac:dyDescent="0.3">
      <c r="BG7974" s="387"/>
      <c r="BH7974" s="386"/>
      <c r="BI7974" s="386"/>
      <c r="BJ7974" s="46"/>
    </row>
    <row r="7975" spans="59:62" x14ac:dyDescent="0.3">
      <c r="BG7975" s="387"/>
      <c r="BH7975" s="386"/>
      <c r="BI7975" s="386"/>
      <c r="BJ7975" s="46"/>
    </row>
    <row r="7976" spans="59:62" x14ac:dyDescent="0.3">
      <c r="BG7976" s="387"/>
      <c r="BH7976" s="386"/>
      <c r="BI7976" s="386"/>
      <c r="BJ7976" s="46"/>
    </row>
    <row r="7977" spans="59:62" x14ac:dyDescent="0.3">
      <c r="BG7977" s="387"/>
      <c r="BH7977" s="386"/>
      <c r="BI7977" s="386"/>
      <c r="BJ7977" s="46"/>
    </row>
    <row r="7978" spans="59:62" x14ac:dyDescent="0.3">
      <c r="BG7978" s="387"/>
      <c r="BH7978" s="386"/>
      <c r="BI7978" s="386"/>
      <c r="BJ7978" s="46"/>
    </row>
    <row r="7979" spans="59:62" x14ac:dyDescent="0.3">
      <c r="BG7979" s="387"/>
      <c r="BH7979" s="386"/>
      <c r="BI7979" s="386"/>
      <c r="BJ7979" s="46"/>
    </row>
    <row r="7980" spans="59:62" x14ac:dyDescent="0.3">
      <c r="BG7980" s="387"/>
      <c r="BH7980" s="386"/>
      <c r="BI7980" s="386"/>
      <c r="BJ7980" s="46"/>
    </row>
    <row r="7981" spans="59:62" x14ac:dyDescent="0.3">
      <c r="BG7981" s="387"/>
      <c r="BH7981" s="386"/>
      <c r="BI7981" s="386"/>
      <c r="BJ7981" s="46"/>
    </row>
    <row r="7982" spans="59:62" x14ac:dyDescent="0.3">
      <c r="BG7982" s="387"/>
      <c r="BH7982" s="386"/>
      <c r="BI7982" s="386"/>
      <c r="BJ7982" s="46"/>
    </row>
    <row r="7983" spans="59:62" x14ac:dyDescent="0.3">
      <c r="BG7983" s="387"/>
      <c r="BH7983" s="386"/>
      <c r="BI7983" s="386"/>
      <c r="BJ7983" s="46"/>
    </row>
    <row r="7984" spans="59:62" x14ac:dyDescent="0.3">
      <c r="BG7984" s="387"/>
      <c r="BH7984" s="386"/>
      <c r="BI7984" s="386"/>
      <c r="BJ7984" s="46"/>
    </row>
    <row r="7985" spans="59:62" x14ac:dyDescent="0.3">
      <c r="BG7985" s="387"/>
      <c r="BH7985" s="386"/>
      <c r="BI7985" s="386"/>
      <c r="BJ7985" s="46"/>
    </row>
    <row r="7986" spans="59:62" x14ac:dyDescent="0.3">
      <c r="BG7986" s="387"/>
      <c r="BH7986" s="386"/>
      <c r="BI7986" s="386"/>
      <c r="BJ7986" s="46"/>
    </row>
    <row r="7987" spans="59:62" x14ac:dyDescent="0.3">
      <c r="BG7987" s="387"/>
      <c r="BH7987" s="386"/>
      <c r="BI7987" s="386"/>
      <c r="BJ7987" s="46"/>
    </row>
    <row r="7988" spans="59:62" x14ac:dyDescent="0.3">
      <c r="BG7988" s="387"/>
      <c r="BH7988" s="386"/>
      <c r="BI7988" s="386"/>
      <c r="BJ7988" s="46"/>
    </row>
    <row r="7989" spans="59:62" x14ac:dyDescent="0.3">
      <c r="BG7989" s="387"/>
      <c r="BH7989" s="386"/>
      <c r="BI7989" s="386"/>
      <c r="BJ7989" s="46"/>
    </row>
    <row r="7990" spans="59:62" x14ac:dyDescent="0.3">
      <c r="BG7990" s="387"/>
      <c r="BH7990" s="386"/>
      <c r="BI7990" s="386"/>
      <c r="BJ7990" s="46"/>
    </row>
    <row r="7991" spans="59:62" x14ac:dyDescent="0.3">
      <c r="BG7991" s="387"/>
      <c r="BH7991" s="386"/>
      <c r="BI7991" s="386"/>
      <c r="BJ7991" s="46"/>
    </row>
    <row r="7992" spans="59:62" x14ac:dyDescent="0.3">
      <c r="BG7992" s="387"/>
      <c r="BH7992" s="386"/>
      <c r="BI7992" s="386"/>
      <c r="BJ7992" s="46"/>
    </row>
    <row r="7993" spans="59:62" x14ac:dyDescent="0.3">
      <c r="BG7993" s="387"/>
      <c r="BH7993" s="386"/>
      <c r="BI7993" s="386"/>
      <c r="BJ7993" s="46"/>
    </row>
    <row r="7994" spans="59:62" x14ac:dyDescent="0.3">
      <c r="BG7994" s="387"/>
      <c r="BH7994" s="386"/>
      <c r="BI7994" s="386"/>
      <c r="BJ7994" s="46"/>
    </row>
    <row r="7995" spans="59:62" x14ac:dyDescent="0.3">
      <c r="BG7995" s="387"/>
      <c r="BH7995" s="386"/>
      <c r="BI7995" s="386"/>
      <c r="BJ7995" s="46"/>
    </row>
    <row r="7996" spans="59:62" x14ac:dyDescent="0.3">
      <c r="BG7996" s="387"/>
      <c r="BH7996" s="386"/>
      <c r="BI7996" s="386"/>
      <c r="BJ7996" s="46"/>
    </row>
    <row r="7997" spans="59:62" x14ac:dyDescent="0.3">
      <c r="BG7997" s="387"/>
      <c r="BH7997" s="386"/>
      <c r="BI7997" s="386"/>
      <c r="BJ7997" s="46"/>
    </row>
    <row r="7998" spans="59:62" x14ac:dyDescent="0.3">
      <c r="BG7998" s="387"/>
      <c r="BH7998" s="386"/>
      <c r="BI7998" s="386"/>
      <c r="BJ7998" s="46"/>
    </row>
    <row r="7999" spans="59:62" x14ac:dyDescent="0.3">
      <c r="BG7999" s="387"/>
      <c r="BH7999" s="386"/>
      <c r="BI7999" s="386"/>
      <c r="BJ7999" s="46"/>
    </row>
    <row r="8000" spans="59:62" x14ac:dyDescent="0.3">
      <c r="BG8000" s="387"/>
      <c r="BH8000" s="386"/>
      <c r="BI8000" s="386"/>
      <c r="BJ8000" s="46"/>
    </row>
    <row r="8001" spans="59:62" x14ac:dyDescent="0.3">
      <c r="BG8001" s="387"/>
      <c r="BH8001" s="386"/>
      <c r="BI8001" s="386"/>
      <c r="BJ8001" s="46"/>
    </row>
    <row r="8002" spans="59:62" x14ac:dyDescent="0.3">
      <c r="BG8002" s="387"/>
      <c r="BH8002" s="386"/>
      <c r="BI8002" s="386"/>
      <c r="BJ8002" s="46"/>
    </row>
    <row r="8003" spans="59:62" x14ac:dyDescent="0.3">
      <c r="BG8003" s="387"/>
      <c r="BH8003" s="386"/>
      <c r="BI8003" s="386"/>
      <c r="BJ8003" s="46"/>
    </row>
    <row r="8004" spans="59:62" x14ac:dyDescent="0.3">
      <c r="BG8004" s="387"/>
      <c r="BH8004" s="386"/>
      <c r="BI8004" s="386"/>
      <c r="BJ8004" s="46"/>
    </row>
    <row r="8005" spans="59:62" x14ac:dyDescent="0.3">
      <c r="BG8005" s="387"/>
      <c r="BH8005" s="386"/>
      <c r="BI8005" s="386"/>
      <c r="BJ8005" s="46"/>
    </row>
    <row r="8006" spans="59:62" x14ac:dyDescent="0.3">
      <c r="BG8006" s="387"/>
      <c r="BH8006" s="386"/>
      <c r="BI8006" s="386"/>
      <c r="BJ8006" s="46"/>
    </row>
    <row r="8007" spans="59:62" x14ac:dyDescent="0.3">
      <c r="BG8007" s="387"/>
      <c r="BH8007" s="386"/>
      <c r="BI8007" s="386"/>
      <c r="BJ8007" s="46"/>
    </row>
    <row r="8008" spans="59:62" x14ac:dyDescent="0.3">
      <c r="BG8008" s="387"/>
      <c r="BH8008" s="386"/>
      <c r="BI8008" s="386"/>
      <c r="BJ8008" s="46"/>
    </row>
    <row r="8009" spans="59:62" x14ac:dyDescent="0.3">
      <c r="BG8009" s="387"/>
      <c r="BH8009" s="386"/>
      <c r="BI8009" s="386"/>
      <c r="BJ8009" s="46"/>
    </row>
    <row r="8010" spans="59:62" x14ac:dyDescent="0.3">
      <c r="BG8010" s="387"/>
      <c r="BH8010" s="386"/>
      <c r="BI8010" s="386"/>
      <c r="BJ8010" s="46"/>
    </row>
    <row r="8011" spans="59:62" x14ac:dyDescent="0.3">
      <c r="BG8011" s="387"/>
      <c r="BH8011" s="386"/>
      <c r="BI8011" s="386"/>
      <c r="BJ8011" s="46"/>
    </row>
    <row r="8012" spans="59:62" x14ac:dyDescent="0.3">
      <c r="BG8012" s="387"/>
      <c r="BH8012" s="386"/>
      <c r="BI8012" s="386"/>
      <c r="BJ8012" s="46"/>
    </row>
    <row r="8013" spans="59:62" x14ac:dyDescent="0.3">
      <c r="BG8013" s="387"/>
      <c r="BH8013" s="386"/>
      <c r="BI8013" s="386"/>
      <c r="BJ8013" s="46"/>
    </row>
    <row r="8014" spans="59:62" x14ac:dyDescent="0.3">
      <c r="BG8014" s="387"/>
      <c r="BH8014" s="386"/>
      <c r="BI8014" s="386"/>
      <c r="BJ8014" s="46"/>
    </row>
    <row r="8015" spans="59:62" x14ac:dyDescent="0.3">
      <c r="BG8015" s="387"/>
      <c r="BH8015" s="386"/>
      <c r="BI8015" s="386"/>
      <c r="BJ8015" s="46"/>
    </row>
    <row r="8016" spans="59:62" x14ac:dyDescent="0.3">
      <c r="BG8016" s="387"/>
      <c r="BH8016" s="386"/>
      <c r="BI8016" s="386"/>
      <c r="BJ8016" s="46"/>
    </row>
    <row r="8017" spans="59:62" x14ac:dyDescent="0.3">
      <c r="BG8017" s="387"/>
      <c r="BH8017" s="386"/>
      <c r="BI8017" s="386"/>
      <c r="BJ8017" s="46"/>
    </row>
    <row r="8018" spans="59:62" x14ac:dyDescent="0.3">
      <c r="BG8018" s="387"/>
      <c r="BH8018" s="386"/>
      <c r="BI8018" s="386"/>
      <c r="BJ8018" s="46"/>
    </row>
    <row r="8019" spans="59:62" x14ac:dyDescent="0.3">
      <c r="BG8019" s="387"/>
      <c r="BH8019" s="386"/>
      <c r="BI8019" s="386"/>
      <c r="BJ8019" s="46"/>
    </row>
    <row r="8020" spans="59:62" x14ac:dyDescent="0.3">
      <c r="BG8020" s="387"/>
      <c r="BH8020" s="386"/>
      <c r="BI8020" s="386"/>
      <c r="BJ8020" s="46"/>
    </row>
    <row r="8021" spans="59:62" x14ac:dyDescent="0.3">
      <c r="BG8021" s="387"/>
      <c r="BH8021" s="386"/>
      <c r="BI8021" s="386"/>
      <c r="BJ8021" s="46"/>
    </row>
    <row r="8022" spans="59:62" x14ac:dyDescent="0.3">
      <c r="BG8022" s="387"/>
      <c r="BH8022" s="386"/>
      <c r="BI8022" s="386"/>
      <c r="BJ8022" s="46"/>
    </row>
    <row r="8023" spans="59:62" x14ac:dyDescent="0.3">
      <c r="BG8023" s="387"/>
      <c r="BH8023" s="386"/>
      <c r="BI8023" s="386"/>
      <c r="BJ8023" s="46"/>
    </row>
    <row r="8024" spans="59:62" x14ac:dyDescent="0.3">
      <c r="BG8024" s="387"/>
      <c r="BH8024" s="386"/>
      <c r="BI8024" s="386"/>
      <c r="BJ8024" s="46"/>
    </row>
    <row r="8025" spans="59:62" x14ac:dyDescent="0.3">
      <c r="BG8025" s="387"/>
      <c r="BH8025" s="386"/>
      <c r="BI8025" s="386"/>
      <c r="BJ8025" s="46"/>
    </row>
    <row r="8026" spans="59:62" x14ac:dyDescent="0.3">
      <c r="BG8026" s="387"/>
      <c r="BH8026" s="386"/>
      <c r="BI8026" s="386"/>
      <c r="BJ8026" s="46"/>
    </row>
    <row r="8027" spans="59:62" x14ac:dyDescent="0.3">
      <c r="BG8027" s="387"/>
      <c r="BH8027" s="386"/>
      <c r="BI8027" s="386"/>
      <c r="BJ8027" s="46"/>
    </row>
    <row r="8028" spans="59:62" x14ac:dyDescent="0.3">
      <c r="BG8028" s="387"/>
      <c r="BH8028" s="386"/>
      <c r="BI8028" s="386"/>
      <c r="BJ8028" s="46"/>
    </row>
    <row r="8029" spans="59:62" x14ac:dyDescent="0.3">
      <c r="BG8029" s="387"/>
      <c r="BH8029" s="386"/>
      <c r="BI8029" s="386"/>
      <c r="BJ8029" s="46"/>
    </row>
    <row r="8030" spans="59:62" x14ac:dyDescent="0.3">
      <c r="BG8030" s="387"/>
      <c r="BH8030" s="386"/>
      <c r="BI8030" s="386"/>
      <c r="BJ8030" s="46"/>
    </row>
    <row r="8031" spans="59:62" x14ac:dyDescent="0.3">
      <c r="BG8031" s="387"/>
      <c r="BH8031" s="386"/>
      <c r="BI8031" s="386"/>
      <c r="BJ8031" s="46"/>
    </row>
    <row r="8032" spans="59:62" x14ac:dyDescent="0.3">
      <c r="BG8032" s="387"/>
      <c r="BH8032" s="386"/>
      <c r="BI8032" s="386"/>
      <c r="BJ8032" s="46"/>
    </row>
    <row r="8033" spans="59:62" x14ac:dyDescent="0.3">
      <c r="BG8033" s="387"/>
      <c r="BH8033" s="386"/>
      <c r="BI8033" s="386"/>
      <c r="BJ8033" s="46"/>
    </row>
    <row r="8034" spans="59:62" x14ac:dyDescent="0.3">
      <c r="BG8034" s="387"/>
      <c r="BH8034" s="386"/>
      <c r="BI8034" s="386"/>
      <c r="BJ8034" s="46"/>
    </row>
    <row r="8035" spans="59:62" x14ac:dyDescent="0.3">
      <c r="BG8035" s="387"/>
      <c r="BH8035" s="386"/>
      <c r="BI8035" s="386"/>
      <c r="BJ8035" s="46"/>
    </row>
    <row r="8036" spans="59:62" x14ac:dyDescent="0.3">
      <c r="BG8036" s="387"/>
      <c r="BH8036" s="386"/>
      <c r="BI8036" s="386"/>
      <c r="BJ8036" s="46"/>
    </row>
    <row r="8037" spans="59:62" x14ac:dyDescent="0.3">
      <c r="BG8037" s="387"/>
      <c r="BH8037" s="386"/>
      <c r="BI8037" s="386"/>
      <c r="BJ8037" s="46"/>
    </row>
    <row r="8038" spans="59:62" x14ac:dyDescent="0.3">
      <c r="BG8038" s="387"/>
      <c r="BH8038" s="386"/>
      <c r="BI8038" s="386"/>
      <c r="BJ8038" s="46"/>
    </row>
    <row r="8039" spans="59:62" x14ac:dyDescent="0.3">
      <c r="BG8039" s="387"/>
      <c r="BH8039" s="386"/>
      <c r="BI8039" s="386"/>
      <c r="BJ8039" s="46"/>
    </row>
    <row r="8040" spans="59:62" x14ac:dyDescent="0.3">
      <c r="BG8040" s="387"/>
      <c r="BH8040" s="386"/>
      <c r="BI8040" s="386"/>
      <c r="BJ8040" s="46"/>
    </row>
    <row r="8041" spans="59:62" x14ac:dyDescent="0.3">
      <c r="BG8041" s="387"/>
      <c r="BH8041" s="386"/>
      <c r="BI8041" s="386"/>
      <c r="BJ8041" s="46"/>
    </row>
    <row r="8042" spans="59:62" x14ac:dyDescent="0.3">
      <c r="BG8042" s="387"/>
      <c r="BH8042" s="386"/>
      <c r="BI8042" s="386"/>
      <c r="BJ8042" s="46"/>
    </row>
    <row r="8043" spans="59:62" x14ac:dyDescent="0.3">
      <c r="BG8043" s="387"/>
      <c r="BH8043" s="386"/>
      <c r="BI8043" s="386"/>
      <c r="BJ8043" s="46"/>
    </row>
    <row r="8044" spans="59:62" x14ac:dyDescent="0.3">
      <c r="BG8044" s="387"/>
      <c r="BH8044" s="386"/>
      <c r="BI8044" s="386"/>
      <c r="BJ8044" s="46"/>
    </row>
    <row r="8045" spans="59:62" x14ac:dyDescent="0.3">
      <c r="BG8045" s="387"/>
      <c r="BH8045" s="386"/>
      <c r="BI8045" s="386"/>
      <c r="BJ8045" s="46"/>
    </row>
    <row r="8046" spans="59:62" x14ac:dyDescent="0.3">
      <c r="BG8046" s="387"/>
      <c r="BH8046" s="386"/>
      <c r="BI8046" s="386"/>
      <c r="BJ8046" s="46"/>
    </row>
    <row r="8047" spans="59:62" x14ac:dyDescent="0.3">
      <c r="BG8047" s="387"/>
      <c r="BH8047" s="386"/>
      <c r="BI8047" s="386"/>
      <c r="BJ8047" s="46"/>
    </row>
    <row r="8048" spans="59:62" x14ac:dyDescent="0.3">
      <c r="BG8048" s="387"/>
      <c r="BH8048" s="386"/>
      <c r="BI8048" s="386"/>
      <c r="BJ8048" s="46"/>
    </row>
    <row r="8049" spans="59:62" x14ac:dyDescent="0.3">
      <c r="BG8049" s="387"/>
      <c r="BH8049" s="386"/>
      <c r="BI8049" s="386"/>
      <c r="BJ8049" s="46"/>
    </row>
    <row r="8050" spans="59:62" x14ac:dyDescent="0.3">
      <c r="BG8050" s="387"/>
      <c r="BH8050" s="386"/>
      <c r="BI8050" s="386"/>
      <c r="BJ8050" s="46"/>
    </row>
    <row r="8051" spans="59:62" x14ac:dyDescent="0.3">
      <c r="BG8051" s="387"/>
      <c r="BH8051" s="386"/>
      <c r="BI8051" s="386"/>
      <c r="BJ8051" s="46"/>
    </row>
    <row r="8052" spans="59:62" x14ac:dyDescent="0.3">
      <c r="BG8052" s="387"/>
      <c r="BH8052" s="386"/>
      <c r="BI8052" s="386"/>
      <c r="BJ8052" s="46"/>
    </row>
    <row r="8053" spans="59:62" x14ac:dyDescent="0.3">
      <c r="BG8053" s="387"/>
      <c r="BH8053" s="386"/>
      <c r="BI8053" s="386"/>
      <c r="BJ8053" s="46"/>
    </row>
    <row r="8054" spans="59:62" x14ac:dyDescent="0.3">
      <c r="BG8054" s="387"/>
      <c r="BH8054" s="386"/>
      <c r="BI8054" s="386"/>
      <c r="BJ8054" s="46"/>
    </row>
    <row r="8055" spans="59:62" x14ac:dyDescent="0.3">
      <c r="BG8055" s="387"/>
      <c r="BH8055" s="386"/>
      <c r="BI8055" s="386"/>
      <c r="BJ8055" s="46"/>
    </row>
    <row r="8056" spans="59:62" x14ac:dyDescent="0.3">
      <c r="BG8056" s="387"/>
      <c r="BH8056" s="386"/>
      <c r="BI8056" s="386"/>
      <c r="BJ8056" s="46"/>
    </row>
    <row r="8057" spans="59:62" x14ac:dyDescent="0.3">
      <c r="BG8057" s="387"/>
      <c r="BH8057" s="386"/>
      <c r="BI8057" s="386"/>
      <c r="BJ8057" s="46"/>
    </row>
    <row r="8058" spans="59:62" x14ac:dyDescent="0.3">
      <c r="BG8058" s="387"/>
      <c r="BH8058" s="386"/>
      <c r="BI8058" s="386"/>
      <c r="BJ8058" s="46"/>
    </row>
    <row r="8059" spans="59:62" x14ac:dyDescent="0.3">
      <c r="BG8059" s="387"/>
      <c r="BH8059" s="386"/>
      <c r="BI8059" s="386"/>
      <c r="BJ8059" s="46"/>
    </row>
    <row r="8060" spans="59:62" x14ac:dyDescent="0.3">
      <c r="BG8060" s="387"/>
      <c r="BH8060" s="386"/>
      <c r="BI8060" s="386"/>
      <c r="BJ8060" s="46"/>
    </row>
    <row r="8061" spans="59:62" x14ac:dyDescent="0.3">
      <c r="BG8061" s="387"/>
      <c r="BH8061" s="386"/>
      <c r="BI8061" s="386"/>
      <c r="BJ8061" s="46"/>
    </row>
    <row r="8062" spans="59:62" x14ac:dyDescent="0.3">
      <c r="BG8062" s="387"/>
      <c r="BH8062" s="386"/>
      <c r="BI8062" s="386"/>
      <c r="BJ8062" s="46"/>
    </row>
    <row r="8063" spans="59:62" x14ac:dyDescent="0.3">
      <c r="BG8063" s="387"/>
      <c r="BH8063" s="386"/>
      <c r="BI8063" s="386"/>
      <c r="BJ8063" s="46"/>
    </row>
    <row r="8064" spans="59:62" x14ac:dyDescent="0.3">
      <c r="BG8064" s="387"/>
      <c r="BH8064" s="386"/>
      <c r="BI8064" s="386"/>
      <c r="BJ8064" s="46"/>
    </row>
    <row r="8065" spans="59:62" x14ac:dyDescent="0.3">
      <c r="BG8065" s="387"/>
      <c r="BH8065" s="386"/>
      <c r="BI8065" s="386"/>
      <c r="BJ8065" s="46"/>
    </row>
    <row r="8066" spans="59:62" x14ac:dyDescent="0.3">
      <c r="BG8066" s="387"/>
      <c r="BH8066" s="386"/>
      <c r="BI8066" s="386"/>
      <c r="BJ8066" s="46"/>
    </row>
    <row r="8067" spans="59:62" x14ac:dyDescent="0.3">
      <c r="BG8067" s="387"/>
      <c r="BH8067" s="386"/>
      <c r="BI8067" s="386"/>
      <c r="BJ8067" s="46"/>
    </row>
    <row r="8068" spans="59:62" x14ac:dyDescent="0.3">
      <c r="BG8068" s="387"/>
      <c r="BH8068" s="386"/>
      <c r="BI8068" s="386"/>
      <c r="BJ8068" s="46"/>
    </row>
    <row r="8069" spans="59:62" x14ac:dyDescent="0.3">
      <c r="BG8069" s="387"/>
      <c r="BH8069" s="386"/>
      <c r="BI8069" s="386"/>
      <c r="BJ8069" s="46"/>
    </row>
    <row r="8070" spans="59:62" x14ac:dyDescent="0.3">
      <c r="BG8070" s="387"/>
      <c r="BH8070" s="386"/>
      <c r="BI8070" s="386"/>
      <c r="BJ8070" s="46"/>
    </row>
    <row r="8071" spans="59:62" x14ac:dyDescent="0.3">
      <c r="BG8071" s="387"/>
      <c r="BH8071" s="386"/>
      <c r="BI8071" s="386"/>
      <c r="BJ8071" s="46"/>
    </row>
    <row r="8072" spans="59:62" x14ac:dyDescent="0.3">
      <c r="BG8072" s="387"/>
      <c r="BH8072" s="386"/>
      <c r="BI8072" s="386"/>
      <c r="BJ8072" s="46"/>
    </row>
    <row r="8073" spans="59:62" x14ac:dyDescent="0.3">
      <c r="BG8073" s="387"/>
      <c r="BH8073" s="386"/>
      <c r="BI8073" s="386"/>
      <c r="BJ8073" s="46"/>
    </row>
    <row r="8074" spans="59:62" x14ac:dyDescent="0.3">
      <c r="BG8074" s="387"/>
      <c r="BH8074" s="386"/>
      <c r="BI8074" s="386"/>
      <c r="BJ8074" s="46"/>
    </row>
    <row r="8075" spans="59:62" x14ac:dyDescent="0.3">
      <c r="BG8075" s="387"/>
      <c r="BH8075" s="386"/>
      <c r="BI8075" s="386"/>
      <c r="BJ8075" s="46"/>
    </row>
    <row r="8076" spans="59:62" x14ac:dyDescent="0.3">
      <c r="BG8076" s="387"/>
      <c r="BH8076" s="386"/>
      <c r="BI8076" s="386"/>
      <c r="BJ8076" s="46"/>
    </row>
    <row r="8077" spans="59:62" x14ac:dyDescent="0.3">
      <c r="BG8077" s="387"/>
      <c r="BH8077" s="386"/>
      <c r="BI8077" s="386"/>
      <c r="BJ8077" s="46"/>
    </row>
    <row r="8078" spans="59:62" x14ac:dyDescent="0.3">
      <c r="BG8078" s="387"/>
      <c r="BH8078" s="386"/>
      <c r="BI8078" s="386"/>
      <c r="BJ8078" s="46"/>
    </row>
    <row r="8079" spans="59:62" x14ac:dyDescent="0.3">
      <c r="BG8079" s="387"/>
      <c r="BH8079" s="386"/>
      <c r="BI8079" s="386"/>
      <c r="BJ8079" s="46"/>
    </row>
    <row r="8080" spans="59:62" x14ac:dyDescent="0.3">
      <c r="BG8080" s="387"/>
      <c r="BH8080" s="386"/>
      <c r="BI8080" s="386"/>
      <c r="BJ8080" s="46"/>
    </row>
    <row r="8081" spans="59:62" x14ac:dyDescent="0.3">
      <c r="BG8081" s="387"/>
      <c r="BH8081" s="386"/>
      <c r="BI8081" s="386"/>
      <c r="BJ8081" s="46"/>
    </row>
    <row r="8082" spans="59:62" x14ac:dyDescent="0.3">
      <c r="BG8082" s="387"/>
      <c r="BH8082" s="386"/>
      <c r="BI8082" s="386"/>
      <c r="BJ8082" s="46"/>
    </row>
    <row r="8083" spans="59:62" x14ac:dyDescent="0.3">
      <c r="BG8083" s="387"/>
      <c r="BH8083" s="386"/>
      <c r="BI8083" s="386"/>
      <c r="BJ8083" s="46"/>
    </row>
    <row r="8084" spans="59:62" x14ac:dyDescent="0.3">
      <c r="BG8084" s="387"/>
      <c r="BH8084" s="386"/>
      <c r="BI8084" s="386"/>
      <c r="BJ8084" s="46"/>
    </row>
    <row r="8085" spans="59:62" x14ac:dyDescent="0.3">
      <c r="BG8085" s="387"/>
      <c r="BH8085" s="386"/>
      <c r="BI8085" s="386"/>
      <c r="BJ8085" s="46"/>
    </row>
    <row r="8086" spans="59:62" x14ac:dyDescent="0.3">
      <c r="BG8086" s="387"/>
      <c r="BH8086" s="386"/>
      <c r="BI8086" s="386"/>
      <c r="BJ8086" s="46"/>
    </row>
    <row r="8087" spans="59:62" x14ac:dyDescent="0.3">
      <c r="BG8087" s="387"/>
      <c r="BH8087" s="386"/>
      <c r="BI8087" s="386"/>
      <c r="BJ8087" s="46"/>
    </row>
    <row r="8088" spans="59:62" x14ac:dyDescent="0.3">
      <c r="BG8088" s="387"/>
      <c r="BH8088" s="386"/>
      <c r="BI8088" s="386"/>
      <c r="BJ8088" s="46"/>
    </row>
    <row r="8089" spans="59:62" x14ac:dyDescent="0.3">
      <c r="BG8089" s="387"/>
      <c r="BH8089" s="386"/>
      <c r="BI8089" s="386"/>
      <c r="BJ8089" s="46"/>
    </row>
    <row r="8090" spans="59:62" x14ac:dyDescent="0.3">
      <c r="BG8090" s="387"/>
      <c r="BH8090" s="386"/>
      <c r="BI8090" s="386"/>
      <c r="BJ8090" s="46"/>
    </row>
    <row r="8091" spans="59:62" x14ac:dyDescent="0.3">
      <c r="BG8091" s="387"/>
      <c r="BH8091" s="386"/>
      <c r="BI8091" s="386"/>
      <c r="BJ8091" s="46"/>
    </row>
    <row r="8092" spans="59:62" x14ac:dyDescent="0.3">
      <c r="BG8092" s="387"/>
      <c r="BH8092" s="386"/>
      <c r="BI8092" s="386"/>
      <c r="BJ8092" s="46"/>
    </row>
    <row r="8093" spans="59:62" x14ac:dyDescent="0.3">
      <c r="BG8093" s="387"/>
      <c r="BH8093" s="386"/>
      <c r="BI8093" s="386"/>
      <c r="BJ8093" s="46"/>
    </row>
    <row r="8094" spans="59:62" x14ac:dyDescent="0.3">
      <c r="BG8094" s="387"/>
      <c r="BH8094" s="386"/>
      <c r="BI8094" s="386"/>
      <c r="BJ8094" s="46"/>
    </row>
    <row r="8095" spans="59:62" x14ac:dyDescent="0.3">
      <c r="BG8095" s="387"/>
      <c r="BH8095" s="386"/>
      <c r="BI8095" s="386"/>
      <c r="BJ8095" s="46"/>
    </row>
    <row r="8096" spans="59:62" x14ac:dyDescent="0.3">
      <c r="BG8096" s="387"/>
      <c r="BH8096" s="386"/>
      <c r="BI8096" s="386"/>
      <c r="BJ8096" s="46"/>
    </row>
    <row r="8097" spans="59:62" x14ac:dyDescent="0.3">
      <c r="BG8097" s="387"/>
      <c r="BH8097" s="386"/>
      <c r="BI8097" s="386"/>
      <c r="BJ8097" s="46"/>
    </row>
    <row r="8098" spans="59:62" x14ac:dyDescent="0.3">
      <c r="BG8098" s="387"/>
      <c r="BH8098" s="386"/>
      <c r="BI8098" s="386"/>
      <c r="BJ8098" s="46"/>
    </row>
    <row r="8099" spans="59:62" x14ac:dyDescent="0.3">
      <c r="BG8099" s="387"/>
      <c r="BH8099" s="386"/>
      <c r="BI8099" s="386"/>
      <c r="BJ8099" s="46"/>
    </row>
    <row r="8100" spans="59:62" x14ac:dyDescent="0.3">
      <c r="BG8100" s="387"/>
      <c r="BH8100" s="386"/>
      <c r="BI8100" s="386"/>
      <c r="BJ8100" s="46"/>
    </row>
    <row r="8101" spans="59:62" x14ac:dyDescent="0.3">
      <c r="BG8101" s="387"/>
      <c r="BH8101" s="386"/>
      <c r="BI8101" s="386"/>
      <c r="BJ8101" s="46"/>
    </row>
    <row r="8102" spans="59:62" x14ac:dyDescent="0.3">
      <c r="BG8102" s="387"/>
      <c r="BH8102" s="386"/>
      <c r="BI8102" s="386"/>
      <c r="BJ8102" s="46"/>
    </row>
    <row r="8103" spans="59:62" x14ac:dyDescent="0.3">
      <c r="BG8103" s="387"/>
      <c r="BH8103" s="386"/>
      <c r="BI8103" s="386"/>
      <c r="BJ8103" s="46"/>
    </row>
    <row r="8104" spans="59:62" x14ac:dyDescent="0.3">
      <c r="BG8104" s="387"/>
      <c r="BH8104" s="386"/>
      <c r="BI8104" s="386"/>
      <c r="BJ8104" s="46"/>
    </row>
    <row r="8105" spans="59:62" x14ac:dyDescent="0.3">
      <c r="BG8105" s="387"/>
      <c r="BH8105" s="386"/>
      <c r="BI8105" s="386"/>
      <c r="BJ8105" s="46"/>
    </row>
    <row r="8106" spans="59:62" x14ac:dyDescent="0.3">
      <c r="BG8106" s="387"/>
      <c r="BH8106" s="386"/>
      <c r="BI8106" s="386"/>
      <c r="BJ8106" s="46"/>
    </row>
    <row r="8107" spans="59:62" x14ac:dyDescent="0.3">
      <c r="BG8107" s="387"/>
      <c r="BH8107" s="386"/>
      <c r="BI8107" s="386"/>
      <c r="BJ8107" s="46"/>
    </row>
    <row r="8108" spans="59:62" x14ac:dyDescent="0.3">
      <c r="BG8108" s="387"/>
      <c r="BH8108" s="386"/>
      <c r="BI8108" s="386"/>
      <c r="BJ8108" s="46"/>
    </row>
    <row r="8109" spans="59:62" x14ac:dyDescent="0.3">
      <c r="BG8109" s="387"/>
      <c r="BH8109" s="386"/>
      <c r="BI8109" s="386"/>
      <c r="BJ8109" s="46"/>
    </row>
    <row r="8110" spans="59:62" x14ac:dyDescent="0.3">
      <c r="BG8110" s="387"/>
      <c r="BH8110" s="386"/>
      <c r="BI8110" s="386"/>
      <c r="BJ8110" s="46"/>
    </row>
    <row r="8111" spans="59:62" x14ac:dyDescent="0.3">
      <c r="BG8111" s="387"/>
      <c r="BH8111" s="386"/>
      <c r="BI8111" s="386"/>
      <c r="BJ8111" s="46"/>
    </row>
    <row r="8112" spans="59:62" x14ac:dyDescent="0.3">
      <c r="BG8112" s="387"/>
      <c r="BH8112" s="386"/>
      <c r="BI8112" s="386"/>
      <c r="BJ8112" s="46"/>
    </row>
    <row r="8113" spans="59:62" x14ac:dyDescent="0.3">
      <c r="BG8113" s="387"/>
      <c r="BH8113" s="386"/>
      <c r="BI8113" s="386"/>
      <c r="BJ8113" s="46"/>
    </row>
    <row r="8114" spans="59:62" x14ac:dyDescent="0.3">
      <c r="BG8114" s="387"/>
      <c r="BH8114" s="386"/>
      <c r="BI8114" s="386"/>
      <c r="BJ8114" s="46"/>
    </row>
    <row r="8115" spans="59:62" x14ac:dyDescent="0.3">
      <c r="BG8115" s="387"/>
      <c r="BH8115" s="386"/>
      <c r="BI8115" s="386"/>
      <c r="BJ8115" s="46"/>
    </row>
    <row r="8116" spans="59:62" x14ac:dyDescent="0.3">
      <c r="BG8116" s="387"/>
      <c r="BH8116" s="386"/>
      <c r="BI8116" s="386"/>
      <c r="BJ8116" s="46"/>
    </row>
    <row r="8117" spans="59:62" x14ac:dyDescent="0.3">
      <c r="BG8117" s="387"/>
      <c r="BH8117" s="386"/>
      <c r="BI8117" s="386"/>
      <c r="BJ8117" s="46"/>
    </row>
    <row r="8118" spans="59:62" x14ac:dyDescent="0.3">
      <c r="BG8118" s="387"/>
      <c r="BH8118" s="386"/>
      <c r="BI8118" s="386"/>
      <c r="BJ8118" s="46"/>
    </row>
    <row r="8119" spans="59:62" x14ac:dyDescent="0.3">
      <c r="BG8119" s="387"/>
      <c r="BH8119" s="386"/>
      <c r="BI8119" s="386"/>
      <c r="BJ8119" s="46"/>
    </row>
    <row r="8120" spans="59:62" x14ac:dyDescent="0.3">
      <c r="BG8120" s="387"/>
      <c r="BH8120" s="386"/>
      <c r="BI8120" s="386"/>
      <c r="BJ8120" s="46"/>
    </row>
    <row r="8121" spans="59:62" x14ac:dyDescent="0.3">
      <c r="BG8121" s="387"/>
      <c r="BH8121" s="386"/>
      <c r="BI8121" s="386"/>
      <c r="BJ8121" s="46"/>
    </row>
    <row r="8122" spans="59:62" x14ac:dyDescent="0.3">
      <c r="BG8122" s="387"/>
      <c r="BH8122" s="386"/>
      <c r="BI8122" s="386"/>
      <c r="BJ8122" s="46"/>
    </row>
    <row r="8123" spans="59:62" x14ac:dyDescent="0.3">
      <c r="BG8123" s="387"/>
      <c r="BH8123" s="386"/>
      <c r="BI8123" s="386"/>
      <c r="BJ8123" s="46"/>
    </row>
    <row r="8124" spans="59:62" x14ac:dyDescent="0.3">
      <c r="BG8124" s="387"/>
      <c r="BH8124" s="386"/>
      <c r="BI8124" s="386"/>
      <c r="BJ8124" s="46"/>
    </row>
    <row r="8125" spans="59:62" x14ac:dyDescent="0.3">
      <c r="BG8125" s="387"/>
      <c r="BH8125" s="386"/>
      <c r="BI8125" s="386"/>
      <c r="BJ8125" s="46"/>
    </row>
    <row r="8126" spans="59:62" x14ac:dyDescent="0.3">
      <c r="BG8126" s="387"/>
      <c r="BH8126" s="386"/>
      <c r="BI8126" s="386"/>
      <c r="BJ8126" s="46"/>
    </row>
    <row r="8127" spans="59:62" x14ac:dyDescent="0.3">
      <c r="BG8127" s="387"/>
      <c r="BH8127" s="386"/>
      <c r="BI8127" s="386"/>
      <c r="BJ8127" s="46"/>
    </row>
    <row r="8128" spans="59:62" x14ac:dyDescent="0.3">
      <c r="BG8128" s="387"/>
      <c r="BH8128" s="386"/>
      <c r="BI8128" s="386"/>
      <c r="BJ8128" s="46"/>
    </row>
    <row r="8129" spans="59:62" x14ac:dyDescent="0.3">
      <c r="BG8129" s="387"/>
      <c r="BH8129" s="386"/>
      <c r="BI8129" s="386"/>
      <c r="BJ8129" s="46"/>
    </row>
    <row r="8130" spans="59:62" x14ac:dyDescent="0.3">
      <c r="BG8130" s="387"/>
      <c r="BH8130" s="386"/>
      <c r="BI8130" s="386"/>
      <c r="BJ8130" s="46"/>
    </row>
    <row r="8131" spans="59:62" x14ac:dyDescent="0.3">
      <c r="BG8131" s="387"/>
      <c r="BH8131" s="386"/>
      <c r="BI8131" s="386"/>
      <c r="BJ8131" s="46"/>
    </row>
    <row r="8132" spans="59:62" x14ac:dyDescent="0.3">
      <c r="BG8132" s="387"/>
      <c r="BH8132" s="386"/>
      <c r="BI8132" s="386"/>
      <c r="BJ8132" s="46"/>
    </row>
    <row r="8133" spans="59:62" x14ac:dyDescent="0.3">
      <c r="BG8133" s="387"/>
      <c r="BH8133" s="386"/>
      <c r="BI8133" s="386"/>
      <c r="BJ8133" s="46"/>
    </row>
    <row r="8134" spans="59:62" x14ac:dyDescent="0.3">
      <c r="BG8134" s="387"/>
      <c r="BH8134" s="386"/>
      <c r="BI8134" s="386"/>
      <c r="BJ8134" s="46"/>
    </row>
    <row r="8135" spans="59:62" x14ac:dyDescent="0.3">
      <c r="BG8135" s="387"/>
      <c r="BH8135" s="386"/>
      <c r="BI8135" s="386"/>
      <c r="BJ8135" s="46"/>
    </row>
    <row r="8136" spans="59:62" x14ac:dyDescent="0.3">
      <c r="BG8136" s="387"/>
      <c r="BH8136" s="386"/>
      <c r="BI8136" s="386"/>
      <c r="BJ8136" s="46"/>
    </row>
    <row r="8137" spans="59:62" x14ac:dyDescent="0.3">
      <c r="BG8137" s="387"/>
      <c r="BH8137" s="386"/>
      <c r="BI8137" s="386"/>
      <c r="BJ8137" s="46"/>
    </row>
    <row r="8138" spans="59:62" x14ac:dyDescent="0.3">
      <c r="BG8138" s="387"/>
      <c r="BH8138" s="386"/>
      <c r="BI8138" s="386"/>
      <c r="BJ8138" s="46"/>
    </row>
    <row r="8139" spans="59:62" x14ac:dyDescent="0.3">
      <c r="BG8139" s="387"/>
      <c r="BH8139" s="386"/>
      <c r="BI8139" s="386"/>
      <c r="BJ8139" s="46"/>
    </row>
    <row r="8140" spans="59:62" x14ac:dyDescent="0.3">
      <c r="BG8140" s="387"/>
      <c r="BH8140" s="386"/>
      <c r="BI8140" s="386"/>
      <c r="BJ8140" s="46"/>
    </row>
    <row r="8141" spans="59:62" x14ac:dyDescent="0.3">
      <c r="BG8141" s="387"/>
      <c r="BH8141" s="386"/>
      <c r="BI8141" s="386"/>
      <c r="BJ8141" s="46"/>
    </row>
    <row r="8142" spans="59:62" x14ac:dyDescent="0.3">
      <c r="BG8142" s="387"/>
      <c r="BH8142" s="386"/>
      <c r="BI8142" s="386"/>
      <c r="BJ8142" s="46"/>
    </row>
    <row r="8143" spans="59:62" x14ac:dyDescent="0.3">
      <c r="BG8143" s="387"/>
      <c r="BH8143" s="386"/>
      <c r="BI8143" s="386"/>
      <c r="BJ8143" s="46"/>
    </row>
    <row r="8144" spans="59:62" x14ac:dyDescent="0.3">
      <c r="BG8144" s="387"/>
      <c r="BH8144" s="386"/>
      <c r="BI8144" s="386"/>
      <c r="BJ8144" s="46"/>
    </row>
    <row r="8145" spans="59:62" x14ac:dyDescent="0.3">
      <c r="BG8145" s="387"/>
      <c r="BH8145" s="386"/>
      <c r="BI8145" s="386"/>
      <c r="BJ8145" s="46"/>
    </row>
    <row r="8146" spans="59:62" x14ac:dyDescent="0.3">
      <c r="BG8146" s="387"/>
      <c r="BH8146" s="386"/>
      <c r="BI8146" s="386"/>
      <c r="BJ8146" s="46"/>
    </row>
    <row r="8147" spans="59:62" x14ac:dyDescent="0.3">
      <c r="BG8147" s="387"/>
      <c r="BH8147" s="386"/>
      <c r="BI8147" s="386"/>
      <c r="BJ8147" s="46"/>
    </row>
    <row r="8148" spans="59:62" x14ac:dyDescent="0.3">
      <c r="BG8148" s="387"/>
      <c r="BH8148" s="386"/>
      <c r="BI8148" s="386"/>
      <c r="BJ8148" s="46"/>
    </row>
    <row r="8149" spans="59:62" x14ac:dyDescent="0.3">
      <c r="BG8149" s="387"/>
      <c r="BH8149" s="386"/>
      <c r="BI8149" s="386"/>
      <c r="BJ8149" s="46"/>
    </row>
    <row r="8150" spans="59:62" x14ac:dyDescent="0.3">
      <c r="BG8150" s="387"/>
      <c r="BH8150" s="386"/>
      <c r="BI8150" s="386"/>
      <c r="BJ8150" s="46"/>
    </row>
    <row r="8151" spans="59:62" x14ac:dyDescent="0.3">
      <c r="BG8151" s="387"/>
      <c r="BH8151" s="386"/>
      <c r="BI8151" s="386"/>
      <c r="BJ8151" s="46"/>
    </row>
    <row r="8152" spans="59:62" x14ac:dyDescent="0.3">
      <c r="BG8152" s="387"/>
      <c r="BH8152" s="386"/>
      <c r="BI8152" s="386"/>
      <c r="BJ8152" s="46"/>
    </row>
    <row r="8153" spans="59:62" x14ac:dyDescent="0.3">
      <c r="BG8153" s="387"/>
      <c r="BH8153" s="386"/>
      <c r="BI8153" s="386"/>
      <c r="BJ8153" s="46"/>
    </row>
    <row r="8154" spans="59:62" x14ac:dyDescent="0.3">
      <c r="BG8154" s="387"/>
      <c r="BH8154" s="386"/>
      <c r="BI8154" s="386"/>
      <c r="BJ8154" s="46"/>
    </row>
    <row r="8155" spans="59:62" x14ac:dyDescent="0.3">
      <c r="BG8155" s="387"/>
      <c r="BH8155" s="386"/>
      <c r="BI8155" s="386"/>
      <c r="BJ8155" s="46"/>
    </row>
    <row r="8156" spans="59:62" x14ac:dyDescent="0.3">
      <c r="BG8156" s="387"/>
      <c r="BH8156" s="386"/>
      <c r="BI8156" s="386"/>
      <c r="BJ8156" s="46"/>
    </row>
    <row r="8157" spans="59:62" x14ac:dyDescent="0.3">
      <c r="BG8157" s="387"/>
      <c r="BH8157" s="386"/>
      <c r="BI8157" s="386"/>
      <c r="BJ8157" s="46"/>
    </row>
    <row r="8158" spans="59:62" x14ac:dyDescent="0.3">
      <c r="BG8158" s="387"/>
      <c r="BH8158" s="386"/>
      <c r="BI8158" s="386"/>
      <c r="BJ8158" s="46"/>
    </row>
    <row r="8159" spans="59:62" x14ac:dyDescent="0.3">
      <c r="BG8159" s="387"/>
      <c r="BH8159" s="386"/>
      <c r="BI8159" s="386"/>
      <c r="BJ8159" s="46"/>
    </row>
    <row r="8160" spans="59:62" x14ac:dyDescent="0.3">
      <c r="BG8160" s="387"/>
      <c r="BH8160" s="386"/>
      <c r="BI8160" s="386"/>
      <c r="BJ8160" s="46"/>
    </row>
    <row r="8161" spans="59:62" x14ac:dyDescent="0.3">
      <c r="BG8161" s="387"/>
      <c r="BH8161" s="386"/>
      <c r="BI8161" s="386"/>
      <c r="BJ8161" s="46"/>
    </row>
    <row r="8162" spans="59:62" x14ac:dyDescent="0.3">
      <c r="BG8162" s="387"/>
      <c r="BH8162" s="386"/>
      <c r="BI8162" s="386"/>
      <c r="BJ8162" s="46"/>
    </row>
    <row r="8163" spans="59:62" x14ac:dyDescent="0.3">
      <c r="BG8163" s="387"/>
      <c r="BH8163" s="386"/>
      <c r="BI8163" s="386"/>
      <c r="BJ8163" s="46"/>
    </row>
    <row r="8164" spans="59:62" x14ac:dyDescent="0.3">
      <c r="BG8164" s="387"/>
      <c r="BH8164" s="386"/>
      <c r="BI8164" s="386"/>
      <c r="BJ8164" s="46"/>
    </row>
    <row r="8165" spans="59:62" x14ac:dyDescent="0.3">
      <c r="BG8165" s="387"/>
      <c r="BH8165" s="386"/>
      <c r="BI8165" s="386"/>
      <c r="BJ8165" s="46"/>
    </row>
    <row r="8166" spans="59:62" x14ac:dyDescent="0.3">
      <c r="BG8166" s="387"/>
      <c r="BH8166" s="386"/>
      <c r="BI8166" s="386"/>
      <c r="BJ8166" s="46"/>
    </row>
    <row r="8167" spans="59:62" x14ac:dyDescent="0.3">
      <c r="BG8167" s="387"/>
      <c r="BH8167" s="386"/>
      <c r="BI8167" s="386"/>
      <c r="BJ8167" s="46"/>
    </row>
    <row r="8168" spans="59:62" x14ac:dyDescent="0.3">
      <c r="BG8168" s="387"/>
      <c r="BH8168" s="386"/>
      <c r="BI8168" s="386"/>
      <c r="BJ8168" s="46"/>
    </row>
    <row r="8169" spans="59:62" x14ac:dyDescent="0.3">
      <c r="BG8169" s="387"/>
      <c r="BH8169" s="386"/>
      <c r="BI8169" s="386"/>
      <c r="BJ8169" s="46"/>
    </row>
    <row r="8170" spans="59:62" x14ac:dyDescent="0.3">
      <c r="BG8170" s="387"/>
      <c r="BH8170" s="386"/>
      <c r="BI8170" s="386"/>
      <c r="BJ8170" s="46"/>
    </row>
    <row r="8171" spans="59:62" x14ac:dyDescent="0.3">
      <c r="BG8171" s="387"/>
      <c r="BH8171" s="386"/>
      <c r="BI8171" s="386"/>
      <c r="BJ8171" s="46"/>
    </row>
    <row r="8172" spans="59:62" x14ac:dyDescent="0.3">
      <c r="BG8172" s="387"/>
      <c r="BH8172" s="386"/>
      <c r="BI8172" s="386"/>
      <c r="BJ8172" s="46"/>
    </row>
    <row r="8173" spans="59:62" x14ac:dyDescent="0.3">
      <c r="BG8173" s="387"/>
      <c r="BH8173" s="386"/>
      <c r="BI8173" s="386"/>
      <c r="BJ8173" s="46"/>
    </row>
    <row r="8174" spans="59:62" x14ac:dyDescent="0.3">
      <c r="BG8174" s="387"/>
      <c r="BH8174" s="386"/>
      <c r="BI8174" s="386"/>
      <c r="BJ8174" s="46"/>
    </row>
    <row r="8175" spans="59:62" x14ac:dyDescent="0.3">
      <c r="BG8175" s="387"/>
      <c r="BH8175" s="386"/>
      <c r="BI8175" s="386"/>
      <c r="BJ8175" s="46"/>
    </row>
    <row r="8176" spans="59:62" x14ac:dyDescent="0.3">
      <c r="BG8176" s="387"/>
      <c r="BH8176" s="386"/>
      <c r="BI8176" s="386"/>
      <c r="BJ8176" s="46"/>
    </row>
    <row r="8177" spans="59:62" x14ac:dyDescent="0.3">
      <c r="BG8177" s="387"/>
      <c r="BH8177" s="386"/>
      <c r="BI8177" s="386"/>
      <c r="BJ8177" s="46"/>
    </row>
    <row r="8178" spans="59:62" x14ac:dyDescent="0.3">
      <c r="BG8178" s="387"/>
      <c r="BH8178" s="386"/>
      <c r="BI8178" s="386"/>
      <c r="BJ8178" s="46"/>
    </row>
    <row r="8179" spans="59:62" x14ac:dyDescent="0.3">
      <c r="BG8179" s="387"/>
      <c r="BH8179" s="386"/>
      <c r="BI8179" s="386"/>
      <c r="BJ8179" s="46"/>
    </row>
    <row r="8180" spans="59:62" x14ac:dyDescent="0.3">
      <c r="BG8180" s="387"/>
      <c r="BH8180" s="386"/>
      <c r="BI8180" s="386"/>
      <c r="BJ8180" s="46"/>
    </row>
    <row r="8181" spans="59:62" x14ac:dyDescent="0.3">
      <c r="BG8181" s="387"/>
      <c r="BH8181" s="386"/>
      <c r="BI8181" s="386"/>
      <c r="BJ8181" s="46"/>
    </row>
    <row r="8182" spans="59:62" x14ac:dyDescent="0.3">
      <c r="BG8182" s="387"/>
      <c r="BH8182" s="386"/>
      <c r="BI8182" s="386"/>
      <c r="BJ8182" s="46"/>
    </row>
    <row r="8183" spans="59:62" x14ac:dyDescent="0.3">
      <c r="BG8183" s="387"/>
      <c r="BH8183" s="386"/>
      <c r="BI8183" s="386"/>
      <c r="BJ8183" s="46"/>
    </row>
    <row r="8184" spans="59:62" x14ac:dyDescent="0.3">
      <c r="BG8184" s="387"/>
      <c r="BH8184" s="386"/>
      <c r="BI8184" s="386"/>
      <c r="BJ8184" s="46"/>
    </row>
    <row r="8185" spans="59:62" x14ac:dyDescent="0.3">
      <c r="BG8185" s="387"/>
      <c r="BH8185" s="386"/>
      <c r="BI8185" s="386"/>
      <c r="BJ8185" s="46"/>
    </row>
    <row r="8186" spans="59:62" x14ac:dyDescent="0.3">
      <c r="BG8186" s="387"/>
      <c r="BH8186" s="386"/>
      <c r="BI8186" s="386"/>
      <c r="BJ8186" s="46"/>
    </row>
    <row r="8187" spans="59:62" x14ac:dyDescent="0.3">
      <c r="BG8187" s="387"/>
      <c r="BH8187" s="386"/>
      <c r="BI8187" s="386"/>
      <c r="BJ8187" s="46"/>
    </row>
    <row r="8188" spans="59:62" x14ac:dyDescent="0.3">
      <c r="BG8188" s="387"/>
      <c r="BH8188" s="386"/>
      <c r="BI8188" s="386"/>
      <c r="BJ8188" s="46"/>
    </row>
    <row r="8189" spans="59:62" x14ac:dyDescent="0.3">
      <c r="BG8189" s="387"/>
      <c r="BH8189" s="386"/>
      <c r="BI8189" s="386"/>
      <c r="BJ8189" s="46"/>
    </row>
    <row r="8190" spans="59:62" x14ac:dyDescent="0.3">
      <c r="BG8190" s="387"/>
      <c r="BH8190" s="386"/>
      <c r="BI8190" s="386"/>
      <c r="BJ8190" s="46"/>
    </row>
    <row r="8191" spans="59:62" x14ac:dyDescent="0.3">
      <c r="BG8191" s="387"/>
      <c r="BH8191" s="386"/>
      <c r="BI8191" s="386"/>
      <c r="BJ8191" s="46"/>
    </row>
    <row r="8192" spans="59:62" x14ac:dyDescent="0.3">
      <c r="BG8192" s="387"/>
      <c r="BH8192" s="386"/>
      <c r="BI8192" s="386"/>
      <c r="BJ8192" s="46"/>
    </row>
    <row r="8193" spans="59:62" x14ac:dyDescent="0.3">
      <c r="BG8193" s="387"/>
      <c r="BH8193" s="386"/>
      <c r="BI8193" s="386"/>
      <c r="BJ8193" s="46"/>
    </row>
    <row r="8194" spans="59:62" x14ac:dyDescent="0.3">
      <c r="BG8194" s="387"/>
      <c r="BH8194" s="386"/>
      <c r="BI8194" s="386"/>
      <c r="BJ8194" s="46"/>
    </row>
    <row r="8195" spans="59:62" x14ac:dyDescent="0.3">
      <c r="BG8195" s="387"/>
      <c r="BH8195" s="386"/>
      <c r="BI8195" s="386"/>
      <c r="BJ8195" s="46"/>
    </row>
    <row r="8196" spans="59:62" x14ac:dyDescent="0.3">
      <c r="BG8196" s="387"/>
      <c r="BH8196" s="386"/>
      <c r="BI8196" s="386"/>
      <c r="BJ8196" s="46"/>
    </row>
    <row r="8197" spans="59:62" x14ac:dyDescent="0.3">
      <c r="BG8197" s="387"/>
      <c r="BH8197" s="386"/>
      <c r="BI8197" s="386"/>
      <c r="BJ8197" s="46"/>
    </row>
    <row r="8198" spans="59:62" x14ac:dyDescent="0.3">
      <c r="BG8198" s="387"/>
      <c r="BH8198" s="386"/>
      <c r="BI8198" s="386"/>
      <c r="BJ8198" s="46"/>
    </row>
    <row r="8199" spans="59:62" x14ac:dyDescent="0.3">
      <c r="BG8199" s="387"/>
      <c r="BH8199" s="386"/>
      <c r="BI8199" s="386"/>
      <c r="BJ8199" s="46"/>
    </row>
    <row r="8200" spans="59:62" x14ac:dyDescent="0.3">
      <c r="BG8200" s="387"/>
      <c r="BH8200" s="386"/>
      <c r="BI8200" s="386"/>
      <c r="BJ8200" s="46"/>
    </row>
    <row r="8201" spans="59:62" x14ac:dyDescent="0.3">
      <c r="BG8201" s="387"/>
      <c r="BH8201" s="386"/>
      <c r="BI8201" s="386"/>
      <c r="BJ8201" s="46"/>
    </row>
    <row r="8202" spans="59:62" x14ac:dyDescent="0.3">
      <c r="BG8202" s="387"/>
      <c r="BH8202" s="386"/>
      <c r="BI8202" s="386"/>
      <c r="BJ8202" s="46"/>
    </row>
    <row r="8203" spans="59:62" x14ac:dyDescent="0.3">
      <c r="BG8203" s="387"/>
      <c r="BH8203" s="386"/>
      <c r="BI8203" s="386"/>
      <c r="BJ8203" s="46"/>
    </row>
    <row r="8204" spans="59:62" x14ac:dyDescent="0.3">
      <c r="BG8204" s="387"/>
      <c r="BH8204" s="386"/>
      <c r="BI8204" s="386"/>
      <c r="BJ8204" s="46"/>
    </row>
    <row r="8205" spans="59:62" x14ac:dyDescent="0.3">
      <c r="BG8205" s="387"/>
      <c r="BH8205" s="386"/>
      <c r="BI8205" s="386"/>
      <c r="BJ8205" s="46"/>
    </row>
    <row r="8206" spans="59:62" x14ac:dyDescent="0.3">
      <c r="BG8206" s="387"/>
      <c r="BH8206" s="386"/>
      <c r="BI8206" s="386"/>
      <c r="BJ8206" s="46"/>
    </row>
    <row r="8207" spans="59:62" x14ac:dyDescent="0.3">
      <c r="BG8207" s="387"/>
      <c r="BH8207" s="386"/>
      <c r="BI8207" s="386"/>
      <c r="BJ8207" s="46"/>
    </row>
    <row r="8208" spans="59:62" x14ac:dyDescent="0.3">
      <c r="BG8208" s="387"/>
      <c r="BH8208" s="386"/>
      <c r="BI8208" s="386"/>
      <c r="BJ8208" s="46"/>
    </row>
    <row r="8209" spans="59:62" x14ac:dyDescent="0.3">
      <c r="BG8209" s="387"/>
      <c r="BH8209" s="386"/>
      <c r="BI8209" s="386"/>
      <c r="BJ8209" s="46"/>
    </row>
    <row r="8210" spans="59:62" x14ac:dyDescent="0.3">
      <c r="BG8210" s="387"/>
      <c r="BH8210" s="386"/>
      <c r="BI8210" s="386"/>
      <c r="BJ8210" s="46"/>
    </row>
    <row r="8211" spans="59:62" x14ac:dyDescent="0.3">
      <c r="BG8211" s="387"/>
      <c r="BH8211" s="386"/>
      <c r="BI8211" s="386"/>
      <c r="BJ8211" s="46"/>
    </row>
    <row r="8212" spans="59:62" x14ac:dyDescent="0.3">
      <c r="BG8212" s="387"/>
      <c r="BH8212" s="386"/>
      <c r="BI8212" s="386"/>
      <c r="BJ8212" s="46"/>
    </row>
    <row r="8213" spans="59:62" x14ac:dyDescent="0.3">
      <c r="BG8213" s="387"/>
      <c r="BH8213" s="386"/>
      <c r="BI8213" s="386"/>
      <c r="BJ8213" s="46"/>
    </row>
    <row r="8214" spans="59:62" x14ac:dyDescent="0.3">
      <c r="BG8214" s="387"/>
      <c r="BH8214" s="386"/>
      <c r="BI8214" s="386"/>
      <c r="BJ8214" s="46"/>
    </row>
    <row r="8215" spans="59:62" x14ac:dyDescent="0.3">
      <c r="BG8215" s="387"/>
      <c r="BH8215" s="386"/>
      <c r="BI8215" s="386"/>
      <c r="BJ8215" s="46"/>
    </row>
    <row r="8216" spans="59:62" x14ac:dyDescent="0.3">
      <c r="BG8216" s="387"/>
      <c r="BH8216" s="386"/>
      <c r="BI8216" s="386"/>
      <c r="BJ8216" s="46"/>
    </row>
    <row r="8217" spans="59:62" x14ac:dyDescent="0.3">
      <c r="BG8217" s="387"/>
      <c r="BH8217" s="386"/>
      <c r="BI8217" s="386"/>
      <c r="BJ8217" s="46"/>
    </row>
    <row r="8218" spans="59:62" x14ac:dyDescent="0.3">
      <c r="BG8218" s="387"/>
      <c r="BH8218" s="386"/>
      <c r="BI8218" s="386"/>
      <c r="BJ8218" s="46"/>
    </row>
    <row r="8219" spans="59:62" x14ac:dyDescent="0.3">
      <c r="BG8219" s="387"/>
      <c r="BH8219" s="386"/>
      <c r="BI8219" s="386"/>
      <c r="BJ8219" s="46"/>
    </row>
    <row r="8220" spans="59:62" x14ac:dyDescent="0.3">
      <c r="BG8220" s="387"/>
      <c r="BH8220" s="386"/>
      <c r="BI8220" s="386"/>
      <c r="BJ8220" s="46"/>
    </row>
    <row r="8221" spans="59:62" x14ac:dyDescent="0.3">
      <c r="BG8221" s="387"/>
      <c r="BH8221" s="386"/>
      <c r="BI8221" s="386"/>
      <c r="BJ8221" s="46"/>
    </row>
    <row r="8222" spans="59:62" x14ac:dyDescent="0.3">
      <c r="BG8222" s="387"/>
      <c r="BH8222" s="386"/>
      <c r="BI8222" s="386"/>
      <c r="BJ8222" s="46"/>
    </row>
    <row r="8223" spans="59:62" x14ac:dyDescent="0.3">
      <c r="BG8223" s="387"/>
      <c r="BH8223" s="386"/>
      <c r="BI8223" s="386"/>
      <c r="BJ8223" s="46"/>
    </row>
    <row r="8224" spans="59:62" x14ac:dyDescent="0.3">
      <c r="BG8224" s="387"/>
      <c r="BH8224" s="386"/>
      <c r="BI8224" s="386"/>
      <c r="BJ8224" s="46"/>
    </row>
    <row r="8225" spans="59:62" x14ac:dyDescent="0.3">
      <c r="BG8225" s="387"/>
      <c r="BH8225" s="386"/>
      <c r="BI8225" s="386"/>
      <c r="BJ8225" s="46"/>
    </row>
    <row r="8226" spans="59:62" x14ac:dyDescent="0.3">
      <c r="BG8226" s="387"/>
      <c r="BH8226" s="386"/>
      <c r="BI8226" s="386"/>
      <c r="BJ8226" s="46"/>
    </row>
    <row r="8227" spans="59:62" x14ac:dyDescent="0.3">
      <c r="BG8227" s="387"/>
      <c r="BH8227" s="386"/>
      <c r="BI8227" s="386"/>
      <c r="BJ8227" s="46"/>
    </row>
    <row r="8228" spans="59:62" x14ac:dyDescent="0.3">
      <c r="BG8228" s="387"/>
      <c r="BH8228" s="386"/>
      <c r="BI8228" s="386"/>
      <c r="BJ8228" s="46"/>
    </row>
    <row r="8229" spans="59:62" x14ac:dyDescent="0.3">
      <c r="BG8229" s="387"/>
      <c r="BH8229" s="386"/>
      <c r="BI8229" s="386"/>
      <c r="BJ8229" s="46"/>
    </row>
    <row r="8230" spans="59:62" x14ac:dyDescent="0.3">
      <c r="BG8230" s="387"/>
      <c r="BH8230" s="386"/>
      <c r="BI8230" s="386"/>
      <c r="BJ8230" s="46"/>
    </row>
    <row r="8231" spans="59:62" x14ac:dyDescent="0.3">
      <c r="BG8231" s="387"/>
      <c r="BH8231" s="386"/>
      <c r="BI8231" s="386"/>
      <c r="BJ8231" s="46"/>
    </row>
    <row r="8232" spans="59:62" x14ac:dyDescent="0.3">
      <c r="BG8232" s="387"/>
      <c r="BH8232" s="386"/>
      <c r="BI8232" s="386"/>
      <c r="BJ8232" s="46"/>
    </row>
    <row r="8233" spans="59:62" x14ac:dyDescent="0.3">
      <c r="BG8233" s="387"/>
      <c r="BH8233" s="386"/>
      <c r="BI8233" s="386"/>
      <c r="BJ8233" s="46"/>
    </row>
    <row r="8234" spans="59:62" x14ac:dyDescent="0.3">
      <c r="BG8234" s="387"/>
      <c r="BH8234" s="386"/>
      <c r="BI8234" s="386"/>
      <c r="BJ8234" s="46"/>
    </row>
    <row r="8235" spans="59:62" x14ac:dyDescent="0.3">
      <c r="BG8235" s="387"/>
      <c r="BH8235" s="386"/>
      <c r="BI8235" s="386"/>
      <c r="BJ8235" s="46"/>
    </row>
    <row r="8236" spans="59:62" x14ac:dyDescent="0.3">
      <c r="BG8236" s="387"/>
      <c r="BH8236" s="386"/>
      <c r="BI8236" s="386"/>
      <c r="BJ8236" s="46"/>
    </row>
    <row r="8237" spans="59:62" x14ac:dyDescent="0.3">
      <c r="BG8237" s="387"/>
      <c r="BH8237" s="386"/>
      <c r="BI8237" s="386"/>
      <c r="BJ8237" s="46"/>
    </row>
    <row r="8238" spans="59:62" x14ac:dyDescent="0.3">
      <c r="BG8238" s="387"/>
      <c r="BH8238" s="386"/>
      <c r="BI8238" s="386"/>
      <c r="BJ8238" s="46"/>
    </row>
    <row r="8239" spans="59:62" x14ac:dyDescent="0.3">
      <c r="BG8239" s="387"/>
      <c r="BH8239" s="386"/>
      <c r="BI8239" s="386"/>
      <c r="BJ8239" s="46"/>
    </row>
    <row r="8240" spans="59:62" x14ac:dyDescent="0.3">
      <c r="BG8240" s="387"/>
      <c r="BH8240" s="386"/>
      <c r="BI8240" s="386"/>
      <c r="BJ8240" s="46"/>
    </row>
    <row r="8241" spans="59:62" x14ac:dyDescent="0.3">
      <c r="BG8241" s="387"/>
      <c r="BH8241" s="386"/>
      <c r="BI8241" s="386"/>
      <c r="BJ8241" s="46"/>
    </row>
    <row r="8242" spans="59:62" x14ac:dyDescent="0.3">
      <c r="BG8242" s="387"/>
      <c r="BH8242" s="386"/>
      <c r="BI8242" s="386"/>
      <c r="BJ8242" s="46"/>
    </row>
    <row r="8243" spans="59:62" x14ac:dyDescent="0.3">
      <c r="BG8243" s="387"/>
      <c r="BH8243" s="386"/>
      <c r="BI8243" s="386"/>
      <c r="BJ8243" s="46"/>
    </row>
    <row r="8244" spans="59:62" x14ac:dyDescent="0.3">
      <c r="BG8244" s="387"/>
      <c r="BH8244" s="386"/>
      <c r="BI8244" s="386"/>
      <c r="BJ8244" s="46"/>
    </row>
    <row r="8245" spans="59:62" x14ac:dyDescent="0.3">
      <c r="BG8245" s="387"/>
      <c r="BH8245" s="386"/>
      <c r="BI8245" s="386"/>
      <c r="BJ8245" s="46"/>
    </row>
    <row r="8246" spans="59:62" x14ac:dyDescent="0.3">
      <c r="BG8246" s="387"/>
      <c r="BH8246" s="386"/>
      <c r="BI8246" s="386"/>
      <c r="BJ8246" s="46"/>
    </row>
    <row r="8247" spans="59:62" x14ac:dyDescent="0.3">
      <c r="BG8247" s="387"/>
      <c r="BH8247" s="386"/>
      <c r="BI8247" s="386"/>
      <c r="BJ8247" s="46"/>
    </row>
    <row r="8248" spans="59:62" x14ac:dyDescent="0.3">
      <c r="BG8248" s="387"/>
      <c r="BH8248" s="386"/>
      <c r="BI8248" s="386"/>
      <c r="BJ8248" s="46"/>
    </row>
    <row r="8249" spans="59:62" x14ac:dyDescent="0.3">
      <c r="BG8249" s="387"/>
      <c r="BH8249" s="386"/>
      <c r="BI8249" s="386"/>
      <c r="BJ8249" s="46"/>
    </row>
    <row r="8250" spans="59:62" x14ac:dyDescent="0.3">
      <c r="BG8250" s="387"/>
      <c r="BH8250" s="386"/>
      <c r="BI8250" s="386"/>
      <c r="BJ8250" s="46"/>
    </row>
    <row r="8251" spans="59:62" x14ac:dyDescent="0.3">
      <c r="BG8251" s="387"/>
      <c r="BH8251" s="386"/>
      <c r="BI8251" s="386"/>
      <c r="BJ8251" s="46"/>
    </row>
    <row r="8252" spans="59:62" x14ac:dyDescent="0.3">
      <c r="BG8252" s="387"/>
      <c r="BH8252" s="386"/>
      <c r="BI8252" s="386"/>
      <c r="BJ8252" s="46"/>
    </row>
    <row r="8253" spans="59:62" x14ac:dyDescent="0.3">
      <c r="BG8253" s="387"/>
      <c r="BH8253" s="386"/>
      <c r="BI8253" s="386"/>
      <c r="BJ8253" s="46"/>
    </row>
    <row r="8254" spans="59:62" x14ac:dyDescent="0.3">
      <c r="BG8254" s="387"/>
      <c r="BH8254" s="386"/>
      <c r="BI8254" s="386"/>
      <c r="BJ8254" s="46"/>
    </row>
    <row r="8255" spans="59:62" x14ac:dyDescent="0.3">
      <c r="BG8255" s="387"/>
      <c r="BH8255" s="386"/>
      <c r="BI8255" s="386"/>
      <c r="BJ8255" s="46"/>
    </row>
    <row r="8256" spans="59:62" x14ac:dyDescent="0.3">
      <c r="BG8256" s="387"/>
      <c r="BH8256" s="386"/>
      <c r="BI8256" s="386"/>
      <c r="BJ8256" s="46"/>
    </row>
    <row r="8257" spans="59:62" x14ac:dyDescent="0.3">
      <c r="BG8257" s="387"/>
      <c r="BH8257" s="386"/>
      <c r="BI8257" s="386"/>
      <c r="BJ8257" s="46"/>
    </row>
    <row r="8258" spans="59:62" x14ac:dyDescent="0.3">
      <c r="BG8258" s="387"/>
      <c r="BH8258" s="386"/>
      <c r="BI8258" s="386"/>
      <c r="BJ8258" s="46"/>
    </row>
    <row r="8259" spans="59:62" x14ac:dyDescent="0.3">
      <c r="BG8259" s="387"/>
      <c r="BH8259" s="386"/>
      <c r="BI8259" s="386"/>
      <c r="BJ8259" s="46"/>
    </row>
    <row r="8260" spans="59:62" x14ac:dyDescent="0.3">
      <c r="BG8260" s="387"/>
      <c r="BH8260" s="386"/>
      <c r="BI8260" s="386"/>
      <c r="BJ8260" s="46"/>
    </row>
    <row r="8261" spans="59:62" x14ac:dyDescent="0.3">
      <c r="BG8261" s="387"/>
      <c r="BH8261" s="386"/>
      <c r="BI8261" s="386"/>
      <c r="BJ8261" s="46"/>
    </row>
    <row r="8262" spans="59:62" x14ac:dyDescent="0.3">
      <c r="BG8262" s="387"/>
      <c r="BH8262" s="386"/>
      <c r="BI8262" s="386"/>
      <c r="BJ8262" s="46"/>
    </row>
    <row r="8263" spans="59:62" x14ac:dyDescent="0.3">
      <c r="BG8263" s="387"/>
      <c r="BH8263" s="386"/>
      <c r="BI8263" s="386"/>
      <c r="BJ8263" s="46"/>
    </row>
    <row r="8264" spans="59:62" x14ac:dyDescent="0.3">
      <c r="BG8264" s="387"/>
      <c r="BH8264" s="386"/>
      <c r="BI8264" s="386"/>
      <c r="BJ8264" s="46"/>
    </row>
    <row r="8265" spans="59:62" x14ac:dyDescent="0.3">
      <c r="BG8265" s="387"/>
      <c r="BH8265" s="386"/>
      <c r="BI8265" s="386"/>
      <c r="BJ8265" s="46"/>
    </row>
    <row r="8266" spans="59:62" x14ac:dyDescent="0.3">
      <c r="BG8266" s="387"/>
      <c r="BH8266" s="386"/>
      <c r="BI8266" s="386"/>
      <c r="BJ8266" s="46"/>
    </row>
    <row r="8267" spans="59:62" x14ac:dyDescent="0.3">
      <c r="BG8267" s="387"/>
      <c r="BH8267" s="386"/>
      <c r="BI8267" s="386"/>
      <c r="BJ8267" s="46"/>
    </row>
    <row r="8268" spans="59:62" x14ac:dyDescent="0.3">
      <c r="BG8268" s="387"/>
      <c r="BH8268" s="386"/>
      <c r="BI8268" s="386"/>
      <c r="BJ8268" s="46"/>
    </row>
    <row r="8269" spans="59:62" x14ac:dyDescent="0.3">
      <c r="BG8269" s="387"/>
      <c r="BH8269" s="386"/>
      <c r="BI8269" s="386"/>
      <c r="BJ8269" s="46"/>
    </row>
    <row r="8270" spans="59:62" x14ac:dyDescent="0.3">
      <c r="BG8270" s="387"/>
      <c r="BH8270" s="386"/>
      <c r="BI8270" s="386"/>
      <c r="BJ8270" s="46"/>
    </row>
    <row r="8271" spans="59:62" x14ac:dyDescent="0.3">
      <c r="BG8271" s="387"/>
      <c r="BH8271" s="386"/>
      <c r="BI8271" s="386"/>
      <c r="BJ8271" s="46"/>
    </row>
    <row r="8272" spans="59:62" x14ac:dyDescent="0.3">
      <c r="BG8272" s="387"/>
      <c r="BH8272" s="386"/>
      <c r="BI8272" s="386"/>
      <c r="BJ8272" s="46"/>
    </row>
    <row r="8273" spans="59:62" x14ac:dyDescent="0.3">
      <c r="BG8273" s="387"/>
      <c r="BH8273" s="386"/>
      <c r="BI8273" s="386"/>
      <c r="BJ8273" s="46"/>
    </row>
    <row r="8274" spans="59:62" x14ac:dyDescent="0.3">
      <c r="BG8274" s="387"/>
      <c r="BH8274" s="386"/>
      <c r="BI8274" s="386"/>
      <c r="BJ8274" s="46"/>
    </row>
    <row r="8275" spans="59:62" x14ac:dyDescent="0.3">
      <c r="BG8275" s="387"/>
      <c r="BH8275" s="386"/>
      <c r="BI8275" s="386"/>
      <c r="BJ8275" s="46"/>
    </row>
    <row r="8276" spans="59:62" x14ac:dyDescent="0.3">
      <c r="BG8276" s="387"/>
      <c r="BH8276" s="386"/>
      <c r="BI8276" s="386"/>
      <c r="BJ8276" s="46"/>
    </row>
    <row r="8277" spans="59:62" x14ac:dyDescent="0.3">
      <c r="BG8277" s="387"/>
      <c r="BH8277" s="386"/>
      <c r="BI8277" s="386"/>
      <c r="BJ8277" s="46"/>
    </row>
    <row r="8278" spans="59:62" x14ac:dyDescent="0.3">
      <c r="BG8278" s="387"/>
      <c r="BH8278" s="386"/>
      <c r="BI8278" s="386"/>
      <c r="BJ8278" s="46"/>
    </row>
    <row r="8279" spans="59:62" x14ac:dyDescent="0.3">
      <c r="BG8279" s="387"/>
      <c r="BH8279" s="386"/>
      <c r="BI8279" s="386"/>
      <c r="BJ8279" s="46"/>
    </row>
    <row r="8280" spans="59:62" x14ac:dyDescent="0.3">
      <c r="BG8280" s="387"/>
      <c r="BH8280" s="386"/>
      <c r="BI8280" s="386"/>
      <c r="BJ8280" s="46"/>
    </row>
    <row r="8281" spans="59:62" x14ac:dyDescent="0.3">
      <c r="BG8281" s="387"/>
      <c r="BH8281" s="386"/>
      <c r="BI8281" s="386"/>
      <c r="BJ8281" s="46"/>
    </row>
    <row r="8282" spans="59:62" x14ac:dyDescent="0.3">
      <c r="BG8282" s="387"/>
      <c r="BH8282" s="386"/>
      <c r="BI8282" s="386"/>
      <c r="BJ8282" s="46"/>
    </row>
    <row r="8283" spans="59:62" x14ac:dyDescent="0.3">
      <c r="BG8283" s="387"/>
      <c r="BH8283" s="386"/>
      <c r="BI8283" s="386"/>
      <c r="BJ8283" s="46"/>
    </row>
    <row r="8284" spans="59:62" x14ac:dyDescent="0.3">
      <c r="BG8284" s="387"/>
      <c r="BH8284" s="386"/>
      <c r="BI8284" s="386"/>
      <c r="BJ8284" s="46"/>
    </row>
    <row r="8285" spans="59:62" x14ac:dyDescent="0.3">
      <c r="BG8285" s="387"/>
      <c r="BH8285" s="386"/>
      <c r="BI8285" s="386"/>
      <c r="BJ8285" s="46"/>
    </row>
    <row r="8286" spans="59:62" x14ac:dyDescent="0.3">
      <c r="BG8286" s="387"/>
      <c r="BH8286" s="386"/>
      <c r="BI8286" s="386"/>
      <c r="BJ8286" s="46"/>
    </row>
    <row r="8287" spans="59:62" x14ac:dyDescent="0.3">
      <c r="BG8287" s="387"/>
      <c r="BH8287" s="386"/>
      <c r="BI8287" s="386"/>
      <c r="BJ8287" s="46"/>
    </row>
    <row r="8288" spans="59:62" x14ac:dyDescent="0.3">
      <c r="BG8288" s="387"/>
      <c r="BH8288" s="386"/>
      <c r="BI8288" s="386"/>
      <c r="BJ8288" s="46"/>
    </row>
    <row r="8289" spans="59:62" x14ac:dyDescent="0.3">
      <c r="BG8289" s="387"/>
      <c r="BH8289" s="386"/>
      <c r="BI8289" s="386"/>
      <c r="BJ8289" s="46"/>
    </row>
    <row r="8290" spans="59:62" x14ac:dyDescent="0.3">
      <c r="BG8290" s="387"/>
      <c r="BH8290" s="386"/>
      <c r="BI8290" s="386"/>
      <c r="BJ8290" s="46"/>
    </row>
    <row r="8291" spans="59:62" x14ac:dyDescent="0.3">
      <c r="BG8291" s="387"/>
      <c r="BH8291" s="386"/>
      <c r="BI8291" s="386"/>
      <c r="BJ8291" s="46"/>
    </row>
    <row r="8292" spans="59:62" x14ac:dyDescent="0.3">
      <c r="BG8292" s="387"/>
      <c r="BH8292" s="386"/>
      <c r="BI8292" s="386"/>
      <c r="BJ8292" s="46"/>
    </row>
    <row r="8293" spans="59:62" x14ac:dyDescent="0.3">
      <c r="BG8293" s="387"/>
      <c r="BH8293" s="386"/>
      <c r="BI8293" s="386"/>
      <c r="BJ8293" s="46"/>
    </row>
    <row r="8294" spans="59:62" x14ac:dyDescent="0.3">
      <c r="BG8294" s="387"/>
      <c r="BH8294" s="386"/>
      <c r="BI8294" s="386"/>
      <c r="BJ8294" s="46"/>
    </row>
    <row r="8295" spans="59:62" x14ac:dyDescent="0.3">
      <c r="BG8295" s="387"/>
      <c r="BH8295" s="386"/>
      <c r="BI8295" s="386"/>
      <c r="BJ8295" s="46"/>
    </row>
    <row r="8296" spans="59:62" x14ac:dyDescent="0.3">
      <c r="BG8296" s="387"/>
      <c r="BH8296" s="386"/>
      <c r="BI8296" s="386"/>
      <c r="BJ8296" s="46"/>
    </row>
    <row r="8297" spans="59:62" x14ac:dyDescent="0.3">
      <c r="BG8297" s="387"/>
      <c r="BH8297" s="386"/>
      <c r="BI8297" s="386"/>
      <c r="BJ8297" s="46"/>
    </row>
    <row r="8298" spans="59:62" x14ac:dyDescent="0.3">
      <c r="BG8298" s="387"/>
      <c r="BH8298" s="386"/>
      <c r="BI8298" s="386"/>
      <c r="BJ8298" s="46"/>
    </row>
    <row r="8299" spans="59:62" x14ac:dyDescent="0.3">
      <c r="BG8299" s="387"/>
      <c r="BH8299" s="386"/>
      <c r="BI8299" s="386"/>
      <c r="BJ8299" s="46"/>
    </row>
    <row r="8300" spans="59:62" x14ac:dyDescent="0.3">
      <c r="BG8300" s="387"/>
      <c r="BH8300" s="386"/>
      <c r="BI8300" s="386"/>
      <c r="BJ8300" s="46"/>
    </row>
    <row r="8301" spans="59:62" x14ac:dyDescent="0.3">
      <c r="BG8301" s="387"/>
      <c r="BH8301" s="386"/>
      <c r="BI8301" s="386"/>
      <c r="BJ8301" s="46"/>
    </row>
    <row r="8302" spans="59:62" x14ac:dyDescent="0.3">
      <c r="BG8302" s="387"/>
      <c r="BH8302" s="386"/>
      <c r="BI8302" s="386"/>
      <c r="BJ8302" s="46"/>
    </row>
    <row r="8303" spans="59:62" x14ac:dyDescent="0.3">
      <c r="BG8303" s="387"/>
      <c r="BH8303" s="386"/>
      <c r="BI8303" s="386"/>
      <c r="BJ8303" s="46"/>
    </row>
    <row r="8304" spans="59:62" x14ac:dyDescent="0.3">
      <c r="BG8304" s="387"/>
      <c r="BH8304" s="386"/>
      <c r="BI8304" s="386"/>
      <c r="BJ8304" s="46"/>
    </row>
    <row r="8305" spans="59:62" x14ac:dyDescent="0.3">
      <c r="BG8305" s="387"/>
      <c r="BH8305" s="386"/>
      <c r="BI8305" s="386"/>
      <c r="BJ8305" s="46"/>
    </row>
    <row r="8306" spans="59:62" x14ac:dyDescent="0.3">
      <c r="BG8306" s="387"/>
      <c r="BH8306" s="386"/>
      <c r="BI8306" s="386"/>
      <c r="BJ8306" s="46"/>
    </row>
    <row r="8307" spans="59:62" x14ac:dyDescent="0.3">
      <c r="BG8307" s="387"/>
      <c r="BH8307" s="386"/>
      <c r="BI8307" s="386"/>
      <c r="BJ8307" s="46"/>
    </row>
    <row r="8308" spans="59:62" x14ac:dyDescent="0.3">
      <c r="BG8308" s="387"/>
      <c r="BH8308" s="386"/>
      <c r="BI8308" s="386"/>
      <c r="BJ8308" s="46"/>
    </row>
    <row r="8309" spans="59:62" x14ac:dyDescent="0.3">
      <c r="BG8309" s="387"/>
      <c r="BH8309" s="386"/>
      <c r="BI8309" s="386"/>
      <c r="BJ8309" s="46"/>
    </row>
    <row r="8310" spans="59:62" x14ac:dyDescent="0.3">
      <c r="BG8310" s="387"/>
      <c r="BH8310" s="386"/>
      <c r="BI8310" s="386"/>
      <c r="BJ8310" s="46"/>
    </row>
    <row r="8311" spans="59:62" x14ac:dyDescent="0.3">
      <c r="BG8311" s="387"/>
      <c r="BH8311" s="386"/>
      <c r="BI8311" s="386"/>
      <c r="BJ8311" s="46"/>
    </row>
    <row r="8312" spans="59:62" x14ac:dyDescent="0.3">
      <c r="BG8312" s="387"/>
      <c r="BH8312" s="386"/>
      <c r="BI8312" s="386"/>
      <c r="BJ8312" s="46"/>
    </row>
    <row r="8313" spans="59:62" x14ac:dyDescent="0.3">
      <c r="BG8313" s="387"/>
      <c r="BH8313" s="386"/>
      <c r="BI8313" s="386"/>
      <c r="BJ8313" s="46"/>
    </row>
    <row r="8314" spans="59:62" x14ac:dyDescent="0.3">
      <c r="BG8314" s="387"/>
      <c r="BH8314" s="386"/>
      <c r="BI8314" s="386"/>
      <c r="BJ8314" s="46"/>
    </row>
    <row r="8315" spans="59:62" x14ac:dyDescent="0.3">
      <c r="BG8315" s="387"/>
      <c r="BH8315" s="386"/>
      <c r="BI8315" s="386"/>
      <c r="BJ8315" s="46"/>
    </row>
    <row r="8316" spans="59:62" x14ac:dyDescent="0.3">
      <c r="BG8316" s="387"/>
      <c r="BH8316" s="386"/>
      <c r="BI8316" s="386"/>
      <c r="BJ8316" s="46"/>
    </row>
    <row r="8317" spans="59:62" x14ac:dyDescent="0.3">
      <c r="BG8317" s="387"/>
      <c r="BH8317" s="386"/>
      <c r="BI8317" s="386"/>
      <c r="BJ8317" s="46"/>
    </row>
    <row r="8318" spans="59:62" x14ac:dyDescent="0.3">
      <c r="BG8318" s="387"/>
      <c r="BH8318" s="386"/>
      <c r="BI8318" s="386"/>
      <c r="BJ8318" s="46"/>
    </row>
    <row r="8319" spans="59:62" x14ac:dyDescent="0.3">
      <c r="BG8319" s="387"/>
      <c r="BH8319" s="386"/>
      <c r="BI8319" s="386"/>
      <c r="BJ8319" s="46"/>
    </row>
    <row r="8320" spans="59:62" x14ac:dyDescent="0.3">
      <c r="BG8320" s="387"/>
      <c r="BH8320" s="386"/>
      <c r="BI8320" s="386"/>
      <c r="BJ8320" s="46"/>
    </row>
    <row r="8321" spans="59:62" x14ac:dyDescent="0.3">
      <c r="BG8321" s="387"/>
      <c r="BH8321" s="386"/>
      <c r="BI8321" s="386"/>
      <c r="BJ8321" s="46"/>
    </row>
    <row r="8322" spans="59:62" x14ac:dyDescent="0.3">
      <c r="BG8322" s="387"/>
      <c r="BH8322" s="386"/>
      <c r="BI8322" s="386"/>
      <c r="BJ8322" s="46"/>
    </row>
    <row r="8323" spans="59:62" x14ac:dyDescent="0.3">
      <c r="BG8323" s="387"/>
      <c r="BH8323" s="386"/>
      <c r="BI8323" s="386"/>
      <c r="BJ8323" s="46"/>
    </row>
    <row r="8324" spans="59:62" x14ac:dyDescent="0.3">
      <c r="BG8324" s="387"/>
      <c r="BH8324" s="386"/>
      <c r="BI8324" s="386"/>
      <c r="BJ8324" s="46"/>
    </row>
    <row r="8325" spans="59:62" x14ac:dyDescent="0.3">
      <c r="BG8325" s="387"/>
      <c r="BH8325" s="386"/>
      <c r="BI8325" s="386"/>
      <c r="BJ8325" s="46"/>
    </row>
    <row r="8326" spans="59:62" x14ac:dyDescent="0.3">
      <c r="BG8326" s="387"/>
      <c r="BH8326" s="386"/>
      <c r="BI8326" s="386"/>
      <c r="BJ8326" s="46"/>
    </row>
    <row r="8327" spans="59:62" x14ac:dyDescent="0.3">
      <c r="BG8327" s="387"/>
      <c r="BH8327" s="386"/>
      <c r="BI8327" s="386"/>
      <c r="BJ8327" s="46"/>
    </row>
    <row r="8328" spans="59:62" x14ac:dyDescent="0.3">
      <c r="BG8328" s="387"/>
      <c r="BH8328" s="386"/>
      <c r="BI8328" s="386"/>
      <c r="BJ8328" s="46"/>
    </row>
    <row r="8329" spans="59:62" x14ac:dyDescent="0.3">
      <c r="BG8329" s="387"/>
      <c r="BH8329" s="386"/>
      <c r="BI8329" s="386"/>
      <c r="BJ8329" s="46"/>
    </row>
    <row r="8330" spans="59:62" x14ac:dyDescent="0.3">
      <c r="BG8330" s="387"/>
      <c r="BH8330" s="386"/>
      <c r="BI8330" s="386"/>
      <c r="BJ8330" s="46"/>
    </row>
    <row r="8331" spans="59:62" x14ac:dyDescent="0.3">
      <c r="BG8331" s="387"/>
      <c r="BH8331" s="386"/>
      <c r="BI8331" s="386"/>
      <c r="BJ8331" s="46"/>
    </row>
    <row r="8332" spans="59:62" x14ac:dyDescent="0.3">
      <c r="BG8332" s="387"/>
      <c r="BH8332" s="386"/>
      <c r="BI8332" s="386"/>
      <c r="BJ8332" s="46"/>
    </row>
    <row r="8333" spans="59:62" x14ac:dyDescent="0.3">
      <c r="BG8333" s="387"/>
      <c r="BH8333" s="386"/>
      <c r="BI8333" s="386"/>
      <c r="BJ8333" s="46"/>
    </row>
    <row r="8334" spans="59:62" x14ac:dyDescent="0.3">
      <c r="BG8334" s="387"/>
      <c r="BH8334" s="386"/>
      <c r="BI8334" s="386"/>
      <c r="BJ8334" s="46"/>
    </row>
    <row r="8335" spans="59:62" x14ac:dyDescent="0.3">
      <c r="BG8335" s="387"/>
      <c r="BH8335" s="386"/>
      <c r="BI8335" s="386"/>
      <c r="BJ8335" s="46"/>
    </row>
    <row r="8336" spans="59:62" x14ac:dyDescent="0.3">
      <c r="BG8336" s="387"/>
      <c r="BH8336" s="386"/>
      <c r="BI8336" s="386"/>
      <c r="BJ8336" s="46"/>
    </row>
    <row r="8337" spans="59:62" x14ac:dyDescent="0.3">
      <c r="BG8337" s="387"/>
      <c r="BH8337" s="386"/>
      <c r="BI8337" s="386"/>
      <c r="BJ8337" s="46"/>
    </row>
    <row r="8338" spans="59:62" x14ac:dyDescent="0.3">
      <c r="BG8338" s="387"/>
      <c r="BH8338" s="386"/>
      <c r="BI8338" s="386"/>
      <c r="BJ8338" s="46"/>
    </row>
    <row r="8339" spans="59:62" x14ac:dyDescent="0.3">
      <c r="BG8339" s="387"/>
      <c r="BH8339" s="386"/>
      <c r="BI8339" s="386"/>
      <c r="BJ8339" s="46"/>
    </row>
    <row r="8340" spans="59:62" x14ac:dyDescent="0.3">
      <c r="BG8340" s="387"/>
      <c r="BH8340" s="386"/>
      <c r="BI8340" s="386"/>
      <c r="BJ8340" s="46"/>
    </row>
    <row r="8341" spans="59:62" x14ac:dyDescent="0.3">
      <c r="BG8341" s="387"/>
      <c r="BH8341" s="386"/>
      <c r="BI8341" s="386"/>
      <c r="BJ8341" s="46"/>
    </row>
    <row r="8342" spans="59:62" x14ac:dyDescent="0.3">
      <c r="BG8342" s="387"/>
      <c r="BH8342" s="386"/>
      <c r="BI8342" s="386"/>
      <c r="BJ8342" s="46"/>
    </row>
    <row r="8343" spans="59:62" x14ac:dyDescent="0.3">
      <c r="BG8343" s="387"/>
      <c r="BH8343" s="386"/>
      <c r="BI8343" s="386"/>
      <c r="BJ8343" s="46"/>
    </row>
    <row r="8344" spans="59:62" x14ac:dyDescent="0.3">
      <c r="BG8344" s="387"/>
      <c r="BH8344" s="386"/>
      <c r="BI8344" s="386"/>
      <c r="BJ8344" s="46"/>
    </row>
    <row r="8345" spans="59:62" x14ac:dyDescent="0.3">
      <c r="BG8345" s="387"/>
      <c r="BH8345" s="386"/>
      <c r="BI8345" s="386"/>
      <c r="BJ8345" s="46"/>
    </row>
    <row r="8346" spans="59:62" x14ac:dyDescent="0.3">
      <c r="BG8346" s="387"/>
      <c r="BH8346" s="386"/>
      <c r="BI8346" s="386"/>
      <c r="BJ8346" s="46"/>
    </row>
    <row r="8347" spans="59:62" x14ac:dyDescent="0.3">
      <c r="BG8347" s="387"/>
      <c r="BH8347" s="386"/>
      <c r="BI8347" s="386"/>
      <c r="BJ8347" s="46"/>
    </row>
    <row r="8348" spans="59:62" x14ac:dyDescent="0.3">
      <c r="BG8348" s="387"/>
      <c r="BH8348" s="386"/>
      <c r="BI8348" s="386"/>
      <c r="BJ8348" s="46"/>
    </row>
    <row r="8349" spans="59:62" x14ac:dyDescent="0.3">
      <c r="BG8349" s="387"/>
      <c r="BH8349" s="386"/>
      <c r="BI8349" s="386"/>
      <c r="BJ8349" s="46"/>
    </row>
    <row r="8350" spans="59:62" x14ac:dyDescent="0.3">
      <c r="BG8350" s="387"/>
      <c r="BH8350" s="386"/>
      <c r="BI8350" s="386"/>
      <c r="BJ8350" s="46"/>
    </row>
    <row r="8351" spans="59:62" x14ac:dyDescent="0.3">
      <c r="BG8351" s="387"/>
      <c r="BH8351" s="386"/>
      <c r="BI8351" s="386"/>
      <c r="BJ8351" s="46"/>
    </row>
    <row r="8352" spans="59:62" x14ac:dyDescent="0.3">
      <c r="BG8352" s="387"/>
      <c r="BH8352" s="386"/>
      <c r="BI8352" s="386"/>
      <c r="BJ8352" s="46"/>
    </row>
    <row r="8353" spans="59:62" x14ac:dyDescent="0.3">
      <c r="BG8353" s="387"/>
      <c r="BH8353" s="386"/>
      <c r="BI8353" s="386"/>
      <c r="BJ8353" s="46"/>
    </row>
    <row r="8354" spans="59:62" x14ac:dyDescent="0.3">
      <c r="BG8354" s="387"/>
      <c r="BH8354" s="386"/>
      <c r="BI8354" s="386"/>
      <c r="BJ8354" s="46"/>
    </row>
    <row r="8355" spans="59:62" x14ac:dyDescent="0.3">
      <c r="BG8355" s="387"/>
      <c r="BH8355" s="386"/>
      <c r="BI8355" s="386"/>
      <c r="BJ8355" s="46"/>
    </row>
    <row r="8356" spans="59:62" x14ac:dyDescent="0.3">
      <c r="BG8356" s="387"/>
      <c r="BH8356" s="386"/>
      <c r="BI8356" s="386"/>
      <c r="BJ8356" s="46"/>
    </row>
    <row r="8357" spans="59:62" x14ac:dyDescent="0.3">
      <c r="BG8357" s="387"/>
      <c r="BH8357" s="386"/>
      <c r="BI8357" s="386"/>
      <c r="BJ8357" s="46"/>
    </row>
    <row r="8358" spans="59:62" x14ac:dyDescent="0.3">
      <c r="BG8358" s="387"/>
      <c r="BH8358" s="386"/>
      <c r="BI8358" s="386"/>
      <c r="BJ8358" s="46"/>
    </row>
    <row r="8359" spans="59:62" x14ac:dyDescent="0.3">
      <c r="BG8359" s="387"/>
      <c r="BH8359" s="386"/>
      <c r="BI8359" s="386"/>
      <c r="BJ8359" s="46"/>
    </row>
    <row r="8360" spans="59:62" x14ac:dyDescent="0.3">
      <c r="BG8360" s="387"/>
      <c r="BH8360" s="386"/>
      <c r="BI8360" s="386"/>
      <c r="BJ8360" s="46"/>
    </row>
    <row r="8361" spans="59:62" x14ac:dyDescent="0.3">
      <c r="BG8361" s="387"/>
      <c r="BH8361" s="386"/>
      <c r="BI8361" s="386"/>
      <c r="BJ8361" s="46"/>
    </row>
    <row r="8362" spans="59:62" x14ac:dyDescent="0.3">
      <c r="BG8362" s="387"/>
      <c r="BH8362" s="386"/>
      <c r="BI8362" s="386"/>
      <c r="BJ8362" s="46"/>
    </row>
    <row r="8363" spans="59:62" x14ac:dyDescent="0.3">
      <c r="BG8363" s="387"/>
      <c r="BH8363" s="386"/>
      <c r="BI8363" s="386"/>
      <c r="BJ8363" s="46"/>
    </row>
    <row r="8364" spans="59:62" x14ac:dyDescent="0.3">
      <c r="BG8364" s="387"/>
      <c r="BH8364" s="386"/>
      <c r="BI8364" s="386"/>
      <c r="BJ8364" s="46"/>
    </row>
    <row r="8365" spans="59:62" x14ac:dyDescent="0.3">
      <c r="BG8365" s="387"/>
      <c r="BH8365" s="386"/>
      <c r="BI8365" s="386"/>
      <c r="BJ8365" s="46"/>
    </row>
    <row r="8366" spans="59:62" x14ac:dyDescent="0.3">
      <c r="BG8366" s="387"/>
      <c r="BH8366" s="386"/>
      <c r="BI8366" s="386"/>
      <c r="BJ8366" s="46"/>
    </row>
    <row r="8367" spans="59:62" x14ac:dyDescent="0.3">
      <c r="BG8367" s="387"/>
      <c r="BH8367" s="386"/>
      <c r="BI8367" s="386"/>
      <c r="BJ8367" s="46"/>
    </row>
    <row r="8368" spans="59:62" x14ac:dyDescent="0.3">
      <c r="BG8368" s="387"/>
      <c r="BH8368" s="386"/>
      <c r="BI8368" s="386"/>
      <c r="BJ8368" s="46"/>
    </row>
    <row r="8369" spans="59:62" x14ac:dyDescent="0.3">
      <c r="BG8369" s="387"/>
      <c r="BH8369" s="386"/>
      <c r="BI8369" s="386"/>
      <c r="BJ8369" s="46"/>
    </row>
    <row r="8370" spans="59:62" x14ac:dyDescent="0.3">
      <c r="BG8370" s="387"/>
      <c r="BH8370" s="386"/>
      <c r="BI8370" s="386"/>
      <c r="BJ8370" s="46"/>
    </row>
    <row r="8371" spans="59:62" x14ac:dyDescent="0.3">
      <c r="BG8371" s="387"/>
      <c r="BH8371" s="386"/>
      <c r="BI8371" s="386"/>
      <c r="BJ8371" s="46"/>
    </row>
    <row r="8372" spans="59:62" x14ac:dyDescent="0.3">
      <c r="BG8372" s="387"/>
      <c r="BH8372" s="386"/>
      <c r="BI8372" s="386"/>
      <c r="BJ8372" s="46"/>
    </row>
    <row r="8373" spans="59:62" x14ac:dyDescent="0.3">
      <c r="BG8373" s="387"/>
      <c r="BH8373" s="386"/>
      <c r="BI8373" s="386"/>
      <c r="BJ8373" s="46"/>
    </row>
    <row r="8374" spans="59:62" x14ac:dyDescent="0.3">
      <c r="BG8374" s="387"/>
      <c r="BH8374" s="386"/>
      <c r="BI8374" s="386"/>
      <c r="BJ8374" s="46"/>
    </row>
    <row r="8375" spans="59:62" x14ac:dyDescent="0.3">
      <c r="BG8375" s="387"/>
      <c r="BH8375" s="386"/>
      <c r="BI8375" s="386"/>
      <c r="BJ8375" s="46"/>
    </row>
    <row r="8376" spans="59:62" x14ac:dyDescent="0.3">
      <c r="BG8376" s="387"/>
      <c r="BH8376" s="386"/>
      <c r="BI8376" s="386"/>
      <c r="BJ8376" s="46"/>
    </row>
    <row r="8377" spans="59:62" x14ac:dyDescent="0.3">
      <c r="BG8377" s="387"/>
      <c r="BH8377" s="386"/>
      <c r="BI8377" s="386"/>
      <c r="BJ8377" s="46"/>
    </row>
    <row r="8378" spans="59:62" x14ac:dyDescent="0.3">
      <c r="BG8378" s="387"/>
      <c r="BH8378" s="386"/>
      <c r="BI8378" s="386"/>
      <c r="BJ8378" s="46"/>
    </row>
    <row r="8379" spans="59:62" x14ac:dyDescent="0.3">
      <c r="BG8379" s="387"/>
      <c r="BH8379" s="386"/>
      <c r="BI8379" s="386"/>
      <c r="BJ8379" s="46"/>
    </row>
    <row r="8380" spans="59:62" x14ac:dyDescent="0.3">
      <c r="BG8380" s="387"/>
      <c r="BH8380" s="386"/>
      <c r="BI8380" s="386"/>
      <c r="BJ8380" s="46"/>
    </row>
    <row r="8381" spans="59:62" x14ac:dyDescent="0.3">
      <c r="BG8381" s="387"/>
      <c r="BH8381" s="386"/>
      <c r="BI8381" s="386"/>
      <c r="BJ8381" s="46"/>
    </row>
    <row r="8382" spans="59:62" x14ac:dyDescent="0.3">
      <c r="BG8382" s="387"/>
      <c r="BH8382" s="386"/>
      <c r="BI8382" s="386"/>
      <c r="BJ8382" s="46"/>
    </row>
    <row r="8383" spans="59:62" x14ac:dyDescent="0.3">
      <c r="BG8383" s="387"/>
      <c r="BH8383" s="386"/>
      <c r="BI8383" s="386"/>
      <c r="BJ8383" s="46"/>
    </row>
    <row r="8384" spans="59:62" x14ac:dyDescent="0.3">
      <c r="BG8384" s="387"/>
      <c r="BH8384" s="386"/>
      <c r="BI8384" s="386"/>
      <c r="BJ8384" s="46"/>
    </row>
    <row r="8385" spans="59:62" x14ac:dyDescent="0.3">
      <c r="BG8385" s="387"/>
      <c r="BH8385" s="386"/>
      <c r="BI8385" s="386"/>
      <c r="BJ8385" s="46"/>
    </row>
    <row r="8386" spans="59:62" x14ac:dyDescent="0.3">
      <c r="BG8386" s="387"/>
      <c r="BH8386" s="386"/>
      <c r="BI8386" s="386"/>
      <c r="BJ8386" s="46"/>
    </row>
    <row r="8387" spans="59:62" x14ac:dyDescent="0.3">
      <c r="BG8387" s="387"/>
      <c r="BH8387" s="386"/>
      <c r="BI8387" s="386"/>
      <c r="BJ8387" s="46"/>
    </row>
    <row r="8388" spans="59:62" x14ac:dyDescent="0.3">
      <c r="BG8388" s="387"/>
      <c r="BH8388" s="386"/>
      <c r="BI8388" s="386"/>
      <c r="BJ8388" s="46"/>
    </row>
    <row r="8389" spans="59:62" x14ac:dyDescent="0.3">
      <c r="BG8389" s="387"/>
      <c r="BH8389" s="386"/>
      <c r="BI8389" s="386"/>
      <c r="BJ8389" s="46"/>
    </row>
    <row r="8390" spans="59:62" x14ac:dyDescent="0.3">
      <c r="BG8390" s="387"/>
      <c r="BH8390" s="386"/>
      <c r="BI8390" s="386"/>
      <c r="BJ8390" s="46"/>
    </row>
    <row r="8391" spans="59:62" x14ac:dyDescent="0.3">
      <c r="BG8391" s="387"/>
      <c r="BH8391" s="386"/>
      <c r="BI8391" s="386"/>
      <c r="BJ8391" s="46"/>
    </row>
    <row r="8392" spans="59:62" x14ac:dyDescent="0.3">
      <c r="BG8392" s="387"/>
      <c r="BH8392" s="386"/>
      <c r="BI8392" s="386"/>
      <c r="BJ8392" s="46"/>
    </row>
    <row r="8393" spans="59:62" x14ac:dyDescent="0.3">
      <c r="BG8393" s="387"/>
      <c r="BH8393" s="386"/>
      <c r="BI8393" s="386"/>
      <c r="BJ8393" s="46"/>
    </row>
    <row r="8394" spans="59:62" x14ac:dyDescent="0.3">
      <c r="BG8394" s="387"/>
      <c r="BH8394" s="386"/>
      <c r="BI8394" s="386"/>
      <c r="BJ8394" s="46"/>
    </row>
    <row r="8395" spans="59:62" x14ac:dyDescent="0.3">
      <c r="BG8395" s="387"/>
      <c r="BH8395" s="386"/>
      <c r="BI8395" s="386"/>
      <c r="BJ8395" s="46"/>
    </row>
    <row r="8396" spans="59:62" x14ac:dyDescent="0.3">
      <c r="BG8396" s="387"/>
      <c r="BH8396" s="386"/>
      <c r="BI8396" s="386"/>
      <c r="BJ8396" s="46"/>
    </row>
    <row r="8397" spans="59:62" x14ac:dyDescent="0.3">
      <c r="BG8397" s="387"/>
      <c r="BH8397" s="386"/>
      <c r="BI8397" s="386"/>
      <c r="BJ8397" s="46"/>
    </row>
    <row r="8398" spans="59:62" x14ac:dyDescent="0.3">
      <c r="BG8398" s="387"/>
      <c r="BH8398" s="386"/>
      <c r="BI8398" s="386"/>
      <c r="BJ8398" s="46"/>
    </row>
    <row r="8399" spans="59:62" x14ac:dyDescent="0.3">
      <c r="BG8399" s="387"/>
      <c r="BH8399" s="386"/>
      <c r="BI8399" s="386"/>
      <c r="BJ8399" s="46"/>
    </row>
    <row r="8400" spans="59:62" x14ac:dyDescent="0.3">
      <c r="BG8400" s="387"/>
      <c r="BH8400" s="386"/>
      <c r="BI8400" s="386"/>
      <c r="BJ8400" s="46"/>
    </row>
    <row r="8401" spans="59:62" x14ac:dyDescent="0.3">
      <c r="BG8401" s="387"/>
      <c r="BH8401" s="386"/>
      <c r="BI8401" s="386"/>
      <c r="BJ8401" s="46"/>
    </row>
    <row r="8402" spans="59:62" x14ac:dyDescent="0.3">
      <c r="BG8402" s="387"/>
      <c r="BH8402" s="386"/>
      <c r="BI8402" s="386"/>
      <c r="BJ8402" s="46"/>
    </row>
    <row r="8403" spans="59:62" x14ac:dyDescent="0.3">
      <c r="BG8403" s="387"/>
      <c r="BH8403" s="386"/>
      <c r="BI8403" s="386"/>
      <c r="BJ8403" s="46"/>
    </row>
    <row r="8404" spans="59:62" x14ac:dyDescent="0.3">
      <c r="BG8404" s="387"/>
      <c r="BH8404" s="386"/>
      <c r="BI8404" s="386"/>
      <c r="BJ8404" s="46"/>
    </row>
    <row r="8405" spans="59:62" x14ac:dyDescent="0.3">
      <c r="BG8405" s="387"/>
      <c r="BH8405" s="386"/>
      <c r="BI8405" s="386"/>
      <c r="BJ8405" s="46"/>
    </row>
    <row r="8406" spans="59:62" x14ac:dyDescent="0.3">
      <c r="BG8406" s="387"/>
      <c r="BH8406" s="386"/>
      <c r="BI8406" s="386"/>
      <c r="BJ8406" s="46"/>
    </row>
    <row r="8407" spans="59:62" x14ac:dyDescent="0.3">
      <c r="BG8407" s="387"/>
      <c r="BH8407" s="386"/>
      <c r="BI8407" s="386"/>
      <c r="BJ8407" s="46"/>
    </row>
    <row r="8408" spans="59:62" x14ac:dyDescent="0.3">
      <c r="BG8408" s="387"/>
      <c r="BH8408" s="386"/>
      <c r="BI8408" s="386"/>
      <c r="BJ8408" s="46"/>
    </row>
    <row r="8409" spans="59:62" x14ac:dyDescent="0.3">
      <c r="BG8409" s="387"/>
      <c r="BH8409" s="386"/>
      <c r="BI8409" s="386"/>
      <c r="BJ8409" s="46"/>
    </row>
    <row r="8410" spans="59:62" x14ac:dyDescent="0.3">
      <c r="BG8410" s="387"/>
      <c r="BH8410" s="386"/>
      <c r="BI8410" s="386"/>
      <c r="BJ8410" s="46"/>
    </row>
    <row r="8411" spans="59:62" x14ac:dyDescent="0.3">
      <c r="BG8411" s="387"/>
      <c r="BH8411" s="386"/>
      <c r="BI8411" s="386"/>
      <c r="BJ8411" s="46"/>
    </row>
    <row r="8412" spans="59:62" x14ac:dyDescent="0.3">
      <c r="BG8412" s="387"/>
      <c r="BH8412" s="386"/>
      <c r="BI8412" s="386"/>
      <c r="BJ8412" s="46"/>
    </row>
    <row r="8413" spans="59:62" x14ac:dyDescent="0.3">
      <c r="BG8413" s="387"/>
      <c r="BH8413" s="386"/>
      <c r="BI8413" s="386"/>
      <c r="BJ8413" s="46"/>
    </row>
    <row r="8414" spans="59:62" x14ac:dyDescent="0.3">
      <c r="BG8414" s="387"/>
      <c r="BH8414" s="386"/>
      <c r="BI8414" s="386"/>
      <c r="BJ8414" s="46"/>
    </row>
    <row r="8415" spans="59:62" x14ac:dyDescent="0.3">
      <c r="BG8415" s="387"/>
      <c r="BH8415" s="386"/>
      <c r="BI8415" s="386"/>
      <c r="BJ8415" s="46"/>
    </row>
    <row r="8416" spans="59:62" x14ac:dyDescent="0.3">
      <c r="BG8416" s="387"/>
      <c r="BH8416" s="386"/>
      <c r="BI8416" s="386"/>
      <c r="BJ8416" s="46"/>
    </row>
    <row r="8417" spans="59:62" x14ac:dyDescent="0.3">
      <c r="BG8417" s="387"/>
      <c r="BH8417" s="386"/>
      <c r="BI8417" s="386"/>
      <c r="BJ8417" s="46"/>
    </row>
    <row r="8418" spans="59:62" x14ac:dyDescent="0.3">
      <c r="BG8418" s="387"/>
      <c r="BH8418" s="386"/>
      <c r="BI8418" s="386"/>
      <c r="BJ8418" s="46"/>
    </row>
    <row r="8419" spans="59:62" x14ac:dyDescent="0.3">
      <c r="BG8419" s="387"/>
      <c r="BH8419" s="386"/>
      <c r="BI8419" s="386"/>
      <c r="BJ8419" s="46"/>
    </row>
    <row r="8420" spans="59:62" x14ac:dyDescent="0.3">
      <c r="BG8420" s="387"/>
      <c r="BH8420" s="386"/>
      <c r="BI8420" s="386"/>
      <c r="BJ8420" s="46"/>
    </row>
    <row r="8421" spans="59:62" x14ac:dyDescent="0.3">
      <c r="BG8421" s="387"/>
      <c r="BH8421" s="386"/>
      <c r="BI8421" s="386"/>
      <c r="BJ8421" s="46"/>
    </row>
    <row r="8422" spans="59:62" x14ac:dyDescent="0.3">
      <c r="BG8422" s="387"/>
      <c r="BH8422" s="386"/>
      <c r="BI8422" s="386"/>
      <c r="BJ8422" s="46"/>
    </row>
    <row r="8423" spans="59:62" x14ac:dyDescent="0.3">
      <c r="BG8423" s="387"/>
      <c r="BH8423" s="386"/>
      <c r="BI8423" s="386"/>
      <c r="BJ8423" s="46"/>
    </row>
    <row r="8424" spans="59:62" x14ac:dyDescent="0.3">
      <c r="BG8424" s="387"/>
      <c r="BH8424" s="386"/>
      <c r="BI8424" s="386"/>
      <c r="BJ8424" s="46"/>
    </row>
    <row r="8425" spans="59:62" x14ac:dyDescent="0.3">
      <c r="BG8425" s="387"/>
      <c r="BH8425" s="386"/>
      <c r="BI8425" s="386"/>
      <c r="BJ8425" s="46"/>
    </row>
    <row r="8426" spans="59:62" x14ac:dyDescent="0.3">
      <c r="BG8426" s="387"/>
      <c r="BH8426" s="386"/>
      <c r="BI8426" s="386"/>
      <c r="BJ8426" s="46"/>
    </row>
    <row r="8427" spans="59:62" x14ac:dyDescent="0.3">
      <c r="BG8427" s="387"/>
      <c r="BH8427" s="386"/>
      <c r="BI8427" s="386"/>
      <c r="BJ8427" s="46"/>
    </row>
    <row r="8428" spans="59:62" x14ac:dyDescent="0.3">
      <c r="BG8428" s="387"/>
      <c r="BH8428" s="386"/>
      <c r="BI8428" s="386"/>
      <c r="BJ8428" s="46"/>
    </row>
    <row r="8429" spans="59:62" x14ac:dyDescent="0.3">
      <c r="BG8429" s="387"/>
      <c r="BH8429" s="386"/>
      <c r="BI8429" s="386"/>
      <c r="BJ8429" s="46"/>
    </row>
    <row r="8430" spans="59:62" x14ac:dyDescent="0.3">
      <c r="BG8430" s="387"/>
      <c r="BH8430" s="386"/>
      <c r="BI8430" s="386"/>
      <c r="BJ8430" s="46"/>
    </row>
    <row r="8431" spans="59:62" x14ac:dyDescent="0.3">
      <c r="BG8431" s="387"/>
      <c r="BH8431" s="386"/>
      <c r="BI8431" s="386"/>
      <c r="BJ8431" s="46"/>
    </row>
    <row r="8432" spans="59:62" x14ac:dyDescent="0.3">
      <c r="BG8432" s="387"/>
      <c r="BH8432" s="386"/>
      <c r="BI8432" s="386"/>
      <c r="BJ8432" s="46"/>
    </row>
    <row r="8433" spans="59:62" x14ac:dyDescent="0.3">
      <c r="BG8433" s="387"/>
      <c r="BH8433" s="386"/>
      <c r="BI8433" s="386"/>
      <c r="BJ8433" s="46"/>
    </row>
    <row r="8434" spans="59:62" x14ac:dyDescent="0.3">
      <c r="BG8434" s="387"/>
      <c r="BH8434" s="386"/>
      <c r="BI8434" s="386"/>
      <c r="BJ8434" s="46"/>
    </row>
    <row r="8435" spans="59:62" x14ac:dyDescent="0.3">
      <c r="BG8435" s="387"/>
      <c r="BH8435" s="386"/>
      <c r="BI8435" s="386"/>
      <c r="BJ8435" s="46"/>
    </row>
    <row r="8436" spans="59:62" x14ac:dyDescent="0.3">
      <c r="BG8436" s="387"/>
      <c r="BH8436" s="386"/>
      <c r="BI8436" s="386"/>
      <c r="BJ8436" s="46"/>
    </row>
    <row r="8437" spans="59:62" x14ac:dyDescent="0.3">
      <c r="BG8437" s="387"/>
      <c r="BH8437" s="386"/>
      <c r="BI8437" s="386"/>
      <c r="BJ8437" s="46"/>
    </row>
    <row r="8438" spans="59:62" x14ac:dyDescent="0.3">
      <c r="BG8438" s="387"/>
      <c r="BH8438" s="386"/>
      <c r="BI8438" s="386"/>
      <c r="BJ8438" s="46"/>
    </row>
    <row r="8439" spans="59:62" x14ac:dyDescent="0.3">
      <c r="BG8439" s="387"/>
      <c r="BH8439" s="386"/>
      <c r="BI8439" s="386"/>
      <c r="BJ8439" s="46"/>
    </row>
    <row r="8440" spans="59:62" x14ac:dyDescent="0.3">
      <c r="BG8440" s="387"/>
      <c r="BH8440" s="386"/>
      <c r="BI8440" s="386"/>
      <c r="BJ8440" s="46"/>
    </row>
    <row r="8441" spans="59:62" x14ac:dyDescent="0.3">
      <c r="BG8441" s="387"/>
      <c r="BH8441" s="386"/>
      <c r="BI8441" s="386"/>
      <c r="BJ8441" s="46"/>
    </row>
    <row r="8442" spans="59:62" x14ac:dyDescent="0.3">
      <c r="BG8442" s="387"/>
      <c r="BH8442" s="386"/>
      <c r="BI8442" s="386"/>
      <c r="BJ8442" s="46"/>
    </row>
    <row r="8443" spans="59:62" x14ac:dyDescent="0.3">
      <c r="BG8443" s="387"/>
      <c r="BH8443" s="386"/>
      <c r="BI8443" s="386"/>
      <c r="BJ8443" s="46"/>
    </row>
    <row r="8444" spans="59:62" x14ac:dyDescent="0.3">
      <c r="BG8444" s="387"/>
      <c r="BH8444" s="386"/>
      <c r="BI8444" s="386"/>
      <c r="BJ8444" s="46"/>
    </row>
    <row r="8445" spans="59:62" x14ac:dyDescent="0.3">
      <c r="BG8445" s="387"/>
      <c r="BH8445" s="386"/>
      <c r="BI8445" s="386"/>
      <c r="BJ8445" s="46"/>
    </row>
    <row r="8446" spans="59:62" x14ac:dyDescent="0.3">
      <c r="BG8446" s="387"/>
      <c r="BH8446" s="386"/>
      <c r="BI8446" s="386"/>
      <c r="BJ8446" s="46"/>
    </row>
    <row r="8447" spans="59:62" x14ac:dyDescent="0.3">
      <c r="BG8447" s="387"/>
      <c r="BH8447" s="386"/>
      <c r="BI8447" s="386"/>
      <c r="BJ8447" s="46"/>
    </row>
    <row r="8448" spans="59:62" x14ac:dyDescent="0.3">
      <c r="BG8448" s="387"/>
      <c r="BH8448" s="386"/>
      <c r="BI8448" s="386"/>
      <c r="BJ8448" s="46"/>
    </row>
    <row r="8449" spans="59:62" x14ac:dyDescent="0.3">
      <c r="BG8449" s="387"/>
      <c r="BH8449" s="386"/>
      <c r="BI8449" s="386"/>
      <c r="BJ8449" s="46"/>
    </row>
    <row r="8450" spans="59:62" x14ac:dyDescent="0.3">
      <c r="BG8450" s="387"/>
      <c r="BH8450" s="386"/>
      <c r="BI8450" s="386"/>
      <c r="BJ8450" s="46"/>
    </row>
    <row r="8451" spans="59:62" x14ac:dyDescent="0.3">
      <c r="BG8451" s="387"/>
      <c r="BH8451" s="386"/>
      <c r="BI8451" s="386"/>
      <c r="BJ8451" s="46"/>
    </row>
    <row r="8452" spans="59:62" x14ac:dyDescent="0.3">
      <c r="BG8452" s="387"/>
      <c r="BH8452" s="386"/>
      <c r="BI8452" s="386"/>
      <c r="BJ8452" s="46"/>
    </row>
    <row r="8453" spans="59:62" x14ac:dyDescent="0.3">
      <c r="BG8453" s="387"/>
      <c r="BH8453" s="386"/>
      <c r="BI8453" s="386"/>
      <c r="BJ8453" s="46"/>
    </row>
    <row r="8454" spans="59:62" x14ac:dyDescent="0.3">
      <c r="BG8454" s="387"/>
      <c r="BH8454" s="386"/>
      <c r="BI8454" s="386"/>
      <c r="BJ8454" s="46"/>
    </row>
    <row r="8455" spans="59:62" x14ac:dyDescent="0.3">
      <c r="BG8455" s="387"/>
      <c r="BH8455" s="386"/>
      <c r="BI8455" s="386"/>
      <c r="BJ8455" s="46"/>
    </row>
    <row r="8456" spans="59:62" x14ac:dyDescent="0.3">
      <c r="BG8456" s="387"/>
      <c r="BH8456" s="386"/>
      <c r="BI8456" s="386"/>
      <c r="BJ8456" s="46"/>
    </row>
    <row r="8457" spans="59:62" x14ac:dyDescent="0.3">
      <c r="BG8457" s="387"/>
      <c r="BH8457" s="386"/>
      <c r="BI8457" s="386"/>
      <c r="BJ8457" s="46"/>
    </row>
    <row r="8458" spans="59:62" x14ac:dyDescent="0.3">
      <c r="BG8458" s="387"/>
      <c r="BH8458" s="386"/>
      <c r="BI8458" s="386"/>
      <c r="BJ8458" s="46"/>
    </row>
    <row r="8459" spans="59:62" x14ac:dyDescent="0.3">
      <c r="BG8459" s="387"/>
      <c r="BH8459" s="386"/>
      <c r="BI8459" s="386"/>
      <c r="BJ8459" s="46"/>
    </row>
    <row r="8460" spans="59:62" x14ac:dyDescent="0.3">
      <c r="BG8460" s="387"/>
      <c r="BH8460" s="386"/>
      <c r="BI8460" s="386"/>
      <c r="BJ8460" s="46"/>
    </row>
    <row r="8461" spans="59:62" x14ac:dyDescent="0.3">
      <c r="BG8461" s="387"/>
      <c r="BH8461" s="386"/>
      <c r="BI8461" s="386"/>
      <c r="BJ8461" s="46"/>
    </row>
    <row r="8462" spans="59:62" x14ac:dyDescent="0.3">
      <c r="BG8462" s="387"/>
      <c r="BH8462" s="386"/>
      <c r="BI8462" s="386"/>
      <c r="BJ8462" s="46"/>
    </row>
    <row r="8463" spans="59:62" x14ac:dyDescent="0.3">
      <c r="BG8463" s="387"/>
      <c r="BH8463" s="386"/>
      <c r="BI8463" s="386"/>
      <c r="BJ8463" s="46"/>
    </row>
    <row r="8464" spans="59:62" x14ac:dyDescent="0.3">
      <c r="BG8464" s="387"/>
      <c r="BH8464" s="386"/>
      <c r="BI8464" s="386"/>
      <c r="BJ8464" s="46"/>
    </row>
    <row r="8465" spans="59:62" x14ac:dyDescent="0.3">
      <c r="BG8465" s="387"/>
      <c r="BH8465" s="386"/>
      <c r="BI8465" s="386"/>
      <c r="BJ8465" s="46"/>
    </row>
    <row r="8466" spans="59:62" x14ac:dyDescent="0.3">
      <c r="BG8466" s="387"/>
      <c r="BH8466" s="386"/>
      <c r="BI8466" s="386"/>
      <c r="BJ8466" s="46"/>
    </row>
    <row r="8467" spans="59:62" x14ac:dyDescent="0.3">
      <c r="BG8467" s="387"/>
      <c r="BH8467" s="386"/>
      <c r="BI8467" s="386"/>
      <c r="BJ8467" s="46"/>
    </row>
    <row r="8468" spans="59:62" x14ac:dyDescent="0.3">
      <c r="BG8468" s="387"/>
      <c r="BH8468" s="386"/>
      <c r="BI8468" s="386"/>
      <c r="BJ8468" s="46"/>
    </row>
    <row r="8469" spans="59:62" x14ac:dyDescent="0.3">
      <c r="BG8469" s="387"/>
      <c r="BH8469" s="386"/>
      <c r="BI8469" s="386"/>
      <c r="BJ8469" s="46"/>
    </row>
    <row r="8470" spans="59:62" x14ac:dyDescent="0.3">
      <c r="BG8470" s="387"/>
      <c r="BH8470" s="386"/>
      <c r="BI8470" s="386"/>
      <c r="BJ8470" s="46"/>
    </row>
    <row r="8471" spans="59:62" x14ac:dyDescent="0.3">
      <c r="BG8471" s="387"/>
      <c r="BH8471" s="386"/>
      <c r="BI8471" s="386"/>
      <c r="BJ8471" s="46"/>
    </row>
    <row r="8472" spans="59:62" x14ac:dyDescent="0.3">
      <c r="BG8472" s="387"/>
      <c r="BH8472" s="386"/>
      <c r="BI8472" s="386"/>
      <c r="BJ8472" s="46"/>
    </row>
    <row r="8473" spans="59:62" x14ac:dyDescent="0.3">
      <c r="BG8473" s="387"/>
      <c r="BH8473" s="386"/>
      <c r="BI8473" s="386"/>
      <c r="BJ8473" s="46"/>
    </row>
    <row r="8474" spans="59:62" x14ac:dyDescent="0.3">
      <c r="BG8474" s="387"/>
      <c r="BH8474" s="386"/>
      <c r="BI8474" s="386"/>
      <c r="BJ8474" s="46"/>
    </row>
    <row r="8475" spans="59:62" x14ac:dyDescent="0.3">
      <c r="BG8475" s="387"/>
      <c r="BH8475" s="386"/>
      <c r="BI8475" s="386"/>
      <c r="BJ8475" s="46"/>
    </row>
    <row r="8476" spans="59:62" x14ac:dyDescent="0.3">
      <c r="BG8476" s="387"/>
      <c r="BH8476" s="386"/>
      <c r="BI8476" s="386"/>
      <c r="BJ8476" s="46"/>
    </row>
    <row r="8477" spans="59:62" x14ac:dyDescent="0.3">
      <c r="BG8477" s="387"/>
      <c r="BH8477" s="386"/>
      <c r="BI8477" s="386"/>
      <c r="BJ8477" s="46"/>
    </row>
    <row r="8478" spans="59:62" x14ac:dyDescent="0.3">
      <c r="BG8478" s="387"/>
      <c r="BH8478" s="386"/>
      <c r="BI8478" s="386"/>
      <c r="BJ8478" s="46"/>
    </row>
    <row r="8479" spans="59:62" x14ac:dyDescent="0.3">
      <c r="BG8479" s="387"/>
      <c r="BH8479" s="386"/>
      <c r="BI8479" s="386"/>
      <c r="BJ8479" s="46"/>
    </row>
    <row r="8480" spans="59:62" x14ac:dyDescent="0.3">
      <c r="BG8480" s="387"/>
      <c r="BH8480" s="386"/>
      <c r="BI8480" s="386"/>
      <c r="BJ8480" s="46"/>
    </row>
    <row r="8481" spans="59:62" x14ac:dyDescent="0.3">
      <c r="BG8481" s="387"/>
      <c r="BH8481" s="386"/>
      <c r="BI8481" s="386"/>
      <c r="BJ8481" s="46"/>
    </row>
    <row r="8482" spans="59:62" x14ac:dyDescent="0.3">
      <c r="BG8482" s="387"/>
      <c r="BH8482" s="386"/>
      <c r="BI8482" s="386"/>
      <c r="BJ8482" s="46"/>
    </row>
    <row r="8483" spans="59:62" x14ac:dyDescent="0.3">
      <c r="BG8483" s="387"/>
      <c r="BH8483" s="386"/>
      <c r="BI8483" s="386"/>
      <c r="BJ8483" s="46"/>
    </row>
    <row r="8484" spans="59:62" x14ac:dyDescent="0.3">
      <c r="BG8484" s="387"/>
      <c r="BH8484" s="386"/>
      <c r="BI8484" s="386"/>
      <c r="BJ8484" s="46"/>
    </row>
    <row r="8485" spans="59:62" x14ac:dyDescent="0.3">
      <c r="BG8485" s="387"/>
      <c r="BH8485" s="386"/>
      <c r="BI8485" s="386"/>
      <c r="BJ8485" s="46"/>
    </row>
    <row r="8486" spans="59:62" x14ac:dyDescent="0.3">
      <c r="BG8486" s="387"/>
      <c r="BH8486" s="386"/>
      <c r="BI8486" s="386"/>
      <c r="BJ8486" s="46"/>
    </row>
    <row r="8487" spans="59:62" x14ac:dyDescent="0.3">
      <c r="BG8487" s="387"/>
      <c r="BH8487" s="386"/>
      <c r="BI8487" s="386"/>
      <c r="BJ8487" s="46"/>
    </row>
    <row r="8488" spans="59:62" x14ac:dyDescent="0.3">
      <c r="BG8488" s="387"/>
      <c r="BH8488" s="386"/>
      <c r="BI8488" s="386"/>
      <c r="BJ8488" s="46"/>
    </row>
    <row r="8489" spans="59:62" x14ac:dyDescent="0.3">
      <c r="BG8489" s="387"/>
      <c r="BH8489" s="386"/>
      <c r="BI8489" s="386"/>
      <c r="BJ8489" s="46"/>
    </row>
    <row r="8490" spans="59:62" x14ac:dyDescent="0.3">
      <c r="BG8490" s="387"/>
      <c r="BH8490" s="386"/>
      <c r="BI8490" s="386"/>
      <c r="BJ8490" s="46"/>
    </row>
    <row r="8491" spans="59:62" x14ac:dyDescent="0.3">
      <c r="BG8491" s="387"/>
      <c r="BH8491" s="386"/>
      <c r="BI8491" s="386"/>
      <c r="BJ8491" s="46"/>
    </row>
    <row r="8492" spans="59:62" x14ac:dyDescent="0.3">
      <c r="BG8492" s="387"/>
      <c r="BH8492" s="386"/>
      <c r="BI8492" s="386"/>
      <c r="BJ8492" s="46"/>
    </row>
    <row r="8493" spans="59:62" x14ac:dyDescent="0.3">
      <c r="BG8493" s="387"/>
      <c r="BH8493" s="386"/>
      <c r="BI8493" s="386"/>
      <c r="BJ8493" s="46"/>
    </row>
    <row r="8494" spans="59:62" x14ac:dyDescent="0.3">
      <c r="BG8494" s="387"/>
      <c r="BH8494" s="386"/>
      <c r="BI8494" s="386"/>
      <c r="BJ8494" s="46"/>
    </row>
    <row r="8495" spans="59:62" x14ac:dyDescent="0.3">
      <c r="BG8495" s="387"/>
      <c r="BH8495" s="386"/>
      <c r="BI8495" s="386"/>
      <c r="BJ8495" s="46"/>
    </row>
    <row r="8496" spans="59:62" x14ac:dyDescent="0.3">
      <c r="BG8496" s="387"/>
      <c r="BH8496" s="386"/>
      <c r="BI8496" s="386"/>
      <c r="BJ8496" s="46"/>
    </row>
    <row r="8497" spans="59:62" x14ac:dyDescent="0.3">
      <c r="BG8497" s="387"/>
      <c r="BH8497" s="386"/>
      <c r="BI8497" s="386"/>
      <c r="BJ8497" s="46"/>
    </row>
    <row r="8498" spans="59:62" x14ac:dyDescent="0.3">
      <c r="BG8498" s="387"/>
      <c r="BH8498" s="386"/>
      <c r="BI8498" s="386"/>
      <c r="BJ8498" s="46"/>
    </row>
    <row r="8499" spans="59:62" x14ac:dyDescent="0.3">
      <c r="BG8499" s="387"/>
      <c r="BH8499" s="386"/>
      <c r="BI8499" s="386"/>
      <c r="BJ8499" s="46"/>
    </row>
    <row r="8500" spans="59:62" x14ac:dyDescent="0.3">
      <c r="BG8500" s="387"/>
      <c r="BH8500" s="386"/>
      <c r="BI8500" s="386"/>
      <c r="BJ8500" s="46"/>
    </row>
    <row r="8501" spans="59:62" x14ac:dyDescent="0.3">
      <c r="BG8501" s="387"/>
      <c r="BH8501" s="386"/>
      <c r="BI8501" s="386"/>
      <c r="BJ8501" s="46"/>
    </row>
    <row r="8502" spans="59:62" x14ac:dyDescent="0.3">
      <c r="BG8502" s="387"/>
      <c r="BH8502" s="386"/>
      <c r="BI8502" s="386"/>
      <c r="BJ8502" s="46"/>
    </row>
    <row r="8503" spans="59:62" x14ac:dyDescent="0.3">
      <c r="BG8503" s="387"/>
      <c r="BH8503" s="386"/>
      <c r="BI8503" s="386"/>
      <c r="BJ8503" s="46"/>
    </row>
    <row r="8504" spans="59:62" x14ac:dyDescent="0.3">
      <c r="BG8504" s="387"/>
      <c r="BH8504" s="386"/>
      <c r="BI8504" s="386"/>
      <c r="BJ8504" s="46"/>
    </row>
    <row r="8505" spans="59:62" x14ac:dyDescent="0.3">
      <c r="BG8505" s="387"/>
      <c r="BH8505" s="386"/>
      <c r="BI8505" s="386"/>
      <c r="BJ8505" s="46"/>
    </row>
    <row r="8506" spans="59:62" x14ac:dyDescent="0.3">
      <c r="BG8506" s="387"/>
      <c r="BH8506" s="386"/>
      <c r="BI8506" s="386"/>
      <c r="BJ8506" s="46"/>
    </row>
    <row r="8507" spans="59:62" x14ac:dyDescent="0.3">
      <c r="BG8507" s="387"/>
      <c r="BH8507" s="386"/>
      <c r="BI8507" s="386"/>
      <c r="BJ8507" s="46"/>
    </row>
    <row r="8508" spans="59:62" x14ac:dyDescent="0.3">
      <c r="BG8508" s="387"/>
      <c r="BH8508" s="386"/>
      <c r="BI8508" s="386"/>
      <c r="BJ8508" s="46"/>
    </row>
    <row r="8509" spans="59:62" x14ac:dyDescent="0.3">
      <c r="BG8509" s="387"/>
      <c r="BH8509" s="386"/>
      <c r="BI8509" s="386"/>
      <c r="BJ8509" s="46"/>
    </row>
    <row r="8510" spans="59:62" x14ac:dyDescent="0.3">
      <c r="BG8510" s="387"/>
      <c r="BH8510" s="386"/>
      <c r="BI8510" s="386"/>
      <c r="BJ8510" s="46"/>
    </row>
    <row r="8511" spans="59:62" x14ac:dyDescent="0.3">
      <c r="BG8511" s="387"/>
      <c r="BH8511" s="386"/>
      <c r="BI8511" s="386"/>
      <c r="BJ8511" s="46"/>
    </row>
    <row r="8512" spans="59:62" x14ac:dyDescent="0.3">
      <c r="BG8512" s="387"/>
      <c r="BH8512" s="386"/>
      <c r="BI8512" s="386"/>
      <c r="BJ8512" s="46"/>
    </row>
    <row r="8513" spans="59:62" x14ac:dyDescent="0.3">
      <c r="BG8513" s="387"/>
      <c r="BH8513" s="386"/>
      <c r="BI8513" s="386"/>
      <c r="BJ8513" s="46"/>
    </row>
    <row r="8514" spans="59:62" x14ac:dyDescent="0.3">
      <c r="BG8514" s="387"/>
      <c r="BH8514" s="386"/>
      <c r="BI8514" s="386"/>
      <c r="BJ8514" s="46"/>
    </row>
    <row r="8515" spans="59:62" x14ac:dyDescent="0.3">
      <c r="BG8515" s="387"/>
      <c r="BH8515" s="386"/>
      <c r="BI8515" s="386"/>
      <c r="BJ8515" s="46"/>
    </row>
    <row r="8516" spans="59:62" x14ac:dyDescent="0.3">
      <c r="BG8516" s="387"/>
      <c r="BH8516" s="386"/>
      <c r="BI8516" s="386"/>
      <c r="BJ8516" s="46"/>
    </row>
    <row r="8517" spans="59:62" x14ac:dyDescent="0.3">
      <c r="BG8517" s="387"/>
      <c r="BH8517" s="386"/>
      <c r="BI8517" s="386"/>
      <c r="BJ8517" s="46"/>
    </row>
    <row r="8518" spans="59:62" x14ac:dyDescent="0.3">
      <c r="BG8518" s="387"/>
      <c r="BH8518" s="386"/>
      <c r="BI8518" s="386"/>
      <c r="BJ8518" s="46"/>
    </row>
    <row r="8519" spans="59:62" x14ac:dyDescent="0.3">
      <c r="BG8519" s="387"/>
      <c r="BH8519" s="386"/>
      <c r="BI8519" s="386"/>
      <c r="BJ8519" s="46"/>
    </row>
    <row r="8520" spans="59:62" x14ac:dyDescent="0.3">
      <c r="BG8520" s="387"/>
      <c r="BH8520" s="386"/>
      <c r="BI8520" s="386"/>
      <c r="BJ8520" s="46"/>
    </row>
    <row r="8521" spans="59:62" x14ac:dyDescent="0.3">
      <c r="BG8521" s="387"/>
      <c r="BH8521" s="386"/>
      <c r="BI8521" s="386"/>
      <c r="BJ8521" s="46"/>
    </row>
    <row r="8522" spans="59:62" x14ac:dyDescent="0.3">
      <c r="BG8522" s="387"/>
      <c r="BH8522" s="386"/>
      <c r="BI8522" s="386"/>
      <c r="BJ8522" s="46"/>
    </row>
    <row r="8523" spans="59:62" x14ac:dyDescent="0.3">
      <c r="BG8523" s="387"/>
      <c r="BH8523" s="386"/>
      <c r="BI8523" s="386"/>
      <c r="BJ8523" s="46"/>
    </row>
    <row r="8524" spans="59:62" x14ac:dyDescent="0.3">
      <c r="BG8524" s="387"/>
      <c r="BH8524" s="386"/>
      <c r="BI8524" s="386"/>
      <c r="BJ8524" s="46"/>
    </row>
    <row r="8525" spans="59:62" x14ac:dyDescent="0.3">
      <c r="BG8525" s="387"/>
      <c r="BH8525" s="386"/>
      <c r="BI8525" s="386"/>
      <c r="BJ8525" s="46"/>
    </row>
    <row r="8526" spans="59:62" x14ac:dyDescent="0.3">
      <c r="BG8526" s="387"/>
      <c r="BH8526" s="386"/>
      <c r="BI8526" s="386"/>
      <c r="BJ8526" s="46"/>
    </row>
    <row r="8527" spans="59:62" x14ac:dyDescent="0.3">
      <c r="BG8527" s="387"/>
      <c r="BH8527" s="386"/>
      <c r="BI8527" s="386"/>
      <c r="BJ8527" s="46"/>
    </row>
    <row r="8528" spans="59:62" x14ac:dyDescent="0.3">
      <c r="BG8528" s="387"/>
      <c r="BH8528" s="386"/>
      <c r="BI8528" s="386"/>
      <c r="BJ8528" s="46"/>
    </row>
    <row r="8529" spans="59:62" x14ac:dyDescent="0.3">
      <c r="BG8529" s="387"/>
      <c r="BH8529" s="386"/>
      <c r="BI8529" s="386"/>
      <c r="BJ8529" s="46"/>
    </row>
    <row r="8530" spans="59:62" x14ac:dyDescent="0.3">
      <c r="BG8530" s="387"/>
      <c r="BH8530" s="386"/>
      <c r="BI8530" s="386"/>
      <c r="BJ8530" s="46"/>
    </row>
    <row r="8531" spans="59:62" x14ac:dyDescent="0.3">
      <c r="BG8531" s="387"/>
      <c r="BH8531" s="386"/>
      <c r="BI8531" s="386"/>
      <c r="BJ8531" s="46"/>
    </row>
    <row r="8532" spans="59:62" x14ac:dyDescent="0.3">
      <c r="BG8532" s="387"/>
      <c r="BH8532" s="386"/>
      <c r="BI8532" s="386"/>
      <c r="BJ8532" s="46"/>
    </row>
    <row r="8533" spans="59:62" x14ac:dyDescent="0.3">
      <c r="BG8533" s="387"/>
      <c r="BH8533" s="386"/>
      <c r="BI8533" s="386"/>
      <c r="BJ8533" s="46"/>
    </row>
    <row r="8534" spans="59:62" x14ac:dyDescent="0.3">
      <c r="BG8534" s="387"/>
      <c r="BH8534" s="386"/>
      <c r="BI8534" s="386"/>
      <c r="BJ8534" s="46"/>
    </row>
    <row r="8535" spans="59:62" x14ac:dyDescent="0.3">
      <c r="BG8535" s="387"/>
      <c r="BH8535" s="386"/>
      <c r="BI8535" s="386"/>
      <c r="BJ8535" s="46"/>
    </row>
    <row r="8536" spans="59:62" x14ac:dyDescent="0.3">
      <c r="BG8536" s="387"/>
      <c r="BH8536" s="386"/>
      <c r="BI8536" s="386"/>
      <c r="BJ8536" s="46"/>
    </row>
    <row r="8537" spans="59:62" x14ac:dyDescent="0.3">
      <c r="BG8537" s="387"/>
      <c r="BH8537" s="386"/>
      <c r="BI8537" s="386"/>
      <c r="BJ8537" s="46"/>
    </row>
    <row r="8538" spans="59:62" x14ac:dyDescent="0.3">
      <c r="BG8538" s="387"/>
      <c r="BH8538" s="386"/>
      <c r="BI8538" s="386"/>
      <c r="BJ8538" s="46"/>
    </row>
    <row r="8539" spans="59:62" x14ac:dyDescent="0.3">
      <c r="BG8539" s="387"/>
      <c r="BH8539" s="386"/>
      <c r="BI8539" s="386"/>
      <c r="BJ8539" s="46"/>
    </row>
    <row r="8540" spans="59:62" x14ac:dyDescent="0.3">
      <c r="BG8540" s="387"/>
      <c r="BH8540" s="386"/>
      <c r="BI8540" s="386"/>
      <c r="BJ8540" s="46"/>
    </row>
    <row r="8541" spans="59:62" x14ac:dyDescent="0.3">
      <c r="BG8541" s="387"/>
      <c r="BH8541" s="386"/>
      <c r="BI8541" s="386"/>
      <c r="BJ8541" s="46"/>
    </row>
    <row r="8542" spans="59:62" x14ac:dyDescent="0.3">
      <c r="BG8542" s="387"/>
      <c r="BH8542" s="386"/>
      <c r="BI8542" s="386"/>
      <c r="BJ8542" s="46"/>
    </row>
    <row r="8543" spans="59:62" x14ac:dyDescent="0.3">
      <c r="BG8543" s="387"/>
      <c r="BH8543" s="386"/>
      <c r="BI8543" s="386"/>
      <c r="BJ8543" s="46"/>
    </row>
    <row r="8544" spans="59:62" x14ac:dyDescent="0.3">
      <c r="BG8544" s="387"/>
      <c r="BH8544" s="386"/>
      <c r="BI8544" s="386"/>
      <c r="BJ8544" s="46"/>
    </row>
    <row r="8545" spans="59:62" x14ac:dyDescent="0.3">
      <c r="BG8545" s="387"/>
      <c r="BH8545" s="386"/>
      <c r="BI8545" s="386"/>
      <c r="BJ8545" s="46"/>
    </row>
    <row r="8546" spans="59:62" x14ac:dyDescent="0.3">
      <c r="BG8546" s="387"/>
      <c r="BH8546" s="386"/>
      <c r="BI8546" s="386"/>
      <c r="BJ8546" s="46"/>
    </row>
    <row r="8547" spans="59:62" x14ac:dyDescent="0.3">
      <c r="BG8547" s="387"/>
      <c r="BH8547" s="386"/>
      <c r="BI8547" s="386"/>
      <c r="BJ8547" s="46"/>
    </row>
    <row r="8548" spans="59:62" x14ac:dyDescent="0.3">
      <c r="BG8548" s="387"/>
      <c r="BH8548" s="386"/>
      <c r="BI8548" s="386"/>
      <c r="BJ8548" s="46"/>
    </row>
    <row r="8549" spans="59:62" x14ac:dyDescent="0.3">
      <c r="BG8549" s="387"/>
      <c r="BH8549" s="386"/>
      <c r="BI8549" s="386"/>
      <c r="BJ8549" s="46"/>
    </row>
    <row r="8550" spans="59:62" x14ac:dyDescent="0.3">
      <c r="BG8550" s="387"/>
      <c r="BH8550" s="386"/>
      <c r="BI8550" s="386"/>
      <c r="BJ8550" s="46"/>
    </row>
    <row r="8551" spans="59:62" x14ac:dyDescent="0.3">
      <c r="BG8551" s="387"/>
      <c r="BH8551" s="386"/>
      <c r="BI8551" s="386"/>
      <c r="BJ8551" s="46"/>
    </row>
    <row r="8552" spans="59:62" x14ac:dyDescent="0.3">
      <c r="BG8552" s="387"/>
      <c r="BH8552" s="386"/>
      <c r="BI8552" s="386"/>
      <c r="BJ8552" s="46"/>
    </row>
    <row r="8553" spans="59:62" x14ac:dyDescent="0.3">
      <c r="BG8553" s="387"/>
      <c r="BH8553" s="386"/>
      <c r="BI8553" s="386"/>
      <c r="BJ8553" s="46"/>
    </row>
    <row r="8554" spans="59:62" x14ac:dyDescent="0.3">
      <c r="BG8554" s="387"/>
      <c r="BH8554" s="386"/>
      <c r="BI8554" s="386"/>
      <c r="BJ8554" s="46"/>
    </row>
    <row r="8555" spans="59:62" x14ac:dyDescent="0.3">
      <c r="BG8555" s="387"/>
      <c r="BH8555" s="386"/>
      <c r="BI8555" s="386"/>
      <c r="BJ8555" s="46"/>
    </row>
    <row r="8556" spans="59:62" x14ac:dyDescent="0.3">
      <c r="BG8556" s="387"/>
      <c r="BH8556" s="386"/>
      <c r="BI8556" s="386"/>
      <c r="BJ8556" s="46"/>
    </row>
    <row r="8557" spans="59:62" x14ac:dyDescent="0.3">
      <c r="BG8557" s="387"/>
      <c r="BH8557" s="386"/>
      <c r="BI8557" s="386"/>
      <c r="BJ8557" s="46"/>
    </row>
    <row r="8558" spans="59:62" x14ac:dyDescent="0.3">
      <c r="BG8558" s="387"/>
      <c r="BH8558" s="386"/>
      <c r="BI8558" s="386"/>
      <c r="BJ8558" s="46"/>
    </row>
    <row r="8559" spans="59:62" x14ac:dyDescent="0.3">
      <c r="BG8559" s="387"/>
      <c r="BH8559" s="386"/>
      <c r="BI8559" s="386"/>
      <c r="BJ8559" s="46"/>
    </row>
    <row r="8560" spans="59:62" x14ac:dyDescent="0.3">
      <c r="BG8560" s="387"/>
      <c r="BH8560" s="386"/>
      <c r="BI8560" s="386"/>
      <c r="BJ8560" s="46"/>
    </row>
    <row r="8561" spans="59:62" x14ac:dyDescent="0.3">
      <c r="BG8561" s="387"/>
      <c r="BH8561" s="386"/>
      <c r="BI8561" s="386"/>
      <c r="BJ8561" s="46"/>
    </row>
    <row r="8562" spans="59:62" x14ac:dyDescent="0.3">
      <c r="BG8562" s="387"/>
      <c r="BH8562" s="386"/>
      <c r="BI8562" s="386"/>
      <c r="BJ8562" s="46"/>
    </row>
    <row r="8563" spans="59:62" x14ac:dyDescent="0.3">
      <c r="BG8563" s="387"/>
      <c r="BH8563" s="386"/>
      <c r="BI8563" s="386"/>
      <c r="BJ8563" s="46"/>
    </row>
    <row r="8564" spans="59:62" x14ac:dyDescent="0.3">
      <c r="BG8564" s="387"/>
      <c r="BH8564" s="386"/>
      <c r="BI8564" s="386"/>
      <c r="BJ8564" s="46"/>
    </row>
    <row r="8565" spans="59:62" x14ac:dyDescent="0.3">
      <c r="BG8565" s="387"/>
      <c r="BH8565" s="386"/>
      <c r="BI8565" s="386"/>
      <c r="BJ8565" s="46"/>
    </row>
    <row r="8566" spans="59:62" x14ac:dyDescent="0.3">
      <c r="BG8566" s="387"/>
      <c r="BH8566" s="386"/>
      <c r="BI8566" s="386"/>
      <c r="BJ8566" s="46"/>
    </row>
    <row r="8567" spans="59:62" x14ac:dyDescent="0.3">
      <c r="BG8567" s="387"/>
      <c r="BH8567" s="386"/>
      <c r="BI8567" s="386"/>
      <c r="BJ8567" s="46"/>
    </row>
    <row r="8568" spans="59:62" x14ac:dyDescent="0.3">
      <c r="BG8568" s="387"/>
      <c r="BH8568" s="386"/>
      <c r="BI8568" s="386"/>
      <c r="BJ8568" s="46"/>
    </row>
    <row r="8569" spans="59:62" x14ac:dyDescent="0.3">
      <c r="BG8569" s="387"/>
      <c r="BH8569" s="386"/>
      <c r="BI8569" s="386"/>
      <c r="BJ8569" s="46"/>
    </row>
    <row r="8570" spans="59:62" x14ac:dyDescent="0.3">
      <c r="BG8570" s="387"/>
      <c r="BH8570" s="386"/>
      <c r="BI8570" s="386"/>
      <c r="BJ8570" s="46"/>
    </row>
    <row r="8571" spans="59:62" x14ac:dyDescent="0.3">
      <c r="BG8571" s="387"/>
      <c r="BH8571" s="386"/>
      <c r="BI8571" s="386"/>
      <c r="BJ8571" s="46"/>
    </row>
    <row r="8572" spans="59:62" x14ac:dyDescent="0.3">
      <c r="BG8572" s="387"/>
      <c r="BH8572" s="386"/>
      <c r="BI8572" s="386"/>
      <c r="BJ8572" s="46"/>
    </row>
    <row r="8573" spans="59:62" x14ac:dyDescent="0.3">
      <c r="BG8573" s="387"/>
      <c r="BH8573" s="386"/>
      <c r="BI8573" s="386"/>
      <c r="BJ8573" s="46"/>
    </row>
    <row r="8574" spans="59:62" x14ac:dyDescent="0.3">
      <c r="BG8574" s="387"/>
      <c r="BH8574" s="386"/>
      <c r="BI8574" s="386"/>
      <c r="BJ8574" s="46"/>
    </row>
    <row r="8575" spans="59:62" x14ac:dyDescent="0.3">
      <c r="BG8575" s="387"/>
      <c r="BH8575" s="386"/>
      <c r="BI8575" s="386"/>
      <c r="BJ8575" s="46"/>
    </row>
    <row r="8576" spans="59:62" x14ac:dyDescent="0.3">
      <c r="BG8576" s="387"/>
      <c r="BH8576" s="386"/>
      <c r="BI8576" s="386"/>
      <c r="BJ8576" s="46"/>
    </row>
    <row r="8577" spans="59:62" x14ac:dyDescent="0.3">
      <c r="BG8577" s="387"/>
      <c r="BH8577" s="386"/>
      <c r="BI8577" s="386"/>
      <c r="BJ8577" s="46"/>
    </row>
    <row r="8578" spans="59:62" x14ac:dyDescent="0.3">
      <c r="BG8578" s="387"/>
      <c r="BH8578" s="386"/>
      <c r="BI8578" s="386"/>
      <c r="BJ8578" s="46"/>
    </row>
    <row r="8579" spans="59:62" x14ac:dyDescent="0.3">
      <c r="BG8579" s="387"/>
      <c r="BH8579" s="386"/>
      <c r="BI8579" s="386"/>
      <c r="BJ8579" s="46"/>
    </row>
    <row r="8580" spans="59:62" x14ac:dyDescent="0.3">
      <c r="BG8580" s="387"/>
      <c r="BH8580" s="386"/>
      <c r="BI8580" s="386"/>
      <c r="BJ8580" s="46"/>
    </row>
    <row r="8581" spans="59:62" x14ac:dyDescent="0.3">
      <c r="BG8581" s="387"/>
      <c r="BH8581" s="386"/>
      <c r="BI8581" s="386"/>
      <c r="BJ8581" s="46"/>
    </row>
    <row r="8582" spans="59:62" x14ac:dyDescent="0.3">
      <c r="BG8582" s="387"/>
      <c r="BH8582" s="386"/>
      <c r="BI8582" s="386"/>
      <c r="BJ8582" s="46"/>
    </row>
    <row r="8583" spans="59:62" x14ac:dyDescent="0.3">
      <c r="BG8583" s="387"/>
      <c r="BH8583" s="386"/>
      <c r="BI8583" s="386"/>
      <c r="BJ8583" s="46"/>
    </row>
    <row r="8584" spans="59:62" x14ac:dyDescent="0.3">
      <c r="BG8584" s="387"/>
      <c r="BH8584" s="386"/>
      <c r="BI8584" s="386"/>
      <c r="BJ8584" s="46"/>
    </row>
    <row r="8585" spans="59:62" x14ac:dyDescent="0.3">
      <c r="BG8585" s="387"/>
      <c r="BH8585" s="386"/>
      <c r="BI8585" s="386"/>
      <c r="BJ8585" s="46"/>
    </row>
    <row r="8586" spans="59:62" x14ac:dyDescent="0.3">
      <c r="BG8586" s="387"/>
      <c r="BH8586" s="386"/>
      <c r="BI8586" s="386"/>
      <c r="BJ8586" s="46"/>
    </row>
    <row r="8587" spans="59:62" x14ac:dyDescent="0.3">
      <c r="BG8587" s="387"/>
      <c r="BH8587" s="386"/>
      <c r="BI8587" s="386"/>
      <c r="BJ8587" s="46"/>
    </row>
    <row r="8588" spans="59:62" x14ac:dyDescent="0.3">
      <c r="BG8588" s="387"/>
      <c r="BH8588" s="386"/>
      <c r="BI8588" s="386"/>
      <c r="BJ8588" s="46"/>
    </row>
    <row r="8589" spans="59:62" x14ac:dyDescent="0.3">
      <c r="BG8589" s="387"/>
      <c r="BH8589" s="386"/>
      <c r="BI8589" s="386"/>
      <c r="BJ8589" s="46"/>
    </row>
    <row r="8590" spans="59:62" x14ac:dyDescent="0.3">
      <c r="BG8590" s="387"/>
      <c r="BH8590" s="386"/>
      <c r="BI8590" s="386"/>
      <c r="BJ8590" s="46"/>
    </row>
    <row r="8591" spans="59:62" x14ac:dyDescent="0.3">
      <c r="BG8591" s="387"/>
      <c r="BH8591" s="386"/>
      <c r="BI8591" s="386"/>
      <c r="BJ8591" s="46"/>
    </row>
    <row r="8592" spans="59:62" x14ac:dyDescent="0.3">
      <c r="BG8592" s="387"/>
      <c r="BH8592" s="386"/>
      <c r="BI8592" s="386"/>
      <c r="BJ8592" s="46"/>
    </row>
    <row r="8593" spans="59:62" x14ac:dyDescent="0.3">
      <c r="BG8593" s="387"/>
      <c r="BH8593" s="386"/>
      <c r="BI8593" s="386"/>
      <c r="BJ8593" s="46"/>
    </row>
    <row r="8594" spans="59:62" x14ac:dyDescent="0.3">
      <c r="BG8594" s="387"/>
      <c r="BH8594" s="386"/>
      <c r="BI8594" s="386"/>
      <c r="BJ8594" s="46"/>
    </row>
    <row r="8595" spans="59:62" x14ac:dyDescent="0.3">
      <c r="BG8595" s="387"/>
      <c r="BH8595" s="386"/>
      <c r="BI8595" s="386"/>
      <c r="BJ8595" s="46"/>
    </row>
    <row r="8596" spans="59:62" x14ac:dyDescent="0.3">
      <c r="BG8596" s="387"/>
      <c r="BH8596" s="386"/>
      <c r="BI8596" s="386"/>
      <c r="BJ8596" s="46"/>
    </row>
    <row r="8597" spans="59:62" x14ac:dyDescent="0.3">
      <c r="BG8597" s="387"/>
      <c r="BH8597" s="386"/>
      <c r="BI8597" s="386"/>
      <c r="BJ8597" s="46"/>
    </row>
    <row r="8598" spans="59:62" x14ac:dyDescent="0.3">
      <c r="BG8598" s="387"/>
      <c r="BH8598" s="386"/>
      <c r="BI8598" s="386"/>
      <c r="BJ8598" s="46"/>
    </row>
    <row r="8599" spans="59:62" x14ac:dyDescent="0.3">
      <c r="BG8599" s="387"/>
      <c r="BH8599" s="386"/>
      <c r="BI8599" s="386"/>
      <c r="BJ8599" s="46"/>
    </row>
    <row r="8600" spans="59:62" x14ac:dyDescent="0.3">
      <c r="BG8600" s="387"/>
      <c r="BH8600" s="386"/>
      <c r="BI8600" s="386"/>
      <c r="BJ8600" s="46"/>
    </row>
    <row r="8601" spans="59:62" x14ac:dyDescent="0.3">
      <c r="BG8601" s="387"/>
      <c r="BH8601" s="386"/>
      <c r="BI8601" s="386"/>
      <c r="BJ8601" s="46"/>
    </row>
    <row r="8602" spans="59:62" x14ac:dyDescent="0.3">
      <c r="BG8602" s="387"/>
      <c r="BH8602" s="386"/>
      <c r="BI8602" s="386"/>
      <c r="BJ8602" s="46"/>
    </row>
    <row r="8603" spans="59:62" x14ac:dyDescent="0.3">
      <c r="BG8603" s="387"/>
      <c r="BH8603" s="386"/>
      <c r="BI8603" s="386"/>
      <c r="BJ8603" s="46"/>
    </row>
    <row r="8604" spans="59:62" x14ac:dyDescent="0.3">
      <c r="BG8604" s="387"/>
      <c r="BH8604" s="386"/>
      <c r="BI8604" s="386"/>
      <c r="BJ8604" s="46"/>
    </row>
    <row r="8605" spans="59:62" x14ac:dyDescent="0.3">
      <c r="BG8605" s="387"/>
      <c r="BH8605" s="386"/>
      <c r="BI8605" s="386"/>
      <c r="BJ8605" s="46"/>
    </row>
    <row r="8606" spans="59:62" x14ac:dyDescent="0.3">
      <c r="BG8606" s="387"/>
      <c r="BH8606" s="386"/>
      <c r="BI8606" s="386"/>
      <c r="BJ8606" s="46"/>
    </row>
    <row r="8607" spans="59:62" x14ac:dyDescent="0.3">
      <c r="BG8607" s="387"/>
      <c r="BH8607" s="386"/>
      <c r="BI8607" s="386"/>
      <c r="BJ8607" s="46"/>
    </row>
    <row r="8608" spans="59:62" x14ac:dyDescent="0.3">
      <c r="BG8608" s="387"/>
      <c r="BH8608" s="386"/>
      <c r="BI8608" s="386"/>
      <c r="BJ8608" s="46"/>
    </row>
    <row r="8609" spans="59:62" x14ac:dyDescent="0.3">
      <c r="BG8609" s="387"/>
      <c r="BH8609" s="386"/>
      <c r="BI8609" s="386"/>
      <c r="BJ8609" s="46"/>
    </row>
    <row r="8610" spans="59:62" x14ac:dyDescent="0.3">
      <c r="BG8610" s="387"/>
      <c r="BH8610" s="386"/>
      <c r="BI8610" s="386"/>
      <c r="BJ8610" s="46"/>
    </row>
    <row r="8611" spans="59:62" x14ac:dyDescent="0.3">
      <c r="BG8611" s="387"/>
      <c r="BH8611" s="386"/>
      <c r="BI8611" s="386"/>
      <c r="BJ8611" s="46"/>
    </row>
    <row r="8612" spans="59:62" x14ac:dyDescent="0.3">
      <c r="BG8612" s="387"/>
      <c r="BH8612" s="386"/>
      <c r="BI8612" s="386"/>
      <c r="BJ8612" s="46"/>
    </row>
    <row r="8613" spans="59:62" x14ac:dyDescent="0.3">
      <c r="BG8613" s="387"/>
      <c r="BH8613" s="386"/>
      <c r="BI8613" s="386"/>
      <c r="BJ8613" s="46"/>
    </row>
    <row r="8614" spans="59:62" x14ac:dyDescent="0.3">
      <c r="BG8614" s="387"/>
      <c r="BH8614" s="386"/>
      <c r="BI8614" s="386"/>
      <c r="BJ8614" s="46"/>
    </row>
    <row r="8615" spans="59:62" x14ac:dyDescent="0.3">
      <c r="BG8615" s="387"/>
      <c r="BH8615" s="386"/>
      <c r="BI8615" s="386"/>
      <c r="BJ8615" s="46"/>
    </row>
    <row r="8616" spans="59:62" x14ac:dyDescent="0.3">
      <c r="BG8616" s="387"/>
      <c r="BH8616" s="386"/>
      <c r="BI8616" s="386"/>
      <c r="BJ8616" s="46"/>
    </row>
    <row r="8617" spans="59:62" x14ac:dyDescent="0.3">
      <c r="BG8617" s="387"/>
      <c r="BH8617" s="386"/>
      <c r="BI8617" s="386"/>
      <c r="BJ8617" s="46"/>
    </row>
    <row r="8618" spans="59:62" x14ac:dyDescent="0.3">
      <c r="BG8618" s="387"/>
      <c r="BH8618" s="386"/>
      <c r="BI8618" s="386"/>
      <c r="BJ8618" s="46"/>
    </row>
    <row r="8619" spans="59:62" x14ac:dyDescent="0.3">
      <c r="BG8619" s="387"/>
      <c r="BH8619" s="386"/>
      <c r="BI8619" s="386"/>
      <c r="BJ8619" s="46"/>
    </row>
    <row r="8620" spans="59:62" x14ac:dyDescent="0.3">
      <c r="BG8620" s="387"/>
      <c r="BH8620" s="386"/>
      <c r="BI8620" s="386"/>
      <c r="BJ8620" s="46"/>
    </row>
    <row r="8621" spans="59:62" x14ac:dyDescent="0.3">
      <c r="BG8621" s="387"/>
      <c r="BH8621" s="386"/>
      <c r="BI8621" s="386"/>
      <c r="BJ8621" s="46"/>
    </row>
    <row r="8622" spans="59:62" x14ac:dyDescent="0.3">
      <c r="BG8622" s="387"/>
      <c r="BH8622" s="386"/>
      <c r="BI8622" s="386"/>
      <c r="BJ8622" s="46"/>
    </row>
    <row r="8623" spans="59:62" x14ac:dyDescent="0.3">
      <c r="BG8623" s="387"/>
      <c r="BH8623" s="386"/>
      <c r="BI8623" s="386"/>
      <c r="BJ8623" s="46"/>
    </row>
    <row r="8624" spans="59:62" x14ac:dyDescent="0.3">
      <c r="BG8624" s="387"/>
      <c r="BH8624" s="386"/>
      <c r="BI8624" s="386"/>
      <c r="BJ8624" s="46"/>
    </row>
    <row r="8625" spans="59:62" x14ac:dyDescent="0.3">
      <c r="BG8625" s="387"/>
      <c r="BH8625" s="386"/>
      <c r="BI8625" s="386"/>
      <c r="BJ8625" s="46"/>
    </row>
    <row r="8626" spans="59:62" x14ac:dyDescent="0.3">
      <c r="BG8626" s="387"/>
      <c r="BH8626" s="386"/>
      <c r="BI8626" s="386"/>
      <c r="BJ8626" s="46"/>
    </row>
    <row r="8627" spans="59:62" x14ac:dyDescent="0.3">
      <c r="BG8627" s="387"/>
      <c r="BH8627" s="386"/>
      <c r="BI8627" s="386"/>
      <c r="BJ8627" s="46"/>
    </row>
    <row r="8628" spans="59:62" x14ac:dyDescent="0.3">
      <c r="BG8628" s="387"/>
      <c r="BH8628" s="386"/>
      <c r="BI8628" s="386"/>
      <c r="BJ8628" s="46"/>
    </row>
    <row r="8629" spans="59:62" x14ac:dyDescent="0.3">
      <c r="BG8629" s="387"/>
      <c r="BH8629" s="386"/>
      <c r="BI8629" s="386"/>
      <c r="BJ8629" s="46"/>
    </row>
    <row r="8630" spans="59:62" x14ac:dyDescent="0.3">
      <c r="BG8630" s="387"/>
      <c r="BH8630" s="386"/>
      <c r="BI8630" s="386"/>
      <c r="BJ8630" s="46"/>
    </row>
    <row r="8631" spans="59:62" x14ac:dyDescent="0.3">
      <c r="BG8631" s="387"/>
      <c r="BH8631" s="386"/>
      <c r="BI8631" s="386"/>
      <c r="BJ8631" s="46"/>
    </row>
    <row r="8632" spans="59:62" x14ac:dyDescent="0.3">
      <c r="BG8632" s="387"/>
      <c r="BH8632" s="386"/>
      <c r="BI8632" s="386"/>
      <c r="BJ8632" s="46"/>
    </row>
    <row r="8633" spans="59:62" x14ac:dyDescent="0.3">
      <c r="BG8633" s="387"/>
      <c r="BH8633" s="386"/>
      <c r="BI8633" s="386"/>
      <c r="BJ8633" s="46"/>
    </row>
    <row r="8634" spans="59:62" x14ac:dyDescent="0.3">
      <c r="BG8634" s="387"/>
      <c r="BH8634" s="386"/>
      <c r="BI8634" s="386"/>
      <c r="BJ8634" s="46"/>
    </row>
    <row r="8635" spans="59:62" x14ac:dyDescent="0.3">
      <c r="BG8635" s="387"/>
      <c r="BH8635" s="386"/>
      <c r="BI8635" s="386"/>
      <c r="BJ8635" s="46"/>
    </row>
    <row r="8636" spans="59:62" x14ac:dyDescent="0.3">
      <c r="BG8636" s="387"/>
      <c r="BH8636" s="386"/>
      <c r="BI8636" s="386"/>
      <c r="BJ8636" s="46"/>
    </row>
    <row r="8637" spans="59:62" x14ac:dyDescent="0.3">
      <c r="BG8637" s="387"/>
      <c r="BH8637" s="386"/>
      <c r="BI8637" s="386"/>
      <c r="BJ8637" s="46"/>
    </row>
    <row r="8638" spans="59:62" x14ac:dyDescent="0.3">
      <c r="BG8638" s="387"/>
      <c r="BH8638" s="386"/>
      <c r="BI8638" s="386"/>
      <c r="BJ8638" s="46"/>
    </row>
    <row r="8639" spans="59:62" x14ac:dyDescent="0.3">
      <c r="BG8639" s="387"/>
      <c r="BH8639" s="386"/>
      <c r="BI8639" s="386"/>
      <c r="BJ8639" s="46"/>
    </row>
    <row r="8640" spans="59:62" x14ac:dyDescent="0.3">
      <c r="BG8640" s="387"/>
      <c r="BH8640" s="386"/>
      <c r="BI8640" s="386"/>
      <c r="BJ8640" s="46"/>
    </row>
    <row r="8641" spans="59:62" x14ac:dyDescent="0.3">
      <c r="BG8641" s="387"/>
      <c r="BH8641" s="386"/>
      <c r="BI8641" s="386"/>
      <c r="BJ8641" s="46"/>
    </row>
    <row r="8642" spans="59:62" x14ac:dyDescent="0.3">
      <c r="BG8642" s="387"/>
      <c r="BH8642" s="386"/>
      <c r="BI8642" s="386"/>
      <c r="BJ8642" s="46"/>
    </row>
    <row r="8643" spans="59:62" x14ac:dyDescent="0.3">
      <c r="BG8643" s="387"/>
      <c r="BH8643" s="386"/>
      <c r="BI8643" s="386"/>
      <c r="BJ8643" s="46"/>
    </row>
    <row r="8644" spans="59:62" x14ac:dyDescent="0.3">
      <c r="BG8644" s="387"/>
      <c r="BH8644" s="386"/>
      <c r="BI8644" s="386"/>
      <c r="BJ8644" s="46"/>
    </row>
    <row r="8645" spans="59:62" x14ac:dyDescent="0.3">
      <c r="BG8645" s="387"/>
      <c r="BH8645" s="386"/>
      <c r="BI8645" s="386"/>
      <c r="BJ8645" s="46"/>
    </row>
    <row r="8646" spans="59:62" x14ac:dyDescent="0.3">
      <c r="BG8646" s="387"/>
      <c r="BH8646" s="386"/>
      <c r="BI8646" s="386"/>
      <c r="BJ8646" s="46"/>
    </row>
    <row r="8647" spans="59:62" x14ac:dyDescent="0.3">
      <c r="BG8647" s="387"/>
      <c r="BH8647" s="386"/>
      <c r="BI8647" s="386"/>
      <c r="BJ8647" s="46"/>
    </row>
    <row r="8648" spans="59:62" x14ac:dyDescent="0.3">
      <c r="BG8648" s="387"/>
      <c r="BH8648" s="386"/>
      <c r="BI8648" s="386"/>
      <c r="BJ8648" s="46"/>
    </row>
    <row r="8649" spans="59:62" x14ac:dyDescent="0.3">
      <c r="BG8649" s="387"/>
      <c r="BH8649" s="386"/>
      <c r="BI8649" s="386"/>
      <c r="BJ8649" s="46"/>
    </row>
    <row r="8650" spans="59:62" x14ac:dyDescent="0.3">
      <c r="BG8650" s="387"/>
      <c r="BH8650" s="386"/>
      <c r="BI8650" s="386"/>
      <c r="BJ8650" s="46"/>
    </row>
    <row r="8651" spans="59:62" x14ac:dyDescent="0.3">
      <c r="BG8651" s="387"/>
      <c r="BH8651" s="386"/>
      <c r="BI8651" s="386"/>
      <c r="BJ8651" s="46"/>
    </row>
    <row r="8652" spans="59:62" x14ac:dyDescent="0.3">
      <c r="BG8652" s="387"/>
      <c r="BH8652" s="386"/>
      <c r="BI8652" s="386"/>
      <c r="BJ8652" s="46"/>
    </row>
    <row r="8653" spans="59:62" x14ac:dyDescent="0.3">
      <c r="BG8653" s="387"/>
      <c r="BH8653" s="386"/>
      <c r="BI8653" s="386"/>
      <c r="BJ8653" s="46"/>
    </row>
    <row r="8654" spans="59:62" x14ac:dyDescent="0.3">
      <c r="BG8654" s="387"/>
      <c r="BH8654" s="386"/>
      <c r="BI8654" s="386"/>
      <c r="BJ8654" s="46"/>
    </row>
    <row r="8655" spans="59:62" x14ac:dyDescent="0.3">
      <c r="BG8655" s="387"/>
      <c r="BH8655" s="386"/>
      <c r="BI8655" s="386"/>
      <c r="BJ8655" s="46"/>
    </row>
    <row r="8656" spans="59:62" x14ac:dyDescent="0.3">
      <c r="BG8656" s="387"/>
      <c r="BH8656" s="386"/>
      <c r="BI8656" s="386"/>
      <c r="BJ8656" s="46"/>
    </row>
    <row r="8657" spans="59:62" x14ac:dyDescent="0.3">
      <c r="BG8657" s="387"/>
      <c r="BH8657" s="386"/>
      <c r="BI8657" s="386"/>
      <c r="BJ8657" s="46"/>
    </row>
    <row r="8658" spans="59:62" x14ac:dyDescent="0.3">
      <c r="BG8658" s="387"/>
      <c r="BH8658" s="386"/>
      <c r="BI8658" s="386"/>
      <c r="BJ8658" s="46"/>
    </row>
    <row r="8659" spans="59:62" x14ac:dyDescent="0.3">
      <c r="BG8659" s="387"/>
      <c r="BH8659" s="386"/>
      <c r="BI8659" s="386"/>
      <c r="BJ8659" s="46"/>
    </row>
    <row r="8660" spans="59:62" x14ac:dyDescent="0.3">
      <c r="BG8660" s="387"/>
      <c r="BH8660" s="386"/>
      <c r="BI8660" s="386"/>
      <c r="BJ8660" s="46"/>
    </row>
    <row r="8661" spans="59:62" x14ac:dyDescent="0.3">
      <c r="BG8661" s="387"/>
      <c r="BH8661" s="386"/>
      <c r="BI8661" s="386"/>
      <c r="BJ8661" s="46"/>
    </row>
    <row r="8662" spans="59:62" x14ac:dyDescent="0.3">
      <c r="BG8662" s="387"/>
      <c r="BH8662" s="386"/>
      <c r="BI8662" s="386"/>
      <c r="BJ8662" s="46"/>
    </row>
    <row r="8663" spans="59:62" x14ac:dyDescent="0.3">
      <c r="BG8663" s="387"/>
      <c r="BH8663" s="386"/>
      <c r="BI8663" s="386"/>
      <c r="BJ8663" s="46"/>
    </row>
    <row r="8664" spans="59:62" x14ac:dyDescent="0.3">
      <c r="BG8664" s="387"/>
      <c r="BH8664" s="386"/>
      <c r="BI8664" s="386"/>
      <c r="BJ8664" s="46"/>
    </row>
    <row r="8665" spans="59:62" x14ac:dyDescent="0.3">
      <c r="BG8665" s="387"/>
      <c r="BH8665" s="386"/>
      <c r="BI8665" s="386"/>
      <c r="BJ8665" s="46"/>
    </row>
    <row r="8666" spans="59:62" x14ac:dyDescent="0.3">
      <c r="BG8666" s="387"/>
      <c r="BH8666" s="386"/>
      <c r="BI8666" s="386"/>
      <c r="BJ8666" s="46"/>
    </row>
    <row r="8667" spans="59:62" x14ac:dyDescent="0.3">
      <c r="BG8667" s="387"/>
      <c r="BH8667" s="386"/>
      <c r="BI8667" s="386"/>
      <c r="BJ8667" s="46"/>
    </row>
    <row r="8668" spans="59:62" x14ac:dyDescent="0.3">
      <c r="BG8668" s="387"/>
      <c r="BH8668" s="386"/>
      <c r="BI8668" s="386"/>
      <c r="BJ8668" s="46"/>
    </row>
    <row r="8669" spans="59:62" x14ac:dyDescent="0.3">
      <c r="BG8669" s="387"/>
      <c r="BH8669" s="386"/>
      <c r="BI8669" s="386"/>
      <c r="BJ8669" s="46"/>
    </row>
    <row r="8670" spans="59:62" x14ac:dyDescent="0.3">
      <c r="BG8670" s="387"/>
      <c r="BH8670" s="386"/>
      <c r="BI8670" s="386"/>
      <c r="BJ8670" s="46"/>
    </row>
    <row r="8671" spans="59:62" x14ac:dyDescent="0.3">
      <c r="BG8671" s="387"/>
      <c r="BH8671" s="386"/>
      <c r="BI8671" s="386"/>
      <c r="BJ8671" s="46"/>
    </row>
    <row r="8672" spans="59:62" x14ac:dyDescent="0.3">
      <c r="BG8672" s="387"/>
      <c r="BH8672" s="386"/>
      <c r="BI8672" s="386"/>
      <c r="BJ8672" s="46"/>
    </row>
    <row r="8673" spans="59:62" x14ac:dyDescent="0.3">
      <c r="BG8673" s="387"/>
      <c r="BH8673" s="386"/>
      <c r="BI8673" s="386"/>
      <c r="BJ8673" s="46"/>
    </row>
    <row r="8674" spans="59:62" x14ac:dyDescent="0.3">
      <c r="BG8674" s="387"/>
      <c r="BH8674" s="386"/>
      <c r="BI8674" s="386"/>
      <c r="BJ8674" s="46"/>
    </row>
    <row r="8675" spans="59:62" x14ac:dyDescent="0.3">
      <c r="BG8675" s="387"/>
      <c r="BH8675" s="386"/>
      <c r="BI8675" s="386"/>
      <c r="BJ8675" s="46"/>
    </row>
    <row r="8676" spans="59:62" x14ac:dyDescent="0.3">
      <c r="BG8676" s="387"/>
      <c r="BH8676" s="386"/>
      <c r="BI8676" s="386"/>
      <c r="BJ8676" s="46"/>
    </row>
    <row r="8677" spans="59:62" x14ac:dyDescent="0.3">
      <c r="BG8677" s="387"/>
      <c r="BH8677" s="386"/>
      <c r="BI8677" s="386"/>
      <c r="BJ8677" s="46"/>
    </row>
    <row r="8678" spans="59:62" x14ac:dyDescent="0.3">
      <c r="BG8678" s="387"/>
      <c r="BH8678" s="386"/>
      <c r="BI8678" s="386"/>
      <c r="BJ8678" s="46"/>
    </row>
    <row r="8679" spans="59:62" x14ac:dyDescent="0.3">
      <c r="BG8679" s="387"/>
      <c r="BH8679" s="386"/>
      <c r="BI8679" s="386"/>
      <c r="BJ8679" s="46"/>
    </row>
    <row r="8680" spans="59:62" x14ac:dyDescent="0.3">
      <c r="BG8680" s="387"/>
      <c r="BH8680" s="386"/>
      <c r="BI8680" s="386"/>
      <c r="BJ8680" s="46"/>
    </row>
    <row r="8681" spans="59:62" x14ac:dyDescent="0.3">
      <c r="BG8681" s="387"/>
      <c r="BH8681" s="386"/>
      <c r="BI8681" s="386"/>
      <c r="BJ8681" s="46"/>
    </row>
    <row r="8682" spans="59:62" x14ac:dyDescent="0.3">
      <c r="BG8682" s="387"/>
      <c r="BH8682" s="386"/>
      <c r="BI8682" s="386"/>
      <c r="BJ8682" s="46"/>
    </row>
    <row r="8683" spans="59:62" x14ac:dyDescent="0.3">
      <c r="BG8683" s="387"/>
      <c r="BH8683" s="386"/>
      <c r="BI8683" s="386"/>
      <c r="BJ8683" s="46"/>
    </row>
    <row r="8684" spans="59:62" x14ac:dyDescent="0.3">
      <c r="BG8684" s="387"/>
      <c r="BH8684" s="386"/>
      <c r="BI8684" s="386"/>
      <c r="BJ8684" s="46"/>
    </row>
    <row r="8685" spans="59:62" x14ac:dyDescent="0.3">
      <c r="BG8685" s="387"/>
      <c r="BH8685" s="386"/>
      <c r="BI8685" s="386"/>
      <c r="BJ8685" s="46"/>
    </row>
    <row r="8686" spans="59:62" x14ac:dyDescent="0.3">
      <c r="BG8686" s="387"/>
      <c r="BH8686" s="386"/>
      <c r="BI8686" s="386"/>
      <c r="BJ8686" s="46"/>
    </row>
    <row r="8687" spans="59:62" x14ac:dyDescent="0.3">
      <c r="BG8687" s="387"/>
      <c r="BH8687" s="386"/>
      <c r="BI8687" s="386"/>
      <c r="BJ8687" s="46"/>
    </row>
    <row r="8688" spans="59:62" x14ac:dyDescent="0.3">
      <c r="BG8688" s="387"/>
      <c r="BH8688" s="386"/>
      <c r="BI8688" s="386"/>
      <c r="BJ8688" s="46"/>
    </row>
    <row r="8689" spans="59:62" x14ac:dyDescent="0.3">
      <c r="BG8689" s="387"/>
      <c r="BH8689" s="386"/>
      <c r="BI8689" s="386"/>
      <c r="BJ8689" s="46"/>
    </row>
    <row r="8690" spans="59:62" x14ac:dyDescent="0.3">
      <c r="BG8690" s="387"/>
      <c r="BH8690" s="386"/>
      <c r="BI8690" s="386"/>
      <c r="BJ8690" s="46"/>
    </row>
    <row r="8691" spans="59:62" x14ac:dyDescent="0.3">
      <c r="BG8691" s="387"/>
      <c r="BH8691" s="386"/>
      <c r="BI8691" s="386"/>
      <c r="BJ8691" s="46"/>
    </row>
    <row r="8692" spans="59:62" x14ac:dyDescent="0.3">
      <c r="BG8692" s="387"/>
      <c r="BH8692" s="386"/>
      <c r="BI8692" s="386"/>
      <c r="BJ8692" s="46"/>
    </row>
    <row r="8693" spans="59:62" x14ac:dyDescent="0.3">
      <c r="BG8693" s="387"/>
      <c r="BH8693" s="386"/>
      <c r="BI8693" s="386"/>
      <c r="BJ8693" s="46"/>
    </row>
    <row r="8694" spans="59:62" x14ac:dyDescent="0.3">
      <c r="BG8694" s="387"/>
      <c r="BH8694" s="386"/>
      <c r="BI8694" s="386"/>
      <c r="BJ8694" s="46"/>
    </row>
    <row r="8695" spans="59:62" x14ac:dyDescent="0.3">
      <c r="BG8695" s="387"/>
      <c r="BH8695" s="386"/>
      <c r="BI8695" s="386"/>
      <c r="BJ8695" s="46"/>
    </row>
    <row r="8696" spans="59:62" x14ac:dyDescent="0.3">
      <c r="BG8696" s="387"/>
      <c r="BH8696" s="386"/>
      <c r="BI8696" s="386"/>
      <c r="BJ8696" s="46"/>
    </row>
    <row r="8697" spans="59:62" x14ac:dyDescent="0.3">
      <c r="BG8697" s="387"/>
      <c r="BH8697" s="386"/>
      <c r="BI8697" s="386"/>
      <c r="BJ8697" s="46"/>
    </row>
    <row r="8698" spans="59:62" x14ac:dyDescent="0.3">
      <c r="BG8698" s="387"/>
      <c r="BH8698" s="386"/>
      <c r="BI8698" s="386"/>
      <c r="BJ8698" s="46"/>
    </row>
    <row r="8699" spans="59:62" x14ac:dyDescent="0.3">
      <c r="BG8699" s="387"/>
      <c r="BH8699" s="386"/>
      <c r="BI8699" s="386"/>
      <c r="BJ8699" s="46"/>
    </row>
    <row r="8700" spans="59:62" x14ac:dyDescent="0.3">
      <c r="BG8700" s="387"/>
      <c r="BH8700" s="386"/>
      <c r="BI8700" s="386"/>
      <c r="BJ8700" s="46"/>
    </row>
    <row r="8701" spans="59:62" x14ac:dyDescent="0.3">
      <c r="BG8701" s="387"/>
      <c r="BH8701" s="386"/>
      <c r="BI8701" s="386"/>
      <c r="BJ8701" s="46"/>
    </row>
    <row r="8702" spans="59:62" x14ac:dyDescent="0.3">
      <c r="BG8702" s="387"/>
      <c r="BH8702" s="386"/>
      <c r="BI8702" s="386"/>
      <c r="BJ8702" s="46"/>
    </row>
    <row r="8703" spans="59:62" x14ac:dyDescent="0.3">
      <c r="BG8703" s="387"/>
      <c r="BH8703" s="386"/>
      <c r="BI8703" s="386"/>
      <c r="BJ8703" s="46"/>
    </row>
    <row r="8704" spans="59:62" x14ac:dyDescent="0.3">
      <c r="BG8704" s="387"/>
      <c r="BH8704" s="386"/>
      <c r="BI8704" s="386"/>
      <c r="BJ8704" s="46"/>
    </row>
    <row r="8705" spans="59:62" x14ac:dyDescent="0.3">
      <c r="BG8705" s="387"/>
      <c r="BH8705" s="386"/>
      <c r="BI8705" s="386"/>
      <c r="BJ8705" s="46"/>
    </row>
    <row r="8706" spans="59:62" x14ac:dyDescent="0.3">
      <c r="BG8706" s="387"/>
      <c r="BH8706" s="386"/>
      <c r="BI8706" s="386"/>
      <c r="BJ8706" s="46"/>
    </row>
    <row r="8707" spans="59:62" x14ac:dyDescent="0.3">
      <c r="BG8707" s="387"/>
      <c r="BH8707" s="386"/>
      <c r="BI8707" s="386"/>
      <c r="BJ8707" s="46"/>
    </row>
    <row r="8708" spans="59:62" x14ac:dyDescent="0.3">
      <c r="BG8708" s="387"/>
      <c r="BH8708" s="386"/>
      <c r="BI8708" s="386"/>
      <c r="BJ8708" s="46"/>
    </row>
    <row r="8709" spans="59:62" x14ac:dyDescent="0.3">
      <c r="BG8709" s="387"/>
      <c r="BH8709" s="386"/>
      <c r="BI8709" s="386"/>
      <c r="BJ8709" s="46"/>
    </row>
    <row r="8710" spans="59:62" x14ac:dyDescent="0.3">
      <c r="BG8710" s="387"/>
      <c r="BH8710" s="386"/>
      <c r="BI8710" s="386"/>
      <c r="BJ8710" s="46"/>
    </row>
    <row r="8711" spans="59:62" x14ac:dyDescent="0.3">
      <c r="BG8711" s="387"/>
      <c r="BH8711" s="386"/>
      <c r="BI8711" s="386"/>
      <c r="BJ8711" s="46"/>
    </row>
    <row r="8712" spans="59:62" x14ac:dyDescent="0.3">
      <c r="BG8712" s="387"/>
      <c r="BH8712" s="386"/>
      <c r="BI8712" s="386"/>
      <c r="BJ8712" s="46"/>
    </row>
    <row r="8713" spans="59:62" x14ac:dyDescent="0.3">
      <c r="BG8713" s="387"/>
      <c r="BH8713" s="386"/>
      <c r="BI8713" s="386"/>
      <c r="BJ8713" s="46"/>
    </row>
    <row r="8714" spans="59:62" x14ac:dyDescent="0.3">
      <c r="BG8714" s="387"/>
      <c r="BH8714" s="386"/>
      <c r="BI8714" s="386"/>
      <c r="BJ8714" s="46"/>
    </row>
    <row r="8715" spans="59:62" x14ac:dyDescent="0.3">
      <c r="BG8715" s="387"/>
      <c r="BH8715" s="386"/>
      <c r="BI8715" s="386"/>
      <c r="BJ8715" s="46"/>
    </row>
    <row r="8716" spans="59:62" x14ac:dyDescent="0.3">
      <c r="BG8716" s="387"/>
      <c r="BH8716" s="386"/>
      <c r="BI8716" s="386"/>
      <c r="BJ8716" s="46"/>
    </row>
    <row r="8717" spans="59:62" x14ac:dyDescent="0.3">
      <c r="BG8717" s="387"/>
      <c r="BH8717" s="386"/>
      <c r="BI8717" s="386"/>
      <c r="BJ8717" s="46"/>
    </row>
    <row r="8718" spans="59:62" x14ac:dyDescent="0.3">
      <c r="BG8718" s="387"/>
      <c r="BH8718" s="386"/>
      <c r="BI8718" s="386"/>
      <c r="BJ8718" s="46"/>
    </row>
    <row r="8719" spans="59:62" x14ac:dyDescent="0.3">
      <c r="BG8719" s="387"/>
      <c r="BH8719" s="386"/>
      <c r="BI8719" s="386"/>
      <c r="BJ8719" s="46"/>
    </row>
    <row r="8720" spans="59:62" x14ac:dyDescent="0.3">
      <c r="BG8720" s="387"/>
      <c r="BH8720" s="386"/>
      <c r="BI8720" s="386"/>
      <c r="BJ8720" s="46"/>
    </row>
    <row r="8721" spans="59:62" x14ac:dyDescent="0.3">
      <c r="BG8721" s="387"/>
      <c r="BH8721" s="386"/>
      <c r="BI8721" s="386"/>
      <c r="BJ8721" s="46"/>
    </row>
    <row r="8722" spans="59:62" x14ac:dyDescent="0.3">
      <c r="BG8722" s="387"/>
      <c r="BH8722" s="386"/>
      <c r="BI8722" s="386"/>
      <c r="BJ8722" s="46"/>
    </row>
    <row r="8723" spans="59:62" x14ac:dyDescent="0.3">
      <c r="BG8723" s="387"/>
      <c r="BH8723" s="386"/>
      <c r="BI8723" s="386"/>
      <c r="BJ8723" s="46"/>
    </row>
    <row r="8724" spans="59:62" x14ac:dyDescent="0.3">
      <c r="BG8724" s="387"/>
      <c r="BH8724" s="386"/>
      <c r="BI8724" s="386"/>
      <c r="BJ8724" s="46"/>
    </row>
    <row r="8725" spans="59:62" x14ac:dyDescent="0.3">
      <c r="BG8725" s="387"/>
      <c r="BH8725" s="386"/>
      <c r="BI8725" s="386"/>
      <c r="BJ8725" s="46"/>
    </row>
    <row r="8726" spans="59:62" x14ac:dyDescent="0.3">
      <c r="BG8726" s="387"/>
      <c r="BH8726" s="386"/>
      <c r="BI8726" s="386"/>
      <c r="BJ8726" s="46"/>
    </row>
    <row r="8727" spans="59:62" x14ac:dyDescent="0.3">
      <c r="BG8727" s="387"/>
      <c r="BH8727" s="386"/>
      <c r="BI8727" s="386"/>
      <c r="BJ8727" s="46"/>
    </row>
    <row r="8728" spans="59:62" x14ac:dyDescent="0.3">
      <c r="BG8728" s="387"/>
      <c r="BH8728" s="386"/>
      <c r="BI8728" s="386"/>
      <c r="BJ8728" s="46"/>
    </row>
    <row r="8729" spans="59:62" x14ac:dyDescent="0.3">
      <c r="BG8729" s="387"/>
      <c r="BH8729" s="386"/>
      <c r="BI8729" s="386"/>
      <c r="BJ8729" s="46"/>
    </row>
    <row r="8730" spans="59:62" x14ac:dyDescent="0.3">
      <c r="BG8730" s="387"/>
      <c r="BH8730" s="386"/>
      <c r="BI8730" s="386"/>
      <c r="BJ8730" s="46"/>
    </row>
    <row r="8731" spans="59:62" x14ac:dyDescent="0.3">
      <c r="BG8731" s="387"/>
      <c r="BH8731" s="386"/>
      <c r="BI8731" s="386"/>
      <c r="BJ8731" s="46"/>
    </row>
    <row r="8732" spans="59:62" x14ac:dyDescent="0.3">
      <c r="BG8732" s="387"/>
      <c r="BH8732" s="386"/>
      <c r="BI8732" s="386"/>
      <c r="BJ8732" s="46"/>
    </row>
    <row r="8733" spans="59:62" x14ac:dyDescent="0.3">
      <c r="BG8733" s="387"/>
      <c r="BH8733" s="386"/>
      <c r="BI8733" s="386"/>
      <c r="BJ8733" s="46"/>
    </row>
    <row r="8734" spans="59:62" x14ac:dyDescent="0.3">
      <c r="BG8734" s="387"/>
      <c r="BH8734" s="386"/>
      <c r="BI8734" s="386"/>
      <c r="BJ8734" s="46"/>
    </row>
    <row r="8735" spans="59:62" x14ac:dyDescent="0.3">
      <c r="BG8735" s="387"/>
      <c r="BH8735" s="386"/>
      <c r="BI8735" s="386"/>
      <c r="BJ8735" s="46"/>
    </row>
    <row r="8736" spans="59:62" x14ac:dyDescent="0.3">
      <c r="BG8736" s="387"/>
      <c r="BH8736" s="386"/>
      <c r="BI8736" s="386"/>
      <c r="BJ8736" s="46"/>
    </row>
    <row r="8737" spans="59:62" x14ac:dyDescent="0.3">
      <c r="BG8737" s="387"/>
      <c r="BH8737" s="386"/>
      <c r="BI8737" s="386"/>
      <c r="BJ8737" s="46"/>
    </row>
    <row r="8738" spans="59:62" x14ac:dyDescent="0.3">
      <c r="BG8738" s="387"/>
      <c r="BH8738" s="386"/>
      <c r="BI8738" s="386"/>
      <c r="BJ8738" s="46"/>
    </row>
    <row r="8739" spans="59:62" x14ac:dyDescent="0.3">
      <c r="BG8739" s="387"/>
      <c r="BH8739" s="386"/>
      <c r="BI8739" s="386"/>
      <c r="BJ8739" s="46"/>
    </row>
    <row r="8740" spans="59:62" x14ac:dyDescent="0.3">
      <c r="BG8740" s="387"/>
      <c r="BH8740" s="386"/>
      <c r="BI8740" s="386"/>
      <c r="BJ8740" s="46"/>
    </row>
    <row r="8741" spans="59:62" x14ac:dyDescent="0.3">
      <c r="BG8741" s="387"/>
      <c r="BH8741" s="386"/>
      <c r="BI8741" s="386"/>
      <c r="BJ8741" s="46"/>
    </row>
    <row r="8742" spans="59:62" x14ac:dyDescent="0.3">
      <c r="BG8742" s="387"/>
      <c r="BH8742" s="386"/>
      <c r="BI8742" s="386"/>
      <c r="BJ8742" s="46"/>
    </row>
    <row r="8743" spans="59:62" x14ac:dyDescent="0.3">
      <c r="BG8743" s="387"/>
      <c r="BH8743" s="386"/>
      <c r="BI8743" s="386"/>
      <c r="BJ8743" s="46"/>
    </row>
    <row r="8744" spans="59:62" x14ac:dyDescent="0.3">
      <c r="BG8744" s="387"/>
      <c r="BH8744" s="386"/>
      <c r="BI8744" s="386"/>
      <c r="BJ8744" s="46"/>
    </row>
    <row r="8745" spans="59:62" x14ac:dyDescent="0.3">
      <c r="BG8745" s="387"/>
      <c r="BH8745" s="386"/>
      <c r="BI8745" s="386"/>
      <c r="BJ8745" s="46"/>
    </row>
    <row r="8746" spans="59:62" x14ac:dyDescent="0.3">
      <c r="BG8746" s="387"/>
      <c r="BH8746" s="386"/>
      <c r="BI8746" s="386"/>
      <c r="BJ8746" s="46"/>
    </row>
    <row r="8747" spans="59:62" x14ac:dyDescent="0.3">
      <c r="BG8747" s="387"/>
      <c r="BH8747" s="386"/>
      <c r="BI8747" s="386"/>
      <c r="BJ8747" s="46"/>
    </row>
    <row r="8748" spans="59:62" x14ac:dyDescent="0.3">
      <c r="BG8748" s="387"/>
      <c r="BH8748" s="386"/>
      <c r="BI8748" s="386"/>
      <c r="BJ8748" s="46"/>
    </row>
    <row r="8749" spans="59:62" x14ac:dyDescent="0.3">
      <c r="BG8749" s="387"/>
      <c r="BH8749" s="386"/>
      <c r="BI8749" s="386"/>
      <c r="BJ8749" s="46"/>
    </row>
    <row r="8750" spans="59:62" x14ac:dyDescent="0.3">
      <c r="BG8750" s="387"/>
      <c r="BH8750" s="386"/>
      <c r="BI8750" s="386"/>
      <c r="BJ8750" s="46"/>
    </row>
    <row r="8751" spans="59:62" x14ac:dyDescent="0.3">
      <c r="BG8751" s="387"/>
      <c r="BH8751" s="386"/>
      <c r="BI8751" s="386"/>
      <c r="BJ8751" s="46"/>
    </row>
    <row r="8752" spans="59:62" x14ac:dyDescent="0.3">
      <c r="BG8752" s="387"/>
      <c r="BH8752" s="386"/>
      <c r="BI8752" s="386"/>
      <c r="BJ8752" s="46"/>
    </row>
    <row r="8753" spans="59:62" x14ac:dyDescent="0.3">
      <c r="BG8753" s="387"/>
      <c r="BH8753" s="386"/>
      <c r="BI8753" s="386"/>
      <c r="BJ8753" s="46"/>
    </row>
    <row r="8754" spans="59:62" x14ac:dyDescent="0.3">
      <c r="BG8754" s="387"/>
      <c r="BH8754" s="386"/>
      <c r="BI8754" s="386"/>
      <c r="BJ8754" s="46"/>
    </row>
    <row r="8755" spans="59:62" x14ac:dyDescent="0.3">
      <c r="BG8755" s="387"/>
      <c r="BH8755" s="386"/>
      <c r="BI8755" s="386"/>
      <c r="BJ8755" s="46"/>
    </row>
    <row r="8756" spans="59:62" x14ac:dyDescent="0.3">
      <c r="BG8756" s="387"/>
      <c r="BH8756" s="386"/>
      <c r="BI8756" s="386"/>
      <c r="BJ8756" s="46"/>
    </row>
    <row r="8757" spans="59:62" x14ac:dyDescent="0.3">
      <c r="BG8757" s="387"/>
      <c r="BH8757" s="386"/>
      <c r="BI8757" s="386"/>
      <c r="BJ8757" s="46"/>
    </row>
    <row r="8758" spans="59:62" x14ac:dyDescent="0.3">
      <c r="BG8758" s="387"/>
      <c r="BH8758" s="386"/>
      <c r="BI8758" s="386"/>
      <c r="BJ8758" s="46"/>
    </row>
    <row r="8759" spans="59:62" x14ac:dyDescent="0.3">
      <c r="BG8759" s="387"/>
      <c r="BH8759" s="386"/>
      <c r="BI8759" s="386"/>
      <c r="BJ8759" s="46"/>
    </row>
    <row r="8760" spans="59:62" x14ac:dyDescent="0.3">
      <c r="BG8760" s="387"/>
      <c r="BH8760" s="386"/>
      <c r="BI8760" s="386"/>
      <c r="BJ8760" s="46"/>
    </row>
    <row r="8761" spans="59:62" x14ac:dyDescent="0.3">
      <c r="BG8761" s="387"/>
      <c r="BH8761" s="386"/>
      <c r="BI8761" s="386"/>
      <c r="BJ8761" s="46"/>
    </row>
    <row r="8762" spans="59:62" x14ac:dyDescent="0.3">
      <c r="BG8762" s="387"/>
      <c r="BH8762" s="386"/>
      <c r="BI8762" s="386"/>
      <c r="BJ8762" s="46"/>
    </row>
    <row r="8763" spans="59:62" x14ac:dyDescent="0.3">
      <c r="BG8763" s="387"/>
      <c r="BH8763" s="386"/>
      <c r="BI8763" s="386"/>
      <c r="BJ8763" s="46"/>
    </row>
    <row r="8764" spans="59:62" x14ac:dyDescent="0.3">
      <c r="BG8764" s="387"/>
      <c r="BH8764" s="386"/>
      <c r="BI8764" s="386"/>
      <c r="BJ8764" s="46"/>
    </row>
    <row r="8765" spans="59:62" x14ac:dyDescent="0.3">
      <c r="BG8765" s="387"/>
      <c r="BH8765" s="386"/>
      <c r="BI8765" s="386"/>
      <c r="BJ8765" s="46"/>
    </row>
    <row r="8766" spans="59:62" x14ac:dyDescent="0.3">
      <c r="BG8766" s="387"/>
      <c r="BH8766" s="386"/>
      <c r="BI8766" s="386"/>
      <c r="BJ8766" s="46"/>
    </row>
    <row r="8767" spans="59:62" x14ac:dyDescent="0.3">
      <c r="BG8767" s="387"/>
      <c r="BH8767" s="386"/>
      <c r="BI8767" s="386"/>
      <c r="BJ8767" s="46"/>
    </row>
    <row r="8768" spans="59:62" x14ac:dyDescent="0.3">
      <c r="BG8768" s="387"/>
      <c r="BH8768" s="386"/>
      <c r="BI8768" s="386"/>
      <c r="BJ8768" s="46"/>
    </row>
    <row r="8769" spans="59:62" x14ac:dyDescent="0.3">
      <c r="BG8769" s="387"/>
      <c r="BH8769" s="386"/>
      <c r="BI8769" s="386"/>
      <c r="BJ8769" s="46"/>
    </row>
    <row r="8770" spans="59:62" x14ac:dyDescent="0.3">
      <c r="BG8770" s="387"/>
      <c r="BH8770" s="386"/>
      <c r="BI8770" s="386"/>
      <c r="BJ8770" s="46"/>
    </row>
    <row r="8771" spans="59:62" x14ac:dyDescent="0.3">
      <c r="BG8771" s="387"/>
      <c r="BH8771" s="386"/>
      <c r="BI8771" s="386"/>
      <c r="BJ8771" s="46"/>
    </row>
    <row r="8772" spans="59:62" x14ac:dyDescent="0.3">
      <c r="BG8772" s="387"/>
      <c r="BH8772" s="386"/>
      <c r="BI8772" s="386"/>
      <c r="BJ8772" s="46"/>
    </row>
    <row r="8773" spans="59:62" x14ac:dyDescent="0.3">
      <c r="BG8773" s="387"/>
      <c r="BH8773" s="386"/>
      <c r="BI8773" s="386"/>
      <c r="BJ8773" s="46"/>
    </row>
    <row r="8774" spans="59:62" x14ac:dyDescent="0.3">
      <c r="BG8774" s="387"/>
      <c r="BH8774" s="386"/>
      <c r="BI8774" s="386"/>
      <c r="BJ8774" s="46"/>
    </row>
    <row r="8775" spans="59:62" x14ac:dyDescent="0.3">
      <c r="BG8775" s="387"/>
      <c r="BH8775" s="386"/>
      <c r="BI8775" s="386"/>
      <c r="BJ8775" s="46"/>
    </row>
    <row r="8776" spans="59:62" x14ac:dyDescent="0.3">
      <c r="BG8776" s="387"/>
      <c r="BH8776" s="386"/>
      <c r="BI8776" s="386"/>
      <c r="BJ8776" s="46"/>
    </row>
    <row r="8777" spans="59:62" x14ac:dyDescent="0.3">
      <c r="BG8777" s="387"/>
      <c r="BH8777" s="386"/>
      <c r="BI8777" s="386"/>
      <c r="BJ8777" s="46"/>
    </row>
    <row r="8778" spans="59:62" x14ac:dyDescent="0.3">
      <c r="BG8778" s="387"/>
      <c r="BH8778" s="386"/>
      <c r="BI8778" s="386"/>
      <c r="BJ8778" s="46"/>
    </row>
    <row r="8779" spans="59:62" x14ac:dyDescent="0.3">
      <c r="BG8779" s="387"/>
      <c r="BH8779" s="386"/>
      <c r="BI8779" s="386"/>
      <c r="BJ8779" s="46"/>
    </row>
    <row r="8780" spans="59:62" x14ac:dyDescent="0.3">
      <c r="BG8780" s="387"/>
      <c r="BH8780" s="386"/>
      <c r="BI8780" s="386"/>
      <c r="BJ8780" s="46"/>
    </row>
    <row r="8781" spans="59:62" x14ac:dyDescent="0.3">
      <c r="BG8781" s="387"/>
      <c r="BH8781" s="386"/>
      <c r="BI8781" s="386"/>
      <c r="BJ8781" s="46"/>
    </row>
    <row r="8782" spans="59:62" x14ac:dyDescent="0.3">
      <c r="BG8782" s="387"/>
      <c r="BH8782" s="386"/>
      <c r="BI8782" s="386"/>
      <c r="BJ8782" s="46"/>
    </row>
    <row r="8783" spans="59:62" x14ac:dyDescent="0.3">
      <c r="BG8783" s="387"/>
      <c r="BH8783" s="386"/>
      <c r="BI8783" s="386"/>
      <c r="BJ8783" s="46"/>
    </row>
    <row r="8784" spans="59:62" x14ac:dyDescent="0.3">
      <c r="BG8784" s="387"/>
      <c r="BH8784" s="386"/>
      <c r="BI8784" s="386"/>
      <c r="BJ8784" s="46"/>
    </row>
    <row r="8785" spans="59:62" x14ac:dyDescent="0.3">
      <c r="BG8785" s="387"/>
      <c r="BH8785" s="386"/>
      <c r="BI8785" s="386"/>
      <c r="BJ8785" s="46"/>
    </row>
    <row r="8786" spans="59:62" x14ac:dyDescent="0.3">
      <c r="BG8786" s="387"/>
      <c r="BH8786" s="386"/>
      <c r="BI8786" s="386"/>
      <c r="BJ8786" s="46"/>
    </row>
    <row r="8787" spans="59:62" x14ac:dyDescent="0.3">
      <c r="BG8787" s="387"/>
      <c r="BH8787" s="386"/>
      <c r="BI8787" s="386"/>
      <c r="BJ8787" s="46"/>
    </row>
    <row r="8788" spans="59:62" x14ac:dyDescent="0.3">
      <c r="BG8788" s="387"/>
      <c r="BH8788" s="386"/>
      <c r="BI8788" s="386"/>
      <c r="BJ8788" s="46"/>
    </row>
    <row r="8789" spans="59:62" x14ac:dyDescent="0.3">
      <c r="BG8789" s="387"/>
      <c r="BH8789" s="386"/>
      <c r="BI8789" s="386"/>
      <c r="BJ8789" s="46"/>
    </row>
    <row r="8790" spans="59:62" x14ac:dyDescent="0.3">
      <c r="BG8790" s="387"/>
      <c r="BH8790" s="386"/>
      <c r="BI8790" s="386"/>
      <c r="BJ8790" s="46"/>
    </row>
    <row r="8791" spans="59:62" x14ac:dyDescent="0.3">
      <c r="BG8791" s="387"/>
      <c r="BH8791" s="386"/>
      <c r="BI8791" s="386"/>
      <c r="BJ8791" s="46"/>
    </row>
    <row r="8792" spans="59:62" x14ac:dyDescent="0.3">
      <c r="BG8792" s="387"/>
      <c r="BH8792" s="386"/>
      <c r="BI8792" s="386"/>
      <c r="BJ8792" s="46"/>
    </row>
    <row r="8793" spans="59:62" x14ac:dyDescent="0.3">
      <c r="BG8793" s="387"/>
      <c r="BH8793" s="386"/>
      <c r="BI8793" s="386"/>
      <c r="BJ8793" s="46"/>
    </row>
    <row r="8794" spans="59:62" x14ac:dyDescent="0.3">
      <c r="BG8794" s="387"/>
      <c r="BH8794" s="386"/>
      <c r="BI8794" s="386"/>
      <c r="BJ8794" s="46"/>
    </row>
    <row r="8795" spans="59:62" x14ac:dyDescent="0.3">
      <c r="BG8795" s="387"/>
      <c r="BH8795" s="386"/>
      <c r="BI8795" s="386"/>
      <c r="BJ8795" s="46"/>
    </row>
    <row r="8796" spans="59:62" x14ac:dyDescent="0.3">
      <c r="BG8796" s="387"/>
      <c r="BH8796" s="386"/>
      <c r="BI8796" s="386"/>
      <c r="BJ8796" s="46"/>
    </row>
    <row r="8797" spans="59:62" x14ac:dyDescent="0.3">
      <c r="BG8797" s="387"/>
      <c r="BH8797" s="386"/>
      <c r="BI8797" s="386"/>
      <c r="BJ8797" s="46"/>
    </row>
    <row r="8798" spans="59:62" x14ac:dyDescent="0.3">
      <c r="BG8798" s="387"/>
      <c r="BH8798" s="386"/>
      <c r="BI8798" s="386"/>
      <c r="BJ8798" s="46"/>
    </row>
    <row r="8799" spans="59:62" x14ac:dyDescent="0.3">
      <c r="BG8799" s="387"/>
      <c r="BH8799" s="386"/>
      <c r="BI8799" s="386"/>
      <c r="BJ8799" s="46"/>
    </row>
    <row r="8800" spans="59:62" x14ac:dyDescent="0.3">
      <c r="BG8800" s="387"/>
      <c r="BH8800" s="386"/>
      <c r="BI8800" s="386"/>
      <c r="BJ8800" s="46"/>
    </row>
    <row r="8801" spans="59:62" x14ac:dyDescent="0.3">
      <c r="BG8801" s="387"/>
      <c r="BH8801" s="386"/>
      <c r="BI8801" s="386"/>
      <c r="BJ8801" s="46"/>
    </row>
    <row r="8802" spans="59:62" x14ac:dyDescent="0.3">
      <c r="BG8802" s="387"/>
      <c r="BH8802" s="386"/>
      <c r="BI8802" s="386"/>
      <c r="BJ8802" s="46"/>
    </row>
    <row r="8803" spans="59:62" x14ac:dyDescent="0.3">
      <c r="BG8803" s="387"/>
      <c r="BH8803" s="386"/>
      <c r="BI8803" s="386"/>
      <c r="BJ8803" s="46"/>
    </row>
    <row r="8804" spans="59:62" x14ac:dyDescent="0.3">
      <c r="BG8804" s="387"/>
      <c r="BH8804" s="386"/>
      <c r="BI8804" s="386"/>
      <c r="BJ8804" s="46"/>
    </row>
    <row r="8805" spans="59:62" x14ac:dyDescent="0.3">
      <c r="BG8805" s="387"/>
      <c r="BH8805" s="386"/>
      <c r="BI8805" s="386"/>
      <c r="BJ8805" s="46"/>
    </row>
    <row r="8806" spans="59:62" x14ac:dyDescent="0.3">
      <c r="BG8806" s="387"/>
      <c r="BH8806" s="386"/>
      <c r="BI8806" s="386"/>
      <c r="BJ8806" s="46"/>
    </row>
    <row r="8807" spans="59:62" x14ac:dyDescent="0.3">
      <c r="BG8807" s="387"/>
      <c r="BH8807" s="386"/>
      <c r="BI8807" s="386"/>
      <c r="BJ8807" s="46"/>
    </row>
    <row r="8808" spans="59:62" x14ac:dyDescent="0.3">
      <c r="BG8808" s="387"/>
      <c r="BH8808" s="386"/>
      <c r="BI8808" s="386"/>
      <c r="BJ8808" s="46"/>
    </row>
    <row r="8809" spans="59:62" x14ac:dyDescent="0.3">
      <c r="BG8809" s="387"/>
      <c r="BH8809" s="386"/>
      <c r="BI8809" s="386"/>
      <c r="BJ8809" s="46"/>
    </row>
    <row r="8810" spans="59:62" x14ac:dyDescent="0.3">
      <c r="BG8810" s="387"/>
      <c r="BH8810" s="386"/>
      <c r="BI8810" s="386"/>
      <c r="BJ8810" s="46"/>
    </row>
    <row r="8811" spans="59:62" x14ac:dyDescent="0.3">
      <c r="BG8811" s="387"/>
      <c r="BH8811" s="386"/>
      <c r="BI8811" s="386"/>
      <c r="BJ8811" s="46"/>
    </row>
    <row r="8812" spans="59:62" x14ac:dyDescent="0.3">
      <c r="BG8812" s="387"/>
      <c r="BH8812" s="386"/>
      <c r="BI8812" s="386"/>
      <c r="BJ8812" s="46"/>
    </row>
    <row r="8813" spans="59:62" x14ac:dyDescent="0.3">
      <c r="BG8813" s="387"/>
      <c r="BH8813" s="386"/>
      <c r="BI8813" s="386"/>
      <c r="BJ8813" s="46"/>
    </row>
    <row r="8814" spans="59:62" x14ac:dyDescent="0.3">
      <c r="BG8814" s="387"/>
      <c r="BH8814" s="386"/>
      <c r="BI8814" s="386"/>
      <c r="BJ8814" s="46"/>
    </row>
    <row r="8815" spans="59:62" x14ac:dyDescent="0.3">
      <c r="BG8815" s="387"/>
      <c r="BH8815" s="386"/>
      <c r="BI8815" s="386"/>
      <c r="BJ8815" s="46"/>
    </row>
    <row r="8816" spans="59:62" x14ac:dyDescent="0.3">
      <c r="BG8816" s="387"/>
      <c r="BH8816" s="386"/>
      <c r="BI8816" s="386"/>
      <c r="BJ8816" s="46"/>
    </row>
    <row r="8817" spans="59:62" x14ac:dyDescent="0.3">
      <c r="BG8817" s="387"/>
      <c r="BH8817" s="386"/>
      <c r="BI8817" s="386"/>
      <c r="BJ8817" s="46"/>
    </row>
    <row r="8818" spans="59:62" x14ac:dyDescent="0.3">
      <c r="BG8818" s="387"/>
      <c r="BH8818" s="386"/>
      <c r="BI8818" s="386"/>
      <c r="BJ8818" s="46"/>
    </row>
    <row r="8819" spans="59:62" x14ac:dyDescent="0.3">
      <c r="BG8819" s="387"/>
      <c r="BH8819" s="386"/>
      <c r="BI8819" s="386"/>
      <c r="BJ8819" s="46"/>
    </row>
    <row r="8820" spans="59:62" x14ac:dyDescent="0.3">
      <c r="BG8820" s="387"/>
      <c r="BH8820" s="386"/>
      <c r="BI8820" s="386"/>
      <c r="BJ8820" s="46"/>
    </row>
    <row r="8821" spans="59:62" x14ac:dyDescent="0.3">
      <c r="BG8821" s="387"/>
      <c r="BH8821" s="386"/>
      <c r="BI8821" s="386"/>
      <c r="BJ8821" s="46"/>
    </row>
    <row r="8822" spans="59:62" x14ac:dyDescent="0.3">
      <c r="BG8822" s="387"/>
      <c r="BH8822" s="386"/>
      <c r="BI8822" s="386"/>
      <c r="BJ8822" s="46"/>
    </row>
    <row r="8823" spans="59:62" x14ac:dyDescent="0.3">
      <c r="BG8823" s="387"/>
      <c r="BH8823" s="386"/>
      <c r="BI8823" s="386"/>
      <c r="BJ8823" s="46"/>
    </row>
    <row r="8824" spans="59:62" x14ac:dyDescent="0.3">
      <c r="BG8824" s="387"/>
      <c r="BH8824" s="386"/>
      <c r="BI8824" s="386"/>
      <c r="BJ8824" s="46"/>
    </row>
    <row r="8825" spans="59:62" x14ac:dyDescent="0.3">
      <c r="BG8825" s="387"/>
      <c r="BH8825" s="386"/>
      <c r="BI8825" s="386"/>
      <c r="BJ8825" s="46"/>
    </row>
    <row r="8826" spans="59:62" x14ac:dyDescent="0.3">
      <c r="BG8826" s="387"/>
      <c r="BH8826" s="386"/>
      <c r="BI8826" s="386"/>
      <c r="BJ8826" s="46"/>
    </row>
    <row r="8827" spans="59:62" x14ac:dyDescent="0.3">
      <c r="BG8827" s="387"/>
      <c r="BH8827" s="386"/>
      <c r="BI8827" s="386"/>
      <c r="BJ8827" s="46"/>
    </row>
    <row r="8828" spans="59:62" x14ac:dyDescent="0.3">
      <c r="BG8828" s="387"/>
      <c r="BH8828" s="386"/>
      <c r="BI8828" s="386"/>
      <c r="BJ8828" s="46"/>
    </row>
    <row r="8829" spans="59:62" x14ac:dyDescent="0.3">
      <c r="BG8829" s="387"/>
      <c r="BH8829" s="386"/>
      <c r="BI8829" s="386"/>
      <c r="BJ8829" s="46"/>
    </row>
    <row r="8830" spans="59:62" x14ac:dyDescent="0.3">
      <c r="BG8830" s="387"/>
      <c r="BH8830" s="386"/>
      <c r="BI8830" s="386"/>
      <c r="BJ8830" s="46"/>
    </row>
    <row r="8831" spans="59:62" x14ac:dyDescent="0.3">
      <c r="BG8831" s="387"/>
      <c r="BH8831" s="386"/>
      <c r="BI8831" s="386"/>
      <c r="BJ8831" s="46"/>
    </row>
    <row r="8832" spans="59:62" x14ac:dyDescent="0.3">
      <c r="BG8832" s="387"/>
      <c r="BH8832" s="386"/>
      <c r="BI8832" s="386"/>
      <c r="BJ8832" s="46"/>
    </row>
    <row r="8833" spans="59:62" x14ac:dyDescent="0.3">
      <c r="BG8833" s="387"/>
      <c r="BH8833" s="386"/>
      <c r="BI8833" s="386"/>
      <c r="BJ8833" s="46"/>
    </row>
    <row r="8834" spans="59:62" x14ac:dyDescent="0.3">
      <c r="BG8834" s="387"/>
      <c r="BH8834" s="386"/>
      <c r="BI8834" s="386"/>
      <c r="BJ8834" s="46"/>
    </row>
    <row r="8835" spans="59:62" x14ac:dyDescent="0.3">
      <c r="BG8835" s="387"/>
      <c r="BH8835" s="386"/>
      <c r="BI8835" s="386"/>
      <c r="BJ8835" s="46"/>
    </row>
    <row r="8836" spans="59:62" x14ac:dyDescent="0.3">
      <c r="BG8836" s="387"/>
      <c r="BH8836" s="386"/>
      <c r="BI8836" s="386"/>
      <c r="BJ8836" s="46"/>
    </row>
    <row r="8837" spans="59:62" x14ac:dyDescent="0.3">
      <c r="BG8837" s="387"/>
      <c r="BH8837" s="386"/>
      <c r="BI8837" s="386"/>
      <c r="BJ8837" s="46"/>
    </row>
    <row r="8838" spans="59:62" x14ac:dyDescent="0.3">
      <c r="BG8838" s="387"/>
      <c r="BH8838" s="386"/>
      <c r="BI8838" s="386"/>
      <c r="BJ8838" s="46"/>
    </row>
    <row r="8839" spans="59:62" x14ac:dyDescent="0.3">
      <c r="BG8839" s="387"/>
      <c r="BH8839" s="386"/>
      <c r="BI8839" s="386"/>
      <c r="BJ8839" s="46"/>
    </row>
    <row r="8840" spans="59:62" x14ac:dyDescent="0.3">
      <c r="BG8840" s="387"/>
      <c r="BH8840" s="386"/>
      <c r="BI8840" s="386"/>
      <c r="BJ8840" s="46"/>
    </row>
    <row r="8841" spans="59:62" x14ac:dyDescent="0.3">
      <c r="BG8841" s="387"/>
      <c r="BH8841" s="386"/>
      <c r="BI8841" s="386"/>
      <c r="BJ8841" s="46"/>
    </row>
    <row r="8842" spans="59:62" x14ac:dyDescent="0.3">
      <c r="BG8842" s="387"/>
      <c r="BH8842" s="386"/>
      <c r="BI8842" s="386"/>
      <c r="BJ8842" s="46"/>
    </row>
    <row r="8843" spans="59:62" x14ac:dyDescent="0.3">
      <c r="BG8843" s="387"/>
      <c r="BH8843" s="386"/>
      <c r="BI8843" s="386"/>
      <c r="BJ8843" s="46"/>
    </row>
    <row r="8844" spans="59:62" x14ac:dyDescent="0.3">
      <c r="BG8844" s="387"/>
      <c r="BH8844" s="386"/>
      <c r="BI8844" s="386"/>
      <c r="BJ8844" s="46"/>
    </row>
    <row r="8845" spans="59:62" x14ac:dyDescent="0.3">
      <c r="BG8845" s="387"/>
      <c r="BH8845" s="386"/>
      <c r="BI8845" s="386"/>
      <c r="BJ8845" s="46"/>
    </row>
    <row r="8846" spans="59:62" x14ac:dyDescent="0.3">
      <c r="BG8846" s="387"/>
      <c r="BH8846" s="386"/>
      <c r="BI8846" s="386"/>
      <c r="BJ8846" s="46"/>
    </row>
    <row r="8847" spans="59:62" x14ac:dyDescent="0.3">
      <c r="BG8847" s="387"/>
      <c r="BH8847" s="386"/>
      <c r="BI8847" s="386"/>
      <c r="BJ8847" s="46"/>
    </row>
    <row r="8848" spans="59:62" x14ac:dyDescent="0.3">
      <c r="BG8848" s="387"/>
      <c r="BH8848" s="386"/>
      <c r="BI8848" s="386"/>
      <c r="BJ8848" s="46"/>
    </row>
    <row r="8849" spans="59:62" x14ac:dyDescent="0.3">
      <c r="BG8849" s="387"/>
      <c r="BH8849" s="386"/>
      <c r="BI8849" s="386"/>
      <c r="BJ8849" s="46"/>
    </row>
    <row r="8850" spans="59:62" x14ac:dyDescent="0.3">
      <c r="BG8850" s="387"/>
      <c r="BH8850" s="386"/>
      <c r="BI8850" s="386"/>
      <c r="BJ8850" s="46"/>
    </row>
    <row r="8851" spans="59:62" x14ac:dyDescent="0.3">
      <c r="BG8851" s="387"/>
      <c r="BH8851" s="386"/>
      <c r="BI8851" s="386"/>
      <c r="BJ8851" s="46"/>
    </row>
    <row r="8852" spans="59:62" x14ac:dyDescent="0.3">
      <c r="BG8852" s="387"/>
      <c r="BH8852" s="386"/>
      <c r="BI8852" s="386"/>
      <c r="BJ8852" s="46"/>
    </row>
    <row r="8853" spans="59:62" x14ac:dyDescent="0.3">
      <c r="BG8853" s="387"/>
      <c r="BH8853" s="386"/>
      <c r="BI8853" s="386"/>
      <c r="BJ8853" s="46"/>
    </row>
    <row r="8854" spans="59:62" x14ac:dyDescent="0.3">
      <c r="BG8854" s="387"/>
      <c r="BH8854" s="386"/>
      <c r="BI8854" s="386"/>
      <c r="BJ8854" s="46"/>
    </row>
    <row r="8855" spans="59:62" x14ac:dyDescent="0.3">
      <c r="BG8855" s="387"/>
      <c r="BH8855" s="386"/>
      <c r="BI8855" s="386"/>
      <c r="BJ8855" s="46"/>
    </row>
    <row r="8856" spans="59:62" x14ac:dyDescent="0.3">
      <c r="BG8856" s="387"/>
      <c r="BH8856" s="386"/>
      <c r="BI8856" s="386"/>
      <c r="BJ8856" s="46"/>
    </row>
    <row r="8857" spans="59:62" x14ac:dyDescent="0.3">
      <c r="BG8857" s="387"/>
      <c r="BH8857" s="386"/>
      <c r="BI8857" s="386"/>
      <c r="BJ8857" s="46"/>
    </row>
    <row r="8858" spans="59:62" x14ac:dyDescent="0.3">
      <c r="BG8858" s="387"/>
      <c r="BH8858" s="386"/>
      <c r="BI8858" s="386"/>
      <c r="BJ8858" s="46"/>
    </row>
    <row r="8859" spans="59:62" x14ac:dyDescent="0.3">
      <c r="BG8859" s="387"/>
      <c r="BH8859" s="386"/>
      <c r="BI8859" s="386"/>
      <c r="BJ8859" s="46"/>
    </row>
    <row r="8860" spans="59:62" x14ac:dyDescent="0.3">
      <c r="BG8860" s="387"/>
      <c r="BH8860" s="386"/>
      <c r="BI8860" s="386"/>
      <c r="BJ8860" s="46"/>
    </row>
    <row r="8861" spans="59:62" x14ac:dyDescent="0.3">
      <c r="BG8861" s="387"/>
      <c r="BH8861" s="386"/>
      <c r="BI8861" s="386"/>
      <c r="BJ8861" s="46"/>
    </row>
    <row r="8862" spans="59:62" x14ac:dyDescent="0.3">
      <c r="BG8862" s="387"/>
      <c r="BH8862" s="386"/>
      <c r="BI8862" s="386"/>
      <c r="BJ8862" s="46"/>
    </row>
    <row r="8863" spans="59:62" x14ac:dyDescent="0.3">
      <c r="BG8863" s="387"/>
      <c r="BH8863" s="386"/>
      <c r="BI8863" s="386"/>
      <c r="BJ8863" s="46"/>
    </row>
    <row r="8864" spans="59:62" x14ac:dyDescent="0.3">
      <c r="BG8864" s="387"/>
      <c r="BH8864" s="386"/>
      <c r="BI8864" s="386"/>
      <c r="BJ8864" s="46"/>
    </row>
    <row r="8865" spans="59:62" x14ac:dyDescent="0.3">
      <c r="BG8865" s="387"/>
      <c r="BH8865" s="386"/>
      <c r="BI8865" s="386"/>
      <c r="BJ8865" s="46"/>
    </row>
    <row r="8866" spans="59:62" x14ac:dyDescent="0.3">
      <c r="BG8866" s="387"/>
      <c r="BH8866" s="386"/>
      <c r="BI8866" s="386"/>
      <c r="BJ8866" s="46"/>
    </row>
    <row r="8867" spans="59:62" x14ac:dyDescent="0.3">
      <c r="BG8867" s="387"/>
      <c r="BH8867" s="386"/>
      <c r="BI8867" s="386"/>
      <c r="BJ8867" s="46"/>
    </row>
    <row r="8868" spans="59:62" x14ac:dyDescent="0.3">
      <c r="BG8868" s="387"/>
      <c r="BH8868" s="386"/>
      <c r="BI8868" s="386"/>
      <c r="BJ8868" s="46"/>
    </row>
    <row r="8869" spans="59:62" x14ac:dyDescent="0.3">
      <c r="BG8869" s="387"/>
      <c r="BH8869" s="386"/>
      <c r="BI8869" s="386"/>
      <c r="BJ8869" s="46"/>
    </row>
    <row r="8870" spans="59:62" x14ac:dyDescent="0.3">
      <c r="BG8870" s="387"/>
      <c r="BH8870" s="386"/>
      <c r="BI8870" s="386"/>
      <c r="BJ8870" s="46"/>
    </row>
    <row r="8871" spans="59:62" x14ac:dyDescent="0.3">
      <c r="BG8871" s="387"/>
      <c r="BH8871" s="386"/>
      <c r="BI8871" s="386"/>
      <c r="BJ8871" s="46"/>
    </row>
    <row r="8872" spans="59:62" x14ac:dyDescent="0.3">
      <c r="BG8872" s="387"/>
      <c r="BH8872" s="386"/>
      <c r="BI8872" s="386"/>
      <c r="BJ8872" s="46"/>
    </row>
    <row r="8873" spans="59:62" x14ac:dyDescent="0.3">
      <c r="BG8873" s="387"/>
      <c r="BH8873" s="386"/>
      <c r="BI8873" s="386"/>
      <c r="BJ8873" s="46"/>
    </row>
    <row r="8874" spans="59:62" x14ac:dyDescent="0.3">
      <c r="BG8874" s="387"/>
      <c r="BH8874" s="386"/>
      <c r="BI8874" s="386"/>
      <c r="BJ8874" s="46"/>
    </row>
    <row r="8875" spans="59:62" x14ac:dyDescent="0.3">
      <c r="BG8875" s="387"/>
      <c r="BH8875" s="386"/>
      <c r="BI8875" s="386"/>
      <c r="BJ8875" s="46"/>
    </row>
    <row r="8876" spans="59:62" x14ac:dyDescent="0.3">
      <c r="BG8876" s="387"/>
      <c r="BH8876" s="386"/>
      <c r="BI8876" s="386"/>
      <c r="BJ8876" s="46"/>
    </row>
    <row r="8877" spans="59:62" x14ac:dyDescent="0.3">
      <c r="BG8877" s="387"/>
      <c r="BH8877" s="386"/>
      <c r="BI8877" s="386"/>
      <c r="BJ8877" s="46"/>
    </row>
    <row r="8878" spans="59:62" x14ac:dyDescent="0.3">
      <c r="BG8878" s="387"/>
      <c r="BH8878" s="386"/>
      <c r="BI8878" s="386"/>
      <c r="BJ8878" s="46"/>
    </row>
    <row r="8879" spans="59:62" x14ac:dyDescent="0.3">
      <c r="BG8879" s="387"/>
      <c r="BH8879" s="386"/>
      <c r="BI8879" s="386"/>
      <c r="BJ8879" s="46"/>
    </row>
    <row r="8880" spans="59:62" x14ac:dyDescent="0.3">
      <c r="BG8880" s="387"/>
      <c r="BH8880" s="386"/>
      <c r="BI8880" s="386"/>
      <c r="BJ8880" s="46"/>
    </row>
    <row r="8881" spans="59:62" x14ac:dyDescent="0.3">
      <c r="BG8881" s="387"/>
      <c r="BH8881" s="386"/>
      <c r="BI8881" s="386"/>
      <c r="BJ8881" s="46"/>
    </row>
    <row r="8882" spans="59:62" x14ac:dyDescent="0.3">
      <c r="BG8882" s="387"/>
      <c r="BH8882" s="386"/>
      <c r="BI8882" s="386"/>
      <c r="BJ8882" s="46"/>
    </row>
    <row r="8883" spans="59:62" x14ac:dyDescent="0.3">
      <c r="BG8883" s="387"/>
      <c r="BH8883" s="386"/>
      <c r="BI8883" s="386"/>
      <c r="BJ8883" s="46"/>
    </row>
    <row r="8884" spans="59:62" x14ac:dyDescent="0.3">
      <c r="BG8884" s="387"/>
      <c r="BH8884" s="386"/>
      <c r="BI8884" s="386"/>
      <c r="BJ8884" s="46"/>
    </row>
    <row r="8885" spans="59:62" x14ac:dyDescent="0.3">
      <c r="BG8885" s="387"/>
      <c r="BH8885" s="386"/>
      <c r="BI8885" s="386"/>
      <c r="BJ8885" s="46"/>
    </row>
    <row r="8886" spans="59:62" x14ac:dyDescent="0.3">
      <c r="BG8886" s="387"/>
      <c r="BH8886" s="386"/>
      <c r="BI8886" s="386"/>
      <c r="BJ8886" s="46"/>
    </row>
    <row r="8887" spans="59:62" x14ac:dyDescent="0.3">
      <c r="BG8887" s="387"/>
      <c r="BH8887" s="386"/>
      <c r="BI8887" s="386"/>
      <c r="BJ8887" s="46"/>
    </row>
    <row r="8888" spans="59:62" x14ac:dyDescent="0.3">
      <c r="BG8888" s="387"/>
      <c r="BH8888" s="386"/>
      <c r="BI8888" s="386"/>
      <c r="BJ8888" s="46"/>
    </row>
    <row r="8889" spans="59:62" x14ac:dyDescent="0.3">
      <c r="BG8889" s="387"/>
      <c r="BH8889" s="386"/>
      <c r="BI8889" s="386"/>
      <c r="BJ8889" s="46"/>
    </row>
    <row r="8890" spans="59:62" x14ac:dyDescent="0.3">
      <c r="BG8890" s="387"/>
      <c r="BH8890" s="386"/>
      <c r="BI8890" s="386"/>
      <c r="BJ8890" s="46"/>
    </row>
    <row r="8891" spans="59:62" x14ac:dyDescent="0.3">
      <c r="BG8891" s="387"/>
      <c r="BH8891" s="386"/>
      <c r="BI8891" s="386"/>
      <c r="BJ8891" s="46"/>
    </row>
    <row r="8892" spans="59:62" x14ac:dyDescent="0.3">
      <c r="BG8892" s="387"/>
      <c r="BH8892" s="386"/>
      <c r="BI8892" s="386"/>
      <c r="BJ8892" s="46"/>
    </row>
    <row r="8893" spans="59:62" x14ac:dyDescent="0.3">
      <c r="BG8893" s="387"/>
      <c r="BH8893" s="386"/>
      <c r="BI8893" s="386"/>
      <c r="BJ8893" s="46"/>
    </row>
    <row r="8894" spans="59:62" x14ac:dyDescent="0.3">
      <c r="BG8894" s="387"/>
      <c r="BH8894" s="386"/>
      <c r="BI8894" s="386"/>
      <c r="BJ8894" s="46"/>
    </row>
    <row r="8895" spans="59:62" x14ac:dyDescent="0.3">
      <c r="BG8895" s="387"/>
      <c r="BH8895" s="386"/>
      <c r="BI8895" s="386"/>
      <c r="BJ8895" s="46"/>
    </row>
    <row r="8896" spans="59:62" x14ac:dyDescent="0.3">
      <c r="BG8896" s="387"/>
      <c r="BH8896" s="386"/>
      <c r="BI8896" s="386"/>
      <c r="BJ8896" s="46"/>
    </row>
    <row r="8897" spans="59:62" x14ac:dyDescent="0.3">
      <c r="BG8897" s="387"/>
      <c r="BH8897" s="386"/>
      <c r="BI8897" s="386"/>
      <c r="BJ8897" s="46"/>
    </row>
    <row r="8898" spans="59:62" x14ac:dyDescent="0.3">
      <c r="BG8898" s="387"/>
      <c r="BH8898" s="386"/>
      <c r="BI8898" s="386"/>
      <c r="BJ8898" s="46"/>
    </row>
    <row r="8899" spans="59:62" x14ac:dyDescent="0.3">
      <c r="BG8899" s="387"/>
      <c r="BH8899" s="386"/>
      <c r="BI8899" s="386"/>
      <c r="BJ8899" s="46"/>
    </row>
    <row r="8900" spans="59:62" x14ac:dyDescent="0.3">
      <c r="BG8900" s="387"/>
      <c r="BH8900" s="386"/>
      <c r="BI8900" s="386"/>
      <c r="BJ8900" s="46"/>
    </row>
    <row r="8901" spans="59:62" x14ac:dyDescent="0.3">
      <c r="BG8901" s="387"/>
      <c r="BH8901" s="386"/>
      <c r="BI8901" s="386"/>
      <c r="BJ8901" s="46"/>
    </row>
    <row r="8902" spans="59:62" x14ac:dyDescent="0.3">
      <c r="BG8902" s="387"/>
      <c r="BH8902" s="386"/>
      <c r="BI8902" s="386"/>
      <c r="BJ8902" s="46"/>
    </row>
    <row r="8903" spans="59:62" x14ac:dyDescent="0.3">
      <c r="BG8903" s="387"/>
      <c r="BH8903" s="386"/>
      <c r="BI8903" s="386"/>
      <c r="BJ8903" s="46"/>
    </row>
    <row r="8904" spans="59:62" x14ac:dyDescent="0.3">
      <c r="BG8904" s="387"/>
      <c r="BH8904" s="386"/>
      <c r="BI8904" s="386"/>
      <c r="BJ8904" s="46"/>
    </row>
    <row r="8905" spans="59:62" x14ac:dyDescent="0.3">
      <c r="BG8905" s="387"/>
      <c r="BH8905" s="386"/>
      <c r="BI8905" s="386"/>
      <c r="BJ8905" s="46"/>
    </row>
    <row r="8906" spans="59:62" x14ac:dyDescent="0.3">
      <c r="BG8906" s="387"/>
      <c r="BH8906" s="386"/>
      <c r="BI8906" s="386"/>
      <c r="BJ8906" s="46"/>
    </row>
    <row r="8907" spans="59:62" x14ac:dyDescent="0.3">
      <c r="BG8907" s="387"/>
      <c r="BH8907" s="386"/>
      <c r="BI8907" s="386"/>
      <c r="BJ8907" s="46"/>
    </row>
    <row r="8908" spans="59:62" x14ac:dyDescent="0.3">
      <c r="BG8908" s="387"/>
      <c r="BH8908" s="386"/>
      <c r="BI8908" s="386"/>
      <c r="BJ8908" s="46"/>
    </row>
    <row r="8909" spans="59:62" x14ac:dyDescent="0.3">
      <c r="BG8909" s="387"/>
      <c r="BH8909" s="386"/>
      <c r="BI8909" s="386"/>
      <c r="BJ8909" s="46"/>
    </row>
    <row r="8910" spans="59:62" x14ac:dyDescent="0.3">
      <c r="BG8910" s="387"/>
      <c r="BH8910" s="386"/>
      <c r="BI8910" s="386"/>
      <c r="BJ8910" s="46"/>
    </row>
    <row r="8911" spans="59:62" x14ac:dyDescent="0.3">
      <c r="BG8911" s="387"/>
      <c r="BH8911" s="386"/>
      <c r="BI8911" s="386"/>
      <c r="BJ8911" s="46"/>
    </row>
    <row r="8912" spans="59:62" x14ac:dyDescent="0.3">
      <c r="BG8912" s="387"/>
      <c r="BH8912" s="386"/>
      <c r="BI8912" s="386"/>
      <c r="BJ8912" s="46"/>
    </row>
    <row r="8913" spans="59:62" x14ac:dyDescent="0.3">
      <c r="BG8913" s="387"/>
      <c r="BH8913" s="386"/>
      <c r="BI8913" s="386"/>
      <c r="BJ8913" s="46"/>
    </row>
    <row r="8914" spans="59:62" x14ac:dyDescent="0.3">
      <c r="BG8914" s="387"/>
      <c r="BH8914" s="386"/>
      <c r="BI8914" s="386"/>
      <c r="BJ8914" s="46"/>
    </row>
    <row r="8915" spans="59:62" x14ac:dyDescent="0.3">
      <c r="BG8915" s="387"/>
      <c r="BH8915" s="386"/>
      <c r="BI8915" s="386"/>
      <c r="BJ8915" s="46"/>
    </row>
    <row r="8916" spans="59:62" x14ac:dyDescent="0.3">
      <c r="BG8916" s="387"/>
      <c r="BH8916" s="386"/>
      <c r="BI8916" s="386"/>
      <c r="BJ8916" s="46"/>
    </row>
    <row r="8917" spans="59:62" x14ac:dyDescent="0.3">
      <c r="BG8917" s="387"/>
      <c r="BH8917" s="386"/>
      <c r="BI8917" s="386"/>
      <c r="BJ8917" s="46"/>
    </row>
    <row r="8918" spans="59:62" x14ac:dyDescent="0.3">
      <c r="BG8918" s="387"/>
      <c r="BH8918" s="386"/>
      <c r="BI8918" s="386"/>
      <c r="BJ8918" s="46"/>
    </row>
    <row r="8919" spans="59:62" x14ac:dyDescent="0.3">
      <c r="BG8919" s="387"/>
      <c r="BH8919" s="386"/>
      <c r="BI8919" s="386"/>
      <c r="BJ8919" s="46"/>
    </row>
    <row r="8920" spans="59:62" x14ac:dyDescent="0.3">
      <c r="BG8920" s="387"/>
      <c r="BH8920" s="386"/>
      <c r="BI8920" s="386"/>
      <c r="BJ8920" s="46"/>
    </row>
    <row r="8921" spans="59:62" x14ac:dyDescent="0.3">
      <c r="BG8921" s="387"/>
      <c r="BH8921" s="386"/>
      <c r="BI8921" s="386"/>
      <c r="BJ8921" s="46"/>
    </row>
    <row r="8922" spans="59:62" x14ac:dyDescent="0.3">
      <c r="BG8922" s="387"/>
      <c r="BH8922" s="386"/>
      <c r="BI8922" s="386"/>
      <c r="BJ8922" s="46"/>
    </row>
    <row r="8923" spans="59:62" x14ac:dyDescent="0.3">
      <c r="BG8923" s="387"/>
      <c r="BH8923" s="386"/>
      <c r="BI8923" s="386"/>
      <c r="BJ8923" s="46"/>
    </row>
    <row r="8924" spans="59:62" x14ac:dyDescent="0.3">
      <c r="BG8924" s="387"/>
      <c r="BH8924" s="386"/>
      <c r="BI8924" s="386"/>
      <c r="BJ8924" s="46"/>
    </row>
    <row r="8925" spans="59:62" x14ac:dyDescent="0.3">
      <c r="BG8925" s="387"/>
      <c r="BH8925" s="386"/>
      <c r="BI8925" s="386"/>
      <c r="BJ8925" s="46"/>
    </row>
    <row r="8926" spans="59:62" x14ac:dyDescent="0.3">
      <c r="BG8926" s="387"/>
      <c r="BH8926" s="386"/>
      <c r="BI8926" s="386"/>
      <c r="BJ8926" s="46"/>
    </row>
    <row r="8927" spans="59:62" x14ac:dyDescent="0.3">
      <c r="BG8927" s="387"/>
      <c r="BH8927" s="386"/>
      <c r="BI8927" s="386"/>
      <c r="BJ8927" s="46"/>
    </row>
    <row r="8928" spans="59:62" x14ac:dyDescent="0.3">
      <c r="BG8928" s="387"/>
      <c r="BH8928" s="386"/>
      <c r="BI8928" s="386"/>
      <c r="BJ8928" s="46"/>
    </row>
    <row r="8929" spans="59:62" x14ac:dyDescent="0.3">
      <c r="BG8929" s="387"/>
      <c r="BH8929" s="386"/>
      <c r="BI8929" s="386"/>
      <c r="BJ8929" s="46"/>
    </row>
    <row r="8930" spans="59:62" x14ac:dyDescent="0.3">
      <c r="BG8930" s="387"/>
      <c r="BH8930" s="386"/>
      <c r="BI8930" s="386"/>
      <c r="BJ8930" s="46"/>
    </row>
    <row r="8931" spans="59:62" x14ac:dyDescent="0.3">
      <c r="BG8931" s="387"/>
      <c r="BH8931" s="386"/>
      <c r="BI8931" s="386"/>
      <c r="BJ8931" s="46"/>
    </row>
    <row r="8932" spans="59:62" x14ac:dyDescent="0.3">
      <c r="BG8932" s="387"/>
      <c r="BH8932" s="386"/>
      <c r="BI8932" s="386"/>
      <c r="BJ8932" s="46"/>
    </row>
    <row r="8933" spans="59:62" x14ac:dyDescent="0.3">
      <c r="BG8933" s="387"/>
      <c r="BH8933" s="386"/>
      <c r="BI8933" s="386"/>
      <c r="BJ8933" s="46"/>
    </row>
    <row r="8934" spans="59:62" x14ac:dyDescent="0.3">
      <c r="BG8934" s="387"/>
      <c r="BH8934" s="386"/>
      <c r="BI8934" s="386"/>
      <c r="BJ8934" s="46"/>
    </row>
    <row r="8935" spans="59:62" x14ac:dyDescent="0.3">
      <c r="BG8935" s="387"/>
      <c r="BH8935" s="386"/>
      <c r="BI8935" s="386"/>
      <c r="BJ8935" s="46"/>
    </row>
    <row r="8936" spans="59:62" x14ac:dyDescent="0.3">
      <c r="BG8936" s="387"/>
      <c r="BH8936" s="386"/>
      <c r="BI8936" s="386"/>
      <c r="BJ8936" s="46"/>
    </row>
    <row r="8937" spans="59:62" x14ac:dyDescent="0.3">
      <c r="BG8937" s="387"/>
      <c r="BH8937" s="386"/>
      <c r="BI8937" s="386"/>
      <c r="BJ8937" s="46"/>
    </row>
    <row r="8938" spans="59:62" x14ac:dyDescent="0.3">
      <c r="BG8938" s="387"/>
      <c r="BH8938" s="386"/>
      <c r="BI8938" s="386"/>
      <c r="BJ8938" s="46"/>
    </row>
    <row r="8939" spans="59:62" x14ac:dyDescent="0.3">
      <c r="BG8939" s="387"/>
      <c r="BH8939" s="386"/>
      <c r="BI8939" s="386"/>
      <c r="BJ8939" s="46"/>
    </row>
    <row r="8940" spans="59:62" x14ac:dyDescent="0.3">
      <c r="BG8940" s="387"/>
      <c r="BH8940" s="386"/>
      <c r="BI8940" s="386"/>
      <c r="BJ8940" s="46"/>
    </row>
    <row r="8941" spans="59:62" x14ac:dyDescent="0.3">
      <c r="BG8941" s="387"/>
      <c r="BH8941" s="386"/>
      <c r="BI8941" s="386"/>
      <c r="BJ8941" s="46"/>
    </row>
    <row r="8942" spans="59:62" x14ac:dyDescent="0.3">
      <c r="BG8942" s="387"/>
      <c r="BH8942" s="386"/>
      <c r="BI8942" s="386"/>
      <c r="BJ8942" s="46"/>
    </row>
    <row r="8943" spans="59:62" x14ac:dyDescent="0.3">
      <c r="BG8943" s="387"/>
      <c r="BH8943" s="386"/>
      <c r="BI8943" s="386"/>
      <c r="BJ8943" s="46"/>
    </row>
    <row r="8944" spans="59:62" x14ac:dyDescent="0.3">
      <c r="BG8944" s="387"/>
      <c r="BH8944" s="386"/>
      <c r="BI8944" s="386"/>
      <c r="BJ8944" s="46"/>
    </row>
    <row r="8945" spans="59:62" x14ac:dyDescent="0.3">
      <c r="BG8945" s="387"/>
      <c r="BH8945" s="386"/>
      <c r="BI8945" s="386"/>
      <c r="BJ8945" s="46"/>
    </row>
    <row r="8946" spans="59:62" x14ac:dyDescent="0.3">
      <c r="BG8946" s="387"/>
      <c r="BH8946" s="386"/>
      <c r="BI8946" s="386"/>
      <c r="BJ8946" s="46"/>
    </row>
    <row r="8947" spans="59:62" x14ac:dyDescent="0.3">
      <c r="BG8947" s="387"/>
      <c r="BH8947" s="386"/>
      <c r="BI8947" s="386"/>
      <c r="BJ8947" s="46"/>
    </row>
    <row r="8948" spans="59:62" x14ac:dyDescent="0.3">
      <c r="BG8948" s="387"/>
      <c r="BH8948" s="386"/>
      <c r="BI8948" s="386"/>
      <c r="BJ8948" s="46"/>
    </row>
    <row r="8949" spans="59:62" x14ac:dyDescent="0.3">
      <c r="BG8949" s="387"/>
      <c r="BH8949" s="386"/>
      <c r="BI8949" s="386"/>
      <c r="BJ8949" s="46"/>
    </row>
    <row r="8950" spans="59:62" x14ac:dyDescent="0.3">
      <c r="BG8950" s="387"/>
      <c r="BH8950" s="386"/>
      <c r="BI8950" s="386"/>
      <c r="BJ8950" s="46"/>
    </row>
    <row r="8951" spans="59:62" x14ac:dyDescent="0.3">
      <c r="BG8951" s="387"/>
      <c r="BH8951" s="386"/>
      <c r="BI8951" s="386"/>
      <c r="BJ8951" s="46"/>
    </row>
    <row r="8952" spans="59:62" x14ac:dyDescent="0.3">
      <c r="BG8952" s="387"/>
      <c r="BH8952" s="386"/>
      <c r="BI8952" s="386"/>
      <c r="BJ8952" s="46"/>
    </row>
    <row r="8953" spans="59:62" x14ac:dyDescent="0.3">
      <c r="BG8953" s="387"/>
      <c r="BH8953" s="386"/>
      <c r="BI8953" s="386"/>
      <c r="BJ8953" s="46"/>
    </row>
    <row r="8954" spans="59:62" x14ac:dyDescent="0.3">
      <c r="BG8954" s="387"/>
      <c r="BH8954" s="386"/>
      <c r="BI8954" s="386"/>
      <c r="BJ8954" s="46"/>
    </row>
    <row r="8955" spans="59:62" x14ac:dyDescent="0.3">
      <c r="BG8955" s="387"/>
      <c r="BH8955" s="386"/>
      <c r="BI8955" s="386"/>
      <c r="BJ8955" s="46"/>
    </row>
    <row r="8956" spans="59:62" x14ac:dyDescent="0.3">
      <c r="BG8956" s="387"/>
      <c r="BH8956" s="386"/>
      <c r="BI8956" s="386"/>
      <c r="BJ8956" s="46"/>
    </row>
    <row r="8957" spans="59:62" x14ac:dyDescent="0.3">
      <c r="BG8957" s="387"/>
      <c r="BH8957" s="386"/>
      <c r="BI8957" s="386"/>
      <c r="BJ8957" s="46"/>
    </row>
    <row r="8958" spans="59:62" x14ac:dyDescent="0.3">
      <c r="BG8958" s="387"/>
      <c r="BH8958" s="386"/>
      <c r="BI8958" s="386"/>
      <c r="BJ8958" s="46"/>
    </row>
    <row r="8959" spans="59:62" x14ac:dyDescent="0.3">
      <c r="BG8959" s="387"/>
      <c r="BH8959" s="386"/>
      <c r="BI8959" s="386"/>
      <c r="BJ8959" s="46"/>
    </row>
    <row r="8960" spans="59:62" x14ac:dyDescent="0.3">
      <c r="BG8960" s="387"/>
      <c r="BH8960" s="386"/>
      <c r="BI8960" s="386"/>
      <c r="BJ8960" s="46"/>
    </row>
    <row r="8961" spans="59:62" x14ac:dyDescent="0.3">
      <c r="BG8961" s="387"/>
      <c r="BH8961" s="386"/>
      <c r="BI8961" s="386"/>
      <c r="BJ8961" s="46"/>
    </row>
    <row r="8962" spans="59:62" x14ac:dyDescent="0.3">
      <c r="BG8962" s="387"/>
      <c r="BH8962" s="386"/>
      <c r="BI8962" s="386"/>
      <c r="BJ8962" s="46"/>
    </row>
    <row r="8963" spans="59:62" x14ac:dyDescent="0.3">
      <c r="BG8963" s="387"/>
      <c r="BH8963" s="386"/>
      <c r="BI8963" s="386"/>
      <c r="BJ8963" s="46"/>
    </row>
    <row r="8964" spans="59:62" x14ac:dyDescent="0.3">
      <c r="BG8964" s="387"/>
      <c r="BH8964" s="386"/>
      <c r="BI8964" s="386"/>
      <c r="BJ8964" s="46"/>
    </row>
    <row r="8965" spans="59:62" x14ac:dyDescent="0.3">
      <c r="BG8965" s="387"/>
      <c r="BH8965" s="386"/>
      <c r="BI8965" s="386"/>
      <c r="BJ8965" s="46"/>
    </row>
    <row r="8966" spans="59:62" x14ac:dyDescent="0.3">
      <c r="BG8966" s="387"/>
      <c r="BH8966" s="386"/>
      <c r="BI8966" s="386"/>
      <c r="BJ8966" s="46"/>
    </row>
    <row r="8967" spans="59:62" x14ac:dyDescent="0.3">
      <c r="BG8967" s="387"/>
      <c r="BH8967" s="386"/>
      <c r="BI8967" s="386"/>
      <c r="BJ8967" s="46"/>
    </row>
    <row r="8968" spans="59:62" x14ac:dyDescent="0.3">
      <c r="BG8968" s="387"/>
      <c r="BH8968" s="386"/>
      <c r="BI8968" s="386"/>
      <c r="BJ8968" s="46"/>
    </row>
    <row r="8969" spans="59:62" x14ac:dyDescent="0.3">
      <c r="BG8969" s="387"/>
      <c r="BH8969" s="386"/>
      <c r="BI8969" s="386"/>
      <c r="BJ8969" s="46"/>
    </row>
    <row r="8970" spans="59:62" x14ac:dyDescent="0.3">
      <c r="BG8970" s="387"/>
      <c r="BH8970" s="386"/>
      <c r="BI8970" s="386"/>
      <c r="BJ8970" s="46"/>
    </row>
    <row r="8971" spans="59:62" x14ac:dyDescent="0.3">
      <c r="BG8971" s="387"/>
      <c r="BH8971" s="386"/>
      <c r="BI8971" s="386"/>
      <c r="BJ8971" s="46"/>
    </row>
    <row r="8972" spans="59:62" x14ac:dyDescent="0.3">
      <c r="BG8972" s="387"/>
      <c r="BH8972" s="386"/>
      <c r="BI8972" s="386"/>
      <c r="BJ8972" s="46"/>
    </row>
    <row r="8973" spans="59:62" x14ac:dyDescent="0.3">
      <c r="BG8973" s="387"/>
      <c r="BH8973" s="386"/>
      <c r="BI8973" s="386"/>
      <c r="BJ8973" s="46"/>
    </row>
    <row r="8974" spans="59:62" x14ac:dyDescent="0.3">
      <c r="BG8974" s="387"/>
      <c r="BH8974" s="386"/>
      <c r="BI8974" s="386"/>
      <c r="BJ8974" s="46"/>
    </row>
    <row r="8975" spans="59:62" x14ac:dyDescent="0.3">
      <c r="BG8975" s="387"/>
      <c r="BH8975" s="386"/>
      <c r="BI8975" s="386"/>
      <c r="BJ8975" s="46"/>
    </row>
    <row r="8976" spans="59:62" x14ac:dyDescent="0.3">
      <c r="BG8976" s="387"/>
      <c r="BH8976" s="386"/>
      <c r="BI8976" s="386"/>
      <c r="BJ8976" s="46"/>
    </row>
    <row r="8977" spans="59:62" x14ac:dyDescent="0.3">
      <c r="BG8977" s="387"/>
      <c r="BH8977" s="386"/>
      <c r="BI8977" s="386"/>
      <c r="BJ8977" s="46"/>
    </row>
    <row r="8978" spans="59:62" x14ac:dyDescent="0.3">
      <c r="BG8978" s="387"/>
      <c r="BH8978" s="386"/>
      <c r="BI8978" s="386"/>
      <c r="BJ8978" s="46"/>
    </row>
    <row r="8979" spans="59:62" x14ac:dyDescent="0.3">
      <c r="BG8979" s="387"/>
      <c r="BH8979" s="386"/>
      <c r="BI8979" s="386"/>
      <c r="BJ8979" s="46"/>
    </row>
    <row r="8980" spans="59:62" x14ac:dyDescent="0.3">
      <c r="BG8980" s="387"/>
      <c r="BH8980" s="386"/>
      <c r="BI8980" s="386"/>
      <c r="BJ8980" s="46"/>
    </row>
    <row r="8981" spans="59:62" x14ac:dyDescent="0.3">
      <c r="BG8981" s="387"/>
      <c r="BH8981" s="386"/>
      <c r="BI8981" s="386"/>
      <c r="BJ8981" s="46"/>
    </row>
    <row r="8982" spans="59:62" x14ac:dyDescent="0.3">
      <c r="BG8982" s="387"/>
      <c r="BH8982" s="386"/>
      <c r="BI8982" s="386"/>
      <c r="BJ8982" s="46"/>
    </row>
    <row r="8983" spans="59:62" x14ac:dyDescent="0.3">
      <c r="BG8983" s="387"/>
      <c r="BH8983" s="386"/>
      <c r="BI8983" s="386"/>
      <c r="BJ8983" s="46"/>
    </row>
    <row r="8984" spans="59:62" x14ac:dyDescent="0.3">
      <c r="BG8984" s="387"/>
      <c r="BH8984" s="386"/>
      <c r="BI8984" s="386"/>
      <c r="BJ8984" s="46"/>
    </row>
    <row r="8985" spans="59:62" x14ac:dyDescent="0.3">
      <c r="BG8985" s="387"/>
      <c r="BH8985" s="386"/>
      <c r="BI8985" s="386"/>
      <c r="BJ8985" s="46"/>
    </row>
    <row r="8986" spans="59:62" x14ac:dyDescent="0.3">
      <c r="BG8986" s="387"/>
      <c r="BH8986" s="386"/>
      <c r="BI8986" s="386"/>
      <c r="BJ8986" s="46"/>
    </row>
    <row r="8987" spans="59:62" x14ac:dyDescent="0.3">
      <c r="BG8987" s="387"/>
      <c r="BH8987" s="386"/>
      <c r="BI8987" s="386"/>
      <c r="BJ8987" s="46"/>
    </row>
    <row r="8988" spans="59:62" x14ac:dyDescent="0.3">
      <c r="BG8988" s="387"/>
      <c r="BH8988" s="386"/>
      <c r="BI8988" s="386"/>
      <c r="BJ8988" s="46"/>
    </row>
    <row r="8989" spans="59:62" x14ac:dyDescent="0.3">
      <c r="BG8989" s="387"/>
      <c r="BH8989" s="386"/>
      <c r="BI8989" s="386"/>
      <c r="BJ8989" s="46"/>
    </row>
    <row r="8990" spans="59:62" x14ac:dyDescent="0.3">
      <c r="BG8990" s="387"/>
      <c r="BH8990" s="386"/>
      <c r="BI8990" s="386"/>
      <c r="BJ8990" s="46"/>
    </row>
    <row r="8991" spans="59:62" x14ac:dyDescent="0.3">
      <c r="BG8991" s="387"/>
      <c r="BH8991" s="386"/>
      <c r="BI8991" s="386"/>
      <c r="BJ8991" s="46"/>
    </row>
    <row r="8992" spans="59:62" x14ac:dyDescent="0.3">
      <c r="BG8992" s="387"/>
      <c r="BH8992" s="386"/>
      <c r="BI8992" s="386"/>
      <c r="BJ8992" s="46"/>
    </row>
    <row r="8993" spans="59:62" x14ac:dyDescent="0.3">
      <c r="BG8993" s="387"/>
      <c r="BH8993" s="386"/>
      <c r="BI8993" s="386"/>
      <c r="BJ8993" s="46"/>
    </row>
    <row r="8994" spans="59:62" x14ac:dyDescent="0.3">
      <c r="BG8994" s="387"/>
      <c r="BH8994" s="386"/>
      <c r="BI8994" s="386"/>
      <c r="BJ8994" s="46"/>
    </row>
    <row r="8995" spans="59:62" x14ac:dyDescent="0.3">
      <c r="BG8995" s="387"/>
      <c r="BH8995" s="386"/>
      <c r="BI8995" s="386"/>
      <c r="BJ8995" s="46"/>
    </row>
    <row r="8996" spans="59:62" x14ac:dyDescent="0.3">
      <c r="BG8996" s="387"/>
      <c r="BH8996" s="386"/>
      <c r="BI8996" s="386"/>
      <c r="BJ8996" s="46"/>
    </row>
    <row r="8997" spans="59:62" x14ac:dyDescent="0.3">
      <c r="BG8997" s="387"/>
      <c r="BH8997" s="386"/>
      <c r="BI8997" s="386"/>
      <c r="BJ8997" s="46"/>
    </row>
    <row r="8998" spans="59:62" x14ac:dyDescent="0.3">
      <c r="BG8998" s="387"/>
      <c r="BH8998" s="386"/>
      <c r="BI8998" s="386"/>
      <c r="BJ8998" s="46"/>
    </row>
    <row r="8999" spans="59:62" x14ac:dyDescent="0.3">
      <c r="BG8999" s="387"/>
      <c r="BH8999" s="386"/>
      <c r="BI8999" s="386"/>
      <c r="BJ8999" s="46"/>
    </row>
    <row r="9000" spans="59:62" x14ac:dyDescent="0.3">
      <c r="BG9000" s="387"/>
      <c r="BH9000" s="386"/>
      <c r="BI9000" s="386"/>
      <c r="BJ9000" s="46"/>
    </row>
    <row r="9001" spans="59:62" x14ac:dyDescent="0.3">
      <c r="BG9001" s="387"/>
      <c r="BH9001" s="386"/>
      <c r="BI9001" s="386"/>
      <c r="BJ9001" s="46"/>
    </row>
    <row r="9002" spans="59:62" x14ac:dyDescent="0.3">
      <c r="BG9002" s="387"/>
      <c r="BH9002" s="386"/>
      <c r="BI9002" s="386"/>
      <c r="BJ9002" s="46"/>
    </row>
    <row r="9003" spans="59:62" x14ac:dyDescent="0.3">
      <c r="BG9003" s="387"/>
      <c r="BH9003" s="386"/>
      <c r="BI9003" s="386"/>
      <c r="BJ9003" s="46"/>
    </row>
    <row r="9004" spans="59:62" x14ac:dyDescent="0.3">
      <c r="BG9004" s="387"/>
      <c r="BH9004" s="386"/>
      <c r="BI9004" s="386"/>
      <c r="BJ9004" s="46"/>
    </row>
    <row r="9005" spans="59:62" x14ac:dyDescent="0.3">
      <c r="BG9005" s="387"/>
      <c r="BH9005" s="386"/>
      <c r="BI9005" s="386"/>
      <c r="BJ9005" s="46"/>
    </row>
    <row r="9006" spans="59:62" x14ac:dyDescent="0.3">
      <c r="BG9006" s="387"/>
      <c r="BH9006" s="386"/>
      <c r="BI9006" s="386"/>
      <c r="BJ9006" s="46"/>
    </row>
    <row r="9007" spans="59:62" x14ac:dyDescent="0.3">
      <c r="BG9007" s="387"/>
      <c r="BH9007" s="386"/>
      <c r="BI9007" s="386"/>
      <c r="BJ9007" s="46"/>
    </row>
    <row r="9008" spans="59:62" x14ac:dyDescent="0.3">
      <c r="BG9008" s="387"/>
      <c r="BH9008" s="386"/>
      <c r="BI9008" s="386"/>
      <c r="BJ9008" s="46"/>
    </row>
    <row r="9009" spans="59:62" x14ac:dyDescent="0.3">
      <c r="BG9009" s="387"/>
      <c r="BH9009" s="386"/>
      <c r="BI9009" s="386"/>
      <c r="BJ9009" s="46"/>
    </row>
    <row r="9010" spans="59:62" x14ac:dyDescent="0.3">
      <c r="BG9010" s="387"/>
      <c r="BH9010" s="386"/>
      <c r="BI9010" s="386"/>
      <c r="BJ9010" s="46"/>
    </row>
    <row r="9011" spans="59:62" x14ac:dyDescent="0.3">
      <c r="BG9011" s="387"/>
      <c r="BH9011" s="386"/>
      <c r="BI9011" s="386"/>
      <c r="BJ9011" s="46"/>
    </row>
    <row r="9012" spans="59:62" x14ac:dyDescent="0.3">
      <c r="BG9012" s="387"/>
      <c r="BH9012" s="386"/>
      <c r="BI9012" s="386"/>
      <c r="BJ9012" s="46"/>
    </row>
    <row r="9013" spans="59:62" x14ac:dyDescent="0.3">
      <c r="BG9013" s="387"/>
      <c r="BH9013" s="386"/>
      <c r="BI9013" s="386"/>
      <c r="BJ9013" s="46"/>
    </row>
    <row r="9014" spans="59:62" x14ac:dyDescent="0.3">
      <c r="BG9014" s="387"/>
      <c r="BH9014" s="386"/>
      <c r="BI9014" s="386"/>
      <c r="BJ9014" s="46"/>
    </row>
    <row r="9015" spans="59:62" x14ac:dyDescent="0.3">
      <c r="BG9015" s="387"/>
      <c r="BH9015" s="386"/>
      <c r="BI9015" s="386"/>
      <c r="BJ9015" s="46"/>
    </row>
    <row r="9016" spans="59:62" x14ac:dyDescent="0.3">
      <c r="BG9016" s="387"/>
      <c r="BH9016" s="386"/>
      <c r="BI9016" s="386"/>
      <c r="BJ9016" s="46"/>
    </row>
    <row r="9017" spans="59:62" x14ac:dyDescent="0.3">
      <c r="BG9017" s="387"/>
      <c r="BH9017" s="386"/>
      <c r="BI9017" s="386"/>
      <c r="BJ9017" s="46"/>
    </row>
    <row r="9018" spans="59:62" x14ac:dyDescent="0.3">
      <c r="BG9018" s="387"/>
      <c r="BH9018" s="386"/>
      <c r="BI9018" s="386"/>
      <c r="BJ9018" s="46"/>
    </row>
    <row r="9019" spans="59:62" x14ac:dyDescent="0.3">
      <c r="BG9019" s="387"/>
      <c r="BH9019" s="386"/>
      <c r="BI9019" s="386"/>
      <c r="BJ9019" s="46"/>
    </row>
    <row r="9020" spans="59:62" x14ac:dyDescent="0.3">
      <c r="BG9020" s="387"/>
      <c r="BH9020" s="386"/>
      <c r="BI9020" s="386"/>
      <c r="BJ9020" s="46"/>
    </row>
    <row r="9021" spans="59:62" x14ac:dyDescent="0.3">
      <c r="BG9021" s="387"/>
      <c r="BH9021" s="386"/>
      <c r="BI9021" s="386"/>
      <c r="BJ9021" s="46"/>
    </row>
    <row r="9022" spans="59:62" x14ac:dyDescent="0.3">
      <c r="BG9022" s="387"/>
      <c r="BH9022" s="386"/>
      <c r="BI9022" s="386"/>
      <c r="BJ9022" s="46"/>
    </row>
    <row r="9023" spans="59:62" x14ac:dyDescent="0.3">
      <c r="BG9023" s="387"/>
      <c r="BH9023" s="386"/>
      <c r="BI9023" s="386"/>
      <c r="BJ9023" s="46"/>
    </row>
    <row r="9024" spans="59:62" x14ac:dyDescent="0.3">
      <c r="BG9024" s="387"/>
      <c r="BH9024" s="386"/>
      <c r="BI9024" s="386"/>
      <c r="BJ9024" s="46"/>
    </row>
    <row r="9025" spans="59:62" x14ac:dyDescent="0.3">
      <c r="BG9025" s="387"/>
      <c r="BH9025" s="386"/>
      <c r="BI9025" s="386"/>
      <c r="BJ9025" s="46"/>
    </row>
    <row r="9026" spans="59:62" x14ac:dyDescent="0.3">
      <c r="BG9026" s="387"/>
      <c r="BH9026" s="386"/>
      <c r="BI9026" s="386"/>
      <c r="BJ9026" s="46"/>
    </row>
    <row r="9027" spans="59:62" x14ac:dyDescent="0.3">
      <c r="BG9027" s="387"/>
      <c r="BH9027" s="386"/>
      <c r="BI9027" s="386"/>
      <c r="BJ9027" s="46"/>
    </row>
    <row r="9028" spans="59:62" x14ac:dyDescent="0.3">
      <c r="BG9028" s="387"/>
      <c r="BH9028" s="386"/>
      <c r="BI9028" s="386"/>
      <c r="BJ9028" s="46"/>
    </row>
    <row r="9029" spans="59:62" x14ac:dyDescent="0.3">
      <c r="BG9029" s="387"/>
      <c r="BH9029" s="386"/>
      <c r="BI9029" s="386"/>
      <c r="BJ9029" s="46"/>
    </row>
    <row r="9030" spans="59:62" x14ac:dyDescent="0.3">
      <c r="BG9030" s="387"/>
      <c r="BH9030" s="386"/>
      <c r="BI9030" s="386"/>
      <c r="BJ9030" s="46"/>
    </row>
    <row r="9031" spans="59:62" x14ac:dyDescent="0.3">
      <c r="BG9031" s="387"/>
      <c r="BH9031" s="386"/>
      <c r="BI9031" s="386"/>
      <c r="BJ9031" s="46"/>
    </row>
    <row r="9032" spans="59:62" x14ac:dyDescent="0.3">
      <c r="BG9032" s="387"/>
      <c r="BH9032" s="386"/>
      <c r="BI9032" s="386"/>
      <c r="BJ9032" s="46"/>
    </row>
    <row r="9033" spans="59:62" x14ac:dyDescent="0.3">
      <c r="BG9033" s="387"/>
      <c r="BH9033" s="386"/>
      <c r="BI9033" s="386"/>
      <c r="BJ9033" s="46"/>
    </row>
    <row r="9034" spans="59:62" x14ac:dyDescent="0.3">
      <c r="BG9034" s="387"/>
      <c r="BH9034" s="386"/>
      <c r="BI9034" s="386"/>
      <c r="BJ9034" s="46"/>
    </row>
    <row r="9035" spans="59:62" x14ac:dyDescent="0.3">
      <c r="BG9035" s="387"/>
      <c r="BH9035" s="386"/>
      <c r="BI9035" s="386"/>
      <c r="BJ9035" s="46"/>
    </row>
    <row r="9036" spans="59:62" x14ac:dyDescent="0.3">
      <c r="BG9036" s="387"/>
      <c r="BH9036" s="386"/>
      <c r="BI9036" s="386"/>
      <c r="BJ9036" s="46"/>
    </row>
    <row r="9037" spans="59:62" x14ac:dyDescent="0.3">
      <c r="BG9037" s="387"/>
      <c r="BH9037" s="386"/>
      <c r="BI9037" s="386"/>
      <c r="BJ9037" s="46"/>
    </row>
    <row r="9038" spans="59:62" x14ac:dyDescent="0.3">
      <c r="BG9038" s="387"/>
      <c r="BH9038" s="386"/>
      <c r="BI9038" s="386"/>
      <c r="BJ9038" s="46"/>
    </row>
    <row r="9039" spans="59:62" x14ac:dyDescent="0.3">
      <c r="BG9039" s="387"/>
      <c r="BH9039" s="386"/>
      <c r="BI9039" s="386"/>
      <c r="BJ9039" s="46"/>
    </row>
    <row r="9040" spans="59:62" x14ac:dyDescent="0.3">
      <c r="BG9040" s="387"/>
      <c r="BH9040" s="386"/>
      <c r="BI9040" s="386"/>
      <c r="BJ9040" s="46"/>
    </row>
    <row r="9041" spans="59:62" x14ac:dyDescent="0.3">
      <c r="BG9041" s="387"/>
      <c r="BH9041" s="386"/>
      <c r="BI9041" s="386"/>
      <c r="BJ9041" s="46"/>
    </row>
    <row r="9042" spans="59:62" x14ac:dyDescent="0.3">
      <c r="BG9042" s="387"/>
      <c r="BH9042" s="386"/>
      <c r="BI9042" s="386"/>
      <c r="BJ9042" s="46"/>
    </row>
    <row r="9043" spans="59:62" x14ac:dyDescent="0.3">
      <c r="BG9043" s="387"/>
      <c r="BH9043" s="386"/>
      <c r="BI9043" s="386"/>
      <c r="BJ9043" s="46"/>
    </row>
    <row r="9044" spans="59:62" x14ac:dyDescent="0.3">
      <c r="BG9044" s="387"/>
      <c r="BH9044" s="386"/>
      <c r="BI9044" s="386"/>
      <c r="BJ9044" s="46"/>
    </row>
    <row r="9045" spans="59:62" x14ac:dyDescent="0.3">
      <c r="BG9045" s="387"/>
      <c r="BH9045" s="386"/>
      <c r="BI9045" s="386"/>
      <c r="BJ9045" s="46"/>
    </row>
    <row r="9046" spans="59:62" x14ac:dyDescent="0.3">
      <c r="BG9046" s="387"/>
      <c r="BH9046" s="386"/>
      <c r="BI9046" s="386"/>
      <c r="BJ9046" s="46"/>
    </row>
    <row r="9047" spans="59:62" x14ac:dyDescent="0.3">
      <c r="BG9047" s="387"/>
      <c r="BH9047" s="386"/>
      <c r="BI9047" s="386"/>
      <c r="BJ9047" s="46"/>
    </row>
    <row r="9048" spans="59:62" x14ac:dyDescent="0.3">
      <c r="BG9048" s="387"/>
      <c r="BH9048" s="386"/>
      <c r="BI9048" s="386"/>
      <c r="BJ9048" s="46"/>
    </row>
    <row r="9049" spans="59:62" x14ac:dyDescent="0.3">
      <c r="BG9049" s="387"/>
      <c r="BH9049" s="386"/>
      <c r="BI9049" s="386"/>
      <c r="BJ9049" s="46"/>
    </row>
    <row r="9050" spans="59:62" x14ac:dyDescent="0.3">
      <c r="BG9050" s="387"/>
      <c r="BH9050" s="386"/>
      <c r="BI9050" s="386"/>
      <c r="BJ9050" s="46"/>
    </row>
    <row r="9051" spans="59:62" x14ac:dyDescent="0.3">
      <c r="BG9051" s="387"/>
      <c r="BH9051" s="386"/>
      <c r="BI9051" s="386"/>
      <c r="BJ9051" s="46"/>
    </row>
    <row r="9052" spans="59:62" x14ac:dyDescent="0.3">
      <c r="BG9052" s="387"/>
      <c r="BH9052" s="386"/>
      <c r="BI9052" s="386"/>
      <c r="BJ9052" s="46"/>
    </row>
    <row r="9053" spans="59:62" x14ac:dyDescent="0.3">
      <c r="BG9053" s="387"/>
      <c r="BH9053" s="386"/>
      <c r="BI9053" s="386"/>
      <c r="BJ9053" s="46"/>
    </row>
    <row r="9054" spans="59:62" x14ac:dyDescent="0.3">
      <c r="BG9054" s="387"/>
      <c r="BH9054" s="386"/>
      <c r="BI9054" s="386"/>
      <c r="BJ9054" s="46"/>
    </row>
    <row r="9055" spans="59:62" x14ac:dyDescent="0.3">
      <c r="BG9055" s="387"/>
      <c r="BH9055" s="386"/>
      <c r="BI9055" s="386"/>
      <c r="BJ9055" s="46"/>
    </row>
    <row r="9056" spans="59:62" x14ac:dyDescent="0.3">
      <c r="BG9056" s="387"/>
      <c r="BH9056" s="386"/>
      <c r="BI9056" s="386"/>
      <c r="BJ9056" s="46"/>
    </row>
    <row r="9057" spans="59:62" x14ac:dyDescent="0.3">
      <c r="BG9057" s="387"/>
      <c r="BH9057" s="386"/>
      <c r="BI9057" s="386"/>
      <c r="BJ9057" s="46"/>
    </row>
    <row r="9058" spans="59:62" x14ac:dyDescent="0.3">
      <c r="BG9058" s="387"/>
      <c r="BH9058" s="386"/>
      <c r="BI9058" s="386"/>
      <c r="BJ9058" s="46"/>
    </row>
    <row r="9059" spans="59:62" x14ac:dyDescent="0.3">
      <c r="BG9059" s="387"/>
      <c r="BH9059" s="386"/>
      <c r="BI9059" s="386"/>
      <c r="BJ9059" s="46"/>
    </row>
    <row r="9060" spans="59:62" x14ac:dyDescent="0.3">
      <c r="BG9060" s="387"/>
      <c r="BH9060" s="386"/>
      <c r="BI9060" s="386"/>
      <c r="BJ9060" s="46"/>
    </row>
    <row r="9061" spans="59:62" x14ac:dyDescent="0.3">
      <c r="BG9061" s="387"/>
      <c r="BH9061" s="386"/>
      <c r="BI9061" s="386"/>
      <c r="BJ9061" s="46"/>
    </row>
    <row r="9062" spans="59:62" x14ac:dyDescent="0.3">
      <c r="BG9062" s="387"/>
      <c r="BH9062" s="386"/>
      <c r="BI9062" s="386"/>
      <c r="BJ9062" s="46"/>
    </row>
    <row r="9063" spans="59:62" x14ac:dyDescent="0.3">
      <c r="BG9063" s="387"/>
      <c r="BH9063" s="386"/>
      <c r="BI9063" s="386"/>
      <c r="BJ9063" s="46"/>
    </row>
    <row r="9064" spans="59:62" x14ac:dyDescent="0.3">
      <c r="BG9064" s="387"/>
      <c r="BH9064" s="386"/>
      <c r="BI9064" s="386"/>
      <c r="BJ9064" s="46"/>
    </row>
    <row r="9065" spans="59:62" x14ac:dyDescent="0.3">
      <c r="BG9065" s="387"/>
      <c r="BH9065" s="386"/>
      <c r="BI9065" s="386"/>
      <c r="BJ9065" s="46"/>
    </row>
    <row r="9066" spans="59:62" x14ac:dyDescent="0.3">
      <c r="BG9066" s="387"/>
      <c r="BH9066" s="386"/>
      <c r="BI9066" s="386"/>
      <c r="BJ9066" s="46"/>
    </row>
    <row r="9067" spans="59:62" x14ac:dyDescent="0.3">
      <c r="BG9067" s="387"/>
      <c r="BH9067" s="386"/>
      <c r="BI9067" s="386"/>
      <c r="BJ9067" s="46"/>
    </row>
    <row r="9068" spans="59:62" x14ac:dyDescent="0.3">
      <c r="BG9068" s="387"/>
      <c r="BH9068" s="386"/>
      <c r="BI9068" s="386"/>
      <c r="BJ9068" s="46"/>
    </row>
    <row r="9069" spans="59:62" x14ac:dyDescent="0.3">
      <c r="BG9069" s="387"/>
      <c r="BH9069" s="386"/>
      <c r="BI9069" s="386"/>
      <c r="BJ9069" s="46"/>
    </row>
    <row r="9070" spans="59:62" x14ac:dyDescent="0.3">
      <c r="BG9070" s="387"/>
      <c r="BH9070" s="386"/>
      <c r="BI9070" s="386"/>
      <c r="BJ9070" s="46"/>
    </row>
    <row r="9071" spans="59:62" x14ac:dyDescent="0.3">
      <c r="BG9071" s="387"/>
      <c r="BH9071" s="386"/>
      <c r="BI9071" s="386"/>
      <c r="BJ9071" s="46"/>
    </row>
    <row r="9072" spans="59:62" x14ac:dyDescent="0.3">
      <c r="BG9072" s="387"/>
      <c r="BH9072" s="386"/>
      <c r="BI9072" s="386"/>
      <c r="BJ9072" s="46"/>
    </row>
    <row r="9073" spans="59:62" x14ac:dyDescent="0.3">
      <c r="BG9073" s="387"/>
      <c r="BH9073" s="386"/>
      <c r="BI9073" s="386"/>
      <c r="BJ9073" s="46"/>
    </row>
    <row r="9074" spans="59:62" x14ac:dyDescent="0.3">
      <c r="BG9074" s="387"/>
      <c r="BH9074" s="386"/>
      <c r="BI9074" s="386"/>
      <c r="BJ9074" s="46"/>
    </row>
    <row r="9075" spans="59:62" x14ac:dyDescent="0.3">
      <c r="BG9075" s="387"/>
      <c r="BH9075" s="386"/>
      <c r="BI9075" s="386"/>
      <c r="BJ9075" s="46"/>
    </row>
    <row r="9076" spans="59:62" x14ac:dyDescent="0.3">
      <c r="BG9076" s="387"/>
      <c r="BH9076" s="386"/>
      <c r="BI9076" s="386"/>
      <c r="BJ9076" s="46"/>
    </row>
    <row r="9077" spans="59:62" x14ac:dyDescent="0.3">
      <c r="BG9077" s="387"/>
      <c r="BH9077" s="386"/>
      <c r="BI9077" s="386"/>
      <c r="BJ9077" s="46"/>
    </row>
    <row r="9078" spans="59:62" x14ac:dyDescent="0.3">
      <c r="BG9078" s="387"/>
      <c r="BH9078" s="386"/>
      <c r="BI9078" s="386"/>
      <c r="BJ9078" s="46"/>
    </row>
    <row r="9079" spans="59:62" x14ac:dyDescent="0.3">
      <c r="BG9079" s="387"/>
      <c r="BH9079" s="386"/>
      <c r="BI9079" s="386"/>
      <c r="BJ9079" s="46"/>
    </row>
    <row r="9080" spans="59:62" x14ac:dyDescent="0.3">
      <c r="BG9080" s="387"/>
      <c r="BH9080" s="386"/>
      <c r="BI9080" s="386"/>
      <c r="BJ9080" s="46"/>
    </row>
    <row r="9081" spans="59:62" x14ac:dyDescent="0.3">
      <c r="BG9081" s="387"/>
      <c r="BH9081" s="386"/>
      <c r="BI9081" s="386"/>
      <c r="BJ9081" s="46"/>
    </row>
    <row r="9082" spans="59:62" x14ac:dyDescent="0.3">
      <c r="BG9082" s="387"/>
      <c r="BH9082" s="386"/>
      <c r="BI9082" s="386"/>
      <c r="BJ9082" s="46"/>
    </row>
    <row r="9083" spans="59:62" x14ac:dyDescent="0.3">
      <c r="BG9083" s="387"/>
      <c r="BH9083" s="386"/>
      <c r="BI9083" s="386"/>
      <c r="BJ9083" s="46"/>
    </row>
    <row r="9084" spans="59:62" x14ac:dyDescent="0.3">
      <c r="BG9084" s="387"/>
      <c r="BH9084" s="386"/>
      <c r="BI9084" s="386"/>
      <c r="BJ9084" s="46"/>
    </row>
    <row r="9085" spans="59:62" x14ac:dyDescent="0.3">
      <c r="BG9085" s="387"/>
      <c r="BH9085" s="386"/>
      <c r="BI9085" s="386"/>
      <c r="BJ9085" s="46"/>
    </row>
    <row r="9086" spans="59:62" x14ac:dyDescent="0.3">
      <c r="BG9086" s="387"/>
      <c r="BH9086" s="386"/>
      <c r="BI9086" s="386"/>
      <c r="BJ9086" s="46"/>
    </row>
    <row r="9087" spans="59:62" x14ac:dyDescent="0.3">
      <c r="BG9087" s="387"/>
      <c r="BH9087" s="386"/>
      <c r="BI9087" s="386"/>
      <c r="BJ9087" s="46"/>
    </row>
    <row r="9088" spans="59:62" x14ac:dyDescent="0.3">
      <c r="BG9088" s="387"/>
      <c r="BH9088" s="386"/>
      <c r="BI9088" s="386"/>
      <c r="BJ9088" s="46"/>
    </row>
    <row r="9089" spans="59:62" x14ac:dyDescent="0.3">
      <c r="BG9089" s="387"/>
      <c r="BH9089" s="386"/>
      <c r="BI9089" s="386"/>
      <c r="BJ9089" s="46"/>
    </row>
    <row r="9090" spans="59:62" x14ac:dyDescent="0.3">
      <c r="BG9090" s="387"/>
      <c r="BH9090" s="386"/>
      <c r="BI9090" s="386"/>
      <c r="BJ9090" s="46"/>
    </row>
    <row r="9091" spans="59:62" x14ac:dyDescent="0.3">
      <c r="BG9091" s="387"/>
      <c r="BH9091" s="386"/>
      <c r="BI9091" s="386"/>
      <c r="BJ9091" s="46"/>
    </row>
    <row r="9092" spans="59:62" x14ac:dyDescent="0.3">
      <c r="BG9092" s="387"/>
      <c r="BH9092" s="386"/>
      <c r="BI9092" s="386"/>
      <c r="BJ9092" s="46"/>
    </row>
    <row r="9093" spans="59:62" x14ac:dyDescent="0.3">
      <c r="BG9093" s="387"/>
      <c r="BH9093" s="386"/>
      <c r="BI9093" s="386"/>
      <c r="BJ9093" s="46"/>
    </row>
    <row r="9094" spans="59:62" x14ac:dyDescent="0.3">
      <c r="BG9094" s="387"/>
      <c r="BH9094" s="386"/>
      <c r="BI9094" s="386"/>
      <c r="BJ9094" s="46"/>
    </row>
    <row r="9095" spans="59:62" x14ac:dyDescent="0.3">
      <c r="BG9095" s="387"/>
      <c r="BH9095" s="386"/>
      <c r="BI9095" s="386"/>
      <c r="BJ9095" s="46"/>
    </row>
    <row r="9096" spans="59:62" x14ac:dyDescent="0.3">
      <c r="BG9096" s="387"/>
      <c r="BH9096" s="386"/>
      <c r="BI9096" s="386"/>
      <c r="BJ9096" s="46"/>
    </row>
    <row r="9097" spans="59:62" x14ac:dyDescent="0.3">
      <c r="BG9097" s="387"/>
      <c r="BH9097" s="386"/>
      <c r="BI9097" s="386"/>
      <c r="BJ9097" s="46"/>
    </row>
    <row r="9098" spans="59:62" x14ac:dyDescent="0.3">
      <c r="BG9098" s="387"/>
      <c r="BH9098" s="386"/>
      <c r="BI9098" s="386"/>
      <c r="BJ9098" s="46"/>
    </row>
    <row r="9099" spans="59:62" x14ac:dyDescent="0.3">
      <c r="BG9099" s="387"/>
      <c r="BH9099" s="386"/>
      <c r="BI9099" s="386"/>
      <c r="BJ9099" s="46"/>
    </row>
    <row r="9100" spans="59:62" x14ac:dyDescent="0.3">
      <c r="BG9100" s="387"/>
      <c r="BH9100" s="386"/>
      <c r="BI9100" s="386"/>
      <c r="BJ9100" s="46"/>
    </row>
    <row r="9101" spans="59:62" x14ac:dyDescent="0.3">
      <c r="BG9101" s="387"/>
      <c r="BH9101" s="386"/>
      <c r="BI9101" s="386"/>
      <c r="BJ9101" s="46"/>
    </row>
    <row r="9102" spans="59:62" x14ac:dyDescent="0.3">
      <c r="BG9102" s="387"/>
      <c r="BH9102" s="386"/>
      <c r="BI9102" s="386"/>
      <c r="BJ9102" s="46"/>
    </row>
    <row r="9103" spans="59:62" x14ac:dyDescent="0.3">
      <c r="BG9103" s="387"/>
      <c r="BH9103" s="386"/>
      <c r="BI9103" s="386"/>
      <c r="BJ9103" s="46"/>
    </row>
    <row r="9104" spans="59:62" x14ac:dyDescent="0.3">
      <c r="BG9104" s="387"/>
      <c r="BH9104" s="386"/>
      <c r="BI9104" s="386"/>
      <c r="BJ9104" s="46"/>
    </row>
    <row r="9105" spans="59:62" x14ac:dyDescent="0.3">
      <c r="BG9105" s="387"/>
      <c r="BH9105" s="386"/>
      <c r="BI9105" s="386"/>
      <c r="BJ9105" s="46"/>
    </row>
    <row r="9106" spans="59:62" x14ac:dyDescent="0.3">
      <c r="BG9106" s="387"/>
      <c r="BH9106" s="386"/>
      <c r="BI9106" s="386"/>
      <c r="BJ9106" s="46"/>
    </row>
    <row r="9107" spans="59:62" x14ac:dyDescent="0.3">
      <c r="BG9107" s="387"/>
      <c r="BH9107" s="386"/>
      <c r="BI9107" s="386"/>
      <c r="BJ9107" s="46"/>
    </row>
    <row r="9108" spans="59:62" x14ac:dyDescent="0.3">
      <c r="BG9108" s="387"/>
      <c r="BH9108" s="386"/>
      <c r="BI9108" s="386"/>
      <c r="BJ9108" s="46"/>
    </row>
    <row r="9109" spans="59:62" x14ac:dyDescent="0.3">
      <c r="BG9109" s="387"/>
      <c r="BH9109" s="386"/>
      <c r="BI9109" s="386"/>
      <c r="BJ9109" s="46"/>
    </row>
    <row r="9110" spans="59:62" x14ac:dyDescent="0.3">
      <c r="BG9110" s="387"/>
      <c r="BH9110" s="386"/>
      <c r="BI9110" s="386"/>
      <c r="BJ9110" s="46"/>
    </row>
    <row r="9111" spans="59:62" x14ac:dyDescent="0.3">
      <c r="BG9111" s="387"/>
      <c r="BH9111" s="386"/>
      <c r="BI9111" s="386"/>
      <c r="BJ9111" s="46"/>
    </row>
    <row r="9112" spans="59:62" x14ac:dyDescent="0.3">
      <c r="BG9112" s="387"/>
      <c r="BH9112" s="386"/>
      <c r="BI9112" s="386"/>
      <c r="BJ9112" s="46"/>
    </row>
    <row r="9113" spans="59:62" x14ac:dyDescent="0.3">
      <c r="BG9113" s="387"/>
      <c r="BH9113" s="386"/>
      <c r="BI9113" s="386"/>
      <c r="BJ9113" s="46"/>
    </row>
    <row r="9114" spans="59:62" x14ac:dyDescent="0.3">
      <c r="BG9114" s="387"/>
      <c r="BH9114" s="386"/>
      <c r="BI9114" s="386"/>
      <c r="BJ9114" s="46"/>
    </row>
    <row r="9115" spans="59:62" x14ac:dyDescent="0.3">
      <c r="BG9115" s="387"/>
      <c r="BH9115" s="386"/>
      <c r="BI9115" s="386"/>
      <c r="BJ9115" s="46"/>
    </row>
    <row r="9116" spans="59:62" x14ac:dyDescent="0.3">
      <c r="BG9116" s="387"/>
      <c r="BH9116" s="386"/>
      <c r="BI9116" s="386"/>
      <c r="BJ9116" s="46"/>
    </row>
    <row r="9117" spans="59:62" x14ac:dyDescent="0.3">
      <c r="BG9117" s="387"/>
      <c r="BH9117" s="386"/>
      <c r="BI9117" s="386"/>
      <c r="BJ9117" s="46"/>
    </row>
    <row r="9118" spans="59:62" x14ac:dyDescent="0.3">
      <c r="BG9118" s="387"/>
      <c r="BH9118" s="386"/>
      <c r="BI9118" s="386"/>
      <c r="BJ9118" s="46"/>
    </row>
    <row r="9119" spans="59:62" x14ac:dyDescent="0.3">
      <c r="BG9119" s="387"/>
      <c r="BH9119" s="386"/>
      <c r="BI9119" s="386"/>
      <c r="BJ9119" s="46"/>
    </row>
    <row r="9120" spans="59:62" x14ac:dyDescent="0.3">
      <c r="BG9120" s="387"/>
      <c r="BH9120" s="386"/>
      <c r="BI9120" s="386"/>
      <c r="BJ9120" s="46"/>
    </row>
    <row r="9121" spans="59:62" x14ac:dyDescent="0.3">
      <c r="BG9121" s="387"/>
      <c r="BH9121" s="386"/>
      <c r="BI9121" s="386"/>
      <c r="BJ9121" s="46"/>
    </row>
    <row r="9122" spans="59:62" x14ac:dyDescent="0.3">
      <c r="BG9122" s="387"/>
      <c r="BH9122" s="386"/>
      <c r="BI9122" s="386"/>
      <c r="BJ9122" s="46"/>
    </row>
    <row r="9123" spans="59:62" x14ac:dyDescent="0.3">
      <c r="BG9123" s="387"/>
      <c r="BH9123" s="386"/>
      <c r="BI9123" s="386"/>
      <c r="BJ9123" s="46"/>
    </row>
    <row r="9124" spans="59:62" x14ac:dyDescent="0.3">
      <c r="BG9124" s="387"/>
      <c r="BH9124" s="386"/>
      <c r="BI9124" s="386"/>
      <c r="BJ9124" s="46"/>
    </row>
    <row r="9125" spans="59:62" x14ac:dyDescent="0.3">
      <c r="BG9125" s="387"/>
      <c r="BH9125" s="386"/>
      <c r="BI9125" s="386"/>
      <c r="BJ9125" s="46"/>
    </row>
    <row r="9126" spans="59:62" x14ac:dyDescent="0.3">
      <c r="BG9126" s="387"/>
      <c r="BH9126" s="386"/>
      <c r="BI9126" s="386"/>
      <c r="BJ9126" s="46"/>
    </row>
    <row r="9127" spans="59:62" x14ac:dyDescent="0.3">
      <c r="BG9127" s="387"/>
      <c r="BH9127" s="386"/>
      <c r="BI9127" s="386"/>
      <c r="BJ9127" s="46"/>
    </row>
    <row r="9128" spans="59:62" x14ac:dyDescent="0.3">
      <c r="BG9128" s="387"/>
      <c r="BH9128" s="386"/>
      <c r="BI9128" s="386"/>
      <c r="BJ9128" s="46"/>
    </row>
    <row r="9129" spans="59:62" x14ac:dyDescent="0.3">
      <c r="BG9129" s="387"/>
      <c r="BH9129" s="386"/>
      <c r="BI9129" s="386"/>
      <c r="BJ9129" s="46"/>
    </row>
    <row r="9130" spans="59:62" x14ac:dyDescent="0.3">
      <c r="BG9130" s="387"/>
      <c r="BH9130" s="386"/>
      <c r="BI9130" s="386"/>
      <c r="BJ9130" s="46"/>
    </row>
    <row r="9131" spans="59:62" x14ac:dyDescent="0.3">
      <c r="BG9131" s="387"/>
      <c r="BH9131" s="386"/>
      <c r="BI9131" s="386"/>
      <c r="BJ9131" s="46"/>
    </row>
    <row r="9132" spans="59:62" x14ac:dyDescent="0.3">
      <c r="BG9132" s="387"/>
      <c r="BH9132" s="386"/>
      <c r="BI9132" s="386"/>
      <c r="BJ9132" s="46"/>
    </row>
    <row r="9133" spans="59:62" x14ac:dyDescent="0.3">
      <c r="BG9133" s="387"/>
      <c r="BH9133" s="386"/>
      <c r="BI9133" s="386"/>
      <c r="BJ9133" s="46"/>
    </row>
    <row r="9134" spans="59:62" x14ac:dyDescent="0.3">
      <c r="BG9134" s="387"/>
      <c r="BH9134" s="386"/>
      <c r="BI9134" s="386"/>
      <c r="BJ9134" s="46"/>
    </row>
    <row r="9135" spans="59:62" x14ac:dyDescent="0.3">
      <c r="BG9135" s="387"/>
      <c r="BH9135" s="386"/>
      <c r="BI9135" s="386"/>
      <c r="BJ9135" s="46"/>
    </row>
    <row r="9136" spans="59:62" x14ac:dyDescent="0.3">
      <c r="BG9136" s="387"/>
      <c r="BH9136" s="386"/>
      <c r="BI9136" s="386"/>
      <c r="BJ9136" s="46"/>
    </row>
    <row r="9137" spans="59:62" x14ac:dyDescent="0.3">
      <c r="BG9137" s="387"/>
      <c r="BH9137" s="386"/>
      <c r="BI9137" s="386"/>
      <c r="BJ9137" s="46"/>
    </row>
    <row r="9138" spans="59:62" x14ac:dyDescent="0.3">
      <c r="BG9138" s="387"/>
      <c r="BH9138" s="386"/>
      <c r="BI9138" s="386"/>
      <c r="BJ9138" s="46"/>
    </row>
    <row r="9139" spans="59:62" x14ac:dyDescent="0.3">
      <c r="BG9139" s="387"/>
      <c r="BH9139" s="386"/>
      <c r="BI9139" s="386"/>
      <c r="BJ9139" s="46"/>
    </row>
    <row r="9140" spans="59:62" x14ac:dyDescent="0.3">
      <c r="BG9140" s="387"/>
      <c r="BH9140" s="386"/>
      <c r="BI9140" s="386"/>
      <c r="BJ9140" s="46"/>
    </row>
    <row r="9141" spans="59:62" x14ac:dyDescent="0.3">
      <c r="BG9141" s="387"/>
      <c r="BH9141" s="386"/>
      <c r="BI9141" s="386"/>
      <c r="BJ9141" s="46"/>
    </row>
    <row r="9142" spans="59:62" x14ac:dyDescent="0.3">
      <c r="BG9142" s="387"/>
      <c r="BH9142" s="386"/>
      <c r="BI9142" s="386"/>
      <c r="BJ9142" s="46"/>
    </row>
    <row r="9143" spans="59:62" x14ac:dyDescent="0.3">
      <c r="BG9143" s="387"/>
      <c r="BH9143" s="386"/>
      <c r="BI9143" s="386"/>
      <c r="BJ9143" s="46"/>
    </row>
    <row r="9144" spans="59:62" x14ac:dyDescent="0.3">
      <c r="BG9144" s="387"/>
      <c r="BH9144" s="386"/>
      <c r="BI9144" s="386"/>
      <c r="BJ9144" s="46"/>
    </row>
    <row r="9145" spans="59:62" x14ac:dyDescent="0.3">
      <c r="BG9145" s="387"/>
      <c r="BH9145" s="386"/>
      <c r="BI9145" s="386"/>
      <c r="BJ9145" s="46"/>
    </row>
    <row r="9146" spans="59:62" x14ac:dyDescent="0.3">
      <c r="BG9146" s="387"/>
      <c r="BH9146" s="386"/>
      <c r="BI9146" s="386"/>
      <c r="BJ9146" s="46"/>
    </row>
    <row r="9147" spans="59:62" x14ac:dyDescent="0.3">
      <c r="BG9147" s="387"/>
      <c r="BH9147" s="386"/>
      <c r="BI9147" s="386"/>
      <c r="BJ9147" s="46"/>
    </row>
    <row r="9148" spans="59:62" x14ac:dyDescent="0.3">
      <c r="BG9148" s="387"/>
      <c r="BH9148" s="386"/>
      <c r="BI9148" s="386"/>
      <c r="BJ9148" s="46"/>
    </row>
    <row r="9149" spans="59:62" x14ac:dyDescent="0.3">
      <c r="BG9149" s="387"/>
      <c r="BH9149" s="386"/>
      <c r="BI9149" s="386"/>
      <c r="BJ9149" s="46"/>
    </row>
    <row r="9150" spans="59:62" x14ac:dyDescent="0.3">
      <c r="BG9150" s="387"/>
      <c r="BH9150" s="386"/>
      <c r="BI9150" s="386"/>
      <c r="BJ9150" s="46"/>
    </row>
    <row r="9151" spans="59:62" x14ac:dyDescent="0.3">
      <c r="BG9151" s="387"/>
      <c r="BH9151" s="386"/>
      <c r="BI9151" s="386"/>
      <c r="BJ9151" s="46"/>
    </row>
    <row r="9152" spans="59:62" x14ac:dyDescent="0.3">
      <c r="BG9152" s="387"/>
      <c r="BH9152" s="386"/>
      <c r="BI9152" s="386"/>
      <c r="BJ9152" s="46"/>
    </row>
    <row r="9153" spans="59:62" x14ac:dyDescent="0.3">
      <c r="BG9153" s="387"/>
      <c r="BH9153" s="386"/>
      <c r="BI9153" s="386"/>
      <c r="BJ9153" s="46"/>
    </row>
    <row r="9154" spans="59:62" x14ac:dyDescent="0.3">
      <c r="BG9154" s="387"/>
      <c r="BH9154" s="386"/>
      <c r="BI9154" s="386"/>
      <c r="BJ9154" s="46"/>
    </row>
    <row r="9155" spans="59:62" x14ac:dyDescent="0.3">
      <c r="BG9155" s="387"/>
      <c r="BH9155" s="386"/>
      <c r="BI9155" s="386"/>
      <c r="BJ9155" s="46"/>
    </row>
    <row r="9156" spans="59:62" x14ac:dyDescent="0.3">
      <c r="BG9156" s="387"/>
      <c r="BH9156" s="386"/>
      <c r="BI9156" s="386"/>
      <c r="BJ9156" s="46"/>
    </row>
    <row r="9157" spans="59:62" x14ac:dyDescent="0.3">
      <c r="BG9157" s="387"/>
      <c r="BH9157" s="386"/>
      <c r="BI9157" s="386"/>
      <c r="BJ9157" s="46"/>
    </row>
    <row r="9158" spans="59:62" x14ac:dyDescent="0.3">
      <c r="BG9158" s="387"/>
      <c r="BH9158" s="386"/>
      <c r="BI9158" s="386"/>
      <c r="BJ9158" s="46"/>
    </row>
    <row r="9159" spans="59:62" x14ac:dyDescent="0.3">
      <c r="BG9159" s="387"/>
      <c r="BH9159" s="386"/>
      <c r="BI9159" s="386"/>
      <c r="BJ9159" s="46"/>
    </row>
    <row r="9160" spans="59:62" x14ac:dyDescent="0.3">
      <c r="BG9160" s="387"/>
      <c r="BH9160" s="386"/>
      <c r="BI9160" s="386"/>
      <c r="BJ9160" s="46"/>
    </row>
    <row r="9161" spans="59:62" x14ac:dyDescent="0.3">
      <c r="BG9161" s="387"/>
      <c r="BH9161" s="386"/>
      <c r="BI9161" s="386"/>
      <c r="BJ9161" s="46"/>
    </row>
    <row r="9162" spans="59:62" x14ac:dyDescent="0.3">
      <c r="BG9162" s="387"/>
      <c r="BH9162" s="386"/>
      <c r="BI9162" s="386"/>
      <c r="BJ9162" s="46"/>
    </row>
    <row r="9163" spans="59:62" x14ac:dyDescent="0.3">
      <c r="BG9163" s="387"/>
      <c r="BH9163" s="386"/>
      <c r="BI9163" s="386"/>
      <c r="BJ9163" s="46"/>
    </row>
    <row r="9164" spans="59:62" x14ac:dyDescent="0.3">
      <c r="BG9164" s="387"/>
      <c r="BH9164" s="386"/>
      <c r="BI9164" s="386"/>
      <c r="BJ9164" s="46"/>
    </row>
    <row r="9165" spans="59:62" x14ac:dyDescent="0.3">
      <c r="BG9165" s="387"/>
      <c r="BH9165" s="386"/>
      <c r="BI9165" s="386"/>
      <c r="BJ9165" s="46"/>
    </row>
    <row r="9166" spans="59:62" x14ac:dyDescent="0.3">
      <c r="BG9166" s="387"/>
      <c r="BH9166" s="386"/>
      <c r="BI9166" s="386"/>
      <c r="BJ9166" s="46"/>
    </row>
    <row r="9167" spans="59:62" x14ac:dyDescent="0.3">
      <c r="BG9167" s="387"/>
      <c r="BH9167" s="386"/>
      <c r="BI9167" s="386"/>
      <c r="BJ9167" s="46"/>
    </row>
    <row r="9168" spans="59:62" x14ac:dyDescent="0.3">
      <c r="BG9168" s="387"/>
      <c r="BH9168" s="386"/>
      <c r="BI9168" s="386"/>
      <c r="BJ9168" s="46"/>
    </row>
    <row r="9169" spans="59:62" x14ac:dyDescent="0.3">
      <c r="BG9169" s="387"/>
      <c r="BH9169" s="386"/>
      <c r="BI9169" s="386"/>
      <c r="BJ9169" s="46"/>
    </row>
    <row r="9170" spans="59:62" x14ac:dyDescent="0.3">
      <c r="BG9170" s="387"/>
      <c r="BH9170" s="386"/>
      <c r="BI9170" s="386"/>
      <c r="BJ9170" s="46"/>
    </row>
    <row r="9171" spans="59:62" x14ac:dyDescent="0.3">
      <c r="BG9171" s="387"/>
      <c r="BH9171" s="386"/>
      <c r="BI9171" s="386"/>
      <c r="BJ9171" s="46"/>
    </row>
    <row r="9172" spans="59:62" x14ac:dyDescent="0.3">
      <c r="BG9172" s="387"/>
      <c r="BH9172" s="386"/>
      <c r="BI9172" s="386"/>
      <c r="BJ9172" s="46"/>
    </row>
    <row r="9173" spans="59:62" x14ac:dyDescent="0.3">
      <c r="BG9173" s="387"/>
      <c r="BH9173" s="386"/>
      <c r="BI9173" s="386"/>
      <c r="BJ9173" s="46"/>
    </row>
    <row r="9174" spans="59:62" x14ac:dyDescent="0.3">
      <c r="BG9174" s="387"/>
      <c r="BH9174" s="386"/>
      <c r="BI9174" s="386"/>
      <c r="BJ9174" s="46"/>
    </row>
    <row r="9175" spans="59:62" x14ac:dyDescent="0.3">
      <c r="BG9175" s="387"/>
      <c r="BH9175" s="386"/>
      <c r="BI9175" s="386"/>
      <c r="BJ9175" s="46"/>
    </row>
    <row r="9176" spans="59:62" x14ac:dyDescent="0.3">
      <c r="BG9176" s="387"/>
      <c r="BH9176" s="386"/>
      <c r="BI9176" s="386"/>
      <c r="BJ9176" s="46"/>
    </row>
    <row r="9177" spans="59:62" x14ac:dyDescent="0.3">
      <c r="BG9177" s="387"/>
      <c r="BH9177" s="386"/>
      <c r="BI9177" s="386"/>
      <c r="BJ9177" s="46"/>
    </row>
    <row r="9178" spans="59:62" x14ac:dyDescent="0.3">
      <c r="BG9178" s="387"/>
      <c r="BH9178" s="386"/>
      <c r="BI9178" s="386"/>
      <c r="BJ9178" s="46"/>
    </row>
    <row r="9179" spans="59:62" x14ac:dyDescent="0.3">
      <c r="BG9179" s="387"/>
      <c r="BH9179" s="386"/>
      <c r="BI9179" s="386"/>
      <c r="BJ9179" s="46"/>
    </row>
    <row r="9180" spans="59:62" x14ac:dyDescent="0.3">
      <c r="BG9180" s="387"/>
      <c r="BH9180" s="386"/>
      <c r="BI9180" s="386"/>
      <c r="BJ9180" s="46"/>
    </row>
    <row r="9181" spans="59:62" x14ac:dyDescent="0.3">
      <c r="BG9181" s="387"/>
      <c r="BH9181" s="386"/>
      <c r="BI9181" s="386"/>
      <c r="BJ9181" s="46"/>
    </row>
    <row r="9182" spans="59:62" x14ac:dyDescent="0.3">
      <c r="BG9182" s="387"/>
      <c r="BH9182" s="386"/>
      <c r="BI9182" s="386"/>
      <c r="BJ9182" s="46"/>
    </row>
    <row r="9183" spans="59:62" x14ac:dyDescent="0.3">
      <c r="BG9183" s="387"/>
      <c r="BH9183" s="386"/>
      <c r="BI9183" s="386"/>
      <c r="BJ9183" s="46"/>
    </row>
    <row r="9184" spans="59:62" x14ac:dyDescent="0.3">
      <c r="BG9184" s="387"/>
      <c r="BH9184" s="386"/>
      <c r="BI9184" s="386"/>
      <c r="BJ9184" s="46"/>
    </row>
    <row r="9185" spans="59:62" x14ac:dyDescent="0.3">
      <c r="BG9185" s="387"/>
      <c r="BH9185" s="386"/>
      <c r="BI9185" s="386"/>
      <c r="BJ9185" s="46"/>
    </row>
    <row r="9186" spans="59:62" x14ac:dyDescent="0.3">
      <c r="BG9186" s="387"/>
      <c r="BH9186" s="386"/>
      <c r="BI9186" s="386"/>
      <c r="BJ9186" s="46"/>
    </row>
    <row r="9187" spans="59:62" x14ac:dyDescent="0.3">
      <c r="BG9187" s="387"/>
      <c r="BH9187" s="386"/>
      <c r="BI9187" s="386"/>
      <c r="BJ9187" s="46"/>
    </row>
    <row r="9188" spans="59:62" x14ac:dyDescent="0.3">
      <c r="BG9188" s="387"/>
      <c r="BH9188" s="386"/>
      <c r="BI9188" s="386"/>
      <c r="BJ9188" s="46"/>
    </row>
    <row r="9189" spans="59:62" x14ac:dyDescent="0.3">
      <c r="BG9189" s="387"/>
      <c r="BH9189" s="386"/>
      <c r="BI9189" s="386"/>
      <c r="BJ9189" s="46"/>
    </row>
    <row r="9190" spans="59:62" x14ac:dyDescent="0.3">
      <c r="BG9190" s="387"/>
      <c r="BH9190" s="386"/>
      <c r="BI9190" s="386"/>
      <c r="BJ9190" s="46"/>
    </row>
    <row r="9191" spans="59:62" x14ac:dyDescent="0.3">
      <c r="BG9191" s="387"/>
      <c r="BH9191" s="386"/>
      <c r="BI9191" s="386"/>
      <c r="BJ9191" s="46"/>
    </row>
    <row r="9192" spans="59:62" x14ac:dyDescent="0.3">
      <c r="BG9192" s="387"/>
      <c r="BH9192" s="386"/>
      <c r="BI9192" s="386"/>
      <c r="BJ9192" s="46"/>
    </row>
    <row r="9193" spans="59:62" x14ac:dyDescent="0.3">
      <c r="BG9193" s="387"/>
      <c r="BH9193" s="386"/>
      <c r="BI9193" s="386"/>
      <c r="BJ9193" s="46"/>
    </row>
    <row r="9194" spans="59:62" x14ac:dyDescent="0.3">
      <c r="BG9194" s="387"/>
      <c r="BH9194" s="386"/>
      <c r="BI9194" s="386"/>
      <c r="BJ9194" s="46"/>
    </row>
    <row r="9195" spans="59:62" x14ac:dyDescent="0.3">
      <c r="BG9195" s="387"/>
      <c r="BH9195" s="386"/>
      <c r="BI9195" s="386"/>
      <c r="BJ9195" s="46"/>
    </row>
    <row r="9196" spans="59:62" x14ac:dyDescent="0.3">
      <c r="BG9196" s="387"/>
      <c r="BH9196" s="386"/>
      <c r="BI9196" s="386"/>
      <c r="BJ9196" s="46"/>
    </row>
    <row r="9197" spans="59:62" x14ac:dyDescent="0.3">
      <c r="BG9197" s="387"/>
      <c r="BH9197" s="386"/>
      <c r="BI9197" s="386"/>
      <c r="BJ9197" s="46"/>
    </row>
    <row r="9198" spans="59:62" x14ac:dyDescent="0.3">
      <c r="BG9198" s="387"/>
      <c r="BH9198" s="386"/>
      <c r="BI9198" s="386"/>
      <c r="BJ9198" s="46"/>
    </row>
    <row r="9199" spans="59:62" x14ac:dyDescent="0.3">
      <c r="BG9199" s="387"/>
      <c r="BH9199" s="386"/>
      <c r="BI9199" s="386"/>
      <c r="BJ9199" s="46"/>
    </row>
    <row r="9200" spans="59:62" x14ac:dyDescent="0.3">
      <c r="BG9200" s="387"/>
      <c r="BH9200" s="386"/>
      <c r="BI9200" s="386"/>
      <c r="BJ9200" s="46"/>
    </row>
    <row r="9201" spans="59:62" x14ac:dyDescent="0.3">
      <c r="BG9201" s="387"/>
      <c r="BH9201" s="386"/>
      <c r="BI9201" s="386"/>
      <c r="BJ9201" s="46"/>
    </row>
    <row r="9202" spans="59:62" x14ac:dyDescent="0.3">
      <c r="BG9202" s="387"/>
      <c r="BH9202" s="386"/>
      <c r="BI9202" s="386"/>
      <c r="BJ9202" s="46"/>
    </row>
    <row r="9203" spans="59:62" x14ac:dyDescent="0.3">
      <c r="BG9203" s="387"/>
      <c r="BH9203" s="386"/>
      <c r="BI9203" s="386"/>
      <c r="BJ9203" s="46"/>
    </row>
    <row r="9204" spans="59:62" x14ac:dyDescent="0.3">
      <c r="BG9204" s="387"/>
      <c r="BH9204" s="386"/>
      <c r="BI9204" s="386"/>
      <c r="BJ9204" s="46"/>
    </row>
    <row r="9205" spans="59:62" x14ac:dyDescent="0.3">
      <c r="BG9205" s="387"/>
      <c r="BH9205" s="386"/>
      <c r="BI9205" s="386"/>
      <c r="BJ9205" s="46"/>
    </row>
    <row r="9206" spans="59:62" x14ac:dyDescent="0.3">
      <c r="BG9206" s="387"/>
      <c r="BH9206" s="386"/>
      <c r="BI9206" s="386"/>
      <c r="BJ9206" s="46"/>
    </row>
    <row r="9207" spans="59:62" x14ac:dyDescent="0.3">
      <c r="BG9207" s="387"/>
      <c r="BH9207" s="386"/>
      <c r="BI9207" s="386"/>
      <c r="BJ9207" s="46"/>
    </row>
    <row r="9208" spans="59:62" x14ac:dyDescent="0.3">
      <c r="BG9208" s="387"/>
      <c r="BH9208" s="386"/>
      <c r="BI9208" s="386"/>
      <c r="BJ9208" s="46"/>
    </row>
    <row r="9209" spans="59:62" x14ac:dyDescent="0.3">
      <c r="BG9209" s="387"/>
      <c r="BH9209" s="386"/>
      <c r="BI9209" s="386"/>
      <c r="BJ9209" s="46"/>
    </row>
    <row r="9210" spans="59:62" x14ac:dyDescent="0.3">
      <c r="BG9210" s="387"/>
      <c r="BH9210" s="386"/>
      <c r="BI9210" s="386"/>
      <c r="BJ9210" s="46"/>
    </row>
    <row r="9211" spans="59:62" x14ac:dyDescent="0.3">
      <c r="BG9211" s="387"/>
      <c r="BH9211" s="386"/>
      <c r="BI9211" s="386"/>
      <c r="BJ9211" s="46"/>
    </row>
    <row r="9212" spans="59:62" x14ac:dyDescent="0.3">
      <c r="BG9212" s="387"/>
      <c r="BH9212" s="386"/>
      <c r="BI9212" s="386"/>
      <c r="BJ9212" s="46"/>
    </row>
    <row r="9213" spans="59:62" x14ac:dyDescent="0.3">
      <c r="BG9213" s="387"/>
      <c r="BH9213" s="386"/>
      <c r="BI9213" s="386"/>
      <c r="BJ9213" s="46"/>
    </row>
    <row r="9214" spans="59:62" x14ac:dyDescent="0.3">
      <c r="BG9214" s="387"/>
      <c r="BH9214" s="386"/>
      <c r="BI9214" s="386"/>
      <c r="BJ9214" s="46"/>
    </row>
    <row r="9215" spans="59:62" x14ac:dyDescent="0.3">
      <c r="BG9215" s="387"/>
      <c r="BH9215" s="386"/>
      <c r="BI9215" s="386"/>
      <c r="BJ9215" s="46"/>
    </row>
    <row r="9216" spans="59:62" x14ac:dyDescent="0.3">
      <c r="BG9216" s="387"/>
      <c r="BH9216" s="386"/>
      <c r="BI9216" s="386"/>
      <c r="BJ9216" s="46"/>
    </row>
    <row r="9217" spans="59:62" x14ac:dyDescent="0.3">
      <c r="BG9217" s="387"/>
      <c r="BH9217" s="386"/>
      <c r="BI9217" s="386"/>
      <c r="BJ9217" s="46"/>
    </row>
    <row r="9218" spans="59:62" x14ac:dyDescent="0.3">
      <c r="BG9218" s="387"/>
      <c r="BH9218" s="386"/>
      <c r="BI9218" s="386"/>
      <c r="BJ9218" s="46"/>
    </row>
    <row r="9219" spans="59:62" x14ac:dyDescent="0.3">
      <c r="BG9219" s="387"/>
      <c r="BH9219" s="386"/>
      <c r="BI9219" s="386"/>
      <c r="BJ9219" s="46"/>
    </row>
    <row r="9220" spans="59:62" x14ac:dyDescent="0.3">
      <c r="BG9220" s="387"/>
      <c r="BH9220" s="386"/>
      <c r="BI9220" s="386"/>
      <c r="BJ9220" s="46"/>
    </row>
    <row r="9221" spans="59:62" x14ac:dyDescent="0.3">
      <c r="BG9221" s="387"/>
      <c r="BH9221" s="386"/>
      <c r="BI9221" s="386"/>
      <c r="BJ9221" s="46"/>
    </row>
    <row r="9222" spans="59:62" x14ac:dyDescent="0.3">
      <c r="BG9222" s="387"/>
      <c r="BH9222" s="386"/>
      <c r="BI9222" s="386"/>
      <c r="BJ9222" s="46"/>
    </row>
    <row r="9223" spans="59:62" x14ac:dyDescent="0.3">
      <c r="BG9223" s="387"/>
      <c r="BH9223" s="386"/>
      <c r="BI9223" s="386"/>
      <c r="BJ9223" s="46"/>
    </row>
    <row r="9224" spans="59:62" x14ac:dyDescent="0.3">
      <c r="BG9224" s="387"/>
      <c r="BH9224" s="386"/>
      <c r="BI9224" s="386"/>
      <c r="BJ9224" s="46"/>
    </row>
    <row r="9225" spans="59:62" x14ac:dyDescent="0.3">
      <c r="BG9225" s="387"/>
      <c r="BH9225" s="386"/>
      <c r="BI9225" s="386"/>
      <c r="BJ9225" s="46"/>
    </row>
    <row r="9226" spans="59:62" x14ac:dyDescent="0.3">
      <c r="BG9226" s="387"/>
      <c r="BH9226" s="386"/>
      <c r="BI9226" s="386"/>
      <c r="BJ9226" s="46"/>
    </row>
    <row r="9227" spans="59:62" x14ac:dyDescent="0.3">
      <c r="BG9227" s="387"/>
      <c r="BH9227" s="386"/>
      <c r="BI9227" s="386"/>
      <c r="BJ9227" s="46"/>
    </row>
    <row r="9228" spans="59:62" x14ac:dyDescent="0.3">
      <c r="BG9228" s="387"/>
      <c r="BH9228" s="386"/>
      <c r="BI9228" s="386"/>
      <c r="BJ9228" s="46"/>
    </row>
    <row r="9229" spans="59:62" x14ac:dyDescent="0.3">
      <c r="BG9229" s="387"/>
      <c r="BH9229" s="386"/>
      <c r="BI9229" s="386"/>
      <c r="BJ9229" s="46"/>
    </row>
    <row r="9230" spans="59:62" x14ac:dyDescent="0.3">
      <c r="BG9230" s="387"/>
      <c r="BH9230" s="386"/>
      <c r="BI9230" s="386"/>
      <c r="BJ9230" s="46"/>
    </row>
    <row r="9231" spans="59:62" x14ac:dyDescent="0.3">
      <c r="BG9231" s="387"/>
      <c r="BH9231" s="386"/>
      <c r="BI9231" s="386"/>
      <c r="BJ9231" s="46"/>
    </row>
    <row r="9232" spans="59:62" x14ac:dyDescent="0.3">
      <c r="BG9232" s="387"/>
      <c r="BH9232" s="386"/>
      <c r="BI9232" s="386"/>
      <c r="BJ9232" s="46"/>
    </row>
    <row r="9233" spans="59:62" x14ac:dyDescent="0.3">
      <c r="BG9233" s="387"/>
      <c r="BH9233" s="386"/>
      <c r="BI9233" s="386"/>
      <c r="BJ9233" s="46"/>
    </row>
    <row r="9234" spans="59:62" x14ac:dyDescent="0.3">
      <c r="BG9234" s="387"/>
      <c r="BH9234" s="386"/>
      <c r="BI9234" s="386"/>
      <c r="BJ9234" s="46"/>
    </row>
    <row r="9235" spans="59:62" x14ac:dyDescent="0.3">
      <c r="BG9235" s="387"/>
      <c r="BH9235" s="386"/>
      <c r="BI9235" s="386"/>
      <c r="BJ9235" s="46"/>
    </row>
    <row r="9236" spans="59:62" x14ac:dyDescent="0.3">
      <c r="BG9236" s="387"/>
      <c r="BH9236" s="386"/>
      <c r="BI9236" s="386"/>
      <c r="BJ9236" s="46"/>
    </row>
    <row r="9237" spans="59:62" x14ac:dyDescent="0.3">
      <c r="BG9237" s="387"/>
      <c r="BH9237" s="386"/>
      <c r="BI9237" s="386"/>
      <c r="BJ9237" s="46"/>
    </row>
    <row r="9238" spans="59:62" x14ac:dyDescent="0.3">
      <c r="BG9238" s="387"/>
      <c r="BH9238" s="386"/>
      <c r="BI9238" s="386"/>
      <c r="BJ9238" s="46"/>
    </row>
    <row r="9239" spans="59:62" x14ac:dyDescent="0.3">
      <c r="BG9239" s="387"/>
      <c r="BH9239" s="386"/>
      <c r="BI9239" s="386"/>
      <c r="BJ9239" s="46"/>
    </row>
    <row r="9240" spans="59:62" x14ac:dyDescent="0.3">
      <c r="BG9240" s="387"/>
      <c r="BH9240" s="386"/>
      <c r="BI9240" s="386"/>
      <c r="BJ9240" s="46"/>
    </row>
    <row r="9241" spans="59:62" x14ac:dyDescent="0.3">
      <c r="BG9241" s="387"/>
      <c r="BH9241" s="386"/>
      <c r="BI9241" s="386"/>
      <c r="BJ9241" s="46"/>
    </row>
    <row r="9242" spans="59:62" x14ac:dyDescent="0.3">
      <c r="BG9242" s="387"/>
      <c r="BH9242" s="386"/>
      <c r="BI9242" s="386"/>
      <c r="BJ9242" s="46"/>
    </row>
    <row r="9243" spans="59:62" x14ac:dyDescent="0.3">
      <c r="BG9243" s="387"/>
      <c r="BH9243" s="386"/>
      <c r="BI9243" s="386"/>
      <c r="BJ9243" s="46"/>
    </row>
    <row r="9244" spans="59:62" x14ac:dyDescent="0.3">
      <c r="BG9244" s="387"/>
      <c r="BH9244" s="386"/>
      <c r="BI9244" s="386"/>
      <c r="BJ9244" s="46"/>
    </row>
    <row r="9245" spans="59:62" x14ac:dyDescent="0.3">
      <c r="BG9245" s="387"/>
      <c r="BH9245" s="386"/>
      <c r="BI9245" s="386"/>
      <c r="BJ9245" s="46"/>
    </row>
    <row r="9246" spans="59:62" x14ac:dyDescent="0.3">
      <c r="BG9246" s="387"/>
      <c r="BH9246" s="386"/>
      <c r="BI9246" s="386"/>
      <c r="BJ9246" s="46"/>
    </row>
    <row r="9247" spans="59:62" x14ac:dyDescent="0.3">
      <c r="BG9247" s="387"/>
      <c r="BH9247" s="386"/>
      <c r="BI9247" s="386"/>
      <c r="BJ9247" s="46"/>
    </row>
    <row r="9248" spans="59:62" x14ac:dyDescent="0.3">
      <c r="BG9248" s="387"/>
      <c r="BH9248" s="386"/>
      <c r="BI9248" s="386"/>
      <c r="BJ9248" s="46"/>
    </row>
    <row r="9249" spans="59:62" x14ac:dyDescent="0.3">
      <c r="BG9249" s="387"/>
      <c r="BH9249" s="386"/>
      <c r="BI9249" s="386"/>
      <c r="BJ9249" s="46"/>
    </row>
    <row r="9250" spans="59:62" x14ac:dyDescent="0.3">
      <c r="BG9250" s="387"/>
      <c r="BH9250" s="386"/>
      <c r="BI9250" s="386"/>
      <c r="BJ9250" s="46"/>
    </row>
    <row r="9251" spans="59:62" x14ac:dyDescent="0.3">
      <c r="BG9251" s="387"/>
      <c r="BH9251" s="386"/>
      <c r="BI9251" s="386"/>
      <c r="BJ9251" s="46"/>
    </row>
    <row r="9252" spans="59:62" x14ac:dyDescent="0.3">
      <c r="BG9252" s="387"/>
      <c r="BH9252" s="386"/>
      <c r="BI9252" s="386"/>
      <c r="BJ9252" s="46"/>
    </row>
    <row r="9253" spans="59:62" x14ac:dyDescent="0.3">
      <c r="BG9253" s="387"/>
      <c r="BH9253" s="386"/>
      <c r="BI9253" s="386"/>
      <c r="BJ9253" s="46"/>
    </row>
    <row r="9254" spans="59:62" x14ac:dyDescent="0.3">
      <c r="BG9254" s="387"/>
      <c r="BH9254" s="386"/>
      <c r="BI9254" s="386"/>
      <c r="BJ9254" s="46"/>
    </row>
    <row r="9255" spans="59:62" x14ac:dyDescent="0.3">
      <c r="BG9255" s="387"/>
      <c r="BH9255" s="386"/>
      <c r="BI9255" s="386"/>
      <c r="BJ9255" s="46"/>
    </row>
    <row r="9256" spans="59:62" x14ac:dyDescent="0.3">
      <c r="BG9256" s="387"/>
      <c r="BH9256" s="386"/>
      <c r="BI9256" s="386"/>
      <c r="BJ9256" s="46"/>
    </row>
    <row r="9257" spans="59:62" x14ac:dyDescent="0.3">
      <c r="BG9257" s="387"/>
      <c r="BH9257" s="386"/>
      <c r="BI9257" s="386"/>
      <c r="BJ9257" s="46"/>
    </row>
    <row r="9258" spans="59:62" x14ac:dyDescent="0.3">
      <c r="BG9258" s="387"/>
      <c r="BH9258" s="386"/>
      <c r="BI9258" s="386"/>
      <c r="BJ9258" s="46"/>
    </row>
    <row r="9259" spans="59:62" x14ac:dyDescent="0.3">
      <c r="BG9259" s="387"/>
      <c r="BH9259" s="386"/>
      <c r="BI9259" s="386"/>
      <c r="BJ9259" s="46"/>
    </row>
    <row r="9260" spans="59:62" x14ac:dyDescent="0.3">
      <c r="BG9260" s="387"/>
      <c r="BH9260" s="386"/>
      <c r="BI9260" s="386"/>
      <c r="BJ9260" s="46"/>
    </row>
    <row r="9261" spans="59:62" x14ac:dyDescent="0.3">
      <c r="BG9261" s="387"/>
      <c r="BH9261" s="386"/>
      <c r="BI9261" s="386"/>
      <c r="BJ9261" s="46"/>
    </row>
    <row r="9262" spans="59:62" x14ac:dyDescent="0.3">
      <c r="BG9262" s="387"/>
      <c r="BH9262" s="386"/>
      <c r="BI9262" s="386"/>
      <c r="BJ9262" s="46"/>
    </row>
    <row r="9263" spans="59:62" x14ac:dyDescent="0.3">
      <c r="BG9263" s="387"/>
      <c r="BH9263" s="386"/>
      <c r="BI9263" s="386"/>
      <c r="BJ9263" s="46"/>
    </row>
    <row r="9264" spans="59:62" x14ac:dyDescent="0.3">
      <c r="BG9264" s="387"/>
      <c r="BH9264" s="386"/>
      <c r="BI9264" s="386"/>
      <c r="BJ9264" s="46"/>
    </row>
    <row r="9265" spans="59:62" x14ac:dyDescent="0.3">
      <c r="BG9265" s="387"/>
      <c r="BH9265" s="386"/>
      <c r="BI9265" s="386"/>
      <c r="BJ9265" s="46"/>
    </row>
    <row r="9266" spans="59:62" x14ac:dyDescent="0.3">
      <c r="BG9266" s="387"/>
      <c r="BH9266" s="386"/>
      <c r="BI9266" s="386"/>
      <c r="BJ9266" s="46"/>
    </row>
    <row r="9267" spans="59:62" x14ac:dyDescent="0.3">
      <c r="BG9267" s="387"/>
      <c r="BH9267" s="386"/>
      <c r="BI9267" s="386"/>
      <c r="BJ9267" s="46"/>
    </row>
    <row r="9268" spans="59:62" x14ac:dyDescent="0.3">
      <c r="BG9268" s="387"/>
      <c r="BH9268" s="386"/>
      <c r="BI9268" s="386"/>
      <c r="BJ9268" s="46"/>
    </row>
    <row r="9269" spans="59:62" x14ac:dyDescent="0.3">
      <c r="BG9269" s="387"/>
      <c r="BH9269" s="386"/>
      <c r="BI9269" s="386"/>
      <c r="BJ9269" s="46"/>
    </row>
    <row r="9270" spans="59:62" x14ac:dyDescent="0.3">
      <c r="BG9270" s="387"/>
      <c r="BH9270" s="386"/>
      <c r="BI9270" s="386"/>
      <c r="BJ9270" s="46"/>
    </row>
    <row r="9271" spans="59:62" x14ac:dyDescent="0.3">
      <c r="BG9271" s="387"/>
      <c r="BH9271" s="386"/>
      <c r="BI9271" s="386"/>
      <c r="BJ9271" s="46"/>
    </row>
    <row r="9272" spans="59:62" x14ac:dyDescent="0.3">
      <c r="BG9272" s="387"/>
      <c r="BH9272" s="386"/>
      <c r="BI9272" s="386"/>
      <c r="BJ9272" s="46"/>
    </row>
    <row r="9273" spans="59:62" x14ac:dyDescent="0.3">
      <c r="BG9273" s="387"/>
      <c r="BH9273" s="386"/>
      <c r="BI9273" s="386"/>
      <c r="BJ9273" s="46"/>
    </row>
    <row r="9274" spans="59:62" x14ac:dyDescent="0.3">
      <c r="BG9274" s="387"/>
      <c r="BH9274" s="386"/>
      <c r="BI9274" s="386"/>
      <c r="BJ9274" s="46"/>
    </row>
    <row r="9275" spans="59:62" x14ac:dyDescent="0.3">
      <c r="BG9275" s="387"/>
      <c r="BH9275" s="386"/>
      <c r="BI9275" s="386"/>
      <c r="BJ9275" s="46"/>
    </row>
    <row r="9276" spans="59:62" x14ac:dyDescent="0.3">
      <c r="BG9276" s="387"/>
      <c r="BH9276" s="386"/>
      <c r="BI9276" s="386"/>
      <c r="BJ9276" s="46"/>
    </row>
    <row r="9277" spans="59:62" x14ac:dyDescent="0.3">
      <c r="BG9277" s="387"/>
      <c r="BH9277" s="386"/>
      <c r="BI9277" s="386"/>
      <c r="BJ9277" s="46"/>
    </row>
    <row r="9278" spans="59:62" x14ac:dyDescent="0.3">
      <c r="BG9278" s="387"/>
      <c r="BH9278" s="386"/>
      <c r="BI9278" s="386"/>
      <c r="BJ9278" s="46"/>
    </row>
    <row r="9279" spans="59:62" x14ac:dyDescent="0.3">
      <c r="BG9279" s="387"/>
      <c r="BH9279" s="386"/>
      <c r="BI9279" s="386"/>
      <c r="BJ9279" s="46"/>
    </row>
    <row r="9280" spans="59:62" x14ac:dyDescent="0.3">
      <c r="BG9280" s="387"/>
      <c r="BH9280" s="386"/>
      <c r="BI9280" s="386"/>
      <c r="BJ9280" s="46"/>
    </row>
    <row r="9281" spans="59:62" x14ac:dyDescent="0.3">
      <c r="BG9281" s="387"/>
      <c r="BH9281" s="386"/>
      <c r="BI9281" s="386"/>
      <c r="BJ9281" s="46"/>
    </row>
    <row r="9282" spans="59:62" x14ac:dyDescent="0.3">
      <c r="BG9282" s="387"/>
      <c r="BH9282" s="386"/>
      <c r="BI9282" s="386"/>
      <c r="BJ9282" s="46"/>
    </row>
    <row r="9283" spans="59:62" x14ac:dyDescent="0.3">
      <c r="BG9283" s="387"/>
      <c r="BH9283" s="386"/>
      <c r="BI9283" s="386"/>
      <c r="BJ9283" s="46"/>
    </row>
    <row r="9284" spans="59:62" x14ac:dyDescent="0.3">
      <c r="BG9284" s="387"/>
      <c r="BH9284" s="386"/>
      <c r="BI9284" s="386"/>
      <c r="BJ9284" s="46"/>
    </row>
    <row r="9285" spans="59:62" x14ac:dyDescent="0.3">
      <c r="BG9285" s="387"/>
      <c r="BH9285" s="386"/>
      <c r="BI9285" s="386"/>
      <c r="BJ9285" s="46"/>
    </row>
    <row r="9286" spans="59:62" x14ac:dyDescent="0.3">
      <c r="BG9286" s="387"/>
      <c r="BH9286" s="386"/>
      <c r="BI9286" s="386"/>
      <c r="BJ9286" s="46"/>
    </row>
    <row r="9287" spans="59:62" x14ac:dyDescent="0.3">
      <c r="BG9287" s="387"/>
      <c r="BH9287" s="386"/>
      <c r="BI9287" s="386"/>
      <c r="BJ9287" s="46"/>
    </row>
    <row r="9288" spans="59:62" x14ac:dyDescent="0.3">
      <c r="BG9288" s="387"/>
      <c r="BH9288" s="386"/>
      <c r="BI9288" s="386"/>
      <c r="BJ9288" s="46"/>
    </row>
    <row r="9289" spans="59:62" x14ac:dyDescent="0.3">
      <c r="BG9289" s="387"/>
      <c r="BH9289" s="386"/>
      <c r="BI9289" s="386"/>
      <c r="BJ9289" s="46"/>
    </row>
    <row r="9290" spans="59:62" x14ac:dyDescent="0.3">
      <c r="BG9290" s="387"/>
      <c r="BH9290" s="386"/>
      <c r="BI9290" s="386"/>
      <c r="BJ9290" s="46"/>
    </row>
    <row r="9291" spans="59:62" x14ac:dyDescent="0.3">
      <c r="BG9291" s="387"/>
      <c r="BH9291" s="386"/>
      <c r="BI9291" s="386"/>
      <c r="BJ9291" s="46"/>
    </row>
    <row r="9292" spans="59:62" x14ac:dyDescent="0.3">
      <c r="BG9292" s="387"/>
      <c r="BH9292" s="386"/>
      <c r="BI9292" s="386"/>
      <c r="BJ9292" s="46"/>
    </row>
    <row r="9293" spans="59:62" x14ac:dyDescent="0.3">
      <c r="BG9293" s="387"/>
      <c r="BH9293" s="386"/>
      <c r="BI9293" s="386"/>
      <c r="BJ9293" s="46"/>
    </row>
    <row r="9294" spans="59:62" x14ac:dyDescent="0.3">
      <c r="BG9294" s="387"/>
      <c r="BH9294" s="386"/>
      <c r="BI9294" s="386"/>
      <c r="BJ9294" s="46"/>
    </row>
    <row r="9295" spans="59:62" x14ac:dyDescent="0.3">
      <c r="BG9295" s="387"/>
      <c r="BH9295" s="386"/>
      <c r="BI9295" s="386"/>
      <c r="BJ9295" s="46"/>
    </row>
    <row r="9296" spans="59:62" x14ac:dyDescent="0.3">
      <c r="BG9296" s="387"/>
      <c r="BH9296" s="386"/>
      <c r="BI9296" s="386"/>
      <c r="BJ9296" s="46"/>
    </row>
    <row r="9297" spans="59:62" x14ac:dyDescent="0.3">
      <c r="BG9297" s="387"/>
      <c r="BH9297" s="386"/>
      <c r="BI9297" s="386"/>
      <c r="BJ9297" s="46"/>
    </row>
    <row r="9298" spans="59:62" x14ac:dyDescent="0.3">
      <c r="BG9298" s="387"/>
      <c r="BH9298" s="386"/>
      <c r="BI9298" s="386"/>
      <c r="BJ9298" s="46"/>
    </row>
    <row r="9299" spans="59:62" x14ac:dyDescent="0.3">
      <c r="BG9299" s="387"/>
      <c r="BH9299" s="386"/>
      <c r="BI9299" s="386"/>
      <c r="BJ9299" s="46"/>
    </row>
    <row r="9300" spans="59:62" x14ac:dyDescent="0.3">
      <c r="BG9300" s="387"/>
      <c r="BH9300" s="386"/>
      <c r="BI9300" s="386"/>
      <c r="BJ9300" s="46"/>
    </row>
    <row r="9301" spans="59:62" x14ac:dyDescent="0.3">
      <c r="BG9301" s="387"/>
      <c r="BH9301" s="386"/>
      <c r="BI9301" s="386"/>
      <c r="BJ9301" s="46"/>
    </row>
    <row r="9302" spans="59:62" x14ac:dyDescent="0.3">
      <c r="BG9302" s="387"/>
      <c r="BH9302" s="386"/>
      <c r="BI9302" s="386"/>
      <c r="BJ9302" s="46"/>
    </row>
    <row r="9303" spans="59:62" x14ac:dyDescent="0.3">
      <c r="BG9303" s="387"/>
      <c r="BH9303" s="386"/>
      <c r="BI9303" s="386"/>
      <c r="BJ9303" s="46"/>
    </row>
    <row r="9304" spans="59:62" x14ac:dyDescent="0.3">
      <c r="BG9304" s="387"/>
      <c r="BH9304" s="386"/>
      <c r="BI9304" s="386"/>
      <c r="BJ9304" s="46"/>
    </row>
    <row r="9305" spans="59:62" x14ac:dyDescent="0.3">
      <c r="BG9305" s="387"/>
      <c r="BH9305" s="386"/>
      <c r="BI9305" s="386"/>
      <c r="BJ9305" s="46"/>
    </row>
    <row r="9306" spans="59:62" x14ac:dyDescent="0.3">
      <c r="BG9306" s="387"/>
      <c r="BH9306" s="386"/>
      <c r="BI9306" s="386"/>
      <c r="BJ9306" s="46"/>
    </row>
    <row r="9307" spans="59:62" x14ac:dyDescent="0.3">
      <c r="BG9307" s="387"/>
      <c r="BH9307" s="386"/>
      <c r="BI9307" s="386"/>
      <c r="BJ9307" s="46"/>
    </row>
    <row r="9308" spans="59:62" x14ac:dyDescent="0.3">
      <c r="BG9308" s="387"/>
      <c r="BH9308" s="386"/>
      <c r="BI9308" s="386"/>
      <c r="BJ9308" s="46"/>
    </row>
    <row r="9309" spans="59:62" x14ac:dyDescent="0.3">
      <c r="BG9309" s="387"/>
      <c r="BH9309" s="386"/>
      <c r="BI9309" s="386"/>
      <c r="BJ9309" s="46"/>
    </row>
    <row r="9310" spans="59:62" x14ac:dyDescent="0.3">
      <c r="BG9310" s="387"/>
      <c r="BH9310" s="386"/>
      <c r="BI9310" s="386"/>
      <c r="BJ9310" s="46"/>
    </row>
    <row r="9311" spans="59:62" x14ac:dyDescent="0.3">
      <c r="BG9311" s="387"/>
      <c r="BH9311" s="386"/>
      <c r="BI9311" s="386"/>
      <c r="BJ9311" s="46"/>
    </row>
    <row r="9312" spans="59:62" x14ac:dyDescent="0.3">
      <c r="BG9312" s="387"/>
      <c r="BH9312" s="386"/>
      <c r="BI9312" s="386"/>
      <c r="BJ9312" s="46"/>
    </row>
    <row r="9313" spans="59:62" x14ac:dyDescent="0.3">
      <c r="BG9313" s="387"/>
      <c r="BH9313" s="386"/>
      <c r="BI9313" s="386"/>
      <c r="BJ9313" s="46"/>
    </row>
    <row r="9314" spans="59:62" x14ac:dyDescent="0.3">
      <c r="BG9314" s="387"/>
      <c r="BH9314" s="386"/>
      <c r="BI9314" s="386"/>
      <c r="BJ9314" s="46"/>
    </row>
    <row r="9315" spans="59:62" x14ac:dyDescent="0.3">
      <c r="BG9315" s="387"/>
      <c r="BH9315" s="386"/>
      <c r="BI9315" s="386"/>
      <c r="BJ9315" s="46"/>
    </row>
    <row r="9316" spans="59:62" x14ac:dyDescent="0.3">
      <c r="BG9316" s="387"/>
      <c r="BH9316" s="386"/>
      <c r="BI9316" s="386"/>
      <c r="BJ9316" s="46"/>
    </row>
    <row r="9317" spans="59:62" x14ac:dyDescent="0.3">
      <c r="BG9317" s="387"/>
      <c r="BH9317" s="386"/>
      <c r="BI9317" s="386"/>
      <c r="BJ9317" s="46"/>
    </row>
    <row r="9318" spans="59:62" x14ac:dyDescent="0.3">
      <c r="BG9318" s="387"/>
      <c r="BH9318" s="386"/>
      <c r="BI9318" s="386"/>
      <c r="BJ9318" s="46"/>
    </row>
    <row r="9319" spans="59:62" x14ac:dyDescent="0.3">
      <c r="BG9319" s="387"/>
      <c r="BH9319" s="386"/>
      <c r="BI9319" s="386"/>
      <c r="BJ9319" s="46"/>
    </row>
    <row r="9320" spans="59:62" x14ac:dyDescent="0.3">
      <c r="BG9320" s="387"/>
      <c r="BH9320" s="386"/>
      <c r="BI9320" s="386"/>
      <c r="BJ9320" s="46"/>
    </row>
    <row r="9321" spans="59:62" x14ac:dyDescent="0.3">
      <c r="BG9321" s="387"/>
      <c r="BH9321" s="386"/>
      <c r="BI9321" s="386"/>
      <c r="BJ9321" s="46"/>
    </row>
    <row r="9322" spans="59:62" x14ac:dyDescent="0.3">
      <c r="BG9322" s="387"/>
      <c r="BH9322" s="386"/>
      <c r="BI9322" s="386"/>
      <c r="BJ9322" s="46"/>
    </row>
    <row r="9323" spans="59:62" x14ac:dyDescent="0.3">
      <c r="BG9323" s="387"/>
      <c r="BH9323" s="386"/>
      <c r="BI9323" s="386"/>
      <c r="BJ9323" s="46"/>
    </row>
    <row r="9324" spans="59:62" x14ac:dyDescent="0.3">
      <c r="BG9324" s="387"/>
      <c r="BH9324" s="386"/>
      <c r="BI9324" s="386"/>
      <c r="BJ9324" s="46"/>
    </row>
    <row r="9325" spans="59:62" x14ac:dyDescent="0.3">
      <c r="BG9325" s="387"/>
      <c r="BH9325" s="386"/>
      <c r="BI9325" s="386"/>
      <c r="BJ9325" s="46"/>
    </row>
    <row r="9326" spans="59:62" x14ac:dyDescent="0.3">
      <c r="BG9326" s="387"/>
      <c r="BH9326" s="386"/>
      <c r="BI9326" s="386"/>
      <c r="BJ9326" s="46"/>
    </row>
    <row r="9327" spans="59:62" x14ac:dyDescent="0.3">
      <c r="BG9327" s="387"/>
      <c r="BH9327" s="386"/>
      <c r="BI9327" s="386"/>
      <c r="BJ9327" s="46"/>
    </row>
    <row r="9328" spans="59:62" x14ac:dyDescent="0.3">
      <c r="BG9328" s="387"/>
      <c r="BH9328" s="386"/>
      <c r="BI9328" s="386"/>
      <c r="BJ9328" s="46"/>
    </row>
    <row r="9329" spans="59:62" x14ac:dyDescent="0.3">
      <c r="BG9329" s="387"/>
      <c r="BH9329" s="386"/>
      <c r="BI9329" s="386"/>
      <c r="BJ9329" s="46"/>
    </row>
    <row r="9330" spans="59:62" x14ac:dyDescent="0.3">
      <c r="BG9330" s="387"/>
      <c r="BH9330" s="386"/>
      <c r="BI9330" s="386"/>
      <c r="BJ9330" s="46"/>
    </row>
    <row r="9331" spans="59:62" x14ac:dyDescent="0.3">
      <c r="BG9331" s="387"/>
      <c r="BH9331" s="386"/>
      <c r="BI9331" s="386"/>
      <c r="BJ9331" s="46"/>
    </row>
    <row r="9332" spans="59:62" x14ac:dyDescent="0.3">
      <c r="BG9332" s="387"/>
      <c r="BH9332" s="386"/>
      <c r="BI9332" s="386"/>
      <c r="BJ9332" s="46"/>
    </row>
    <row r="9333" spans="59:62" x14ac:dyDescent="0.3">
      <c r="BG9333" s="387"/>
      <c r="BH9333" s="386"/>
      <c r="BI9333" s="386"/>
      <c r="BJ9333" s="46"/>
    </row>
    <row r="9334" spans="59:62" x14ac:dyDescent="0.3">
      <c r="BG9334" s="387"/>
      <c r="BH9334" s="386"/>
      <c r="BI9334" s="386"/>
      <c r="BJ9334" s="46"/>
    </row>
    <row r="9335" spans="59:62" x14ac:dyDescent="0.3">
      <c r="BG9335" s="387"/>
      <c r="BH9335" s="386"/>
      <c r="BI9335" s="386"/>
      <c r="BJ9335" s="46"/>
    </row>
    <row r="9336" spans="59:62" x14ac:dyDescent="0.3">
      <c r="BG9336" s="387"/>
      <c r="BH9336" s="386"/>
      <c r="BI9336" s="386"/>
      <c r="BJ9336" s="46"/>
    </row>
    <row r="9337" spans="59:62" x14ac:dyDescent="0.3">
      <c r="BG9337" s="387"/>
      <c r="BH9337" s="386"/>
      <c r="BI9337" s="386"/>
      <c r="BJ9337" s="46"/>
    </row>
    <row r="9338" spans="59:62" x14ac:dyDescent="0.3">
      <c r="BG9338" s="387"/>
      <c r="BH9338" s="386"/>
      <c r="BI9338" s="386"/>
      <c r="BJ9338" s="46"/>
    </row>
    <row r="9339" spans="59:62" x14ac:dyDescent="0.3">
      <c r="BG9339" s="387"/>
      <c r="BH9339" s="386"/>
      <c r="BI9339" s="386"/>
      <c r="BJ9339" s="46"/>
    </row>
    <row r="9340" spans="59:62" x14ac:dyDescent="0.3">
      <c r="BG9340" s="387"/>
      <c r="BH9340" s="386"/>
      <c r="BI9340" s="386"/>
      <c r="BJ9340" s="46"/>
    </row>
    <row r="9341" spans="59:62" x14ac:dyDescent="0.3">
      <c r="BG9341" s="387"/>
      <c r="BH9341" s="386"/>
      <c r="BI9341" s="386"/>
      <c r="BJ9341" s="46"/>
    </row>
    <row r="9342" spans="59:62" x14ac:dyDescent="0.3">
      <c r="BG9342" s="387"/>
      <c r="BH9342" s="386"/>
      <c r="BI9342" s="386"/>
      <c r="BJ9342" s="46"/>
    </row>
    <row r="9343" spans="59:62" x14ac:dyDescent="0.3">
      <c r="BG9343" s="387"/>
      <c r="BH9343" s="386"/>
      <c r="BI9343" s="386"/>
      <c r="BJ9343" s="46"/>
    </row>
    <row r="9344" spans="59:62" x14ac:dyDescent="0.3">
      <c r="BG9344" s="387"/>
      <c r="BH9344" s="386"/>
      <c r="BI9344" s="386"/>
      <c r="BJ9344" s="46"/>
    </row>
    <row r="9345" spans="59:62" x14ac:dyDescent="0.3">
      <c r="BG9345" s="387"/>
      <c r="BH9345" s="386"/>
      <c r="BI9345" s="386"/>
      <c r="BJ9345" s="46"/>
    </row>
    <row r="9346" spans="59:62" x14ac:dyDescent="0.3">
      <c r="BG9346" s="387"/>
      <c r="BH9346" s="386"/>
      <c r="BI9346" s="386"/>
      <c r="BJ9346" s="46"/>
    </row>
    <row r="9347" spans="59:62" x14ac:dyDescent="0.3">
      <c r="BG9347" s="387"/>
      <c r="BH9347" s="386"/>
      <c r="BI9347" s="386"/>
      <c r="BJ9347" s="46"/>
    </row>
    <row r="9348" spans="59:62" x14ac:dyDescent="0.3">
      <c r="BG9348" s="387"/>
      <c r="BH9348" s="386"/>
      <c r="BI9348" s="386"/>
      <c r="BJ9348" s="46"/>
    </row>
    <row r="9349" spans="59:62" x14ac:dyDescent="0.3">
      <c r="BG9349" s="387"/>
      <c r="BH9349" s="386"/>
      <c r="BI9349" s="386"/>
      <c r="BJ9349" s="46"/>
    </row>
    <row r="9350" spans="59:62" x14ac:dyDescent="0.3">
      <c r="BG9350" s="387"/>
      <c r="BH9350" s="386"/>
      <c r="BI9350" s="386"/>
      <c r="BJ9350" s="46"/>
    </row>
    <row r="9351" spans="59:62" x14ac:dyDescent="0.3">
      <c r="BG9351" s="387"/>
      <c r="BH9351" s="386"/>
      <c r="BI9351" s="386"/>
      <c r="BJ9351" s="46"/>
    </row>
    <row r="9352" spans="59:62" x14ac:dyDescent="0.3">
      <c r="BG9352" s="387"/>
      <c r="BH9352" s="386"/>
      <c r="BI9352" s="386"/>
      <c r="BJ9352" s="46"/>
    </row>
    <row r="9353" spans="59:62" x14ac:dyDescent="0.3">
      <c r="BG9353" s="387"/>
      <c r="BH9353" s="386"/>
      <c r="BI9353" s="386"/>
      <c r="BJ9353" s="46"/>
    </row>
    <row r="9354" spans="59:62" x14ac:dyDescent="0.3">
      <c r="BG9354" s="387"/>
      <c r="BH9354" s="386"/>
      <c r="BI9354" s="386"/>
      <c r="BJ9354" s="46"/>
    </row>
    <row r="9355" spans="59:62" x14ac:dyDescent="0.3">
      <c r="BG9355" s="387"/>
      <c r="BH9355" s="386"/>
      <c r="BI9355" s="386"/>
      <c r="BJ9355" s="46"/>
    </row>
    <row r="9356" spans="59:62" x14ac:dyDescent="0.3">
      <c r="BG9356" s="387"/>
      <c r="BH9356" s="386"/>
      <c r="BI9356" s="386"/>
      <c r="BJ9356" s="46"/>
    </row>
    <row r="9357" spans="59:62" x14ac:dyDescent="0.3">
      <c r="BG9357" s="387"/>
      <c r="BH9357" s="386"/>
      <c r="BI9357" s="386"/>
      <c r="BJ9357" s="46"/>
    </row>
    <row r="9358" spans="59:62" x14ac:dyDescent="0.3">
      <c r="BG9358" s="387"/>
      <c r="BH9358" s="386"/>
      <c r="BI9358" s="386"/>
      <c r="BJ9358" s="46"/>
    </row>
    <row r="9359" spans="59:62" x14ac:dyDescent="0.3">
      <c r="BG9359" s="387"/>
      <c r="BH9359" s="386"/>
      <c r="BI9359" s="386"/>
      <c r="BJ9359" s="46"/>
    </row>
    <row r="9360" spans="59:62" x14ac:dyDescent="0.3">
      <c r="BG9360" s="387"/>
      <c r="BH9360" s="386"/>
      <c r="BI9360" s="386"/>
      <c r="BJ9360" s="46"/>
    </row>
    <row r="9361" spans="59:62" x14ac:dyDescent="0.3">
      <c r="BG9361" s="387"/>
      <c r="BH9361" s="386"/>
      <c r="BI9361" s="386"/>
      <c r="BJ9361" s="46"/>
    </row>
    <row r="9362" spans="59:62" x14ac:dyDescent="0.3">
      <c r="BG9362" s="387"/>
      <c r="BH9362" s="386"/>
      <c r="BI9362" s="386"/>
      <c r="BJ9362" s="46"/>
    </row>
    <row r="9363" spans="59:62" x14ac:dyDescent="0.3">
      <c r="BG9363" s="387"/>
      <c r="BH9363" s="386"/>
      <c r="BI9363" s="386"/>
      <c r="BJ9363" s="46"/>
    </row>
    <row r="9364" spans="59:62" x14ac:dyDescent="0.3">
      <c r="BG9364" s="387"/>
      <c r="BH9364" s="386"/>
      <c r="BI9364" s="386"/>
      <c r="BJ9364" s="46"/>
    </row>
    <row r="9365" spans="59:62" x14ac:dyDescent="0.3">
      <c r="BG9365" s="387"/>
      <c r="BH9365" s="386"/>
      <c r="BI9365" s="386"/>
      <c r="BJ9365" s="46"/>
    </row>
    <row r="9366" spans="59:62" x14ac:dyDescent="0.3">
      <c r="BG9366" s="387"/>
      <c r="BH9366" s="386"/>
      <c r="BI9366" s="386"/>
      <c r="BJ9366" s="46"/>
    </row>
    <row r="9367" spans="59:62" x14ac:dyDescent="0.3">
      <c r="BG9367" s="387"/>
      <c r="BH9367" s="386"/>
      <c r="BI9367" s="386"/>
      <c r="BJ9367" s="46"/>
    </row>
    <row r="9368" spans="59:62" x14ac:dyDescent="0.3">
      <c r="BG9368" s="387"/>
      <c r="BH9368" s="386"/>
      <c r="BI9368" s="386"/>
      <c r="BJ9368" s="46"/>
    </row>
    <row r="9369" spans="59:62" x14ac:dyDescent="0.3">
      <c r="BG9369" s="387"/>
      <c r="BH9369" s="386"/>
      <c r="BI9369" s="386"/>
      <c r="BJ9369" s="46"/>
    </row>
    <row r="9370" spans="59:62" x14ac:dyDescent="0.3">
      <c r="BG9370" s="387"/>
      <c r="BH9370" s="386"/>
      <c r="BI9370" s="386"/>
      <c r="BJ9370" s="46"/>
    </row>
    <row r="9371" spans="59:62" x14ac:dyDescent="0.3">
      <c r="BG9371" s="387"/>
      <c r="BH9371" s="386"/>
      <c r="BI9371" s="386"/>
      <c r="BJ9371" s="46"/>
    </row>
    <row r="9372" spans="59:62" x14ac:dyDescent="0.3">
      <c r="BG9372" s="387"/>
      <c r="BH9372" s="386"/>
      <c r="BI9372" s="386"/>
      <c r="BJ9372" s="46"/>
    </row>
    <row r="9373" spans="59:62" x14ac:dyDescent="0.3">
      <c r="BG9373" s="387"/>
      <c r="BH9373" s="386"/>
      <c r="BI9373" s="386"/>
      <c r="BJ9373" s="46"/>
    </row>
    <row r="9374" spans="59:62" x14ac:dyDescent="0.3">
      <c r="BG9374" s="387"/>
      <c r="BH9374" s="386"/>
      <c r="BI9374" s="386"/>
      <c r="BJ9374" s="46"/>
    </row>
    <row r="9375" spans="59:62" x14ac:dyDescent="0.3">
      <c r="BG9375" s="387"/>
      <c r="BH9375" s="386"/>
      <c r="BI9375" s="386"/>
      <c r="BJ9375" s="46"/>
    </row>
    <row r="9376" spans="59:62" x14ac:dyDescent="0.3">
      <c r="BG9376" s="387"/>
      <c r="BH9376" s="386"/>
      <c r="BI9376" s="386"/>
      <c r="BJ9376" s="46"/>
    </row>
    <row r="9377" spans="59:62" x14ac:dyDescent="0.3">
      <c r="BG9377" s="387"/>
      <c r="BH9377" s="386"/>
      <c r="BI9377" s="386"/>
      <c r="BJ9377" s="46"/>
    </row>
    <row r="9378" spans="59:62" x14ac:dyDescent="0.3">
      <c r="BG9378" s="387"/>
      <c r="BH9378" s="386"/>
      <c r="BI9378" s="386"/>
      <c r="BJ9378" s="46"/>
    </row>
    <row r="9379" spans="59:62" x14ac:dyDescent="0.3">
      <c r="BG9379" s="387"/>
      <c r="BH9379" s="386"/>
      <c r="BI9379" s="386"/>
      <c r="BJ9379" s="46"/>
    </row>
    <row r="9380" spans="59:62" x14ac:dyDescent="0.3">
      <c r="BG9380" s="387"/>
      <c r="BH9380" s="386"/>
      <c r="BI9380" s="386"/>
      <c r="BJ9380" s="46"/>
    </row>
    <row r="9381" spans="59:62" x14ac:dyDescent="0.3">
      <c r="BG9381" s="387"/>
      <c r="BH9381" s="386"/>
      <c r="BI9381" s="386"/>
      <c r="BJ9381" s="46"/>
    </row>
    <row r="9382" spans="59:62" x14ac:dyDescent="0.3">
      <c r="BG9382" s="387"/>
      <c r="BH9382" s="386"/>
      <c r="BI9382" s="386"/>
      <c r="BJ9382" s="46"/>
    </row>
    <row r="9383" spans="59:62" x14ac:dyDescent="0.3">
      <c r="BG9383" s="387"/>
      <c r="BH9383" s="386"/>
      <c r="BI9383" s="386"/>
      <c r="BJ9383" s="46"/>
    </row>
    <row r="9384" spans="59:62" x14ac:dyDescent="0.3">
      <c r="BG9384" s="387"/>
      <c r="BH9384" s="386"/>
      <c r="BI9384" s="386"/>
      <c r="BJ9384" s="46"/>
    </row>
    <row r="9385" spans="59:62" x14ac:dyDescent="0.3">
      <c r="BG9385" s="387"/>
      <c r="BH9385" s="386"/>
      <c r="BI9385" s="386"/>
      <c r="BJ9385" s="46"/>
    </row>
    <row r="9386" spans="59:62" x14ac:dyDescent="0.3">
      <c r="BG9386" s="387"/>
      <c r="BH9386" s="386"/>
      <c r="BI9386" s="386"/>
      <c r="BJ9386" s="46"/>
    </row>
    <row r="9387" spans="59:62" x14ac:dyDescent="0.3">
      <c r="BG9387" s="387"/>
      <c r="BH9387" s="386"/>
      <c r="BI9387" s="386"/>
      <c r="BJ9387" s="46"/>
    </row>
    <row r="9388" spans="59:62" x14ac:dyDescent="0.3">
      <c r="BG9388" s="387"/>
      <c r="BH9388" s="386"/>
      <c r="BI9388" s="386"/>
      <c r="BJ9388" s="46"/>
    </row>
    <row r="9389" spans="59:62" x14ac:dyDescent="0.3">
      <c r="BG9389" s="387"/>
      <c r="BH9389" s="386"/>
      <c r="BI9389" s="386"/>
      <c r="BJ9389" s="46"/>
    </row>
    <row r="9390" spans="59:62" x14ac:dyDescent="0.3">
      <c r="BG9390" s="387"/>
      <c r="BH9390" s="386"/>
      <c r="BI9390" s="386"/>
      <c r="BJ9390" s="46"/>
    </row>
    <row r="9391" spans="59:62" x14ac:dyDescent="0.3">
      <c r="BG9391" s="387"/>
      <c r="BH9391" s="386"/>
      <c r="BI9391" s="386"/>
      <c r="BJ9391" s="46"/>
    </row>
    <row r="9392" spans="59:62" x14ac:dyDescent="0.3">
      <c r="BG9392" s="387"/>
      <c r="BH9392" s="386"/>
      <c r="BI9392" s="386"/>
      <c r="BJ9392" s="46"/>
    </row>
    <row r="9393" spans="59:62" x14ac:dyDescent="0.3">
      <c r="BG9393" s="387"/>
      <c r="BH9393" s="386"/>
      <c r="BI9393" s="386"/>
      <c r="BJ9393" s="46"/>
    </row>
    <row r="9394" spans="59:62" x14ac:dyDescent="0.3">
      <c r="BG9394" s="387"/>
      <c r="BH9394" s="386"/>
      <c r="BI9394" s="386"/>
      <c r="BJ9394" s="46"/>
    </row>
    <row r="9395" spans="59:62" x14ac:dyDescent="0.3">
      <c r="BG9395" s="387"/>
      <c r="BH9395" s="386"/>
      <c r="BI9395" s="386"/>
      <c r="BJ9395" s="46"/>
    </row>
    <row r="9396" spans="59:62" x14ac:dyDescent="0.3">
      <c r="BG9396" s="387"/>
      <c r="BH9396" s="386"/>
      <c r="BI9396" s="386"/>
      <c r="BJ9396" s="46"/>
    </row>
    <row r="9397" spans="59:62" x14ac:dyDescent="0.3">
      <c r="BG9397" s="387"/>
      <c r="BH9397" s="386"/>
      <c r="BI9397" s="386"/>
      <c r="BJ9397" s="46"/>
    </row>
    <row r="9398" spans="59:62" x14ac:dyDescent="0.3">
      <c r="BG9398" s="387"/>
      <c r="BH9398" s="386"/>
      <c r="BI9398" s="386"/>
      <c r="BJ9398" s="46"/>
    </row>
    <row r="9399" spans="59:62" x14ac:dyDescent="0.3">
      <c r="BG9399" s="387"/>
      <c r="BH9399" s="386"/>
      <c r="BI9399" s="386"/>
      <c r="BJ9399" s="46"/>
    </row>
    <row r="9400" spans="59:62" x14ac:dyDescent="0.3">
      <c r="BG9400" s="387"/>
      <c r="BH9400" s="386"/>
      <c r="BI9400" s="386"/>
      <c r="BJ9400" s="46"/>
    </row>
    <row r="9401" spans="59:62" x14ac:dyDescent="0.3">
      <c r="BG9401" s="387"/>
      <c r="BH9401" s="386"/>
      <c r="BI9401" s="386"/>
      <c r="BJ9401" s="46"/>
    </row>
    <row r="9402" spans="59:62" x14ac:dyDescent="0.3">
      <c r="BG9402" s="387"/>
      <c r="BH9402" s="386"/>
      <c r="BI9402" s="386"/>
      <c r="BJ9402" s="46"/>
    </row>
    <row r="9403" spans="59:62" x14ac:dyDescent="0.3">
      <c r="BG9403" s="387"/>
      <c r="BH9403" s="386"/>
      <c r="BI9403" s="386"/>
      <c r="BJ9403" s="46"/>
    </row>
    <row r="9404" spans="59:62" x14ac:dyDescent="0.3">
      <c r="BG9404" s="387"/>
      <c r="BH9404" s="386"/>
      <c r="BI9404" s="386"/>
      <c r="BJ9404" s="46"/>
    </row>
    <row r="9405" spans="59:62" x14ac:dyDescent="0.3">
      <c r="BG9405" s="387"/>
      <c r="BH9405" s="386"/>
      <c r="BI9405" s="386"/>
      <c r="BJ9405" s="46"/>
    </row>
    <row r="9406" spans="59:62" x14ac:dyDescent="0.3">
      <c r="BG9406" s="387"/>
      <c r="BH9406" s="386"/>
      <c r="BI9406" s="386"/>
      <c r="BJ9406" s="46"/>
    </row>
    <row r="9407" spans="59:62" x14ac:dyDescent="0.3">
      <c r="BG9407" s="387"/>
      <c r="BH9407" s="386"/>
      <c r="BI9407" s="386"/>
      <c r="BJ9407" s="46"/>
    </row>
    <row r="9408" spans="59:62" x14ac:dyDescent="0.3">
      <c r="BG9408" s="387"/>
      <c r="BH9408" s="386"/>
      <c r="BI9408" s="386"/>
      <c r="BJ9408" s="46"/>
    </row>
    <row r="9409" spans="59:62" x14ac:dyDescent="0.3">
      <c r="BG9409" s="387"/>
      <c r="BH9409" s="386"/>
      <c r="BI9409" s="386"/>
      <c r="BJ9409" s="46"/>
    </row>
    <row r="9410" spans="59:62" x14ac:dyDescent="0.3">
      <c r="BG9410" s="387"/>
      <c r="BH9410" s="386"/>
      <c r="BI9410" s="386"/>
      <c r="BJ9410" s="46"/>
    </row>
    <row r="9411" spans="59:62" x14ac:dyDescent="0.3">
      <c r="BG9411" s="387"/>
      <c r="BH9411" s="386"/>
      <c r="BI9411" s="386"/>
      <c r="BJ9411" s="46"/>
    </row>
    <row r="9412" spans="59:62" x14ac:dyDescent="0.3">
      <c r="BG9412" s="387"/>
      <c r="BH9412" s="386"/>
      <c r="BI9412" s="386"/>
      <c r="BJ9412" s="46"/>
    </row>
    <row r="9413" spans="59:62" x14ac:dyDescent="0.3">
      <c r="BG9413" s="387"/>
      <c r="BH9413" s="386"/>
      <c r="BI9413" s="386"/>
      <c r="BJ9413" s="46"/>
    </row>
    <row r="9414" spans="59:62" x14ac:dyDescent="0.3">
      <c r="BG9414" s="387"/>
      <c r="BH9414" s="386"/>
      <c r="BI9414" s="386"/>
      <c r="BJ9414" s="46"/>
    </row>
    <row r="9415" spans="59:62" x14ac:dyDescent="0.3">
      <c r="BG9415" s="387"/>
      <c r="BH9415" s="386"/>
      <c r="BI9415" s="386"/>
      <c r="BJ9415" s="46"/>
    </row>
    <row r="9416" spans="59:62" x14ac:dyDescent="0.3">
      <c r="BG9416" s="387"/>
      <c r="BH9416" s="386"/>
      <c r="BI9416" s="386"/>
      <c r="BJ9416" s="46"/>
    </row>
    <row r="9417" spans="59:62" x14ac:dyDescent="0.3">
      <c r="BG9417" s="387"/>
      <c r="BH9417" s="386"/>
      <c r="BI9417" s="386"/>
      <c r="BJ9417" s="46"/>
    </row>
    <row r="9418" spans="59:62" x14ac:dyDescent="0.3">
      <c r="BG9418" s="387"/>
      <c r="BH9418" s="386"/>
      <c r="BI9418" s="386"/>
      <c r="BJ9418" s="46"/>
    </row>
    <row r="9419" spans="59:62" x14ac:dyDescent="0.3">
      <c r="BG9419" s="387"/>
      <c r="BH9419" s="386"/>
      <c r="BI9419" s="386"/>
      <c r="BJ9419" s="46"/>
    </row>
    <row r="9420" spans="59:62" x14ac:dyDescent="0.3">
      <c r="BG9420" s="387"/>
      <c r="BH9420" s="386"/>
      <c r="BI9420" s="386"/>
      <c r="BJ9420" s="46"/>
    </row>
    <row r="9421" spans="59:62" x14ac:dyDescent="0.3">
      <c r="BG9421" s="387"/>
      <c r="BH9421" s="386"/>
      <c r="BI9421" s="386"/>
      <c r="BJ9421" s="46"/>
    </row>
    <row r="9422" spans="59:62" x14ac:dyDescent="0.3">
      <c r="BG9422" s="387"/>
      <c r="BH9422" s="386"/>
      <c r="BI9422" s="386"/>
      <c r="BJ9422" s="46"/>
    </row>
    <row r="9423" spans="59:62" x14ac:dyDescent="0.3">
      <c r="BG9423" s="387"/>
      <c r="BH9423" s="386"/>
      <c r="BI9423" s="386"/>
      <c r="BJ9423" s="46"/>
    </row>
    <row r="9424" spans="59:62" x14ac:dyDescent="0.3">
      <c r="BG9424" s="387"/>
      <c r="BH9424" s="386"/>
      <c r="BI9424" s="386"/>
      <c r="BJ9424" s="46"/>
    </row>
    <row r="9425" spans="59:62" x14ac:dyDescent="0.3">
      <c r="BG9425" s="387"/>
      <c r="BH9425" s="386"/>
      <c r="BI9425" s="386"/>
      <c r="BJ9425" s="46"/>
    </row>
    <row r="9426" spans="59:62" x14ac:dyDescent="0.3">
      <c r="BG9426" s="387"/>
      <c r="BH9426" s="386"/>
      <c r="BI9426" s="386"/>
      <c r="BJ9426" s="46"/>
    </row>
    <row r="9427" spans="59:62" x14ac:dyDescent="0.3">
      <c r="BG9427" s="387"/>
      <c r="BH9427" s="386"/>
      <c r="BI9427" s="386"/>
      <c r="BJ9427" s="46"/>
    </row>
    <row r="9428" spans="59:62" x14ac:dyDescent="0.3">
      <c r="BG9428" s="387"/>
      <c r="BH9428" s="386"/>
      <c r="BI9428" s="386"/>
      <c r="BJ9428" s="46"/>
    </row>
    <row r="9429" spans="59:62" x14ac:dyDescent="0.3">
      <c r="BG9429" s="387"/>
      <c r="BH9429" s="386"/>
      <c r="BI9429" s="386"/>
      <c r="BJ9429" s="46"/>
    </row>
    <row r="9430" spans="59:62" x14ac:dyDescent="0.3">
      <c r="BG9430" s="387"/>
      <c r="BH9430" s="386"/>
      <c r="BI9430" s="386"/>
      <c r="BJ9430" s="46"/>
    </row>
    <row r="9431" spans="59:62" x14ac:dyDescent="0.3">
      <c r="BG9431" s="387"/>
      <c r="BH9431" s="386"/>
      <c r="BI9431" s="386"/>
      <c r="BJ9431" s="46"/>
    </row>
    <row r="9432" spans="59:62" x14ac:dyDescent="0.3">
      <c r="BG9432" s="387"/>
      <c r="BH9432" s="386"/>
      <c r="BI9432" s="386"/>
      <c r="BJ9432" s="46"/>
    </row>
    <row r="9433" spans="59:62" x14ac:dyDescent="0.3">
      <c r="BG9433" s="387"/>
      <c r="BH9433" s="386"/>
      <c r="BI9433" s="386"/>
      <c r="BJ9433" s="46"/>
    </row>
    <row r="9434" spans="59:62" x14ac:dyDescent="0.3">
      <c r="BG9434" s="387"/>
      <c r="BH9434" s="386"/>
      <c r="BI9434" s="386"/>
      <c r="BJ9434" s="46"/>
    </row>
    <row r="9435" spans="59:62" x14ac:dyDescent="0.3">
      <c r="BG9435" s="387"/>
      <c r="BH9435" s="386"/>
      <c r="BI9435" s="386"/>
      <c r="BJ9435" s="46"/>
    </row>
    <row r="9436" spans="59:62" x14ac:dyDescent="0.3">
      <c r="BG9436" s="387"/>
      <c r="BH9436" s="386"/>
      <c r="BI9436" s="386"/>
      <c r="BJ9436" s="46"/>
    </row>
    <row r="9437" spans="59:62" x14ac:dyDescent="0.3">
      <c r="BG9437" s="387"/>
      <c r="BH9437" s="386"/>
      <c r="BI9437" s="386"/>
      <c r="BJ9437" s="46"/>
    </row>
    <row r="9438" spans="59:62" x14ac:dyDescent="0.3">
      <c r="BG9438" s="387"/>
      <c r="BH9438" s="386"/>
      <c r="BI9438" s="386"/>
      <c r="BJ9438" s="46"/>
    </row>
    <row r="9439" spans="59:62" x14ac:dyDescent="0.3">
      <c r="BG9439" s="387"/>
      <c r="BH9439" s="386"/>
      <c r="BI9439" s="386"/>
      <c r="BJ9439" s="46"/>
    </row>
    <row r="9440" spans="59:62" x14ac:dyDescent="0.3">
      <c r="BG9440" s="387"/>
      <c r="BH9440" s="386"/>
      <c r="BI9440" s="386"/>
      <c r="BJ9440" s="46"/>
    </row>
    <row r="9441" spans="59:62" x14ac:dyDescent="0.3">
      <c r="BG9441" s="387"/>
      <c r="BH9441" s="386"/>
      <c r="BI9441" s="386"/>
      <c r="BJ9441" s="46"/>
    </row>
    <row r="9442" spans="59:62" x14ac:dyDescent="0.3">
      <c r="BG9442" s="387"/>
      <c r="BH9442" s="386"/>
      <c r="BI9442" s="386"/>
      <c r="BJ9442" s="46"/>
    </row>
    <row r="9443" spans="59:62" x14ac:dyDescent="0.3">
      <c r="BG9443" s="387"/>
      <c r="BH9443" s="386"/>
      <c r="BI9443" s="386"/>
      <c r="BJ9443" s="46"/>
    </row>
    <row r="9444" spans="59:62" x14ac:dyDescent="0.3">
      <c r="BG9444" s="387"/>
      <c r="BH9444" s="386"/>
      <c r="BI9444" s="386"/>
      <c r="BJ9444" s="46"/>
    </row>
    <row r="9445" spans="59:62" x14ac:dyDescent="0.3">
      <c r="BG9445" s="387"/>
      <c r="BH9445" s="386"/>
      <c r="BI9445" s="386"/>
      <c r="BJ9445" s="46"/>
    </row>
    <row r="9446" spans="59:62" x14ac:dyDescent="0.3">
      <c r="BG9446" s="387"/>
      <c r="BH9446" s="386"/>
      <c r="BI9446" s="386"/>
      <c r="BJ9446" s="46"/>
    </row>
    <row r="9447" spans="59:62" x14ac:dyDescent="0.3">
      <c r="BG9447" s="387"/>
      <c r="BH9447" s="386"/>
      <c r="BI9447" s="386"/>
      <c r="BJ9447" s="46"/>
    </row>
    <row r="9448" spans="59:62" x14ac:dyDescent="0.3">
      <c r="BG9448" s="387"/>
      <c r="BH9448" s="386"/>
      <c r="BI9448" s="386"/>
      <c r="BJ9448" s="46"/>
    </row>
    <row r="9449" spans="59:62" x14ac:dyDescent="0.3">
      <c r="BG9449" s="387"/>
      <c r="BH9449" s="386"/>
      <c r="BI9449" s="386"/>
      <c r="BJ9449" s="46"/>
    </row>
    <row r="9450" spans="59:62" x14ac:dyDescent="0.3">
      <c r="BG9450" s="387"/>
      <c r="BH9450" s="386"/>
      <c r="BI9450" s="386"/>
      <c r="BJ9450" s="46"/>
    </row>
    <row r="9451" spans="59:62" x14ac:dyDescent="0.3">
      <c r="BG9451" s="387"/>
      <c r="BH9451" s="386"/>
      <c r="BI9451" s="386"/>
      <c r="BJ9451" s="46"/>
    </row>
    <row r="9452" spans="59:62" x14ac:dyDescent="0.3">
      <c r="BG9452" s="387"/>
      <c r="BH9452" s="386"/>
      <c r="BI9452" s="386"/>
      <c r="BJ9452" s="46"/>
    </row>
    <row r="9453" spans="59:62" x14ac:dyDescent="0.3">
      <c r="BG9453" s="387"/>
      <c r="BH9453" s="386"/>
      <c r="BI9453" s="386"/>
      <c r="BJ9453" s="46"/>
    </row>
    <row r="9454" spans="59:62" x14ac:dyDescent="0.3">
      <c r="BG9454" s="387"/>
      <c r="BH9454" s="386"/>
      <c r="BI9454" s="386"/>
      <c r="BJ9454" s="46"/>
    </row>
    <row r="9455" spans="59:62" x14ac:dyDescent="0.3">
      <c r="BG9455" s="387"/>
      <c r="BH9455" s="386"/>
      <c r="BI9455" s="386"/>
      <c r="BJ9455" s="46"/>
    </row>
    <row r="9456" spans="59:62" x14ac:dyDescent="0.3">
      <c r="BG9456" s="387"/>
      <c r="BH9456" s="386"/>
      <c r="BI9456" s="386"/>
      <c r="BJ9456" s="46"/>
    </row>
    <row r="9457" spans="59:62" x14ac:dyDescent="0.3">
      <c r="BG9457" s="387"/>
      <c r="BH9457" s="386"/>
      <c r="BI9457" s="386"/>
      <c r="BJ9457" s="46"/>
    </row>
    <row r="9458" spans="59:62" x14ac:dyDescent="0.3">
      <c r="BG9458" s="387"/>
      <c r="BH9458" s="386"/>
      <c r="BI9458" s="386"/>
      <c r="BJ9458" s="46"/>
    </row>
    <row r="9459" spans="59:62" x14ac:dyDescent="0.3">
      <c r="BG9459" s="387"/>
      <c r="BH9459" s="386"/>
      <c r="BI9459" s="386"/>
      <c r="BJ9459" s="46"/>
    </row>
    <row r="9460" spans="59:62" x14ac:dyDescent="0.3">
      <c r="BG9460" s="387"/>
      <c r="BH9460" s="386"/>
      <c r="BI9460" s="386"/>
      <c r="BJ9460" s="46"/>
    </row>
    <row r="9461" spans="59:62" x14ac:dyDescent="0.3">
      <c r="BG9461" s="387"/>
      <c r="BH9461" s="386"/>
      <c r="BI9461" s="386"/>
      <c r="BJ9461" s="46"/>
    </row>
    <row r="9462" spans="59:62" x14ac:dyDescent="0.3">
      <c r="BG9462" s="387"/>
      <c r="BH9462" s="386"/>
      <c r="BI9462" s="386"/>
      <c r="BJ9462" s="46"/>
    </row>
    <row r="9463" spans="59:62" x14ac:dyDescent="0.3">
      <c r="BG9463" s="387"/>
      <c r="BH9463" s="386"/>
      <c r="BI9463" s="386"/>
      <c r="BJ9463" s="46"/>
    </row>
    <row r="9464" spans="59:62" x14ac:dyDescent="0.3">
      <c r="BG9464" s="387"/>
      <c r="BH9464" s="386"/>
      <c r="BI9464" s="386"/>
      <c r="BJ9464" s="46"/>
    </row>
    <row r="9465" spans="59:62" x14ac:dyDescent="0.3">
      <c r="BG9465" s="387"/>
      <c r="BH9465" s="386"/>
      <c r="BI9465" s="386"/>
      <c r="BJ9465" s="46"/>
    </row>
    <row r="9466" spans="59:62" x14ac:dyDescent="0.3">
      <c r="BG9466" s="387"/>
      <c r="BH9466" s="386"/>
      <c r="BI9466" s="386"/>
      <c r="BJ9466" s="46"/>
    </row>
    <row r="9467" spans="59:62" x14ac:dyDescent="0.3">
      <c r="BG9467" s="387"/>
      <c r="BH9467" s="386"/>
      <c r="BI9467" s="386"/>
      <c r="BJ9467" s="46"/>
    </row>
    <row r="9468" spans="59:62" x14ac:dyDescent="0.3">
      <c r="BG9468" s="387"/>
      <c r="BH9468" s="386"/>
      <c r="BI9468" s="386"/>
      <c r="BJ9468" s="46"/>
    </row>
    <row r="9469" spans="59:62" x14ac:dyDescent="0.3">
      <c r="BG9469" s="387"/>
      <c r="BH9469" s="386"/>
      <c r="BI9469" s="386"/>
      <c r="BJ9469" s="46"/>
    </row>
    <row r="9470" spans="59:62" x14ac:dyDescent="0.3">
      <c r="BG9470" s="387"/>
      <c r="BH9470" s="386"/>
      <c r="BI9470" s="386"/>
      <c r="BJ9470" s="46"/>
    </row>
    <row r="9471" spans="59:62" x14ac:dyDescent="0.3">
      <c r="BG9471" s="387"/>
      <c r="BH9471" s="386"/>
      <c r="BI9471" s="386"/>
      <c r="BJ9471" s="46"/>
    </row>
    <row r="9472" spans="59:62" x14ac:dyDescent="0.3">
      <c r="BG9472" s="387"/>
      <c r="BH9472" s="386"/>
      <c r="BI9472" s="386"/>
      <c r="BJ9472" s="46"/>
    </row>
    <row r="9473" spans="59:62" x14ac:dyDescent="0.3">
      <c r="BG9473" s="387"/>
      <c r="BH9473" s="386"/>
      <c r="BI9473" s="386"/>
      <c r="BJ9473" s="46"/>
    </row>
    <row r="9474" spans="59:62" x14ac:dyDescent="0.3">
      <c r="BG9474" s="387"/>
      <c r="BH9474" s="386"/>
      <c r="BI9474" s="386"/>
      <c r="BJ9474" s="46"/>
    </row>
    <row r="9475" spans="59:62" x14ac:dyDescent="0.3">
      <c r="BG9475" s="387"/>
      <c r="BH9475" s="386"/>
      <c r="BI9475" s="386"/>
      <c r="BJ9475" s="46"/>
    </row>
    <row r="9476" spans="59:62" x14ac:dyDescent="0.3">
      <c r="BG9476" s="387"/>
      <c r="BH9476" s="386"/>
      <c r="BI9476" s="386"/>
      <c r="BJ9476" s="46"/>
    </row>
    <row r="9477" spans="59:62" x14ac:dyDescent="0.3">
      <c r="BG9477" s="387"/>
      <c r="BH9477" s="386"/>
      <c r="BI9477" s="386"/>
      <c r="BJ9477" s="46"/>
    </row>
    <row r="9478" spans="59:62" x14ac:dyDescent="0.3">
      <c r="BG9478" s="387"/>
      <c r="BH9478" s="386"/>
      <c r="BI9478" s="386"/>
      <c r="BJ9478" s="46"/>
    </row>
    <row r="9479" spans="59:62" x14ac:dyDescent="0.3">
      <c r="BG9479" s="387"/>
      <c r="BH9479" s="386"/>
      <c r="BI9479" s="386"/>
      <c r="BJ9479" s="46"/>
    </row>
    <row r="9480" spans="59:62" x14ac:dyDescent="0.3">
      <c r="BG9480" s="387"/>
      <c r="BH9480" s="386"/>
      <c r="BI9480" s="386"/>
      <c r="BJ9480" s="46"/>
    </row>
    <row r="9481" spans="59:62" x14ac:dyDescent="0.3">
      <c r="BG9481" s="387"/>
      <c r="BH9481" s="386"/>
      <c r="BI9481" s="386"/>
      <c r="BJ9481" s="46"/>
    </row>
    <row r="9482" spans="59:62" x14ac:dyDescent="0.3">
      <c r="BG9482" s="387"/>
      <c r="BH9482" s="386"/>
      <c r="BI9482" s="386"/>
      <c r="BJ9482" s="46"/>
    </row>
    <row r="9483" spans="59:62" x14ac:dyDescent="0.3">
      <c r="BG9483" s="387"/>
      <c r="BH9483" s="386"/>
      <c r="BI9483" s="386"/>
      <c r="BJ9483" s="46"/>
    </row>
    <row r="9484" spans="59:62" x14ac:dyDescent="0.3">
      <c r="BG9484" s="387"/>
      <c r="BH9484" s="386"/>
      <c r="BI9484" s="386"/>
      <c r="BJ9484" s="46"/>
    </row>
    <row r="9485" spans="59:62" x14ac:dyDescent="0.3">
      <c r="BG9485" s="387"/>
      <c r="BH9485" s="386"/>
      <c r="BI9485" s="386"/>
      <c r="BJ9485" s="46"/>
    </row>
    <row r="9486" spans="59:62" x14ac:dyDescent="0.3">
      <c r="BG9486" s="387"/>
      <c r="BH9486" s="386"/>
      <c r="BI9486" s="386"/>
      <c r="BJ9486" s="46"/>
    </row>
    <row r="9487" spans="59:62" x14ac:dyDescent="0.3">
      <c r="BG9487" s="387"/>
      <c r="BH9487" s="386"/>
      <c r="BI9487" s="386"/>
      <c r="BJ9487" s="46"/>
    </row>
    <row r="9488" spans="59:62" x14ac:dyDescent="0.3">
      <c r="BG9488" s="387"/>
      <c r="BH9488" s="386"/>
      <c r="BI9488" s="386"/>
      <c r="BJ9488" s="46"/>
    </row>
    <row r="9489" spans="59:62" x14ac:dyDescent="0.3">
      <c r="BG9489" s="387"/>
      <c r="BH9489" s="386"/>
      <c r="BI9489" s="386"/>
      <c r="BJ9489" s="46"/>
    </row>
    <row r="9490" spans="59:62" x14ac:dyDescent="0.3">
      <c r="BG9490" s="387"/>
      <c r="BH9490" s="386"/>
      <c r="BI9490" s="386"/>
      <c r="BJ9490" s="46"/>
    </row>
    <row r="9491" spans="59:62" x14ac:dyDescent="0.3">
      <c r="BG9491" s="387"/>
      <c r="BH9491" s="386"/>
      <c r="BI9491" s="386"/>
      <c r="BJ9491" s="46"/>
    </row>
    <row r="9492" spans="59:62" x14ac:dyDescent="0.3">
      <c r="BG9492" s="387"/>
      <c r="BH9492" s="386"/>
      <c r="BI9492" s="386"/>
      <c r="BJ9492" s="46"/>
    </row>
    <row r="9493" spans="59:62" x14ac:dyDescent="0.3">
      <c r="BG9493" s="387"/>
      <c r="BH9493" s="386"/>
      <c r="BI9493" s="386"/>
      <c r="BJ9493" s="46"/>
    </row>
    <row r="9494" spans="59:62" x14ac:dyDescent="0.3">
      <c r="BG9494" s="387"/>
      <c r="BH9494" s="386"/>
      <c r="BI9494" s="386"/>
      <c r="BJ9494" s="46"/>
    </row>
    <row r="9495" spans="59:62" x14ac:dyDescent="0.3">
      <c r="BG9495" s="387"/>
      <c r="BH9495" s="386"/>
      <c r="BI9495" s="386"/>
      <c r="BJ9495" s="46"/>
    </row>
    <row r="9496" spans="59:62" x14ac:dyDescent="0.3">
      <c r="BG9496" s="387"/>
      <c r="BH9496" s="386"/>
      <c r="BI9496" s="386"/>
      <c r="BJ9496" s="46"/>
    </row>
    <row r="9497" spans="59:62" x14ac:dyDescent="0.3">
      <c r="BG9497" s="387"/>
      <c r="BH9497" s="386"/>
      <c r="BI9497" s="386"/>
      <c r="BJ9497" s="46"/>
    </row>
    <row r="9498" spans="59:62" x14ac:dyDescent="0.3">
      <c r="BG9498" s="387"/>
      <c r="BH9498" s="386"/>
      <c r="BI9498" s="386"/>
      <c r="BJ9498" s="46"/>
    </row>
    <row r="9499" spans="59:62" x14ac:dyDescent="0.3">
      <c r="BG9499" s="387"/>
      <c r="BH9499" s="386"/>
      <c r="BI9499" s="386"/>
      <c r="BJ9499" s="46"/>
    </row>
    <row r="9500" spans="59:62" x14ac:dyDescent="0.3">
      <c r="BG9500" s="387"/>
      <c r="BH9500" s="386"/>
      <c r="BI9500" s="386"/>
      <c r="BJ9500" s="46"/>
    </row>
    <row r="9501" spans="59:62" x14ac:dyDescent="0.3">
      <c r="BG9501" s="387"/>
      <c r="BH9501" s="386"/>
      <c r="BI9501" s="386"/>
      <c r="BJ9501" s="46"/>
    </row>
    <row r="9502" spans="59:62" x14ac:dyDescent="0.3">
      <c r="BG9502" s="387"/>
      <c r="BH9502" s="386"/>
      <c r="BI9502" s="386"/>
      <c r="BJ9502" s="46"/>
    </row>
    <row r="9503" spans="59:62" x14ac:dyDescent="0.3">
      <c r="BG9503" s="387"/>
      <c r="BH9503" s="386"/>
      <c r="BI9503" s="386"/>
      <c r="BJ9503" s="46"/>
    </row>
    <row r="9504" spans="59:62" x14ac:dyDescent="0.3">
      <c r="BG9504" s="387"/>
      <c r="BH9504" s="386"/>
      <c r="BI9504" s="386"/>
      <c r="BJ9504" s="46"/>
    </row>
    <row r="9505" spans="59:62" x14ac:dyDescent="0.3">
      <c r="BG9505" s="387"/>
      <c r="BH9505" s="386"/>
      <c r="BI9505" s="386"/>
      <c r="BJ9505" s="46"/>
    </row>
    <row r="9506" spans="59:62" x14ac:dyDescent="0.3">
      <c r="BG9506" s="387"/>
      <c r="BH9506" s="386"/>
      <c r="BI9506" s="386"/>
      <c r="BJ9506" s="46"/>
    </row>
    <row r="9507" spans="59:62" x14ac:dyDescent="0.3">
      <c r="BG9507" s="387"/>
      <c r="BH9507" s="386"/>
      <c r="BI9507" s="386"/>
      <c r="BJ9507" s="46"/>
    </row>
    <row r="9508" spans="59:62" x14ac:dyDescent="0.3">
      <c r="BG9508" s="387"/>
      <c r="BH9508" s="386"/>
      <c r="BI9508" s="386"/>
      <c r="BJ9508" s="46"/>
    </row>
    <row r="9509" spans="59:62" x14ac:dyDescent="0.3">
      <c r="BG9509" s="387"/>
      <c r="BH9509" s="386"/>
      <c r="BI9509" s="386"/>
      <c r="BJ9509" s="46"/>
    </row>
    <row r="9510" spans="59:62" x14ac:dyDescent="0.3">
      <c r="BG9510" s="387"/>
      <c r="BH9510" s="386"/>
      <c r="BI9510" s="386"/>
      <c r="BJ9510" s="46"/>
    </row>
    <row r="9511" spans="59:62" x14ac:dyDescent="0.3">
      <c r="BG9511" s="387"/>
      <c r="BH9511" s="386"/>
      <c r="BI9511" s="386"/>
      <c r="BJ9511" s="46"/>
    </row>
    <row r="9512" spans="59:62" x14ac:dyDescent="0.3">
      <c r="BG9512" s="387"/>
      <c r="BH9512" s="386"/>
      <c r="BI9512" s="386"/>
      <c r="BJ9512" s="46"/>
    </row>
    <row r="9513" spans="59:62" x14ac:dyDescent="0.3">
      <c r="BG9513" s="387"/>
      <c r="BH9513" s="386"/>
      <c r="BI9513" s="386"/>
      <c r="BJ9513" s="46"/>
    </row>
    <row r="9514" spans="59:62" x14ac:dyDescent="0.3">
      <c r="BG9514" s="387"/>
      <c r="BH9514" s="386"/>
      <c r="BI9514" s="386"/>
      <c r="BJ9514" s="46"/>
    </row>
    <row r="9515" spans="59:62" x14ac:dyDescent="0.3">
      <c r="BG9515" s="387"/>
      <c r="BH9515" s="386"/>
      <c r="BI9515" s="386"/>
      <c r="BJ9515" s="46"/>
    </row>
    <row r="9516" spans="59:62" x14ac:dyDescent="0.3">
      <c r="BG9516" s="387"/>
      <c r="BH9516" s="386"/>
      <c r="BI9516" s="386"/>
      <c r="BJ9516" s="46"/>
    </row>
    <row r="9517" spans="59:62" x14ac:dyDescent="0.3">
      <c r="BG9517" s="387"/>
      <c r="BH9517" s="386"/>
      <c r="BI9517" s="386"/>
      <c r="BJ9517" s="46"/>
    </row>
    <row r="9518" spans="59:62" x14ac:dyDescent="0.3">
      <c r="BG9518" s="387"/>
      <c r="BH9518" s="386"/>
      <c r="BI9518" s="386"/>
      <c r="BJ9518" s="46"/>
    </row>
    <row r="9519" spans="59:62" x14ac:dyDescent="0.3">
      <c r="BG9519" s="387"/>
      <c r="BH9519" s="386"/>
      <c r="BI9519" s="386"/>
      <c r="BJ9519" s="46"/>
    </row>
    <row r="9520" spans="59:62" x14ac:dyDescent="0.3">
      <c r="BG9520" s="387"/>
      <c r="BH9520" s="386"/>
      <c r="BI9520" s="386"/>
      <c r="BJ9520" s="46"/>
    </row>
    <row r="9521" spans="59:62" x14ac:dyDescent="0.3">
      <c r="BG9521" s="387"/>
      <c r="BH9521" s="386"/>
      <c r="BI9521" s="386"/>
      <c r="BJ9521" s="46"/>
    </row>
    <row r="9522" spans="59:62" x14ac:dyDescent="0.3">
      <c r="BG9522" s="387"/>
      <c r="BH9522" s="386"/>
      <c r="BI9522" s="386"/>
      <c r="BJ9522" s="46"/>
    </row>
    <row r="9523" spans="59:62" x14ac:dyDescent="0.3">
      <c r="BG9523" s="387"/>
      <c r="BH9523" s="386"/>
      <c r="BI9523" s="386"/>
      <c r="BJ9523" s="46"/>
    </row>
    <row r="9524" spans="59:62" x14ac:dyDescent="0.3">
      <c r="BG9524" s="387"/>
      <c r="BH9524" s="386"/>
      <c r="BI9524" s="386"/>
      <c r="BJ9524" s="46"/>
    </row>
    <row r="9525" spans="59:62" x14ac:dyDescent="0.3">
      <c r="BG9525" s="387"/>
      <c r="BH9525" s="386"/>
      <c r="BI9525" s="386"/>
      <c r="BJ9525" s="46"/>
    </row>
    <row r="9526" spans="59:62" x14ac:dyDescent="0.3">
      <c r="BG9526" s="387"/>
      <c r="BH9526" s="386"/>
      <c r="BI9526" s="386"/>
      <c r="BJ9526" s="46"/>
    </row>
    <row r="9527" spans="59:62" x14ac:dyDescent="0.3">
      <c r="BG9527" s="387"/>
      <c r="BH9527" s="386"/>
      <c r="BI9527" s="386"/>
      <c r="BJ9527" s="46"/>
    </row>
    <row r="9528" spans="59:62" x14ac:dyDescent="0.3">
      <c r="BG9528" s="387"/>
      <c r="BH9528" s="386"/>
      <c r="BI9528" s="386"/>
      <c r="BJ9528" s="46"/>
    </row>
    <row r="9529" spans="59:62" x14ac:dyDescent="0.3">
      <c r="BG9529" s="387"/>
      <c r="BH9529" s="386"/>
      <c r="BI9529" s="386"/>
      <c r="BJ9529" s="46"/>
    </row>
    <row r="9530" spans="59:62" x14ac:dyDescent="0.3">
      <c r="BG9530" s="387"/>
      <c r="BH9530" s="386"/>
      <c r="BI9530" s="386"/>
      <c r="BJ9530" s="46"/>
    </row>
    <row r="9531" spans="59:62" x14ac:dyDescent="0.3">
      <c r="BG9531" s="387"/>
      <c r="BH9531" s="386"/>
      <c r="BI9531" s="386"/>
      <c r="BJ9531" s="46"/>
    </row>
    <row r="9532" spans="59:62" x14ac:dyDescent="0.3">
      <c r="BG9532" s="387"/>
      <c r="BH9532" s="386"/>
      <c r="BI9532" s="386"/>
      <c r="BJ9532" s="46"/>
    </row>
    <row r="9533" spans="59:62" x14ac:dyDescent="0.3">
      <c r="BG9533" s="387"/>
      <c r="BH9533" s="386"/>
      <c r="BI9533" s="386"/>
      <c r="BJ9533" s="46"/>
    </row>
    <row r="9534" spans="59:62" x14ac:dyDescent="0.3">
      <c r="BG9534" s="387"/>
      <c r="BH9534" s="386"/>
      <c r="BI9534" s="386"/>
      <c r="BJ9534" s="46"/>
    </row>
    <row r="9535" spans="59:62" x14ac:dyDescent="0.3">
      <c r="BG9535" s="387"/>
      <c r="BH9535" s="386"/>
      <c r="BI9535" s="386"/>
      <c r="BJ9535" s="46"/>
    </row>
    <row r="9536" spans="59:62" x14ac:dyDescent="0.3">
      <c r="BG9536" s="387"/>
      <c r="BH9536" s="386"/>
      <c r="BI9536" s="386"/>
      <c r="BJ9536" s="46"/>
    </row>
    <row r="9537" spans="59:62" x14ac:dyDescent="0.3">
      <c r="BG9537" s="387"/>
      <c r="BH9537" s="386"/>
      <c r="BI9537" s="386"/>
      <c r="BJ9537" s="46"/>
    </row>
    <row r="9538" spans="59:62" x14ac:dyDescent="0.3">
      <c r="BG9538" s="387"/>
      <c r="BH9538" s="386"/>
      <c r="BI9538" s="386"/>
      <c r="BJ9538" s="46"/>
    </row>
    <row r="9539" spans="59:62" x14ac:dyDescent="0.3">
      <c r="BG9539" s="387"/>
      <c r="BH9539" s="386"/>
      <c r="BI9539" s="386"/>
      <c r="BJ9539" s="46"/>
    </row>
    <row r="9540" spans="59:62" x14ac:dyDescent="0.3">
      <c r="BG9540" s="387"/>
      <c r="BH9540" s="386"/>
      <c r="BI9540" s="386"/>
      <c r="BJ9540" s="46"/>
    </row>
    <row r="9541" spans="59:62" x14ac:dyDescent="0.3">
      <c r="BG9541" s="387"/>
      <c r="BH9541" s="386"/>
      <c r="BI9541" s="386"/>
      <c r="BJ9541" s="46"/>
    </row>
    <row r="9542" spans="59:62" x14ac:dyDescent="0.3">
      <c r="BG9542" s="387"/>
      <c r="BH9542" s="386"/>
      <c r="BI9542" s="386"/>
      <c r="BJ9542" s="46"/>
    </row>
    <row r="9543" spans="59:62" x14ac:dyDescent="0.3">
      <c r="BG9543" s="387"/>
      <c r="BH9543" s="386"/>
      <c r="BI9543" s="386"/>
      <c r="BJ9543" s="46"/>
    </row>
    <row r="9544" spans="59:62" x14ac:dyDescent="0.3">
      <c r="BG9544" s="387"/>
      <c r="BH9544" s="386"/>
      <c r="BI9544" s="386"/>
      <c r="BJ9544" s="46"/>
    </row>
    <row r="9545" spans="59:62" x14ac:dyDescent="0.3">
      <c r="BG9545" s="387"/>
      <c r="BH9545" s="386"/>
      <c r="BI9545" s="386"/>
      <c r="BJ9545" s="46"/>
    </row>
    <row r="9546" spans="59:62" x14ac:dyDescent="0.3">
      <c r="BG9546" s="387"/>
      <c r="BH9546" s="386"/>
      <c r="BI9546" s="386"/>
      <c r="BJ9546" s="46"/>
    </row>
    <row r="9547" spans="59:62" x14ac:dyDescent="0.3">
      <c r="BG9547" s="387"/>
      <c r="BH9547" s="386"/>
      <c r="BI9547" s="386"/>
      <c r="BJ9547" s="46"/>
    </row>
    <row r="9548" spans="59:62" x14ac:dyDescent="0.3">
      <c r="BG9548" s="387"/>
      <c r="BH9548" s="386"/>
      <c r="BI9548" s="386"/>
      <c r="BJ9548" s="46"/>
    </row>
    <row r="9549" spans="59:62" x14ac:dyDescent="0.3">
      <c r="BG9549" s="387"/>
      <c r="BH9549" s="386"/>
      <c r="BI9549" s="386"/>
      <c r="BJ9549" s="46"/>
    </row>
    <row r="9550" spans="59:62" x14ac:dyDescent="0.3">
      <c r="BG9550" s="387"/>
      <c r="BH9550" s="386"/>
      <c r="BI9550" s="386"/>
      <c r="BJ9550" s="46"/>
    </row>
    <row r="9551" spans="59:62" x14ac:dyDescent="0.3">
      <c r="BG9551" s="387"/>
      <c r="BH9551" s="386"/>
      <c r="BI9551" s="386"/>
      <c r="BJ9551" s="46"/>
    </row>
    <row r="9552" spans="59:62" x14ac:dyDescent="0.3">
      <c r="BG9552" s="387"/>
      <c r="BH9552" s="386"/>
      <c r="BI9552" s="386"/>
      <c r="BJ9552" s="46"/>
    </row>
    <row r="9553" spans="59:62" x14ac:dyDescent="0.3">
      <c r="BG9553" s="387"/>
      <c r="BH9553" s="386"/>
      <c r="BI9553" s="386"/>
      <c r="BJ9553" s="46"/>
    </row>
    <row r="9554" spans="59:62" x14ac:dyDescent="0.3">
      <c r="BG9554" s="387"/>
      <c r="BH9554" s="386"/>
      <c r="BI9554" s="386"/>
      <c r="BJ9554" s="46"/>
    </row>
    <row r="9555" spans="59:62" x14ac:dyDescent="0.3">
      <c r="BG9555" s="387"/>
      <c r="BH9555" s="386"/>
      <c r="BI9555" s="386"/>
      <c r="BJ9555" s="46"/>
    </row>
    <row r="9556" spans="59:62" x14ac:dyDescent="0.3">
      <c r="BG9556" s="387"/>
      <c r="BH9556" s="386"/>
      <c r="BI9556" s="386"/>
      <c r="BJ9556" s="46"/>
    </row>
    <row r="9557" spans="59:62" x14ac:dyDescent="0.3">
      <c r="BG9557" s="387"/>
      <c r="BH9557" s="386"/>
      <c r="BI9557" s="386"/>
      <c r="BJ9557" s="46"/>
    </row>
    <row r="9558" spans="59:62" x14ac:dyDescent="0.3">
      <c r="BG9558" s="387"/>
      <c r="BH9558" s="386"/>
      <c r="BI9558" s="386"/>
      <c r="BJ9558" s="46"/>
    </row>
    <row r="9559" spans="59:62" x14ac:dyDescent="0.3">
      <c r="BG9559" s="387"/>
      <c r="BH9559" s="386"/>
      <c r="BI9559" s="386"/>
      <c r="BJ9559" s="46"/>
    </row>
    <row r="9560" spans="59:62" x14ac:dyDescent="0.3">
      <c r="BG9560" s="387"/>
      <c r="BH9560" s="386"/>
      <c r="BI9560" s="386"/>
      <c r="BJ9560" s="46"/>
    </row>
    <row r="9561" spans="59:62" x14ac:dyDescent="0.3">
      <c r="BG9561" s="387"/>
      <c r="BH9561" s="386"/>
      <c r="BI9561" s="386"/>
      <c r="BJ9561" s="46"/>
    </row>
    <row r="9562" spans="59:62" x14ac:dyDescent="0.3">
      <c r="BG9562" s="387"/>
      <c r="BH9562" s="386"/>
      <c r="BI9562" s="386"/>
      <c r="BJ9562" s="46"/>
    </row>
    <row r="9563" spans="59:62" x14ac:dyDescent="0.3">
      <c r="BG9563" s="387"/>
      <c r="BH9563" s="386"/>
      <c r="BI9563" s="386"/>
      <c r="BJ9563" s="46"/>
    </row>
    <row r="9564" spans="59:62" x14ac:dyDescent="0.3">
      <c r="BG9564" s="387"/>
      <c r="BH9564" s="386"/>
      <c r="BI9564" s="386"/>
      <c r="BJ9564" s="46"/>
    </row>
    <row r="9565" spans="59:62" x14ac:dyDescent="0.3">
      <c r="BG9565" s="387"/>
      <c r="BH9565" s="386"/>
      <c r="BI9565" s="386"/>
      <c r="BJ9565" s="46"/>
    </row>
    <row r="9566" spans="59:62" x14ac:dyDescent="0.3">
      <c r="BG9566" s="387"/>
      <c r="BH9566" s="386"/>
      <c r="BI9566" s="386"/>
      <c r="BJ9566" s="46"/>
    </row>
    <row r="9567" spans="59:62" x14ac:dyDescent="0.3">
      <c r="BG9567" s="387"/>
      <c r="BH9567" s="386"/>
      <c r="BI9567" s="386"/>
      <c r="BJ9567" s="46"/>
    </row>
    <row r="9568" spans="59:62" x14ac:dyDescent="0.3">
      <c r="BG9568" s="387"/>
      <c r="BH9568" s="386"/>
      <c r="BI9568" s="386"/>
      <c r="BJ9568" s="46"/>
    </row>
    <row r="9569" spans="59:62" x14ac:dyDescent="0.3">
      <c r="BG9569" s="387"/>
      <c r="BH9569" s="386"/>
      <c r="BI9569" s="386"/>
      <c r="BJ9569" s="46"/>
    </row>
    <row r="9570" spans="59:62" x14ac:dyDescent="0.3">
      <c r="BG9570" s="387"/>
      <c r="BH9570" s="386"/>
      <c r="BI9570" s="386"/>
      <c r="BJ9570" s="46"/>
    </row>
    <row r="9571" spans="59:62" x14ac:dyDescent="0.3">
      <c r="BG9571" s="387"/>
      <c r="BH9571" s="386"/>
      <c r="BI9571" s="386"/>
      <c r="BJ9571" s="46"/>
    </row>
    <row r="9572" spans="59:62" x14ac:dyDescent="0.3">
      <c r="BG9572" s="387"/>
      <c r="BH9572" s="386"/>
      <c r="BI9572" s="386"/>
      <c r="BJ9572" s="46"/>
    </row>
    <row r="9573" spans="59:62" x14ac:dyDescent="0.3">
      <c r="BG9573" s="387"/>
      <c r="BH9573" s="386"/>
      <c r="BI9573" s="386"/>
      <c r="BJ9573" s="46"/>
    </row>
    <row r="9574" spans="59:62" x14ac:dyDescent="0.3">
      <c r="BG9574" s="387"/>
      <c r="BH9574" s="386"/>
      <c r="BI9574" s="386"/>
      <c r="BJ9574" s="46"/>
    </row>
    <row r="9575" spans="59:62" x14ac:dyDescent="0.3">
      <c r="BG9575" s="387"/>
      <c r="BH9575" s="386"/>
      <c r="BI9575" s="386"/>
      <c r="BJ9575" s="46"/>
    </row>
    <row r="9576" spans="59:62" x14ac:dyDescent="0.3">
      <c r="BG9576" s="387"/>
      <c r="BH9576" s="386"/>
      <c r="BI9576" s="386"/>
      <c r="BJ9576" s="46"/>
    </row>
    <row r="9577" spans="59:62" x14ac:dyDescent="0.3">
      <c r="BG9577" s="387"/>
      <c r="BH9577" s="386"/>
      <c r="BI9577" s="386"/>
      <c r="BJ9577" s="46"/>
    </row>
    <row r="9578" spans="59:62" x14ac:dyDescent="0.3">
      <c r="BG9578" s="387"/>
      <c r="BH9578" s="386"/>
      <c r="BI9578" s="386"/>
      <c r="BJ9578" s="46"/>
    </row>
    <row r="9579" spans="59:62" x14ac:dyDescent="0.3">
      <c r="BG9579" s="387"/>
      <c r="BH9579" s="386"/>
      <c r="BI9579" s="386"/>
      <c r="BJ9579" s="46"/>
    </row>
    <row r="9580" spans="59:62" x14ac:dyDescent="0.3">
      <c r="BG9580" s="387"/>
      <c r="BH9580" s="386"/>
      <c r="BI9580" s="386"/>
      <c r="BJ9580" s="46"/>
    </row>
    <row r="9581" spans="59:62" x14ac:dyDescent="0.3">
      <c r="BG9581" s="387"/>
      <c r="BH9581" s="386"/>
      <c r="BI9581" s="386"/>
      <c r="BJ9581" s="46"/>
    </row>
    <row r="9582" spans="59:62" x14ac:dyDescent="0.3">
      <c r="BG9582" s="387"/>
      <c r="BH9582" s="386"/>
      <c r="BI9582" s="386"/>
      <c r="BJ9582" s="46"/>
    </row>
    <row r="9583" spans="59:62" x14ac:dyDescent="0.3">
      <c r="BG9583" s="387"/>
      <c r="BH9583" s="386"/>
      <c r="BI9583" s="386"/>
      <c r="BJ9583" s="46"/>
    </row>
    <row r="9584" spans="59:62" x14ac:dyDescent="0.3">
      <c r="BG9584" s="387"/>
      <c r="BH9584" s="386"/>
      <c r="BI9584" s="386"/>
      <c r="BJ9584" s="46"/>
    </row>
    <row r="9585" spans="59:62" x14ac:dyDescent="0.3">
      <c r="BG9585" s="387"/>
      <c r="BH9585" s="386"/>
      <c r="BI9585" s="386"/>
      <c r="BJ9585" s="46"/>
    </row>
    <row r="9586" spans="59:62" x14ac:dyDescent="0.3">
      <c r="BG9586" s="387"/>
      <c r="BH9586" s="386"/>
      <c r="BI9586" s="386"/>
      <c r="BJ9586" s="46"/>
    </row>
    <row r="9587" spans="59:62" x14ac:dyDescent="0.3">
      <c r="BG9587" s="387"/>
      <c r="BH9587" s="386"/>
      <c r="BI9587" s="386"/>
      <c r="BJ9587" s="46"/>
    </row>
    <row r="9588" spans="59:62" x14ac:dyDescent="0.3">
      <c r="BG9588" s="387"/>
      <c r="BH9588" s="386"/>
      <c r="BI9588" s="386"/>
      <c r="BJ9588" s="46"/>
    </row>
    <row r="9589" spans="59:62" x14ac:dyDescent="0.3">
      <c r="BG9589" s="387"/>
      <c r="BH9589" s="386"/>
      <c r="BI9589" s="386"/>
      <c r="BJ9589" s="46"/>
    </row>
    <row r="9590" spans="59:62" x14ac:dyDescent="0.3">
      <c r="BG9590" s="387"/>
      <c r="BH9590" s="386"/>
      <c r="BI9590" s="386"/>
      <c r="BJ9590" s="46"/>
    </row>
    <row r="9591" spans="59:62" x14ac:dyDescent="0.3">
      <c r="BG9591" s="387"/>
      <c r="BH9591" s="386"/>
      <c r="BI9591" s="386"/>
      <c r="BJ9591" s="46"/>
    </row>
    <row r="9592" spans="59:62" x14ac:dyDescent="0.3">
      <c r="BG9592" s="387"/>
      <c r="BH9592" s="386"/>
      <c r="BI9592" s="386"/>
      <c r="BJ9592" s="46"/>
    </row>
    <row r="9593" spans="59:62" x14ac:dyDescent="0.3">
      <c r="BG9593" s="387"/>
      <c r="BH9593" s="386"/>
      <c r="BI9593" s="386"/>
      <c r="BJ9593" s="46"/>
    </row>
    <row r="9594" spans="59:62" x14ac:dyDescent="0.3">
      <c r="BG9594" s="387"/>
      <c r="BH9594" s="386"/>
      <c r="BI9594" s="386"/>
      <c r="BJ9594" s="46"/>
    </row>
    <row r="9595" spans="59:62" x14ac:dyDescent="0.3">
      <c r="BG9595" s="387"/>
      <c r="BH9595" s="386"/>
      <c r="BI9595" s="386"/>
      <c r="BJ9595" s="46"/>
    </row>
    <row r="9596" spans="59:62" x14ac:dyDescent="0.3">
      <c r="BG9596" s="387"/>
      <c r="BH9596" s="386"/>
      <c r="BI9596" s="386"/>
      <c r="BJ9596" s="46"/>
    </row>
    <row r="9597" spans="59:62" x14ac:dyDescent="0.3">
      <c r="BG9597" s="387"/>
      <c r="BH9597" s="386"/>
      <c r="BI9597" s="386"/>
      <c r="BJ9597" s="46"/>
    </row>
    <row r="9598" spans="59:62" x14ac:dyDescent="0.3">
      <c r="BG9598" s="387"/>
      <c r="BH9598" s="386"/>
      <c r="BI9598" s="386"/>
      <c r="BJ9598" s="46"/>
    </row>
    <row r="9599" spans="59:62" x14ac:dyDescent="0.3">
      <c r="BG9599" s="387"/>
      <c r="BH9599" s="386"/>
      <c r="BI9599" s="386"/>
      <c r="BJ9599" s="46"/>
    </row>
    <row r="9600" spans="59:62" x14ac:dyDescent="0.3">
      <c r="BG9600" s="387"/>
      <c r="BH9600" s="386"/>
      <c r="BI9600" s="386"/>
      <c r="BJ9600" s="46"/>
    </row>
    <row r="9601" spans="59:62" x14ac:dyDescent="0.3">
      <c r="BG9601" s="387"/>
      <c r="BH9601" s="386"/>
      <c r="BI9601" s="386"/>
      <c r="BJ9601" s="46"/>
    </row>
    <row r="9602" spans="59:62" x14ac:dyDescent="0.3">
      <c r="BG9602" s="387"/>
      <c r="BH9602" s="386"/>
      <c r="BI9602" s="386"/>
      <c r="BJ9602" s="46"/>
    </row>
    <row r="9603" spans="59:62" x14ac:dyDescent="0.3">
      <c r="BG9603" s="387"/>
      <c r="BH9603" s="386"/>
      <c r="BI9603" s="386"/>
      <c r="BJ9603" s="46"/>
    </row>
    <row r="9604" spans="59:62" x14ac:dyDescent="0.3">
      <c r="BG9604" s="387"/>
      <c r="BH9604" s="386"/>
      <c r="BI9604" s="386"/>
      <c r="BJ9604" s="46"/>
    </row>
    <row r="9605" spans="59:62" x14ac:dyDescent="0.3">
      <c r="BG9605" s="387"/>
      <c r="BH9605" s="386"/>
      <c r="BI9605" s="386"/>
      <c r="BJ9605" s="46"/>
    </row>
    <row r="9606" spans="59:62" x14ac:dyDescent="0.3">
      <c r="BG9606" s="387"/>
      <c r="BH9606" s="386"/>
      <c r="BI9606" s="386"/>
      <c r="BJ9606" s="46"/>
    </row>
    <row r="9607" spans="59:62" x14ac:dyDescent="0.3">
      <c r="BG9607" s="387"/>
      <c r="BH9607" s="386"/>
      <c r="BI9607" s="386"/>
      <c r="BJ9607" s="46"/>
    </row>
    <row r="9608" spans="59:62" x14ac:dyDescent="0.3">
      <c r="BG9608" s="387"/>
      <c r="BH9608" s="386"/>
      <c r="BI9608" s="386"/>
      <c r="BJ9608" s="46"/>
    </row>
    <row r="9609" spans="59:62" x14ac:dyDescent="0.3">
      <c r="BG9609" s="387"/>
      <c r="BH9609" s="386"/>
      <c r="BI9609" s="386"/>
      <c r="BJ9609" s="46"/>
    </row>
    <row r="9610" spans="59:62" x14ac:dyDescent="0.3">
      <c r="BG9610" s="387"/>
      <c r="BH9610" s="386"/>
      <c r="BI9610" s="386"/>
      <c r="BJ9610" s="46"/>
    </row>
    <row r="9611" spans="59:62" x14ac:dyDescent="0.3">
      <c r="BG9611" s="387"/>
      <c r="BH9611" s="386"/>
      <c r="BI9611" s="386"/>
      <c r="BJ9611" s="46"/>
    </row>
    <row r="9612" spans="59:62" x14ac:dyDescent="0.3">
      <c r="BG9612" s="387"/>
      <c r="BH9612" s="386"/>
      <c r="BI9612" s="386"/>
      <c r="BJ9612" s="46"/>
    </row>
    <row r="9613" spans="59:62" x14ac:dyDescent="0.3">
      <c r="BG9613" s="387"/>
      <c r="BH9613" s="386"/>
      <c r="BI9613" s="386"/>
      <c r="BJ9613" s="46"/>
    </row>
    <row r="9614" spans="59:62" x14ac:dyDescent="0.3">
      <c r="BG9614" s="387"/>
      <c r="BH9614" s="386"/>
      <c r="BI9614" s="386"/>
      <c r="BJ9614" s="46"/>
    </row>
    <row r="9615" spans="59:62" x14ac:dyDescent="0.3">
      <c r="BG9615" s="387"/>
      <c r="BH9615" s="386"/>
      <c r="BI9615" s="386"/>
      <c r="BJ9615" s="46"/>
    </row>
    <row r="9616" spans="59:62" x14ac:dyDescent="0.3">
      <c r="BG9616" s="387"/>
      <c r="BH9616" s="386"/>
      <c r="BI9616" s="386"/>
      <c r="BJ9616" s="46"/>
    </row>
    <row r="9617" spans="59:62" x14ac:dyDescent="0.3">
      <c r="BG9617" s="387"/>
      <c r="BH9617" s="386"/>
      <c r="BI9617" s="386"/>
      <c r="BJ9617" s="46"/>
    </row>
    <row r="9618" spans="59:62" x14ac:dyDescent="0.3">
      <c r="BG9618" s="387"/>
      <c r="BH9618" s="386"/>
      <c r="BI9618" s="386"/>
      <c r="BJ9618" s="46"/>
    </row>
    <row r="9619" spans="59:62" x14ac:dyDescent="0.3">
      <c r="BG9619" s="387"/>
      <c r="BH9619" s="386"/>
      <c r="BI9619" s="386"/>
      <c r="BJ9619" s="46"/>
    </row>
    <row r="9620" spans="59:62" x14ac:dyDescent="0.3">
      <c r="BG9620" s="387"/>
      <c r="BH9620" s="386"/>
      <c r="BI9620" s="386"/>
      <c r="BJ9620" s="46"/>
    </row>
    <row r="9621" spans="59:62" x14ac:dyDescent="0.3">
      <c r="BG9621" s="387"/>
      <c r="BH9621" s="386"/>
      <c r="BI9621" s="386"/>
      <c r="BJ9621" s="46"/>
    </row>
    <row r="9622" spans="59:62" x14ac:dyDescent="0.3">
      <c r="BG9622" s="387"/>
      <c r="BH9622" s="386"/>
      <c r="BI9622" s="386"/>
      <c r="BJ9622" s="46"/>
    </row>
    <row r="9623" spans="59:62" x14ac:dyDescent="0.3">
      <c r="BG9623" s="387"/>
      <c r="BH9623" s="386"/>
      <c r="BI9623" s="386"/>
      <c r="BJ9623" s="46"/>
    </row>
    <row r="9624" spans="59:62" x14ac:dyDescent="0.3">
      <c r="BG9624" s="387"/>
      <c r="BH9624" s="386"/>
      <c r="BI9624" s="386"/>
      <c r="BJ9624" s="46"/>
    </row>
    <row r="9625" spans="59:62" x14ac:dyDescent="0.3">
      <c r="BG9625" s="387"/>
      <c r="BH9625" s="386"/>
      <c r="BI9625" s="386"/>
      <c r="BJ9625" s="46"/>
    </row>
    <row r="9626" spans="59:62" x14ac:dyDescent="0.3">
      <c r="BG9626" s="387"/>
      <c r="BH9626" s="386"/>
      <c r="BI9626" s="386"/>
      <c r="BJ9626" s="46"/>
    </row>
    <row r="9627" spans="59:62" x14ac:dyDescent="0.3">
      <c r="BG9627" s="387"/>
      <c r="BH9627" s="386"/>
      <c r="BI9627" s="386"/>
      <c r="BJ9627" s="46"/>
    </row>
    <row r="9628" spans="59:62" x14ac:dyDescent="0.3">
      <c r="BG9628" s="387"/>
      <c r="BH9628" s="386"/>
      <c r="BI9628" s="386"/>
      <c r="BJ9628" s="46"/>
    </row>
    <row r="9629" spans="59:62" x14ac:dyDescent="0.3">
      <c r="BG9629" s="387"/>
      <c r="BH9629" s="386"/>
      <c r="BI9629" s="386"/>
      <c r="BJ9629" s="46"/>
    </row>
    <row r="9630" spans="59:62" x14ac:dyDescent="0.3">
      <c r="BG9630" s="387"/>
      <c r="BH9630" s="386"/>
      <c r="BI9630" s="386"/>
      <c r="BJ9630" s="46"/>
    </row>
    <row r="9631" spans="59:62" x14ac:dyDescent="0.3">
      <c r="BG9631" s="387"/>
      <c r="BH9631" s="386"/>
      <c r="BI9631" s="386"/>
      <c r="BJ9631" s="46"/>
    </row>
    <row r="9632" spans="59:62" x14ac:dyDescent="0.3">
      <c r="BG9632" s="387"/>
      <c r="BH9632" s="386"/>
      <c r="BI9632" s="386"/>
      <c r="BJ9632" s="46"/>
    </row>
    <row r="9633" spans="59:62" x14ac:dyDescent="0.3">
      <c r="BG9633" s="387"/>
      <c r="BH9633" s="386"/>
      <c r="BI9633" s="386"/>
      <c r="BJ9633" s="46"/>
    </row>
    <row r="9634" spans="59:62" x14ac:dyDescent="0.3">
      <c r="BG9634" s="387"/>
      <c r="BH9634" s="386"/>
      <c r="BI9634" s="386"/>
      <c r="BJ9634" s="46"/>
    </row>
    <row r="9635" spans="59:62" x14ac:dyDescent="0.3">
      <c r="BG9635" s="387"/>
      <c r="BH9635" s="386"/>
      <c r="BI9635" s="386"/>
      <c r="BJ9635" s="46"/>
    </row>
    <row r="9636" spans="59:62" x14ac:dyDescent="0.3">
      <c r="BG9636" s="387"/>
      <c r="BH9636" s="386"/>
      <c r="BI9636" s="386"/>
      <c r="BJ9636" s="46"/>
    </row>
    <row r="9637" spans="59:62" x14ac:dyDescent="0.3">
      <c r="BG9637" s="387"/>
      <c r="BH9637" s="386"/>
      <c r="BI9637" s="386"/>
      <c r="BJ9637" s="46"/>
    </row>
    <row r="9638" spans="59:62" x14ac:dyDescent="0.3">
      <c r="BG9638" s="387"/>
      <c r="BH9638" s="386"/>
      <c r="BI9638" s="386"/>
      <c r="BJ9638" s="46"/>
    </row>
    <row r="9639" spans="59:62" x14ac:dyDescent="0.3">
      <c r="BG9639" s="387"/>
      <c r="BH9639" s="386"/>
      <c r="BI9639" s="386"/>
      <c r="BJ9639" s="46"/>
    </row>
    <row r="9640" spans="59:62" x14ac:dyDescent="0.3">
      <c r="BG9640" s="387"/>
      <c r="BH9640" s="386"/>
      <c r="BI9640" s="386"/>
      <c r="BJ9640" s="46"/>
    </row>
    <row r="9641" spans="59:62" x14ac:dyDescent="0.3">
      <c r="BG9641" s="387"/>
      <c r="BH9641" s="386"/>
      <c r="BI9641" s="386"/>
      <c r="BJ9641" s="46"/>
    </row>
    <row r="9642" spans="59:62" x14ac:dyDescent="0.3">
      <c r="BG9642" s="387"/>
      <c r="BH9642" s="386"/>
      <c r="BI9642" s="386"/>
      <c r="BJ9642" s="46"/>
    </row>
    <row r="9643" spans="59:62" x14ac:dyDescent="0.3">
      <c r="BG9643" s="387"/>
      <c r="BH9643" s="386"/>
      <c r="BI9643" s="386"/>
      <c r="BJ9643" s="46"/>
    </row>
    <row r="9644" spans="59:62" x14ac:dyDescent="0.3">
      <c r="BG9644" s="387"/>
      <c r="BH9644" s="386"/>
      <c r="BI9644" s="386"/>
      <c r="BJ9644" s="46"/>
    </row>
    <row r="9645" spans="59:62" x14ac:dyDescent="0.3">
      <c r="BG9645" s="387"/>
      <c r="BH9645" s="386"/>
      <c r="BI9645" s="386"/>
      <c r="BJ9645" s="46"/>
    </row>
    <row r="9646" spans="59:62" x14ac:dyDescent="0.3">
      <c r="BG9646" s="387"/>
      <c r="BH9646" s="386"/>
      <c r="BI9646" s="386"/>
      <c r="BJ9646" s="46"/>
    </row>
    <row r="9647" spans="59:62" x14ac:dyDescent="0.3">
      <c r="BG9647" s="387"/>
      <c r="BH9647" s="386"/>
      <c r="BI9647" s="386"/>
      <c r="BJ9647" s="46"/>
    </row>
    <row r="9648" spans="59:62" x14ac:dyDescent="0.3">
      <c r="BG9648" s="387"/>
      <c r="BH9648" s="386"/>
      <c r="BI9648" s="386"/>
      <c r="BJ9648" s="46"/>
    </row>
    <row r="9649" spans="59:62" x14ac:dyDescent="0.3">
      <c r="BG9649" s="387"/>
      <c r="BH9649" s="386"/>
      <c r="BI9649" s="386"/>
      <c r="BJ9649" s="46"/>
    </row>
    <row r="9650" spans="59:62" x14ac:dyDescent="0.3">
      <c r="BG9650" s="387"/>
      <c r="BH9650" s="386"/>
      <c r="BI9650" s="386"/>
      <c r="BJ9650" s="46"/>
    </row>
    <row r="9651" spans="59:62" x14ac:dyDescent="0.3">
      <c r="BG9651" s="387"/>
      <c r="BH9651" s="386"/>
      <c r="BI9651" s="386"/>
      <c r="BJ9651" s="46"/>
    </row>
    <row r="9652" spans="59:62" x14ac:dyDescent="0.3">
      <c r="BG9652" s="387"/>
      <c r="BH9652" s="386"/>
      <c r="BI9652" s="386"/>
      <c r="BJ9652" s="46"/>
    </row>
    <row r="9653" spans="59:62" x14ac:dyDescent="0.3">
      <c r="BG9653" s="387"/>
      <c r="BH9653" s="386"/>
      <c r="BI9653" s="386"/>
      <c r="BJ9653" s="46"/>
    </row>
    <row r="9654" spans="59:62" x14ac:dyDescent="0.3">
      <c r="BG9654" s="387"/>
      <c r="BH9654" s="386"/>
      <c r="BI9654" s="386"/>
      <c r="BJ9654" s="46"/>
    </row>
    <row r="9655" spans="59:62" x14ac:dyDescent="0.3">
      <c r="BG9655" s="387"/>
      <c r="BH9655" s="386"/>
      <c r="BI9655" s="386"/>
      <c r="BJ9655" s="46"/>
    </row>
    <row r="9656" spans="59:62" x14ac:dyDescent="0.3">
      <c r="BG9656" s="387"/>
      <c r="BH9656" s="386"/>
      <c r="BI9656" s="386"/>
      <c r="BJ9656" s="46"/>
    </row>
    <row r="9657" spans="59:62" x14ac:dyDescent="0.3">
      <c r="BG9657" s="387"/>
      <c r="BH9657" s="386"/>
      <c r="BI9657" s="386"/>
      <c r="BJ9657" s="46"/>
    </row>
    <row r="9658" spans="59:62" x14ac:dyDescent="0.3">
      <c r="BG9658" s="387"/>
      <c r="BH9658" s="386"/>
      <c r="BI9658" s="386"/>
      <c r="BJ9658" s="46"/>
    </row>
    <row r="9659" spans="59:62" x14ac:dyDescent="0.3">
      <c r="BG9659" s="387"/>
      <c r="BH9659" s="386"/>
      <c r="BI9659" s="386"/>
      <c r="BJ9659" s="46"/>
    </row>
    <row r="9660" spans="59:62" x14ac:dyDescent="0.3">
      <c r="BG9660" s="387"/>
      <c r="BH9660" s="386"/>
      <c r="BI9660" s="386"/>
      <c r="BJ9660" s="46"/>
    </row>
    <row r="9661" spans="59:62" x14ac:dyDescent="0.3">
      <c r="BG9661" s="387"/>
      <c r="BH9661" s="386"/>
      <c r="BI9661" s="386"/>
      <c r="BJ9661" s="46"/>
    </row>
    <row r="9662" spans="59:62" x14ac:dyDescent="0.3">
      <c r="BG9662" s="387"/>
      <c r="BH9662" s="386"/>
      <c r="BI9662" s="386"/>
      <c r="BJ9662" s="46"/>
    </row>
    <row r="9663" spans="59:62" x14ac:dyDescent="0.3">
      <c r="BG9663" s="387"/>
      <c r="BH9663" s="386"/>
      <c r="BI9663" s="386"/>
      <c r="BJ9663" s="46"/>
    </row>
    <row r="9664" spans="59:62" x14ac:dyDescent="0.3">
      <c r="BG9664" s="387"/>
      <c r="BH9664" s="386"/>
      <c r="BI9664" s="386"/>
      <c r="BJ9664" s="46"/>
    </row>
    <row r="9665" spans="59:62" x14ac:dyDescent="0.3">
      <c r="BG9665" s="387"/>
      <c r="BH9665" s="386"/>
      <c r="BI9665" s="386"/>
      <c r="BJ9665" s="46"/>
    </row>
    <row r="9666" spans="59:62" x14ac:dyDescent="0.3">
      <c r="BG9666" s="387"/>
      <c r="BH9666" s="386"/>
      <c r="BI9666" s="386"/>
      <c r="BJ9666" s="46"/>
    </row>
    <row r="9667" spans="59:62" x14ac:dyDescent="0.3">
      <c r="BG9667" s="387"/>
      <c r="BH9667" s="386"/>
      <c r="BI9667" s="386"/>
      <c r="BJ9667" s="46"/>
    </row>
    <row r="9668" spans="59:62" x14ac:dyDescent="0.3">
      <c r="BG9668" s="387"/>
      <c r="BH9668" s="386"/>
      <c r="BI9668" s="386"/>
      <c r="BJ9668" s="46"/>
    </row>
    <row r="9669" spans="59:62" x14ac:dyDescent="0.3">
      <c r="BG9669" s="387"/>
      <c r="BH9669" s="386"/>
      <c r="BI9669" s="386"/>
      <c r="BJ9669" s="46"/>
    </row>
    <row r="9670" spans="59:62" x14ac:dyDescent="0.3">
      <c r="BG9670" s="387"/>
      <c r="BH9670" s="386"/>
      <c r="BI9670" s="386"/>
      <c r="BJ9670" s="46"/>
    </row>
    <row r="9671" spans="59:62" x14ac:dyDescent="0.3">
      <c r="BG9671" s="387"/>
      <c r="BH9671" s="386"/>
      <c r="BI9671" s="386"/>
      <c r="BJ9671" s="46"/>
    </row>
    <row r="9672" spans="59:62" x14ac:dyDescent="0.3">
      <c r="BG9672" s="387"/>
      <c r="BH9672" s="386"/>
      <c r="BI9672" s="386"/>
      <c r="BJ9672" s="46"/>
    </row>
    <row r="9673" spans="59:62" x14ac:dyDescent="0.3">
      <c r="BG9673" s="387"/>
      <c r="BH9673" s="386"/>
      <c r="BI9673" s="386"/>
      <c r="BJ9673" s="46"/>
    </row>
    <row r="9674" spans="59:62" x14ac:dyDescent="0.3">
      <c r="BG9674" s="387"/>
      <c r="BH9674" s="386"/>
      <c r="BI9674" s="386"/>
      <c r="BJ9674" s="46"/>
    </row>
    <row r="9675" spans="59:62" x14ac:dyDescent="0.3">
      <c r="BG9675" s="387"/>
      <c r="BH9675" s="386"/>
      <c r="BI9675" s="386"/>
      <c r="BJ9675" s="46"/>
    </row>
    <row r="9676" spans="59:62" x14ac:dyDescent="0.3">
      <c r="BG9676" s="387"/>
      <c r="BH9676" s="386"/>
      <c r="BI9676" s="386"/>
      <c r="BJ9676" s="46"/>
    </row>
    <row r="9677" spans="59:62" x14ac:dyDescent="0.3">
      <c r="BG9677" s="387"/>
      <c r="BH9677" s="386"/>
      <c r="BI9677" s="386"/>
      <c r="BJ9677" s="46"/>
    </row>
    <row r="9678" spans="59:62" x14ac:dyDescent="0.3">
      <c r="BG9678" s="387"/>
      <c r="BH9678" s="386"/>
      <c r="BI9678" s="386"/>
      <c r="BJ9678" s="46"/>
    </row>
    <row r="9679" spans="59:62" x14ac:dyDescent="0.3">
      <c r="BG9679" s="387"/>
      <c r="BH9679" s="386"/>
      <c r="BI9679" s="386"/>
      <c r="BJ9679" s="46"/>
    </row>
    <row r="9680" spans="59:62" x14ac:dyDescent="0.3">
      <c r="BG9680" s="387"/>
      <c r="BH9680" s="386"/>
      <c r="BI9680" s="386"/>
      <c r="BJ9680" s="46"/>
    </row>
    <row r="9681" spans="59:62" x14ac:dyDescent="0.3">
      <c r="BG9681" s="387"/>
      <c r="BH9681" s="386"/>
      <c r="BI9681" s="386"/>
      <c r="BJ9681" s="46"/>
    </row>
    <row r="9682" spans="59:62" x14ac:dyDescent="0.3">
      <c r="BG9682" s="387"/>
      <c r="BH9682" s="386"/>
      <c r="BI9682" s="386"/>
      <c r="BJ9682" s="46"/>
    </row>
    <row r="9683" spans="59:62" x14ac:dyDescent="0.3">
      <c r="BG9683" s="387"/>
      <c r="BH9683" s="386"/>
      <c r="BI9683" s="386"/>
      <c r="BJ9683" s="46"/>
    </row>
    <row r="9684" spans="59:62" x14ac:dyDescent="0.3">
      <c r="BG9684" s="387"/>
      <c r="BH9684" s="386"/>
      <c r="BI9684" s="386"/>
      <c r="BJ9684" s="46"/>
    </row>
    <row r="9685" spans="59:62" x14ac:dyDescent="0.3">
      <c r="BG9685" s="387"/>
      <c r="BH9685" s="386"/>
      <c r="BI9685" s="386"/>
      <c r="BJ9685" s="46"/>
    </row>
    <row r="9686" spans="59:62" x14ac:dyDescent="0.3">
      <c r="BG9686" s="387"/>
      <c r="BH9686" s="386"/>
      <c r="BI9686" s="386"/>
      <c r="BJ9686" s="46"/>
    </row>
    <row r="9687" spans="59:62" x14ac:dyDescent="0.3">
      <c r="BG9687" s="387"/>
      <c r="BH9687" s="386"/>
      <c r="BI9687" s="386"/>
      <c r="BJ9687" s="46"/>
    </row>
    <row r="9688" spans="59:62" x14ac:dyDescent="0.3">
      <c r="BG9688" s="387"/>
      <c r="BH9688" s="386"/>
      <c r="BI9688" s="386"/>
      <c r="BJ9688" s="46"/>
    </row>
    <row r="9689" spans="59:62" x14ac:dyDescent="0.3">
      <c r="BG9689" s="387"/>
      <c r="BH9689" s="386"/>
      <c r="BI9689" s="386"/>
      <c r="BJ9689" s="46"/>
    </row>
    <row r="9690" spans="59:62" x14ac:dyDescent="0.3">
      <c r="BG9690" s="387"/>
      <c r="BH9690" s="386"/>
      <c r="BI9690" s="386"/>
      <c r="BJ9690" s="46"/>
    </row>
    <row r="9691" spans="59:62" x14ac:dyDescent="0.3">
      <c r="BG9691" s="387"/>
      <c r="BH9691" s="386"/>
      <c r="BI9691" s="386"/>
      <c r="BJ9691" s="46"/>
    </row>
    <row r="9692" spans="59:62" x14ac:dyDescent="0.3">
      <c r="BG9692" s="387"/>
      <c r="BH9692" s="386"/>
      <c r="BI9692" s="386"/>
      <c r="BJ9692" s="46"/>
    </row>
    <row r="9693" spans="59:62" x14ac:dyDescent="0.3">
      <c r="BG9693" s="387"/>
      <c r="BH9693" s="386"/>
      <c r="BI9693" s="386"/>
      <c r="BJ9693" s="46"/>
    </row>
    <row r="9694" spans="59:62" x14ac:dyDescent="0.3">
      <c r="BG9694" s="387"/>
      <c r="BH9694" s="386"/>
      <c r="BI9694" s="386"/>
      <c r="BJ9694" s="46"/>
    </row>
    <row r="9695" spans="59:62" x14ac:dyDescent="0.3">
      <c r="BG9695" s="387"/>
      <c r="BH9695" s="386"/>
      <c r="BI9695" s="386"/>
      <c r="BJ9695" s="46"/>
    </row>
    <row r="9696" spans="59:62" x14ac:dyDescent="0.3">
      <c r="BG9696" s="387"/>
      <c r="BH9696" s="386"/>
      <c r="BI9696" s="386"/>
      <c r="BJ9696" s="46"/>
    </row>
    <row r="9697" spans="59:62" x14ac:dyDescent="0.3">
      <c r="BG9697" s="387"/>
      <c r="BH9697" s="386"/>
      <c r="BI9697" s="386"/>
      <c r="BJ9697" s="46"/>
    </row>
    <row r="9698" spans="59:62" x14ac:dyDescent="0.3">
      <c r="BG9698" s="387"/>
      <c r="BH9698" s="386"/>
      <c r="BI9698" s="386"/>
      <c r="BJ9698" s="46"/>
    </row>
    <row r="9699" spans="59:62" x14ac:dyDescent="0.3">
      <c r="BG9699" s="387"/>
      <c r="BH9699" s="386"/>
      <c r="BI9699" s="386"/>
      <c r="BJ9699" s="46"/>
    </row>
    <row r="9700" spans="59:62" x14ac:dyDescent="0.3">
      <c r="BG9700" s="387"/>
      <c r="BH9700" s="386"/>
      <c r="BI9700" s="386"/>
      <c r="BJ9700" s="46"/>
    </row>
    <row r="9701" spans="59:62" x14ac:dyDescent="0.3">
      <c r="BG9701" s="387"/>
      <c r="BH9701" s="386"/>
      <c r="BI9701" s="386"/>
      <c r="BJ9701" s="46"/>
    </row>
    <row r="9702" spans="59:62" x14ac:dyDescent="0.3">
      <c r="BG9702" s="387"/>
      <c r="BH9702" s="386"/>
      <c r="BI9702" s="386"/>
      <c r="BJ9702" s="46"/>
    </row>
    <row r="9703" spans="59:62" x14ac:dyDescent="0.3">
      <c r="BG9703" s="387"/>
      <c r="BH9703" s="386"/>
      <c r="BI9703" s="386"/>
      <c r="BJ9703" s="46"/>
    </row>
    <row r="9704" spans="59:62" x14ac:dyDescent="0.3">
      <c r="BG9704" s="387"/>
      <c r="BH9704" s="386"/>
      <c r="BI9704" s="386"/>
      <c r="BJ9704" s="46"/>
    </row>
    <row r="9705" spans="59:62" x14ac:dyDescent="0.3">
      <c r="BG9705" s="387"/>
      <c r="BH9705" s="386"/>
      <c r="BI9705" s="386"/>
      <c r="BJ9705" s="46"/>
    </row>
    <row r="9706" spans="59:62" x14ac:dyDescent="0.3">
      <c r="BG9706" s="387"/>
      <c r="BH9706" s="386"/>
      <c r="BI9706" s="386"/>
      <c r="BJ9706" s="46"/>
    </row>
    <row r="9707" spans="59:62" x14ac:dyDescent="0.3">
      <c r="BG9707" s="387"/>
      <c r="BH9707" s="386"/>
      <c r="BI9707" s="386"/>
      <c r="BJ9707" s="46"/>
    </row>
    <row r="9708" spans="59:62" x14ac:dyDescent="0.3">
      <c r="BG9708" s="387"/>
      <c r="BH9708" s="386"/>
      <c r="BI9708" s="386"/>
      <c r="BJ9708" s="46"/>
    </row>
    <row r="9709" spans="59:62" x14ac:dyDescent="0.3">
      <c r="BG9709" s="387"/>
      <c r="BH9709" s="386"/>
      <c r="BI9709" s="386"/>
      <c r="BJ9709" s="46"/>
    </row>
    <row r="9710" spans="59:62" x14ac:dyDescent="0.3">
      <c r="BG9710" s="387"/>
      <c r="BH9710" s="386"/>
      <c r="BI9710" s="386"/>
      <c r="BJ9710" s="46"/>
    </row>
    <row r="9711" spans="59:62" x14ac:dyDescent="0.3">
      <c r="BG9711" s="387"/>
      <c r="BH9711" s="386"/>
      <c r="BI9711" s="386"/>
      <c r="BJ9711" s="46"/>
    </row>
    <row r="9712" spans="59:62" x14ac:dyDescent="0.3">
      <c r="BG9712" s="387"/>
      <c r="BH9712" s="386"/>
      <c r="BI9712" s="386"/>
      <c r="BJ9712" s="46"/>
    </row>
    <row r="9713" spans="59:62" x14ac:dyDescent="0.3">
      <c r="BG9713" s="387"/>
      <c r="BH9713" s="386"/>
      <c r="BI9713" s="386"/>
      <c r="BJ9713" s="46"/>
    </row>
    <row r="9714" spans="59:62" x14ac:dyDescent="0.3">
      <c r="BG9714" s="387"/>
      <c r="BH9714" s="386"/>
      <c r="BI9714" s="386"/>
      <c r="BJ9714" s="46"/>
    </row>
    <row r="9715" spans="59:62" x14ac:dyDescent="0.3">
      <c r="BG9715" s="387"/>
      <c r="BH9715" s="386"/>
      <c r="BI9715" s="386"/>
      <c r="BJ9715" s="46"/>
    </row>
    <row r="9716" spans="59:62" x14ac:dyDescent="0.3">
      <c r="BG9716" s="387"/>
      <c r="BH9716" s="386"/>
      <c r="BI9716" s="386"/>
      <c r="BJ9716" s="46"/>
    </row>
    <row r="9717" spans="59:62" x14ac:dyDescent="0.3">
      <c r="BG9717" s="387"/>
      <c r="BH9717" s="386"/>
      <c r="BI9717" s="386"/>
      <c r="BJ9717" s="46"/>
    </row>
    <row r="9718" spans="59:62" x14ac:dyDescent="0.3">
      <c r="BG9718" s="387"/>
      <c r="BH9718" s="386"/>
      <c r="BI9718" s="386"/>
      <c r="BJ9718" s="46"/>
    </row>
    <row r="9719" spans="59:62" x14ac:dyDescent="0.3">
      <c r="BG9719" s="387"/>
      <c r="BH9719" s="386"/>
      <c r="BI9719" s="386"/>
      <c r="BJ9719" s="46"/>
    </row>
    <row r="9720" spans="59:62" x14ac:dyDescent="0.3">
      <c r="BG9720" s="387"/>
      <c r="BH9720" s="386"/>
      <c r="BI9720" s="386"/>
      <c r="BJ9720" s="46"/>
    </row>
    <row r="9721" spans="59:62" x14ac:dyDescent="0.3">
      <c r="BG9721" s="387"/>
      <c r="BH9721" s="386"/>
      <c r="BI9721" s="386"/>
      <c r="BJ9721" s="46"/>
    </row>
    <row r="9722" spans="59:62" x14ac:dyDescent="0.3">
      <c r="BG9722" s="387"/>
      <c r="BH9722" s="386"/>
      <c r="BI9722" s="386"/>
      <c r="BJ9722" s="46"/>
    </row>
    <row r="9723" spans="59:62" x14ac:dyDescent="0.3">
      <c r="BG9723" s="387"/>
      <c r="BH9723" s="386"/>
      <c r="BI9723" s="386"/>
      <c r="BJ9723" s="46"/>
    </row>
    <row r="9724" spans="59:62" x14ac:dyDescent="0.3">
      <c r="BG9724" s="387"/>
      <c r="BH9724" s="386"/>
      <c r="BI9724" s="386"/>
      <c r="BJ9724" s="46"/>
    </row>
    <row r="9725" spans="59:62" x14ac:dyDescent="0.3">
      <c r="BG9725" s="387"/>
      <c r="BH9725" s="386"/>
      <c r="BI9725" s="386"/>
      <c r="BJ9725" s="46"/>
    </row>
    <row r="9726" spans="59:62" x14ac:dyDescent="0.3">
      <c r="BG9726" s="387"/>
      <c r="BH9726" s="386"/>
      <c r="BI9726" s="386"/>
      <c r="BJ9726" s="46"/>
    </row>
    <row r="9727" spans="59:62" x14ac:dyDescent="0.3">
      <c r="BG9727" s="387"/>
      <c r="BH9727" s="386"/>
      <c r="BI9727" s="386"/>
      <c r="BJ9727" s="46"/>
    </row>
    <row r="9728" spans="59:62" x14ac:dyDescent="0.3">
      <c r="BG9728" s="387"/>
      <c r="BH9728" s="386"/>
      <c r="BI9728" s="386"/>
      <c r="BJ9728" s="46"/>
    </row>
    <row r="9729" spans="59:62" x14ac:dyDescent="0.3">
      <c r="BG9729" s="387"/>
      <c r="BH9729" s="386"/>
      <c r="BI9729" s="386"/>
      <c r="BJ9729" s="46"/>
    </row>
    <row r="9730" spans="59:62" x14ac:dyDescent="0.3">
      <c r="BG9730" s="387"/>
      <c r="BH9730" s="386"/>
      <c r="BI9730" s="386"/>
      <c r="BJ9730" s="46"/>
    </row>
    <row r="9731" spans="59:62" x14ac:dyDescent="0.3">
      <c r="BG9731" s="387"/>
      <c r="BH9731" s="386"/>
      <c r="BI9731" s="386"/>
      <c r="BJ9731" s="46"/>
    </row>
    <row r="9732" spans="59:62" x14ac:dyDescent="0.3">
      <c r="BG9732" s="387"/>
      <c r="BH9732" s="386"/>
      <c r="BI9732" s="386"/>
      <c r="BJ9732" s="46"/>
    </row>
    <row r="9733" spans="59:62" x14ac:dyDescent="0.3">
      <c r="BG9733" s="387"/>
      <c r="BH9733" s="386"/>
      <c r="BI9733" s="386"/>
      <c r="BJ9733" s="46"/>
    </row>
    <row r="9734" spans="59:62" x14ac:dyDescent="0.3">
      <c r="BG9734" s="387"/>
      <c r="BH9734" s="386"/>
      <c r="BI9734" s="386"/>
      <c r="BJ9734" s="46"/>
    </row>
    <row r="9735" spans="59:62" x14ac:dyDescent="0.3">
      <c r="BG9735" s="387"/>
      <c r="BH9735" s="386"/>
      <c r="BI9735" s="386"/>
      <c r="BJ9735" s="46"/>
    </row>
    <row r="9736" spans="59:62" x14ac:dyDescent="0.3">
      <c r="BG9736" s="387"/>
      <c r="BH9736" s="386"/>
      <c r="BI9736" s="386"/>
      <c r="BJ9736" s="46"/>
    </row>
    <row r="9737" spans="59:62" x14ac:dyDescent="0.3">
      <c r="BG9737" s="387"/>
      <c r="BH9737" s="386"/>
      <c r="BI9737" s="386"/>
      <c r="BJ9737" s="46"/>
    </row>
    <row r="9738" spans="59:62" x14ac:dyDescent="0.3">
      <c r="BG9738" s="387"/>
      <c r="BH9738" s="386"/>
      <c r="BI9738" s="386"/>
      <c r="BJ9738" s="46"/>
    </row>
    <row r="9739" spans="59:62" x14ac:dyDescent="0.3">
      <c r="BG9739" s="387"/>
      <c r="BH9739" s="386"/>
      <c r="BI9739" s="386"/>
      <c r="BJ9739" s="46"/>
    </row>
    <row r="9740" spans="59:62" x14ac:dyDescent="0.3">
      <c r="BG9740" s="387"/>
      <c r="BH9740" s="386"/>
      <c r="BI9740" s="386"/>
      <c r="BJ9740" s="46"/>
    </row>
    <row r="9741" spans="59:62" x14ac:dyDescent="0.3">
      <c r="BG9741" s="387"/>
      <c r="BH9741" s="386"/>
      <c r="BI9741" s="386"/>
      <c r="BJ9741" s="46"/>
    </row>
    <row r="9742" spans="59:62" x14ac:dyDescent="0.3">
      <c r="BG9742" s="387"/>
      <c r="BH9742" s="386"/>
      <c r="BI9742" s="386"/>
      <c r="BJ9742" s="46"/>
    </row>
    <row r="9743" spans="59:62" x14ac:dyDescent="0.3">
      <c r="BG9743" s="387"/>
      <c r="BH9743" s="386"/>
      <c r="BI9743" s="386"/>
      <c r="BJ9743" s="46"/>
    </row>
    <row r="9744" spans="59:62" x14ac:dyDescent="0.3">
      <c r="BG9744" s="387"/>
      <c r="BH9744" s="386"/>
      <c r="BI9744" s="386"/>
      <c r="BJ9744" s="46"/>
    </row>
    <row r="9745" spans="59:62" x14ac:dyDescent="0.3">
      <c r="BG9745" s="387"/>
      <c r="BH9745" s="386"/>
      <c r="BI9745" s="386"/>
      <c r="BJ9745" s="46"/>
    </row>
    <row r="9746" spans="59:62" x14ac:dyDescent="0.3">
      <c r="BG9746" s="387"/>
      <c r="BH9746" s="386"/>
      <c r="BI9746" s="386"/>
      <c r="BJ9746" s="46"/>
    </row>
    <row r="9747" spans="59:62" x14ac:dyDescent="0.3">
      <c r="BG9747" s="387"/>
      <c r="BH9747" s="386"/>
      <c r="BI9747" s="386"/>
      <c r="BJ9747" s="46"/>
    </row>
    <row r="9748" spans="59:62" x14ac:dyDescent="0.3">
      <c r="BG9748" s="387"/>
      <c r="BH9748" s="386"/>
      <c r="BI9748" s="386"/>
      <c r="BJ9748" s="46"/>
    </row>
    <row r="9749" spans="59:62" x14ac:dyDescent="0.3">
      <c r="BG9749" s="387"/>
      <c r="BH9749" s="386"/>
      <c r="BI9749" s="386"/>
      <c r="BJ9749" s="46"/>
    </row>
    <row r="9750" spans="59:62" x14ac:dyDescent="0.3">
      <c r="BG9750" s="387"/>
      <c r="BH9750" s="386"/>
      <c r="BI9750" s="386"/>
      <c r="BJ9750" s="46"/>
    </row>
    <row r="9751" spans="59:62" x14ac:dyDescent="0.3">
      <c r="BG9751" s="387"/>
      <c r="BH9751" s="386"/>
      <c r="BI9751" s="386"/>
      <c r="BJ9751" s="46"/>
    </row>
    <row r="9752" spans="59:62" x14ac:dyDescent="0.3">
      <c r="BG9752" s="387"/>
      <c r="BH9752" s="386"/>
      <c r="BI9752" s="386"/>
      <c r="BJ9752" s="46"/>
    </row>
    <row r="9753" spans="59:62" x14ac:dyDescent="0.3">
      <c r="BG9753" s="387"/>
      <c r="BH9753" s="386"/>
      <c r="BI9753" s="386"/>
      <c r="BJ9753" s="46"/>
    </row>
    <row r="9754" spans="59:62" x14ac:dyDescent="0.3">
      <c r="BG9754" s="387"/>
      <c r="BH9754" s="386"/>
      <c r="BI9754" s="386"/>
      <c r="BJ9754" s="46"/>
    </row>
    <row r="9755" spans="59:62" x14ac:dyDescent="0.3">
      <c r="BG9755" s="387"/>
      <c r="BH9755" s="386"/>
      <c r="BI9755" s="386"/>
      <c r="BJ9755" s="46"/>
    </row>
    <row r="9756" spans="59:62" x14ac:dyDescent="0.3">
      <c r="BG9756" s="387"/>
      <c r="BH9756" s="386"/>
      <c r="BI9756" s="386"/>
      <c r="BJ9756" s="46"/>
    </row>
    <row r="9757" spans="59:62" x14ac:dyDescent="0.3">
      <c r="BG9757" s="387"/>
      <c r="BH9757" s="386"/>
      <c r="BI9757" s="386"/>
      <c r="BJ9757" s="46"/>
    </row>
    <row r="9758" spans="59:62" x14ac:dyDescent="0.3">
      <c r="BG9758" s="387"/>
      <c r="BH9758" s="386"/>
      <c r="BI9758" s="386"/>
      <c r="BJ9758" s="46"/>
    </row>
    <row r="9759" spans="59:62" x14ac:dyDescent="0.3">
      <c r="BG9759" s="387"/>
      <c r="BH9759" s="386"/>
      <c r="BI9759" s="386"/>
      <c r="BJ9759" s="46"/>
    </row>
    <row r="9760" spans="59:62" x14ac:dyDescent="0.3">
      <c r="BG9760" s="387"/>
      <c r="BH9760" s="386"/>
      <c r="BI9760" s="386"/>
      <c r="BJ9760" s="46"/>
    </row>
    <row r="9761" spans="59:62" x14ac:dyDescent="0.3">
      <c r="BG9761" s="387"/>
      <c r="BH9761" s="386"/>
      <c r="BI9761" s="386"/>
      <c r="BJ9761" s="46"/>
    </row>
    <row r="9762" spans="59:62" x14ac:dyDescent="0.3">
      <c r="BG9762" s="387"/>
      <c r="BH9762" s="386"/>
      <c r="BI9762" s="386"/>
      <c r="BJ9762" s="46"/>
    </row>
    <row r="9763" spans="59:62" x14ac:dyDescent="0.3">
      <c r="BG9763" s="387"/>
      <c r="BH9763" s="386"/>
      <c r="BI9763" s="386"/>
      <c r="BJ9763" s="46"/>
    </row>
    <row r="9764" spans="59:62" x14ac:dyDescent="0.3">
      <c r="BG9764" s="387"/>
      <c r="BH9764" s="386"/>
      <c r="BI9764" s="386"/>
      <c r="BJ9764" s="46"/>
    </row>
    <row r="9765" spans="59:62" x14ac:dyDescent="0.3">
      <c r="BG9765" s="387"/>
      <c r="BH9765" s="386"/>
      <c r="BI9765" s="386"/>
      <c r="BJ9765" s="46"/>
    </row>
    <row r="9766" spans="59:62" x14ac:dyDescent="0.3">
      <c r="BG9766" s="387"/>
      <c r="BH9766" s="386"/>
      <c r="BI9766" s="386"/>
      <c r="BJ9766" s="46"/>
    </row>
    <row r="9767" spans="59:62" x14ac:dyDescent="0.3">
      <c r="BG9767" s="387"/>
      <c r="BH9767" s="386"/>
      <c r="BI9767" s="386"/>
      <c r="BJ9767" s="46"/>
    </row>
    <row r="9768" spans="59:62" x14ac:dyDescent="0.3">
      <c r="BG9768" s="387"/>
      <c r="BH9768" s="386"/>
      <c r="BI9768" s="386"/>
      <c r="BJ9768" s="46"/>
    </row>
    <row r="9769" spans="59:62" x14ac:dyDescent="0.3">
      <c r="BG9769" s="387"/>
      <c r="BH9769" s="386"/>
      <c r="BI9769" s="386"/>
      <c r="BJ9769" s="46"/>
    </row>
    <row r="9770" spans="59:62" x14ac:dyDescent="0.3">
      <c r="BG9770" s="387"/>
      <c r="BH9770" s="386"/>
      <c r="BI9770" s="386"/>
      <c r="BJ9770" s="46"/>
    </row>
    <row r="9771" spans="59:62" x14ac:dyDescent="0.3">
      <c r="BG9771" s="387"/>
      <c r="BH9771" s="386"/>
      <c r="BI9771" s="386"/>
      <c r="BJ9771" s="46"/>
    </row>
    <row r="9772" spans="59:62" x14ac:dyDescent="0.3">
      <c r="BG9772" s="387"/>
      <c r="BH9772" s="386"/>
      <c r="BI9772" s="386"/>
      <c r="BJ9772" s="46"/>
    </row>
    <row r="9773" spans="59:62" x14ac:dyDescent="0.3">
      <c r="BG9773" s="387"/>
      <c r="BH9773" s="386"/>
      <c r="BI9773" s="386"/>
      <c r="BJ9773" s="46"/>
    </row>
    <row r="9774" spans="59:62" x14ac:dyDescent="0.3">
      <c r="BG9774" s="387"/>
      <c r="BH9774" s="386"/>
      <c r="BI9774" s="386"/>
      <c r="BJ9774" s="46"/>
    </row>
    <row r="9775" spans="59:62" x14ac:dyDescent="0.3">
      <c r="BG9775" s="387"/>
      <c r="BH9775" s="386"/>
      <c r="BI9775" s="386"/>
      <c r="BJ9775" s="46"/>
    </row>
    <row r="9776" spans="59:62" x14ac:dyDescent="0.3">
      <c r="BG9776" s="387"/>
      <c r="BH9776" s="386"/>
      <c r="BI9776" s="386"/>
      <c r="BJ9776" s="46"/>
    </row>
    <row r="9777" spans="59:62" x14ac:dyDescent="0.3">
      <c r="BG9777" s="387"/>
      <c r="BH9777" s="386"/>
      <c r="BI9777" s="386"/>
      <c r="BJ9777" s="46"/>
    </row>
    <row r="9778" spans="59:62" x14ac:dyDescent="0.3">
      <c r="BG9778" s="387"/>
      <c r="BH9778" s="386"/>
      <c r="BI9778" s="386"/>
      <c r="BJ9778" s="46"/>
    </row>
    <row r="9779" spans="59:62" x14ac:dyDescent="0.3">
      <c r="BG9779" s="387"/>
      <c r="BH9779" s="386"/>
      <c r="BI9779" s="386"/>
      <c r="BJ9779" s="46"/>
    </row>
    <row r="9780" spans="59:62" x14ac:dyDescent="0.3">
      <c r="BG9780" s="387"/>
      <c r="BH9780" s="386"/>
      <c r="BI9780" s="386"/>
      <c r="BJ9780" s="46"/>
    </row>
    <row r="9781" spans="59:62" x14ac:dyDescent="0.3">
      <c r="BG9781" s="387"/>
      <c r="BH9781" s="386"/>
      <c r="BI9781" s="386"/>
      <c r="BJ9781" s="46"/>
    </row>
    <row r="9782" spans="59:62" x14ac:dyDescent="0.3">
      <c r="BG9782" s="387"/>
      <c r="BH9782" s="386"/>
      <c r="BI9782" s="386"/>
      <c r="BJ9782" s="46"/>
    </row>
    <row r="9783" spans="59:62" x14ac:dyDescent="0.3">
      <c r="BG9783" s="387"/>
      <c r="BH9783" s="386"/>
      <c r="BI9783" s="386"/>
      <c r="BJ9783" s="46"/>
    </row>
    <row r="9784" spans="59:62" x14ac:dyDescent="0.3">
      <c r="BG9784" s="387"/>
      <c r="BH9784" s="386"/>
      <c r="BI9784" s="386"/>
      <c r="BJ9784" s="46"/>
    </row>
    <row r="9785" spans="59:62" x14ac:dyDescent="0.3">
      <c r="BG9785" s="387"/>
      <c r="BH9785" s="386"/>
      <c r="BI9785" s="386"/>
      <c r="BJ9785" s="46"/>
    </row>
    <row r="9786" spans="59:62" x14ac:dyDescent="0.3">
      <c r="BG9786" s="387"/>
      <c r="BH9786" s="386"/>
      <c r="BI9786" s="386"/>
      <c r="BJ9786" s="46"/>
    </row>
    <row r="9787" spans="59:62" x14ac:dyDescent="0.3">
      <c r="BG9787" s="387"/>
      <c r="BH9787" s="386"/>
      <c r="BI9787" s="386"/>
      <c r="BJ9787" s="46"/>
    </row>
    <row r="9788" spans="59:62" x14ac:dyDescent="0.3">
      <c r="BG9788" s="387"/>
      <c r="BH9788" s="386"/>
      <c r="BI9788" s="386"/>
      <c r="BJ9788" s="46"/>
    </row>
    <row r="9789" spans="59:62" x14ac:dyDescent="0.3">
      <c r="BG9789" s="387"/>
      <c r="BH9789" s="386"/>
      <c r="BI9789" s="386"/>
      <c r="BJ9789" s="46"/>
    </row>
    <row r="9790" spans="59:62" x14ac:dyDescent="0.3">
      <c r="BG9790" s="387"/>
      <c r="BH9790" s="386"/>
      <c r="BI9790" s="386"/>
      <c r="BJ9790" s="46"/>
    </row>
    <row r="9791" spans="59:62" x14ac:dyDescent="0.3">
      <c r="BG9791" s="387"/>
      <c r="BH9791" s="386"/>
      <c r="BI9791" s="386"/>
      <c r="BJ9791" s="46"/>
    </row>
    <row r="9792" spans="59:62" x14ac:dyDescent="0.3">
      <c r="BG9792" s="387"/>
      <c r="BH9792" s="386"/>
      <c r="BI9792" s="386"/>
      <c r="BJ9792" s="46"/>
    </row>
    <row r="9793" spans="59:62" x14ac:dyDescent="0.3">
      <c r="BG9793" s="387"/>
      <c r="BH9793" s="386"/>
      <c r="BI9793" s="386"/>
      <c r="BJ9793" s="46"/>
    </row>
    <row r="9794" spans="59:62" x14ac:dyDescent="0.3">
      <c r="BG9794" s="387"/>
      <c r="BH9794" s="386"/>
      <c r="BI9794" s="386"/>
      <c r="BJ9794" s="46"/>
    </row>
    <row r="9795" spans="59:62" x14ac:dyDescent="0.3">
      <c r="BG9795" s="387"/>
      <c r="BH9795" s="386"/>
      <c r="BI9795" s="386"/>
      <c r="BJ9795" s="46"/>
    </row>
    <row r="9796" spans="59:62" x14ac:dyDescent="0.3">
      <c r="BG9796" s="387"/>
      <c r="BH9796" s="386"/>
      <c r="BI9796" s="386"/>
      <c r="BJ9796" s="46"/>
    </row>
    <row r="9797" spans="59:62" x14ac:dyDescent="0.3">
      <c r="BG9797" s="387"/>
      <c r="BH9797" s="386"/>
      <c r="BI9797" s="386"/>
      <c r="BJ9797" s="46"/>
    </row>
    <row r="9798" spans="59:62" x14ac:dyDescent="0.3">
      <c r="BG9798" s="387"/>
      <c r="BH9798" s="386"/>
      <c r="BI9798" s="386"/>
      <c r="BJ9798" s="46"/>
    </row>
    <row r="9799" spans="59:62" x14ac:dyDescent="0.3">
      <c r="BG9799" s="387"/>
      <c r="BH9799" s="386"/>
      <c r="BI9799" s="386"/>
      <c r="BJ9799" s="46"/>
    </row>
    <row r="9800" spans="59:62" x14ac:dyDescent="0.3">
      <c r="BG9800" s="387"/>
      <c r="BH9800" s="386"/>
      <c r="BI9800" s="386"/>
      <c r="BJ9800" s="46"/>
    </row>
    <row r="9801" spans="59:62" x14ac:dyDescent="0.3">
      <c r="BG9801" s="387"/>
      <c r="BH9801" s="386"/>
      <c r="BI9801" s="386"/>
      <c r="BJ9801" s="46"/>
    </row>
    <row r="9802" spans="59:62" x14ac:dyDescent="0.3">
      <c r="BG9802" s="387"/>
      <c r="BH9802" s="386"/>
      <c r="BI9802" s="386"/>
      <c r="BJ9802" s="46"/>
    </row>
    <row r="9803" spans="59:62" x14ac:dyDescent="0.3">
      <c r="BG9803" s="387"/>
      <c r="BH9803" s="386"/>
      <c r="BI9803" s="386"/>
      <c r="BJ9803" s="46"/>
    </row>
    <row r="9804" spans="59:62" x14ac:dyDescent="0.3">
      <c r="BG9804" s="387"/>
      <c r="BH9804" s="386"/>
      <c r="BI9804" s="386"/>
      <c r="BJ9804" s="46"/>
    </row>
    <row r="9805" spans="59:62" x14ac:dyDescent="0.3">
      <c r="BG9805" s="387"/>
      <c r="BH9805" s="386"/>
      <c r="BI9805" s="386"/>
      <c r="BJ9805" s="46"/>
    </row>
    <row r="9806" spans="59:62" x14ac:dyDescent="0.3">
      <c r="BG9806" s="387"/>
      <c r="BH9806" s="386"/>
      <c r="BI9806" s="386"/>
      <c r="BJ9806" s="46"/>
    </row>
    <row r="9807" spans="59:62" x14ac:dyDescent="0.3">
      <c r="BG9807" s="387"/>
      <c r="BH9807" s="386"/>
      <c r="BI9807" s="386"/>
      <c r="BJ9807" s="46"/>
    </row>
    <row r="9808" spans="59:62" x14ac:dyDescent="0.3">
      <c r="BG9808" s="387"/>
      <c r="BH9808" s="386"/>
      <c r="BI9808" s="386"/>
      <c r="BJ9808" s="46"/>
    </row>
    <row r="9809" spans="59:62" x14ac:dyDescent="0.3">
      <c r="BG9809" s="387"/>
      <c r="BH9809" s="386"/>
      <c r="BI9809" s="386"/>
      <c r="BJ9809" s="46"/>
    </row>
    <row r="9810" spans="59:62" x14ac:dyDescent="0.3">
      <c r="BG9810" s="387"/>
      <c r="BH9810" s="386"/>
      <c r="BI9810" s="386"/>
      <c r="BJ9810" s="46"/>
    </row>
    <row r="9811" spans="59:62" x14ac:dyDescent="0.3">
      <c r="BG9811" s="387"/>
      <c r="BH9811" s="386"/>
      <c r="BI9811" s="386"/>
      <c r="BJ9811" s="46"/>
    </row>
    <row r="9812" spans="59:62" x14ac:dyDescent="0.3">
      <c r="BG9812" s="387"/>
      <c r="BH9812" s="386"/>
      <c r="BI9812" s="386"/>
      <c r="BJ9812" s="46"/>
    </row>
    <row r="9813" spans="59:62" x14ac:dyDescent="0.3">
      <c r="BG9813" s="387"/>
      <c r="BH9813" s="386"/>
      <c r="BI9813" s="386"/>
      <c r="BJ9813" s="46"/>
    </row>
    <row r="9814" spans="59:62" x14ac:dyDescent="0.3">
      <c r="BG9814" s="387"/>
      <c r="BH9814" s="386"/>
      <c r="BI9814" s="386"/>
      <c r="BJ9814" s="46"/>
    </row>
    <row r="9815" spans="59:62" x14ac:dyDescent="0.3">
      <c r="BG9815" s="387"/>
      <c r="BH9815" s="386"/>
      <c r="BI9815" s="386"/>
      <c r="BJ9815" s="46"/>
    </row>
    <row r="9816" spans="59:62" x14ac:dyDescent="0.3">
      <c r="BG9816" s="387"/>
      <c r="BH9816" s="386"/>
      <c r="BI9816" s="386"/>
      <c r="BJ9816" s="46"/>
    </row>
    <row r="9817" spans="59:62" x14ac:dyDescent="0.3">
      <c r="BG9817" s="387"/>
      <c r="BH9817" s="386"/>
      <c r="BI9817" s="386"/>
      <c r="BJ9817" s="46"/>
    </row>
    <row r="9818" spans="59:62" x14ac:dyDescent="0.3">
      <c r="BG9818" s="387"/>
      <c r="BH9818" s="386"/>
      <c r="BI9818" s="386"/>
      <c r="BJ9818" s="46"/>
    </row>
    <row r="9819" spans="59:62" x14ac:dyDescent="0.3">
      <c r="BG9819" s="387"/>
      <c r="BH9819" s="386"/>
      <c r="BI9819" s="386"/>
      <c r="BJ9819" s="46"/>
    </row>
    <row r="9820" spans="59:62" x14ac:dyDescent="0.3">
      <c r="BG9820" s="387"/>
      <c r="BH9820" s="386"/>
      <c r="BI9820" s="386"/>
      <c r="BJ9820" s="46"/>
    </row>
    <row r="9821" spans="59:62" x14ac:dyDescent="0.3">
      <c r="BG9821" s="387"/>
      <c r="BH9821" s="386"/>
      <c r="BI9821" s="386"/>
      <c r="BJ9821" s="46"/>
    </row>
    <row r="9822" spans="59:62" x14ac:dyDescent="0.3">
      <c r="BG9822" s="387"/>
      <c r="BH9822" s="386"/>
      <c r="BI9822" s="386"/>
      <c r="BJ9822" s="46"/>
    </row>
    <row r="9823" spans="59:62" x14ac:dyDescent="0.3">
      <c r="BG9823" s="387"/>
      <c r="BH9823" s="386"/>
      <c r="BI9823" s="386"/>
      <c r="BJ9823" s="46"/>
    </row>
    <row r="9824" spans="59:62" x14ac:dyDescent="0.3">
      <c r="BG9824" s="387"/>
      <c r="BH9824" s="386"/>
      <c r="BI9824" s="386"/>
      <c r="BJ9824" s="46"/>
    </row>
    <row r="9825" spans="59:62" x14ac:dyDescent="0.3">
      <c r="BG9825" s="387"/>
      <c r="BH9825" s="386"/>
      <c r="BI9825" s="386"/>
      <c r="BJ9825" s="46"/>
    </row>
    <row r="9826" spans="59:62" x14ac:dyDescent="0.3">
      <c r="BG9826" s="387"/>
      <c r="BH9826" s="386"/>
      <c r="BI9826" s="386"/>
      <c r="BJ9826" s="46"/>
    </row>
    <row r="9827" spans="59:62" x14ac:dyDescent="0.3">
      <c r="BG9827" s="387"/>
      <c r="BH9827" s="386"/>
      <c r="BI9827" s="386"/>
      <c r="BJ9827" s="46"/>
    </row>
    <row r="9828" spans="59:62" x14ac:dyDescent="0.3">
      <c r="BG9828" s="387"/>
      <c r="BH9828" s="386"/>
      <c r="BI9828" s="386"/>
      <c r="BJ9828" s="46"/>
    </row>
    <row r="9829" spans="59:62" x14ac:dyDescent="0.3">
      <c r="BG9829" s="387"/>
      <c r="BH9829" s="386"/>
      <c r="BI9829" s="386"/>
      <c r="BJ9829" s="46"/>
    </row>
    <row r="9830" spans="59:62" x14ac:dyDescent="0.3">
      <c r="BG9830" s="387"/>
      <c r="BH9830" s="386"/>
      <c r="BI9830" s="386"/>
      <c r="BJ9830" s="46"/>
    </row>
    <row r="9831" spans="59:62" x14ac:dyDescent="0.3">
      <c r="BG9831" s="387"/>
      <c r="BH9831" s="386"/>
      <c r="BI9831" s="386"/>
      <c r="BJ9831" s="46"/>
    </row>
    <row r="9832" spans="59:62" x14ac:dyDescent="0.3">
      <c r="BG9832" s="387"/>
      <c r="BH9832" s="386"/>
      <c r="BI9832" s="386"/>
      <c r="BJ9832" s="46"/>
    </row>
    <row r="9833" spans="59:62" x14ac:dyDescent="0.3">
      <c r="BG9833" s="387"/>
      <c r="BH9833" s="386"/>
      <c r="BI9833" s="386"/>
      <c r="BJ9833" s="46"/>
    </row>
    <row r="9834" spans="59:62" x14ac:dyDescent="0.3">
      <c r="BG9834" s="387"/>
      <c r="BH9834" s="386"/>
      <c r="BI9834" s="386"/>
      <c r="BJ9834" s="46"/>
    </row>
    <row r="9835" spans="59:62" x14ac:dyDescent="0.3">
      <c r="BG9835" s="387"/>
      <c r="BH9835" s="386"/>
      <c r="BI9835" s="386"/>
      <c r="BJ9835" s="46"/>
    </row>
    <row r="9836" spans="59:62" x14ac:dyDescent="0.3">
      <c r="BG9836" s="387"/>
      <c r="BH9836" s="386"/>
      <c r="BI9836" s="386"/>
      <c r="BJ9836" s="46"/>
    </row>
    <row r="9837" spans="59:62" x14ac:dyDescent="0.3">
      <c r="BG9837" s="387"/>
      <c r="BH9837" s="386"/>
      <c r="BI9837" s="386"/>
      <c r="BJ9837" s="46"/>
    </row>
    <row r="9838" spans="59:62" x14ac:dyDescent="0.3">
      <c r="BG9838" s="387"/>
      <c r="BH9838" s="386"/>
      <c r="BI9838" s="386"/>
      <c r="BJ9838" s="46"/>
    </row>
    <row r="9839" spans="59:62" x14ac:dyDescent="0.3">
      <c r="BG9839" s="387"/>
      <c r="BH9839" s="386"/>
      <c r="BI9839" s="386"/>
      <c r="BJ9839" s="46"/>
    </row>
    <row r="9840" spans="59:62" x14ac:dyDescent="0.3">
      <c r="BG9840" s="387"/>
      <c r="BH9840" s="386"/>
      <c r="BI9840" s="386"/>
      <c r="BJ9840" s="46"/>
    </row>
    <row r="9841" spans="59:62" x14ac:dyDescent="0.3">
      <c r="BG9841" s="387"/>
      <c r="BH9841" s="386"/>
      <c r="BI9841" s="386"/>
      <c r="BJ9841" s="46"/>
    </row>
    <row r="9842" spans="59:62" x14ac:dyDescent="0.3">
      <c r="BG9842" s="387"/>
      <c r="BH9842" s="386"/>
      <c r="BI9842" s="386"/>
      <c r="BJ9842" s="46"/>
    </row>
    <row r="9843" spans="59:62" x14ac:dyDescent="0.3">
      <c r="BG9843" s="387"/>
      <c r="BH9843" s="386"/>
      <c r="BI9843" s="386"/>
      <c r="BJ9843" s="46"/>
    </row>
    <row r="9844" spans="59:62" x14ac:dyDescent="0.3">
      <c r="BG9844" s="387"/>
      <c r="BH9844" s="386"/>
      <c r="BI9844" s="386"/>
      <c r="BJ9844" s="46"/>
    </row>
    <row r="9845" spans="59:62" x14ac:dyDescent="0.3">
      <c r="BG9845" s="387"/>
      <c r="BH9845" s="386"/>
      <c r="BI9845" s="386"/>
      <c r="BJ9845" s="46"/>
    </row>
    <row r="9846" spans="59:62" x14ac:dyDescent="0.3">
      <c r="BG9846" s="387"/>
      <c r="BH9846" s="386"/>
      <c r="BI9846" s="386"/>
      <c r="BJ9846" s="46"/>
    </row>
    <row r="9847" spans="59:62" x14ac:dyDescent="0.3">
      <c r="BG9847" s="387"/>
      <c r="BH9847" s="386"/>
      <c r="BI9847" s="386"/>
      <c r="BJ9847" s="46"/>
    </row>
    <row r="9848" spans="59:62" x14ac:dyDescent="0.3">
      <c r="BG9848" s="387"/>
      <c r="BH9848" s="386"/>
      <c r="BI9848" s="386"/>
      <c r="BJ9848" s="46"/>
    </row>
    <row r="9849" spans="59:62" x14ac:dyDescent="0.3">
      <c r="BG9849" s="387"/>
      <c r="BH9849" s="386"/>
      <c r="BI9849" s="386"/>
      <c r="BJ9849" s="46"/>
    </row>
    <row r="9850" spans="59:62" x14ac:dyDescent="0.3">
      <c r="BG9850" s="387"/>
      <c r="BH9850" s="386"/>
      <c r="BI9850" s="386"/>
      <c r="BJ9850" s="46"/>
    </row>
    <row r="9851" spans="59:62" x14ac:dyDescent="0.3">
      <c r="BG9851" s="387"/>
      <c r="BH9851" s="386"/>
      <c r="BI9851" s="386"/>
      <c r="BJ9851" s="46"/>
    </row>
    <row r="9852" spans="59:62" x14ac:dyDescent="0.3">
      <c r="BG9852" s="387"/>
      <c r="BH9852" s="386"/>
      <c r="BI9852" s="386"/>
      <c r="BJ9852" s="46"/>
    </row>
    <row r="9853" spans="59:62" x14ac:dyDescent="0.3">
      <c r="BG9853" s="387"/>
      <c r="BH9853" s="386"/>
      <c r="BI9853" s="386"/>
      <c r="BJ9853" s="46"/>
    </row>
    <row r="9854" spans="59:62" x14ac:dyDescent="0.3">
      <c r="BG9854" s="387"/>
      <c r="BH9854" s="386"/>
      <c r="BI9854" s="386"/>
      <c r="BJ9854" s="46"/>
    </row>
    <row r="9855" spans="59:62" x14ac:dyDescent="0.3">
      <c r="BG9855" s="387"/>
      <c r="BH9855" s="386"/>
      <c r="BI9855" s="386"/>
      <c r="BJ9855" s="46"/>
    </row>
    <row r="9856" spans="59:62" x14ac:dyDescent="0.3">
      <c r="BG9856" s="387"/>
      <c r="BH9856" s="386"/>
      <c r="BI9856" s="386"/>
      <c r="BJ9856" s="46"/>
    </row>
    <row r="9857" spans="59:62" x14ac:dyDescent="0.3">
      <c r="BG9857" s="387"/>
      <c r="BH9857" s="386"/>
      <c r="BI9857" s="386"/>
      <c r="BJ9857" s="46"/>
    </row>
    <row r="9858" spans="59:62" x14ac:dyDescent="0.3">
      <c r="BG9858" s="387"/>
      <c r="BH9858" s="386"/>
      <c r="BI9858" s="386"/>
      <c r="BJ9858" s="46"/>
    </row>
    <row r="9859" spans="59:62" x14ac:dyDescent="0.3">
      <c r="BG9859" s="387"/>
      <c r="BH9859" s="386"/>
      <c r="BI9859" s="386"/>
      <c r="BJ9859" s="46"/>
    </row>
    <row r="9860" spans="59:62" x14ac:dyDescent="0.3">
      <c r="BG9860" s="387"/>
      <c r="BH9860" s="386"/>
      <c r="BI9860" s="386"/>
      <c r="BJ9860" s="46"/>
    </row>
    <row r="9861" spans="59:62" x14ac:dyDescent="0.3">
      <c r="BG9861" s="387"/>
      <c r="BH9861" s="386"/>
      <c r="BI9861" s="386"/>
      <c r="BJ9861" s="46"/>
    </row>
    <row r="9862" spans="59:62" x14ac:dyDescent="0.3">
      <c r="BG9862" s="387"/>
      <c r="BH9862" s="386"/>
      <c r="BI9862" s="386"/>
      <c r="BJ9862" s="46"/>
    </row>
    <row r="9863" spans="59:62" x14ac:dyDescent="0.3">
      <c r="BG9863" s="387"/>
      <c r="BH9863" s="386"/>
      <c r="BI9863" s="386"/>
      <c r="BJ9863" s="46"/>
    </row>
    <row r="9864" spans="59:62" x14ac:dyDescent="0.3">
      <c r="BG9864" s="387"/>
      <c r="BH9864" s="386"/>
      <c r="BI9864" s="386"/>
      <c r="BJ9864" s="46"/>
    </row>
    <row r="9865" spans="59:62" x14ac:dyDescent="0.3">
      <c r="BG9865" s="387"/>
      <c r="BH9865" s="386"/>
      <c r="BI9865" s="386"/>
      <c r="BJ9865" s="46"/>
    </row>
    <row r="9866" spans="59:62" x14ac:dyDescent="0.3">
      <c r="BG9866" s="387"/>
      <c r="BH9866" s="386"/>
      <c r="BI9866" s="386"/>
      <c r="BJ9866" s="46"/>
    </row>
    <row r="9867" spans="59:62" x14ac:dyDescent="0.3">
      <c r="BG9867" s="387"/>
      <c r="BH9867" s="386"/>
      <c r="BI9867" s="386"/>
      <c r="BJ9867" s="46"/>
    </row>
    <row r="9868" spans="59:62" x14ac:dyDescent="0.3">
      <c r="BG9868" s="387"/>
      <c r="BH9868" s="386"/>
      <c r="BI9868" s="386"/>
      <c r="BJ9868" s="46"/>
    </row>
    <row r="9869" spans="59:62" x14ac:dyDescent="0.3">
      <c r="BG9869" s="387"/>
      <c r="BH9869" s="386"/>
      <c r="BI9869" s="386"/>
      <c r="BJ9869" s="46"/>
    </row>
    <row r="9870" spans="59:62" x14ac:dyDescent="0.3">
      <c r="BG9870" s="387"/>
      <c r="BH9870" s="386"/>
      <c r="BI9870" s="386"/>
      <c r="BJ9870" s="46"/>
    </row>
    <row r="9871" spans="59:62" x14ac:dyDescent="0.3">
      <c r="BG9871" s="387"/>
      <c r="BH9871" s="386"/>
      <c r="BI9871" s="386"/>
      <c r="BJ9871" s="46"/>
    </row>
    <row r="9872" spans="59:62" x14ac:dyDescent="0.3">
      <c r="BG9872" s="387"/>
      <c r="BH9872" s="386"/>
      <c r="BI9872" s="386"/>
      <c r="BJ9872" s="46"/>
    </row>
    <row r="9873" spans="59:62" x14ac:dyDescent="0.3">
      <c r="BG9873" s="387"/>
      <c r="BH9873" s="386"/>
      <c r="BI9873" s="386"/>
      <c r="BJ9873" s="46"/>
    </row>
    <row r="9874" spans="59:62" x14ac:dyDescent="0.3">
      <c r="BG9874" s="387"/>
      <c r="BH9874" s="386"/>
      <c r="BI9874" s="386"/>
      <c r="BJ9874" s="46"/>
    </row>
    <row r="9875" spans="59:62" x14ac:dyDescent="0.3">
      <c r="BG9875" s="387"/>
      <c r="BH9875" s="386"/>
      <c r="BI9875" s="386"/>
      <c r="BJ9875" s="46"/>
    </row>
    <row r="9876" spans="59:62" x14ac:dyDescent="0.3">
      <c r="BG9876" s="387"/>
      <c r="BH9876" s="386"/>
      <c r="BI9876" s="386"/>
      <c r="BJ9876" s="46"/>
    </row>
    <row r="9877" spans="59:62" x14ac:dyDescent="0.3">
      <c r="BG9877" s="387"/>
      <c r="BH9877" s="386"/>
      <c r="BI9877" s="386"/>
      <c r="BJ9877" s="46"/>
    </row>
    <row r="9878" spans="59:62" x14ac:dyDescent="0.3">
      <c r="BG9878" s="387"/>
      <c r="BH9878" s="386"/>
      <c r="BI9878" s="386"/>
      <c r="BJ9878" s="46"/>
    </row>
    <row r="9879" spans="59:62" x14ac:dyDescent="0.3">
      <c r="BG9879" s="387"/>
      <c r="BH9879" s="386"/>
      <c r="BI9879" s="386"/>
      <c r="BJ9879" s="46"/>
    </row>
    <row r="9880" spans="59:62" x14ac:dyDescent="0.3">
      <c r="BG9880" s="387"/>
      <c r="BH9880" s="386"/>
      <c r="BI9880" s="386"/>
      <c r="BJ9880" s="46"/>
    </row>
    <row r="9881" spans="59:62" x14ac:dyDescent="0.3">
      <c r="BG9881" s="387"/>
      <c r="BH9881" s="386"/>
      <c r="BI9881" s="386"/>
      <c r="BJ9881" s="46"/>
    </row>
    <row r="9882" spans="59:62" x14ac:dyDescent="0.3">
      <c r="BG9882" s="387"/>
      <c r="BH9882" s="386"/>
      <c r="BI9882" s="386"/>
      <c r="BJ9882" s="46"/>
    </row>
    <row r="9883" spans="59:62" x14ac:dyDescent="0.3">
      <c r="BG9883" s="387"/>
      <c r="BH9883" s="386"/>
      <c r="BI9883" s="386"/>
      <c r="BJ9883" s="46"/>
    </row>
    <row r="9884" spans="59:62" x14ac:dyDescent="0.3">
      <c r="BG9884" s="387"/>
      <c r="BH9884" s="386"/>
      <c r="BI9884" s="386"/>
      <c r="BJ9884" s="46"/>
    </row>
    <row r="9885" spans="59:62" x14ac:dyDescent="0.3">
      <c r="BG9885" s="387"/>
      <c r="BH9885" s="386"/>
      <c r="BI9885" s="386"/>
      <c r="BJ9885" s="46"/>
    </row>
    <row r="9886" spans="59:62" x14ac:dyDescent="0.3">
      <c r="BG9886" s="387"/>
      <c r="BH9886" s="386"/>
      <c r="BI9886" s="386"/>
      <c r="BJ9886" s="46"/>
    </row>
    <row r="9887" spans="59:62" x14ac:dyDescent="0.3">
      <c r="BG9887" s="387"/>
      <c r="BH9887" s="386"/>
      <c r="BI9887" s="386"/>
      <c r="BJ9887" s="46"/>
    </row>
    <row r="9888" spans="59:62" x14ac:dyDescent="0.3">
      <c r="BG9888" s="387"/>
      <c r="BH9888" s="386"/>
      <c r="BI9888" s="386"/>
      <c r="BJ9888" s="46"/>
    </row>
    <row r="9889" spans="59:62" x14ac:dyDescent="0.3">
      <c r="BG9889" s="387"/>
      <c r="BH9889" s="386"/>
      <c r="BI9889" s="386"/>
      <c r="BJ9889" s="46"/>
    </row>
    <row r="9890" spans="59:62" x14ac:dyDescent="0.3">
      <c r="BG9890" s="387"/>
      <c r="BH9890" s="386"/>
      <c r="BI9890" s="386"/>
      <c r="BJ9890" s="46"/>
    </row>
    <row r="9891" spans="59:62" x14ac:dyDescent="0.3">
      <c r="BG9891" s="387"/>
      <c r="BH9891" s="386"/>
      <c r="BI9891" s="386"/>
      <c r="BJ9891" s="46"/>
    </row>
    <row r="9892" spans="59:62" x14ac:dyDescent="0.3">
      <c r="BG9892" s="387"/>
      <c r="BH9892" s="386"/>
      <c r="BI9892" s="386"/>
      <c r="BJ9892" s="46"/>
    </row>
    <row r="9893" spans="59:62" x14ac:dyDescent="0.3">
      <c r="BG9893" s="387"/>
      <c r="BH9893" s="386"/>
      <c r="BI9893" s="386"/>
      <c r="BJ9893" s="46"/>
    </row>
    <row r="9894" spans="59:62" x14ac:dyDescent="0.3">
      <c r="BG9894" s="387"/>
      <c r="BH9894" s="386"/>
      <c r="BI9894" s="386"/>
      <c r="BJ9894" s="46"/>
    </row>
    <row r="9895" spans="59:62" x14ac:dyDescent="0.3">
      <c r="BG9895" s="387"/>
      <c r="BH9895" s="386"/>
      <c r="BI9895" s="386"/>
      <c r="BJ9895" s="46"/>
    </row>
    <row r="9896" spans="59:62" x14ac:dyDescent="0.3">
      <c r="BG9896" s="387"/>
      <c r="BH9896" s="386"/>
      <c r="BI9896" s="386"/>
      <c r="BJ9896" s="46"/>
    </row>
    <row r="9897" spans="59:62" x14ac:dyDescent="0.3">
      <c r="BG9897" s="387"/>
      <c r="BH9897" s="386"/>
      <c r="BI9897" s="386"/>
      <c r="BJ9897" s="46"/>
    </row>
    <row r="9898" spans="59:62" x14ac:dyDescent="0.3">
      <c r="BG9898" s="387"/>
      <c r="BH9898" s="386"/>
      <c r="BI9898" s="386"/>
      <c r="BJ9898" s="46"/>
    </row>
    <row r="9899" spans="59:62" x14ac:dyDescent="0.3">
      <c r="BG9899" s="387"/>
      <c r="BH9899" s="386"/>
      <c r="BI9899" s="386"/>
      <c r="BJ9899" s="46"/>
    </row>
    <row r="9900" spans="59:62" x14ac:dyDescent="0.3">
      <c r="BG9900" s="387"/>
      <c r="BH9900" s="386"/>
      <c r="BI9900" s="386"/>
      <c r="BJ9900" s="46"/>
    </row>
    <row r="9901" spans="59:62" x14ac:dyDescent="0.3">
      <c r="BG9901" s="387"/>
      <c r="BH9901" s="386"/>
      <c r="BI9901" s="386"/>
      <c r="BJ9901" s="46"/>
    </row>
    <row r="9902" spans="59:62" x14ac:dyDescent="0.3">
      <c r="BG9902" s="387"/>
      <c r="BH9902" s="386"/>
      <c r="BI9902" s="386"/>
      <c r="BJ9902" s="46"/>
    </row>
    <row r="9903" spans="59:62" x14ac:dyDescent="0.3">
      <c r="BG9903" s="387"/>
      <c r="BH9903" s="386"/>
      <c r="BI9903" s="386"/>
      <c r="BJ9903" s="46"/>
    </row>
    <row r="9904" spans="59:62" x14ac:dyDescent="0.3">
      <c r="BG9904" s="387"/>
      <c r="BH9904" s="386"/>
      <c r="BI9904" s="386"/>
      <c r="BJ9904" s="46"/>
    </row>
    <row r="9905" spans="59:62" x14ac:dyDescent="0.3">
      <c r="BG9905" s="387"/>
      <c r="BH9905" s="386"/>
      <c r="BI9905" s="386"/>
      <c r="BJ9905" s="46"/>
    </row>
    <row r="9906" spans="59:62" x14ac:dyDescent="0.3">
      <c r="BG9906" s="387"/>
      <c r="BH9906" s="386"/>
      <c r="BI9906" s="386"/>
      <c r="BJ9906" s="46"/>
    </row>
    <row r="9907" spans="59:62" x14ac:dyDescent="0.3">
      <c r="BG9907" s="387"/>
      <c r="BH9907" s="386"/>
      <c r="BI9907" s="386"/>
      <c r="BJ9907" s="46"/>
    </row>
    <row r="9908" spans="59:62" x14ac:dyDescent="0.3">
      <c r="BG9908" s="387"/>
      <c r="BH9908" s="386"/>
      <c r="BI9908" s="386"/>
      <c r="BJ9908" s="46"/>
    </row>
    <row r="9909" spans="59:62" x14ac:dyDescent="0.3">
      <c r="BG9909" s="387"/>
      <c r="BH9909" s="386"/>
      <c r="BI9909" s="386"/>
      <c r="BJ9909" s="46"/>
    </row>
    <row r="9910" spans="59:62" x14ac:dyDescent="0.3">
      <c r="BG9910" s="387"/>
      <c r="BH9910" s="386"/>
      <c r="BI9910" s="386"/>
      <c r="BJ9910" s="46"/>
    </row>
    <row r="9911" spans="59:62" x14ac:dyDescent="0.3">
      <c r="BG9911" s="387"/>
      <c r="BH9911" s="386"/>
      <c r="BI9911" s="386"/>
      <c r="BJ9911" s="46"/>
    </row>
    <row r="9912" spans="59:62" x14ac:dyDescent="0.3">
      <c r="BG9912" s="387"/>
      <c r="BH9912" s="386"/>
      <c r="BI9912" s="386"/>
      <c r="BJ9912" s="46"/>
    </row>
    <row r="9913" spans="59:62" x14ac:dyDescent="0.3">
      <c r="BG9913" s="387"/>
      <c r="BH9913" s="386"/>
      <c r="BI9913" s="386"/>
      <c r="BJ9913" s="46"/>
    </row>
    <row r="9914" spans="59:62" x14ac:dyDescent="0.3">
      <c r="BG9914" s="387"/>
      <c r="BH9914" s="386"/>
      <c r="BI9914" s="386"/>
      <c r="BJ9914" s="46"/>
    </row>
    <row r="9915" spans="59:62" x14ac:dyDescent="0.3">
      <c r="BG9915" s="387"/>
      <c r="BH9915" s="386"/>
      <c r="BI9915" s="386"/>
      <c r="BJ9915" s="46"/>
    </row>
    <row r="9916" spans="59:62" x14ac:dyDescent="0.3">
      <c r="BG9916" s="387"/>
      <c r="BH9916" s="386"/>
      <c r="BI9916" s="386"/>
      <c r="BJ9916" s="46"/>
    </row>
    <row r="9917" spans="59:62" x14ac:dyDescent="0.3">
      <c r="BG9917" s="387"/>
      <c r="BH9917" s="386"/>
      <c r="BI9917" s="386"/>
      <c r="BJ9917" s="46"/>
    </row>
    <row r="9918" spans="59:62" x14ac:dyDescent="0.3">
      <c r="BG9918" s="387"/>
      <c r="BH9918" s="386"/>
      <c r="BI9918" s="386"/>
      <c r="BJ9918" s="46"/>
    </row>
    <row r="9919" spans="59:62" x14ac:dyDescent="0.3">
      <c r="BG9919" s="387"/>
      <c r="BH9919" s="386"/>
      <c r="BI9919" s="386"/>
      <c r="BJ9919" s="46"/>
    </row>
    <row r="9920" spans="59:62" x14ac:dyDescent="0.3">
      <c r="BG9920" s="387"/>
      <c r="BH9920" s="386"/>
      <c r="BI9920" s="386"/>
      <c r="BJ9920" s="46"/>
    </row>
    <row r="9921" spans="59:62" x14ac:dyDescent="0.3">
      <c r="BG9921" s="387"/>
      <c r="BH9921" s="386"/>
      <c r="BI9921" s="386"/>
      <c r="BJ9921" s="46"/>
    </row>
    <row r="9922" spans="59:62" x14ac:dyDescent="0.3">
      <c r="BG9922" s="387"/>
      <c r="BH9922" s="386"/>
      <c r="BI9922" s="386"/>
      <c r="BJ9922" s="46"/>
    </row>
    <row r="9923" spans="59:62" x14ac:dyDescent="0.3">
      <c r="BG9923" s="387"/>
      <c r="BH9923" s="386"/>
      <c r="BI9923" s="386"/>
      <c r="BJ9923" s="46"/>
    </row>
    <row r="9924" spans="59:62" x14ac:dyDescent="0.3">
      <c r="BG9924" s="387"/>
      <c r="BH9924" s="386"/>
      <c r="BI9924" s="386"/>
      <c r="BJ9924" s="46"/>
    </row>
    <row r="9925" spans="59:62" x14ac:dyDescent="0.3">
      <c r="BG9925" s="387"/>
      <c r="BH9925" s="386"/>
      <c r="BI9925" s="386"/>
      <c r="BJ9925" s="46"/>
    </row>
    <row r="9926" spans="59:62" x14ac:dyDescent="0.3">
      <c r="BG9926" s="387"/>
      <c r="BH9926" s="386"/>
      <c r="BI9926" s="386"/>
      <c r="BJ9926" s="46"/>
    </row>
    <row r="9927" spans="59:62" x14ac:dyDescent="0.3">
      <c r="BG9927" s="387"/>
      <c r="BH9927" s="386"/>
      <c r="BI9927" s="386"/>
      <c r="BJ9927" s="46"/>
    </row>
    <row r="9928" spans="59:62" x14ac:dyDescent="0.3">
      <c r="BG9928" s="387"/>
      <c r="BH9928" s="386"/>
      <c r="BI9928" s="386"/>
      <c r="BJ9928" s="46"/>
    </row>
    <row r="9929" spans="59:62" x14ac:dyDescent="0.3">
      <c r="BG9929" s="387"/>
      <c r="BH9929" s="386"/>
      <c r="BI9929" s="386"/>
      <c r="BJ9929" s="46"/>
    </row>
    <row r="9930" spans="59:62" x14ac:dyDescent="0.3">
      <c r="BG9930" s="387"/>
      <c r="BH9930" s="386"/>
      <c r="BI9930" s="386"/>
      <c r="BJ9930" s="46"/>
    </row>
    <row r="9931" spans="59:62" x14ac:dyDescent="0.3">
      <c r="BG9931" s="387"/>
      <c r="BH9931" s="386"/>
      <c r="BI9931" s="386"/>
      <c r="BJ9931" s="46"/>
    </row>
    <row r="9932" spans="59:62" x14ac:dyDescent="0.3">
      <c r="BG9932" s="387"/>
      <c r="BH9932" s="386"/>
      <c r="BI9932" s="386"/>
      <c r="BJ9932" s="46"/>
    </row>
    <row r="9933" spans="59:62" x14ac:dyDescent="0.3">
      <c r="BG9933" s="387"/>
      <c r="BH9933" s="386"/>
      <c r="BI9933" s="386"/>
      <c r="BJ9933" s="46"/>
    </row>
    <row r="9934" spans="59:62" x14ac:dyDescent="0.3">
      <c r="BG9934" s="387"/>
      <c r="BH9934" s="386"/>
      <c r="BI9934" s="386"/>
      <c r="BJ9934" s="46"/>
    </row>
    <row r="9935" spans="59:62" x14ac:dyDescent="0.3">
      <c r="BG9935" s="387"/>
      <c r="BH9935" s="386"/>
      <c r="BI9935" s="386"/>
      <c r="BJ9935" s="46"/>
    </row>
    <row r="9936" spans="59:62" x14ac:dyDescent="0.3">
      <c r="BG9936" s="387"/>
      <c r="BH9936" s="386"/>
      <c r="BI9936" s="386"/>
      <c r="BJ9936" s="46"/>
    </row>
    <row r="9937" spans="59:62" x14ac:dyDescent="0.3">
      <c r="BG9937" s="387"/>
      <c r="BH9937" s="386"/>
      <c r="BI9937" s="386"/>
      <c r="BJ9937" s="46"/>
    </row>
    <row r="9938" spans="59:62" x14ac:dyDescent="0.3">
      <c r="BG9938" s="387"/>
      <c r="BH9938" s="386"/>
      <c r="BI9938" s="386"/>
      <c r="BJ9938" s="46"/>
    </row>
    <row r="9939" spans="59:62" x14ac:dyDescent="0.3">
      <c r="BG9939" s="387"/>
      <c r="BH9939" s="386"/>
      <c r="BI9939" s="386"/>
      <c r="BJ9939" s="46"/>
    </row>
    <row r="9940" spans="59:62" x14ac:dyDescent="0.3">
      <c r="BG9940" s="387"/>
      <c r="BH9940" s="386"/>
      <c r="BI9940" s="386"/>
      <c r="BJ9940" s="46"/>
    </row>
    <row r="9941" spans="59:62" x14ac:dyDescent="0.3">
      <c r="BG9941" s="387"/>
      <c r="BH9941" s="386"/>
      <c r="BI9941" s="386"/>
      <c r="BJ9941" s="46"/>
    </row>
    <row r="9942" spans="59:62" x14ac:dyDescent="0.3">
      <c r="BG9942" s="387"/>
      <c r="BH9942" s="386"/>
      <c r="BI9942" s="386"/>
      <c r="BJ9942" s="46"/>
    </row>
    <row r="9943" spans="59:62" x14ac:dyDescent="0.3">
      <c r="BG9943" s="387"/>
      <c r="BH9943" s="386"/>
      <c r="BI9943" s="386"/>
      <c r="BJ9943" s="46"/>
    </row>
    <row r="9944" spans="59:62" x14ac:dyDescent="0.3">
      <c r="BG9944" s="387"/>
      <c r="BH9944" s="386"/>
      <c r="BI9944" s="386"/>
      <c r="BJ9944" s="46"/>
    </row>
    <row r="9945" spans="59:62" x14ac:dyDescent="0.3">
      <c r="BG9945" s="387"/>
      <c r="BH9945" s="386"/>
      <c r="BI9945" s="386"/>
      <c r="BJ9945" s="46"/>
    </row>
    <row r="9946" spans="59:62" x14ac:dyDescent="0.3">
      <c r="BG9946" s="387"/>
      <c r="BH9946" s="386"/>
      <c r="BI9946" s="386"/>
      <c r="BJ9946" s="46"/>
    </row>
    <row r="9947" spans="59:62" x14ac:dyDescent="0.3">
      <c r="BG9947" s="387"/>
      <c r="BH9947" s="386"/>
      <c r="BI9947" s="386"/>
      <c r="BJ9947" s="46"/>
    </row>
    <row r="9948" spans="59:62" x14ac:dyDescent="0.3">
      <c r="BG9948" s="387"/>
      <c r="BH9948" s="386"/>
      <c r="BI9948" s="386"/>
      <c r="BJ9948" s="46"/>
    </row>
    <row r="9949" spans="59:62" x14ac:dyDescent="0.3">
      <c r="BG9949" s="387"/>
      <c r="BH9949" s="386"/>
      <c r="BI9949" s="386"/>
      <c r="BJ9949" s="46"/>
    </row>
    <row r="9950" spans="59:62" x14ac:dyDescent="0.3">
      <c r="BG9950" s="387"/>
      <c r="BH9950" s="386"/>
      <c r="BI9950" s="386"/>
      <c r="BJ9950" s="46"/>
    </row>
    <row r="9951" spans="59:62" x14ac:dyDescent="0.3">
      <c r="BG9951" s="387"/>
      <c r="BH9951" s="386"/>
      <c r="BI9951" s="386"/>
      <c r="BJ9951" s="46"/>
    </row>
    <row r="9952" spans="59:62" x14ac:dyDescent="0.3">
      <c r="BG9952" s="387"/>
      <c r="BH9952" s="386"/>
      <c r="BI9952" s="386"/>
      <c r="BJ9952" s="46"/>
    </row>
    <row r="9953" spans="59:62" x14ac:dyDescent="0.3">
      <c r="BG9953" s="387"/>
      <c r="BH9953" s="386"/>
      <c r="BI9953" s="386"/>
      <c r="BJ9953" s="46"/>
    </row>
    <row r="9954" spans="59:62" x14ac:dyDescent="0.3">
      <c r="BG9954" s="387"/>
      <c r="BH9954" s="386"/>
      <c r="BI9954" s="386"/>
      <c r="BJ9954" s="46"/>
    </row>
    <row r="9955" spans="59:62" x14ac:dyDescent="0.3">
      <c r="BG9955" s="387"/>
      <c r="BH9955" s="386"/>
      <c r="BI9955" s="386"/>
      <c r="BJ9955" s="46"/>
    </row>
    <row r="9956" spans="59:62" x14ac:dyDescent="0.3">
      <c r="BG9956" s="387"/>
      <c r="BH9956" s="386"/>
      <c r="BI9956" s="386"/>
      <c r="BJ9956" s="46"/>
    </row>
    <row r="9957" spans="59:62" x14ac:dyDescent="0.3">
      <c r="BG9957" s="387"/>
      <c r="BH9957" s="386"/>
      <c r="BI9957" s="386"/>
      <c r="BJ9957" s="46"/>
    </row>
    <row r="9958" spans="59:62" x14ac:dyDescent="0.3">
      <c r="BG9958" s="387"/>
      <c r="BH9958" s="386"/>
      <c r="BI9958" s="386"/>
      <c r="BJ9958" s="46"/>
    </row>
    <row r="9959" spans="59:62" x14ac:dyDescent="0.3">
      <c r="BG9959" s="387"/>
      <c r="BH9959" s="386"/>
      <c r="BI9959" s="386"/>
      <c r="BJ9959" s="46"/>
    </row>
    <row r="9960" spans="59:62" x14ac:dyDescent="0.3">
      <c r="BG9960" s="387"/>
      <c r="BH9960" s="386"/>
      <c r="BI9960" s="386"/>
      <c r="BJ9960" s="46"/>
    </row>
    <row r="9961" spans="59:62" x14ac:dyDescent="0.3">
      <c r="BG9961" s="387"/>
      <c r="BH9961" s="386"/>
      <c r="BI9961" s="386"/>
      <c r="BJ9961" s="46"/>
    </row>
    <row r="9962" spans="59:62" x14ac:dyDescent="0.3">
      <c r="BG9962" s="387"/>
      <c r="BH9962" s="386"/>
      <c r="BI9962" s="386"/>
      <c r="BJ9962" s="46"/>
    </row>
    <row r="9963" spans="59:62" x14ac:dyDescent="0.3">
      <c r="BG9963" s="387"/>
      <c r="BH9963" s="386"/>
      <c r="BI9963" s="386"/>
      <c r="BJ9963" s="46"/>
    </row>
    <row r="9964" spans="59:62" x14ac:dyDescent="0.3">
      <c r="BG9964" s="387"/>
      <c r="BH9964" s="386"/>
      <c r="BI9964" s="386"/>
      <c r="BJ9964" s="46"/>
    </row>
    <row r="9965" spans="59:62" x14ac:dyDescent="0.3">
      <c r="BG9965" s="387"/>
      <c r="BH9965" s="386"/>
      <c r="BI9965" s="386"/>
      <c r="BJ9965" s="46"/>
    </row>
    <row r="9966" spans="59:62" x14ac:dyDescent="0.3">
      <c r="BG9966" s="387"/>
      <c r="BH9966" s="386"/>
      <c r="BI9966" s="386"/>
      <c r="BJ9966" s="46"/>
    </row>
    <row r="9967" spans="59:62" x14ac:dyDescent="0.3">
      <c r="BG9967" s="387"/>
      <c r="BH9967" s="386"/>
      <c r="BI9967" s="386"/>
      <c r="BJ9967" s="46"/>
    </row>
    <row r="9968" spans="59:62" x14ac:dyDescent="0.3">
      <c r="BG9968" s="387"/>
      <c r="BH9968" s="386"/>
      <c r="BI9968" s="386"/>
      <c r="BJ9968" s="46"/>
    </row>
    <row r="9969" spans="59:62" x14ac:dyDescent="0.3">
      <c r="BG9969" s="387"/>
      <c r="BH9969" s="386"/>
      <c r="BI9969" s="386"/>
      <c r="BJ9969" s="46"/>
    </row>
    <row r="9970" spans="59:62" x14ac:dyDescent="0.3">
      <c r="BG9970" s="387"/>
      <c r="BH9970" s="386"/>
      <c r="BI9970" s="386"/>
      <c r="BJ9970" s="46"/>
    </row>
    <row r="9971" spans="59:62" x14ac:dyDescent="0.3">
      <c r="BG9971" s="387"/>
      <c r="BH9971" s="386"/>
      <c r="BI9971" s="386"/>
      <c r="BJ9971" s="46"/>
    </row>
    <row r="9972" spans="59:62" x14ac:dyDescent="0.3">
      <c r="BG9972" s="387"/>
      <c r="BH9972" s="386"/>
      <c r="BI9972" s="386"/>
      <c r="BJ9972" s="46"/>
    </row>
    <row r="9973" spans="59:62" x14ac:dyDescent="0.3">
      <c r="BG9973" s="387"/>
      <c r="BH9973" s="386"/>
      <c r="BI9973" s="386"/>
      <c r="BJ9973" s="46"/>
    </row>
    <row r="9974" spans="59:62" x14ac:dyDescent="0.3">
      <c r="BG9974" s="387"/>
      <c r="BH9974" s="386"/>
      <c r="BI9974" s="386"/>
      <c r="BJ9974" s="46"/>
    </row>
    <row r="9975" spans="59:62" x14ac:dyDescent="0.3">
      <c r="BG9975" s="387"/>
      <c r="BH9975" s="386"/>
      <c r="BI9975" s="386"/>
      <c r="BJ9975" s="46"/>
    </row>
    <row r="9976" spans="59:62" x14ac:dyDescent="0.3">
      <c r="BG9976" s="387"/>
      <c r="BH9976" s="386"/>
      <c r="BI9976" s="386"/>
      <c r="BJ9976" s="46"/>
    </row>
    <row r="9977" spans="59:62" x14ac:dyDescent="0.3">
      <c r="BG9977" s="387"/>
      <c r="BH9977" s="386"/>
      <c r="BI9977" s="386"/>
      <c r="BJ9977" s="46"/>
    </row>
    <row r="9978" spans="59:62" x14ac:dyDescent="0.3">
      <c r="BG9978" s="387"/>
      <c r="BH9978" s="386"/>
      <c r="BI9978" s="386"/>
      <c r="BJ9978" s="46"/>
    </row>
    <row r="9979" spans="59:62" x14ac:dyDescent="0.3">
      <c r="BG9979" s="387"/>
      <c r="BH9979" s="386"/>
      <c r="BI9979" s="386"/>
      <c r="BJ9979" s="46"/>
    </row>
    <row r="9980" spans="59:62" x14ac:dyDescent="0.3">
      <c r="BG9980" s="387"/>
      <c r="BH9980" s="386"/>
      <c r="BI9980" s="386"/>
      <c r="BJ9980" s="46"/>
    </row>
    <row r="9981" spans="59:62" x14ac:dyDescent="0.3">
      <c r="BG9981" s="387"/>
      <c r="BH9981" s="386"/>
      <c r="BI9981" s="386"/>
      <c r="BJ9981" s="46"/>
    </row>
    <row r="9982" spans="59:62" x14ac:dyDescent="0.3">
      <c r="BG9982" s="387"/>
      <c r="BH9982" s="386"/>
      <c r="BI9982" s="386"/>
      <c r="BJ9982" s="46"/>
    </row>
    <row r="9983" spans="59:62" x14ac:dyDescent="0.3">
      <c r="BG9983" s="387"/>
      <c r="BH9983" s="386"/>
      <c r="BI9983" s="386"/>
      <c r="BJ9983" s="46"/>
    </row>
    <row r="9984" spans="59:62" x14ac:dyDescent="0.3">
      <c r="BG9984" s="387"/>
      <c r="BH9984" s="386"/>
      <c r="BI9984" s="386"/>
      <c r="BJ9984" s="46"/>
    </row>
    <row r="9985" spans="59:62" x14ac:dyDescent="0.3">
      <c r="BG9985" s="387"/>
      <c r="BH9985" s="386"/>
      <c r="BI9985" s="386"/>
      <c r="BJ9985" s="46"/>
    </row>
    <row r="9986" spans="59:62" x14ac:dyDescent="0.3">
      <c r="BG9986" s="387"/>
      <c r="BH9986" s="386"/>
      <c r="BI9986" s="386"/>
      <c r="BJ9986" s="46"/>
    </row>
    <row r="9987" spans="59:62" x14ac:dyDescent="0.3">
      <c r="BG9987" s="387"/>
      <c r="BH9987" s="386"/>
      <c r="BI9987" s="386"/>
      <c r="BJ9987" s="46"/>
    </row>
    <row r="9988" spans="59:62" x14ac:dyDescent="0.3">
      <c r="BG9988" s="387"/>
      <c r="BH9988" s="386"/>
      <c r="BI9988" s="386"/>
      <c r="BJ9988" s="46"/>
    </row>
    <row r="9989" spans="59:62" x14ac:dyDescent="0.3">
      <c r="BG9989" s="387"/>
      <c r="BH9989" s="386"/>
      <c r="BI9989" s="386"/>
      <c r="BJ9989" s="46"/>
    </row>
    <row r="9990" spans="59:62" x14ac:dyDescent="0.3">
      <c r="BG9990" s="387"/>
      <c r="BH9990" s="386"/>
      <c r="BI9990" s="386"/>
      <c r="BJ9990" s="46"/>
    </row>
    <row r="9991" spans="59:62" x14ac:dyDescent="0.3">
      <c r="BG9991" s="387"/>
      <c r="BH9991" s="386"/>
      <c r="BI9991" s="386"/>
      <c r="BJ9991" s="46"/>
    </row>
    <row r="9992" spans="59:62" x14ac:dyDescent="0.3">
      <c r="BG9992" s="387"/>
      <c r="BH9992" s="386"/>
      <c r="BI9992" s="386"/>
      <c r="BJ9992" s="46"/>
    </row>
    <row r="9993" spans="59:62" x14ac:dyDescent="0.3">
      <c r="BG9993" s="387"/>
      <c r="BH9993" s="386"/>
      <c r="BI9993" s="386"/>
      <c r="BJ9993" s="46"/>
    </row>
    <row r="9994" spans="59:62" x14ac:dyDescent="0.3">
      <c r="BG9994" s="387"/>
      <c r="BH9994" s="386"/>
      <c r="BI9994" s="386"/>
      <c r="BJ9994" s="46"/>
    </row>
    <row r="9995" spans="59:62" x14ac:dyDescent="0.3">
      <c r="BG9995" s="387"/>
      <c r="BH9995" s="386"/>
      <c r="BI9995" s="386"/>
      <c r="BJ9995" s="46"/>
    </row>
    <row r="9996" spans="59:62" x14ac:dyDescent="0.3">
      <c r="BG9996" s="387"/>
      <c r="BH9996" s="386"/>
      <c r="BI9996" s="386"/>
      <c r="BJ9996" s="46"/>
    </row>
    <row r="9997" spans="59:62" x14ac:dyDescent="0.3">
      <c r="BG9997" s="387"/>
      <c r="BH9997" s="386"/>
      <c r="BI9997" s="386"/>
      <c r="BJ9997" s="46"/>
    </row>
    <row r="9998" spans="59:62" x14ac:dyDescent="0.3">
      <c r="BG9998" s="387"/>
      <c r="BH9998" s="386"/>
      <c r="BI9998" s="386"/>
      <c r="BJ9998" s="46"/>
    </row>
    <row r="9999" spans="59:62" x14ac:dyDescent="0.3">
      <c r="BG9999" s="387"/>
      <c r="BH9999" s="386"/>
      <c r="BI9999" s="386"/>
      <c r="BJ9999" s="46"/>
    </row>
    <row r="10000" spans="59:62" x14ac:dyDescent="0.3">
      <c r="BG10000" s="387"/>
      <c r="BH10000" s="386"/>
      <c r="BI10000" s="386"/>
      <c r="BJ10000" s="46"/>
    </row>
    <row r="10001" spans="59:62" x14ac:dyDescent="0.3">
      <c r="BG10001" s="387"/>
      <c r="BH10001" s="386"/>
      <c r="BI10001" s="386"/>
      <c r="BJ10001" s="46"/>
    </row>
    <row r="10002" spans="59:62" x14ac:dyDescent="0.3">
      <c r="BG10002" s="387"/>
      <c r="BH10002" s="386"/>
      <c r="BI10002" s="386"/>
      <c r="BJ10002" s="46"/>
    </row>
    <row r="10003" spans="59:62" x14ac:dyDescent="0.3">
      <c r="BG10003" s="387"/>
      <c r="BH10003" s="386"/>
      <c r="BI10003" s="386"/>
      <c r="BJ10003" s="46"/>
    </row>
    <row r="10004" spans="59:62" x14ac:dyDescent="0.3">
      <c r="BG10004" s="387"/>
      <c r="BH10004" s="386"/>
      <c r="BI10004" s="386"/>
      <c r="BJ10004" s="46"/>
    </row>
    <row r="10005" spans="59:62" x14ac:dyDescent="0.3">
      <c r="BG10005" s="387"/>
      <c r="BH10005" s="386"/>
      <c r="BI10005" s="386"/>
      <c r="BJ10005" s="46"/>
    </row>
    <row r="10006" spans="59:62" x14ac:dyDescent="0.3">
      <c r="BG10006" s="387"/>
      <c r="BH10006" s="386"/>
      <c r="BI10006" s="386"/>
      <c r="BJ10006" s="46"/>
    </row>
    <row r="10007" spans="59:62" x14ac:dyDescent="0.3">
      <c r="BG10007" s="387"/>
      <c r="BH10007" s="386"/>
      <c r="BI10007" s="386"/>
      <c r="BJ10007" s="46"/>
    </row>
    <row r="10008" spans="59:62" x14ac:dyDescent="0.3">
      <c r="BG10008" s="387"/>
      <c r="BH10008" s="386"/>
      <c r="BI10008" s="386"/>
      <c r="BJ10008" s="46"/>
    </row>
    <row r="10009" spans="59:62" x14ac:dyDescent="0.3">
      <c r="BG10009" s="387"/>
      <c r="BH10009" s="386"/>
      <c r="BI10009" s="386"/>
      <c r="BJ10009" s="46"/>
    </row>
    <row r="10010" spans="59:62" x14ac:dyDescent="0.3">
      <c r="BG10010" s="387"/>
      <c r="BH10010" s="386"/>
      <c r="BI10010" s="386"/>
      <c r="BJ10010" s="46"/>
    </row>
    <row r="10011" spans="59:62" x14ac:dyDescent="0.3">
      <c r="BG10011" s="387"/>
      <c r="BH10011" s="386"/>
      <c r="BI10011" s="386"/>
      <c r="BJ10011" s="46"/>
    </row>
    <row r="10012" spans="59:62" x14ac:dyDescent="0.3">
      <c r="BG10012" s="387"/>
      <c r="BH10012" s="386"/>
      <c r="BI10012" s="386"/>
      <c r="BJ10012" s="46"/>
    </row>
    <row r="10013" spans="59:62" x14ac:dyDescent="0.3">
      <c r="BG10013" s="387"/>
      <c r="BH10013" s="386"/>
      <c r="BI10013" s="386"/>
      <c r="BJ10013" s="46"/>
    </row>
    <row r="10014" spans="59:62" x14ac:dyDescent="0.3">
      <c r="BG10014" s="387"/>
      <c r="BH10014" s="386"/>
      <c r="BI10014" s="386"/>
      <c r="BJ10014" s="46"/>
    </row>
    <row r="10015" spans="59:62" x14ac:dyDescent="0.3">
      <c r="BG10015" s="387"/>
      <c r="BH10015" s="386"/>
      <c r="BI10015" s="386"/>
      <c r="BJ10015" s="46"/>
    </row>
    <row r="10016" spans="59:62" x14ac:dyDescent="0.3">
      <c r="BG10016" s="387"/>
      <c r="BH10016" s="386"/>
      <c r="BI10016" s="386"/>
      <c r="BJ10016" s="46"/>
    </row>
    <row r="10017" spans="59:62" x14ac:dyDescent="0.3">
      <c r="BG10017" s="387"/>
      <c r="BH10017" s="386"/>
      <c r="BI10017" s="386"/>
      <c r="BJ10017" s="46"/>
    </row>
    <row r="10018" spans="59:62" x14ac:dyDescent="0.3">
      <c r="BG10018" s="387"/>
      <c r="BH10018" s="386"/>
      <c r="BI10018" s="386"/>
      <c r="BJ10018" s="46"/>
    </row>
    <row r="10019" spans="59:62" x14ac:dyDescent="0.3">
      <c r="BG10019" s="387"/>
      <c r="BH10019" s="386"/>
      <c r="BI10019" s="386"/>
      <c r="BJ10019" s="46"/>
    </row>
    <row r="10020" spans="59:62" x14ac:dyDescent="0.3">
      <c r="BG10020" s="387"/>
      <c r="BH10020" s="386"/>
      <c r="BI10020" s="386"/>
      <c r="BJ10020" s="46"/>
    </row>
    <row r="10021" spans="59:62" x14ac:dyDescent="0.3">
      <c r="BG10021" s="387"/>
      <c r="BH10021" s="386"/>
      <c r="BI10021" s="386"/>
      <c r="BJ10021" s="46"/>
    </row>
    <row r="10022" spans="59:62" x14ac:dyDescent="0.3">
      <c r="BG10022" s="387"/>
      <c r="BH10022" s="386"/>
      <c r="BI10022" s="386"/>
      <c r="BJ10022" s="46"/>
    </row>
    <row r="10023" spans="59:62" x14ac:dyDescent="0.3">
      <c r="BG10023" s="387"/>
      <c r="BH10023" s="386"/>
      <c r="BI10023" s="386"/>
      <c r="BJ10023" s="46"/>
    </row>
    <row r="10024" spans="59:62" x14ac:dyDescent="0.3">
      <c r="BG10024" s="387"/>
      <c r="BH10024" s="386"/>
      <c r="BI10024" s="386"/>
      <c r="BJ10024" s="46"/>
    </row>
    <row r="10025" spans="59:62" x14ac:dyDescent="0.3">
      <c r="BG10025" s="387"/>
      <c r="BH10025" s="386"/>
      <c r="BI10025" s="386"/>
      <c r="BJ10025" s="46"/>
    </row>
    <row r="10026" spans="59:62" x14ac:dyDescent="0.3">
      <c r="BG10026" s="387"/>
      <c r="BH10026" s="386"/>
      <c r="BI10026" s="386"/>
      <c r="BJ10026" s="46"/>
    </row>
    <row r="10027" spans="59:62" x14ac:dyDescent="0.3">
      <c r="BG10027" s="387"/>
      <c r="BH10027" s="386"/>
      <c r="BI10027" s="386"/>
      <c r="BJ10027" s="46"/>
    </row>
    <row r="10028" spans="59:62" x14ac:dyDescent="0.3">
      <c r="BG10028" s="387"/>
      <c r="BH10028" s="386"/>
      <c r="BI10028" s="386"/>
      <c r="BJ10028" s="46"/>
    </row>
    <row r="10029" spans="59:62" x14ac:dyDescent="0.3">
      <c r="BG10029" s="387"/>
      <c r="BH10029" s="386"/>
      <c r="BI10029" s="386"/>
      <c r="BJ10029" s="46"/>
    </row>
    <row r="10030" spans="59:62" x14ac:dyDescent="0.3">
      <c r="BG10030" s="387"/>
      <c r="BH10030" s="386"/>
      <c r="BI10030" s="386"/>
      <c r="BJ10030" s="46"/>
    </row>
    <row r="10031" spans="59:62" x14ac:dyDescent="0.3">
      <c r="BG10031" s="387"/>
      <c r="BH10031" s="386"/>
      <c r="BI10031" s="386"/>
      <c r="BJ10031" s="46"/>
    </row>
    <row r="10032" spans="59:62" x14ac:dyDescent="0.3">
      <c r="BG10032" s="387"/>
      <c r="BH10032" s="386"/>
      <c r="BI10032" s="386"/>
      <c r="BJ10032" s="46"/>
    </row>
    <row r="10033" spans="59:62" x14ac:dyDescent="0.3">
      <c r="BG10033" s="387"/>
      <c r="BH10033" s="386"/>
      <c r="BI10033" s="386"/>
      <c r="BJ10033" s="46"/>
    </row>
    <row r="10034" spans="59:62" x14ac:dyDescent="0.3">
      <c r="BG10034" s="387"/>
      <c r="BH10034" s="386"/>
      <c r="BI10034" s="386"/>
      <c r="BJ10034" s="46"/>
    </row>
    <row r="10035" spans="59:62" x14ac:dyDescent="0.3">
      <c r="BG10035" s="387"/>
      <c r="BH10035" s="386"/>
      <c r="BI10035" s="386"/>
      <c r="BJ10035" s="46"/>
    </row>
    <row r="10036" spans="59:62" x14ac:dyDescent="0.3">
      <c r="BG10036" s="387"/>
      <c r="BH10036" s="386"/>
      <c r="BI10036" s="386"/>
      <c r="BJ10036" s="46"/>
    </row>
    <row r="10037" spans="59:62" x14ac:dyDescent="0.3">
      <c r="BG10037" s="387"/>
      <c r="BH10037" s="386"/>
      <c r="BI10037" s="386"/>
      <c r="BJ10037" s="46"/>
    </row>
    <row r="10038" spans="59:62" x14ac:dyDescent="0.3">
      <c r="BG10038" s="387"/>
      <c r="BH10038" s="386"/>
      <c r="BI10038" s="386"/>
      <c r="BJ10038" s="46"/>
    </row>
    <row r="10039" spans="59:62" x14ac:dyDescent="0.3">
      <c r="BG10039" s="387"/>
      <c r="BH10039" s="386"/>
      <c r="BI10039" s="386"/>
      <c r="BJ10039" s="46"/>
    </row>
    <row r="10040" spans="59:62" x14ac:dyDescent="0.3">
      <c r="BG10040" s="387"/>
      <c r="BH10040" s="386"/>
      <c r="BI10040" s="386"/>
      <c r="BJ10040" s="46"/>
    </row>
    <row r="10041" spans="59:62" x14ac:dyDescent="0.3">
      <c r="BG10041" s="387"/>
      <c r="BH10041" s="386"/>
      <c r="BI10041" s="386"/>
      <c r="BJ10041" s="46"/>
    </row>
    <row r="10042" spans="59:62" x14ac:dyDescent="0.3">
      <c r="BG10042" s="387"/>
      <c r="BH10042" s="386"/>
      <c r="BI10042" s="386"/>
      <c r="BJ10042" s="46"/>
    </row>
    <row r="10043" spans="59:62" x14ac:dyDescent="0.3">
      <c r="BG10043" s="387"/>
      <c r="BH10043" s="386"/>
      <c r="BI10043" s="386"/>
      <c r="BJ10043" s="46"/>
    </row>
    <row r="10044" spans="59:62" x14ac:dyDescent="0.3">
      <c r="BG10044" s="387"/>
      <c r="BH10044" s="386"/>
      <c r="BI10044" s="386"/>
      <c r="BJ10044" s="46"/>
    </row>
    <row r="10045" spans="59:62" x14ac:dyDescent="0.3">
      <c r="BG10045" s="387"/>
      <c r="BH10045" s="386"/>
      <c r="BI10045" s="386"/>
      <c r="BJ10045" s="46"/>
    </row>
    <row r="10046" spans="59:62" x14ac:dyDescent="0.3">
      <c r="BG10046" s="387"/>
      <c r="BH10046" s="386"/>
      <c r="BI10046" s="386"/>
      <c r="BJ10046" s="46"/>
    </row>
    <row r="10047" spans="59:62" x14ac:dyDescent="0.3">
      <c r="BG10047" s="387"/>
      <c r="BH10047" s="386"/>
      <c r="BI10047" s="386"/>
      <c r="BJ10047" s="46"/>
    </row>
    <row r="10048" spans="59:62" x14ac:dyDescent="0.3">
      <c r="BG10048" s="387"/>
      <c r="BH10048" s="386"/>
      <c r="BI10048" s="386"/>
      <c r="BJ10048" s="46"/>
    </row>
    <row r="10049" spans="59:62" x14ac:dyDescent="0.3">
      <c r="BG10049" s="387"/>
      <c r="BH10049" s="386"/>
      <c r="BI10049" s="386"/>
      <c r="BJ10049" s="46"/>
    </row>
    <row r="10050" spans="59:62" x14ac:dyDescent="0.3">
      <c r="BG10050" s="387"/>
      <c r="BH10050" s="386"/>
      <c r="BI10050" s="386"/>
      <c r="BJ10050" s="46"/>
    </row>
    <row r="10051" spans="59:62" x14ac:dyDescent="0.3">
      <c r="BG10051" s="387"/>
      <c r="BH10051" s="386"/>
      <c r="BI10051" s="386"/>
      <c r="BJ10051" s="46"/>
    </row>
    <row r="10052" spans="59:62" x14ac:dyDescent="0.3">
      <c r="BG10052" s="387"/>
      <c r="BH10052" s="386"/>
      <c r="BI10052" s="386"/>
      <c r="BJ10052" s="46"/>
    </row>
    <row r="10053" spans="59:62" x14ac:dyDescent="0.3">
      <c r="BG10053" s="387"/>
      <c r="BH10053" s="386"/>
      <c r="BI10053" s="386"/>
      <c r="BJ10053" s="46"/>
    </row>
    <row r="10054" spans="59:62" x14ac:dyDescent="0.3">
      <c r="BG10054" s="387"/>
      <c r="BH10054" s="386"/>
      <c r="BI10054" s="386"/>
      <c r="BJ10054" s="46"/>
    </row>
    <row r="10055" spans="59:62" x14ac:dyDescent="0.3">
      <c r="BG10055" s="387"/>
      <c r="BH10055" s="386"/>
      <c r="BI10055" s="386"/>
      <c r="BJ10055" s="46"/>
    </row>
    <row r="10056" spans="59:62" x14ac:dyDescent="0.3">
      <c r="BG10056" s="387"/>
      <c r="BH10056" s="386"/>
      <c r="BI10056" s="386"/>
      <c r="BJ10056" s="46"/>
    </row>
    <row r="10057" spans="59:62" x14ac:dyDescent="0.3">
      <c r="BG10057" s="387"/>
      <c r="BH10057" s="386"/>
      <c r="BI10057" s="386"/>
      <c r="BJ10057" s="46"/>
    </row>
    <row r="10058" spans="59:62" x14ac:dyDescent="0.3">
      <c r="BG10058" s="387"/>
      <c r="BH10058" s="386"/>
      <c r="BI10058" s="386"/>
      <c r="BJ10058" s="46"/>
    </row>
    <row r="10059" spans="59:62" x14ac:dyDescent="0.3">
      <c r="BG10059" s="387"/>
      <c r="BH10059" s="386"/>
      <c r="BI10059" s="386"/>
      <c r="BJ10059" s="46"/>
    </row>
    <row r="10060" spans="59:62" x14ac:dyDescent="0.3">
      <c r="BG10060" s="387"/>
      <c r="BH10060" s="386"/>
      <c r="BI10060" s="386"/>
      <c r="BJ10060" s="46"/>
    </row>
    <row r="10061" spans="59:62" x14ac:dyDescent="0.3">
      <c r="BG10061" s="387"/>
      <c r="BH10061" s="386"/>
      <c r="BI10061" s="386"/>
      <c r="BJ10061" s="46"/>
    </row>
    <row r="10062" spans="59:62" x14ac:dyDescent="0.3">
      <c r="BG10062" s="387"/>
      <c r="BH10062" s="386"/>
      <c r="BI10062" s="386"/>
      <c r="BJ10062" s="46"/>
    </row>
    <row r="10063" spans="59:62" x14ac:dyDescent="0.3">
      <c r="BG10063" s="387"/>
      <c r="BH10063" s="386"/>
      <c r="BI10063" s="386"/>
      <c r="BJ10063" s="46"/>
    </row>
    <row r="10064" spans="59:62" x14ac:dyDescent="0.3">
      <c r="BG10064" s="387"/>
      <c r="BH10064" s="386"/>
      <c r="BI10064" s="386"/>
      <c r="BJ10064" s="46"/>
    </row>
    <row r="10065" spans="59:62" x14ac:dyDescent="0.3">
      <c r="BG10065" s="387"/>
      <c r="BH10065" s="386"/>
      <c r="BI10065" s="386"/>
      <c r="BJ10065" s="46"/>
    </row>
    <row r="10066" spans="59:62" x14ac:dyDescent="0.3">
      <c r="BG10066" s="387"/>
      <c r="BH10066" s="386"/>
      <c r="BI10066" s="386"/>
      <c r="BJ10066" s="46"/>
    </row>
    <row r="10067" spans="59:62" x14ac:dyDescent="0.3">
      <c r="BG10067" s="387"/>
      <c r="BH10067" s="386"/>
      <c r="BI10067" s="386"/>
      <c r="BJ10067" s="46"/>
    </row>
    <row r="10068" spans="59:62" x14ac:dyDescent="0.3">
      <c r="BG10068" s="387"/>
      <c r="BH10068" s="386"/>
      <c r="BI10068" s="386"/>
      <c r="BJ10068" s="46"/>
    </row>
    <row r="10069" spans="59:62" x14ac:dyDescent="0.3">
      <c r="BG10069" s="387"/>
      <c r="BH10069" s="386"/>
      <c r="BI10069" s="386"/>
      <c r="BJ10069" s="46"/>
    </row>
    <row r="10070" spans="59:62" x14ac:dyDescent="0.3">
      <c r="BG10070" s="387"/>
      <c r="BH10070" s="386"/>
      <c r="BI10070" s="386"/>
      <c r="BJ10070" s="46"/>
    </row>
    <row r="10071" spans="59:62" x14ac:dyDescent="0.3">
      <c r="BG10071" s="387"/>
      <c r="BH10071" s="386"/>
      <c r="BI10071" s="386"/>
      <c r="BJ10071" s="46"/>
    </row>
    <row r="10072" spans="59:62" x14ac:dyDescent="0.3">
      <c r="BG10072" s="387"/>
      <c r="BH10072" s="386"/>
      <c r="BI10072" s="386"/>
      <c r="BJ10072" s="46"/>
    </row>
    <row r="10073" spans="59:62" x14ac:dyDescent="0.3">
      <c r="BG10073" s="387"/>
      <c r="BH10073" s="386"/>
      <c r="BI10073" s="386"/>
      <c r="BJ10073" s="46"/>
    </row>
    <row r="10074" spans="59:62" x14ac:dyDescent="0.3">
      <c r="BG10074" s="387"/>
      <c r="BH10074" s="386"/>
      <c r="BI10074" s="386"/>
      <c r="BJ10074" s="46"/>
    </row>
    <row r="10075" spans="59:62" x14ac:dyDescent="0.3">
      <c r="BG10075" s="387"/>
      <c r="BH10075" s="386"/>
      <c r="BI10075" s="386"/>
      <c r="BJ10075" s="46"/>
    </row>
    <row r="10076" spans="59:62" x14ac:dyDescent="0.3">
      <c r="BG10076" s="387"/>
      <c r="BH10076" s="386"/>
      <c r="BI10076" s="386"/>
      <c r="BJ10076" s="46"/>
    </row>
    <row r="10077" spans="59:62" x14ac:dyDescent="0.3">
      <c r="BG10077" s="387"/>
      <c r="BH10077" s="386"/>
      <c r="BI10077" s="386"/>
      <c r="BJ10077" s="46"/>
    </row>
    <row r="10078" spans="59:62" x14ac:dyDescent="0.3">
      <c r="BG10078" s="387"/>
      <c r="BH10078" s="386"/>
      <c r="BI10078" s="386"/>
      <c r="BJ10078" s="46"/>
    </row>
    <row r="10079" spans="59:62" x14ac:dyDescent="0.3">
      <c r="BG10079" s="387"/>
      <c r="BH10079" s="386"/>
      <c r="BI10079" s="386"/>
      <c r="BJ10079" s="46"/>
    </row>
    <row r="10080" spans="59:62" x14ac:dyDescent="0.3">
      <c r="BG10080" s="387"/>
      <c r="BH10080" s="386"/>
      <c r="BI10080" s="386"/>
      <c r="BJ10080" s="46"/>
    </row>
    <row r="10081" spans="59:62" x14ac:dyDescent="0.3">
      <c r="BG10081" s="387"/>
      <c r="BH10081" s="386"/>
      <c r="BI10081" s="386"/>
      <c r="BJ10081" s="46"/>
    </row>
    <row r="10082" spans="59:62" x14ac:dyDescent="0.3">
      <c r="BG10082" s="387"/>
      <c r="BH10082" s="386"/>
      <c r="BI10082" s="386"/>
      <c r="BJ10082" s="46"/>
    </row>
    <row r="10083" spans="59:62" x14ac:dyDescent="0.3">
      <c r="BG10083" s="387"/>
      <c r="BH10083" s="386"/>
      <c r="BI10083" s="386"/>
      <c r="BJ10083" s="46"/>
    </row>
    <row r="10084" spans="59:62" x14ac:dyDescent="0.3">
      <c r="BG10084" s="387"/>
      <c r="BH10084" s="386"/>
      <c r="BI10084" s="386"/>
      <c r="BJ10084" s="46"/>
    </row>
    <row r="10085" spans="59:62" x14ac:dyDescent="0.3">
      <c r="BG10085" s="387"/>
      <c r="BH10085" s="386"/>
      <c r="BI10085" s="386"/>
      <c r="BJ10085" s="46"/>
    </row>
    <row r="10086" spans="59:62" x14ac:dyDescent="0.3">
      <c r="BG10086" s="387"/>
      <c r="BH10086" s="386"/>
      <c r="BI10086" s="386"/>
      <c r="BJ10086" s="46"/>
    </row>
    <row r="10087" spans="59:62" x14ac:dyDescent="0.3">
      <c r="BG10087" s="387"/>
      <c r="BH10087" s="386"/>
      <c r="BI10087" s="386"/>
      <c r="BJ10087" s="46"/>
    </row>
    <row r="10088" spans="59:62" x14ac:dyDescent="0.3">
      <c r="BG10088" s="387"/>
      <c r="BH10088" s="386"/>
      <c r="BI10088" s="386"/>
      <c r="BJ10088" s="46"/>
    </row>
    <row r="10089" spans="59:62" x14ac:dyDescent="0.3">
      <c r="BG10089" s="387"/>
      <c r="BH10089" s="386"/>
      <c r="BI10089" s="386"/>
      <c r="BJ10089" s="46"/>
    </row>
    <row r="10090" spans="59:62" x14ac:dyDescent="0.3">
      <c r="BG10090" s="387"/>
      <c r="BH10090" s="386"/>
      <c r="BI10090" s="386"/>
      <c r="BJ10090" s="46"/>
    </row>
    <row r="10091" spans="59:62" x14ac:dyDescent="0.3">
      <c r="BG10091" s="387"/>
      <c r="BH10091" s="386"/>
      <c r="BI10091" s="386"/>
      <c r="BJ10091" s="46"/>
    </row>
    <row r="10092" spans="59:62" x14ac:dyDescent="0.3">
      <c r="BG10092" s="387"/>
      <c r="BH10092" s="386"/>
      <c r="BI10092" s="386"/>
      <c r="BJ10092" s="46"/>
    </row>
    <row r="10093" spans="59:62" x14ac:dyDescent="0.3">
      <c r="BG10093" s="387"/>
      <c r="BH10093" s="386"/>
      <c r="BI10093" s="386"/>
      <c r="BJ10093" s="46"/>
    </row>
    <row r="10094" spans="59:62" x14ac:dyDescent="0.3">
      <c r="BG10094" s="387"/>
      <c r="BH10094" s="386"/>
      <c r="BI10094" s="386"/>
      <c r="BJ10094" s="46"/>
    </row>
    <row r="10095" spans="59:62" x14ac:dyDescent="0.3">
      <c r="BG10095" s="387"/>
      <c r="BH10095" s="386"/>
      <c r="BI10095" s="386"/>
      <c r="BJ10095" s="46"/>
    </row>
    <row r="10096" spans="59:62" x14ac:dyDescent="0.3">
      <c r="BG10096" s="387"/>
      <c r="BH10096" s="386"/>
      <c r="BI10096" s="386"/>
      <c r="BJ10096" s="46"/>
    </row>
    <row r="10097" spans="59:62" x14ac:dyDescent="0.3">
      <c r="BG10097" s="387"/>
      <c r="BH10097" s="386"/>
      <c r="BI10097" s="386"/>
      <c r="BJ10097" s="46"/>
    </row>
    <row r="10098" spans="59:62" x14ac:dyDescent="0.3">
      <c r="BG10098" s="387"/>
      <c r="BH10098" s="386"/>
      <c r="BI10098" s="386"/>
      <c r="BJ10098" s="46"/>
    </row>
    <row r="10099" spans="59:62" x14ac:dyDescent="0.3">
      <c r="BG10099" s="387"/>
      <c r="BH10099" s="386"/>
      <c r="BI10099" s="386"/>
      <c r="BJ10099" s="46"/>
    </row>
    <row r="10100" spans="59:62" x14ac:dyDescent="0.3">
      <c r="BG10100" s="387"/>
      <c r="BH10100" s="386"/>
      <c r="BI10100" s="386"/>
      <c r="BJ10100" s="46"/>
    </row>
    <row r="10101" spans="59:62" x14ac:dyDescent="0.3">
      <c r="BG10101" s="387"/>
      <c r="BH10101" s="386"/>
      <c r="BI10101" s="386"/>
      <c r="BJ10101" s="46"/>
    </row>
    <row r="10102" spans="59:62" x14ac:dyDescent="0.3">
      <c r="BG10102" s="387"/>
      <c r="BH10102" s="386"/>
      <c r="BI10102" s="386"/>
      <c r="BJ10102" s="46"/>
    </row>
    <row r="10103" spans="59:62" x14ac:dyDescent="0.3">
      <c r="BG10103" s="387"/>
      <c r="BH10103" s="386"/>
      <c r="BI10103" s="386"/>
      <c r="BJ10103" s="46"/>
    </row>
    <row r="10104" spans="59:62" x14ac:dyDescent="0.3">
      <c r="BG10104" s="387"/>
      <c r="BH10104" s="386"/>
      <c r="BI10104" s="386"/>
      <c r="BJ10104" s="46"/>
    </row>
    <row r="10105" spans="59:62" x14ac:dyDescent="0.3">
      <c r="BG10105" s="387"/>
      <c r="BH10105" s="386"/>
      <c r="BI10105" s="386"/>
      <c r="BJ10105" s="46"/>
    </row>
    <row r="10106" spans="59:62" x14ac:dyDescent="0.3">
      <c r="BG10106" s="387"/>
      <c r="BH10106" s="386"/>
      <c r="BI10106" s="386"/>
      <c r="BJ10106" s="46"/>
    </row>
    <row r="10107" spans="59:62" x14ac:dyDescent="0.3">
      <c r="BG10107" s="387"/>
      <c r="BH10107" s="386"/>
      <c r="BI10107" s="386"/>
      <c r="BJ10107" s="46"/>
    </row>
    <row r="10108" spans="59:62" x14ac:dyDescent="0.3">
      <c r="BG10108" s="387"/>
      <c r="BH10108" s="386"/>
      <c r="BI10108" s="386"/>
      <c r="BJ10108" s="46"/>
    </row>
    <row r="10109" spans="59:62" x14ac:dyDescent="0.3">
      <c r="BG10109" s="387"/>
      <c r="BH10109" s="386"/>
      <c r="BI10109" s="386"/>
      <c r="BJ10109" s="46"/>
    </row>
    <row r="10110" spans="59:62" x14ac:dyDescent="0.3">
      <c r="BG10110" s="387"/>
      <c r="BH10110" s="386"/>
      <c r="BI10110" s="386"/>
      <c r="BJ10110" s="46"/>
    </row>
    <row r="10111" spans="59:62" x14ac:dyDescent="0.3">
      <c r="BG10111" s="387"/>
      <c r="BH10111" s="386"/>
      <c r="BI10111" s="386"/>
      <c r="BJ10111" s="46"/>
    </row>
    <row r="10112" spans="59:62" x14ac:dyDescent="0.3">
      <c r="BG10112" s="387"/>
      <c r="BH10112" s="386"/>
      <c r="BI10112" s="386"/>
      <c r="BJ10112" s="46"/>
    </row>
    <row r="10113" spans="59:62" x14ac:dyDescent="0.3">
      <c r="BG10113" s="387"/>
      <c r="BH10113" s="386"/>
      <c r="BI10113" s="386"/>
      <c r="BJ10113" s="46"/>
    </row>
    <row r="10114" spans="59:62" x14ac:dyDescent="0.3">
      <c r="BG10114" s="387"/>
      <c r="BH10114" s="386"/>
      <c r="BI10114" s="386"/>
      <c r="BJ10114" s="46"/>
    </row>
    <row r="10115" spans="59:62" x14ac:dyDescent="0.3">
      <c r="BG10115" s="387"/>
      <c r="BH10115" s="386"/>
      <c r="BI10115" s="386"/>
      <c r="BJ10115" s="46"/>
    </row>
    <row r="10116" spans="59:62" x14ac:dyDescent="0.3">
      <c r="BG10116" s="387"/>
      <c r="BH10116" s="386"/>
      <c r="BI10116" s="386"/>
      <c r="BJ10116" s="46"/>
    </row>
    <row r="10117" spans="59:62" x14ac:dyDescent="0.3">
      <c r="BG10117" s="387"/>
      <c r="BH10117" s="386"/>
      <c r="BI10117" s="386"/>
      <c r="BJ10117" s="46"/>
    </row>
    <row r="10118" spans="59:62" x14ac:dyDescent="0.3">
      <c r="BG10118" s="387"/>
      <c r="BH10118" s="386"/>
      <c r="BI10118" s="386"/>
      <c r="BJ10118" s="46"/>
    </row>
    <row r="10119" spans="59:62" x14ac:dyDescent="0.3">
      <c r="BG10119" s="387"/>
      <c r="BH10119" s="386"/>
      <c r="BI10119" s="386"/>
      <c r="BJ10119" s="46"/>
    </row>
    <row r="10120" spans="59:62" x14ac:dyDescent="0.3">
      <c r="BG10120" s="387"/>
      <c r="BH10120" s="386"/>
      <c r="BI10120" s="386"/>
      <c r="BJ10120" s="46"/>
    </row>
    <row r="10121" spans="59:62" x14ac:dyDescent="0.3">
      <c r="BG10121" s="387"/>
      <c r="BH10121" s="386"/>
      <c r="BI10121" s="386"/>
      <c r="BJ10121" s="46"/>
    </row>
    <row r="10122" spans="59:62" x14ac:dyDescent="0.3">
      <c r="BG10122" s="387"/>
      <c r="BH10122" s="386"/>
      <c r="BI10122" s="386"/>
      <c r="BJ10122" s="46"/>
    </row>
    <row r="10123" spans="59:62" x14ac:dyDescent="0.3">
      <c r="BG10123" s="387"/>
      <c r="BH10123" s="386"/>
      <c r="BI10123" s="386"/>
      <c r="BJ10123" s="46"/>
    </row>
    <row r="10124" spans="59:62" x14ac:dyDescent="0.3">
      <c r="BG10124" s="387"/>
      <c r="BH10124" s="386"/>
      <c r="BI10124" s="386"/>
      <c r="BJ10124" s="46"/>
    </row>
    <row r="10125" spans="59:62" x14ac:dyDescent="0.3">
      <c r="BG10125" s="387"/>
      <c r="BH10125" s="386"/>
      <c r="BI10125" s="386"/>
      <c r="BJ10125" s="46"/>
    </row>
    <row r="10126" spans="59:62" x14ac:dyDescent="0.3">
      <c r="BG10126" s="387"/>
      <c r="BH10126" s="386"/>
      <c r="BI10126" s="386"/>
      <c r="BJ10126" s="46"/>
    </row>
    <row r="10127" spans="59:62" x14ac:dyDescent="0.3">
      <c r="BG10127" s="387"/>
      <c r="BH10127" s="386"/>
      <c r="BI10127" s="386"/>
      <c r="BJ10127" s="46"/>
    </row>
    <row r="10128" spans="59:62" x14ac:dyDescent="0.3">
      <c r="BG10128" s="387"/>
      <c r="BH10128" s="386"/>
      <c r="BI10128" s="386"/>
      <c r="BJ10128" s="46"/>
    </row>
    <row r="10129" spans="59:62" x14ac:dyDescent="0.3">
      <c r="BG10129" s="387"/>
      <c r="BH10129" s="386"/>
      <c r="BI10129" s="386"/>
      <c r="BJ10129" s="46"/>
    </row>
    <row r="10130" spans="59:62" x14ac:dyDescent="0.3">
      <c r="BG10130" s="387"/>
      <c r="BH10130" s="386"/>
      <c r="BI10130" s="386"/>
      <c r="BJ10130" s="46"/>
    </row>
    <row r="10131" spans="59:62" x14ac:dyDescent="0.3">
      <c r="BG10131" s="387"/>
      <c r="BH10131" s="386"/>
      <c r="BI10131" s="386"/>
      <c r="BJ10131" s="46"/>
    </row>
    <row r="10132" spans="59:62" x14ac:dyDescent="0.3">
      <c r="BG10132" s="387"/>
      <c r="BH10132" s="386"/>
      <c r="BI10132" s="386"/>
      <c r="BJ10132" s="46"/>
    </row>
    <row r="10133" spans="59:62" x14ac:dyDescent="0.3">
      <c r="BG10133" s="387"/>
      <c r="BH10133" s="386"/>
      <c r="BI10133" s="386"/>
      <c r="BJ10133" s="46"/>
    </row>
    <row r="10134" spans="59:62" x14ac:dyDescent="0.3">
      <c r="BG10134" s="387"/>
      <c r="BH10134" s="386"/>
      <c r="BI10134" s="386"/>
      <c r="BJ10134" s="46"/>
    </row>
    <row r="10135" spans="59:62" x14ac:dyDescent="0.3">
      <c r="BG10135" s="387"/>
      <c r="BH10135" s="386"/>
      <c r="BI10135" s="386"/>
      <c r="BJ10135" s="46"/>
    </row>
    <row r="10136" spans="59:62" x14ac:dyDescent="0.3">
      <c r="BG10136" s="387"/>
      <c r="BH10136" s="386"/>
      <c r="BI10136" s="386"/>
      <c r="BJ10136" s="46"/>
    </row>
    <row r="10137" spans="59:62" x14ac:dyDescent="0.3">
      <c r="BG10137" s="387"/>
      <c r="BH10137" s="386"/>
      <c r="BI10137" s="386"/>
      <c r="BJ10137" s="46"/>
    </row>
    <row r="10138" spans="59:62" x14ac:dyDescent="0.3">
      <c r="BG10138" s="387"/>
      <c r="BH10138" s="386"/>
      <c r="BI10138" s="386"/>
      <c r="BJ10138" s="46"/>
    </row>
    <row r="10139" spans="59:62" x14ac:dyDescent="0.3">
      <c r="BG10139" s="387"/>
      <c r="BH10139" s="386"/>
      <c r="BI10139" s="386"/>
      <c r="BJ10139" s="46"/>
    </row>
    <row r="10140" spans="59:62" x14ac:dyDescent="0.3">
      <c r="BG10140" s="387"/>
      <c r="BH10140" s="386"/>
      <c r="BI10140" s="386"/>
      <c r="BJ10140" s="46"/>
    </row>
    <row r="10141" spans="59:62" x14ac:dyDescent="0.3">
      <c r="BG10141" s="387"/>
      <c r="BH10141" s="386"/>
      <c r="BI10141" s="386"/>
      <c r="BJ10141" s="46"/>
    </row>
    <row r="10142" spans="59:62" x14ac:dyDescent="0.3">
      <c r="BG10142" s="387"/>
      <c r="BH10142" s="386"/>
      <c r="BI10142" s="386"/>
      <c r="BJ10142" s="46"/>
    </row>
    <row r="10143" spans="59:62" x14ac:dyDescent="0.3">
      <c r="BG10143" s="387"/>
      <c r="BH10143" s="386"/>
      <c r="BI10143" s="386"/>
      <c r="BJ10143" s="46"/>
    </row>
    <row r="10144" spans="59:62" x14ac:dyDescent="0.3">
      <c r="BG10144" s="387"/>
      <c r="BH10144" s="386"/>
      <c r="BI10144" s="386"/>
      <c r="BJ10144" s="46"/>
    </row>
    <row r="10145" spans="59:62" x14ac:dyDescent="0.3">
      <c r="BG10145" s="387"/>
      <c r="BH10145" s="386"/>
      <c r="BI10145" s="386"/>
      <c r="BJ10145" s="46"/>
    </row>
    <row r="10146" spans="59:62" x14ac:dyDescent="0.3">
      <c r="BG10146" s="387"/>
      <c r="BH10146" s="386"/>
      <c r="BI10146" s="386"/>
      <c r="BJ10146" s="46"/>
    </row>
    <row r="10147" spans="59:62" x14ac:dyDescent="0.3">
      <c r="BG10147" s="387"/>
      <c r="BH10147" s="386"/>
      <c r="BI10147" s="386"/>
      <c r="BJ10147" s="46"/>
    </row>
    <row r="10148" spans="59:62" x14ac:dyDescent="0.3">
      <c r="BG10148" s="387"/>
      <c r="BH10148" s="386"/>
      <c r="BI10148" s="386"/>
      <c r="BJ10148" s="46"/>
    </row>
    <row r="10149" spans="59:62" x14ac:dyDescent="0.3">
      <c r="BG10149" s="387"/>
      <c r="BH10149" s="386"/>
      <c r="BI10149" s="386"/>
      <c r="BJ10149" s="46"/>
    </row>
    <row r="10150" spans="59:62" x14ac:dyDescent="0.3">
      <c r="BG10150" s="387"/>
      <c r="BH10150" s="386"/>
      <c r="BI10150" s="386"/>
      <c r="BJ10150" s="46"/>
    </row>
    <row r="10151" spans="59:62" x14ac:dyDescent="0.3">
      <c r="BG10151" s="387"/>
      <c r="BH10151" s="386"/>
      <c r="BI10151" s="386"/>
      <c r="BJ10151" s="46"/>
    </row>
    <row r="10152" spans="59:62" x14ac:dyDescent="0.3">
      <c r="BG10152" s="387"/>
      <c r="BH10152" s="386"/>
      <c r="BI10152" s="386"/>
      <c r="BJ10152" s="46"/>
    </row>
    <row r="10153" spans="59:62" x14ac:dyDescent="0.3">
      <c r="BG10153" s="387"/>
      <c r="BH10153" s="386"/>
      <c r="BI10153" s="386"/>
      <c r="BJ10153" s="46"/>
    </row>
    <row r="10154" spans="59:62" x14ac:dyDescent="0.3">
      <c r="BG10154" s="387"/>
      <c r="BH10154" s="386"/>
      <c r="BI10154" s="386"/>
      <c r="BJ10154" s="46"/>
    </row>
    <row r="10155" spans="59:62" x14ac:dyDescent="0.3">
      <c r="BG10155" s="387"/>
      <c r="BH10155" s="386"/>
      <c r="BI10155" s="386"/>
      <c r="BJ10155" s="46"/>
    </row>
    <row r="10156" spans="59:62" x14ac:dyDescent="0.3">
      <c r="BG10156" s="387"/>
      <c r="BH10156" s="386"/>
      <c r="BI10156" s="386"/>
      <c r="BJ10156" s="46"/>
    </row>
    <row r="10157" spans="59:62" x14ac:dyDescent="0.3">
      <c r="BG10157" s="387"/>
      <c r="BH10157" s="386"/>
      <c r="BI10157" s="386"/>
      <c r="BJ10157" s="46"/>
    </row>
    <row r="10158" spans="59:62" x14ac:dyDescent="0.3">
      <c r="BG10158" s="387"/>
      <c r="BH10158" s="386"/>
      <c r="BI10158" s="386"/>
      <c r="BJ10158" s="46"/>
    </row>
    <row r="10159" spans="59:62" x14ac:dyDescent="0.3">
      <c r="BG10159" s="387"/>
      <c r="BH10159" s="386"/>
      <c r="BI10159" s="386"/>
      <c r="BJ10159" s="46"/>
    </row>
    <row r="10160" spans="59:62" x14ac:dyDescent="0.3">
      <c r="BG10160" s="387"/>
      <c r="BH10160" s="386"/>
      <c r="BI10160" s="386"/>
      <c r="BJ10160" s="46"/>
    </row>
    <row r="10161" spans="59:62" x14ac:dyDescent="0.3">
      <c r="BG10161" s="387"/>
      <c r="BH10161" s="386"/>
      <c r="BI10161" s="386"/>
      <c r="BJ10161" s="46"/>
    </row>
    <row r="10162" spans="59:62" x14ac:dyDescent="0.3">
      <c r="BG10162" s="387"/>
      <c r="BH10162" s="386"/>
      <c r="BI10162" s="386"/>
      <c r="BJ10162" s="46"/>
    </row>
    <row r="10163" spans="59:62" x14ac:dyDescent="0.3">
      <c r="BG10163" s="387"/>
      <c r="BH10163" s="386"/>
      <c r="BI10163" s="386"/>
      <c r="BJ10163" s="46"/>
    </row>
    <row r="10164" spans="59:62" x14ac:dyDescent="0.3">
      <c r="BG10164" s="387"/>
      <c r="BH10164" s="386"/>
      <c r="BI10164" s="386"/>
      <c r="BJ10164" s="46"/>
    </row>
    <row r="10165" spans="59:62" x14ac:dyDescent="0.3">
      <c r="BG10165" s="387"/>
      <c r="BH10165" s="386"/>
      <c r="BI10165" s="386"/>
      <c r="BJ10165" s="46"/>
    </row>
    <row r="10166" spans="59:62" x14ac:dyDescent="0.3">
      <c r="BG10166" s="387"/>
      <c r="BH10166" s="386"/>
      <c r="BI10166" s="386"/>
      <c r="BJ10166" s="46"/>
    </row>
    <row r="10167" spans="59:62" x14ac:dyDescent="0.3">
      <c r="BG10167" s="387"/>
      <c r="BH10167" s="386"/>
      <c r="BI10167" s="386"/>
      <c r="BJ10167" s="46"/>
    </row>
    <row r="10168" spans="59:62" x14ac:dyDescent="0.3">
      <c r="BG10168" s="387"/>
      <c r="BH10168" s="386"/>
      <c r="BI10168" s="386"/>
      <c r="BJ10168" s="46"/>
    </row>
    <row r="10169" spans="59:62" x14ac:dyDescent="0.3">
      <c r="BG10169" s="387"/>
      <c r="BH10169" s="386"/>
      <c r="BI10169" s="386"/>
      <c r="BJ10169" s="46"/>
    </row>
    <row r="10170" spans="59:62" x14ac:dyDescent="0.3">
      <c r="BG10170" s="387"/>
      <c r="BH10170" s="386"/>
      <c r="BI10170" s="386"/>
      <c r="BJ10170" s="46"/>
    </row>
    <row r="10171" spans="59:62" x14ac:dyDescent="0.3">
      <c r="BG10171" s="387"/>
      <c r="BH10171" s="386"/>
      <c r="BI10171" s="386"/>
      <c r="BJ10171" s="46"/>
    </row>
    <row r="10172" spans="59:62" x14ac:dyDescent="0.3">
      <c r="BG10172" s="387"/>
      <c r="BH10172" s="386"/>
      <c r="BI10172" s="386"/>
      <c r="BJ10172" s="46"/>
    </row>
    <row r="10173" spans="59:62" x14ac:dyDescent="0.3">
      <c r="BG10173" s="387"/>
      <c r="BH10173" s="386"/>
      <c r="BI10173" s="386"/>
      <c r="BJ10173" s="46"/>
    </row>
    <row r="10174" spans="59:62" x14ac:dyDescent="0.3">
      <c r="BG10174" s="387"/>
      <c r="BH10174" s="386"/>
      <c r="BI10174" s="386"/>
      <c r="BJ10174" s="46"/>
    </row>
    <row r="10175" spans="59:62" x14ac:dyDescent="0.3">
      <c r="BG10175" s="387"/>
      <c r="BH10175" s="386"/>
      <c r="BI10175" s="386"/>
      <c r="BJ10175" s="46"/>
    </row>
    <row r="10176" spans="59:62" x14ac:dyDescent="0.3">
      <c r="BG10176" s="387"/>
      <c r="BH10176" s="386"/>
      <c r="BI10176" s="386"/>
      <c r="BJ10176" s="46"/>
    </row>
    <row r="10177" spans="59:62" x14ac:dyDescent="0.3">
      <c r="BG10177" s="387"/>
      <c r="BH10177" s="386"/>
      <c r="BI10177" s="386"/>
      <c r="BJ10177" s="46"/>
    </row>
    <row r="10178" spans="59:62" x14ac:dyDescent="0.3">
      <c r="BG10178" s="387"/>
      <c r="BH10178" s="386"/>
      <c r="BI10178" s="386"/>
      <c r="BJ10178" s="46"/>
    </row>
    <row r="10179" spans="59:62" x14ac:dyDescent="0.3">
      <c r="BG10179" s="387"/>
      <c r="BH10179" s="386"/>
      <c r="BI10179" s="386"/>
      <c r="BJ10179" s="46"/>
    </row>
    <row r="10180" spans="59:62" x14ac:dyDescent="0.3">
      <c r="BG10180" s="387"/>
      <c r="BH10180" s="386"/>
      <c r="BI10180" s="386"/>
      <c r="BJ10180" s="46"/>
    </row>
    <row r="10181" spans="59:62" x14ac:dyDescent="0.3">
      <c r="BG10181" s="387"/>
      <c r="BH10181" s="386"/>
      <c r="BI10181" s="386"/>
      <c r="BJ10181" s="46"/>
    </row>
    <row r="10182" spans="59:62" x14ac:dyDescent="0.3">
      <c r="BG10182" s="387"/>
      <c r="BH10182" s="386"/>
      <c r="BI10182" s="386"/>
      <c r="BJ10182" s="46"/>
    </row>
    <row r="10183" spans="59:62" x14ac:dyDescent="0.3">
      <c r="BG10183" s="387"/>
      <c r="BH10183" s="386"/>
      <c r="BI10183" s="386"/>
      <c r="BJ10183" s="46"/>
    </row>
    <row r="10184" spans="59:62" x14ac:dyDescent="0.3">
      <c r="BG10184" s="387"/>
      <c r="BH10184" s="386"/>
      <c r="BI10184" s="386"/>
      <c r="BJ10184" s="46"/>
    </row>
    <row r="10185" spans="59:62" x14ac:dyDescent="0.3">
      <c r="BG10185" s="387"/>
      <c r="BH10185" s="386"/>
      <c r="BI10185" s="386"/>
      <c r="BJ10185" s="46"/>
    </row>
    <row r="10186" spans="59:62" x14ac:dyDescent="0.3">
      <c r="BG10186" s="387"/>
      <c r="BH10186" s="386"/>
      <c r="BI10186" s="386"/>
      <c r="BJ10186" s="46"/>
    </row>
    <row r="10187" spans="59:62" x14ac:dyDescent="0.3">
      <c r="BG10187" s="387"/>
      <c r="BH10187" s="386"/>
      <c r="BI10187" s="386"/>
      <c r="BJ10187" s="46"/>
    </row>
    <row r="10188" spans="59:62" x14ac:dyDescent="0.3">
      <c r="BG10188" s="387"/>
      <c r="BH10188" s="386"/>
      <c r="BI10188" s="386"/>
      <c r="BJ10188" s="46"/>
    </row>
    <row r="10189" spans="59:62" x14ac:dyDescent="0.3">
      <c r="BG10189" s="387"/>
      <c r="BH10189" s="386"/>
      <c r="BI10189" s="386"/>
      <c r="BJ10189" s="46"/>
    </row>
    <row r="10190" spans="59:62" x14ac:dyDescent="0.3">
      <c r="BG10190" s="387"/>
      <c r="BH10190" s="386"/>
      <c r="BI10190" s="386"/>
      <c r="BJ10190" s="46"/>
    </row>
    <row r="10191" spans="59:62" x14ac:dyDescent="0.3">
      <c r="BG10191" s="387"/>
      <c r="BH10191" s="386"/>
      <c r="BI10191" s="386"/>
      <c r="BJ10191" s="46"/>
    </row>
    <row r="10192" spans="59:62" x14ac:dyDescent="0.3">
      <c r="BG10192" s="387"/>
      <c r="BH10192" s="386"/>
      <c r="BI10192" s="386"/>
      <c r="BJ10192" s="46"/>
    </row>
    <row r="10193" spans="59:62" x14ac:dyDescent="0.3">
      <c r="BG10193" s="387"/>
      <c r="BH10193" s="386"/>
      <c r="BI10193" s="386"/>
      <c r="BJ10193" s="46"/>
    </row>
    <row r="10194" spans="59:62" x14ac:dyDescent="0.3">
      <c r="BG10194" s="387"/>
      <c r="BH10194" s="386"/>
      <c r="BI10194" s="386"/>
      <c r="BJ10194" s="46"/>
    </row>
    <row r="10195" spans="59:62" x14ac:dyDescent="0.3">
      <c r="BG10195" s="387"/>
      <c r="BH10195" s="386"/>
      <c r="BI10195" s="386"/>
      <c r="BJ10195" s="46"/>
    </row>
    <row r="10196" spans="59:62" x14ac:dyDescent="0.3">
      <c r="BG10196" s="387"/>
      <c r="BH10196" s="386"/>
      <c r="BI10196" s="386"/>
      <c r="BJ10196" s="46"/>
    </row>
    <row r="10197" spans="59:62" x14ac:dyDescent="0.3">
      <c r="BG10197" s="387"/>
      <c r="BH10197" s="386"/>
      <c r="BI10197" s="386"/>
      <c r="BJ10197" s="46"/>
    </row>
    <row r="10198" spans="59:62" x14ac:dyDescent="0.3">
      <c r="BG10198" s="387"/>
      <c r="BH10198" s="386"/>
      <c r="BI10198" s="386"/>
      <c r="BJ10198" s="46"/>
    </row>
    <row r="10199" spans="59:62" x14ac:dyDescent="0.3">
      <c r="BG10199" s="387"/>
      <c r="BH10199" s="386"/>
      <c r="BI10199" s="386"/>
      <c r="BJ10199" s="46"/>
    </row>
    <row r="10200" spans="59:62" x14ac:dyDescent="0.3">
      <c r="BG10200" s="387"/>
      <c r="BH10200" s="386"/>
      <c r="BI10200" s="386"/>
      <c r="BJ10200" s="46"/>
    </row>
    <row r="10201" spans="59:62" x14ac:dyDescent="0.3">
      <c r="BG10201" s="387"/>
      <c r="BH10201" s="386"/>
      <c r="BI10201" s="386"/>
      <c r="BJ10201" s="46"/>
    </row>
    <row r="10202" spans="59:62" x14ac:dyDescent="0.3">
      <c r="BG10202" s="387"/>
      <c r="BH10202" s="386"/>
      <c r="BI10202" s="386"/>
      <c r="BJ10202" s="46"/>
    </row>
    <row r="10203" spans="59:62" x14ac:dyDescent="0.3">
      <c r="BG10203" s="387"/>
      <c r="BH10203" s="386"/>
      <c r="BI10203" s="386"/>
      <c r="BJ10203" s="46"/>
    </row>
    <row r="10204" spans="59:62" x14ac:dyDescent="0.3">
      <c r="BG10204" s="387"/>
      <c r="BH10204" s="386"/>
      <c r="BI10204" s="386"/>
      <c r="BJ10204" s="46"/>
    </row>
    <row r="10205" spans="59:62" x14ac:dyDescent="0.3">
      <c r="BG10205" s="387"/>
      <c r="BH10205" s="386"/>
      <c r="BI10205" s="386"/>
      <c r="BJ10205" s="46"/>
    </row>
    <row r="10206" spans="59:62" x14ac:dyDescent="0.3">
      <c r="BG10206" s="387"/>
      <c r="BH10206" s="386"/>
      <c r="BI10206" s="386"/>
      <c r="BJ10206" s="46"/>
    </row>
    <row r="10207" spans="59:62" x14ac:dyDescent="0.3">
      <c r="BG10207" s="387"/>
      <c r="BH10207" s="386"/>
      <c r="BI10207" s="386"/>
      <c r="BJ10207" s="46"/>
    </row>
    <row r="10208" spans="59:62" x14ac:dyDescent="0.3">
      <c r="BG10208" s="387"/>
      <c r="BH10208" s="386"/>
      <c r="BI10208" s="386"/>
      <c r="BJ10208" s="46"/>
    </row>
    <row r="10209" spans="59:62" x14ac:dyDescent="0.3">
      <c r="BG10209" s="387"/>
      <c r="BH10209" s="386"/>
      <c r="BI10209" s="386"/>
      <c r="BJ10209" s="46"/>
    </row>
    <row r="10210" spans="59:62" x14ac:dyDescent="0.3">
      <c r="BG10210" s="387"/>
      <c r="BH10210" s="386"/>
      <c r="BI10210" s="386"/>
      <c r="BJ10210" s="46"/>
    </row>
    <row r="10211" spans="59:62" x14ac:dyDescent="0.3">
      <c r="BG10211" s="387"/>
      <c r="BH10211" s="386"/>
      <c r="BI10211" s="386"/>
      <c r="BJ10211" s="46"/>
    </row>
    <row r="10212" spans="59:62" x14ac:dyDescent="0.3">
      <c r="BG10212" s="387"/>
      <c r="BH10212" s="386"/>
      <c r="BI10212" s="386"/>
      <c r="BJ10212" s="46"/>
    </row>
    <row r="10213" spans="59:62" x14ac:dyDescent="0.3">
      <c r="BG10213" s="387"/>
      <c r="BH10213" s="386"/>
      <c r="BI10213" s="386"/>
      <c r="BJ10213" s="46"/>
    </row>
    <row r="10214" spans="59:62" x14ac:dyDescent="0.3">
      <c r="BG10214" s="387"/>
      <c r="BH10214" s="386"/>
      <c r="BI10214" s="386"/>
      <c r="BJ10214" s="46"/>
    </row>
    <row r="10215" spans="59:62" x14ac:dyDescent="0.3">
      <c r="BG10215" s="387"/>
      <c r="BH10215" s="386"/>
      <c r="BI10215" s="386"/>
      <c r="BJ10215" s="46"/>
    </row>
    <row r="10216" spans="59:62" x14ac:dyDescent="0.3">
      <c r="BG10216" s="387"/>
      <c r="BH10216" s="386"/>
      <c r="BI10216" s="386"/>
      <c r="BJ10216" s="46"/>
    </row>
    <row r="10217" spans="59:62" x14ac:dyDescent="0.3">
      <c r="BG10217" s="387"/>
      <c r="BH10217" s="386"/>
      <c r="BI10217" s="386"/>
      <c r="BJ10217" s="46"/>
    </row>
    <row r="10218" spans="59:62" x14ac:dyDescent="0.3">
      <c r="BG10218" s="387"/>
      <c r="BH10218" s="386"/>
      <c r="BI10218" s="386"/>
      <c r="BJ10218" s="46"/>
    </row>
    <row r="10219" spans="59:62" x14ac:dyDescent="0.3">
      <c r="BG10219" s="387"/>
      <c r="BH10219" s="386"/>
      <c r="BI10219" s="386"/>
      <c r="BJ10219" s="46"/>
    </row>
    <row r="10220" spans="59:62" x14ac:dyDescent="0.3">
      <c r="BG10220" s="387"/>
      <c r="BH10220" s="386"/>
      <c r="BI10220" s="386"/>
      <c r="BJ10220" s="46"/>
    </row>
    <row r="10221" spans="59:62" x14ac:dyDescent="0.3">
      <c r="BG10221" s="387"/>
      <c r="BH10221" s="386"/>
      <c r="BI10221" s="386"/>
      <c r="BJ10221" s="46"/>
    </row>
    <row r="10222" spans="59:62" x14ac:dyDescent="0.3">
      <c r="BG10222" s="387"/>
      <c r="BH10222" s="386"/>
      <c r="BI10222" s="386"/>
      <c r="BJ10222" s="46"/>
    </row>
    <row r="10223" spans="59:62" x14ac:dyDescent="0.3">
      <c r="BG10223" s="387"/>
      <c r="BH10223" s="386"/>
      <c r="BI10223" s="386"/>
      <c r="BJ10223" s="46"/>
    </row>
    <row r="10224" spans="59:62" x14ac:dyDescent="0.3">
      <c r="BG10224" s="387"/>
      <c r="BH10224" s="386"/>
      <c r="BI10224" s="386"/>
      <c r="BJ10224" s="46"/>
    </row>
    <row r="10225" spans="59:62" x14ac:dyDescent="0.3">
      <c r="BG10225" s="387"/>
      <c r="BH10225" s="386"/>
      <c r="BI10225" s="386"/>
      <c r="BJ10225" s="46"/>
    </row>
    <row r="10226" spans="59:62" x14ac:dyDescent="0.3">
      <c r="BG10226" s="387"/>
      <c r="BH10226" s="386"/>
      <c r="BI10226" s="386"/>
      <c r="BJ10226" s="46"/>
    </row>
    <row r="10227" spans="59:62" x14ac:dyDescent="0.3">
      <c r="BG10227" s="387"/>
      <c r="BH10227" s="386"/>
      <c r="BI10227" s="386"/>
      <c r="BJ10227" s="46"/>
    </row>
    <row r="10228" spans="59:62" x14ac:dyDescent="0.3">
      <c r="BG10228" s="387"/>
      <c r="BH10228" s="386"/>
      <c r="BI10228" s="386"/>
      <c r="BJ10228" s="46"/>
    </row>
    <row r="10229" spans="59:62" x14ac:dyDescent="0.3">
      <c r="BG10229" s="387"/>
      <c r="BH10229" s="386"/>
      <c r="BI10229" s="386"/>
      <c r="BJ10229" s="46"/>
    </row>
    <row r="10230" spans="59:62" x14ac:dyDescent="0.3">
      <c r="BG10230" s="387"/>
      <c r="BH10230" s="386"/>
      <c r="BI10230" s="386"/>
      <c r="BJ10230" s="46"/>
    </row>
    <row r="10231" spans="59:62" x14ac:dyDescent="0.3">
      <c r="BG10231" s="387"/>
      <c r="BH10231" s="386"/>
      <c r="BI10231" s="386"/>
      <c r="BJ10231" s="46"/>
    </row>
    <row r="10232" spans="59:62" x14ac:dyDescent="0.3">
      <c r="BG10232" s="387"/>
      <c r="BH10232" s="386"/>
      <c r="BI10232" s="386"/>
      <c r="BJ10232" s="46"/>
    </row>
    <row r="10233" spans="59:62" x14ac:dyDescent="0.3">
      <c r="BG10233" s="387"/>
      <c r="BH10233" s="386"/>
      <c r="BI10233" s="386"/>
      <c r="BJ10233" s="46"/>
    </row>
    <row r="10234" spans="59:62" x14ac:dyDescent="0.3">
      <c r="BG10234" s="387"/>
      <c r="BH10234" s="386"/>
      <c r="BI10234" s="386"/>
      <c r="BJ10234" s="46"/>
    </row>
    <row r="10235" spans="59:62" x14ac:dyDescent="0.3">
      <c r="BG10235" s="387"/>
      <c r="BH10235" s="386"/>
      <c r="BI10235" s="386"/>
      <c r="BJ10235" s="46"/>
    </row>
    <row r="10236" spans="59:62" x14ac:dyDescent="0.3">
      <c r="BG10236" s="387"/>
      <c r="BH10236" s="386"/>
      <c r="BI10236" s="386"/>
      <c r="BJ10236" s="46"/>
    </row>
    <row r="10237" spans="59:62" x14ac:dyDescent="0.3">
      <c r="BG10237" s="387"/>
      <c r="BH10237" s="386"/>
      <c r="BI10237" s="386"/>
      <c r="BJ10237" s="46"/>
    </row>
    <row r="10238" spans="59:62" x14ac:dyDescent="0.3">
      <c r="BG10238" s="387"/>
      <c r="BH10238" s="386"/>
      <c r="BI10238" s="386"/>
      <c r="BJ10238" s="46"/>
    </row>
    <row r="10239" spans="59:62" x14ac:dyDescent="0.3">
      <c r="BG10239" s="387"/>
      <c r="BH10239" s="386"/>
      <c r="BI10239" s="386"/>
      <c r="BJ10239" s="46"/>
    </row>
    <row r="10240" spans="59:62" x14ac:dyDescent="0.3">
      <c r="BG10240" s="387"/>
      <c r="BH10240" s="386"/>
      <c r="BI10240" s="386"/>
      <c r="BJ10240" s="46"/>
    </row>
    <row r="10241" spans="59:62" x14ac:dyDescent="0.3">
      <c r="BG10241" s="387"/>
      <c r="BH10241" s="386"/>
      <c r="BI10241" s="386"/>
      <c r="BJ10241" s="46"/>
    </row>
    <row r="10242" spans="59:62" x14ac:dyDescent="0.3">
      <c r="BG10242" s="387"/>
      <c r="BH10242" s="386"/>
      <c r="BI10242" s="386"/>
      <c r="BJ10242" s="46"/>
    </row>
    <row r="10243" spans="59:62" x14ac:dyDescent="0.3">
      <c r="BG10243" s="387"/>
      <c r="BH10243" s="386"/>
      <c r="BI10243" s="386"/>
      <c r="BJ10243" s="46"/>
    </row>
    <row r="10244" spans="59:62" x14ac:dyDescent="0.3">
      <c r="BG10244" s="387"/>
      <c r="BH10244" s="386"/>
      <c r="BI10244" s="386"/>
      <c r="BJ10244" s="46"/>
    </row>
    <row r="10245" spans="59:62" x14ac:dyDescent="0.3">
      <c r="BG10245" s="387"/>
      <c r="BH10245" s="386"/>
      <c r="BI10245" s="386"/>
      <c r="BJ10245" s="46"/>
    </row>
    <row r="10246" spans="59:62" x14ac:dyDescent="0.3">
      <c r="BG10246" s="387"/>
      <c r="BH10246" s="386"/>
      <c r="BI10246" s="386"/>
      <c r="BJ10246" s="46"/>
    </row>
    <row r="10247" spans="59:62" x14ac:dyDescent="0.3">
      <c r="BG10247" s="387"/>
      <c r="BH10247" s="386"/>
      <c r="BI10247" s="386"/>
      <c r="BJ10247" s="46"/>
    </row>
    <row r="10248" spans="59:62" x14ac:dyDescent="0.3">
      <c r="BG10248" s="387"/>
      <c r="BH10248" s="386"/>
      <c r="BI10248" s="386"/>
      <c r="BJ10248" s="46"/>
    </row>
    <row r="10249" spans="59:62" x14ac:dyDescent="0.3">
      <c r="BG10249" s="387"/>
      <c r="BH10249" s="386"/>
      <c r="BI10249" s="386"/>
      <c r="BJ10249" s="46"/>
    </row>
    <row r="10250" spans="59:62" x14ac:dyDescent="0.3">
      <c r="BG10250" s="387"/>
      <c r="BH10250" s="386"/>
      <c r="BI10250" s="386"/>
      <c r="BJ10250" s="46"/>
    </row>
    <row r="10251" spans="59:62" x14ac:dyDescent="0.3">
      <c r="BG10251" s="387"/>
      <c r="BH10251" s="386"/>
      <c r="BI10251" s="386"/>
      <c r="BJ10251" s="46"/>
    </row>
    <row r="10252" spans="59:62" x14ac:dyDescent="0.3">
      <c r="BG10252" s="387"/>
      <c r="BH10252" s="386"/>
      <c r="BI10252" s="386"/>
      <c r="BJ10252" s="46"/>
    </row>
    <row r="10253" spans="59:62" x14ac:dyDescent="0.3">
      <c r="BG10253" s="387"/>
      <c r="BH10253" s="386"/>
      <c r="BI10253" s="386"/>
      <c r="BJ10253" s="46"/>
    </row>
    <row r="10254" spans="59:62" x14ac:dyDescent="0.3">
      <c r="BG10254" s="387"/>
      <c r="BH10254" s="386"/>
      <c r="BI10254" s="386"/>
      <c r="BJ10254" s="46"/>
    </row>
    <row r="10255" spans="59:62" x14ac:dyDescent="0.3">
      <c r="BG10255" s="387"/>
      <c r="BH10255" s="386"/>
      <c r="BI10255" s="386"/>
      <c r="BJ10255" s="46"/>
    </row>
    <row r="10256" spans="59:62" x14ac:dyDescent="0.3">
      <c r="BG10256" s="387"/>
      <c r="BH10256" s="386"/>
      <c r="BI10256" s="386"/>
      <c r="BJ10256" s="46"/>
    </row>
    <row r="10257" spans="59:62" x14ac:dyDescent="0.3">
      <c r="BG10257" s="387"/>
      <c r="BH10257" s="386"/>
      <c r="BI10257" s="386"/>
      <c r="BJ10257" s="46"/>
    </row>
    <row r="10258" spans="59:62" x14ac:dyDescent="0.3">
      <c r="BG10258" s="387"/>
      <c r="BH10258" s="386"/>
      <c r="BI10258" s="386"/>
      <c r="BJ10258" s="46"/>
    </row>
    <row r="10259" spans="59:62" x14ac:dyDescent="0.3">
      <c r="BG10259" s="387"/>
      <c r="BH10259" s="386"/>
      <c r="BI10259" s="386"/>
      <c r="BJ10259" s="46"/>
    </row>
    <row r="10260" spans="59:62" x14ac:dyDescent="0.3">
      <c r="BG10260" s="387"/>
      <c r="BH10260" s="386"/>
      <c r="BI10260" s="386"/>
      <c r="BJ10260" s="46"/>
    </row>
    <row r="10261" spans="59:62" x14ac:dyDescent="0.3">
      <c r="BG10261" s="387"/>
      <c r="BH10261" s="386"/>
      <c r="BI10261" s="386"/>
      <c r="BJ10261" s="46"/>
    </row>
    <row r="10262" spans="59:62" x14ac:dyDescent="0.3">
      <c r="BG10262" s="387"/>
      <c r="BH10262" s="386"/>
      <c r="BI10262" s="386"/>
      <c r="BJ10262" s="46"/>
    </row>
    <row r="10263" spans="59:62" x14ac:dyDescent="0.3">
      <c r="BG10263" s="387"/>
      <c r="BH10263" s="386"/>
      <c r="BI10263" s="386"/>
      <c r="BJ10263" s="46"/>
    </row>
    <row r="10264" spans="59:62" x14ac:dyDescent="0.3">
      <c r="BG10264" s="387"/>
      <c r="BH10264" s="386"/>
      <c r="BI10264" s="386"/>
      <c r="BJ10264" s="46"/>
    </row>
    <row r="10265" spans="59:62" x14ac:dyDescent="0.3">
      <c r="BG10265" s="387"/>
      <c r="BH10265" s="386"/>
      <c r="BI10265" s="386"/>
      <c r="BJ10265" s="46"/>
    </row>
    <row r="10266" spans="59:62" x14ac:dyDescent="0.3">
      <c r="BG10266" s="387"/>
      <c r="BH10266" s="386"/>
      <c r="BI10266" s="386"/>
      <c r="BJ10266" s="46"/>
    </row>
    <row r="10267" spans="59:62" x14ac:dyDescent="0.3">
      <c r="BG10267" s="387"/>
      <c r="BH10267" s="386"/>
      <c r="BI10267" s="386"/>
      <c r="BJ10267" s="46"/>
    </row>
    <row r="10268" spans="59:62" x14ac:dyDescent="0.3">
      <c r="BG10268" s="387"/>
      <c r="BH10268" s="386"/>
      <c r="BI10268" s="386"/>
      <c r="BJ10268" s="46"/>
    </row>
    <row r="10269" spans="59:62" x14ac:dyDescent="0.3">
      <c r="BG10269" s="387"/>
      <c r="BH10269" s="386"/>
      <c r="BI10269" s="386"/>
      <c r="BJ10269" s="46"/>
    </row>
    <row r="10270" spans="59:62" x14ac:dyDescent="0.3">
      <c r="BG10270" s="387"/>
      <c r="BH10270" s="386"/>
      <c r="BI10270" s="386"/>
      <c r="BJ10270" s="46"/>
    </row>
    <row r="10271" spans="59:62" x14ac:dyDescent="0.3">
      <c r="BG10271" s="387"/>
      <c r="BH10271" s="386"/>
      <c r="BI10271" s="386"/>
      <c r="BJ10271" s="46"/>
    </row>
    <row r="10272" spans="59:62" x14ac:dyDescent="0.3">
      <c r="BG10272" s="387"/>
      <c r="BH10272" s="386"/>
      <c r="BI10272" s="386"/>
      <c r="BJ10272" s="46"/>
    </row>
    <row r="10273" spans="59:62" x14ac:dyDescent="0.3">
      <c r="BG10273" s="387"/>
      <c r="BH10273" s="386"/>
      <c r="BI10273" s="386"/>
      <c r="BJ10273" s="46"/>
    </row>
    <row r="10274" spans="59:62" x14ac:dyDescent="0.3">
      <c r="BG10274" s="387"/>
      <c r="BH10274" s="386"/>
      <c r="BI10274" s="386"/>
      <c r="BJ10274" s="46"/>
    </row>
    <row r="10275" spans="59:62" x14ac:dyDescent="0.3">
      <c r="BG10275" s="387"/>
      <c r="BH10275" s="386"/>
      <c r="BI10275" s="386"/>
      <c r="BJ10275" s="46"/>
    </row>
    <row r="10276" spans="59:62" x14ac:dyDescent="0.3">
      <c r="BG10276" s="387"/>
      <c r="BH10276" s="386"/>
      <c r="BI10276" s="386"/>
      <c r="BJ10276" s="46"/>
    </row>
    <row r="10277" spans="59:62" x14ac:dyDescent="0.3">
      <c r="BG10277" s="387"/>
      <c r="BH10277" s="386"/>
      <c r="BI10277" s="386"/>
      <c r="BJ10277" s="46"/>
    </row>
    <row r="10278" spans="59:62" x14ac:dyDescent="0.3">
      <c r="BG10278" s="387"/>
      <c r="BH10278" s="386"/>
      <c r="BI10278" s="386"/>
      <c r="BJ10278" s="46"/>
    </row>
    <row r="10279" spans="59:62" x14ac:dyDescent="0.3">
      <c r="BG10279" s="387"/>
      <c r="BH10279" s="386"/>
      <c r="BI10279" s="386"/>
      <c r="BJ10279" s="46"/>
    </row>
    <row r="10280" spans="59:62" x14ac:dyDescent="0.3">
      <c r="BG10280" s="387"/>
      <c r="BH10280" s="386"/>
      <c r="BI10280" s="386"/>
      <c r="BJ10280" s="46"/>
    </row>
    <row r="10281" spans="59:62" x14ac:dyDescent="0.3">
      <c r="BG10281" s="387"/>
      <c r="BH10281" s="386"/>
      <c r="BI10281" s="386"/>
      <c r="BJ10281" s="46"/>
    </row>
    <row r="10282" spans="59:62" x14ac:dyDescent="0.3">
      <c r="BG10282" s="387"/>
      <c r="BH10282" s="386"/>
      <c r="BI10282" s="386"/>
      <c r="BJ10282" s="46"/>
    </row>
    <row r="10283" spans="59:62" x14ac:dyDescent="0.3">
      <c r="BG10283" s="387"/>
      <c r="BH10283" s="386"/>
      <c r="BI10283" s="386"/>
      <c r="BJ10283" s="46"/>
    </row>
    <row r="10284" spans="59:62" x14ac:dyDescent="0.3">
      <c r="BG10284" s="387"/>
      <c r="BH10284" s="386"/>
      <c r="BI10284" s="386"/>
      <c r="BJ10284" s="46"/>
    </row>
    <row r="10285" spans="59:62" x14ac:dyDescent="0.3">
      <c r="BG10285" s="387"/>
      <c r="BH10285" s="386"/>
      <c r="BI10285" s="386"/>
      <c r="BJ10285" s="46"/>
    </row>
    <row r="10286" spans="59:62" x14ac:dyDescent="0.3">
      <c r="BG10286" s="387"/>
      <c r="BH10286" s="386"/>
      <c r="BI10286" s="386"/>
      <c r="BJ10286" s="46"/>
    </row>
    <row r="10287" spans="59:62" x14ac:dyDescent="0.3">
      <c r="BG10287" s="387"/>
      <c r="BH10287" s="386"/>
      <c r="BI10287" s="386"/>
      <c r="BJ10287" s="46"/>
    </row>
    <row r="10288" spans="59:62" x14ac:dyDescent="0.3">
      <c r="BG10288" s="387"/>
      <c r="BH10288" s="386"/>
      <c r="BI10288" s="386"/>
      <c r="BJ10288" s="46"/>
    </row>
    <row r="10289" spans="59:62" x14ac:dyDescent="0.3">
      <c r="BG10289" s="387"/>
      <c r="BH10289" s="386"/>
      <c r="BI10289" s="386"/>
      <c r="BJ10289" s="46"/>
    </row>
    <row r="10290" spans="59:62" x14ac:dyDescent="0.3">
      <c r="BG10290" s="387"/>
      <c r="BH10290" s="386"/>
      <c r="BI10290" s="386"/>
      <c r="BJ10290" s="46"/>
    </row>
    <row r="10291" spans="59:62" x14ac:dyDescent="0.3">
      <c r="BG10291" s="387"/>
      <c r="BH10291" s="386"/>
      <c r="BI10291" s="386"/>
      <c r="BJ10291" s="46"/>
    </row>
    <row r="10292" spans="59:62" x14ac:dyDescent="0.3">
      <c r="BG10292" s="387"/>
      <c r="BH10292" s="386"/>
      <c r="BI10292" s="386"/>
      <c r="BJ10292" s="46"/>
    </row>
    <row r="10293" spans="59:62" x14ac:dyDescent="0.3">
      <c r="BG10293" s="387"/>
      <c r="BH10293" s="386"/>
      <c r="BI10293" s="386"/>
      <c r="BJ10293" s="46"/>
    </row>
    <row r="10294" spans="59:62" x14ac:dyDescent="0.3">
      <c r="BG10294" s="387"/>
      <c r="BH10294" s="386"/>
      <c r="BI10294" s="386"/>
      <c r="BJ10294" s="46"/>
    </row>
    <row r="10295" spans="59:62" x14ac:dyDescent="0.3">
      <c r="BG10295" s="387"/>
      <c r="BH10295" s="386"/>
      <c r="BI10295" s="386"/>
      <c r="BJ10295" s="46"/>
    </row>
    <row r="10296" spans="59:62" x14ac:dyDescent="0.3">
      <c r="BG10296" s="387"/>
      <c r="BH10296" s="386"/>
      <c r="BI10296" s="386"/>
      <c r="BJ10296" s="46"/>
    </row>
    <row r="10297" spans="59:62" x14ac:dyDescent="0.3">
      <c r="BG10297" s="387"/>
      <c r="BH10297" s="386"/>
      <c r="BI10297" s="386"/>
      <c r="BJ10297" s="46"/>
    </row>
    <row r="10298" spans="59:62" x14ac:dyDescent="0.3">
      <c r="BG10298" s="387"/>
      <c r="BH10298" s="386"/>
      <c r="BI10298" s="386"/>
      <c r="BJ10298" s="46"/>
    </row>
    <row r="10299" spans="59:62" x14ac:dyDescent="0.3">
      <c r="BG10299" s="387"/>
      <c r="BH10299" s="386"/>
      <c r="BI10299" s="386"/>
      <c r="BJ10299" s="46"/>
    </row>
    <row r="10300" spans="59:62" x14ac:dyDescent="0.3">
      <c r="BG10300" s="387"/>
      <c r="BH10300" s="386"/>
      <c r="BI10300" s="386"/>
      <c r="BJ10300" s="46"/>
    </row>
    <row r="10301" spans="59:62" x14ac:dyDescent="0.3">
      <c r="BG10301" s="387"/>
      <c r="BH10301" s="386"/>
      <c r="BI10301" s="386"/>
      <c r="BJ10301" s="46"/>
    </row>
    <row r="10302" spans="59:62" x14ac:dyDescent="0.3">
      <c r="BG10302" s="387"/>
      <c r="BH10302" s="386"/>
      <c r="BI10302" s="386"/>
      <c r="BJ10302" s="46"/>
    </row>
    <row r="10303" spans="59:62" x14ac:dyDescent="0.3">
      <c r="BG10303" s="387"/>
      <c r="BH10303" s="386"/>
      <c r="BI10303" s="386"/>
      <c r="BJ10303" s="46"/>
    </row>
    <row r="10304" spans="59:62" x14ac:dyDescent="0.3">
      <c r="BG10304" s="387"/>
      <c r="BH10304" s="386"/>
      <c r="BI10304" s="386"/>
      <c r="BJ10304" s="46"/>
    </row>
    <row r="10305" spans="59:62" x14ac:dyDescent="0.3">
      <c r="BG10305" s="387"/>
      <c r="BH10305" s="386"/>
      <c r="BI10305" s="386"/>
      <c r="BJ10305" s="46"/>
    </row>
    <row r="10306" spans="59:62" x14ac:dyDescent="0.3">
      <c r="BG10306" s="387"/>
      <c r="BH10306" s="386"/>
      <c r="BI10306" s="386"/>
      <c r="BJ10306" s="46"/>
    </row>
    <row r="10307" spans="59:62" x14ac:dyDescent="0.3">
      <c r="BG10307" s="387"/>
      <c r="BH10307" s="386"/>
      <c r="BI10307" s="386"/>
      <c r="BJ10307" s="46"/>
    </row>
    <row r="10308" spans="59:62" x14ac:dyDescent="0.3">
      <c r="BG10308" s="387"/>
      <c r="BH10308" s="386"/>
      <c r="BI10308" s="386"/>
      <c r="BJ10308" s="46"/>
    </row>
    <row r="10309" spans="59:62" x14ac:dyDescent="0.3">
      <c r="BG10309" s="387"/>
      <c r="BH10309" s="386"/>
      <c r="BI10309" s="386"/>
      <c r="BJ10309" s="46"/>
    </row>
    <row r="10310" spans="59:62" x14ac:dyDescent="0.3">
      <c r="BG10310" s="387"/>
      <c r="BH10310" s="386"/>
      <c r="BI10310" s="386"/>
      <c r="BJ10310" s="46"/>
    </row>
    <row r="10311" spans="59:62" x14ac:dyDescent="0.3">
      <c r="BG10311" s="387"/>
      <c r="BH10311" s="386"/>
      <c r="BI10311" s="386"/>
      <c r="BJ10311" s="46"/>
    </row>
    <row r="10312" spans="59:62" x14ac:dyDescent="0.3">
      <c r="BG10312" s="387"/>
      <c r="BH10312" s="386"/>
      <c r="BI10312" s="386"/>
      <c r="BJ10312" s="46"/>
    </row>
    <row r="10313" spans="59:62" x14ac:dyDescent="0.3">
      <c r="BG10313" s="387"/>
      <c r="BH10313" s="386"/>
      <c r="BI10313" s="386"/>
      <c r="BJ10313" s="46"/>
    </row>
    <row r="10314" spans="59:62" x14ac:dyDescent="0.3">
      <c r="BG10314" s="387"/>
      <c r="BH10314" s="386"/>
      <c r="BI10314" s="386"/>
      <c r="BJ10314" s="46"/>
    </row>
    <row r="10315" spans="59:62" x14ac:dyDescent="0.3">
      <c r="BG10315" s="387"/>
      <c r="BH10315" s="386"/>
      <c r="BI10315" s="386"/>
      <c r="BJ10315" s="46"/>
    </row>
    <row r="10316" spans="59:62" x14ac:dyDescent="0.3">
      <c r="BG10316" s="387"/>
      <c r="BH10316" s="386"/>
      <c r="BI10316" s="386"/>
      <c r="BJ10316" s="46"/>
    </row>
    <row r="10317" spans="59:62" x14ac:dyDescent="0.3">
      <c r="BG10317" s="387"/>
      <c r="BH10317" s="386"/>
      <c r="BI10317" s="386"/>
      <c r="BJ10317" s="46"/>
    </row>
    <row r="10318" spans="59:62" x14ac:dyDescent="0.3">
      <c r="BG10318" s="387"/>
      <c r="BH10318" s="386"/>
      <c r="BI10318" s="386"/>
      <c r="BJ10318" s="46"/>
    </row>
    <row r="10319" spans="59:62" x14ac:dyDescent="0.3">
      <c r="BG10319" s="387"/>
      <c r="BH10319" s="386"/>
      <c r="BI10319" s="386"/>
      <c r="BJ10319" s="46"/>
    </row>
    <row r="10320" spans="59:62" x14ac:dyDescent="0.3">
      <c r="BG10320" s="387"/>
      <c r="BH10320" s="386"/>
      <c r="BI10320" s="386"/>
      <c r="BJ10320" s="46"/>
    </row>
    <row r="10321" spans="59:62" x14ac:dyDescent="0.3">
      <c r="BG10321" s="387"/>
      <c r="BH10321" s="386"/>
      <c r="BI10321" s="386"/>
      <c r="BJ10321" s="46"/>
    </row>
    <row r="10322" spans="59:62" x14ac:dyDescent="0.3">
      <c r="BG10322" s="387"/>
      <c r="BH10322" s="386"/>
      <c r="BI10322" s="386"/>
      <c r="BJ10322" s="46"/>
    </row>
    <row r="10323" spans="59:62" x14ac:dyDescent="0.3">
      <c r="BG10323" s="387"/>
      <c r="BH10323" s="386"/>
      <c r="BI10323" s="386"/>
      <c r="BJ10323" s="46"/>
    </row>
    <row r="10324" spans="59:62" x14ac:dyDescent="0.3">
      <c r="BG10324" s="387"/>
      <c r="BH10324" s="386"/>
      <c r="BI10324" s="386"/>
      <c r="BJ10324" s="46"/>
    </row>
    <row r="10325" spans="59:62" x14ac:dyDescent="0.3">
      <c r="BG10325" s="387"/>
      <c r="BH10325" s="386"/>
      <c r="BI10325" s="386"/>
      <c r="BJ10325" s="46"/>
    </row>
    <row r="10326" spans="59:62" x14ac:dyDescent="0.3">
      <c r="BG10326" s="387"/>
      <c r="BH10326" s="386"/>
      <c r="BI10326" s="386"/>
      <c r="BJ10326" s="46"/>
    </row>
    <row r="10327" spans="59:62" x14ac:dyDescent="0.3">
      <c r="BG10327" s="387"/>
      <c r="BH10327" s="386"/>
      <c r="BI10327" s="386"/>
      <c r="BJ10327" s="46"/>
    </row>
    <row r="10328" spans="59:62" x14ac:dyDescent="0.3">
      <c r="BG10328" s="387"/>
      <c r="BH10328" s="386"/>
      <c r="BI10328" s="386"/>
      <c r="BJ10328" s="46"/>
    </row>
    <row r="10329" spans="59:62" x14ac:dyDescent="0.3">
      <c r="BG10329" s="387"/>
      <c r="BH10329" s="386"/>
      <c r="BI10329" s="386"/>
      <c r="BJ10329" s="46"/>
    </row>
    <row r="10330" spans="59:62" x14ac:dyDescent="0.3">
      <c r="BG10330" s="387"/>
      <c r="BH10330" s="386"/>
      <c r="BI10330" s="386"/>
      <c r="BJ10330" s="46"/>
    </row>
    <row r="10331" spans="59:62" x14ac:dyDescent="0.3">
      <c r="BG10331" s="387"/>
      <c r="BH10331" s="386"/>
      <c r="BI10331" s="386"/>
      <c r="BJ10331" s="46"/>
    </row>
    <row r="10332" spans="59:62" x14ac:dyDescent="0.3">
      <c r="BG10332" s="387"/>
      <c r="BH10332" s="386"/>
      <c r="BI10332" s="386"/>
      <c r="BJ10332" s="46"/>
    </row>
    <row r="10333" spans="59:62" x14ac:dyDescent="0.3">
      <c r="BG10333" s="387"/>
      <c r="BH10333" s="386"/>
      <c r="BI10333" s="386"/>
      <c r="BJ10333" s="46"/>
    </row>
    <row r="10334" spans="59:62" x14ac:dyDescent="0.3">
      <c r="BG10334" s="387"/>
      <c r="BH10334" s="386"/>
      <c r="BI10334" s="386"/>
      <c r="BJ10334" s="46"/>
    </row>
    <row r="10335" spans="59:62" x14ac:dyDescent="0.3">
      <c r="BG10335" s="387"/>
      <c r="BH10335" s="386"/>
      <c r="BI10335" s="386"/>
      <c r="BJ10335" s="46"/>
    </row>
    <row r="10336" spans="59:62" x14ac:dyDescent="0.3">
      <c r="BG10336" s="387"/>
      <c r="BH10336" s="386"/>
      <c r="BI10336" s="386"/>
      <c r="BJ10336" s="46"/>
    </row>
    <row r="10337" spans="59:62" x14ac:dyDescent="0.3">
      <c r="BG10337" s="387"/>
      <c r="BH10337" s="386"/>
      <c r="BI10337" s="386"/>
      <c r="BJ10337" s="46"/>
    </row>
    <row r="10338" spans="59:62" x14ac:dyDescent="0.3">
      <c r="BG10338" s="387"/>
      <c r="BH10338" s="386"/>
      <c r="BI10338" s="386"/>
      <c r="BJ10338" s="46"/>
    </row>
    <row r="10339" spans="59:62" x14ac:dyDescent="0.3">
      <c r="BG10339" s="387"/>
      <c r="BH10339" s="386"/>
      <c r="BI10339" s="386"/>
      <c r="BJ10339" s="46"/>
    </row>
    <row r="10340" spans="59:62" x14ac:dyDescent="0.3">
      <c r="BG10340" s="387"/>
      <c r="BH10340" s="386"/>
      <c r="BI10340" s="386"/>
      <c r="BJ10340" s="46"/>
    </row>
    <row r="10341" spans="59:62" x14ac:dyDescent="0.3">
      <c r="BG10341" s="387"/>
      <c r="BH10341" s="386"/>
      <c r="BI10341" s="386"/>
      <c r="BJ10341" s="46"/>
    </row>
    <row r="10342" spans="59:62" x14ac:dyDescent="0.3">
      <c r="BG10342" s="387"/>
      <c r="BH10342" s="386"/>
      <c r="BI10342" s="386"/>
      <c r="BJ10342" s="46"/>
    </row>
    <row r="10343" spans="59:62" x14ac:dyDescent="0.3">
      <c r="BG10343" s="387"/>
      <c r="BH10343" s="386"/>
      <c r="BI10343" s="386"/>
      <c r="BJ10343" s="46"/>
    </row>
    <row r="10344" spans="59:62" x14ac:dyDescent="0.3">
      <c r="BG10344" s="387"/>
      <c r="BH10344" s="386"/>
      <c r="BI10344" s="386"/>
      <c r="BJ10344" s="46"/>
    </row>
    <row r="10345" spans="59:62" x14ac:dyDescent="0.3">
      <c r="BG10345" s="387"/>
      <c r="BH10345" s="386"/>
      <c r="BI10345" s="386"/>
      <c r="BJ10345" s="46"/>
    </row>
    <row r="10346" spans="59:62" x14ac:dyDescent="0.3">
      <c r="BG10346" s="387"/>
      <c r="BH10346" s="386"/>
      <c r="BI10346" s="386"/>
      <c r="BJ10346" s="46"/>
    </row>
    <row r="10347" spans="59:62" x14ac:dyDescent="0.3">
      <c r="BG10347" s="387"/>
      <c r="BH10347" s="386"/>
      <c r="BI10347" s="386"/>
      <c r="BJ10347" s="46"/>
    </row>
    <row r="10348" spans="59:62" x14ac:dyDescent="0.3">
      <c r="BG10348" s="387"/>
      <c r="BH10348" s="386"/>
      <c r="BI10348" s="386"/>
      <c r="BJ10348" s="46"/>
    </row>
    <row r="10349" spans="59:62" x14ac:dyDescent="0.3">
      <c r="BG10349" s="387"/>
      <c r="BH10349" s="386"/>
      <c r="BI10349" s="386"/>
      <c r="BJ10349" s="46"/>
    </row>
    <row r="10350" spans="59:62" x14ac:dyDescent="0.3">
      <c r="BG10350" s="387"/>
      <c r="BH10350" s="386"/>
      <c r="BI10350" s="386"/>
      <c r="BJ10350" s="46"/>
    </row>
    <row r="10351" spans="59:62" x14ac:dyDescent="0.3">
      <c r="BG10351" s="387"/>
      <c r="BH10351" s="386"/>
      <c r="BI10351" s="386"/>
      <c r="BJ10351" s="46"/>
    </row>
    <row r="10352" spans="59:62" x14ac:dyDescent="0.3">
      <c r="BG10352" s="387"/>
      <c r="BH10352" s="386"/>
      <c r="BI10352" s="386"/>
      <c r="BJ10352" s="46"/>
    </row>
    <row r="10353" spans="59:62" x14ac:dyDescent="0.3">
      <c r="BG10353" s="387"/>
      <c r="BH10353" s="386"/>
      <c r="BI10353" s="386"/>
      <c r="BJ10353" s="46"/>
    </row>
    <row r="10354" spans="59:62" x14ac:dyDescent="0.3">
      <c r="BG10354" s="387"/>
      <c r="BH10354" s="386"/>
      <c r="BI10354" s="386"/>
      <c r="BJ10354" s="46"/>
    </row>
    <row r="10355" spans="59:62" x14ac:dyDescent="0.3">
      <c r="BG10355" s="387"/>
      <c r="BH10355" s="386"/>
      <c r="BI10355" s="386"/>
      <c r="BJ10355" s="46"/>
    </row>
    <row r="10356" spans="59:62" x14ac:dyDescent="0.3">
      <c r="BG10356" s="387"/>
      <c r="BH10356" s="386"/>
      <c r="BI10356" s="386"/>
      <c r="BJ10356" s="46"/>
    </row>
    <row r="10357" spans="59:62" x14ac:dyDescent="0.3">
      <c r="BG10357" s="387"/>
      <c r="BH10357" s="386"/>
      <c r="BI10357" s="386"/>
      <c r="BJ10357" s="46"/>
    </row>
    <row r="10358" spans="59:62" x14ac:dyDescent="0.3">
      <c r="BG10358" s="387"/>
      <c r="BH10358" s="386"/>
      <c r="BI10358" s="386"/>
      <c r="BJ10358" s="46"/>
    </row>
    <row r="10359" spans="59:62" x14ac:dyDescent="0.3">
      <c r="BG10359" s="387"/>
      <c r="BH10359" s="386"/>
      <c r="BI10359" s="386"/>
      <c r="BJ10359" s="46"/>
    </row>
    <row r="10360" spans="59:62" x14ac:dyDescent="0.3">
      <c r="BG10360" s="387"/>
      <c r="BH10360" s="386"/>
      <c r="BI10360" s="386"/>
      <c r="BJ10360" s="46"/>
    </row>
    <row r="10361" spans="59:62" x14ac:dyDescent="0.3">
      <c r="BG10361" s="387"/>
      <c r="BH10361" s="386"/>
      <c r="BI10361" s="386"/>
      <c r="BJ10361" s="46"/>
    </row>
    <row r="10362" spans="59:62" x14ac:dyDescent="0.3">
      <c r="BG10362" s="387"/>
      <c r="BH10362" s="386"/>
      <c r="BI10362" s="386"/>
      <c r="BJ10362" s="46"/>
    </row>
    <row r="10363" spans="59:62" x14ac:dyDescent="0.3">
      <c r="BG10363" s="387"/>
      <c r="BH10363" s="386"/>
      <c r="BI10363" s="386"/>
      <c r="BJ10363" s="46"/>
    </row>
    <row r="10364" spans="59:62" x14ac:dyDescent="0.3">
      <c r="BG10364" s="387"/>
      <c r="BH10364" s="386"/>
      <c r="BI10364" s="386"/>
      <c r="BJ10364" s="46"/>
    </row>
    <row r="10365" spans="59:62" x14ac:dyDescent="0.3">
      <c r="BG10365" s="387"/>
      <c r="BH10365" s="386"/>
      <c r="BI10365" s="386"/>
      <c r="BJ10365" s="46"/>
    </row>
    <row r="10366" spans="59:62" x14ac:dyDescent="0.3">
      <c r="BG10366" s="387"/>
      <c r="BH10366" s="386"/>
      <c r="BI10366" s="386"/>
      <c r="BJ10366" s="46"/>
    </row>
    <row r="10367" spans="59:62" x14ac:dyDescent="0.3">
      <c r="BG10367" s="387"/>
      <c r="BH10367" s="386"/>
      <c r="BI10367" s="386"/>
      <c r="BJ10367" s="46"/>
    </row>
    <row r="10368" spans="59:62" x14ac:dyDescent="0.3">
      <c r="BG10368" s="387"/>
      <c r="BH10368" s="386"/>
      <c r="BI10368" s="386"/>
      <c r="BJ10368" s="46"/>
    </row>
    <row r="10369" spans="59:62" x14ac:dyDescent="0.3">
      <c r="BG10369" s="387"/>
      <c r="BH10369" s="386"/>
      <c r="BI10369" s="386"/>
      <c r="BJ10369" s="46"/>
    </row>
    <row r="10370" spans="59:62" x14ac:dyDescent="0.3">
      <c r="BG10370" s="387"/>
      <c r="BH10370" s="386"/>
      <c r="BI10370" s="386"/>
      <c r="BJ10370" s="46"/>
    </row>
    <row r="10371" spans="59:62" x14ac:dyDescent="0.3">
      <c r="BG10371" s="387"/>
      <c r="BH10371" s="386"/>
      <c r="BI10371" s="386"/>
      <c r="BJ10371" s="46"/>
    </row>
    <row r="10372" spans="59:62" x14ac:dyDescent="0.3">
      <c r="BG10372" s="387"/>
      <c r="BH10372" s="386"/>
      <c r="BI10372" s="386"/>
      <c r="BJ10372" s="46"/>
    </row>
    <row r="10373" spans="59:62" x14ac:dyDescent="0.3">
      <c r="BG10373" s="387"/>
      <c r="BH10373" s="386"/>
      <c r="BI10373" s="386"/>
      <c r="BJ10373" s="46"/>
    </row>
    <row r="10374" spans="59:62" x14ac:dyDescent="0.3">
      <c r="BG10374" s="387"/>
      <c r="BH10374" s="386"/>
      <c r="BI10374" s="386"/>
      <c r="BJ10374" s="46"/>
    </row>
    <row r="10375" spans="59:62" x14ac:dyDescent="0.3">
      <c r="BG10375" s="387"/>
      <c r="BH10375" s="386"/>
      <c r="BI10375" s="386"/>
      <c r="BJ10375" s="46"/>
    </row>
    <row r="10376" spans="59:62" x14ac:dyDescent="0.3">
      <c r="BG10376" s="387"/>
      <c r="BH10376" s="386"/>
      <c r="BI10376" s="386"/>
      <c r="BJ10376" s="46"/>
    </row>
    <row r="10377" spans="59:62" x14ac:dyDescent="0.3">
      <c r="BG10377" s="387"/>
      <c r="BH10377" s="386"/>
      <c r="BI10377" s="386"/>
      <c r="BJ10377" s="46"/>
    </row>
    <row r="10378" spans="59:62" x14ac:dyDescent="0.3">
      <c r="BG10378" s="387"/>
      <c r="BH10378" s="386"/>
      <c r="BI10378" s="386"/>
      <c r="BJ10378" s="46"/>
    </row>
    <row r="10379" spans="59:62" x14ac:dyDescent="0.3">
      <c r="BG10379" s="387"/>
      <c r="BH10379" s="386"/>
      <c r="BI10379" s="386"/>
      <c r="BJ10379" s="46"/>
    </row>
    <row r="10380" spans="59:62" x14ac:dyDescent="0.3">
      <c r="BG10380" s="387"/>
      <c r="BH10380" s="386"/>
      <c r="BI10380" s="386"/>
      <c r="BJ10380" s="46"/>
    </row>
    <row r="10381" spans="59:62" x14ac:dyDescent="0.3">
      <c r="BG10381" s="387"/>
      <c r="BH10381" s="386"/>
      <c r="BI10381" s="386"/>
      <c r="BJ10381" s="46"/>
    </row>
    <row r="10382" spans="59:62" x14ac:dyDescent="0.3">
      <c r="BG10382" s="387"/>
      <c r="BH10382" s="386"/>
      <c r="BI10382" s="386"/>
      <c r="BJ10382" s="46"/>
    </row>
    <row r="10383" spans="59:62" x14ac:dyDescent="0.3">
      <c r="BG10383" s="387"/>
      <c r="BH10383" s="386"/>
      <c r="BI10383" s="386"/>
      <c r="BJ10383" s="46"/>
    </row>
    <row r="10384" spans="59:62" x14ac:dyDescent="0.3">
      <c r="BG10384" s="387"/>
      <c r="BH10384" s="386"/>
      <c r="BI10384" s="386"/>
      <c r="BJ10384" s="46"/>
    </row>
    <row r="10385" spans="59:62" x14ac:dyDescent="0.3">
      <c r="BG10385" s="387"/>
      <c r="BH10385" s="386"/>
      <c r="BI10385" s="386"/>
      <c r="BJ10385" s="46"/>
    </row>
    <row r="10386" spans="59:62" x14ac:dyDescent="0.3">
      <c r="BG10386" s="387"/>
      <c r="BH10386" s="386"/>
      <c r="BI10386" s="386"/>
      <c r="BJ10386" s="46"/>
    </row>
    <row r="10387" spans="59:62" x14ac:dyDescent="0.3">
      <c r="BG10387" s="387"/>
      <c r="BH10387" s="386"/>
      <c r="BI10387" s="386"/>
      <c r="BJ10387" s="46"/>
    </row>
    <row r="10388" spans="59:62" x14ac:dyDescent="0.3">
      <c r="BG10388" s="387"/>
      <c r="BH10388" s="386"/>
      <c r="BI10388" s="386"/>
      <c r="BJ10388" s="46"/>
    </row>
    <row r="10389" spans="59:62" x14ac:dyDescent="0.3">
      <c r="BG10389" s="387"/>
      <c r="BH10389" s="386"/>
      <c r="BI10389" s="386"/>
      <c r="BJ10389" s="46"/>
    </row>
    <row r="10390" spans="59:62" x14ac:dyDescent="0.3">
      <c r="BG10390" s="387"/>
      <c r="BH10390" s="386"/>
      <c r="BI10390" s="386"/>
      <c r="BJ10390" s="46"/>
    </row>
    <row r="10391" spans="59:62" x14ac:dyDescent="0.3">
      <c r="BG10391" s="387"/>
      <c r="BH10391" s="386"/>
      <c r="BI10391" s="386"/>
      <c r="BJ10391" s="46"/>
    </row>
    <row r="10392" spans="59:62" x14ac:dyDescent="0.3">
      <c r="BG10392" s="387"/>
      <c r="BH10392" s="386"/>
      <c r="BI10392" s="386"/>
      <c r="BJ10392" s="46"/>
    </row>
    <row r="10393" spans="59:62" x14ac:dyDescent="0.3">
      <c r="BG10393" s="387"/>
      <c r="BH10393" s="386"/>
      <c r="BI10393" s="386"/>
      <c r="BJ10393" s="46"/>
    </row>
    <row r="10394" spans="59:62" x14ac:dyDescent="0.3">
      <c r="BG10394" s="387"/>
      <c r="BH10394" s="386"/>
      <c r="BI10394" s="386"/>
      <c r="BJ10394" s="46"/>
    </row>
    <row r="10395" spans="59:62" x14ac:dyDescent="0.3">
      <c r="BG10395" s="387"/>
      <c r="BH10395" s="386"/>
      <c r="BI10395" s="386"/>
      <c r="BJ10395" s="46"/>
    </row>
    <row r="10396" spans="59:62" x14ac:dyDescent="0.3">
      <c r="BG10396" s="387"/>
      <c r="BH10396" s="386"/>
      <c r="BI10396" s="386"/>
      <c r="BJ10396" s="46"/>
    </row>
    <row r="10397" spans="59:62" x14ac:dyDescent="0.3">
      <c r="BG10397" s="387"/>
      <c r="BH10397" s="386"/>
      <c r="BI10397" s="386"/>
      <c r="BJ10397" s="46"/>
    </row>
    <row r="10398" spans="59:62" x14ac:dyDescent="0.3">
      <c r="BG10398" s="387"/>
      <c r="BH10398" s="386"/>
      <c r="BI10398" s="386"/>
      <c r="BJ10398" s="46"/>
    </row>
    <row r="10399" spans="59:62" x14ac:dyDescent="0.3">
      <c r="BG10399" s="387"/>
      <c r="BH10399" s="386"/>
      <c r="BI10399" s="386"/>
      <c r="BJ10399" s="46"/>
    </row>
    <row r="10400" spans="59:62" x14ac:dyDescent="0.3">
      <c r="BG10400" s="387"/>
      <c r="BH10400" s="386"/>
      <c r="BI10400" s="386"/>
      <c r="BJ10400" s="46"/>
    </row>
    <row r="10401" spans="59:62" x14ac:dyDescent="0.3">
      <c r="BG10401" s="387"/>
      <c r="BH10401" s="386"/>
      <c r="BI10401" s="386"/>
      <c r="BJ10401" s="46"/>
    </row>
    <row r="10402" spans="59:62" x14ac:dyDescent="0.3">
      <c r="BG10402" s="387"/>
      <c r="BH10402" s="386"/>
      <c r="BI10402" s="386"/>
      <c r="BJ10402" s="46"/>
    </row>
    <row r="10403" spans="59:62" x14ac:dyDescent="0.3">
      <c r="BG10403" s="387"/>
      <c r="BH10403" s="386"/>
      <c r="BI10403" s="386"/>
      <c r="BJ10403" s="46"/>
    </row>
    <row r="10404" spans="59:62" x14ac:dyDescent="0.3">
      <c r="BG10404" s="387"/>
      <c r="BH10404" s="386"/>
      <c r="BI10404" s="386"/>
      <c r="BJ10404" s="46"/>
    </row>
    <row r="10405" spans="59:62" x14ac:dyDescent="0.3">
      <c r="BG10405" s="387"/>
      <c r="BH10405" s="386"/>
      <c r="BI10405" s="386"/>
      <c r="BJ10405" s="46"/>
    </row>
    <row r="10406" spans="59:62" x14ac:dyDescent="0.3">
      <c r="BG10406" s="387"/>
      <c r="BH10406" s="386"/>
      <c r="BI10406" s="386"/>
      <c r="BJ10406" s="46"/>
    </row>
    <row r="10407" spans="59:62" x14ac:dyDescent="0.3">
      <c r="BG10407" s="387"/>
      <c r="BH10407" s="386"/>
      <c r="BI10407" s="386"/>
      <c r="BJ10407" s="46"/>
    </row>
    <row r="10408" spans="59:62" x14ac:dyDescent="0.3">
      <c r="BG10408" s="387"/>
      <c r="BH10408" s="386"/>
      <c r="BI10408" s="386"/>
      <c r="BJ10408" s="46"/>
    </row>
    <row r="10409" spans="59:62" x14ac:dyDescent="0.3">
      <c r="BG10409" s="387"/>
      <c r="BH10409" s="386"/>
      <c r="BI10409" s="386"/>
      <c r="BJ10409" s="46"/>
    </row>
    <row r="10410" spans="59:62" x14ac:dyDescent="0.3">
      <c r="BG10410" s="387"/>
      <c r="BH10410" s="386"/>
      <c r="BI10410" s="386"/>
      <c r="BJ10410" s="46"/>
    </row>
    <row r="10411" spans="59:62" x14ac:dyDescent="0.3">
      <c r="BG10411" s="387"/>
      <c r="BH10411" s="386"/>
      <c r="BI10411" s="386"/>
      <c r="BJ10411" s="46"/>
    </row>
    <row r="10412" spans="59:62" x14ac:dyDescent="0.3">
      <c r="BG10412" s="387"/>
      <c r="BH10412" s="386"/>
      <c r="BI10412" s="386"/>
      <c r="BJ10412" s="46"/>
    </row>
    <row r="10413" spans="59:62" x14ac:dyDescent="0.3">
      <c r="BG10413" s="387"/>
      <c r="BH10413" s="386"/>
      <c r="BI10413" s="386"/>
      <c r="BJ10413" s="46"/>
    </row>
    <row r="10414" spans="59:62" x14ac:dyDescent="0.3">
      <c r="BG10414" s="387"/>
      <c r="BH10414" s="386"/>
      <c r="BI10414" s="386"/>
      <c r="BJ10414" s="46"/>
    </row>
    <row r="10415" spans="59:62" x14ac:dyDescent="0.3">
      <c r="BG10415" s="387"/>
      <c r="BH10415" s="386"/>
      <c r="BI10415" s="386"/>
      <c r="BJ10415" s="46"/>
    </row>
    <row r="10416" spans="59:62" x14ac:dyDescent="0.3">
      <c r="BG10416" s="387"/>
      <c r="BH10416" s="386"/>
      <c r="BI10416" s="386"/>
      <c r="BJ10416" s="46"/>
    </row>
    <row r="10417" spans="59:62" x14ac:dyDescent="0.3">
      <c r="BG10417" s="387"/>
      <c r="BH10417" s="386"/>
      <c r="BI10417" s="386"/>
      <c r="BJ10417" s="46"/>
    </row>
    <row r="10418" spans="59:62" x14ac:dyDescent="0.3">
      <c r="BG10418" s="387"/>
      <c r="BH10418" s="386"/>
      <c r="BI10418" s="386"/>
      <c r="BJ10418" s="46"/>
    </row>
    <row r="10419" spans="59:62" x14ac:dyDescent="0.3">
      <c r="BG10419" s="387"/>
      <c r="BH10419" s="386"/>
      <c r="BI10419" s="386"/>
      <c r="BJ10419" s="46"/>
    </row>
    <row r="10420" spans="59:62" x14ac:dyDescent="0.3">
      <c r="BG10420" s="387"/>
      <c r="BH10420" s="386"/>
      <c r="BI10420" s="386"/>
      <c r="BJ10420" s="46"/>
    </row>
    <row r="10421" spans="59:62" x14ac:dyDescent="0.3">
      <c r="BG10421" s="387"/>
      <c r="BH10421" s="386"/>
      <c r="BI10421" s="386"/>
      <c r="BJ10421" s="46"/>
    </row>
    <row r="10422" spans="59:62" x14ac:dyDescent="0.3">
      <c r="BG10422" s="387"/>
      <c r="BH10422" s="386"/>
      <c r="BI10422" s="386"/>
      <c r="BJ10422" s="46"/>
    </row>
    <row r="10423" spans="59:62" x14ac:dyDescent="0.3">
      <c r="BG10423" s="387"/>
      <c r="BH10423" s="386"/>
      <c r="BI10423" s="386"/>
      <c r="BJ10423" s="46"/>
    </row>
    <row r="10424" spans="59:62" x14ac:dyDescent="0.3">
      <c r="BG10424" s="387"/>
      <c r="BH10424" s="386"/>
      <c r="BI10424" s="386"/>
      <c r="BJ10424" s="46"/>
    </row>
    <row r="10425" spans="59:62" x14ac:dyDescent="0.3">
      <c r="BG10425" s="387"/>
      <c r="BH10425" s="386"/>
      <c r="BI10425" s="386"/>
      <c r="BJ10425" s="46"/>
    </row>
    <row r="10426" spans="59:62" x14ac:dyDescent="0.3">
      <c r="BG10426" s="387"/>
      <c r="BH10426" s="386"/>
      <c r="BI10426" s="386"/>
      <c r="BJ10426" s="46"/>
    </row>
    <row r="10427" spans="59:62" x14ac:dyDescent="0.3">
      <c r="BG10427" s="387"/>
      <c r="BH10427" s="386"/>
      <c r="BI10427" s="386"/>
      <c r="BJ10427" s="46"/>
    </row>
    <row r="10428" spans="59:62" x14ac:dyDescent="0.3">
      <c r="BG10428" s="387"/>
      <c r="BH10428" s="386"/>
      <c r="BI10428" s="386"/>
      <c r="BJ10428" s="46"/>
    </row>
    <row r="10429" spans="59:62" x14ac:dyDescent="0.3">
      <c r="BG10429" s="387"/>
      <c r="BH10429" s="386"/>
      <c r="BI10429" s="386"/>
      <c r="BJ10429" s="46"/>
    </row>
    <row r="10430" spans="59:62" x14ac:dyDescent="0.3">
      <c r="BG10430" s="387"/>
      <c r="BH10430" s="386"/>
      <c r="BI10430" s="386"/>
      <c r="BJ10430" s="46"/>
    </row>
    <row r="10431" spans="59:62" x14ac:dyDescent="0.3">
      <c r="BG10431" s="387"/>
      <c r="BH10431" s="386"/>
      <c r="BI10431" s="386"/>
      <c r="BJ10431" s="46"/>
    </row>
    <row r="10432" spans="59:62" x14ac:dyDescent="0.3">
      <c r="BG10432" s="387"/>
      <c r="BH10432" s="386"/>
      <c r="BI10432" s="386"/>
      <c r="BJ10432" s="46"/>
    </row>
    <row r="10433" spans="59:62" x14ac:dyDescent="0.3">
      <c r="BG10433" s="387"/>
      <c r="BH10433" s="386"/>
      <c r="BI10433" s="386"/>
      <c r="BJ10433" s="46"/>
    </row>
    <row r="10434" spans="59:62" x14ac:dyDescent="0.3">
      <c r="BG10434" s="387"/>
      <c r="BH10434" s="386"/>
      <c r="BI10434" s="386"/>
      <c r="BJ10434" s="46"/>
    </row>
    <row r="10435" spans="59:62" x14ac:dyDescent="0.3">
      <c r="BG10435" s="387"/>
      <c r="BH10435" s="386"/>
      <c r="BI10435" s="386"/>
      <c r="BJ10435" s="46"/>
    </row>
    <row r="10436" spans="59:62" x14ac:dyDescent="0.3">
      <c r="BG10436" s="387"/>
      <c r="BH10436" s="386"/>
      <c r="BI10436" s="386"/>
      <c r="BJ10436" s="46"/>
    </row>
    <row r="10437" spans="59:62" x14ac:dyDescent="0.3">
      <c r="BG10437" s="387"/>
      <c r="BH10437" s="386"/>
      <c r="BI10437" s="386"/>
      <c r="BJ10437" s="46"/>
    </row>
    <row r="10438" spans="59:62" x14ac:dyDescent="0.3">
      <c r="BG10438" s="387"/>
      <c r="BH10438" s="386"/>
      <c r="BI10438" s="386"/>
      <c r="BJ10438" s="46"/>
    </row>
    <row r="10439" spans="59:62" x14ac:dyDescent="0.3">
      <c r="BG10439" s="387"/>
      <c r="BH10439" s="386"/>
      <c r="BI10439" s="386"/>
      <c r="BJ10439" s="46"/>
    </row>
    <row r="10440" spans="59:62" x14ac:dyDescent="0.3">
      <c r="BG10440" s="387"/>
      <c r="BH10440" s="386"/>
      <c r="BI10440" s="386"/>
      <c r="BJ10440" s="46"/>
    </row>
    <row r="10441" spans="59:62" x14ac:dyDescent="0.3">
      <c r="BG10441" s="387"/>
      <c r="BH10441" s="386"/>
      <c r="BI10441" s="386"/>
      <c r="BJ10441" s="46"/>
    </row>
    <row r="10442" spans="59:62" x14ac:dyDescent="0.3">
      <c r="BG10442" s="387"/>
      <c r="BH10442" s="386"/>
      <c r="BI10442" s="386"/>
      <c r="BJ10442" s="46"/>
    </row>
    <row r="10443" spans="59:62" x14ac:dyDescent="0.3">
      <c r="BG10443" s="387"/>
      <c r="BH10443" s="386"/>
      <c r="BI10443" s="386"/>
      <c r="BJ10443" s="46"/>
    </row>
    <row r="10444" spans="59:62" x14ac:dyDescent="0.3">
      <c r="BG10444" s="387"/>
      <c r="BH10444" s="386"/>
      <c r="BI10444" s="386"/>
      <c r="BJ10444" s="46"/>
    </row>
    <row r="10445" spans="59:62" x14ac:dyDescent="0.3">
      <c r="BG10445" s="387"/>
      <c r="BH10445" s="386"/>
      <c r="BI10445" s="386"/>
      <c r="BJ10445" s="46"/>
    </row>
    <row r="10446" spans="59:62" x14ac:dyDescent="0.3">
      <c r="BG10446" s="387"/>
      <c r="BH10446" s="386"/>
      <c r="BI10446" s="386"/>
      <c r="BJ10446" s="46"/>
    </row>
    <row r="10447" spans="59:62" x14ac:dyDescent="0.3">
      <c r="BG10447" s="387"/>
      <c r="BH10447" s="386"/>
      <c r="BI10447" s="386"/>
      <c r="BJ10447" s="46"/>
    </row>
    <row r="10448" spans="59:62" x14ac:dyDescent="0.3">
      <c r="BG10448" s="387"/>
      <c r="BH10448" s="386"/>
      <c r="BI10448" s="386"/>
      <c r="BJ10448" s="46"/>
    </row>
    <row r="10449" spans="59:62" x14ac:dyDescent="0.3">
      <c r="BG10449" s="387"/>
      <c r="BH10449" s="386"/>
      <c r="BI10449" s="386"/>
      <c r="BJ10449" s="46"/>
    </row>
    <row r="10450" spans="59:62" x14ac:dyDescent="0.3">
      <c r="BG10450" s="387"/>
      <c r="BH10450" s="386"/>
      <c r="BI10450" s="386"/>
      <c r="BJ10450" s="46"/>
    </row>
    <row r="10451" spans="59:62" x14ac:dyDescent="0.3">
      <c r="BG10451" s="387"/>
      <c r="BH10451" s="386"/>
      <c r="BI10451" s="386"/>
      <c r="BJ10451" s="46"/>
    </row>
    <row r="10452" spans="59:62" x14ac:dyDescent="0.3">
      <c r="BG10452" s="387"/>
      <c r="BH10452" s="386"/>
      <c r="BI10452" s="386"/>
      <c r="BJ10452" s="46"/>
    </row>
    <row r="10453" spans="59:62" x14ac:dyDescent="0.3">
      <c r="BG10453" s="387"/>
      <c r="BH10453" s="386"/>
      <c r="BI10453" s="386"/>
      <c r="BJ10453" s="46"/>
    </row>
    <row r="10454" spans="59:62" x14ac:dyDescent="0.3">
      <c r="BG10454" s="387"/>
      <c r="BH10454" s="386"/>
      <c r="BI10454" s="386"/>
      <c r="BJ10454" s="46"/>
    </row>
    <row r="10455" spans="59:62" x14ac:dyDescent="0.3">
      <c r="BG10455" s="387"/>
      <c r="BH10455" s="386"/>
      <c r="BI10455" s="386"/>
      <c r="BJ10455" s="46"/>
    </row>
    <row r="10456" spans="59:62" x14ac:dyDescent="0.3">
      <c r="BG10456" s="387"/>
      <c r="BH10456" s="386"/>
      <c r="BI10456" s="386"/>
      <c r="BJ10456" s="46"/>
    </row>
    <row r="10457" spans="59:62" x14ac:dyDescent="0.3">
      <c r="BG10457" s="387"/>
      <c r="BH10457" s="386"/>
      <c r="BI10457" s="386"/>
      <c r="BJ10457" s="46"/>
    </row>
    <row r="10458" spans="59:62" x14ac:dyDescent="0.3">
      <c r="BG10458" s="387"/>
      <c r="BH10458" s="386"/>
      <c r="BI10458" s="386"/>
      <c r="BJ10458" s="46"/>
    </row>
    <row r="10459" spans="59:62" x14ac:dyDescent="0.3">
      <c r="BG10459" s="387"/>
      <c r="BH10459" s="386"/>
      <c r="BI10459" s="386"/>
      <c r="BJ10459" s="46"/>
    </row>
    <row r="10460" spans="59:62" x14ac:dyDescent="0.3">
      <c r="BG10460" s="387"/>
      <c r="BH10460" s="386"/>
      <c r="BI10460" s="386"/>
      <c r="BJ10460" s="46"/>
    </row>
    <row r="10461" spans="59:62" x14ac:dyDescent="0.3">
      <c r="BG10461" s="387"/>
      <c r="BH10461" s="386"/>
      <c r="BI10461" s="386"/>
      <c r="BJ10461" s="46"/>
    </row>
    <row r="10462" spans="59:62" x14ac:dyDescent="0.3">
      <c r="BG10462" s="387"/>
      <c r="BH10462" s="386"/>
      <c r="BI10462" s="386"/>
      <c r="BJ10462" s="46"/>
    </row>
    <row r="10463" spans="59:62" x14ac:dyDescent="0.3">
      <c r="BG10463" s="387"/>
      <c r="BH10463" s="386"/>
      <c r="BI10463" s="386"/>
      <c r="BJ10463" s="46"/>
    </row>
    <row r="10464" spans="59:62" x14ac:dyDescent="0.3">
      <c r="BG10464" s="387"/>
      <c r="BH10464" s="386"/>
      <c r="BI10464" s="386"/>
      <c r="BJ10464" s="46"/>
    </row>
    <row r="10465" spans="59:62" x14ac:dyDescent="0.3">
      <c r="BG10465" s="387"/>
      <c r="BH10465" s="386"/>
      <c r="BI10465" s="386"/>
      <c r="BJ10465" s="46"/>
    </row>
    <row r="10466" spans="59:62" x14ac:dyDescent="0.3">
      <c r="BG10466" s="387"/>
      <c r="BH10466" s="386"/>
      <c r="BI10466" s="386"/>
      <c r="BJ10466" s="46"/>
    </row>
    <row r="10467" spans="59:62" x14ac:dyDescent="0.3">
      <c r="BG10467" s="387"/>
      <c r="BH10467" s="386"/>
      <c r="BI10467" s="386"/>
      <c r="BJ10467" s="46"/>
    </row>
    <row r="10468" spans="59:62" x14ac:dyDescent="0.3">
      <c r="BG10468" s="387"/>
      <c r="BH10468" s="386"/>
      <c r="BI10468" s="386"/>
      <c r="BJ10468" s="46"/>
    </row>
    <row r="10469" spans="59:62" x14ac:dyDescent="0.3">
      <c r="BG10469" s="387"/>
      <c r="BH10469" s="386"/>
      <c r="BI10469" s="386"/>
      <c r="BJ10469" s="46"/>
    </row>
    <row r="10470" spans="59:62" x14ac:dyDescent="0.3">
      <c r="BG10470" s="387"/>
      <c r="BH10470" s="386"/>
      <c r="BI10470" s="386"/>
      <c r="BJ10470" s="46"/>
    </row>
    <row r="10471" spans="59:62" x14ac:dyDescent="0.3">
      <c r="BG10471" s="387"/>
      <c r="BH10471" s="386"/>
      <c r="BI10471" s="386"/>
      <c r="BJ10471" s="46"/>
    </row>
    <row r="10472" spans="59:62" x14ac:dyDescent="0.3">
      <c r="BG10472" s="387"/>
      <c r="BH10472" s="386"/>
      <c r="BI10472" s="386"/>
      <c r="BJ10472" s="46"/>
    </row>
    <row r="10473" spans="59:62" x14ac:dyDescent="0.3">
      <c r="BG10473" s="387"/>
      <c r="BH10473" s="386"/>
      <c r="BI10473" s="386"/>
      <c r="BJ10473" s="46"/>
    </row>
    <row r="10474" spans="59:62" x14ac:dyDescent="0.3">
      <c r="BG10474" s="387"/>
      <c r="BH10474" s="386"/>
      <c r="BI10474" s="386"/>
      <c r="BJ10474" s="46"/>
    </row>
    <row r="10475" spans="59:62" x14ac:dyDescent="0.3">
      <c r="BG10475" s="387"/>
      <c r="BH10475" s="386"/>
      <c r="BI10475" s="386"/>
      <c r="BJ10475" s="46"/>
    </row>
    <row r="10476" spans="59:62" x14ac:dyDescent="0.3">
      <c r="BG10476" s="387"/>
      <c r="BH10476" s="386"/>
      <c r="BI10476" s="386"/>
      <c r="BJ10476" s="46"/>
    </row>
    <row r="10477" spans="59:62" x14ac:dyDescent="0.3">
      <c r="BG10477" s="387"/>
      <c r="BH10477" s="386"/>
      <c r="BI10477" s="386"/>
      <c r="BJ10477" s="46"/>
    </row>
    <row r="10478" spans="59:62" x14ac:dyDescent="0.3">
      <c r="BG10478" s="387"/>
      <c r="BH10478" s="386"/>
      <c r="BI10478" s="386"/>
      <c r="BJ10478" s="46"/>
    </row>
    <row r="10479" spans="59:62" x14ac:dyDescent="0.3">
      <c r="BG10479" s="387"/>
      <c r="BH10479" s="386"/>
      <c r="BI10479" s="386"/>
      <c r="BJ10479" s="46"/>
    </row>
    <row r="10480" spans="59:62" x14ac:dyDescent="0.3">
      <c r="BG10480" s="387"/>
      <c r="BH10480" s="386"/>
      <c r="BI10480" s="386"/>
      <c r="BJ10480" s="46"/>
    </row>
    <row r="10481" spans="59:62" x14ac:dyDescent="0.3">
      <c r="BG10481" s="387"/>
      <c r="BH10481" s="386"/>
      <c r="BI10481" s="386"/>
      <c r="BJ10481" s="46"/>
    </row>
    <row r="10482" spans="59:62" x14ac:dyDescent="0.3">
      <c r="BG10482" s="387"/>
      <c r="BH10482" s="386"/>
      <c r="BI10482" s="386"/>
      <c r="BJ10482" s="46"/>
    </row>
    <row r="10483" spans="59:62" x14ac:dyDescent="0.3">
      <c r="BG10483" s="387"/>
      <c r="BH10483" s="386"/>
      <c r="BI10483" s="386"/>
      <c r="BJ10483" s="46"/>
    </row>
    <row r="10484" spans="59:62" x14ac:dyDescent="0.3">
      <c r="BG10484" s="387"/>
      <c r="BH10484" s="386"/>
      <c r="BI10484" s="386"/>
      <c r="BJ10484" s="46"/>
    </row>
    <row r="10485" spans="59:62" x14ac:dyDescent="0.3">
      <c r="BG10485" s="387"/>
      <c r="BH10485" s="386"/>
      <c r="BI10485" s="386"/>
      <c r="BJ10485" s="46"/>
    </row>
    <row r="10486" spans="59:62" x14ac:dyDescent="0.3">
      <c r="BG10486" s="387"/>
      <c r="BH10486" s="386"/>
      <c r="BI10486" s="386"/>
      <c r="BJ10486" s="46"/>
    </row>
    <row r="10487" spans="59:62" x14ac:dyDescent="0.3">
      <c r="BG10487" s="387"/>
      <c r="BH10487" s="386"/>
      <c r="BI10487" s="386"/>
      <c r="BJ10487" s="46"/>
    </row>
    <row r="10488" spans="59:62" x14ac:dyDescent="0.3">
      <c r="BG10488" s="387"/>
      <c r="BH10488" s="386"/>
      <c r="BI10488" s="386"/>
      <c r="BJ10488" s="46"/>
    </row>
    <row r="10489" spans="59:62" x14ac:dyDescent="0.3">
      <c r="BG10489" s="387"/>
      <c r="BH10489" s="386"/>
      <c r="BI10489" s="386"/>
      <c r="BJ10489" s="46"/>
    </row>
    <row r="10490" spans="59:62" x14ac:dyDescent="0.3">
      <c r="BG10490" s="387"/>
      <c r="BH10490" s="386"/>
      <c r="BI10490" s="386"/>
      <c r="BJ10490" s="46"/>
    </row>
    <row r="10491" spans="59:62" x14ac:dyDescent="0.3">
      <c r="BG10491" s="387"/>
      <c r="BH10491" s="386"/>
      <c r="BI10491" s="386"/>
      <c r="BJ10491" s="46"/>
    </row>
    <row r="10492" spans="59:62" x14ac:dyDescent="0.3">
      <c r="BG10492" s="387"/>
      <c r="BH10492" s="386"/>
      <c r="BI10492" s="386"/>
      <c r="BJ10492" s="46"/>
    </row>
    <row r="10493" spans="59:62" x14ac:dyDescent="0.3">
      <c r="BG10493" s="387"/>
      <c r="BH10493" s="386"/>
      <c r="BI10493" s="386"/>
      <c r="BJ10493" s="46"/>
    </row>
    <row r="10494" spans="59:62" x14ac:dyDescent="0.3">
      <c r="BG10494" s="387"/>
      <c r="BH10494" s="386"/>
      <c r="BI10494" s="386"/>
      <c r="BJ10494" s="46"/>
    </row>
    <row r="10495" spans="59:62" x14ac:dyDescent="0.3">
      <c r="BG10495" s="387"/>
      <c r="BH10495" s="386"/>
      <c r="BI10495" s="386"/>
      <c r="BJ10495" s="46"/>
    </row>
    <row r="10496" spans="59:62" x14ac:dyDescent="0.3">
      <c r="BG10496" s="387"/>
      <c r="BH10496" s="386"/>
      <c r="BI10496" s="386"/>
      <c r="BJ10496" s="46"/>
    </row>
    <row r="10497" spans="59:62" x14ac:dyDescent="0.3">
      <c r="BG10497" s="387"/>
      <c r="BH10497" s="386"/>
      <c r="BI10497" s="386"/>
      <c r="BJ10497" s="46"/>
    </row>
    <row r="10498" spans="59:62" x14ac:dyDescent="0.3">
      <c r="BG10498" s="387"/>
      <c r="BH10498" s="386"/>
      <c r="BI10498" s="386"/>
      <c r="BJ10498" s="46"/>
    </row>
    <row r="10499" spans="59:62" x14ac:dyDescent="0.3">
      <c r="BG10499" s="387"/>
      <c r="BH10499" s="386"/>
      <c r="BI10499" s="386"/>
      <c r="BJ10499" s="46"/>
    </row>
    <row r="10500" spans="59:62" x14ac:dyDescent="0.3">
      <c r="BG10500" s="387"/>
      <c r="BH10500" s="386"/>
      <c r="BI10500" s="386"/>
      <c r="BJ10500" s="46"/>
    </row>
    <row r="10501" spans="59:62" x14ac:dyDescent="0.3">
      <c r="BG10501" s="387"/>
      <c r="BH10501" s="386"/>
      <c r="BI10501" s="386"/>
      <c r="BJ10501" s="46"/>
    </row>
    <row r="10502" spans="59:62" x14ac:dyDescent="0.3">
      <c r="BG10502" s="387"/>
      <c r="BH10502" s="386"/>
      <c r="BI10502" s="386"/>
      <c r="BJ10502" s="46"/>
    </row>
    <row r="10503" spans="59:62" x14ac:dyDescent="0.3">
      <c r="BG10503" s="387"/>
      <c r="BH10503" s="386"/>
      <c r="BI10503" s="386"/>
      <c r="BJ10503" s="46"/>
    </row>
    <row r="10504" spans="59:62" x14ac:dyDescent="0.3">
      <c r="BG10504" s="387"/>
      <c r="BH10504" s="386"/>
      <c r="BI10504" s="386"/>
      <c r="BJ10504" s="46"/>
    </row>
    <row r="10505" spans="59:62" x14ac:dyDescent="0.3">
      <c r="BG10505" s="387"/>
      <c r="BH10505" s="386"/>
      <c r="BI10505" s="386"/>
      <c r="BJ10505" s="46"/>
    </row>
    <row r="10506" spans="59:62" x14ac:dyDescent="0.3">
      <c r="BG10506" s="387"/>
      <c r="BH10506" s="386"/>
      <c r="BI10506" s="386"/>
      <c r="BJ10506" s="46"/>
    </row>
    <row r="10507" spans="59:62" x14ac:dyDescent="0.3">
      <c r="BG10507" s="387"/>
      <c r="BH10507" s="386"/>
      <c r="BI10507" s="386"/>
      <c r="BJ10507" s="46"/>
    </row>
    <row r="10508" spans="59:62" x14ac:dyDescent="0.3">
      <c r="BG10508" s="387"/>
      <c r="BH10508" s="386"/>
      <c r="BI10508" s="386"/>
      <c r="BJ10508" s="46"/>
    </row>
    <row r="10509" spans="59:62" x14ac:dyDescent="0.3">
      <c r="BG10509" s="387"/>
      <c r="BH10509" s="386"/>
      <c r="BI10509" s="386"/>
      <c r="BJ10509" s="46"/>
    </row>
    <row r="10510" spans="59:62" x14ac:dyDescent="0.3">
      <c r="BG10510" s="387"/>
      <c r="BH10510" s="386"/>
      <c r="BI10510" s="386"/>
      <c r="BJ10510" s="46"/>
    </row>
    <row r="10511" spans="59:62" x14ac:dyDescent="0.3">
      <c r="BG10511" s="387"/>
      <c r="BH10511" s="386"/>
      <c r="BI10511" s="386"/>
      <c r="BJ10511" s="46"/>
    </row>
    <row r="10512" spans="59:62" x14ac:dyDescent="0.3">
      <c r="BG10512" s="387"/>
      <c r="BH10512" s="386"/>
      <c r="BI10512" s="386"/>
      <c r="BJ10512" s="46"/>
    </row>
    <row r="10513" spans="59:62" x14ac:dyDescent="0.3">
      <c r="BG10513" s="387"/>
      <c r="BH10513" s="386"/>
      <c r="BI10513" s="386"/>
      <c r="BJ10513" s="46"/>
    </row>
    <row r="10514" spans="59:62" x14ac:dyDescent="0.3">
      <c r="BG10514" s="387"/>
      <c r="BH10514" s="386"/>
      <c r="BI10514" s="386"/>
      <c r="BJ10514" s="46"/>
    </row>
    <row r="10515" spans="59:62" x14ac:dyDescent="0.3">
      <c r="BG10515" s="387"/>
      <c r="BH10515" s="386"/>
      <c r="BI10515" s="386"/>
      <c r="BJ10515" s="46"/>
    </row>
    <row r="10516" spans="59:62" x14ac:dyDescent="0.3">
      <c r="BG10516" s="387"/>
      <c r="BH10516" s="386"/>
      <c r="BI10516" s="386"/>
      <c r="BJ10516" s="46"/>
    </row>
    <row r="10517" spans="59:62" x14ac:dyDescent="0.3">
      <c r="BG10517" s="387"/>
      <c r="BH10517" s="386"/>
      <c r="BI10517" s="386"/>
      <c r="BJ10517" s="46"/>
    </row>
    <row r="10518" spans="59:62" x14ac:dyDescent="0.3">
      <c r="BG10518" s="387"/>
      <c r="BH10518" s="386"/>
      <c r="BI10518" s="386"/>
      <c r="BJ10518" s="46"/>
    </row>
    <row r="10519" spans="59:62" x14ac:dyDescent="0.3">
      <c r="BG10519" s="387"/>
      <c r="BH10519" s="386"/>
      <c r="BI10519" s="386"/>
      <c r="BJ10519" s="46"/>
    </row>
    <row r="10520" spans="59:62" x14ac:dyDescent="0.3">
      <c r="BG10520" s="387"/>
      <c r="BH10520" s="386"/>
      <c r="BI10520" s="386"/>
      <c r="BJ10520" s="46"/>
    </row>
    <row r="10521" spans="59:62" x14ac:dyDescent="0.3">
      <c r="BG10521" s="387"/>
      <c r="BH10521" s="386"/>
      <c r="BI10521" s="386"/>
      <c r="BJ10521" s="46"/>
    </row>
    <row r="10522" spans="59:62" x14ac:dyDescent="0.3">
      <c r="BG10522" s="387"/>
      <c r="BH10522" s="386"/>
      <c r="BI10522" s="386"/>
      <c r="BJ10522" s="46"/>
    </row>
    <row r="10523" spans="59:62" x14ac:dyDescent="0.3">
      <c r="BG10523" s="387"/>
      <c r="BH10523" s="386"/>
      <c r="BI10523" s="386"/>
      <c r="BJ10523" s="46"/>
    </row>
    <row r="10524" spans="59:62" x14ac:dyDescent="0.3">
      <c r="BG10524" s="387"/>
      <c r="BH10524" s="386"/>
      <c r="BI10524" s="386"/>
      <c r="BJ10524" s="46"/>
    </row>
    <row r="10525" spans="59:62" x14ac:dyDescent="0.3">
      <c r="BG10525" s="387"/>
      <c r="BH10525" s="386"/>
      <c r="BI10525" s="386"/>
      <c r="BJ10525" s="46"/>
    </row>
    <row r="10526" spans="59:62" x14ac:dyDescent="0.3">
      <c r="BG10526" s="387"/>
      <c r="BH10526" s="386"/>
      <c r="BI10526" s="386"/>
      <c r="BJ10526" s="46"/>
    </row>
    <row r="10527" spans="59:62" x14ac:dyDescent="0.3">
      <c r="BG10527" s="387"/>
      <c r="BH10527" s="386"/>
      <c r="BI10527" s="386"/>
      <c r="BJ10527" s="46"/>
    </row>
    <row r="10528" spans="59:62" x14ac:dyDescent="0.3">
      <c r="BG10528" s="387"/>
      <c r="BH10528" s="386"/>
      <c r="BI10528" s="386"/>
      <c r="BJ10528" s="46"/>
    </row>
    <row r="10529" spans="59:62" x14ac:dyDescent="0.3">
      <c r="BG10529" s="387"/>
      <c r="BH10529" s="386"/>
      <c r="BI10529" s="386"/>
      <c r="BJ10529" s="46"/>
    </row>
    <row r="10530" spans="59:62" x14ac:dyDescent="0.3">
      <c r="BG10530" s="387"/>
      <c r="BH10530" s="386"/>
      <c r="BI10530" s="386"/>
      <c r="BJ10530" s="46"/>
    </row>
    <row r="10531" spans="59:62" x14ac:dyDescent="0.3">
      <c r="BG10531" s="387"/>
      <c r="BH10531" s="386"/>
      <c r="BI10531" s="386"/>
      <c r="BJ10531" s="46"/>
    </row>
    <row r="10532" spans="59:62" x14ac:dyDescent="0.3">
      <c r="BG10532" s="387"/>
      <c r="BH10532" s="386"/>
      <c r="BI10532" s="386"/>
      <c r="BJ10532" s="46"/>
    </row>
    <row r="10533" spans="59:62" x14ac:dyDescent="0.3">
      <c r="BG10533" s="387"/>
      <c r="BH10533" s="386"/>
      <c r="BI10533" s="386"/>
      <c r="BJ10533" s="46"/>
    </row>
    <row r="10534" spans="59:62" x14ac:dyDescent="0.3">
      <c r="BG10534" s="387"/>
      <c r="BH10534" s="386"/>
      <c r="BI10534" s="386"/>
      <c r="BJ10534" s="46"/>
    </row>
    <row r="10535" spans="59:62" x14ac:dyDescent="0.3">
      <c r="BG10535" s="387"/>
      <c r="BH10535" s="386"/>
      <c r="BI10535" s="386"/>
      <c r="BJ10535" s="46"/>
    </row>
    <row r="10536" spans="59:62" x14ac:dyDescent="0.3">
      <c r="BG10536" s="387"/>
      <c r="BH10536" s="386"/>
      <c r="BI10536" s="386"/>
      <c r="BJ10536" s="46"/>
    </row>
    <row r="10537" spans="59:62" x14ac:dyDescent="0.3">
      <c r="BG10537" s="387"/>
      <c r="BH10537" s="386"/>
      <c r="BI10537" s="386"/>
      <c r="BJ10537" s="46"/>
    </row>
    <row r="10538" spans="59:62" x14ac:dyDescent="0.3">
      <c r="BG10538" s="387"/>
      <c r="BH10538" s="386"/>
      <c r="BI10538" s="386"/>
      <c r="BJ10538" s="46"/>
    </row>
    <row r="10539" spans="59:62" x14ac:dyDescent="0.3">
      <c r="BG10539" s="387"/>
      <c r="BH10539" s="386"/>
      <c r="BI10539" s="386"/>
      <c r="BJ10539" s="46"/>
    </row>
    <row r="10540" spans="59:62" x14ac:dyDescent="0.3">
      <c r="BG10540" s="387"/>
      <c r="BH10540" s="386"/>
      <c r="BI10540" s="386"/>
      <c r="BJ10540" s="46"/>
    </row>
    <row r="10541" spans="59:62" x14ac:dyDescent="0.3">
      <c r="BG10541" s="387"/>
      <c r="BH10541" s="386"/>
      <c r="BI10541" s="386"/>
      <c r="BJ10541" s="46"/>
    </row>
    <row r="10542" spans="59:62" x14ac:dyDescent="0.3">
      <c r="BG10542" s="387"/>
      <c r="BH10542" s="386"/>
      <c r="BI10542" s="386"/>
      <c r="BJ10542" s="46"/>
    </row>
    <row r="10543" spans="59:62" x14ac:dyDescent="0.3">
      <c r="BG10543" s="387"/>
      <c r="BH10543" s="386"/>
      <c r="BI10543" s="386"/>
      <c r="BJ10543" s="46"/>
    </row>
    <row r="10544" spans="59:62" x14ac:dyDescent="0.3">
      <c r="BG10544" s="387"/>
      <c r="BH10544" s="386"/>
      <c r="BI10544" s="386"/>
      <c r="BJ10544" s="46"/>
    </row>
    <row r="10545" spans="59:62" x14ac:dyDescent="0.3">
      <c r="BG10545" s="387"/>
      <c r="BH10545" s="386"/>
      <c r="BI10545" s="386"/>
      <c r="BJ10545" s="46"/>
    </row>
    <row r="10546" spans="59:62" x14ac:dyDescent="0.3">
      <c r="BG10546" s="387"/>
      <c r="BH10546" s="386"/>
      <c r="BI10546" s="386"/>
      <c r="BJ10546" s="46"/>
    </row>
    <row r="10547" spans="59:62" x14ac:dyDescent="0.3">
      <c r="BG10547" s="387"/>
      <c r="BH10547" s="386"/>
      <c r="BI10547" s="386"/>
      <c r="BJ10547" s="46"/>
    </row>
    <row r="10548" spans="59:62" x14ac:dyDescent="0.3">
      <c r="BG10548" s="387"/>
      <c r="BH10548" s="386"/>
      <c r="BI10548" s="386"/>
      <c r="BJ10548" s="46"/>
    </row>
    <row r="10549" spans="59:62" x14ac:dyDescent="0.3">
      <c r="BG10549" s="387"/>
      <c r="BH10549" s="386"/>
      <c r="BI10549" s="386"/>
      <c r="BJ10549" s="46"/>
    </row>
    <row r="10550" spans="59:62" x14ac:dyDescent="0.3">
      <c r="BG10550" s="387"/>
      <c r="BH10550" s="386"/>
      <c r="BI10550" s="386"/>
      <c r="BJ10550" s="46"/>
    </row>
    <row r="10551" spans="59:62" x14ac:dyDescent="0.3">
      <c r="BG10551" s="387"/>
      <c r="BH10551" s="386"/>
      <c r="BI10551" s="386"/>
      <c r="BJ10551" s="46"/>
    </row>
    <row r="10552" spans="59:62" x14ac:dyDescent="0.3">
      <c r="BG10552" s="387"/>
      <c r="BH10552" s="386"/>
      <c r="BI10552" s="386"/>
      <c r="BJ10552" s="46"/>
    </row>
    <row r="10553" spans="59:62" x14ac:dyDescent="0.3">
      <c r="BG10553" s="387"/>
      <c r="BH10553" s="386"/>
      <c r="BI10553" s="386"/>
      <c r="BJ10553" s="46"/>
    </row>
    <row r="10554" spans="59:62" x14ac:dyDescent="0.3">
      <c r="BG10554" s="387"/>
      <c r="BH10554" s="386"/>
      <c r="BI10554" s="386"/>
      <c r="BJ10554" s="46"/>
    </row>
    <row r="10555" spans="59:62" x14ac:dyDescent="0.3">
      <c r="BG10555" s="387"/>
      <c r="BH10555" s="386"/>
      <c r="BI10555" s="386"/>
      <c r="BJ10555" s="46"/>
    </row>
    <row r="10556" spans="59:62" x14ac:dyDescent="0.3">
      <c r="BG10556" s="387"/>
      <c r="BH10556" s="386"/>
      <c r="BI10556" s="386"/>
      <c r="BJ10556" s="46"/>
    </row>
    <row r="10557" spans="59:62" x14ac:dyDescent="0.3">
      <c r="BG10557" s="387"/>
      <c r="BH10557" s="386"/>
      <c r="BI10557" s="386"/>
      <c r="BJ10557" s="46"/>
    </row>
    <row r="10558" spans="59:62" x14ac:dyDescent="0.3">
      <c r="BG10558" s="387"/>
      <c r="BH10558" s="386"/>
      <c r="BI10558" s="386"/>
      <c r="BJ10558" s="46"/>
    </row>
    <row r="10559" spans="59:62" x14ac:dyDescent="0.3">
      <c r="BG10559" s="387"/>
      <c r="BH10559" s="386"/>
      <c r="BI10559" s="386"/>
      <c r="BJ10559" s="46"/>
    </row>
    <row r="10560" spans="59:62" x14ac:dyDescent="0.3">
      <c r="BG10560" s="387"/>
      <c r="BH10560" s="386"/>
      <c r="BI10560" s="386"/>
      <c r="BJ10560" s="46"/>
    </row>
    <row r="10561" spans="59:62" x14ac:dyDescent="0.3">
      <c r="BG10561" s="387"/>
      <c r="BH10561" s="386"/>
      <c r="BI10561" s="386"/>
      <c r="BJ10561" s="46"/>
    </row>
    <row r="10562" spans="59:62" x14ac:dyDescent="0.3">
      <c r="BG10562" s="387"/>
      <c r="BH10562" s="386"/>
      <c r="BI10562" s="386"/>
      <c r="BJ10562" s="46"/>
    </row>
    <row r="10563" spans="59:62" x14ac:dyDescent="0.3">
      <c r="BG10563" s="387"/>
      <c r="BH10563" s="386"/>
      <c r="BI10563" s="386"/>
      <c r="BJ10563" s="46"/>
    </row>
    <row r="10564" spans="59:62" x14ac:dyDescent="0.3">
      <c r="BG10564" s="387"/>
      <c r="BH10564" s="386"/>
      <c r="BI10564" s="386"/>
      <c r="BJ10564" s="46"/>
    </row>
    <row r="10565" spans="59:62" x14ac:dyDescent="0.3">
      <c r="BG10565" s="387"/>
      <c r="BH10565" s="386"/>
      <c r="BI10565" s="386"/>
      <c r="BJ10565" s="46"/>
    </row>
    <row r="10566" spans="59:62" x14ac:dyDescent="0.3">
      <c r="BG10566" s="387"/>
      <c r="BH10566" s="386"/>
      <c r="BI10566" s="386"/>
      <c r="BJ10566" s="46"/>
    </row>
    <row r="10567" spans="59:62" x14ac:dyDescent="0.3">
      <c r="BG10567" s="387"/>
      <c r="BH10567" s="386"/>
      <c r="BI10567" s="386"/>
      <c r="BJ10567" s="46"/>
    </row>
    <row r="10568" spans="59:62" x14ac:dyDescent="0.3">
      <c r="BG10568" s="387"/>
      <c r="BH10568" s="386"/>
      <c r="BI10568" s="386"/>
      <c r="BJ10568" s="46"/>
    </row>
    <row r="10569" spans="59:62" x14ac:dyDescent="0.3">
      <c r="BG10569" s="387"/>
      <c r="BH10569" s="386"/>
      <c r="BI10569" s="386"/>
      <c r="BJ10569" s="46"/>
    </row>
    <row r="10570" spans="59:62" x14ac:dyDescent="0.3">
      <c r="BG10570" s="387"/>
      <c r="BH10570" s="386"/>
      <c r="BI10570" s="386"/>
      <c r="BJ10570" s="46"/>
    </row>
    <row r="10571" spans="59:62" x14ac:dyDescent="0.3">
      <c r="BG10571" s="387"/>
      <c r="BH10571" s="386"/>
      <c r="BI10571" s="386"/>
      <c r="BJ10571" s="46"/>
    </row>
    <row r="10572" spans="59:62" x14ac:dyDescent="0.3">
      <c r="BG10572" s="387"/>
      <c r="BH10572" s="386"/>
      <c r="BI10572" s="386"/>
      <c r="BJ10572" s="46"/>
    </row>
    <row r="10573" spans="59:62" x14ac:dyDescent="0.3">
      <c r="BG10573" s="387"/>
      <c r="BH10573" s="386"/>
      <c r="BI10573" s="386"/>
      <c r="BJ10573" s="46"/>
    </row>
    <row r="10574" spans="59:62" x14ac:dyDescent="0.3">
      <c r="BG10574" s="387"/>
      <c r="BH10574" s="386"/>
      <c r="BI10574" s="386"/>
      <c r="BJ10574" s="46"/>
    </row>
    <row r="10575" spans="59:62" x14ac:dyDescent="0.3">
      <c r="BG10575" s="387"/>
      <c r="BH10575" s="386"/>
      <c r="BI10575" s="386"/>
      <c r="BJ10575" s="46"/>
    </row>
    <row r="10576" spans="59:62" x14ac:dyDescent="0.3">
      <c r="BG10576" s="387"/>
      <c r="BH10576" s="386"/>
      <c r="BI10576" s="386"/>
      <c r="BJ10576" s="46"/>
    </row>
    <row r="10577" spans="59:62" x14ac:dyDescent="0.3">
      <c r="BG10577" s="387"/>
      <c r="BH10577" s="386"/>
      <c r="BI10577" s="386"/>
      <c r="BJ10577" s="46"/>
    </row>
    <row r="10578" spans="59:62" x14ac:dyDescent="0.3">
      <c r="BG10578" s="387"/>
      <c r="BH10578" s="386"/>
      <c r="BI10578" s="386"/>
      <c r="BJ10578" s="46"/>
    </row>
    <row r="10579" spans="59:62" x14ac:dyDescent="0.3">
      <c r="BG10579" s="387"/>
      <c r="BH10579" s="386"/>
      <c r="BI10579" s="386"/>
      <c r="BJ10579" s="46"/>
    </row>
    <row r="10580" spans="59:62" x14ac:dyDescent="0.3">
      <c r="BG10580" s="387"/>
      <c r="BH10580" s="386"/>
      <c r="BI10580" s="386"/>
      <c r="BJ10580" s="46"/>
    </row>
    <row r="10581" spans="59:62" x14ac:dyDescent="0.3">
      <c r="BG10581" s="387"/>
      <c r="BH10581" s="386"/>
      <c r="BI10581" s="386"/>
      <c r="BJ10581" s="46"/>
    </row>
    <row r="10582" spans="59:62" x14ac:dyDescent="0.3">
      <c r="BG10582" s="387"/>
      <c r="BH10582" s="386"/>
      <c r="BI10582" s="386"/>
      <c r="BJ10582" s="46"/>
    </row>
    <row r="10583" spans="59:62" x14ac:dyDescent="0.3">
      <c r="BG10583" s="387"/>
      <c r="BH10583" s="386"/>
      <c r="BI10583" s="386"/>
      <c r="BJ10583" s="46"/>
    </row>
    <row r="10584" spans="59:62" x14ac:dyDescent="0.3">
      <c r="BG10584" s="387"/>
      <c r="BH10584" s="386"/>
      <c r="BI10584" s="386"/>
      <c r="BJ10584" s="46"/>
    </row>
    <row r="10585" spans="59:62" x14ac:dyDescent="0.3">
      <c r="BG10585" s="387"/>
      <c r="BH10585" s="386"/>
      <c r="BI10585" s="386"/>
      <c r="BJ10585" s="46"/>
    </row>
    <row r="10586" spans="59:62" x14ac:dyDescent="0.3">
      <c r="BG10586" s="387"/>
      <c r="BH10586" s="386"/>
      <c r="BI10586" s="386"/>
      <c r="BJ10586" s="46"/>
    </row>
    <row r="10587" spans="59:62" x14ac:dyDescent="0.3">
      <c r="BG10587" s="387"/>
      <c r="BH10587" s="386"/>
      <c r="BI10587" s="386"/>
      <c r="BJ10587" s="46"/>
    </row>
    <row r="10588" spans="59:62" x14ac:dyDescent="0.3">
      <c r="BG10588" s="387"/>
      <c r="BH10588" s="386"/>
      <c r="BI10588" s="386"/>
      <c r="BJ10588" s="46"/>
    </row>
    <row r="10589" spans="59:62" x14ac:dyDescent="0.3">
      <c r="BG10589" s="387"/>
      <c r="BH10589" s="386"/>
      <c r="BI10589" s="386"/>
      <c r="BJ10589" s="46"/>
    </row>
    <row r="10590" spans="59:62" x14ac:dyDescent="0.3">
      <c r="BG10590" s="387"/>
      <c r="BH10590" s="386"/>
      <c r="BI10590" s="386"/>
      <c r="BJ10590" s="46"/>
    </row>
    <row r="10591" spans="59:62" x14ac:dyDescent="0.3">
      <c r="BG10591" s="387"/>
      <c r="BH10591" s="386"/>
      <c r="BI10591" s="386"/>
      <c r="BJ10591" s="46"/>
    </row>
    <row r="10592" spans="59:62" x14ac:dyDescent="0.3">
      <c r="BG10592" s="387"/>
      <c r="BH10592" s="386"/>
      <c r="BI10592" s="386"/>
      <c r="BJ10592" s="46"/>
    </row>
    <row r="10593" spans="59:62" x14ac:dyDescent="0.3">
      <c r="BG10593" s="387"/>
      <c r="BH10593" s="386"/>
      <c r="BI10593" s="386"/>
      <c r="BJ10593" s="46"/>
    </row>
    <row r="10594" spans="59:62" x14ac:dyDescent="0.3">
      <c r="BG10594" s="387"/>
      <c r="BH10594" s="386"/>
      <c r="BI10594" s="386"/>
      <c r="BJ10594" s="46"/>
    </row>
    <row r="10595" spans="59:62" x14ac:dyDescent="0.3">
      <c r="BG10595" s="387"/>
      <c r="BH10595" s="386"/>
      <c r="BI10595" s="386"/>
      <c r="BJ10595" s="46"/>
    </row>
    <row r="10596" spans="59:62" x14ac:dyDescent="0.3">
      <c r="BG10596" s="387"/>
      <c r="BH10596" s="386"/>
      <c r="BI10596" s="386"/>
      <c r="BJ10596" s="46"/>
    </row>
    <row r="10597" spans="59:62" x14ac:dyDescent="0.3">
      <c r="BG10597" s="387"/>
      <c r="BH10597" s="386"/>
      <c r="BI10597" s="386"/>
      <c r="BJ10597" s="46"/>
    </row>
    <row r="10598" spans="59:62" x14ac:dyDescent="0.3">
      <c r="BG10598" s="387"/>
      <c r="BH10598" s="386"/>
      <c r="BI10598" s="386"/>
      <c r="BJ10598" s="46"/>
    </row>
    <row r="10599" spans="59:62" x14ac:dyDescent="0.3">
      <c r="BG10599" s="387"/>
      <c r="BH10599" s="386"/>
      <c r="BI10599" s="386"/>
      <c r="BJ10599" s="46"/>
    </row>
    <row r="10600" spans="59:62" x14ac:dyDescent="0.3">
      <c r="BG10600" s="387"/>
      <c r="BH10600" s="386"/>
      <c r="BI10600" s="386"/>
      <c r="BJ10600" s="46"/>
    </row>
    <row r="10601" spans="59:62" x14ac:dyDescent="0.3">
      <c r="BG10601" s="387"/>
      <c r="BH10601" s="386"/>
      <c r="BI10601" s="386"/>
      <c r="BJ10601" s="46"/>
    </row>
    <row r="10602" spans="59:62" x14ac:dyDescent="0.3">
      <c r="BG10602" s="387"/>
      <c r="BH10602" s="386"/>
      <c r="BI10602" s="386"/>
      <c r="BJ10602" s="46"/>
    </row>
    <row r="10603" spans="59:62" x14ac:dyDescent="0.3">
      <c r="BG10603" s="387"/>
      <c r="BH10603" s="386"/>
      <c r="BI10603" s="386"/>
      <c r="BJ10603" s="46"/>
    </row>
    <row r="10604" spans="59:62" x14ac:dyDescent="0.3">
      <c r="BG10604" s="387"/>
      <c r="BH10604" s="386"/>
      <c r="BI10604" s="386"/>
      <c r="BJ10604" s="46"/>
    </row>
    <row r="10605" spans="59:62" x14ac:dyDescent="0.3">
      <c r="BG10605" s="387"/>
      <c r="BH10605" s="386"/>
      <c r="BI10605" s="386"/>
      <c r="BJ10605" s="46"/>
    </row>
    <row r="10606" spans="59:62" x14ac:dyDescent="0.3">
      <c r="BG10606" s="387"/>
      <c r="BH10606" s="386"/>
      <c r="BI10606" s="386"/>
      <c r="BJ10606" s="46"/>
    </row>
    <row r="10607" spans="59:62" x14ac:dyDescent="0.3">
      <c r="BG10607" s="387"/>
      <c r="BH10607" s="386"/>
      <c r="BI10607" s="386"/>
      <c r="BJ10607" s="46"/>
    </row>
    <row r="10608" spans="59:62" x14ac:dyDescent="0.3">
      <c r="BG10608" s="387"/>
      <c r="BH10608" s="386"/>
      <c r="BI10608" s="386"/>
      <c r="BJ10608" s="46"/>
    </row>
    <row r="10609" spans="59:62" x14ac:dyDescent="0.3">
      <c r="BG10609" s="387"/>
      <c r="BH10609" s="386"/>
      <c r="BI10609" s="386"/>
      <c r="BJ10609" s="46"/>
    </row>
    <row r="10610" spans="59:62" x14ac:dyDescent="0.3">
      <c r="BG10610" s="387"/>
      <c r="BH10610" s="386"/>
      <c r="BI10610" s="386"/>
      <c r="BJ10610" s="46"/>
    </row>
    <row r="10611" spans="59:62" x14ac:dyDescent="0.3">
      <c r="BG10611" s="387"/>
      <c r="BH10611" s="386"/>
      <c r="BI10611" s="386"/>
      <c r="BJ10611" s="46"/>
    </row>
    <row r="10612" spans="59:62" x14ac:dyDescent="0.3">
      <c r="BG10612" s="387"/>
      <c r="BH10612" s="386"/>
      <c r="BI10612" s="386"/>
      <c r="BJ10612" s="46"/>
    </row>
    <row r="10613" spans="59:62" x14ac:dyDescent="0.3">
      <c r="BG10613" s="387"/>
      <c r="BH10613" s="386"/>
      <c r="BI10613" s="386"/>
      <c r="BJ10613" s="46"/>
    </row>
    <row r="10614" spans="59:62" x14ac:dyDescent="0.3">
      <c r="BG10614" s="387"/>
      <c r="BH10614" s="386"/>
      <c r="BI10614" s="386"/>
      <c r="BJ10614" s="46"/>
    </row>
    <row r="10615" spans="59:62" x14ac:dyDescent="0.3">
      <c r="BG10615" s="387"/>
      <c r="BH10615" s="386"/>
      <c r="BI10615" s="386"/>
      <c r="BJ10615" s="46"/>
    </row>
    <row r="10616" spans="59:62" x14ac:dyDescent="0.3">
      <c r="BG10616" s="387"/>
      <c r="BH10616" s="386"/>
      <c r="BI10616" s="386"/>
      <c r="BJ10616" s="46"/>
    </row>
    <row r="10617" spans="59:62" x14ac:dyDescent="0.3">
      <c r="BG10617" s="387"/>
      <c r="BH10617" s="386"/>
      <c r="BI10617" s="386"/>
      <c r="BJ10617" s="46"/>
    </row>
    <row r="10618" spans="59:62" x14ac:dyDescent="0.3">
      <c r="BG10618" s="387"/>
      <c r="BH10618" s="386"/>
      <c r="BI10618" s="386"/>
      <c r="BJ10618" s="46"/>
    </row>
    <row r="10619" spans="59:62" x14ac:dyDescent="0.3">
      <c r="BG10619" s="387"/>
      <c r="BH10619" s="386"/>
      <c r="BI10619" s="386"/>
      <c r="BJ10619" s="46"/>
    </row>
    <row r="10620" spans="59:62" x14ac:dyDescent="0.3">
      <c r="BG10620" s="387"/>
      <c r="BH10620" s="386"/>
      <c r="BI10620" s="386"/>
      <c r="BJ10620" s="46"/>
    </row>
    <row r="10621" spans="59:62" x14ac:dyDescent="0.3">
      <c r="BG10621" s="387"/>
      <c r="BH10621" s="386"/>
      <c r="BI10621" s="386"/>
      <c r="BJ10621" s="46"/>
    </row>
    <row r="10622" spans="59:62" x14ac:dyDescent="0.3">
      <c r="BG10622" s="387"/>
      <c r="BH10622" s="386"/>
      <c r="BI10622" s="386"/>
      <c r="BJ10622" s="46"/>
    </row>
    <row r="10623" spans="59:62" x14ac:dyDescent="0.3">
      <c r="BG10623" s="387"/>
      <c r="BH10623" s="386"/>
      <c r="BI10623" s="386"/>
      <c r="BJ10623" s="46"/>
    </row>
    <row r="10624" spans="59:62" x14ac:dyDescent="0.3">
      <c r="BG10624" s="387"/>
      <c r="BH10624" s="386"/>
      <c r="BI10624" s="386"/>
      <c r="BJ10624" s="46"/>
    </row>
    <row r="10625" spans="59:62" x14ac:dyDescent="0.3">
      <c r="BG10625" s="387"/>
      <c r="BH10625" s="386"/>
      <c r="BI10625" s="386"/>
      <c r="BJ10625" s="46"/>
    </row>
    <row r="10626" spans="59:62" x14ac:dyDescent="0.3">
      <c r="BG10626" s="387"/>
      <c r="BH10626" s="386"/>
      <c r="BI10626" s="386"/>
      <c r="BJ10626" s="46"/>
    </row>
    <row r="10627" spans="59:62" x14ac:dyDescent="0.3">
      <c r="BG10627" s="387"/>
      <c r="BH10627" s="386"/>
      <c r="BI10627" s="386"/>
      <c r="BJ10627" s="46"/>
    </row>
    <row r="10628" spans="59:62" x14ac:dyDescent="0.3">
      <c r="BG10628" s="387"/>
      <c r="BH10628" s="386"/>
      <c r="BI10628" s="386"/>
      <c r="BJ10628" s="46"/>
    </row>
    <row r="10629" spans="59:62" x14ac:dyDescent="0.3">
      <c r="BG10629" s="387"/>
      <c r="BH10629" s="386"/>
      <c r="BI10629" s="386"/>
      <c r="BJ10629" s="46"/>
    </row>
    <row r="10630" spans="59:62" x14ac:dyDescent="0.3">
      <c r="BG10630" s="387"/>
      <c r="BH10630" s="386"/>
      <c r="BI10630" s="386"/>
      <c r="BJ10630" s="46"/>
    </row>
    <row r="10631" spans="59:62" x14ac:dyDescent="0.3">
      <c r="BG10631" s="387"/>
      <c r="BH10631" s="386"/>
      <c r="BI10631" s="386"/>
      <c r="BJ10631" s="46"/>
    </row>
    <row r="10632" spans="59:62" x14ac:dyDescent="0.3">
      <c r="BG10632" s="387"/>
      <c r="BH10632" s="386"/>
      <c r="BI10632" s="386"/>
      <c r="BJ10632" s="46"/>
    </row>
    <row r="10633" spans="59:62" x14ac:dyDescent="0.3">
      <c r="BG10633" s="387"/>
      <c r="BH10633" s="386"/>
      <c r="BI10633" s="386"/>
      <c r="BJ10633" s="46"/>
    </row>
    <row r="10634" spans="59:62" x14ac:dyDescent="0.3">
      <c r="BG10634" s="387"/>
      <c r="BH10634" s="386"/>
      <c r="BI10634" s="386"/>
      <c r="BJ10634" s="46"/>
    </row>
    <row r="10635" spans="59:62" x14ac:dyDescent="0.3">
      <c r="BG10635" s="387"/>
      <c r="BH10635" s="386"/>
      <c r="BI10635" s="386"/>
      <c r="BJ10635" s="46"/>
    </row>
    <row r="10636" spans="59:62" x14ac:dyDescent="0.3">
      <c r="BG10636" s="387"/>
      <c r="BH10636" s="386"/>
      <c r="BI10636" s="386"/>
      <c r="BJ10636" s="46"/>
    </row>
    <row r="10637" spans="59:62" x14ac:dyDescent="0.3">
      <c r="BG10637" s="387"/>
      <c r="BH10637" s="386"/>
      <c r="BI10637" s="386"/>
      <c r="BJ10637" s="46"/>
    </row>
    <row r="10638" spans="59:62" x14ac:dyDescent="0.3">
      <c r="BG10638" s="387"/>
      <c r="BH10638" s="386"/>
      <c r="BI10638" s="386"/>
      <c r="BJ10638" s="46"/>
    </row>
    <row r="10639" spans="59:62" x14ac:dyDescent="0.3">
      <c r="BG10639" s="387"/>
      <c r="BH10639" s="386"/>
      <c r="BI10639" s="386"/>
      <c r="BJ10639" s="46"/>
    </row>
    <row r="10640" spans="59:62" x14ac:dyDescent="0.3">
      <c r="BG10640" s="387"/>
      <c r="BH10640" s="386"/>
      <c r="BI10640" s="386"/>
      <c r="BJ10640" s="46"/>
    </row>
    <row r="10641" spans="59:62" x14ac:dyDescent="0.3">
      <c r="BG10641" s="387"/>
      <c r="BH10641" s="386"/>
      <c r="BI10641" s="386"/>
      <c r="BJ10641" s="46"/>
    </row>
    <row r="10642" spans="59:62" x14ac:dyDescent="0.3">
      <c r="BG10642" s="387"/>
      <c r="BH10642" s="386"/>
      <c r="BI10642" s="386"/>
      <c r="BJ10642" s="46"/>
    </row>
    <row r="10643" spans="59:62" x14ac:dyDescent="0.3">
      <c r="BG10643" s="387"/>
      <c r="BH10643" s="386"/>
      <c r="BI10643" s="386"/>
      <c r="BJ10643" s="46"/>
    </row>
    <row r="10644" spans="59:62" x14ac:dyDescent="0.3">
      <c r="BG10644" s="387"/>
      <c r="BH10644" s="386"/>
      <c r="BI10644" s="386"/>
      <c r="BJ10644" s="46"/>
    </row>
    <row r="10645" spans="59:62" x14ac:dyDescent="0.3">
      <c r="BG10645" s="387"/>
      <c r="BH10645" s="386"/>
      <c r="BI10645" s="386"/>
      <c r="BJ10645" s="46"/>
    </row>
    <row r="10646" spans="59:62" x14ac:dyDescent="0.3">
      <c r="BG10646" s="387"/>
      <c r="BH10646" s="386"/>
      <c r="BI10646" s="386"/>
      <c r="BJ10646" s="46"/>
    </row>
    <row r="10647" spans="59:62" x14ac:dyDescent="0.3">
      <c r="BG10647" s="387"/>
      <c r="BH10647" s="386"/>
      <c r="BI10647" s="386"/>
      <c r="BJ10647" s="46"/>
    </row>
    <row r="10648" spans="59:62" x14ac:dyDescent="0.3">
      <c r="BG10648" s="387"/>
      <c r="BH10648" s="386"/>
      <c r="BI10648" s="386"/>
      <c r="BJ10648" s="46"/>
    </row>
    <row r="10649" spans="59:62" x14ac:dyDescent="0.3">
      <c r="BG10649" s="387"/>
      <c r="BH10649" s="386"/>
      <c r="BI10649" s="386"/>
      <c r="BJ10649" s="46"/>
    </row>
    <row r="10650" spans="59:62" x14ac:dyDescent="0.3">
      <c r="BG10650" s="387"/>
      <c r="BH10650" s="386"/>
      <c r="BI10650" s="386"/>
      <c r="BJ10650" s="46"/>
    </row>
    <row r="10651" spans="59:62" x14ac:dyDescent="0.3">
      <c r="BG10651" s="387"/>
      <c r="BH10651" s="386"/>
      <c r="BI10651" s="386"/>
      <c r="BJ10651" s="46"/>
    </row>
    <row r="10652" spans="59:62" x14ac:dyDescent="0.3">
      <c r="BG10652" s="387"/>
      <c r="BH10652" s="386"/>
      <c r="BI10652" s="386"/>
      <c r="BJ10652" s="46"/>
    </row>
    <row r="10653" spans="59:62" x14ac:dyDescent="0.3">
      <c r="BG10653" s="387"/>
      <c r="BH10653" s="386"/>
      <c r="BI10653" s="386"/>
      <c r="BJ10653" s="46"/>
    </row>
    <row r="10654" spans="59:62" x14ac:dyDescent="0.3">
      <c r="BG10654" s="387"/>
      <c r="BH10654" s="386"/>
      <c r="BI10654" s="386"/>
      <c r="BJ10654" s="46"/>
    </row>
    <row r="10655" spans="59:62" x14ac:dyDescent="0.3">
      <c r="BG10655" s="387"/>
      <c r="BH10655" s="386"/>
      <c r="BI10655" s="386"/>
      <c r="BJ10655" s="46"/>
    </row>
    <row r="10656" spans="59:62" x14ac:dyDescent="0.3">
      <c r="BG10656" s="387"/>
      <c r="BH10656" s="386"/>
      <c r="BI10656" s="386"/>
      <c r="BJ10656" s="46"/>
    </row>
    <row r="10657" spans="59:62" x14ac:dyDescent="0.3">
      <c r="BG10657" s="387"/>
      <c r="BH10657" s="386"/>
      <c r="BI10657" s="386"/>
      <c r="BJ10657" s="46"/>
    </row>
    <row r="10658" spans="59:62" x14ac:dyDescent="0.3">
      <c r="BG10658" s="387"/>
      <c r="BH10658" s="386"/>
      <c r="BI10658" s="386"/>
      <c r="BJ10658" s="46"/>
    </row>
    <row r="10659" spans="59:62" x14ac:dyDescent="0.3">
      <c r="BG10659" s="387"/>
      <c r="BH10659" s="386"/>
      <c r="BI10659" s="386"/>
      <c r="BJ10659" s="46"/>
    </row>
    <row r="10660" spans="59:62" x14ac:dyDescent="0.3">
      <c r="BG10660" s="387"/>
      <c r="BH10660" s="386"/>
      <c r="BI10660" s="386"/>
      <c r="BJ10660" s="46"/>
    </row>
    <row r="10661" spans="59:62" x14ac:dyDescent="0.3">
      <c r="BG10661" s="387"/>
      <c r="BH10661" s="386"/>
      <c r="BI10661" s="386"/>
      <c r="BJ10661" s="46"/>
    </row>
    <row r="10662" spans="59:62" x14ac:dyDescent="0.3">
      <c r="BG10662" s="387"/>
      <c r="BH10662" s="386"/>
      <c r="BI10662" s="386"/>
      <c r="BJ10662" s="46"/>
    </row>
    <row r="10663" spans="59:62" x14ac:dyDescent="0.3">
      <c r="BG10663" s="387"/>
      <c r="BH10663" s="386"/>
      <c r="BI10663" s="386"/>
      <c r="BJ10663" s="46"/>
    </row>
    <row r="10664" spans="59:62" x14ac:dyDescent="0.3">
      <c r="BG10664" s="387"/>
      <c r="BH10664" s="386"/>
      <c r="BI10664" s="386"/>
      <c r="BJ10664" s="46"/>
    </row>
    <row r="10665" spans="59:62" x14ac:dyDescent="0.3">
      <c r="BG10665" s="387"/>
      <c r="BH10665" s="386"/>
      <c r="BI10665" s="386"/>
      <c r="BJ10665" s="46"/>
    </row>
    <row r="10666" spans="59:62" x14ac:dyDescent="0.3">
      <c r="BG10666" s="387"/>
      <c r="BH10666" s="386"/>
      <c r="BI10666" s="386"/>
      <c r="BJ10666" s="46"/>
    </row>
    <row r="10667" spans="59:62" x14ac:dyDescent="0.3">
      <c r="BG10667" s="387"/>
      <c r="BH10667" s="386"/>
      <c r="BI10667" s="386"/>
      <c r="BJ10667" s="46"/>
    </row>
    <row r="10668" spans="59:62" x14ac:dyDescent="0.3">
      <c r="BG10668" s="387"/>
      <c r="BH10668" s="386"/>
      <c r="BI10668" s="386"/>
      <c r="BJ10668" s="46"/>
    </row>
    <row r="10669" spans="59:62" x14ac:dyDescent="0.3">
      <c r="BG10669" s="387"/>
      <c r="BH10669" s="386"/>
      <c r="BI10669" s="386"/>
      <c r="BJ10669" s="46"/>
    </row>
    <row r="10670" spans="59:62" x14ac:dyDescent="0.3">
      <c r="BG10670" s="387"/>
      <c r="BH10670" s="386"/>
      <c r="BI10670" s="386"/>
      <c r="BJ10670" s="46"/>
    </row>
    <row r="10671" spans="59:62" x14ac:dyDescent="0.3">
      <c r="BG10671" s="387"/>
      <c r="BH10671" s="386"/>
      <c r="BI10671" s="386"/>
      <c r="BJ10671" s="46"/>
    </row>
    <row r="10672" spans="59:62" x14ac:dyDescent="0.3">
      <c r="BG10672" s="387"/>
      <c r="BH10672" s="386"/>
      <c r="BI10672" s="386"/>
      <c r="BJ10672" s="46"/>
    </row>
    <row r="10673" spans="59:62" x14ac:dyDescent="0.3">
      <c r="BG10673" s="387"/>
      <c r="BH10673" s="386"/>
      <c r="BI10673" s="386"/>
      <c r="BJ10673" s="46"/>
    </row>
    <row r="10674" spans="59:62" x14ac:dyDescent="0.3">
      <c r="BG10674" s="387"/>
      <c r="BH10674" s="386"/>
      <c r="BI10674" s="386"/>
      <c r="BJ10674" s="46"/>
    </row>
    <row r="10675" spans="59:62" x14ac:dyDescent="0.3">
      <c r="BG10675" s="387"/>
      <c r="BH10675" s="386"/>
      <c r="BI10675" s="386"/>
      <c r="BJ10675" s="46"/>
    </row>
    <row r="10676" spans="59:62" x14ac:dyDescent="0.3">
      <c r="BG10676" s="387"/>
      <c r="BH10676" s="386"/>
      <c r="BI10676" s="386"/>
      <c r="BJ10676" s="46"/>
    </row>
    <row r="10677" spans="59:62" x14ac:dyDescent="0.3">
      <c r="BG10677" s="387"/>
      <c r="BH10677" s="386"/>
      <c r="BI10677" s="386"/>
      <c r="BJ10677" s="46"/>
    </row>
    <row r="10678" spans="59:62" x14ac:dyDescent="0.3">
      <c r="BG10678" s="387"/>
      <c r="BH10678" s="386"/>
      <c r="BI10678" s="386"/>
      <c r="BJ10678" s="46"/>
    </row>
    <row r="10679" spans="59:62" x14ac:dyDescent="0.3">
      <c r="BG10679" s="387"/>
      <c r="BH10679" s="386"/>
      <c r="BI10679" s="386"/>
      <c r="BJ10679" s="46"/>
    </row>
    <row r="10680" spans="59:62" x14ac:dyDescent="0.3">
      <c r="BG10680" s="387"/>
      <c r="BH10680" s="386"/>
      <c r="BI10680" s="386"/>
      <c r="BJ10680" s="46"/>
    </row>
    <row r="10681" spans="59:62" x14ac:dyDescent="0.3">
      <c r="BG10681" s="387"/>
      <c r="BH10681" s="386"/>
      <c r="BI10681" s="386"/>
      <c r="BJ10681" s="46"/>
    </row>
    <row r="10682" spans="59:62" x14ac:dyDescent="0.3">
      <c r="BG10682" s="387"/>
      <c r="BH10682" s="386"/>
      <c r="BI10682" s="386"/>
      <c r="BJ10682" s="46"/>
    </row>
    <row r="10683" spans="59:62" x14ac:dyDescent="0.3">
      <c r="BG10683" s="387"/>
      <c r="BH10683" s="386"/>
      <c r="BI10683" s="386"/>
      <c r="BJ10683" s="46"/>
    </row>
    <row r="10684" spans="59:62" x14ac:dyDescent="0.3">
      <c r="BG10684" s="387"/>
      <c r="BH10684" s="386"/>
      <c r="BI10684" s="386"/>
      <c r="BJ10684" s="46"/>
    </row>
    <row r="10685" spans="59:62" x14ac:dyDescent="0.3">
      <c r="BG10685" s="387"/>
      <c r="BH10685" s="386"/>
      <c r="BI10685" s="386"/>
      <c r="BJ10685" s="46"/>
    </row>
    <row r="10686" spans="59:62" x14ac:dyDescent="0.3">
      <c r="BG10686" s="387"/>
      <c r="BH10686" s="386"/>
      <c r="BI10686" s="386"/>
      <c r="BJ10686" s="46"/>
    </row>
    <row r="10687" spans="59:62" x14ac:dyDescent="0.3">
      <c r="BG10687" s="387"/>
      <c r="BH10687" s="386"/>
      <c r="BI10687" s="386"/>
      <c r="BJ10687" s="46"/>
    </row>
    <row r="10688" spans="59:62" x14ac:dyDescent="0.3">
      <c r="BG10688" s="387"/>
      <c r="BH10688" s="386"/>
      <c r="BI10688" s="386"/>
      <c r="BJ10688" s="46"/>
    </row>
    <row r="10689" spans="59:62" x14ac:dyDescent="0.3">
      <c r="BG10689" s="387"/>
      <c r="BH10689" s="386"/>
      <c r="BI10689" s="386"/>
      <c r="BJ10689" s="46"/>
    </row>
    <row r="10690" spans="59:62" x14ac:dyDescent="0.3">
      <c r="BG10690" s="387"/>
      <c r="BH10690" s="386"/>
      <c r="BI10690" s="386"/>
      <c r="BJ10690" s="46"/>
    </row>
    <row r="10691" spans="59:62" x14ac:dyDescent="0.3">
      <c r="BG10691" s="387"/>
      <c r="BH10691" s="386"/>
      <c r="BI10691" s="386"/>
      <c r="BJ10691" s="46"/>
    </row>
    <row r="10692" spans="59:62" x14ac:dyDescent="0.3">
      <c r="BG10692" s="387"/>
      <c r="BH10692" s="386"/>
      <c r="BI10692" s="386"/>
      <c r="BJ10692" s="46"/>
    </row>
    <row r="10693" spans="59:62" x14ac:dyDescent="0.3">
      <c r="BG10693" s="387"/>
      <c r="BH10693" s="386"/>
      <c r="BI10693" s="386"/>
      <c r="BJ10693" s="46"/>
    </row>
    <row r="10694" spans="59:62" x14ac:dyDescent="0.3">
      <c r="BG10694" s="387"/>
      <c r="BH10694" s="386"/>
      <c r="BI10694" s="386"/>
      <c r="BJ10694" s="46"/>
    </row>
    <row r="10695" spans="59:62" x14ac:dyDescent="0.3">
      <c r="BG10695" s="387"/>
      <c r="BH10695" s="386"/>
      <c r="BI10695" s="386"/>
      <c r="BJ10695" s="46"/>
    </row>
    <row r="10696" spans="59:62" x14ac:dyDescent="0.3">
      <c r="BG10696" s="387"/>
      <c r="BH10696" s="386"/>
      <c r="BI10696" s="386"/>
      <c r="BJ10696" s="46"/>
    </row>
    <row r="10697" spans="59:62" x14ac:dyDescent="0.3">
      <c r="BG10697" s="387"/>
      <c r="BH10697" s="386"/>
      <c r="BI10697" s="386"/>
      <c r="BJ10697" s="46"/>
    </row>
    <row r="10698" spans="59:62" x14ac:dyDescent="0.3">
      <c r="BG10698" s="387"/>
      <c r="BH10698" s="386"/>
      <c r="BI10698" s="386"/>
      <c r="BJ10698" s="46"/>
    </row>
    <row r="10699" spans="59:62" x14ac:dyDescent="0.3">
      <c r="BG10699" s="387"/>
      <c r="BH10699" s="386"/>
      <c r="BI10699" s="386"/>
      <c r="BJ10699" s="46"/>
    </row>
    <row r="10700" spans="59:62" x14ac:dyDescent="0.3">
      <c r="BG10700" s="387"/>
      <c r="BH10700" s="386"/>
      <c r="BI10700" s="386"/>
      <c r="BJ10700" s="46"/>
    </row>
    <row r="10701" spans="59:62" x14ac:dyDescent="0.3">
      <c r="BG10701" s="387"/>
      <c r="BH10701" s="386"/>
      <c r="BI10701" s="386"/>
      <c r="BJ10701" s="46"/>
    </row>
    <row r="10702" spans="59:62" x14ac:dyDescent="0.3">
      <c r="BG10702" s="387"/>
      <c r="BH10702" s="386"/>
      <c r="BI10702" s="386"/>
      <c r="BJ10702" s="46"/>
    </row>
    <row r="10703" spans="59:62" x14ac:dyDescent="0.3">
      <c r="BG10703" s="387"/>
      <c r="BH10703" s="386"/>
      <c r="BI10703" s="386"/>
      <c r="BJ10703" s="46"/>
    </row>
    <row r="10704" spans="59:62" x14ac:dyDescent="0.3">
      <c r="BG10704" s="387"/>
      <c r="BH10704" s="386"/>
      <c r="BI10704" s="386"/>
      <c r="BJ10704" s="46"/>
    </row>
    <row r="10705" spans="59:62" x14ac:dyDescent="0.3">
      <c r="BG10705" s="387"/>
      <c r="BH10705" s="386"/>
      <c r="BI10705" s="386"/>
      <c r="BJ10705" s="46"/>
    </row>
    <row r="10706" spans="59:62" x14ac:dyDescent="0.3">
      <c r="BG10706" s="387"/>
      <c r="BH10706" s="386"/>
      <c r="BI10706" s="386"/>
      <c r="BJ10706" s="46"/>
    </row>
    <row r="10707" spans="59:62" x14ac:dyDescent="0.3">
      <c r="BG10707" s="387"/>
      <c r="BH10707" s="386"/>
      <c r="BI10707" s="386"/>
      <c r="BJ10707" s="46"/>
    </row>
    <row r="10708" spans="59:62" x14ac:dyDescent="0.3">
      <c r="BG10708" s="387"/>
      <c r="BH10708" s="386"/>
      <c r="BI10708" s="386"/>
      <c r="BJ10708" s="46"/>
    </row>
    <row r="10709" spans="59:62" x14ac:dyDescent="0.3">
      <c r="BG10709" s="387"/>
      <c r="BH10709" s="386"/>
      <c r="BI10709" s="386"/>
      <c r="BJ10709" s="46"/>
    </row>
    <row r="10710" spans="59:62" x14ac:dyDescent="0.3">
      <c r="BG10710" s="387"/>
      <c r="BH10710" s="386"/>
      <c r="BI10710" s="386"/>
      <c r="BJ10710" s="46"/>
    </row>
    <row r="10711" spans="59:62" x14ac:dyDescent="0.3">
      <c r="BG10711" s="387"/>
      <c r="BH10711" s="386"/>
      <c r="BI10711" s="386"/>
      <c r="BJ10711" s="46"/>
    </row>
    <row r="10712" spans="59:62" x14ac:dyDescent="0.3">
      <c r="BG10712" s="387"/>
      <c r="BH10712" s="386"/>
      <c r="BI10712" s="386"/>
      <c r="BJ10712" s="46"/>
    </row>
    <row r="10713" spans="59:62" x14ac:dyDescent="0.3">
      <c r="BG10713" s="387"/>
      <c r="BH10713" s="386"/>
      <c r="BI10713" s="386"/>
      <c r="BJ10713" s="46"/>
    </row>
    <row r="10714" spans="59:62" x14ac:dyDescent="0.3">
      <c r="BG10714" s="387"/>
      <c r="BH10714" s="386"/>
      <c r="BI10714" s="386"/>
      <c r="BJ10714" s="46"/>
    </row>
    <row r="10715" spans="59:62" x14ac:dyDescent="0.3">
      <c r="BG10715" s="387"/>
      <c r="BH10715" s="386"/>
      <c r="BI10715" s="386"/>
      <c r="BJ10715" s="46"/>
    </row>
    <row r="10716" spans="59:62" x14ac:dyDescent="0.3">
      <c r="BG10716" s="387"/>
      <c r="BH10716" s="386"/>
      <c r="BI10716" s="386"/>
      <c r="BJ10716" s="46"/>
    </row>
    <row r="10717" spans="59:62" x14ac:dyDescent="0.3">
      <c r="BG10717" s="387"/>
      <c r="BH10717" s="386"/>
      <c r="BI10717" s="386"/>
      <c r="BJ10717" s="46"/>
    </row>
    <row r="10718" spans="59:62" x14ac:dyDescent="0.3">
      <c r="BG10718" s="387"/>
      <c r="BH10718" s="386"/>
      <c r="BI10718" s="386"/>
      <c r="BJ10718" s="46"/>
    </row>
    <row r="10719" spans="59:62" x14ac:dyDescent="0.3">
      <c r="BG10719" s="387"/>
      <c r="BH10719" s="386"/>
      <c r="BI10719" s="386"/>
      <c r="BJ10719" s="46"/>
    </row>
    <row r="10720" spans="59:62" x14ac:dyDescent="0.3">
      <c r="BG10720" s="387"/>
      <c r="BH10720" s="386"/>
      <c r="BI10720" s="386"/>
      <c r="BJ10720" s="46"/>
    </row>
    <row r="10721" spans="59:62" x14ac:dyDescent="0.3">
      <c r="BG10721" s="387"/>
      <c r="BH10721" s="386"/>
      <c r="BI10721" s="386"/>
      <c r="BJ10721" s="46"/>
    </row>
    <row r="10722" spans="59:62" x14ac:dyDescent="0.3">
      <c r="BG10722" s="387"/>
      <c r="BH10722" s="386"/>
      <c r="BI10722" s="386"/>
      <c r="BJ10722" s="46"/>
    </row>
    <row r="10723" spans="59:62" x14ac:dyDescent="0.3">
      <c r="BG10723" s="387"/>
      <c r="BH10723" s="386"/>
      <c r="BI10723" s="386"/>
      <c r="BJ10723" s="46"/>
    </row>
    <row r="10724" spans="59:62" x14ac:dyDescent="0.3">
      <c r="BG10724" s="387"/>
      <c r="BH10724" s="386"/>
      <c r="BI10724" s="386"/>
      <c r="BJ10724" s="46"/>
    </row>
    <row r="10725" spans="59:62" x14ac:dyDescent="0.3">
      <c r="BG10725" s="387"/>
      <c r="BH10725" s="386"/>
      <c r="BI10725" s="386"/>
      <c r="BJ10725" s="46"/>
    </row>
    <row r="10726" spans="59:62" x14ac:dyDescent="0.3">
      <c r="BG10726" s="387"/>
      <c r="BH10726" s="386"/>
      <c r="BI10726" s="386"/>
      <c r="BJ10726" s="46"/>
    </row>
    <row r="10727" spans="59:62" x14ac:dyDescent="0.3">
      <c r="BG10727" s="387"/>
      <c r="BH10727" s="386"/>
      <c r="BI10727" s="386"/>
      <c r="BJ10727" s="46"/>
    </row>
    <row r="10728" spans="59:62" x14ac:dyDescent="0.3">
      <c r="BG10728" s="387"/>
      <c r="BH10728" s="386"/>
      <c r="BI10728" s="386"/>
      <c r="BJ10728" s="46"/>
    </row>
    <row r="10729" spans="59:62" x14ac:dyDescent="0.3">
      <c r="BG10729" s="387"/>
      <c r="BH10729" s="386"/>
      <c r="BI10729" s="386"/>
      <c r="BJ10729" s="46"/>
    </row>
    <row r="10730" spans="59:62" x14ac:dyDescent="0.3">
      <c r="BG10730" s="387"/>
      <c r="BH10730" s="386"/>
      <c r="BI10730" s="386"/>
      <c r="BJ10730" s="46"/>
    </row>
    <row r="10731" spans="59:62" x14ac:dyDescent="0.3">
      <c r="BG10731" s="387"/>
      <c r="BH10731" s="386"/>
      <c r="BI10731" s="386"/>
      <c r="BJ10731" s="46"/>
    </row>
    <row r="10732" spans="59:62" x14ac:dyDescent="0.3">
      <c r="BG10732" s="387"/>
      <c r="BH10732" s="386"/>
      <c r="BI10732" s="386"/>
      <c r="BJ10732" s="46"/>
    </row>
    <row r="10733" spans="59:62" x14ac:dyDescent="0.3">
      <c r="BG10733" s="387"/>
      <c r="BH10733" s="386"/>
      <c r="BI10733" s="386"/>
      <c r="BJ10733" s="46"/>
    </row>
    <row r="10734" spans="59:62" x14ac:dyDescent="0.3">
      <c r="BG10734" s="387"/>
      <c r="BH10734" s="386"/>
      <c r="BI10734" s="386"/>
      <c r="BJ10734" s="46"/>
    </row>
    <row r="10735" spans="59:62" x14ac:dyDescent="0.3">
      <c r="BG10735" s="387"/>
      <c r="BH10735" s="386"/>
      <c r="BI10735" s="386"/>
      <c r="BJ10735" s="46"/>
    </row>
    <row r="10736" spans="59:62" x14ac:dyDescent="0.3">
      <c r="BG10736" s="387"/>
      <c r="BH10736" s="386"/>
      <c r="BI10736" s="386"/>
      <c r="BJ10736" s="46"/>
    </row>
    <row r="10737" spans="59:62" x14ac:dyDescent="0.3">
      <c r="BG10737" s="387"/>
      <c r="BH10737" s="386"/>
      <c r="BI10737" s="386"/>
      <c r="BJ10737" s="46"/>
    </row>
    <row r="10738" spans="59:62" x14ac:dyDescent="0.3">
      <c r="BG10738" s="387"/>
      <c r="BH10738" s="386"/>
      <c r="BI10738" s="386"/>
      <c r="BJ10738" s="46"/>
    </row>
    <row r="10739" spans="59:62" x14ac:dyDescent="0.3">
      <c r="BG10739" s="387"/>
      <c r="BH10739" s="386"/>
      <c r="BI10739" s="386"/>
      <c r="BJ10739" s="46"/>
    </row>
    <row r="10740" spans="59:62" x14ac:dyDescent="0.3">
      <c r="BG10740" s="387"/>
      <c r="BH10740" s="386"/>
      <c r="BI10740" s="386"/>
      <c r="BJ10740" s="46"/>
    </row>
    <row r="10741" spans="59:62" x14ac:dyDescent="0.3">
      <c r="BG10741" s="387"/>
      <c r="BH10741" s="386"/>
      <c r="BI10741" s="386"/>
      <c r="BJ10741" s="46"/>
    </row>
    <row r="10742" spans="59:62" x14ac:dyDescent="0.3">
      <c r="BG10742" s="387"/>
      <c r="BH10742" s="386"/>
      <c r="BI10742" s="386"/>
      <c r="BJ10742" s="46"/>
    </row>
    <row r="10743" spans="59:62" x14ac:dyDescent="0.3">
      <c r="BG10743" s="387"/>
      <c r="BH10743" s="386"/>
      <c r="BI10743" s="386"/>
      <c r="BJ10743" s="46"/>
    </row>
    <row r="10744" spans="59:62" x14ac:dyDescent="0.3">
      <c r="BG10744" s="387"/>
      <c r="BH10744" s="386"/>
      <c r="BI10744" s="386"/>
      <c r="BJ10744" s="46"/>
    </row>
    <row r="10745" spans="59:62" x14ac:dyDescent="0.3">
      <c r="BG10745" s="387"/>
      <c r="BH10745" s="386"/>
      <c r="BI10745" s="386"/>
      <c r="BJ10745" s="46"/>
    </row>
    <row r="10746" spans="59:62" x14ac:dyDescent="0.3">
      <c r="BG10746" s="387"/>
      <c r="BH10746" s="386"/>
      <c r="BI10746" s="386"/>
      <c r="BJ10746" s="46"/>
    </row>
    <row r="10747" spans="59:62" x14ac:dyDescent="0.3">
      <c r="BG10747" s="387"/>
      <c r="BH10747" s="386"/>
      <c r="BI10747" s="386"/>
      <c r="BJ10747" s="46"/>
    </row>
    <row r="10748" spans="59:62" x14ac:dyDescent="0.3">
      <c r="BG10748" s="387"/>
      <c r="BH10748" s="386"/>
      <c r="BI10748" s="386"/>
      <c r="BJ10748" s="46"/>
    </row>
    <row r="10749" spans="59:62" x14ac:dyDescent="0.3">
      <c r="BG10749" s="387"/>
      <c r="BH10749" s="386"/>
      <c r="BI10749" s="386"/>
      <c r="BJ10749" s="46"/>
    </row>
    <row r="10750" spans="59:62" x14ac:dyDescent="0.3">
      <c r="BG10750" s="387"/>
      <c r="BH10750" s="386"/>
      <c r="BI10750" s="386"/>
      <c r="BJ10750" s="46"/>
    </row>
    <row r="10751" spans="59:62" x14ac:dyDescent="0.3">
      <c r="BG10751" s="387"/>
      <c r="BH10751" s="386"/>
      <c r="BI10751" s="386"/>
      <c r="BJ10751" s="46"/>
    </row>
    <row r="10752" spans="59:62" x14ac:dyDescent="0.3">
      <c r="BG10752" s="387"/>
      <c r="BH10752" s="386"/>
      <c r="BI10752" s="386"/>
      <c r="BJ10752" s="46"/>
    </row>
    <row r="10753" spans="59:62" x14ac:dyDescent="0.3">
      <c r="BG10753" s="387"/>
      <c r="BH10753" s="386"/>
      <c r="BI10753" s="386"/>
      <c r="BJ10753" s="46"/>
    </row>
    <row r="10754" spans="59:62" x14ac:dyDescent="0.3">
      <c r="BG10754" s="387"/>
      <c r="BH10754" s="386"/>
      <c r="BI10754" s="386"/>
      <c r="BJ10754" s="46"/>
    </row>
    <row r="10755" spans="59:62" x14ac:dyDescent="0.3">
      <c r="BG10755" s="387"/>
      <c r="BH10755" s="386"/>
      <c r="BI10755" s="386"/>
      <c r="BJ10755" s="46"/>
    </row>
    <row r="10756" spans="59:62" x14ac:dyDescent="0.3">
      <c r="BG10756" s="387"/>
      <c r="BH10756" s="386"/>
      <c r="BI10756" s="386"/>
      <c r="BJ10756" s="46"/>
    </row>
    <row r="10757" spans="59:62" x14ac:dyDescent="0.3">
      <c r="BG10757" s="387"/>
      <c r="BH10757" s="386"/>
      <c r="BI10757" s="386"/>
      <c r="BJ10757" s="46"/>
    </row>
    <row r="10758" spans="59:62" x14ac:dyDescent="0.3">
      <c r="BG10758" s="387"/>
      <c r="BH10758" s="386"/>
      <c r="BI10758" s="386"/>
      <c r="BJ10758" s="46"/>
    </row>
    <row r="10759" spans="59:62" x14ac:dyDescent="0.3">
      <c r="BG10759" s="387"/>
      <c r="BH10759" s="386"/>
      <c r="BI10759" s="386"/>
      <c r="BJ10759" s="46"/>
    </row>
    <row r="10760" spans="59:62" x14ac:dyDescent="0.3">
      <c r="BG10760" s="387"/>
      <c r="BH10760" s="386"/>
      <c r="BI10760" s="386"/>
      <c r="BJ10760" s="46"/>
    </row>
    <row r="10761" spans="59:62" x14ac:dyDescent="0.3">
      <c r="BG10761" s="387"/>
      <c r="BH10761" s="386"/>
      <c r="BI10761" s="386"/>
      <c r="BJ10761" s="46"/>
    </row>
    <row r="10762" spans="59:62" x14ac:dyDescent="0.3">
      <c r="BG10762" s="387"/>
      <c r="BH10762" s="386"/>
      <c r="BI10762" s="386"/>
      <c r="BJ10762" s="46"/>
    </row>
    <row r="10763" spans="59:62" x14ac:dyDescent="0.3">
      <c r="BG10763" s="387"/>
      <c r="BH10763" s="386"/>
      <c r="BI10763" s="386"/>
      <c r="BJ10763" s="46"/>
    </row>
    <row r="10764" spans="59:62" x14ac:dyDescent="0.3">
      <c r="BG10764" s="387"/>
      <c r="BH10764" s="386"/>
      <c r="BI10764" s="386"/>
      <c r="BJ10764" s="46"/>
    </row>
    <row r="10765" spans="59:62" x14ac:dyDescent="0.3">
      <c r="BG10765" s="387"/>
      <c r="BH10765" s="386"/>
      <c r="BI10765" s="386"/>
      <c r="BJ10765" s="46"/>
    </row>
    <row r="10766" spans="59:62" x14ac:dyDescent="0.3">
      <c r="BG10766" s="387"/>
      <c r="BH10766" s="386"/>
      <c r="BI10766" s="386"/>
      <c r="BJ10766" s="46"/>
    </row>
    <row r="10767" spans="59:62" x14ac:dyDescent="0.3">
      <c r="BG10767" s="387"/>
      <c r="BH10767" s="386"/>
      <c r="BI10767" s="386"/>
      <c r="BJ10767" s="46"/>
    </row>
    <row r="10768" spans="59:62" x14ac:dyDescent="0.3">
      <c r="BG10768" s="387"/>
      <c r="BH10768" s="386"/>
      <c r="BI10768" s="386"/>
      <c r="BJ10768" s="46"/>
    </row>
    <row r="10769" spans="59:62" x14ac:dyDescent="0.3">
      <c r="BG10769" s="387"/>
      <c r="BH10769" s="386"/>
      <c r="BI10769" s="386"/>
      <c r="BJ10769" s="46"/>
    </row>
    <row r="10770" spans="59:62" x14ac:dyDescent="0.3">
      <c r="BG10770" s="387"/>
      <c r="BH10770" s="386"/>
      <c r="BI10770" s="386"/>
      <c r="BJ10770" s="46"/>
    </row>
    <row r="10771" spans="59:62" x14ac:dyDescent="0.3">
      <c r="BG10771" s="387"/>
      <c r="BH10771" s="386"/>
      <c r="BI10771" s="386"/>
      <c r="BJ10771" s="46"/>
    </row>
    <row r="10772" spans="59:62" x14ac:dyDescent="0.3">
      <c r="BG10772" s="387"/>
      <c r="BH10772" s="386"/>
      <c r="BI10772" s="386"/>
      <c r="BJ10772" s="46"/>
    </row>
    <row r="10773" spans="59:62" x14ac:dyDescent="0.3">
      <c r="BG10773" s="387"/>
      <c r="BH10773" s="386"/>
      <c r="BI10773" s="386"/>
      <c r="BJ10773" s="46"/>
    </row>
    <row r="10774" spans="59:62" x14ac:dyDescent="0.3">
      <c r="BG10774" s="387"/>
      <c r="BH10774" s="386"/>
      <c r="BI10774" s="386"/>
      <c r="BJ10774" s="46"/>
    </row>
    <row r="10775" spans="59:62" x14ac:dyDescent="0.3">
      <c r="BG10775" s="387"/>
      <c r="BH10775" s="386"/>
      <c r="BI10775" s="386"/>
      <c r="BJ10775" s="46"/>
    </row>
    <row r="10776" spans="59:62" x14ac:dyDescent="0.3">
      <c r="BG10776" s="387"/>
      <c r="BH10776" s="386"/>
      <c r="BI10776" s="386"/>
      <c r="BJ10776" s="46"/>
    </row>
    <row r="10777" spans="59:62" x14ac:dyDescent="0.3">
      <c r="BG10777" s="387"/>
      <c r="BH10777" s="386"/>
      <c r="BI10777" s="386"/>
      <c r="BJ10777" s="46"/>
    </row>
    <row r="10778" spans="59:62" x14ac:dyDescent="0.3">
      <c r="BG10778" s="387"/>
      <c r="BH10778" s="386"/>
      <c r="BI10778" s="386"/>
      <c r="BJ10778" s="46"/>
    </row>
    <row r="10779" spans="59:62" x14ac:dyDescent="0.3">
      <c r="BG10779" s="387"/>
      <c r="BH10779" s="386"/>
      <c r="BI10779" s="386"/>
      <c r="BJ10779" s="46"/>
    </row>
    <row r="10780" spans="59:62" x14ac:dyDescent="0.3">
      <c r="BG10780" s="387"/>
      <c r="BH10780" s="386"/>
      <c r="BI10780" s="386"/>
      <c r="BJ10780" s="46"/>
    </row>
    <row r="10781" spans="59:62" x14ac:dyDescent="0.3">
      <c r="BG10781" s="387"/>
      <c r="BH10781" s="386"/>
      <c r="BI10781" s="386"/>
      <c r="BJ10781" s="46"/>
    </row>
    <row r="10782" spans="59:62" x14ac:dyDescent="0.3">
      <c r="BG10782" s="387"/>
      <c r="BH10782" s="386"/>
      <c r="BI10782" s="386"/>
      <c r="BJ10782" s="46"/>
    </row>
    <row r="10783" spans="59:62" x14ac:dyDescent="0.3">
      <c r="BG10783" s="387"/>
      <c r="BH10783" s="386"/>
      <c r="BI10783" s="386"/>
      <c r="BJ10783" s="46"/>
    </row>
    <row r="10784" spans="59:62" x14ac:dyDescent="0.3">
      <c r="BG10784" s="387"/>
      <c r="BH10784" s="386"/>
      <c r="BI10784" s="386"/>
      <c r="BJ10784" s="46"/>
    </row>
    <row r="10785" spans="59:62" x14ac:dyDescent="0.3">
      <c r="BG10785" s="387"/>
      <c r="BH10785" s="386"/>
      <c r="BI10785" s="386"/>
      <c r="BJ10785" s="46"/>
    </row>
    <row r="10786" spans="59:62" x14ac:dyDescent="0.3">
      <c r="BG10786" s="387"/>
      <c r="BH10786" s="386"/>
      <c r="BI10786" s="386"/>
      <c r="BJ10786" s="46"/>
    </row>
    <row r="10787" spans="59:62" x14ac:dyDescent="0.3">
      <c r="BG10787" s="387"/>
      <c r="BH10787" s="386"/>
      <c r="BI10787" s="386"/>
      <c r="BJ10787" s="46"/>
    </row>
    <row r="10788" spans="59:62" x14ac:dyDescent="0.3">
      <c r="BG10788" s="387"/>
      <c r="BH10788" s="386"/>
      <c r="BI10788" s="386"/>
      <c r="BJ10788" s="46"/>
    </row>
    <row r="10789" spans="59:62" x14ac:dyDescent="0.3">
      <c r="BG10789" s="387"/>
      <c r="BH10789" s="386"/>
      <c r="BI10789" s="386"/>
      <c r="BJ10789" s="46"/>
    </row>
    <row r="10790" spans="59:62" x14ac:dyDescent="0.3">
      <c r="BG10790" s="387"/>
      <c r="BH10790" s="386"/>
      <c r="BI10790" s="386"/>
      <c r="BJ10790" s="46"/>
    </row>
    <row r="10791" spans="59:62" x14ac:dyDescent="0.3">
      <c r="BG10791" s="387"/>
      <c r="BH10791" s="386"/>
      <c r="BI10791" s="386"/>
      <c r="BJ10791" s="46"/>
    </row>
    <row r="10792" spans="59:62" x14ac:dyDescent="0.3">
      <c r="BG10792" s="387"/>
      <c r="BH10792" s="386"/>
      <c r="BI10792" s="386"/>
      <c r="BJ10792" s="46"/>
    </row>
    <row r="10793" spans="59:62" x14ac:dyDescent="0.3">
      <c r="BG10793" s="387"/>
      <c r="BH10793" s="386"/>
      <c r="BI10793" s="386"/>
      <c r="BJ10793" s="46"/>
    </row>
    <row r="10794" spans="59:62" x14ac:dyDescent="0.3">
      <c r="BG10794" s="387"/>
      <c r="BH10794" s="386"/>
      <c r="BI10794" s="386"/>
      <c r="BJ10794" s="46"/>
    </row>
    <row r="10795" spans="59:62" x14ac:dyDescent="0.3">
      <c r="BG10795" s="387"/>
      <c r="BH10795" s="386"/>
      <c r="BI10795" s="386"/>
      <c r="BJ10795" s="46"/>
    </row>
    <row r="10796" spans="59:62" x14ac:dyDescent="0.3">
      <c r="BG10796" s="387"/>
      <c r="BH10796" s="386"/>
      <c r="BI10796" s="386"/>
      <c r="BJ10796" s="46"/>
    </row>
    <row r="10797" spans="59:62" x14ac:dyDescent="0.3">
      <c r="BG10797" s="387"/>
      <c r="BH10797" s="386"/>
      <c r="BI10797" s="386"/>
      <c r="BJ10797" s="46"/>
    </row>
    <row r="10798" spans="59:62" x14ac:dyDescent="0.3">
      <c r="BG10798" s="387"/>
      <c r="BH10798" s="386"/>
      <c r="BI10798" s="386"/>
      <c r="BJ10798" s="46"/>
    </row>
    <row r="10799" spans="59:62" x14ac:dyDescent="0.3">
      <c r="BG10799" s="387"/>
      <c r="BH10799" s="386"/>
      <c r="BI10799" s="386"/>
      <c r="BJ10799" s="46"/>
    </row>
    <row r="10800" spans="59:62" x14ac:dyDescent="0.3">
      <c r="BG10800" s="387"/>
      <c r="BH10800" s="386"/>
      <c r="BI10800" s="386"/>
      <c r="BJ10800" s="46"/>
    </row>
    <row r="10801" spans="59:62" x14ac:dyDescent="0.3">
      <c r="BG10801" s="387"/>
      <c r="BH10801" s="386"/>
      <c r="BI10801" s="386"/>
      <c r="BJ10801" s="46"/>
    </row>
    <row r="10802" spans="59:62" x14ac:dyDescent="0.3">
      <c r="BG10802" s="387"/>
      <c r="BH10802" s="386"/>
      <c r="BI10802" s="386"/>
      <c r="BJ10802" s="46"/>
    </row>
    <row r="10803" spans="59:62" x14ac:dyDescent="0.3">
      <c r="BG10803" s="387"/>
      <c r="BH10803" s="386"/>
      <c r="BI10803" s="386"/>
      <c r="BJ10803" s="46"/>
    </row>
    <row r="10804" spans="59:62" x14ac:dyDescent="0.3">
      <c r="BG10804" s="387"/>
      <c r="BH10804" s="386"/>
      <c r="BI10804" s="386"/>
      <c r="BJ10804" s="46"/>
    </row>
    <row r="10805" spans="59:62" x14ac:dyDescent="0.3">
      <c r="BG10805" s="387"/>
      <c r="BH10805" s="386"/>
      <c r="BI10805" s="386"/>
      <c r="BJ10805" s="46"/>
    </row>
    <row r="10806" spans="59:62" x14ac:dyDescent="0.3">
      <c r="BG10806" s="387"/>
      <c r="BH10806" s="386"/>
      <c r="BI10806" s="386"/>
      <c r="BJ10806" s="46"/>
    </row>
    <row r="10807" spans="59:62" x14ac:dyDescent="0.3">
      <c r="BG10807" s="387"/>
      <c r="BH10807" s="386"/>
      <c r="BI10807" s="386"/>
      <c r="BJ10807" s="46"/>
    </row>
    <row r="10808" spans="59:62" x14ac:dyDescent="0.3">
      <c r="BG10808" s="387"/>
      <c r="BH10808" s="386"/>
      <c r="BI10808" s="386"/>
      <c r="BJ10808" s="46"/>
    </row>
    <row r="10809" spans="59:62" x14ac:dyDescent="0.3">
      <c r="BG10809" s="387"/>
      <c r="BH10809" s="386"/>
      <c r="BI10809" s="386"/>
      <c r="BJ10809" s="46"/>
    </row>
    <row r="10810" spans="59:62" x14ac:dyDescent="0.3">
      <c r="BG10810" s="387"/>
      <c r="BH10810" s="386"/>
      <c r="BI10810" s="386"/>
      <c r="BJ10810" s="46"/>
    </row>
    <row r="10811" spans="59:62" x14ac:dyDescent="0.3">
      <c r="BG10811" s="387"/>
      <c r="BH10811" s="386"/>
      <c r="BI10811" s="386"/>
      <c r="BJ10811" s="46"/>
    </row>
    <row r="10812" spans="59:62" x14ac:dyDescent="0.3">
      <c r="BG10812" s="387"/>
      <c r="BH10812" s="386"/>
      <c r="BI10812" s="386"/>
      <c r="BJ10812" s="46"/>
    </row>
    <row r="10813" spans="59:62" x14ac:dyDescent="0.3">
      <c r="BG10813" s="387"/>
      <c r="BH10813" s="386"/>
      <c r="BI10813" s="386"/>
      <c r="BJ10813" s="46"/>
    </row>
    <row r="10814" spans="59:62" x14ac:dyDescent="0.3">
      <c r="BG10814" s="387"/>
      <c r="BH10814" s="386"/>
      <c r="BI10814" s="386"/>
      <c r="BJ10814" s="46"/>
    </row>
    <row r="10815" spans="59:62" x14ac:dyDescent="0.3">
      <c r="BG10815" s="387"/>
      <c r="BH10815" s="386"/>
      <c r="BI10815" s="386"/>
      <c r="BJ10815" s="46"/>
    </row>
    <row r="10816" spans="59:62" x14ac:dyDescent="0.3">
      <c r="BG10816" s="387"/>
      <c r="BH10816" s="386"/>
      <c r="BI10816" s="386"/>
      <c r="BJ10816" s="46"/>
    </row>
    <row r="10817" spans="59:62" x14ac:dyDescent="0.3">
      <c r="BG10817" s="387"/>
      <c r="BH10817" s="386"/>
      <c r="BI10817" s="386"/>
      <c r="BJ10817" s="46"/>
    </row>
    <row r="10818" spans="59:62" x14ac:dyDescent="0.3">
      <c r="BG10818" s="387"/>
      <c r="BH10818" s="386"/>
      <c r="BI10818" s="386"/>
      <c r="BJ10818" s="46"/>
    </row>
    <row r="10819" spans="59:62" x14ac:dyDescent="0.3">
      <c r="BG10819" s="387"/>
      <c r="BH10819" s="386"/>
      <c r="BI10819" s="386"/>
      <c r="BJ10819" s="46"/>
    </row>
    <row r="10820" spans="59:62" x14ac:dyDescent="0.3">
      <c r="BG10820" s="387"/>
      <c r="BH10820" s="386"/>
      <c r="BI10820" s="386"/>
      <c r="BJ10820" s="46"/>
    </row>
    <row r="10821" spans="59:62" x14ac:dyDescent="0.3">
      <c r="BG10821" s="387"/>
      <c r="BH10821" s="386"/>
      <c r="BI10821" s="386"/>
      <c r="BJ10821" s="46"/>
    </row>
    <row r="10822" spans="59:62" x14ac:dyDescent="0.3">
      <c r="BG10822" s="387"/>
      <c r="BH10822" s="386"/>
      <c r="BI10822" s="386"/>
      <c r="BJ10822" s="46"/>
    </row>
    <row r="10823" spans="59:62" x14ac:dyDescent="0.3">
      <c r="BG10823" s="387"/>
      <c r="BH10823" s="386"/>
      <c r="BI10823" s="386"/>
      <c r="BJ10823" s="46"/>
    </row>
    <row r="10824" spans="59:62" x14ac:dyDescent="0.3">
      <c r="BG10824" s="387"/>
      <c r="BH10824" s="386"/>
      <c r="BI10824" s="386"/>
      <c r="BJ10824" s="46"/>
    </row>
    <row r="10825" spans="59:62" x14ac:dyDescent="0.3">
      <c r="BG10825" s="387"/>
      <c r="BH10825" s="386"/>
      <c r="BI10825" s="386"/>
      <c r="BJ10825" s="46"/>
    </row>
    <row r="10826" spans="59:62" x14ac:dyDescent="0.3">
      <c r="BG10826" s="387"/>
      <c r="BH10826" s="386"/>
      <c r="BI10826" s="386"/>
      <c r="BJ10826" s="46"/>
    </row>
    <row r="10827" spans="59:62" x14ac:dyDescent="0.3">
      <c r="BG10827" s="387"/>
      <c r="BH10827" s="386"/>
      <c r="BI10827" s="386"/>
      <c r="BJ10827" s="46"/>
    </row>
    <row r="10828" spans="59:62" x14ac:dyDescent="0.3">
      <c r="BG10828" s="387"/>
      <c r="BH10828" s="386"/>
      <c r="BI10828" s="386"/>
      <c r="BJ10828" s="46"/>
    </row>
    <row r="10829" spans="59:62" x14ac:dyDescent="0.3">
      <c r="BG10829" s="387"/>
      <c r="BH10829" s="386"/>
      <c r="BI10829" s="386"/>
      <c r="BJ10829" s="46"/>
    </row>
    <row r="10830" spans="59:62" x14ac:dyDescent="0.3">
      <c r="BG10830" s="387"/>
      <c r="BH10830" s="386"/>
      <c r="BI10830" s="386"/>
      <c r="BJ10830" s="46"/>
    </row>
    <row r="10831" spans="59:62" x14ac:dyDescent="0.3">
      <c r="BG10831" s="387"/>
      <c r="BH10831" s="386"/>
      <c r="BI10831" s="386"/>
      <c r="BJ10831" s="46"/>
    </row>
    <row r="10832" spans="59:62" x14ac:dyDescent="0.3">
      <c r="BG10832" s="387"/>
      <c r="BH10832" s="386"/>
      <c r="BI10832" s="386"/>
      <c r="BJ10832" s="46"/>
    </row>
    <row r="10833" spans="59:62" x14ac:dyDescent="0.3">
      <c r="BG10833" s="387"/>
      <c r="BH10833" s="386"/>
      <c r="BI10833" s="386"/>
      <c r="BJ10833" s="46"/>
    </row>
    <row r="10834" spans="59:62" x14ac:dyDescent="0.3">
      <c r="BG10834" s="387"/>
      <c r="BH10834" s="386"/>
      <c r="BI10834" s="386"/>
      <c r="BJ10834" s="46"/>
    </row>
    <row r="10835" spans="59:62" x14ac:dyDescent="0.3">
      <c r="BG10835" s="387"/>
      <c r="BH10835" s="386"/>
      <c r="BI10835" s="386"/>
      <c r="BJ10835" s="46"/>
    </row>
    <row r="10836" spans="59:62" x14ac:dyDescent="0.3">
      <c r="BG10836" s="387"/>
      <c r="BH10836" s="386"/>
      <c r="BI10836" s="386"/>
      <c r="BJ10836" s="46"/>
    </row>
    <row r="10837" spans="59:62" x14ac:dyDescent="0.3">
      <c r="BG10837" s="387"/>
      <c r="BH10837" s="386"/>
      <c r="BI10837" s="386"/>
      <c r="BJ10837" s="46"/>
    </row>
    <row r="10838" spans="59:62" x14ac:dyDescent="0.3">
      <c r="BG10838" s="387"/>
      <c r="BH10838" s="386"/>
      <c r="BI10838" s="386"/>
      <c r="BJ10838" s="46"/>
    </row>
    <row r="10839" spans="59:62" x14ac:dyDescent="0.3">
      <c r="BG10839" s="387"/>
      <c r="BH10839" s="386"/>
      <c r="BI10839" s="386"/>
      <c r="BJ10839" s="46"/>
    </row>
    <row r="10840" spans="59:62" x14ac:dyDescent="0.3">
      <c r="BG10840" s="387"/>
      <c r="BH10840" s="386"/>
      <c r="BI10840" s="386"/>
      <c r="BJ10840" s="46"/>
    </row>
    <row r="10841" spans="59:62" x14ac:dyDescent="0.3">
      <c r="BG10841" s="387"/>
      <c r="BH10841" s="386"/>
      <c r="BI10841" s="386"/>
      <c r="BJ10841" s="46"/>
    </row>
    <row r="10842" spans="59:62" x14ac:dyDescent="0.3">
      <c r="BG10842" s="387"/>
      <c r="BH10842" s="386"/>
      <c r="BI10842" s="386"/>
      <c r="BJ10842" s="46"/>
    </row>
    <row r="10843" spans="59:62" x14ac:dyDescent="0.3">
      <c r="BG10843" s="387"/>
      <c r="BH10843" s="386"/>
      <c r="BI10843" s="386"/>
      <c r="BJ10843" s="46"/>
    </row>
    <row r="10844" spans="59:62" x14ac:dyDescent="0.3">
      <c r="BG10844" s="387"/>
      <c r="BH10844" s="386"/>
      <c r="BI10844" s="386"/>
      <c r="BJ10844" s="46"/>
    </row>
    <row r="10845" spans="59:62" x14ac:dyDescent="0.3">
      <c r="BG10845" s="387"/>
      <c r="BH10845" s="386"/>
      <c r="BI10845" s="386"/>
      <c r="BJ10845" s="46"/>
    </row>
    <row r="10846" spans="59:62" x14ac:dyDescent="0.3">
      <c r="BG10846" s="387"/>
      <c r="BH10846" s="386"/>
      <c r="BI10846" s="386"/>
      <c r="BJ10846" s="46"/>
    </row>
    <row r="10847" spans="59:62" x14ac:dyDescent="0.3">
      <c r="BG10847" s="387"/>
      <c r="BH10847" s="386"/>
      <c r="BI10847" s="386"/>
      <c r="BJ10847" s="46"/>
    </row>
    <row r="10848" spans="59:62" x14ac:dyDescent="0.3">
      <c r="BG10848" s="387"/>
      <c r="BH10848" s="386"/>
      <c r="BI10848" s="386"/>
      <c r="BJ10848" s="46"/>
    </row>
    <row r="10849" spans="59:62" x14ac:dyDescent="0.3">
      <c r="BG10849" s="387"/>
      <c r="BH10849" s="386"/>
      <c r="BI10849" s="386"/>
      <c r="BJ10849" s="46"/>
    </row>
    <row r="10850" spans="59:62" x14ac:dyDescent="0.3">
      <c r="BG10850" s="387"/>
      <c r="BH10850" s="386"/>
      <c r="BI10850" s="386"/>
      <c r="BJ10850" s="46"/>
    </row>
    <row r="10851" spans="59:62" x14ac:dyDescent="0.3">
      <c r="BG10851" s="387"/>
      <c r="BH10851" s="386"/>
      <c r="BI10851" s="386"/>
      <c r="BJ10851" s="46"/>
    </row>
    <row r="10852" spans="59:62" x14ac:dyDescent="0.3">
      <c r="BG10852" s="387"/>
      <c r="BH10852" s="386"/>
      <c r="BI10852" s="386"/>
      <c r="BJ10852" s="46"/>
    </row>
    <row r="10853" spans="59:62" x14ac:dyDescent="0.3">
      <c r="BG10853" s="387"/>
      <c r="BH10853" s="386"/>
      <c r="BI10853" s="386"/>
      <c r="BJ10853" s="46"/>
    </row>
    <row r="10854" spans="59:62" x14ac:dyDescent="0.3">
      <c r="BG10854" s="387"/>
      <c r="BH10854" s="386"/>
      <c r="BI10854" s="386"/>
      <c r="BJ10854" s="46"/>
    </row>
    <row r="10855" spans="59:62" x14ac:dyDescent="0.3">
      <c r="BG10855" s="387"/>
      <c r="BH10855" s="386"/>
      <c r="BI10855" s="386"/>
      <c r="BJ10855" s="46"/>
    </row>
    <row r="10856" spans="59:62" x14ac:dyDescent="0.3">
      <c r="BG10856" s="387"/>
      <c r="BH10856" s="386"/>
      <c r="BI10856" s="386"/>
      <c r="BJ10856" s="46"/>
    </row>
    <row r="10857" spans="59:62" x14ac:dyDescent="0.3">
      <c r="BG10857" s="387"/>
      <c r="BH10857" s="386"/>
      <c r="BI10857" s="386"/>
      <c r="BJ10857" s="46"/>
    </row>
    <row r="10858" spans="59:62" x14ac:dyDescent="0.3">
      <c r="BG10858" s="387"/>
      <c r="BH10858" s="386"/>
      <c r="BI10858" s="386"/>
      <c r="BJ10858" s="46"/>
    </row>
    <row r="10859" spans="59:62" x14ac:dyDescent="0.3">
      <c r="BG10859" s="387"/>
      <c r="BH10859" s="386"/>
      <c r="BI10859" s="386"/>
      <c r="BJ10859" s="46"/>
    </row>
    <row r="10860" spans="59:62" x14ac:dyDescent="0.3">
      <c r="BG10860" s="387"/>
      <c r="BH10860" s="386"/>
      <c r="BI10860" s="386"/>
      <c r="BJ10860" s="46"/>
    </row>
    <row r="10861" spans="59:62" x14ac:dyDescent="0.3">
      <c r="BG10861" s="387"/>
      <c r="BH10861" s="386"/>
      <c r="BI10861" s="386"/>
      <c r="BJ10861" s="46"/>
    </row>
    <row r="10862" spans="59:62" x14ac:dyDescent="0.3">
      <c r="BG10862" s="387"/>
      <c r="BH10862" s="386"/>
      <c r="BI10862" s="386"/>
      <c r="BJ10862" s="46"/>
    </row>
    <row r="10863" spans="59:62" x14ac:dyDescent="0.3">
      <c r="BG10863" s="387"/>
      <c r="BH10863" s="386"/>
      <c r="BI10863" s="386"/>
      <c r="BJ10863" s="46"/>
    </row>
    <row r="10864" spans="59:62" x14ac:dyDescent="0.3">
      <c r="BG10864" s="387"/>
      <c r="BH10864" s="386"/>
      <c r="BI10864" s="386"/>
      <c r="BJ10864" s="46"/>
    </row>
    <row r="10865" spans="59:62" x14ac:dyDescent="0.3">
      <c r="BG10865" s="387"/>
      <c r="BH10865" s="386"/>
      <c r="BI10865" s="386"/>
      <c r="BJ10865" s="46"/>
    </row>
    <row r="10866" spans="59:62" x14ac:dyDescent="0.3">
      <c r="BG10866" s="387"/>
      <c r="BH10866" s="386"/>
      <c r="BI10866" s="386"/>
      <c r="BJ10866" s="46"/>
    </row>
    <row r="10867" spans="59:62" x14ac:dyDescent="0.3">
      <c r="BG10867" s="387"/>
      <c r="BH10867" s="386"/>
      <c r="BI10867" s="386"/>
      <c r="BJ10867" s="46"/>
    </row>
    <row r="10868" spans="59:62" x14ac:dyDescent="0.3">
      <c r="BG10868" s="387"/>
      <c r="BH10868" s="386"/>
      <c r="BI10868" s="386"/>
      <c r="BJ10868" s="46"/>
    </row>
    <row r="10869" spans="59:62" x14ac:dyDescent="0.3">
      <c r="BG10869" s="387"/>
      <c r="BH10869" s="386"/>
      <c r="BI10869" s="386"/>
      <c r="BJ10869" s="46"/>
    </row>
    <row r="10870" spans="59:62" x14ac:dyDescent="0.3">
      <c r="BG10870" s="387"/>
      <c r="BH10870" s="386"/>
      <c r="BI10870" s="386"/>
      <c r="BJ10870" s="46"/>
    </row>
    <row r="10871" spans="59:62" x14ac:dyDescent="0.3">
      <c r="BG10871" s="387"/>
      <c r="BH10871" s="386"/>
      <c r="BI10871" s="386"/>
      <c r="BJ10871" s="46"/>
    </row>
    <row r="10872" spans="59:62" x14ac:dyDescent="0.3">
      <c r="BG10872" s="387"/>
      <c r="BH10872" s="386"/>
      <c r="BI10872" s="386"/>
      <c r="BJ10872" s="46"/>
    </row>
    <row r="10873" spans="59:62" x14ac:dyDescent="0.3">
      <c r="BG10873" s="387"/>
      <c r="BH10873" s="386"/>
      <c r="BI10873" s="386"/>
      <c r="BJ10873" s="46"/>
    </row>
    <row r="10874" spans="59:62" x14ac:dyDescent="0.3">
      <c r="BG10874" s="387"/>
      <c r="BH10874" s="386"/>
      <c r="BI10874" s="386"/>
      <c r="BJ10874" s="46"/>
    </row>
    <row r="10875" spans="59:62" x14ac:dyDescent="0.3">
      <c r="BG10875" s="387"/>
      <c r="BH10875" s="386"/>
      <c r="BI10875" s="386"/>
      <c r="BJ10875" s="46"/>
    </row>
    <row r="10876" spans="59:62" x14ac:dyDescent="0.3">
      <c r="BG10876" s="387"/>
      <c r="BH10876" s="386"/>
      <c r="BI10876" s="386"/>
      <c r="BJ10876" s="46"/>
    </row>
    <row r="10877" spans="59:62" x14ac:dyDescent="0.3">
      <c r="BG10877" s="387"/>
      <c r="BH10877" s="386"/>
      <c r="BI10877" s="386"/>
      <c r="BJ10877" s="46"/>
    </row>
    <row r="10878" spans="59:62" x14ac:dyDescent="0.3">
      <c r="BG10878" s="387"/>
      <c r="BH10878" s="386"/>
      <c r="BI10878" s="386"/>
      <c r="BJ10878" s="46"/>
    </row>
    <row r="10879" spans="59:62" x14ac:dyDescent="0.3">
      <c r="BG10879" s="387"/>
      <c r="BH10879" s="386"/>
      <c r="BI10879" s="386"/>
      <c r="BJ10879" s="46"/>
    </row>
    <row r="10880" spans="59:62" x14ac:dyDescent="0.3">
      <c r="BG10880" s="387"/>
      <c r="BH10880" s="386"/>
      <c r="BI10880" s="386"/>
      <c r="BJ10880" s="46"/>
    </row>
    <row r="10881" spans="59:62" x14ac:dyDescent="0.3">
      <c r="BG10881" s="387"/>
      <c r="BH10881" s="386"/>
      <c r="BI10881" s="386"/>
      <c r="BJ10881" s="46"/>
    </row>
    <row r="10882" spans="59:62" x14ac:dyDescent="0.3">
      <c r="BG10882" s="387"/>
      <c r="BH10882" s="386"/>
      <c r="BI10882" s="386"/>
      <c r="BJ10882" s="46"/>
    </row>
    <row r="10883" spans="59:62" x14ac:dyDescent="0.3">
      <c r="BG10883" s="387"/>
      <c r="BH10883" s="386"/>
      <c r="BI10883" s="386"/>
      <c r="BJ10883" s="46"/>
    </row>
    <row r="10884" spans="59:62" x14ac:dyDescent="0.3">
      <c r="BG10884" s="387"/>
      <c r="BH10884" s="386"/>
      <c r="BI10884" s="386"/>
      <c r="BJ10884" s="46"/>
    </row>
    <row r="10885" spans="59:62" x14ac:dyDescent="0.3">
      <c r="BG10885" s="387"/>
      <c r="BH10885" s="386"/>
      <c r="BI10885" s="386"/>
      <c r="BJ10885" s="46"/>
    </row>
    <row r="10886" spans="59:62" x14ac:dyDescent="0.3">
      <c r="BG10886" s="387"/>
      <c r="BH10886" s="386"/>
      <c r="BI10886" s="386"/>
      <c r="BJ10886" s="46"/>
    </row>
    <row r="10887" spans="59:62" x14ac:dyDescent="0.3">
      <c r="BG10887" s="387"/>
      <c r="BH10887" s="386"/>
      <c r="BI10887" s="386"/>
      <c r="BJ10887" s="46"/>
    </row>
    <row r="10888" spans="59:62" x14ac:dyDescent="0.3">
      <c r="BG10888" s="387"/>
      <c r="BH10888" s="386"/>
      <c r="BI10888" s="386"/>
      <c r="BJ10888" s="46"/>
    </row>
    <row r="10889" spans="59:62" x14ac:dyDescent="0.3">
      <c r="BG10889" s="387"/>
      <c r="BH10889" s="386"/>
      <c r="BI10889" s="386"/>
      <c r="BJ10889" s="46"/>
    </row>
    <row r="10890" spans="59:62" x14ac:dyDescent="0.3">
      <c r="BG10890" s="387"/>
      <c r="BH10890" s="386"/>
      <c r="BI10890" s="386"/>
      <c r="BJ10890" s="46"/>
    </row>
    <row r="10891" spans="59:62" x14ac:dyDescent="0.3">
      <c r="BG10891" s="387"/>
      <c r="BH10891" s="386"/>
      <c r="BI10891" s="386"/>
      <c r="BJ10891" s="46"/>
    </row>
    <row r="10892" spans="59:62" x14ac:dyDescent="0.3">
      <c r="BG10892" s="387"/>
      <c r="BH10892" s="386"/>
      <c r="BI10892" s="386"/>
      <c r="BJ10892" s="46"/>
    </row>
    <row r="10893" spans="59:62" x14ac:dyDescent="0.3">
      <c r="BG10893" s="387"/>
      <c r="BH10893" s="386"/>
      <c r="BI10893" s="386"/>
      <c r="BJ10893" s="46"/>
    </row>
    <row r="10894" spans="59:62" x14ac:dyDescent="0.3">
      <c r="BG10894" s="387"/>
      <c r="BH10894" s="386"/>
      <c r="BI10894" s="386"/>
      <c r="BJ10894" s="46"/>
    </row>
    <row r="10895" spans="59:62" x14ac:dyDescent="0.3">
      <c r="BG10895" s="387"/>
      <c r="BH10895" s="386"/>
      <c r="BI10895" s="386"/>
      <c r="BJ10895" s="46"/>
    </row>
    <row r="10896" spans="59:62" x14ac:dyDescent="0.3">
      <c r="BG10896" s="387"/>
      <c r="BH10896" s="386"/>
      <c r="BI10896" s="386"/>
      <c r="BJ10896" s="46"/>
    </row>
    <row r="10897" spans="59:62" x14ac:dyDescent="0.3">
      <c r="BG10897" s="387"/>
      <c r="BH10897" s="386"/>
      <c r="BI10897" s="386"/>
      <c r="BJ10897" s="46"/>
    </row>
    <row r="10898" spans="59:62" x14ac:dyDescent="0.3">
      <c r="BG10898" s="387"/>
      <c r="BH10898" s="386"/>
      <c r="BI10898" s="386"/>
      <c r="BJ10898" s="46"/>
    </row>
    <row r="10899" spans="59:62" x14ac:dyDescent="0.3">
      <c r="BG10899" s="387"/>
      <c r="BH10899" s="386"/>
      <c r="BI10899" s="386"/>
      <c r="BJ10899" s="46"/>
    </row>
    <row r="10900" spans="59:62" x14ac:dyDescent="0.3">
      <c r="BG10900" s="387"/>
      <c r="BH10900" s="386"/>
      <c r="BI10900" s="386"/>
      <c r="BJ10900" s="46"/>
    </row>
    <row r="10901" spans="59:62" x14ac:dyDescent="0.3">
      <c r="BG10901" s="387"/>
      <c r="BH10901" s="386"/>
      <c r="BI10901" s="386"/>
      <c r="BJ10901" s="46"/>
    </row>
    <row r="10902" spans="59:62" x14ac:dyDescent="0.3">
      <c r="BG10902" s="387"/>
      <c r="BH10902" s="386"/>
      <c r="BI10902" s="386"/>
      <c r="BJ10902" s="46"/>
    </row>
    <row r="10903" spans="59:62" x14ac:dyDescent="0.3">
      <c r="BG10903" s="387"/>
      <c r="BH10903" s="386"/>
      <c r="BI10903" s="386"/>
      <c r="BJ10903" s="46"/>
    </row>
    <row r="10904" spans="59:62" x14ac:dyDescent="0.3">
      <c r="BG10904" s="387"/>
      <c r="BH10904" s="386"/>
      <c r="BI10904" s="386"/>
      <c r="BJ10904" s="46"/>
    </row>
    <row r="10905" spans="59:62" x14ac:dyDescent="0.3">
      <c r="BG10905" s="387"/>
      <c r="BH10905" s="386"/>
      <c r="BI10905" s="386"/>
      <c r="BJ10905" s="46"/>
    </row>
    <row r="10906" spans="59:62" x14ac:dyDescent="0.3">
      <c r="BG10906" s="387"/>
      <c r="BH10906" s="386"/>
      <c r="BI10906" s="386"/>
      <c r="BJ10906" s="46"/>
    </row>
    <row r="10907" spans="59:62" x14ac:dyDescent="0.3">
      <c r="BG10907" s="387"/>
      <c r="BH10907" s="386"/>
      <c r="BI10907" s="386"/>
      <c r="BJ10907" s="46"/>
    </row>
    <row r="10908" spans="59:62" x14ac:dyDescent="0.3">
      <c r="BG10908" s="387"/>
      <c r="BH10908" s="386"/>
      <c r="BI10908" s="386"/>
      <c r="BJ10908" s="46"/>
    </row>
    <row r="10909" spans="59:62" x14ac:dyDescent="0.3">
      <c r="BG10909" s="387"/>
      <c r="BH10909" s="386"/>
      <c r="BI10909" s="386"/>
      <c r="BJ10909" s="46"/>
    </row>
    <row r="10910" spans="59:62" x14ac:dyDescent="0.3">
      <c r="BG10910" s="387"/>
      <c r="BH10910" s="386"/>
      <c r="BI10910" s="386"/>
      <c r="BJ10910" s="46"/>
    </row>
    <row r="10911" spans="59:62" x14ac:dyDescent="0.3">
      <c r="BG10911" s="387"/>
      <c r="BH10911" s="386"/>
      <c r="BI10911" s="386"/>
      <c r="BJ10911" s="46"/>
    </row>
    <row r="10912" spans="59:62" x14ac:dyDescent="0.3">
      <c r="BG10912" s="387"/>
      <c r="BH10912" s="386"/>
      <c r="BI10912" s="386"/>
      <c r="BJ10912" s="46"/>
    </row>
    <row r="10913" spans="59:62" x14ac:dyDescent="0.3">
      <c r="BG10913" s="387"/>
      <c r="BH10913" s="386"/>
      <c r="BI10913" s="386"/>
      <c r="BJ10913" s="46"/>
    </row>
    <row r="10914" spans="59:62" x14ac:dyDescent="0.3">
      <c r="BG10914" s="387"/>
      <c r="BH10914" s="386"/>
      <c r="BI10914" s="386"/>
      <c r="BJ10914" s="46"/>
    </row>
    <row r="10915" spans="59:62" x14ac:dyDescent="0.3">
      <c r="BG10915" s="387"/>
      <c r="BH10915" s="386"/>
      <c r="BI10915" s="386"/>
      <c r="BJ10915" s="46"/>
    </row>
    <row r="10916" spans="59:62" x14ac:dyDescent="0.3">
      <c r="BG10916" s="387"/>
      <c r="BH10916" s="386"/>
      <c r="BI10916" s="386"/>
      <c r="BJ10916" s="46"/>
    </row>
    <row r="10917" spans="59:62" x14ac:dyDescent="0.3">
      <c r="BG10917" s="387"/>
      <c r="BH10917" s="386"/>
      <c r="BI10917" s="386"/>
      <c r="BJ10917" s="46"/>
    </row>
    <row r="10918" spans="59:62" x14ac:dyDescent="0.3">
      <c r="BG10918" s="387"/>
      <c r="BH10918" s="386"/>
      <c r="BI10918" s="386"/>
      <c r="BJ10918" s="46"/>
    </row>
    <row r="10919" spans="59:62" x14ac:dyDescent="0.3">
      <c r="BG10919" s="387"/>
      <c r="BH10919" s="386"/>
      <c r="BI10919" s="386"/>
      <c r="BJ10919" s="46"/>
    </row>
    <row r="10920" spans="59:62" x14ac:dyDescent="0.3">
      <c r="BG10920" s="387"/>
      <c r="BH10920" s="386"/>
      <c r="BI10920" s="386"/>
      <c r="BJ10920" s="46"/>
    </row>
    <row r="10921" spans="59:62" x14ac:dyDescent="0.3">
      <c r="BG10921" s="387"/>
      <c r="BH10921" s="386"/>
      <c r="BI10921" s="386"/>
      <c r="BJ10921" s="46"/>
    </row>
    <row r="10922" spans="59:62" x14ac:dyDescent="0.3">
      <c r="BG10922" s="387"/>
      <c r="BH10922" s="386"/>
      <c r="BI10922" s="386"/>
      <c r="BJ10922" s="46"/>
    </row>
    <row r="10923" spans="59:62" x14ac:dyDescent="0.3">
      <c r="BG10923" s="387"/>
      <c r="BH10923" s="386"/>
      <c r="BI10923" s="386"/>
      <c r="BJ10923" s="46"/>
    </row>
    <row r="10924" spans="59:62" x14ac:dyDescent="0.3">
      <c r="BG10924" s="387"/>
      <c r="BH10924" s="386"/>
      <c r="BI10924" s="386"/>
      <c r="BJ10924" s="46"/>
    </row>
    <row r="10925" spans="59:62" x14ac:dyDescent="0.3">
      <c r="BG10925" s="387"/>
      <c r="BH10925" s="386"/>
      <c r="BI10925" s="386"/>
      <c r="BJ10925" s="46"/>
    </row>
    <row r="10926" spans="59:62" x14ac:dyDescent="0.3">
      <c r="BG10926" s="387"/>
      <c r="BH10926" s="386"/>
      <c r="BI10926" s="386"/>
      <c r="BJ10926" s="46"/>
    </row>
    <row r="10927" spans="59:62" x14ac:dyDescent="0.3">
      <c r="BG10927" s="387"/>
      <c r="BH10927" s="386"/>
      <c r="BI10927" s="386"/>
      <c r="BJ10927" s="46"/>
    </row>
    <row r="10928" spans="59:62" x14ac:dyDescent="0.3">
      <c r="BG10928" s="387"/>
      <c r="BH10928" s="386"/>
      <c r="BI10928" s="386"/>
      <c r="BJ10928" s="46"/>
    </row>
    <row r="10929" spans="59:62" x14ac:dyDescent="0.3">
      <c r="BG10929" s="387"/>
      <c r="BH10929" s="386"/>
      <c r="BI10929" s="386"/>
      <c r="BJ10929" s="46"/>
    </row>
    <row r="10930" spans="59:62" x14ac:dyDescent="0.3">
      <c r="BG10930" s="387"/>
      <c r="BH10930" s="386"/>
      <c r="BI10930" s="386"/>
      <c r="BJ10930" s="46"/>
    </row>
    <row r="10931" spans="59:62" x14ac:dyDescent="0.3">
      <c r="BG10931" s="387"/>
      <c r="BH10931" s="386"/>
      <c r="BI10931" s="386"/>
      <c r="BJ10931" s="46"/>
    </row>
    <row r="10932" spans="59:62" x14ac:dyDescent="0.3">
      <c r="BG10932" s="387"/>
      <c r="BH10932" s="386"/>
      <c r="BI10932" s="386"/>
      <c r="BJ10932" s="46"/>
    </row>
    <row r="10933" spans="59:62" x14ac:dyDescent="0.3">
      <c r="BG10933" s="387"/>
      <c r="BH10933" s="386"/>
      <c r="BI10933" s="386"/>
      <c r="BJ10933" s="46"/>
    </row>
    <row r="10934" spans="59:62" x14ac:dyDescent="0.3">
      <c r="BG10934" s="387"/>
      <c r="BH10934" s="386"/>
      <c r="BI10934" s="386"/>
      <c r="BJ10934" s="46"/>
    </row>
    <row r="10935" spans="59:62" x14ac:dyDescent="0.3">
      <c r="BG10935" s="387"/>
      <c r="BH10935" s="386"/>
      <c r="BI10935" s="386"/>
      <c r="BJ10935" s="46"/>
    </row>
    <row r="10936" spans="59:62" x14ac:dyDescent="0.3">
      <c r="BG10936" s="387"/>
      <c r="BH10936" s="386"/>
      <c r="BI10936" s="386"/>
      <c r="BJ10936" s="46"/>
    </row>
    <row r="10937" spans="59:62" x14ac:dyDescent="0.3">
      <c r="BG10937" s="387"/>
      <c r="BH10937" s="386"/>
      <c r="BI10937" s="386"/>
      <c r="BJ10937" s="46"/>
    </row>
    <row r="10938" spans="59:62" x14ac:dyDescent="0.3">
      <c r="BG10938" s="387"/>
      <c r="BH10938" s="386"/>
      <c r="BI10938" s="386"/>
      <c r="BJ10938" s="46"/>
    </row>
    <row r="10939" spans="59:62" x14ac:dyDescent="0.3">
      <c r="BG10939" s="387"/>
      <c r="BH10939" s="386"/>
      <c r="BI10939" s="386"/>
      <c r="BJ10939" s="46"/>
    </row>
    <row r="10940" spans="59:62" x14ac:dyDescent="0.3">
      <c r="BG10940" s="387"/>
      <c r="BH10940" s="386"/>
      <c r="BI10940" s="386"/>
      <c r="BJ10940" s="46"/>
    </row>
    <row r="10941" spans="59:62" x14ac:dyDescent="0.3">
      <c r="BG10941" s="387"/>
      <c r="BH10941" s="386"/>
      <c r="BI10941" s="386"/>
      <c r="BJ10941" s="46"/>
    </row>
    <row r="10942" spans="59:62" x14ac:dyDescent="0.3">
      <c r="BG10942" s="387"/>
      <c r="BH10942" s="386"/>
      <c r="BI10942" s="386"/>
      <c r="BJ10942" s="46"/>
    </row>
    <row r="10943" spans="59:62" x14ac:dyDescent="0.3">
      <c r="BG10943" s="387"/>
      <c r="BH10943" s="386"/>
      <c r="BI10943" s="386"/>
      <c r="BJ10943" s="46"/>
    </row>
    <row r="10944" spans="59:62" x14ac:dyDescent="0.3">
      <c r="BG10944" s="387"/>
      <c r="BH10944" s="386"/>
      <c r="BI10944" s="386"/>
      <c r="BJ10944" s="46"/>
    </row>
    <row r="10945" spans="59:62" x14ac:dyDescent="0.3">
      <c r="BG10945" s="387"/>
      <c r="BH10945" s="386"/>
      <c r="BI10945" s="386"/>
      <c r="BJ10945" s="46"/>
    </row>
    <row r="10946" spans="59:62" x14ac:dyDescent="0.3">
      <c r="BG10946" s="387"/>
      <c r="BH10946" s="386"/>
      <c r="BI10946" s="386"/>
      <c r="BJ10946" s="46"/>
    </row>
    <row r="10947" spans="59:62" x14ac:dyDescent="0.3">
      <c r="BG10947" s="387"/>
      <c r="BH10947" s="386"/>
      <c r="BI10947" s="386"/>
      <c r="BJ10947" s="46"/>
    </row>
    <row r="10948" spans="59:62" x14ac:dyDescent="0.3">
      <c r="BG10948" s="387"/>
      <c r="BH10948" s="386"/>
      <c r="BI10948" s="386"/>
      <c r="BJ10948" s="46"/>
    </row>
    <row r="10949" spans="59:62" x14ac:dyDescent="0.3">
      <c r="BG10949" s="387"/>
      <c r="BH10949" s="386"/>
      <c r="BI10949" s="386"/>
      <c r="BJ10949" s="46"/>
    </row>
    <row r="10950" spans="59:62" x14ac:dyDescent="0.3">
      <c r="BG10950" s="387"/>
      <c r="BH10950" s="386"/>
      <c r="BI10950" s="386"/>
      <c r="BJ10950" s="46"/>
    </row>
    <row r="10951" spans="59:62" x14ac:dyDescent="0.3">
      <c r="BG10951" s="387"/>
      <c r="BH10951" s="386"/>
      <c r="BI10951" s="386"/>
      <c r="BJ10951" s="46"/>
    </row>
    <row r="10952" spans="59:62" x14ac:dyDescent="0.3">
      <c r="BG10952" s="387"/>
      <c r="BH10952" s="386"/>
      <c r="BI10952" s="386"/>
      <c r="BJ10952" s="46"/>
    </row>
    <row r="10953" spans="59:62" x14ac:dyDescent="0.3">
      <c r="BG10953" s="387"/>
      <c r="BH10953" s="386"/>
      <c r="BI10953" s="386"/>
      <c r="BJ10953" s="46"/>
    </row>
    <row r="10954" spans="59:62" x14ac:dyDescent="0.3">
      <c r="BG10954" s="387"/>
      <c r="BH10954" s="386"/>
      <c r="BI10954" s="386"/>
      <c r="BJ10954" s="46"/>
    </row>
    <row r="10955" spans="59:62" x14ac:dyDescent="0.3">
      <c r="BG10955" s="387"/>
      <c r="BH10955" s="386"/>
      <c r="BI10955" s="386"/>
      <c r="BJ10955" s="46"/>
    </row>
    <row r="10956" spans="59:62" x14ac:dyDescent="0.3">
      <c r="BG10956" s="387"/>
      <c r="BH10956" s="386"/>
      <c r="BI10956" s="386"/>
      <c r="BJ10956" s="46"/>
    </row>
    <row r="10957" spans="59:62" x14ac:dyDescent="0.3">
      <c r="BG10957" s="387"/>
      <c r="BH10957" s="386"/>
      <c r="BI10957" s="386"/>
      <c r="BJ10957" s="46"/>
    </row>
    <row r="10958" spans="59:62" x14ac:dyDescent="0.3">
      <c r="BG10958" s="387"/>
      <c r="BH10958" s="386"/>
      <c r="BI10958" s="386"/>
      <c r="BJ10958" s="46"/>
    </row>
    <row r="10959" spans="59:62" x14ac:dyDescent="0.3">
      <c r="BG10959" s="387"/>
      <c r="BH10959" s="386"/>
      <c r="BI10959" s="386"/>
      <c r="BJ10959" s="46"/>
    </row>
    <row r="10960" spans="59:62" x14ac:dyDescent="0.3">
      <c r="BG10960" s="387"/>
      <c r="BH10960" s="386"/>
      <c r="BI10960" s="386"/>
      <c r="BJ10960" s="46"/>
    </row>
    <row r="10961" spans="59:62" x14ac:dyDescent="0.3">
      <c r="BG10961" s="387"/>
      <c r="BH10961" s="386"/>
      <c r="BI10961" s="386"/>
      <c r="BJ10961" s="46"/>
    </row>
    <row r="10962" spans="59:62" x14ac:dyDescent="0.3">
      <c r="BG10962" s="387"/>
      <c r="BH10962" s="386"/>
      <c r="BI10962" s="386"/>
      <c r="BJ10962" s="46"/>
    </row>
    <row r="10963" spans="59:62" x14ac:dyDescent="0.3">
      <c r="BG10963" s="387"/>
      <c r="BH10963" s="386"/>
      <c r="BI10963" s="386"/>
      <c r="BJ10963" s="46"/>
    </row>
    <row r="10964" spans="59:62" x14ac:dyDescent="0.3">
      <c r="BG10964" s="387"/>
      <c r="BH10964" s="386"/>
      <c r="BI10964" s="386"/>
      <c r="BJ10964" s="46"/>
    </row>
    <row r="10965" spans="59:62" x14ac:dyDescent="0.3">
      <c r="BG10965" s="387"/>
      <c r="BH10965" s="386"/>
      <c r="BI10965" s="386"/>
      <c r="BJ10965" s="46"/>
    </row>
    <row r="10966" spans="59:62" x14ac:dyDescent="0.3">
      <c r="BG10966" s="387"/>
      <c r="BH10966" s="386"/>
      <c r="BI10966" s="386"/>
      <c r="BJ10966" s="46"/>
    </row>
    <row r="10967" spans="59:62" x14ac:dyDescent="0.3">
      <c r="BG10967" s="387"/>
      <c r="BH10967" s="386"/>
      <c r="BI10967" s="386"/>
      <c r="BJ10967" s="46"/>
    </row>
    <row r="10968" spans="59:62" x14ac:dyDescent="0.3">
      <c r="BG10968" s="387"/>
      <c r="BH10968" s="386"/>
      <c r="BI10968" s="386"/>
      <c r="BJ10968" s="46"/>
    </row>
    <row r="10969" spans="59:62" x14ac:dyDescent="0.3">
      <c r="BG10969" s="387"/>
      <c r="BH10969" s="386"/>
      <c r="BI10969" s="386"/>
      <c r="BJ10969" s="46"/>
    </row>
    <row r="10970" spans="59:62" x14ac:dyDescent="0.3">
      <c r="BG10970" s="387"/>
      <c r="BH10970" s="386"/>
      <c r="BI10970" s="386"/>
      <c r="BJ10970" s="46"/>
    </row>
    <row r="10971" spans="59:62" x14ac:dyDescent="0.3">
      <c r="BG10971" s="387"/>
      <c r="BH10971" s="386"/>
      <c r="BI10971" s="386"/>
      <c r="BJ10971" s="46"/>
    </row>
    <row r="10972" spans="59:62" x14ac:dyDescent="0.3">
      <c r="BG10972" s="387"/>
      <c r="BH10972" s="386"/>
      <c r="BI10972" s="386"/>
      <c r="BJ10972" s="46"/>
    </row>
    <row r="10973" spans="59:62" x14ac:dyDescent="0.3">
      <c r="BG10973" s="387"/>
      <c r="BH10973" s="386"/>
      <c r="BI10973" s="386"/>
      <c r="BJ10973" s="46"/>
    </row>
    <row r="10974" spans="59:62" x14ac:dyDescent="0.3">
      <c r="BG10974" s="387"/>
      <c r="BH10974" s="386"/>
      <c r="BI10974" s="386"/>
      <c r="BJ10974" s="46"/>
    </row>
    <row r="10975" spans="59:62" x14ac:dyDescent="0.3">
      <c r="BG10975" s="387"/>
      <c r="BH10975" s="386"/>
      <c r="BI10975" s="386"/>
      <c r="BJ10975" s="46"/>
    </row>
    <row r="10976" spans="59:62" x14ac:dyDescent="0.3">
      <c r="BG10976" s="387"/>
      <c r="BH10976" s="386"/>
      <c r="BI10976" s="386"/>
      <c r="BJ10976" s="46"/>
    </row>
    <row r="10977" spans="59:62" x14ac:dyDescent="0.3">
      <c r="BG10977" s="387"/>
      <c r="BH10977" s="386"/>
      <c r="BI10977" s="386"/>
      <c r="BJ10977" s="46"/>
    </row>
    <row r="10978" spans="59:62" x14ac:dyDescent="0.3">
      <c r="BG10978" s="387"/>
      <c r="BH10978" s="386"/>
      <c r="BI10978" s="386"/>
      <c r="BJ10978" s="46"/>
    </row>
    <row r="10979" spans="59:62" x14ac:dyDescent="0.3">
      <c r="BG10979" s="387"/>
      <c r="BH10979" s="386"/>
      <c r="BI10979" s="386"/>
      <c r="BJ10979" s="46"/>
    </row>
    <row r="10980" spans="59:62" x14ac:dyDescent="0.3">
      <c r="BG10980" s="387"/>
      <c r="BH10980" s="386"/>
      <c r="BI10980" s="386"/>
      <c r="BJ10980" s="46"/>
    </row>
    <row r="10981" spans="59:62" x14ac:dyDescent="0.3">
      <c r="BG10981" s="387"/>
      <c r="BH10981" s="386"/>
      <c r="BI10981" s="386"/>
      <c r="BJ10981" s="46"/>
    </row>
    <row r="10982" spans="59:62" x14ac:dyDescent="0.3">
      <c r="BG10982" s="387"/>
      <c r="BH10982" s="386"/>
      <c r="BI10982" s="386"/>
      <c r="BJ10982" s="46"/>
    </row>
    <row r="10983" spans="59:62" x14ac:dyDescent="0.3">
      <c r="BG10983" s="387"/>
      <c r="BH10983" s="386"/>
      <c r="BI10983" s="386"/>
      <c r="BJ10983" s="46"/>
    </row>
    <row r="10984" spans="59:62" x14ac:dyDescent="0.3">
      <c r="BG10984" s="387"/>
      <c r="BH10984" s="386"/>
      <c r="BI10984" s="386"/>
      <c r="BJ10984" s="46"/>
    </row>
    <row r="10985" spans="59:62" x14ac:dyDescent="0.3">
      <c r="BG10985" s="387"/>
      <c r="BH10985" s="386"/>
      <c r="BI10985" s="386"/>
      <c r="BJ10985" s="46"/>
    </row>
    <row r="10986" spans="59:62" x14ac:dyDescent="0.3">
      <c r="BG10986" s="387"/>
      <c r="BH10986" s="386"/>
      <c r="BI10986" s="386"/>
      <c r="BJ10986" s="46"/>
    </row>
    <row r="10987" spans="59:62" x14ac:dyDescent="0.3">
      <c r="BG10987" s="387"/>
      <c r="BH10987" s="386"/>
      <c r="BI10987" s="386"/>
      <c r="BJ10987" s="46"/>
    </row>
    <row r="10988" spans="59:62" x14ac:dyDescent="0.3">
      <c r="BG10988" s="387"/>
      <c r="BH10988" s="386"/>
      <c r="BI10988" s="386"/>
      <c r="BJ10988" s="46"/>
    </row>
    <row r="10989" spans="59:62" x14ac:dyDescent="0.3">
      <c r="BG10989" s="387"/>
      <c r="BH10989" s="386"/>
      <c r="BI10989" s="386"/>
      <c r="BJ10989" s="46"/>
    </row>
    <row r="10990" spans="59:62" x14ac:dyDescent="0.3">
      <c r="BG10990" s="387"/>
      <c r="BH10990" s="386"/>
      <c r="BI10990" s="386"/>
      <c r="BJ10990" s="46"/>
    </row>
    <row r="10991" spans="59:62" x14ac:dyDescent="0.3">
      <c r="BG10991" s="387"/>
      <c r="BH10991" s="386"/>
      <c r="BI10991" s="386"/>
      <c r="BJ10991" s="46"/>
    </row>
    <row r="10992" spans="59:62" x14ac:dyDescent="0.3">
      <c r="BG10992" s="387"/>
      <c r="BH10992" s="386"/>
      <c r="BI10992" s="386"/>
      <c r="BJ10992" s="46"/>
    </row>
    <row r="10993" spans="59:62" x14ac:dyDescent="0.3">
      <c r="BG10993" s="387"/>
      <c r="BH10993" s="386"/>
      <c r="BI10993" s="386"/>
      <c r="BJ10993" s="46"/>
    </row>
    <row r="10994" spans="59:62" x14ac:dyDescent="0.3">
      <c r="BG10994" s="387"/>
      <c r="BH10994" s="386"/>
      <c r="BI10994" s="386"/>
      <c r="BJ10994" s="46"/>
    </row>
    <row r="10995" spans="59:62" x14ac:dyDescent="0.3">
      <c r="BG10995" s="387"/>
      <c r="BH10995" s="386"/>
      <c r="BI10995" s="386"/>
      <c r="BJ10995" s="46"/>
    </row>
    <row r="10996" spans="59:62" x14ac:dyDescent="0.3">
      <c r="BG10996" s="387"/>
      <c r="BH10996" s="386"/>
      <c r="BI10996" s="386"/>
      <c r="BJ10996" s="46"/>
    </row>
    <row r="10997" spans="59:62" x14ac:dyDescent="0.3">
      <c r="BG10997" s="387"/>
      <c r="BH10997" s="386"/>
      <c r="BI10997" s="386"/>
      <c r="BJ10997" s="46"/>
    </row>
    <row r="10998" spans="59:62" x14ac:dyDescent="0.3">
      <c r="BG10998" s="387"/>
      <c r="BH10998" s="386"/>
      <c r="BI10998" s="386"/>
      <c r="BJ10998" s="46"/>
    </row>
    <row r="10999" spans="59:62" x14ac:dyDescent="0.3">
      <c r="BG10999" s="387"/>
      <c r="BH10999" s="386"/>
      <c r="BI10999" s="386"/>
      <c r="BJ10999" s="46"/>
    </row>
    <row r="11000" spans="59:62" x14ac:dyDescent="0.3">
      <c r="BG11000" s="387"/>
      <c r="BH11000" s="386"/>
      <c r="BI11000" s="386"/>
      <c r="BJ11000" s="46"/>
    </row>
    <row r="11001" spans="59:62" x14ac:dyDescent="0.3">
      <c r="BG11001" s="387"/>
      <c r="BH11001" s="386"/>
      <c r="BI11001" s="386"/>
      <c r="BJ11001" s="46"/>
    </row>
    <row r="11002" spans="59:62" x14ac:dyDescent="0.3">
      <c r="BG11002" s="387"/>
      <c r="BH11002" s="386"/>
      <c r="BI11002" s="386"/>
      <c r="BJ11002" s="46"/>
    </row>
    <row r="11003" spans="59:62" x14ac:dyDescent="0.3">
      <c r="BG11003" s="387"/>
      <c r="BH11003" s="386"/>
      <c r="BI11003" s="386"/>
      <c r="BJ11003" s="46"/>
    </row>
    <row r="11004" spans="59:62" x14ac:dyDescent="0.3">
      <c r="BG11004" s="387"/>
      <c r="BH11004" s="386"/>
      <c r="BI11004" s="386"/>
      <c r="BJ11004" s="46"/>
    </row>
    <row r="11005" spans="59:62" x14ac:dyDescent="0.3">
      <c r="BG11005" s="387"/>
      <c r="BH11005" s="386"/>
      <c r="BI11005" s="386"/>
      <c r="BJ11005" s="46"/>
    </row>
    <row r="11006" spans="59:62" x14ac:dyDescent="0.3">
      <c r="BG11006" s="387"/>
      <c r="BH11006" s="386"/>
      <c r="BI11006" s="386"/>
      <c r="BJ11006" s="46"/>
    </row>
    <row r="11007" spans="59:62" x14ac:dyDescent="0.3">
      <c r="BG11007" s="387"/>
      <c r="BH11007" s="386"/>
      <c r="BI11007" s="386"/>
      <c r="BJ11007" s="46"/>
    </row>
    <row r="11008" spans="59:62" x14ac:dyDescent="0.3">
      <c r="BG11008" s="387"/>
      <c r="BH11008" s="386"/>
      <c r="BI11008" s="386"/>
      <c r="BJ11008" s="46"/>
    </row>
    <row r="11009" spans="59:62" x14ac:dyDescent="0.3">
      <c r="BG11009" s="387"/>
      <c r="BH11009" s="386"/>
      <c r="BI11009" s="386"/>
      <c r="BJ11009" s="46"/>
    </row>
    <row r="11010" spans="59:62" x14ac:dyDescent="0.3">
      <c r="BG11010" s="387"/>
      <c r="BH11010" s="386"/>
      <c r="BI11010" s="386"/>
      <c r="BJ11010" s="46"/>
    </row>
    <row r="11011" spans="59:62" x14ac:dyDescent="0.3">
      <c r="BG11011" s="387"/>
      <c r="BH11011" s="386"/>
      <c r="BI11011" s="386"/>
      <c r="BJ11011" s="46"/>
    </row>
    <row r="11012" spans="59:62" x14ac:dyDescent="0.3">
      <c r="BG11012" s="387"/>
      <c r="BH11012" s="386"/>
      <c r="BI11012" s="386"/>
      <c r="BJ11012" s="46"/>
    </row>
    <row r="11013" spans="59:62" x14ac:dyDescent="0.3">
      <c r="BG11013" s="387"/>
      <c r="BH11013" s="386"/>
      <c r="BI11013" s="386"/>
      <c r="BJ11013" s="46"/>
    </row>
    <row r="11014" spans="59:62" x14ac:dyDescent="0.3">
      <c r="BG11014" s="387"/>
      <c r="BH11014" s="386"/>
      <c r="BI11014" s="386"/>
      <c r="BJ11014" s="46"/>
    </row>
    <row r="11015" spans="59:62" x14ac:dyDescent="0.3">
      <c r="BG11015" s="387"/>
      <c r="BH11015" s="386"/>
      <c r="BI11015" s="386"/>
      <c r="BJ11015" s="46"/>
    </row>
    <row r="11016" spans="59:62" x14ac:dyDescent="0.3">
      <c r="BG11016" s="387"/>
      <c r="BH11016" s="386"/>
      <c r="BI11016" s="386"/>
      <c r="BJ11016" s="46"/>
    </row>
    <row r="11017" spans="59:62" x14ac:dyDescent="0.3">
      <c r="BG11017" s="387"/>
      <c r="BH11017" s="386"/>
      <c r="BI11017" s="386"/>
      <c r="BJ11017" s="46"/>
    </row>
    <row r="11018" spans="59:62" x14ac:dyDescent="0.3">
      <c r="BG11018" s="387"/>
      <c r="BH11018" s="386"/>
      <c r="BI11018" s="386"/>
      <c r="BJ11018" s="46"/>
    </row>
    <row r="11019" spans="59:62" x14ac:dyDescent="0.3">
      <c r="BG11019" s="387"/>
      <c r="BH11019" s="386"/>
      <c r="BI11019" s="386"/>
      <c r="BJ11019" s="46"/>
    </row>
    <row r="11020" spans="59:62" x14ac:dyDescent="0.3">
      <c r="BG11020" s="387"/>
      <c r="BH11020" s="386"/>
      <c r="BI11020" s="386"/>
      <c r="BJ11020" s="46"/>
    </row>
    <row r="11021" spans="59:62" x14ac:dyDescent="0.3">
      <c r="BG11021" s="387"/>
      <c r="BH11021" s="386"/>
      <c r="BI11021" s="386"/>
      <c r="BJ11021" s="46"/>
    </row>
    <row r="11022" spans="59:62" x14ac:dyDescent="0.3">
      <c r="BG11022" s="387"/>
      <c r="BH11022" s="386"/>
      <c r="BI11022" s="386"/>
      <c r="BJ11022" s="46"/>
    </row>
    <row r="11023" spans="59:62" x14ac:dyDescent="0.3">
      <c r="BG11023" s="387"/>
      <c r="BH11023" s="386"/>
      <c r="BI11023" s="386"/>
      <c r="BJ11023" s="46"/>
    </row>
    <row r="11024" spans="59:62" x14ac:dyDescent="0.3">
      <c r="BG11024" s="387"/>
      <c r="BH11024" s="386"/>
      <c r="BI11024" s="386"/>
      <c r="BJ11024" s="46"/>
    </row>
    <row r="11025" spans="59:62" x14ac:dyDescent="0.3">
      <c r="BG11025" s="387"/>
      <c r="BH11025" s="386"/>
      <c r="BI11025" s="386"/>
      <c r="BJ11025" s="46"/>
    </row>
    <row r="11026" spans="59:62" x14ac:dyDescent="0.3">
      <c r="BG11026" s="387"/>
      <c r="BH11026" s="386"/>
      <c r="BI11026" s="386"/>
      <c r="BJ11026" s="46"/>
    </row>
    <row r="11027" spans="59:62" x14ac:dyDescent="0.3">
      <c r="BG11027" s="387"/>
      <c r="BH11027" s="386"/>
      <c r="BI11027" s="386"/>
      <c r="BJ11027" s="46"/>
    </row>
    <row r="11028" spans="59:62" x14ac:dyDescent="0.3">
      <c r="BG11028" s="387"/>
      <c r="BH11028" s="386"/>
      <c r="BI11028" s="386"/>
      <c r="BJ11028" s="46"/>
    </row>
    <row r="11029" spans="59:62" x14ac:dyDescent="0.3">
      <c r="BG11029" s="387"/>
      <c r="BH11029" s="386"/>
      <c r="BI11029" s="386"/>
      <c r="BJ11029" s="46"/>
    </row>
    <row r="11030" spans="59:62" x14ac:dyDescent="0.3">
      <c r="BG11030" s="387"/>
      <c r="BH11030" s="386"/>
      <c r="BI11030" s="386"/>
      <c r="BJ11030" s="46"/>
    </row>
    <row r="11031" spans="59:62" x14ac:dyDescent="0.3">
      <c r="BG11031" s="387"/>
      <c r="BH11031" s="386"/>
      <c r="BI11031" s="386"/>
      <c r="BJ11031" s="46"/>
    </row>
    <row r="11032" spans="59:62" x14ac:dyDescent="0.3">
      <c r="BG11032" s="387"/>
      <c r="BH11032" s="386"/>
      <c r="BI11032" s="386"/>
      <c r="BJ11032" s="46"/>
    </row>
    <row r="11033" spans="59:62" x14ac:dyDescent="0.3">
      <c r="BG11033" s="387"/>
      <c r="BH11033" s="386"/>
      <c r="BI11033" s="386"/>
      <c r="BJ11033" s="46"/>
    </row>
    <row r="11034" spans="59:62" x14ac:dyDescent="0.3">
      <c r="BG11034" s="387"/>
      <c r="BH11034" s="386"/>
      <c r="BI11034" s="386"/>
      <c r="BJ11034" s="46"/>
    </row>
    <row r="11035" spans="59:62" x14ac:dyDescent="0.3">
      <c r="BG11035" s="387"/>
      <c r="BH11035" s="386"/>
      <c r="BI11035" s="386"/>
      <c r="BJ11035" s="46"/>
    </row>
    <row r="11036" spans="59:62" x14ac:dyDescent="0.3">
      <c r="BG11036" s="387"/>
      <c r="BH11036" s="386"/>
      <c r="BI11036" s="386"/>
      <c r="BJ11036" s="46"/>
    </row>
    <row r="11037" spans="59:62" x14ac:dyDescent="0.3">
      <c r="BG11037" s="387"/>
      <c r="BH11037" s="386"/>
      <c r="BI11037" s="386"/>
      <c r="BJ11037" s="46"/>
    </row>
    <row r="11038" spans="59:62" x14ac:dyDescent="0.3">
      <c r="BG11038" s="387"/>
      <c r="BH11038" s="386"/>
      <c r="BI11038" s="386"/>
      <c r="BJ11038" s="46"/>
    </row>
    <row r="11039" spans="59:62" x14ac:dyDescent="0.3">
      <c r="BG11039" s="387"/>
      <c r="BH11039" s="386"/>
      <c r="BI11039" s="386"/>
      <c r="BJ11039" s="46"/>
    </row>
    <row r="11040" spans="59:62" x14ac:dyDescent="0.3">
      <c r="BG11040" s="387"/>
      <c r="BH11040" s="386"/>
      <c r="BI11040" s="386"/>
      <c r="BJ11040" s="46"/>
    </row>
    <row r="11041" spans="59:62" x14ac:dyDescent="0.3">
      <c r="BG11041" s="387"/>
      <c r="BH11041" s="386"/>
      <c r="BI11041" s="386"/>
      <c r="BJ11041" s="46"/>
    </row>
    <row r="11042" spans="59:62" x14ac:dyDescent="0.3">
      <c r="BG11042" s="387"/>
      <c r="BH11042" s="386"/>
      <c r="BI11042" s="386"/>
      <c r="BJ11042" s="46"/>
    </row>
    <row r="11043" spans="59:62" x14ac:dyDescent="0.3">
      <c r="BG11043" s="387"/>
      <c r="BH11043" s="386"/>
      <c r="BI11043" s="386"/>
      <c r="BJ11043" s="46"/>
    </row>
    <row r="11044" spans="59:62" x14ac:dyDescent="0.3">
      <c r="BG11044" s="387"/>
      <c r="BH11044" s="386"/>
      <c r="BI11044" s="386"/>
      <c r="BJ11044" s="46"/>
    </row>
    <row r="11045" spans="59:62" x14ac:dyDescent="0.3">
      <c r="BG11045" s="387"/>
      <c r="BH11045" s="386"/>
      <c r="BI11045" s="386"/>
      <c r="BJ11045" s="46"/>
    </row>
    <row r="11046" spans="59:62" x14ac:dyDescent="0.3">
      <c r="BG11046" s="387"/>
      <c r="BH11046" s="386"/>
      <c r="BI11046" s="386"/>
      <c r="BJ11046" s="46"/>
    </row>
    <row r="11047" spans="59:62" x14ac:dyDescent="0.3">
      <c r="BG11047" s="387"/>
      <c r="BH11047" s="386"/>
      <c r="BI11047" s="386"/>
      <c r="BJ11047" s="46"/>
    </row>
    <row r="11048" spans="59:62" x14ac:dyDescent="0.3">
      <c r="BG11048" s="387"/>
      <c r="BH11048" s="386"/>
      <c r="BI11048" s="386"/>
      <c r="BJ11048" s="46"/>
    </row>
    <row r="11049" spans="59:62" x14ac:dyDescent="0.3">
      <c r="BG11049" s="387"/>
      <c r="BH11049" s="386"/>
      <c r="BI11049" s="386"/>
      <c r="BJ11049" s="46"/>
    </row>
    <row r="11050" spans="59:62" x14ac:dyDescent="0.3">
      <c r="BG11050" s="387"/>
      <c r="BH11050" s="386"/>
      <c r="BI11050" s="386"/>
      <c r="BJ11050" s="46"/>
    </row>
    <row r="11051" spans="59:62" x14ac:dyDescent="0.3">
      <c r="BG11051" s="387"/>
      <c r="BH11051" s="386"/>
      <c r="BI11051" s="386"/>
      <c r="BJ11051" s="46"/>
    </row>
    <row r="11052" spans="59:62" x14ac:dyDescent="0.3">
      <c r="BG11052" s="387"/>
      <c r="BH11052" s="386"/>
      <c r="BI11052" s="386"/>
      <c r="BJ11052" s="46"/>
    </row>
    <row r="11053" spans="59:62" x14ac:dyDescent="0.3">
      <c r="BG11053" s="387"/>
      <c r="BH11053" s="386"/>
      <c r="BI11053" s="386"/>
      <c r="BJ11053" s="46"/>
    </row>
    <row r="11054" spans="59:62" x14ac:dyDescent="0.3">
      <c r="BG11054" s="387"/>
      <c r="BH11054" s="386"/>
      <c r="BI11054" s="386"/>
      <c r="BJ11054" s="46"/>
    </row>
    <row r="11055" spans="59:62" x14ac:dyDescent="0.3">
      <c r="BG11055" s="387"/>
      <c r="BH11055" s="386"/>
      <c r="BI11055" s="386"/>
      <c r="BJ11055" s="46"/>
    </row>
    <row r="11056" spans="59:62" x14ac:dyDescent="0.3">
      <c r="BG11056" s="387"/>
      <c r="BH11056" s="386"/>
      <c r="BI11056" s="386"/>
      <c r="BJ11056" s="46"/>
    </row>
    <row r="11057" spans="59:62" x14ac:dyDescent="0.3">
      <c r="BG11057" s="387"/>
      <c r="BH11057" s="386"/>
      <c r="BI11057" s="386"/>
      <c r="BJ11057" s="46"/>
    </row>
    <row r="11058" spans="59:62" x14ac:dyDescent="0.3">
      <c r="BG11058" s="387"/>
      <c r="BH11058" s="386"/>
      <c r="BI11058" s="386"/>
      <c r="BJ11058" s="46"/>
    </row>
    <row r="11059" spans="59:62" x14ac:dyDescent="0.3">
      <c r="BG11059" s="387"/>
      <c r="BH11059" s="386"/>
      <c r="BI11059" s="386"/>
      <c r="BJ11059" s="46"/>
    </row>
    <row r="11060" spans="59:62" x14ac:dyDescent="0.3">
      <c r="BG11060" s="387"/>
      <c r="BH11060" s="386"/>
      <c r="BI11060" s="386"/>
      <c r="BJ11060" s="46"/>
    </row>
    <row r="11061" spans="59:62" x14ac:dyDescent="0.3">
      <c r="BG11061" s="387"/>
      <c r="BH11061" s="386"/>
      <c r="BI11061" s="386"/>
      <c r="BJ11061" s="46"/>
    </row>
    <row r="11062" spans="59:62" x14ac:dyDescent="0.3">
      <c r="BG11062" s="387"/>
      <c r="BH11062" s="386"/>
      <c r="BI11062" s="386"/>
      <c r="BJ11062" s="46"/>
    </row>
    <row r="11063" spans="59:62" x14ac:dyDescent="0.3">
      <c r="BG11063" s="387"/>
      <c r="BH11063" s="386"/>
      <c r="BI11063" s="386"/>
      <c r="BJ11063" s="46"/>
    </row>
    <row r="11064" spans="59:62" x14ac:dyDescent="0.3">
      <c r="BG11064" s="387"/>
      <c r="BH11064" s="386"/>
      <c r="BI11064" s="386"/>
      <c r="BJ11064" s="46"/>
    </row>
    <row r="11065" spans="59:62" x14ac:dyDescent="0.3">
      <c r="BG11065" s="387"/>
      <c r="BH11065" s="386"/>
      <c r="BI11065" s="386"/>
      <c r="BJ11065" s="46"/>
    </row>
    <row r="11066" spans="59:62" x14ac:dyDescent="0.3">
      <c r="BG11066" s="387"/>
      <c r="BH11066" s="386"/>
      <c r="BI11066" s="386"/>
      <c r="BJ11066" s="46"/>
    </row>
    <row r="11067" spans="59:62" x14ac:dyDescent="0.3">
      <c r="BG11067" s="387"/>
      <c r="BH11067" s="386"/>
      <c r="BI11067" s="386"/>
      <c r="BJ11067" s="46"/>
    </row>
    <row r="11068" spans="59:62" x14ac:dyDescent="0.3">
      <c r="BG11068" s="387"/>
      <c r="BH11068" s="386"/>
      <c r="BI11068" s="386"/>
      <c r="BJ11068" s="46"/>
    </row>
    <row r="11069" spans="59:62" x14ac:dyDescent="0.3">
      <c r="BG11069" s="387"/>
      <c r="BH11069" s="386"/>
      <c r="BI11069" s="386"/>
      <c r="BJ11069" s="46"/>
    </row>
    <row r="11070" spans="59:62" x14ac:dyDescent="0.3">
      <c r="BG11070" s="387"/>
      <c r="BH11070" s="386"/>
      <c r="BI11070" s="386"/>
      <c r="BJ11070" s="46"/>
    </row>
    <row r="11071" spans="59:62" x14ac:dyDescent="0.3">
      <c r="BG11071" s="387"/>
      <c r="BH11071" s="386"/>
      <c r="BI11071" s="386"/>
      <c r="BJ11071" s="46"/>
    </row>
    <row r="11072" spans="59:62" x14ac:dyDescent="0.3">
      <c r="BG11072" s="387"/>
      <c r="BH11072" s="386"/>
      <c r="BI11072" s="386"/>
      <c r="BJ11072" s="46"/>
    </row>
    <row r="11073" spans="59:62" x14ac:dyDescent="0.3">
      <c r="BG11073" s="387"/>
      <c r="BH11073" s="386"/>
      <c r="BI11073" s="386"/>
      <c r="BJ11073" s="46"/>
    </row>
    <row r="11074" spans="59:62" x14ac:dyDescent="0.3">
      <c r="BG11074" s="387"/>
      <c r="BH11074" s="386"/>
      <c r="BI11074" s="386"/>
      <c r="BJ11074" s="46"/>
    </row>
    <row r="11075" spans="59:62" x14ac:dyDescent="0.3">
      <c r="BG11075" s="387"/>
      <c r="BH11075" s="386"/>
      <c r="BI11075" s="386"/>
      <c r="BJ11075" s="46"/>
    </row>
    <row r="11076" spans="59:62" x14ac:dyDescent="0.3">
      <c r="BG11076" s="387"/>
      <c r="BH11076" s="386"/>
      <c r="BI11076" s="386"/>
      <c r="BJ11076" s="46"/>
    </row>
    <row r="11077" spans="59:62" x14ac:dyDescent="0.3">
      <c r="BG11077" s="387"/>
      <c r="BH11077" s="386"/>
      <c r="BI11077" s="386"/>
      <c r="BJ11077" s="46"/>
    </row>
    <row r="11078" spans="59:62" x14ac:dyDescent="0.3">
      <c r="BG11078" s="387"/>
      <c r="BH11078" s="386"/>
      <c r="BI11078" s="386"/>
      <c r="BJ11078" s="46"/>
    </row>
    <row r="11079" spans="59:62" x14ac:dyDescent="0.3">
      <c r="BG11079" s="387"/>
      <c r="BH11079" s="386"/>
      <c r="BI11079" s="386"/>
      <c r="BJ11079" s="46"/>
    </row>
    <row r="11080" spans="59:62" x14ac:dyDescent="0.3">
      <c r="BG11080" s="387"/>
      <c r="BH11080" s="386"/>
      <c r="BI11080" s="386"/>
      <c r="BJ11080" s="46"/>
    </row>
    <row r="11081" spans="59:62" x14ac:dyDescent="0.3">
      <c r="BG11081" s="387"/>
      <c r="BH11081" s="386"/>
      <c r="BI11081" s="386"/>
      <c r="BJ11081" s="46"/>
    </row>
    <row r="11082" spans="59:62" x14ac:dyDescent="0.3">
      <c r="BG11082" s="387"/>
      <c r="BH11082" s="386"/>
      <c r="BI11082" s="386"/>
      <c r="BJ11082" s="46"/>
    </row>
    <row r="11083" spans="59:62" x14ac:dyDescent="0.3">
      <c r="BG11083" s="387"/>
      <c r="BH11083" s="386"/>
      <c r="BI11083" s="386"/>
      <c r="BJ11083" s="46"/>
    </row>
    <row r="11084" spans="59:62" x14ac:dyDescent="0.3">
      <c r="BG11084" s="387"/>
      <c r="BH11084" s="386"/>
      <c r="BI11084" s="386"/>
      <c r="BJ11084" s="46"/>
    </row>
    <row r="11085" spans="59:62" x14ac:dyDescent="0.3">
      <c r="BG11085" s="387"/>
      <c r="BH11085" s="386"/>
      <c r="BI11085" s="386"/>
      <c r="BJ11085" s="46"/>
    </row>
    <row r="11086" spans="59:62" x14ac:dyDescent="0.3">
      <c r="BG11086" s="387"/>
      <c r="BH11086" s="386"/>
      <c r="BI11086" s="386"/>
      <c r="BJ11086" s="46"/>
    </row>
    <row r="11087" spans="59:62" x14ac:dyDescent="0.3">
      <c r="BG11087" s="387"/>
      <c r="BH11087" s="386"/>
      <c r="BI11087" s="386"/>
      <c r="BJ11087" s="46"/>
    </row>
    <row r="11088" spans="59:62" x14ac:dyDescent="0.3">
      <c r="BG11088" s="387"/>
      <c r="BH11088" s="386"/>
      <c r="BI11088" s="386"/>
      <c r="BJ11088" s="46"/>
    </row>
    <row r="11089" spans="59:62" x14ac:dyDescent="0.3">
      <c r="BG11089" s="387"/>
      <c r="BH11089" s="386"/>
      <c r="BI11089" s="386"/>
      <c r="BJ11089" s="46"/>
    </row>
    <row r="11090" spans="59:62" x14ac:dyDescent="0.3">
      <c r="BG11090" s="387"/>
      <c r="BH11090" s="386"/>
      <c r="BI11090" s="386"/>
      <c r="BJ11090" s="46"/>
    </row>
    <row r="11091" spans="59:62" x14ac:dyDescent="0.3">
      <c r="BG11091" s="387"/>
      <c r="BH11091" s="386"/>
      <c r="BI11091" s="386"/>
      <c r="BJ11091" s="46"/>
    </row>
    <row r="11092" spans="59:62" x14ac:dyDescent="0.3">
      <c r="BG11092" s="387"/>
      <c r="BH11092" s="386"/>
      <c r="BI11092" s="386"/>
      <c r="BJ11092" s="46"/>
    </row>
    <row r="11093" spans="59:62" x14ac:dyDescent="0.3">
      <c r="BG11093" s="387"/>
      <c r="BH11093" s="386"/>
      <c r="BI11093" s="386"/>
      <c r="BJ11093" s="46"/>
    </row>
    <row r="11094" spans="59:62" x14ac:dyDescent="0.3">
      <c r="BG11094" s="387"/>
      <c r="BH11094" s="386"/>
      <c r="BI11094" s="386"/>
      <c r="BJ11094" s="46"/>
    </row>
    <row r="11095" spans="59:62" x14ac:dyDescent="0.3">
      <c r="BG11095" s="387"/>
      <c r="BH11095" s="386"/>
      <c r="BI11095" s="386"/>
      <c r="BJ11095" s="46"/>
    </row>
    <row r="11096" spans="59:62" x14ac:dyDescent="0.3">
      <c r="BG11096" s="387"/>
      <c r="BH11096" s="386"/>
      <c r="BI11096" s="386"/>
      <c r="BJ11096" s="46"/>
    </row>
    <row r="11097" spans="59:62" x14ac:dyDescent="0.3">
      <c r="BG11097" s="387"/>
      <c r="BH11097" s="386"/>
      <c r="BI11097" s="386"/>
      <c r="BJ11097" s="46"/>
    </row>
    <row r="11098" spans="59:62" x14ac:dyDescent="0.3">
      <c r="BG11098" s="387"/>
      <c r="BH11098" s="386"/>
      <c r="BI11098" s="386"/>
      <c r="BJ11098" s="46"/>
    </row>
    <row r="11099" spans="59:62" x14ac:dyDescent="0.3">
      <c r="BG11099" s="387"/>
      <c r="BH11099" s="386"/>
      <c r="BI11099" s="386"/>
      <c r="BJ11099" s="46"/>
    </row>
    <row r="11100" spans="59:62" x14ac:dyDescent="0.3">
      <c r="BG11100" s="387"/>
      <c r="BH11100" s="386"/>
      <c r="BI11100" s="386"/>
      <c r="BJ11100" s="46"/>
    </row>
    <row r="11101" spans="59:62" x14ac:dyDescent="0.3">
      <c r="BG11101" s="387"/>
      <c r="BH11101" s="386"/>
      <c r="BI11101" s="386"/>
      <c r="BJ11101" s="46"/>
    </row>
    <row r="11102" spans="59:62" x14ac:dyDescent="0.3">
      <c r="BG11102" s="387"/>
      <c r="BH11102" s="386"/>
      <c r="BI11102" s="386"/>
      <c r="BJ11102" s="46"/>
    </row>
    <row r="11103" spans="59:62" x14ac:dyDescent="0.3">
      <c r="BG11103" s="387"/>
      <c r="BH11103" s="386"/>
      <c r="BI11103" s="386"/>
      <c r="BJ11103" s="46"/>
    </row>
    <row r="11104" spans="59:62" x14ac:dyDescent="0.3">
      <c r="BG11104" s="387"/>
      <c r="BH11104" s="386"/>
      <c r="BI11104" s="386"/>
      <c r="BJ11104" s="46"/>
    </row>
    <row r="11105" spans="59:62" x14ac:dyDescent="0.3">
      <c r="BG11105" s="387"/>
      <c r="BH11105" s="386"/>
      <c r="BI11105" s="386"/>
      <c r="BJ11105" s="46"/>
    </row>
    <row r="11106" spans="59:62" x14ac:dyDescent="0.3">
      <c r="BG11106" s="387"/>
      <c r="BH11106" s="386"/>
      <c r="BI11106" s="386"/>
      <c r="BJ11106" s="46"/>
    </row>
    <row r="11107" spans="59:62" x14ac:dyDescent="0.3">
      <c r="BG11107" s="387"/>
      <c r="BH11107" s="386"/>
      <c r="BI11107" s="386"/>
      <c r="BJ11107" s="46"/>
    </row>
    <row r="11108" spans="59:62" x14ac:dyDescent="0.3">
      <c r="BG11108" s="387"/>
      <c r="BH11108" s="386"/>
      <c r="BI11108" s="386"/>
      <c r="BJ11108" s="46"/>
    </row>
    <row r="11109" spans="59:62" x14ac:dyDescent="0.3">
      <c r="BG11109" s="387"/>
      <c r="BH11109" s="386"/>
      <c r="BI11109" s="386"/>
      <c r="BJ11109" s="46"/>
    </row>
    <row r="11110" spans="59:62" x14ac:dyDescent="0.3">
      <c r="BG11110" s="387"/>
      <c r="BH11110" s="386"/>
      <c r="BI11110" s="386"/>
      <c r="BJ11110" s="46"/>
    </row>
    <row r="11111" spans="59:62" x14ac:dyDescent="0.3">
      <c r="BG11111" s="387"/>
      <c r="BH11111" s="386"/>
      <c r="BI11111" s="386"/>
      <c r="BJ11111" s="46"/>
    </row>
    <row r="11112" spans="59:62" x14ac:dyDescent="0.3">
      <c r="BG11112" s="387"/>
      <c r="BH11112" s="386"/>
      <c r="BI11112" s="386"/>
      <c r="BJ11112" s="46"/>
    </row>
    <row r="11113" spans="59:62" x14ac:dyDescent="0.3">
      <c r="BG11113" s="387"/>
      <c r="BH11113" s="386"/>
      <c r="BI11113" s="386"/>
      <c r="BJ11113" s="46"/>
    </row>
    <row r="11114" spans="59:62" x14ac:dyDescent="0.3">
      <c r="BG11114" s="387"/>
      <c r="BH11114" s="386"/>
      <c r="BI11114" s="386"/>
      <c r="BJ11114" s="46"/>
    </row>
    <row r="11115" spans="59:62" x14ac:dyDescent="0.3">
      <c r="BG11115" s="387"/>
      <c r="BH11115" s="386"/>
      <c r="BI11115" s="386"/>
      <c r="BJ11115" s="46"/>
    </row>
    <row r="11116" spans="59:62" x14ac:dyDescent="0.3">
      <c r="BG11116" s="387"/>
      <c r="BH11116" s="386"/>
      <c r="BI11116" s="386"/>
      <c r="BJ11116" s="46"/>
    </row>
    <row r="11117" spans="59:62" x14ac:dyDescent="0.3">
      <c r="BG11117" s="387"/>
      <c r="BH11117" s="386"/>
      <c r="BI11117" s="386"/>
      <c r="BJ11117" s="46"/>
    </row>
    <row r="11118" spans="59:62" x14ac:dyDescent="0.3">
      <c r="BG11118" s="387"/>
      <c r="BH11118" s="386"/>
      <c r="BI11118" s="386"/>
      <c r="BJ11118" s="46"/>
    </row>
    <row r="11119" spans="59:62" x14ac:dyDescent="0.3">
      <c r="BG11119" s="387"/>
      <c r="BH11119" s="386"/>
      <c r="BI11119" s="386"/>
      <c r="BJ11119" s="46"/>
    </row>
    <row r="11120" spans="59:62" x14ac:dyDescent="0.3">
      <c r="BG11120" s="387"/>
      <c r="BH11120" s="386"/>
      <c r="BI11120" s="386"/>
      <c r="BJ11120" s="46"/>
    </row>
    <row r="11121" spans="59:62" x14ac:dyDescent="0.3">
      <c r="BG11121" s="387"/>
      <c r="BH11121" s="386"/>
      <c r="BI11121" s="386"/>
      <c r="BJ11121" s="46"/>
    </row>
    <row r="11122" spans="59:62" x14ac:dyDescent="0.3">
      <c r="BG11122" s="387"/>
      <c r="BH11122" s="386"/>
      <c r="BI11122" s="386"/>
      <c r="BJ11122" s="46"/>
    </row>
    <row r="11123" spans="59:62" x14ac:dyDescent="0.3">
      <c r="BG11123" s="387"/>
      <c r="BH11123" s="386"/>
      <c r="BI11123" s="386"/>
      <c r="BJ11123" s="46"/>
    </row>
    <row r="11124" spans="59:62" x14ac:dyDescent="0.3">
      <c r="BG11124" s="387"/>
      <c r="BH11124" s="386"/>
      <c r="BI11124" s="386"/>
      <c r="BJ11124" s="46"/>
    </row>
    <row r="11125" spans="59:62" x14ac:dyDescent="0.3">
      <c r="BG11125" s="387"/>
      <c r="BH11125" s="386"/>
      <c r="BI11125" s="386"/>
      <c r="BJ11125" s="46"/>
    </row>
    <row r="11126" spans="59:62" x14ac:dyDescent="0.3">
      <c r="BG11126" s="387"/>
      <c r="BH11126" s="386"/>
      <c r="BI11126" s="386"/>
      <c r="BJ11126" s="46"/>
    </row>
    <row r="11127" spans="59:62" x14ac:dyDescent="0.3">
      <c r="BG11127" s="387"/>
      <c r="BH11127" s="386"/>
      <c r="BI11127" s="386"/>
      <c r="BJ11127" s="46"/>
    </row>
    <row r="11128" spans="59:62" x14ac:dyDescent="0.3">
      <c r="BG11128" s="387"/>
      <c r="BH11128" s="386"/>
      <c r="BI11128" s="386"/>
      <c r="BJ11128" s="46"/>
    </row>
    <row r="11129" spans="59:62" x14ac:dyDescent="0.3">
      <c r="BG11129" s="387"/>
      <c r="BH11129" s="386"/>
      <c r="BI11129" s="386"/>
      <c r="BJ11129" s="46"/>
    </row>
    <row r="11130" spans="59:62" x14ac:dyDescent="0.3">
      <c r="BG11130" s="387"/>
      <c r="BH11130" s="386"/>
      <c r="BI11130" s="386"/>
      <c r="BJ11130" s="46"/>
    </row>
    <row r="11131" spans="59:62" x14ac:dyDescent="0.3">
      <c r="BG11131" s="387"/>
      <c r="BH11131" s="386"/>
      <c r="BI11131" s="386"/>
      <c r="BJ11131" s="46"/>
    </row>
    <row r="11132" spans="59:62" x14ac:dyDescent="0.3">
      <c r="BG11132" s="387"/>
      <c r="BH11132" s="386"/>
      <c r="BI11132" s="386"/>
      <c r="BJ11132" s="46"/>
    </row>
    <row r="11133" spans="59:62" x14ac:dyDescent="0.3">
      <c r="BG11133" s="387"/>
      <c r="BH11133" s="386"/>
      <c r="BI11133" s="386"/>
      <c r="BJ11133" s="46"/>
    </row>
    <row r="11134" spans="59:62" x14ac:dyDescent="0.3">
      <c r="BG11134" s="387"/>
      <c r="BH11134" s="386"/>
      <c r="BI11134" s="386"/>
      <c r="BJ11134" s="46"/>
    </row>
    <row r="11135" spans="59:62" x14ac:dyDescent="0.3">
      <c r="BG11135" s="387"/>
      <c r="BH11135" s="386"/>
      <c r="BI11135" s="386"/>
      <c r="BJ11135" s="46"/>
    </row>
    <row r="11136" spans="59:62" x14ac:dyDescent="0.3">
      <c r="BG11136" s="387"/>
      <c r="BH11136" s="386"/>
      <c r="BI11136" s="386"/>
      <c r="BJ11136" s="46"/>
    </row>
    <row r="11137" spans="59:62" x14ac:dyDescent="0.3">
      <c r="BG11137" s="387"/>
      <c r="BH11137" s="386"/>
      <c r="BI11137" s="386"/>
      <c r="BJ11137" s="46"/>
    </row>
    <row r="11138" spans="59:62" x14ac:dyDescent="0.3">
      <c r="BG11138" s="387"/>
      <c r="BH11138" s="386"/>
      <c r="BI11138" s="386"/>
      <c r="BJ11138" s="46"/>
    </row>
    <row r="11139" spans="59:62" x14ac:dyDescent="0.3">
      <c r="BG11139" s="387"/>
      <c r="BH11139" s="386"/>
      <c r="BI11139" s="386"/>
      <c r="BJ11139" s="46"/>
    </row>
    <row r="11140" spans="59:62" x14ac:dyDescent="0.3">
      <c r="BG11140" s="387"/>
      <c r="BH11140" s="386"/>
      <c r="BI11140" s="386"/>
      <c r="BJ11140" s="46"/>
    </row>
    <row r="11141" spans="59:62" x14ac:dyDescent="0.3">
      <c r="BG11141" s="387"/>
      <c r="BH11141" s="386"/>
      <c r="BI11141" s="386"/>
      <c r="BJ11141" s="46"/>
    </row>
    <row r="11142" spans="59:62" x14ac:dyDescent="0.3">
      <c r="BG11142" s="387"/>
      <c r="BH11142" s="386"/>
      <c r="BI11142" s="386"/>
      <c r="BJ11142" s="46"/>
    </row>
    <row r="11143" spans="59:62" x14ac:dyDescent="0.3">
      <c r="BG11143" s="387"/>
      <c r="BH11143" s="386"/>
      <c r="BI11143" s="386"/>
      <c r="BJ11143" s="46"/>
    </row>
    <row r="11144" spans="59:62" x14ac:dyDescent="0.3">
      <c r="BG11144" s="387"/>
      <c r="BH11144" s="386"/>
      <c r="BI11144" s="386"/>
      <c r="BJ11144" s="46"/>
    </row>
    <row r="11145" spans="59:62" x14ac:dyDescent="0.3">
      <c r="BG11145" s="387"/>
      <c r="BH11145" s="386"/>
      <c r="BI11145" s="386"/>
      <c r="BJ11145" s="46"/>
    </row>
    <row r="11146" spans="59:62" x14ac:dyDescent="0.3">
      <c r="BG11146" s="387"/>
      <c r="BH11146" s="386"/>
      <c r="BI11146" s="386"/>
      <c r="BJ11146" s="46"/>
    </row>
    <row r="11147" spans="59:62" x14ac:dyDescent="0.3">
      <c r="BG11147" s="387"/>
      <c r="BH11147" s="386"/>
      <c r="BI11147" s="386"/>
      <c r="BJ11147" s="46"/>
    </row>
    <row r="11148" spans="59:62" x14ac:dyDescent="0.3">
      <c r="BG11148" s="387"/>
      <c r="BH11148" s="386"/>
      <c r="BI11148" s="386"/>
      <c r="BJ11148" s="46"/>
    </row>
    <row r="11149" spans="59:62" x14ac:dyDescent="0.3">
      <c r="BG11149" s="387"/>
      <c r="BH11149" s="386"/>
      <c r="BI11149" s="386"/>
      <c r="BJ11149" s="46"/>
    </row>
    <row r="11150" spans="59:62" x14ac:dyDescent="0.3">
      <c r="BG11150" s="387"/>
      <c r="BH11150" s="386"/>
      <c r="BI11150" s="386"/>
      <c r="BJ11150" s="46"/>
    </row>
    <row r="11151" spans="59:62" x14ac:dyDescent="0.3">
      <c r="BG11151" s="387"/>
      <c r="BH11151" s="386"/>
      <c r="BI11151" s="386"/>
      <c r="BJ11151" s="46"/>
    </row>
    <row r="11152" spans="59:62" x14ac:dyDescent="0.3">
      <c r="BG11152" s="387"/>
      <c r="BH11152" s="386"/>
      <c r="BI11152" s="386"/>
      <c r="BJ11152" s="46"/>
    </row>
    <row r="11153" spans="59:62" x14ac:dyDescent="0.3">
      <c r="BG11153" s="387"/>
      <c r="BH11153" s="386"/>
      <c r="BI11153" s="386"/>
      <c r="BJ11153" s="46"/>
    </row>
    <row r="11154" spans="59:62" x14ac:dyDescent="0.3">
      <c r="BG11154" s="387"/>
      <c r="BH11154" s="386"/>
      <c r="BI11154" s="386"/>
      <c r="BJ11154" s="46"/>
    </row>
    <row r="11155" spans="59:62" x14ac:dyDescent="0.3">
      <c r="BG11155" s="387"/>
      <c r="BH11155" s="386"/>
      <c r="BI11155" s="386"/>
      <c r="BJ11155" s="46"/>
    </row>
    <row r="11156" spans="59:62" x14ac:dyDescent="0.3">
      <c r="BG11156" s="387"/>
      <c r="BH11156" s="386"/>
      <c r="BI11156" s="386"/>
      <c r="BJ11156" s="46"/>
    </row>
    <row r="11157" spans="59:62" x14ac:dyDescent="0.3">
      <c r="BG11157" s="387"/>
      <c r="BH11157" s="386"/>
      <c r="BI11157" s="386"/>
      <c r="BJ11157" s="46"/>
    </row>
    <row r="11158" spans="59:62" x14ac:dyDescent="0.3">
      <c r="BG11158" s="387"/>
      <c r="BH11158" s="386"/>
      <c r="BI11158" s="386"/>
      <c r="BJ11158" s="46"/>
    </row>
    <row r="11159" spans="59:62" x14ac:dyDescent="0.3">
      <c r="BG11159" s="387"/>
      <c r="BH11159" s="386"/>
      <c r="BI11159" s="386"/>
      <c r="BJ11159" s="46"/>
    </row>
    <row r="11160" spans="59:62" x14ac:dyDescent="0.3">
      <c r="BG11160" s="387"/>
      <c r="BH11160" s="386"/>
      <c r="BI11160" s="386"/>
      <c r="BJ11160" s="46"/>
    </row>
    <row r="11161" spans="59:62" x14ac:dyDescent="0.3">
      <c r="BG11161" s="387"/>
      <c r="BH11161" s="386"/>
      <c r="BI11161" s="386"/>
      <c r="BJ11161" s="46"/>
    </row>
    <row r="11162" spans="59:62" x14ac:dyDescent="0.3">
      <c r="BG11162" s="387"/>
      <c r="BH11162" s="386"/>
      <c r="BI11162" s="386"/>
      <c r="BJ11162" s="46"/>
    </row>
    <row r="11163" spans="59:62" x14ac:dyDescent="0.3">
      <c r="BG11163" s="387"/>
      <c r="BH11163" s="386"/>
      <c r="BI11163" s="386"/>
      <c r="BJ11163" s="46"/>
    </row>
    <row r="11164" spans="59:62" x14ac:dyDescent="0.3">
      <c r="BG11164" s="387"/>
      <c r="BH11164" s="386"/>
      <c r="BI11164" s="386"/>
      <c r="BJ11164" s="46"/>
    </row>
    <row r="11165" spans="59:62" x14ac:dyDescent="0.3">
      <c r="BG11165" s="387"/>
      <c r="BH11165" s="386"/>
      <c r="BI11165" s="386"/>
      <c r="BJ11165" s="46"/>
    </row>
    <row r="11166" spans="59:62" x14ac:dyDescent="0.3">
      <c r="BG11166" s="387"/>
      <c r="BH11166" s="386"/>
      <c r="BI11166" s="386"/>
      <c r="BJ11166" s="46"/>
    </row>
    <row r="11167" spans="59:62" x14ac:dyDescent="0.3">
      <c r="BG11167" s="387"/>
      <c r="BH11167" s="386"/>
      <c r="BI11167" s="386"/>
      <c r="BJ11167" s="46"/>
    </row>
    <row r="11168" spans="59:62" x14ac:dyDescent="0.3">
      <c r="BG11168" s="387"/>
      <c r="BH11168" s="386"/>
      <c r="BI11168" s="386"/>
      <c r="BJ11168" s="46"/>
    </row>
    <row r="11169" spans="59:62" x14ac:dyDescent="0.3">
      <c r="BG11169" s="387"/>
      <c r="BH11169" s="386"/>
      <c r="BI11169" s="386"/>
      <c r="BJ11169" s="46"/>
    </row>
    <row r="11170" spans="59:62" x14ac:dyDescent="0.3">
      <c r="BG11170" s="387"/>
      <c r="BH11170" s="386"/>
      <c r="BI11170" s="386"/>
      <c r="BJ11170" s="46"/>
    </row>
    <row r="11171" spans="59:62" x14ac:dyDescent="0.3">
      <c r="BG11171" s="387"/>
      <c r="BH11171" s="386"/>
      <c r="BI11171" s="386"/>
      <c r="BJ11171" s="46"/>
    </row>
    <row r="11172" spans="59:62" x14ac:dyDescent="0.3">
      <c r="BG11172" s="387"/>
      <c r="BH11172" s="386"/>
      <c r="BI11172" s="386"/>
      <c r="BJ11172" s="46"/>
    </row>
    <row r="11173" spans="59:62" x14ac:dyDescent="0.3">
      <c r="BG11173" s="387"/>
      <c r="BH11173" s="386"/>
      <c r="BI11173" s="386"/>
      <c r="BJ11173" s="46"/>
    </row>
    <row r="11174" spans="59:62" x14ac:dyDescent="0.3">
      <c r="BG11174" s="387"/>
      <c r="BH11174" s="386"/>
      <c r="BI11174" s="386"/>
      <c r="BJ11174" s="46"/>
    </row>
    <row r="11175" spans="59:62" x14ac:dyDescent="0.3">
      <c r="BG11175" s="387"/>
      <c r="BH11175" s="386"/>
      <c r="BI11175" s="386"/>
      <c r="BJ11175" s="46"/>
    </row>
    <row r="11176" spans="59:62" x14ac:dyDescent="0.3">
      <c r="BG11176" s="387"/>
      <c r="BH11176" s="386"/>
      <c r="BI11176" s="386"/>
      <c r="BJ11176" s="46"/>
    </row>
    <row r="11177" spans="59:62" x14ac:dyDescent="0.3">
      <c r="BG11177" s="387"/>
      <c r="BH11177" s="386"/>
      <c r="BI11177" s="386"/>
      <c r="BJ11177" s="46"/>
    </row>
    <row r="11178" spans="59:62" x14ac:dyDescent="0.3">
      <c r="BG11178" s="387"/>
      <c r="BH11178" s="386"/>
      <c r="BI11178" s="386"/>
      <c r="BJ11178" s="46"/>
    </row>
    <row r="11179" spans="59:62" x14ac:dyDescent="0.3">
      <c r="BG11179" s="387"/>
      <c r="BH11179" s="386"/>
      <c r="BI11179" s="386"/>
      <c r="BJ11179" s="46"/>
    </row>
    <row r="11180" spans="59:62" x14ac:dyDescent="0.3">
      <c r="BG11180" s="387"/>
      <c r="BH11180" s="386"/>
      <c r="BI11180" s="386"/>
      <c r="BJ11180" s="46"/>
    </row>
    <row r="11181" spans="59:62" x14ac:dyDescent="0.3">
      <c r="BG11181" s="387"/>
      <c r="BH11181" s="386"/>
      <c r="BI11181" s="386"/>
      <c r="BJ11181" s="46"/>
    </row>
    <row r="11182" spans="59:62" x14ac:dyDescent="0.3">
      <c r="BG11182" s="387"/>
      <c r="BH11182" s="386"/>
      <c r="BI11182" s="386"/>
      <c r="BJ11182" s="46"/>
    </row>
    <row r="11183" spans="59:62" x14ac:dyDescent="0.3">
      <c r="BG11183" s="387"/>
      <c r="BH11183" s="386"/>
      <c r="BI11183" s="386"/>
      <c r="BJ11183" s="46"/>
    </row>
    <row r="11184" spans="59:62" x14ac:dyDescent="0.3">
      <c r="BG11184" s="387"/>
      <c r="BH11184" s="386"/>
      <c r="BI11184" s="386"/>
      <c r="BJ11184" s="46"/>
    </row>
    <row r="11185" spans="59:62" x14ac:dyDescent="0.3">
      <c r="BG11185" s="387"/>
      <c r="BH11185" s="386"/>
      <c r="BI11185" s="386"/>
      <c r="BJ11185" s="46"/>
    </row>
    <row r="11186" spans="59:62" x14ac:dyDescent="0.3">
      <c r="BG11186" s="387"/>
      <c r="BH11186" s="386"/>
      <c r="BI11186" s="386"/>
      <c r="BJ11186" s="46"/>
    </row>
    <row r="11187" spans="59:62" x14ac:dyDescent="0.3">
      <c r="BG11187" s="387"/>
      <c r="BH11187" s="386"/>
      <c r="BI11187" s="386"/>
      <c r="BJ11187" s="46"/>
    </row>
    <row r="11188" spans="59:62" x14ac:dyDescent="0.3">
      <c r="BG11188" s="387"/>
      <c r="BH11188" s="386"/>
      <c r="BI11188" s="386"/>
      <c r="BJ11188" s="46"/>
    </row>
    <row r="11189" spans="59:62" x14ac:dyDescent="0.3">
      <c r="BG11189" s="387"/>
      <c r="BH11189" s="386"/>
      <c r="BI11189" s="386"/>
      <c r="BJ11189" s="46"/>
    </row>
    <row r="11190" spans="59:62" x14ac:dyDescent="0.3">
      <c r="BG11190" s="387"/>
      <c r="BH11190" s="386"/>
      <c r="BI11190" s="386"/>
      <c r="BJ11190" s="46"/>
    </row>
    <row r="11191" spans="59:62" x14ac:dyDescent="0.3">
      <c r="BG11191" s="387"/>
      <c r="BH11191" s="386"/>
      <c r="BI11191" s="386"/>
      <c r="BJ11191" s="46"/>
    </row>
    <row r="11192" spans="59:62" x14ac:dyDescent="0.3">
      <c r="BG11192" s="387"/>
      <c r="BH11192" s="386"/>
      <c r="BI11192" s="386"/>
      <c r="BJ11192" s="46"/>
    </row>
    <row r="11193" spans="59:62" x14ac:dyDescent="0.3">
      <c r="BG11193" s="387"/>
      <c r="BH11193" s="386"/>
      <c r="BI11193" s="386"/>
      <c r="BJ11193" s="46"/>
    </row>
    <row r="11194" spans="59:62" x14ac:dyDescent="0.3">
      <c r="BG11194" s="387"/>
      <c r="BH11194" s="386"/>
      <c r="BI11194" s="386"/>
      <c r="BJ11194" s="46"/>
    </row>
    <row r="11195" spans="59:62" x14ac:dyDescent="0.3">
      <c r="BG11195" s="387"/>
      <c r="BH11195" s="386"/>
      <c r="BI11195" s="386"/>
      <c r="BJ11195" s="46"/>
    </row>
    <row r="11196" spans="59:62" x14ac:dyDescent="0.3">
      <c r="BG11196" s="387"/>
      <c r="BH11196" s="386"/>
      <c r="BI11196" s="386"/>
      <c r="BJ11196" s="46"/>
    </row>
    <row r="11197" spans="59:62" x14ac:dyDescent="0.3">
      <c r="BG11197" s="387"/>
      <c r="BH11197" s="386"/>
      <c r="BI11197" s="386"/>
      <c r="BJ11197" s="46"/>
    </row>
    <row r="11198" spans="59:62" x14ac:dyDescent="0.3">
      <c r="BG11198" s="387"/>
      <c r="BH11198" s="386"/>
      <c r="BI11198" s="386"/>
      <c r="BJ11198" s="46"/>
    </row>
    <row r="11199" spans="59:62" x14ac:dyDescent="0.3">
      <c r="BG11199" s="387"/>
      <c r="BH11199" s="386"/>
      <c r="BI11199" s="386"/>
      <c r="BJ11199" s="46"/>
    </row>
    <row r="11200" spans="59:62" x14ac:dyDescent="0.3">
      <c r="BG11200" s="387"/>
      <c r="BH11200" s="386"/>
      <c r="BI11200" s="386"/>
      <c r="BJ11200" s="46"/>
    </row>
    <row r="11201" spans="59:62" x14ac:dyDescent="0.3">
      <c r="BG11201" s="387"/>
      <c r="BH11201" s="386"/>
      <c r="BI11201" s="386"/>
      <c r="BJ11201" s="46"/>
    </row>
    <row r="11202" spans="59:62" x14ac:dyDescent="0.3">
      <c r="BG11202" s="387"/>
      <c r="BH11202" s="386"/>
      <c r="BI11202" s="386"/>
      <c r="BJ11202" s="46"/>
    </row>
    <row r="11203" spans="59:62" x14ac:dyDescent="0.3">
      <c r="BG11203" s="387"/>
      <c r="BH11203" s="386"/>
      <c r="BI11203" s="386"/>
      <c r="BJ11203" s="46"/>
    </row>
    <row r="11204" spans="59:62" x14ac:dyDescent="0.3">
      <c r="BG11204" s="387"/>
      <c r="BH11204" s="386"/>
      <c r="BI11204" s="386"/>
      <c r="BJ11204" s="46"/>
    </row>
    <row r="11205" spans="59:62" x14ac:dyDescent="0.3">
      <c r="BG11205" s="387"/>
      <c r="BH11205" s="386"/>
      <c r="BI11205" s="386"/>
      <c r="BJ11205" s="46"/>
    </row>
    <row r="11206" spans="59:62" x14ac:dyDescent="0.3">
      <c r="BG11206" s="387"/>
      <c r="BH11206" s="386"/>
      <c r="BI11206" s="386"/>
      <c r="BJ11206" s="46"/>
    </row>
    <row r="11207" spans="59:62" x14ac:dyDescent="0.3">
      <c r="BG11207" s="387"/>
      <c r="BH11207" s="386"/>
      <c r="BI11207" s="386"/>
      <c r="BJ11207" s="46"/>
    </row>
    <row r="11208" spans="59:62" x14ac:dyDescent="0.3">
      <c r="BG11208" s="387"/>
      <c r="BH11208" s="386"/>
      <c r="BI11208" s="386"/>
      <c r="BJ11208" s="46"/>
    </row>
    <row r="11209" spans="59:62" x14ac:dyDescent="0.3">
      <c r="BG11209" s="387"/>
      <c r="BH11209" s="386"/>
      <c r="BI11209" s="386"/>
      <c r="BJ11209" s="46"/>
    </row>
    <row r="11210" spans="59:62" x14ac:dyDescent="0.3">
      <c r="BG11210" s="387"/>
      <c r="BH11210" s="386"/>
      <c r="BI11210" s="386"/>
      <c r="BJ11210" s="46"/>
    </row>
    <row r="11211" spans="59:62" x14ac:dyDescent="0.3">
      <c r="BG11211" s="387"/>
      <c r="BH11211" s="386"/>
      <c r="BI11211" s="386"/>
      <c r="BJ11211" s="46"/>
    </row>
    <row r="11212" spans="59:62" x14ac:dyDescent="0.3">
      <c r="BG11212" s="387"/>
      <c r="BH11212" s="386"/>
      <c r="BI11212" s="386"/>
      <c r="BJ11212" s="46"/>
    </row>
    <row r="11213" spans="59:62" x14ac:dyDescent="0.3">
      <c r="BG11213" s="387"/>
      <c r="BH11213" s="386"/>
      <c r="BI11213" s="386"/>
      <c r="BJ11213" s="46"/>
    </row>
    <row r="11214" spans="59:62" x14ac:dyDescent="0.3">
      <c r="BG11214" s="387"/>
      <c r="BH11214" s="386"/>
      <c r="BI11214" s="386"/>
      <c r="BJ11214" s="46"/>
    </row>
    <row r="11215" spans="59:62" x14ac:dyDescent="0.3">
      <c r="BG11215" s="387"/>
      <c r="BH11215" s="386"/>
      <c r="BI11215" s="386"/>
      <c r="BJ11215" s="46"/>
    </row>
    <row r="11216" spans="59:62" x14ac:dyDescent="0.3">
      <c r="BG11216" s="387"/>
      <c r="BH11216" s="386"/>
      <c r="BI11216" s="386"/>
      <c r="BJ11216" s="46"/>
    </row>
    <row r="11217" spans="59:62" x14ac:dyDescent="0.3">
      <c r="BG11217" s="387"/>
      <c r="BH11217" s="386"/>
      <c r="BI11217" s="386"/>
      <c r="BJ11217" s="46"/>
    </row>
    <row r="11218" spans="59:62" x14ac:dyDescent="0.3">
      <c r="BG11218" s="387"/>
      <c r="BH11218" s="386"/>
      <c r="BI11218" s="386"/>
      <c r="BJ11218" s="46"/>
    </row>
    <row r="11219" spans="59:62" x14ac:dyDescent="0.3">
      <c r="BG11219" s="387"/>
      <c r="BH11219" s="386"/>
      <c r="BI11219" s="386"/>
      <c r="BJ11219" s="46"/>
    </row>
    <row r="11220" spans="59:62" x14ac:dyDescent="0.3">
      <c r="BG11220" s="387"/>
      <c r="BH11220" s="386"/>
      <c r="BI11220" s="386"/>
      <c r="BJ11220" s="46"/>
    </row>
    <row r="11221" spans="59:62" x14ac:dyDescent="0.3">
      <c r="BG11221" s="387"/>
      <c r="BH11221" s="386"/>
      <c r="BI11221" s="386"/>
      <c r="BJ11221" s="46"/>
    </row>
    <row r="11222" spans="59:62" x14ac:dyDescent="0.3">
      <c r="BG11222" s="387"/>
      <c r="BH11222" s="386"/>
      <c r="BI11222" s="386"/>
      <c r="BJ11222" s="46"/>
    </row>
    <row r="11223" spans="59:62" x14ac:dyDescent="0.3">
      <c r="BG11223" s="387"/>
      <c r="BH11223" s="386"/>
      <c r="BI11223" s="386"/>
      <c r="BJ11223" s="46"/>
    </row>
    <row r="11224" spans="59:62" x14ac:dyDescent="0.3">
      <c r="BG11224" s="387"/>
      <c r="BH11224" s="386"/>
      <c r="BI11224" s="386"/>
      <c r="BJ11224" s="46"/>
    </row>
    <row r="11225" spans="59:62" x14ac:dyDescent="0.3">
      <c r="BG11225" s="387"/>
      <c r="BH11225" s="386"/>
      <c r="BI11225" s="386"/>
      <c r="BJ11225" s="46"/>
    </row>
    <row r="11226" spans="59:62" x14ac:dyDescent="0.3">
      <c r="BG11226" s="387"/>
      <c r="BH11226" s="386"/>
      <c r="BI11226" s="386"/>
      <c r="BJ11226" s="46"/>
    </row>
    <row r="11227" spans="59:62" x14ac:dyDescent="0.3">
      <c r="BG11227" s="387"/>
      <c r="BH11227" s="386"/>
      <c r="BI11227" s="386"/>
      <c r="BJ11227" s="46"/>
    </row>
    <row r="11228" spans="59:62" x14ac:dyDescent="0.3">
      <c r="BG11228" s="387"/>
      <c r="BH11228" s="386"/>
      <c r="BI11228" s="386"/>
      <c r="BJ11228" s="46"/>
    </row>
    <row r="11229" spans="59:62" x14ac:dyDescent="0.3">
      <c r="BG11229" s="387"/>
      <c r="BH11229" s="386"/>
      <c r="BI11229" s="386"/>
      <c r="BJ11229" s="46"/>
    </row>
    <row r="11230" spans="59:62" x14ac:dyDescent="0.3">
      <c r="BG11230" s="387"/>
      <c r="BH11230" s="386"/>
      <c r="BI11230" s="386"/>
      <c r="BJ11230" s="46"/>
    </row>
    <row r="11231" spans="59:62" x14ac:dyDescent="0.3">
      <c r="BG11231" s="387"/>
      <c r="BH11231" s="386"/>
      <c r="BI11231" s="386"/>
      <c r="BJ11231" s="46"/>
    </row>
    <row r="11232" spans="59:62" x14ac:dyDescent="0.3">
      <c r="BG11232" s="387"/>
      <c r="BH11232" s="386"/>
      <c r="BI11232" s="386"/>
      <c r="BJ11232" s="46"/>
    </row>
    <row r="11233" spans="59:62" x14ac:dyDescent="0.3">
      <c r="BG11233" s="387"/>
      <c r="BH11233" s="386"/>
      <c r="BI11233" s="386"/>
      <c r="BJ11233" s="46"/>
    </row>
    <row r="11234" spans="59:62" x14ac:dyDescent="0.3">
      <c r="BG11234" s="387"/>
      <c r="BH11234" s="386"/>
      <c r="BI11234" s="386"/>
      <c r="BJ11234" s="46"/>
    </row>
    <row r="11235" spans="59:62" x14ac:dyDescent="0.3">
      <c r="BG11235" s="387"/>
      <c r="BH11235" s="386"/>
      <c r="BI11235" s="386"/>
      <c r="BJ11235" s="46"/>
    </row>
    <row r="11236" spans="59:62" x14ac:dyDescent="0.3">
      <c r="BG11236" s="387"/>
      <c r="BH11236" s="386"/>
      <c r="BI11236" s="386"/>
      <c r="BJ11236" s="46"/>
    </row>
    <row r="11237" spans="59:62" x14ac:dyDescent="0.3">
      <c r="BG11237" s="387"/>
      <c r="BH11237" s="386"/>
      <c r="BI11237" s="386"/>
      <c r="BJ11237" s="46"/>
    </row>
    <row r="11238" spans="59:62" x14ac:dyDescent="0.3">
      <c r="BG11238" s="387"/>
      <c r="BH11238" s="386"/>
      <c r="BI11238" s="386"/>
      <c r="BJ11238" s="46"/>
    </row>
    <row r="11239" spans="59:62" x14ac:dyDescent="0.3">
      <c r="BG11239" s="387"/>
      <c r="BH11239" s="386"/>
      <c r="BI11239" s="386"/>
      <c r="BJ11239" s="46"/>
    </row>
    <row r="11240" spans="59:62" x14ac:dyDescent="0.3">
      <c r="BG11240" s="387"/>
      <c r="BH11240" s="386"/>
      <c r="BI11240" s="386"/>
      <c r="BJ11240" s="46"/>
    </row>
    <row r="11241" spans="59:62" x14ac:dyDescent="0.3">
      <c r="BG11241" s="387"/>
      <c r="BH11241" s="386"/>
      <c r="BI11241" s="386"/>
      <c r="BJ11241" s="46"/>
    </row>
    <row r="11242" spans="59:62" x14ac:dyDescent="0.3">
      <c r="BG11242" s="387"/>
      <c r="BH11242" s="386"/>
      <c r="BI11242" s="386"/>
      <c r="BJ11242" s="46"/>
    </row>
    <row r="11243" spans="59:62" x14ac:dyDescent="0.3">
      <c r="BG11243" s="387"/>
      <c r="BH11243" s="386"/>
      <c r="BI11243" s="386"/>
      <c r="BJ11243" s="46"/>
    </row>
    <row r="11244" spans="59:62" x14ac:dyDescent="0.3">
      <c r="BG11244" s="387"/>
      <c r="BH11244" s="386"/>
      <c r="BI11244" s="386"/>
      <c r="BJ11244" s="46"/>
    </row>
    <row r="11245" spans="59:62" x14ac:dyDescent="0.3">
      <c r="BG11245" s="387"/>
      <c r="BH11245" s="386"/>
      <c r="BI11245" s="386"/>
      <c r="BJ11245" s="46"/>
    </row>
    <row r="11246" spans="59:62" x14ac:dyDescent="0.3">
      <c r="BG11246" s="387"/>
      <c r="BH11246" s="386"/>
      <c r="BI11246" s="386"/>
      <c r="BJ11246" s="46"/>
    </row>
    <row r="11247" spans="59:62" x14ac:dyDescent="0.3">
      <c r="BG11247" s="387"/>
      <c r="BH11247" s="386"/>
      <c r="BI11247" s="386"/>
      <c r="BJ11247" s="46"/>
    </row>
    <row r="11248" spans="59:62" x14ac:dyDescent="0.3">
      <c r="BG11248" s="387"/>
      <c r="BH11248" s="386"/>
      <c r="BI11248" s="386"/>
      <c r="BJ11248" s="46"/>
    </row>
    <row r="11249" spans="59:62" x14ac:dyDescent="0.3">
      <c r="BG11249" s="387"/>
      <c r="BH11249" s="386"/>
      <c r="BI11249" s="386"/>
      <c r="BJ11249" s="46"/>
    </row>
    <row r="11250" spans="59:62" x14ac:dyDescent="0.3">
      <c r="BG11250" s="387"/>
      <c r="BH11250" s="386"/>
      <c r="BI11250" s="386"/>
      <c r="BJ11250" s="46"/>
    </row>
    <row r="11251" spans="59:62" x14ac:dyDescent="0.3">
      <c r="BG11251" s="387"/>
      <c r="BH11251" s="386"/>
      <c r="BI11251" s="386"/>
      <c r="BJ11251" s="46"/>
    </row>
    <row r="11252" spans="59:62" x14ac:dyDescent="0.3">
      <c r="BG11252" s="387"/>
      <c r="BH11252" s="386"/>
      <c r="BI11252" s="386"/>
      <c r="BJ11252" s="46"/>
    </row>
    <row r="11253" spans="59:62" x14ac:dyDescent="0.3">
      <c r="BG11253" s="387"/>
      <c r="BH11253" s="386"/>
      <c r="BI11253" s="386"/>
      <c r="BJ11253" s="46"/>
    </row>
    <row r="11254" spans="59:62" x14ac:dyDescent="0.3">
      <c r="BG11254" s="387"/>
      <c r="BH11254" s="386"/>
      <c r="BI11254" s="386"/>
      <c r="BJ11254" s="46"/>
    </row>
    <row r="11255" spans="59:62" x14ac:dyDescent="0.3">
      <c r="BG11255" s="387"/>
      <c r="BH11255" s="386"/>
      <c r="BI11255" s="386"/>
      <c r="BJ11255" s="46"/>
    </row>
    <row r="11256" spans="59:62" x14ac:dyDescent="0.3">
      <c r="BG11256" s="387"/>
      <c r="BH11256" s="386"/>
      <c r="BI11256" s="386"/>
      <c r="BJ11256" s="46"/>
    </row>
    <row r="11257" spans="59:62" x14ac:dyDescent="0.3">
      <c r="BG11257" s="387"/>
      <c r="BH11257" s="386"/>
      <c r="BI11257" s="386"/>
      <c r="BJ11257" s="46"/>
    </row>
    <row r="11258" spans="59:62" x14ac:dyDescent="0.3">
      <c r="BG11258" s="387"/>
      <c r="BH11258" s="386"/>
      <c r="BI11258" s="386"/>
      <c r="BJ11258" s="46"/>
    </row>
    <row r="11259" spans="59:62" x14ac:dyDescent="0.3">
      <c r="BG11259" s="387"/>
      <c r="BH11259" s="386"/>
      <c r="BI11259" s="386"/>
      <c r="BJ11259" s="46"/>
    </row>
    <row r="11260" spans="59:62" x14ac:dyDescent="0.3">
      <c r="BG11260" s="387"/>
      <c r="BH11260" s="386"/>
      <c r="BI11260" s="386"/>
      <c r="BJ11260" s="46"/>
    </row>
    <row r="11261" spans="59:62" x14ac:dyDescent="0.3">
      <c r="BG11261" s="387"/>
      <c r="BH11261" s="386"/>
      <c r="BI11261" s="386"/>
      <c r="BJ11261" s="46"/>
    </row>
    <row r="11262" spans="59:62" x14ac:dyDescent="0.3">
      <c r="BG11262" s="387"/>
      <c r="BH11262" s="386"/>
      <c r="BI11262" s="386"/>
      <c r="BJ11262" s="46"/>
    </row>
    <row r="11263" spans="59:62" x14ac:dyDescent="0.3">
      <c r="BG11263" s="387"/>
      <c r="BH11263" s="386"/>
      <c r="BI11263" s="386"/>
      <c r="BJ11263" s="46"/>
    </row>
    <row r="11264" spans="59:62" x14ac:dyDescent="0.3">
      <c r="BG11264" s="387"/>
      <c r="BH11264" s="386"/>
      <c r="BI11264" s="386"/>
      <c r="BJ11264" s="46"/>
    </row>
    <row r="11265" spans="59:62" x14ac:dyDescent="0.3">
      <c r="BG11265" s="387"/>
      <c r="BH11265" s="386"/>
      <c r="BI11265" s="386"/>
      <c r="BJ11265" s="46"/>
    </row>
    <row r="11266" spans="59:62" x14ac:dyDescent="0.3">
      <c r="BG11266" s="387"/>
      <c r="BH11266" s="386"/>
      <c r="BI11266" s="386"/>
      <c r="BJ11266" s="46"/>
    </row>
    <row r="11267" spans="59:62" x14ac:dyDescent="0.3">
      <c r="BG11267" s="387"/>
      <c r="BH11267" s="386"/>
      <c r="BI11267" s="386"/>
      <c r="BJ11267" s="46"/>
    </row>
    <row r="11268" spans="59:62" x14ac:dyDescent="0.3">
      <c r="BG11268" s="387"/>
      <c r="BH11268" s="386"/>
      <c r="BI11268" s="386"/>
      <c r="BJ11268" s="46"/>
    </row>
    <row r="11269" spans="59:62" x14ac:dyDescent="0.3">
      <c r="BG11269" s="387"/>
      <c r="BH11269" s="386"/>
      <c r="BI11269" s="386"/>
      <c r="BJ11269" s="46"/>
    </row>
    <row r="11270" spans="59:62" x14ac:dyDescent="0.3">
      <c r="BG11270" s="387"/>
      <c r="BH11270" s="386"/>
      <c r="BI11270" s="386"/>
      <c r="BJ11270" s="46"/>
    </row>
    <row r="11271" spans="59:62" x14ac:dyDescent="0.3">
      <c r="BG11271" s="387"/>
      <c r="BH11271" s="386"/>
      <c r="BI11271" s="386"/>
      <c r="BJ11271" s="46"/>
    </row>
    <row r="11272" spans="59:62" x14ac:dyDescent="0.3">
      <c r="BG11272" s="387"/>
      <c r="BH11272" s="386"/>
      <c r="BI11272" s="386"/>
      <c r="BJ11272" s="46"/>
    </row>
    <row r="11273" spans="59:62" x14ac:dyDescent="0.3">
      <c r="BG11273" s="387"/>
      <c r="BH11273" s="386"/>
      <c r="BI11273" s="386"/>
      <c r="BJ11273" s="46"/>
    </row>
    <row r="11274" spans="59:62" x14ac:dyDescent="0.3">
      <c r="BG11274" s="387"/>
      <c r="BH11274" s="386"/>
      <c r="BI11274" s="386"/>
      <c r="BJ11274" s="46"/>
    </row>
    <row r="11275" spans="59:62" x14ac:dyDescent="0.3">
      <c r="BG11275" s="387"/>
      <c r="BH11275" s="386"/>
      <c r="BI11275" s="386"/>
      <c r="BJ11275" s="46"/>
    </row>
    <row r="11276" spans="59:62" x14ac:dyDescent="0.3">
      <c r="BG11276" s="387"/>
      <c r="BH11276" s="386"/>
      <c r="BI11276" s="386"/>
      <c r="BJ11276" s="46"/>
    </row>
    <row r="11277" spans="59:62" x14ac:dyDescent="0.3">
      <c r="BG11277" s="387"/>
      <c r="BH11277" s="386"/>
      <c r="BI11277" s="386"/>
      <c r="BJ11277" s="46"/>
    </row>
    <row r="11278" spans="59:62" x14ac:dyDescent="0.3">
      <c r="BG11278" s="387"/>
      <c r="BH11278" s="386"/>
      <c r="BI11278" s="386"/>
      <c r="BJ11278" s="46"/>
    </row>
    <row r="11279" spans="59:62" x14ac:dyDescent="0.3">
      <c r="BG11279" s="387"/>
      <c r="BH11279" s="386"/>
      <c r="BI11279" s="386"/>
      <c r="BJ11279" s="46"/>
    </row>
    <row r="11280" spans="59:62" x14ac:dyDescent="0.3">
      <c r="BG11280" s="387"/>
      <c r="BH11280" s="386"/>
      <c r="BI11280" s="386"/>
      <c r="BJ11280" s="46"/>
    </row>
    <row r="11281" spans="59:62" x14ac:dyDescent="0.3">
      <c r="BG11281" s="387"/>
      <c r="BH11281" s="386"/>
      <c r="BI11281" s="386"/>
      <c r="BJ11281" s="46"/>
    </row>
    <row r="11282" spans="59:62" x14ac:dyDescent="0.3">
      <c r="BG11282" s="387"/>
      <c r="BH11282" s="386"/>
      <c r="BI11282" s="386"/>
      <c r="BJ11282" s="46"/>
    </row>
    <row r="11283" spans="59:62" x14ac:dyDescent="0.3">
      <c r="BG11283" s="387"/>
      <c r="BH11283" s="386"/>
      <c r="BI11283" s="386"/>
      <c r="BJ11283" s="46"/>
    </row>
    <row r="11284" spans="59:62" x14ac:dyDescent="0.3">
      <c r="BG11284" s="387"/>
      <c r="BH11284" s="386"/>
      <c r="BI11284" s="386"/>
      <c r="BJ11284" s="46"/>
    </row>
    <row r="11285" spans="59:62" x14ac:dyDescent="0.3">
      <c r="BG11285" s="387"/>
      <c r="BH11285" s="386"/>
      <c r="BI11285" s="386"/>
      <c r="BJ11285" s="46"/>
    </row>
    <row r="11286" spans="59:62" x14ac:dyDescent="0.3">
      <c r="BG11286" s="387"/>
      <c r="BH11286" s="386"/>
      <c r="BI11286" s="386"/>
      <c r="BJ11286" s="46"/>
    </row>
    <row r="11287" spans="59:62" x14ac:dyDescent="0.3">
      <c r="BG11287" s="387"/>
      <c r="BH11287" s="386"/>
      <c r="BI11287" s="386"/>
      <c r="BJ11287" s="46"/>
    </row>
    <row r="11288" spans="59:62" x14ac:dyDescent="0.3">
      <c r="BG11288" s="387"/>
      <c r="BH11288" s="386"/>
      <c r="BI11288" s="386"/>
      <c r="BJ11288" s="46"/>
    </row>
    <row r="11289" spans="59:62" x14ac:dyDescent="0.3">
      <c r="BG11289" s="387"/>
      <c r="BH11289" s="386"/>
      <c r="BI11289" s="386"/>
      <c r="BJ11289" s="46"/>
    </row>
    <row r="11290" spans="59:62" x14ac:dyDescent="0.3">
      <c r="BG11290" s="387"/>
      <c r="BH11290" s="386"/>
      <c r="BI11290" s="386"/>
      <c r="BJ11290" s="46"/>
    </row>
    <row r="11291" spans="59:62" x14ac:dyDescent="0.3">
      <c r="BG11291" s="387"/>
      <c r="BH11291" s="386"/>
      <c r="BI11291" s="386"/>
      <c r="BJ11291" s="46"/>
    </row>
    <row r="11292" spans="59:62" x14ac:dyDescent="0.3">
      <c r="BG11292" s="387"/>
      <c r="BH11292" s="386"/>
      <c r="BI11292" s="386"/>
      <c r="BJ11292" s="46"/>
    </row>
    <row r="11293" spans="59:62" x14ac:dyDescent="0.3">
      <c r="BG11293" s="387"/>
      <c r="BH11293" s="386"/>
      <c r="BI11293" s="386"/>
      <c r="BJ11293" s="46"/>
    </row>
    <row r="11294" spans="59:62" x14ac:dyDescent="0.3">
      <c r="BG11294" s="387"/>
      <c r="BH11294" s="386"/>
      <c r="BI11294" s="386"/>
      <c r="BJ11294" s="46"/>
    </row>
    <row r="11295" spans="59:62" x14ac:dyDescent="0.3">
      <c r="BG11295" s="387"/>
      <c r="BH11295" s="386"/>
      <c r="BI11295" s="386"/>
      <c r="BJ11295" s="46"/>
    </row>
    <row r="11296" spans="59:62" x14ac:dyDescent="0.3">
      <c r="BG11296" s="387"/>
      <c r="BH11296" s="386"/>
      <c r="BI11296" s="386"/>
      <c r="BJ11296" s="46"/>
    </row>
    <row r="11297" spans="59:62" x14ac:dyDescent="0.3">
      <c r="BG11297" s="387"/>
      <c r="BH11297" s="386"/>
      <c r="BI11297" s="386"/>
      <c r="BJ11297" s="46"/>
    </row>
    <row r="11298" spans="59:62" x14ac:dyDescent="0.3">
      <c r="BG11298" s="387"/>
      <c r="BH11298" s="386"/>
      <c r="BI11298" s="386"/>
      <c r="BJ11298" s="46"/>
    </row>
    <row r="11299" spans="59:62" x14ac:dyDescent="0.3">
      <c r="BG11299" s="387"/>
      <c r="BH11299" s="386"/>
      <c r="BI11299" s="386"/>
      <c r="BJ11299" s="46"/>
    </row>
    <row r="11300" spans="59:62" x14ac:dyDescent="0.3">
      <c r="BG11300" s="387"/>
      <c r="BH11300" s="386"/>
      <c r="BI11300" s="386"/>
      <c r="BJ11300" s="46"/>
    </row>
    <row r="11301" spans="59:62" x14ac:dyDescent="0.3">
      <c r="BG11301" s="387"/>
      <c r="BH11301" s="386"/>
      <c r="BI11301" s="386"/>
      <c r="BJ11301" s="46"/>
    </row>
    <row r="11302" spans="59:62" x14ac:dyDescent="0.3">
      <c r="BG11302" s="387"/>
      <c r="BH11302" s="386"/>
      <c r="BI11302" s="386"/>
      <c r="BJ11302" s="46"/>
    </row>
    <row r="11303" spans="59:62" x14ac:dyDescent="0.3">
      <c r="BG11303" s="387"/>
      <c r="BH11303" s="386"/>
      <c r="BI11303" s="386"/>
      <c r="BJ11303" s="46"/>
    </row>
    <row r="11304" spans="59:62" x14ac:dyDescent="0.3">
      <c r="BG11304" s="387"/>
      <c r="BH11304" s="386"/>
      <c r="BI11304" s="386"/>
      <c r="BJ11304" s="46"/>
    </row>
    <row r="11305" spans="59:62" x14ac:dyDescent="0.3">
      <c r="BG11305" s="387"/>
      <c r="BH11305" s="386"/>
      <c r="BI11305" s="386"/>
      <c r="BJ11305" s="46"/>
    </row>
    <row r="11306" spans="59:62" x14ac:dyDescent="0.3">
      <c r="BG11306" s="387"/>
      <c r="BH11306" s="386"/>
      <c r="BI11306" s="386"/>
      <c r="BJ11306" s="46"/>
    </row>
    <row r="11307" spans="59:62" x14ac:dyDescent="0.3">
      <c r="BG11307" s="387"/>
      <c r="BH11307" s="386"/>
      <c r="BI11307" s="386"/>
      <c r="BJ11307" s="46"/>
    </row>
    <row r="11308" spans="59:62" x14ac:dyDescent="0.3">
      <c r="BG11308" s="387"/>
      <c r="BH11308" s="386"/>
      <c r="BI11308" s="386"/>
      <c r="BJ11308" s="46"/>
    </row>
    <row r="11309" spans="59:62" x14ac:dyDescent="0.3">
      <c r="BG11309" s="387"/>
      <c r="BH11309" s="386"/>
      <c r="BI11309" s="386"/>
      <c r="BJ11309" s="46"/>
    </row>
    <row r="11310" spans="59:62" x14ac:dyDescent="0.3">
      <c r="BG11310" s="387"/>
      <c r="BH11310" s="386"/>
      <c r="BI11310" s="386"/>
      <c r="BJ11310" s="46"/>
    </row>
    <row r="11311" spans="59:62" x14ac:dyDescent="0.3">
      <c r="BG11311" s="387"/>
      <c r="BH11311" s="386"/>
      <c r="BI11311" s="386"/>
      <c r="BJ11311" s="46"/>
    </row>
    <row r="11312" spans="59:62" x14ac:dyDescent="0.3">
      <c r="BG11312" s="387"/>
      <c r="BH11312" s="386"/>
      <c r="BI11312" s="386"/>
      <c r="BJ11312" s="46"/>
    </row>
    <row r="11313" spans="59:62" x14ac:dyDescent="0.3">
      <c r="BG11313" s="387"/>
      <c r="BH11313" s="386"/>
      <c r="BI11313" s="386"/>
      <c r="BJ11313" s="46"/>
    </row>
    <row r="11314" spans="59:62" x14ac:dyDescent="0.3">
      <c r="BG11314" s="387"/>
      <c r="BH11314" s="386"/>
      <c r="BI11314" s="386"/>
      <c r="BJ11314" s="46"/>
    </row>
    <row r="11315" spans="59:62" x14ac:dyDescent="0.3">
      <c r="BG11315" s="387"/>
      <c r="BH11315" s="386"/>
      <c r="BI11315" s="386"/>
      <c r="BJ11315" s="46"/>
    </row>
    <row r="11316" spans="59:62" x14ac:dyDescent="0.3">
      <c r="BG11316" s="387"/>
      <c r="BH11316" s="386"/>
      <c r="BI11316" s="386"/>
      <c r="BJ11316" s="46"/>
    </row>
    <row r="11317" spans="59:62" x14ac:dyDescent="0.3">
      <c r="BG11317" s="387"/>
      <c r="BH11317" s="386"/>
      <c r="BI11317" s="386"/>
      <c r="BJ11317" s="46"/>
    </row>
    <row r="11318" spans="59:62" x14ac:dyDescent="0.3">
      <c r="BG11318" s="387"/>
      <c r="BH11318" s="386"/>
      <c r="BI11318" s="386"/>
      <c r="BJ11318" s="46"/>
    </row>
    <row r="11319" spans="59:62" x14ac:dyDescent="0.3">
      <c r="BG11319" s="387"/>
      <c r="BH11319" s="386"/>
      <c r="BI11319" s="386"/>
      <c r="BJ11319" s="46"/>
    </row>
    <row r="11320" spans="59:62" x14ac:dyDescent="0.3">
      <c r="BG11320" s="387"/>
      <c r="BH11320" s="386"/>
      <c r="BI11320" s="386"/>
      <c r="BJ11320" s="46"/>
    </row>
    <row r="11321" spans="59:62" x14ac:dyDescent="0.3">
      <c r="BG11321" s="387"/>
      <c r="BH11321" s="386"/>
      <c r="BI11321" s="386"/>
      <c r="BJ11321" s="46"/>
    </row>
    <row r="11322" spans="59:62" x14ac:dyDescent="0.3">
      <c r="BG11322" s="387"/>
      <c r="BH11322" s="386"/>
      <c r="BI11322" s="386"/>
      <c r="BJ11322" s="46"/>
    </row>
    <row r="11323" spans="59:62" x14ac:dyDescent="0.3">
      <c r="BG11323" s="387"/>
      <c r="BH11323" s="386"/>
      <c r="BI11323" s="386"/>
      <c r="BJ11323" s="46"/>
    </row>
    <row r="11324" spans="59:62" x14ac:dyDescent="0.3">
      <c r="BG11324" s="387"/>
      <c r="BH11324" s="386"/>
      <c r="BI11324" s="386"/>
      <c r="BJ11324" s="46"/>
    </row>
    <row r="11325" spans="59:62" x14ac:dyDescent="0.3">
      <c r="BG11325" s="387"/>
      <c r="BH11325" s="386"/>
      <c r="BI11325" s="386"/>
      <c r="BJ11325" s="46"/>
    </row>
    <row r="11326" spans="59:62" x14ac:dyDescent="0.3">
      <c r="BG11326" s="387"/>
      <c r="BH11326" s="386"/>
      <c r="BI11326" s="386"/>
      <c r="BJ11326" s="46"/>
    </row>
    <row r="11327" spans="59:62" x14ac:dyDescent="0.3">
      <c r="BG11327" s="387"/>
      <c r="BH11327" s="386"/>
      <c r="BI11327" s="386"/>
      <c r="BJ11327" s="46"/>
    </row>
    <row r="11328" spans="59:62" x14ac:dyDescent="0.3">
      <c r="BG11328" s="387"/>
      <c r="BH11328" s="386"/>
      <c r="BI11328" s="386"/>
      <c r="BJ11328" s="46"/>
    </row>
    <row r="11329" spans="59:62" x14ac:dyDescent="0.3">
      <c r="BG11329" s="387"/>
      <c r="BH11329" s="386"/>
      <c r="BI11329" s="386"/>
      <c r="BJ11329" s="46"/>
    </row>
    <row r="11330" spans="59:62" x14ac:dyDescent="0.3">
      <c r="BG11330" s="387"/>
      <c r="BH11330" s="386"/>
      <c r="BI11330" s="386"/>
      <c r="BJ11330" s="46"/>
    </row>
    <row r="11331" spans="59:62" x14ac:dyDescent="0.3">
      <c r="BG11331" s="387"/>
      <c r="BH11331" s="386"/>
      <c r="BI11331" s="386"/>
      <c r="BJ11331" s="46"/>
    </row>
    <row r="11332" spans="59:62" x14ac:dyDescent="0.3">
      <c r="BG11332" s="387"/>
      <c r="BH11332" s="386"/>
      <c r="BI11332" s="386"/>
      <c r="BJ11332" s="46"/>
    </row>
    <row r="11333" spans="59:62" x14ac:dyDescent="0.3">
      <c r="BG11333" s="387"/>
      <c r="BH11333" s="386"/>
      <c r="BI11333" s="386"/>
      <c r="BJ11333" s="46"/>
    </row>
    <row r="11334" spans="59:62" x14ac:dyDescent="0.3">
      <c r="BG11334" s="387"/>
      <c r="BH11334" s="386"/>
      <c r="BI11334" s="386"/>
      <c r="BJ11334" s="46"/>
    </row>
    <row r="11335" spans="59:62" x14ac:dyDescent="0.3">
      <c r="BG11335" s="387"/>
      <c r="BH11335" s="386"/>
      <c r="BI11335" s="386"/>
      <c r="BJ11335" s="46"/>
    </row>
    <row r="11336" spans="59:62" x14ac:dyDescent="0.3">
      <c r="BG11336" s="387"/>
      <c r="BH11336" s="386"/>
      <c r="BI11336" s="386"/>
      <c r="BJ11336" s="46"/>
    </row>
    <row r="11337" spans="59:62" x14ac:dyDescent="0.3">
      <c r="BG11337" s="387"/>
      <c r="BH11337" s="386"/>
      <c r="BI11337" s="386"/>
      <c r="BJ11337" s="46"/>
    </row>
    <row r="11338" spans="59:62" x14ac:dyDescent="0.3">
      <c r="BG11338" s="387"/>
      <c r="BH11338" s="386"/>
      <c r="BI11338" s="386"/>
      <c r="BJ11338" s="46"/>
    </row>
    <row r="11339" spans="59:62" x14ac:dyDescent="0.3">
      <c r="BG11339" s="387"/>
      <c r="BH11339" s="386"/>
      <c r="BI11339" s="386"/>
      <c r="BJ11339" s="46"/>
    </row>
    <row r="11340" spans="59:62" x14ac:dyDescent="0.3">
      <c r="BG11340" s="387"/>
      <c r="BH11340" s="386"/>
      <c r="BI11340" s="386"/>
      <c r="BJ11340" s="46"/>
    </row>
    <row r="11341" spans="59:62" x14ac:dyDescent="0.3">
      <c r="BG11341" s="387"/>
      <c r="BH11341" s="386"/>
      <c r="BI11341" s="386"/>
      <c r="BJ11341" s="46"/>
    </row>
    <row r="11342" spans="59:62" x14ac:dyDescent="0.3">
      <c r="BG11342" s="387"/>
      <c r="BH11342" s="386"/>
      <c r="BI11342" s="386"/>
      <c r="BJ11342" s="46"/>
    </row>
    <row r="11343" spans="59:62" x14ac:dyDescent="0.3">
      <c r="BG11343" s="387"/>
      <c r="BH11343" s="386"/>
      <c r="BI11343" s="386"/>
      <c r="BJ11343" s="46"/>
    </row>
    <row r="11344" spans="59:62" x14ac:dyDescent="0.3">
      <c r="BG11344" s="387"/>
      <c r="BH11344" s="386"/>
      <c r="BI11344" s="386"/>
      <c r="BJ11344" s="46"/>
    </row>
    <row r="11345" spans="59:62" x14ac:dyDescent="0.3">
      <c r="BG11345" s="387"/>
      <c r="BH11345" s="386"/>
      <c r="BI11345" s="386"/>
      <c r="BJ11345" s="46"/>
    </row>
    <row r="11346" spans="59:62" x14ac:dyDescent="0.3">
      <c r="BG11346" s="387"/>
      <c r="BH11346" s="386"/>
      <c r="BI11346" s="386"/>
      <c r="BJ11346" s="46"/>
    </row>
    <row r="11347" spans="59:62" x14ac:dyDescent="0.3">
      <c r="BG11347" s="387"/>
      <c r="BH11347" s="386"/>
      <c r="BI11347" s="386"/>
      <c r="BJ11347" s="46"/>
    </row>
    <row r="11348" spans="59:62" x14ac:dyDescent="0.3">
      <c r="BG11348" s="387"/>
      <c r="BH11348" s="386"/>
      <c r="BI11348" s="386"/>
      <c r="BJ11348" s="46"/>
    </row>
    <row r="11349" spans="59:62" x14ac:dyDescent="0.3">
      <c r="BG11349" s="387"/>
      <c r="BH11349" s="386"/>
      <c r="BI11349" s="386"/>
      <c r="BJ11349" s="46"/>
    </row>
    <row r="11350" spans="59:62" x14ac:dyDescent="0.3">
      <c r="BG11350" s="387"/>
      <c r="BH11350" s="386"/>
      <c r="BI11350" s="386"/>
      <c r="BJ11350" s="46"/>
    </row>
    <row r="11351" spans="59:62" x14ac:dyDescent="0.3">
      <c r="BG11351" s="387"/>
      <c r="BH11351" s="386"/>
      <c r="BI11351" s="386"/>
      <c r="BJ11351" s="46"/>
    </row>
    <row r="11352" spans="59:62" x14ac:dyDescent="0.3">
      <c r="BG11352" s="387"/>
      <c r="BH11352" s="386"/>
      <c r="BI11352" s="386"/>
      <c r="BJ11352" s="46"/>
    </row>
    <row r="11353" spans="59:62" x14ac:dyDescent="0.3">
      <c r="BG11353" s="387"/>
      <c r="BH11353" s="386"/>
      <c r="BI11353" s="386"/>
      <c r="BJ11353" s="46"/>
    </row>
    <row r="11354" spans="59:62" x14ac:dyDescent="0.3">
      <c r="BG11354" s="387"/>
      <c r="BH11354" s="386"/>
      <c r="BI11354" s="386"/>
      <c r="BJ11354" s="46"/>
    </row>
    <row r="11355" spans="59:62" x14ac:dyDescent="0.3">
      <c r="BG11355" s="387"/>
      <c r="BH11355" s="386"/>
      <c r="BI11355" s="386"/>
      <c r="BJ11355" s="46"/>
    </row>
    <row r="11356" spans="59:62" x14ac:dyDescent="0.3">
      <c r="BG11356" s="387"/>
      <c r="BH11356" s="386"/>
      <c r="BI11356" s="386"/>
      <c r="BJ11356" s="46"/>
    </row>
    <row r="11357" spans="59:62" x14ac:dyDescent="0.3">
      <c r="BG11357" s="387"/>
      <c r="BH11357" s="386"/>
      <c r="BI11357" s="386"/>
      <c r="BJ11357" s="46"/>
    </row>
    <row r="11358" spans="59:62" x14ac:dyDescent="0.3">
      <c r="BG11358" s="387"/>
      <c r="BH11358" s="386"/>
      <c r="BI11358" s="386"/>
      <c r="BJ11358" s="46"/>
    </row>
    <row r="11359" spans="59:62" x14ac:dyDescent="0.3">
      <c r="BG11359" s="387"/>
      <c r="BH11359" s="386"/>
      <c r="BI11359" s="386"/>
      <c r="BJ11359" s="46"/>
    </row>
    <row r="11360" spans="59:62" x14ac:dyDescent="0.3">
      <c r="BG11360" s="387"/>
      <c r="BH11360" s="386"/>
      <c r="BI11360" s="386"/>
      <c r="BJ11360" s="46"/>
    </row>
    <row r="11361" spans="59:62" x14ac:dyDescent="0.3">
      <c r="BG11361" s="387"/>
      <c r="BH11361" s="386"/>
      <c r="BI11361" s="386"/>
      <c r="BJ11361" s="46"/>
    </row>
    <row r="11362" spans="59:62" x14ac:dyDescent="0.3">
      <c r="BG11362" s="387"/>
      <c r="BH11362" s="386"/>
      <c r="BI11362" s="386"/>
      <c r="BJ11362" s="46"/>
    </row>
    <row r="11363" spans="59:62" x14ac:dyDescent="0.3">
      <c r="BG11363" s="387"/>
      <c r="BH11363" s="386"/>
      <c r="BI11363" s="386"/>
      <c r="BJ11363" s="46"/>
    </row>
    <row r="11364" spans="59:62" x14ac:dyDescent="0.3">
      <c r="BG11364" s="387"/>
      <c r="BH11364" s="386"/>
      <c r="BI11364" s="386"/>
      <c r="BJ11364" s="46"/>
    </row>
    <row r="11365" spans="59:62" x14ac:dyDescent="0.3">
      <c r="BG11365" s="387"/>
      <c r="BH11365" s="386"/>
      <c r="BI11365" s="386"/>
      <c r="BJ11365" s="46"/>
    </row>
    <row r="11366" spans="59:62" x14ac:dyDescent="0.3">
      <c r="BG11366" s="387"/>
      <c r="BH11366" s="386"/>
      <c r="BI11366" s="386"/>
      <c r="BJ11366" s="46"/>
    </row>
    <row r="11367" spans="59:62" x14ac:dyDescent="0.3">
      <c r="BG11367" s="387"/>
      <c r="BH11367" s="386"/>
      <c r="BI11367" s="386"/>
      <c r="BJ11367" s="46"/>
    </row>
    <row r="11368" spans="59:62" x14ac:dyDescent="0.3">
      <c r="BG11368" s="387"/>
      <c r="BH11368" s="386"/>
      <c r="BI11368" s="386"/>
      <c r="BJ11368" s="46"/>
    </row>
    <row r="11369" spans="59:62" x14ac:dyDescent="0.3">
      <c r="BG11369" s="387"/>
      <c r="BH11369" s="386"/>
      <c r="BI11369" s="386"/>
      <c r="BJ11369" s="46"/>
    </row>
    <row r="11370" spans="59:62" x14ac:dyDescent="0.3">
      <c r="BG11370" s="387"/>
      <c r="BH11370" s="386"/>
      <c r="BI11370" s="386"/>
      <c r="BJ11370" s="46"/>
    </row>
    <row r="11371" spans="59:62" x14ac:dyDescent="0.3">
      <c r="BG11371" s="387"/>
      <c r="BH11371" s="386"/>
      <c r="BI11371" s="386"/>
      <c r="BJ11371" s="46"/>
    </row>
    <row r="11372" spans="59:62" x14ac:dyDescent="0.3">
      <c r="BG11372" s="387"/>
      <c r="BH11372" s="386"/>
      <c r="BI11372" s="386"/>
      <c r="BJ11372" s="46"/>
    </row>
    <row r="11373" spans="59:62" x14ac:dyDescent="0.3">
      <c r="BG11373" s="387"/>
      <c r="BH11373" s="386"/>
      <c r="BI11373" s="386"/>
      <c r="BJ11373" s="46"/>
    </row>
    <row r="11374" spans="59:62" x14ac:dyDescent="0.3">
      <c r="BG11374" s="387"/>
      <c r="BH11374" s="386"/>
      <c r="BI11374" s="386"/>
      <c r="BJ11374" s="46"/>
    </row>
    <row r="11375" spans="59:62" x14ac:dyDescent="0.3">
      <c r="BG11375" s="387"/>
      <c r="BH11375" s="386"/>
      <c r="BI11375" s="386"/>
      <c r="BJ11375" s="46"/>
    </row>
    <row r="11376" spans="59:62" x14ac:dyDescent="0.3">
      <c r="BG11376" s="387"/>
      <c r="BH11376" s="386"/>
      <c r="BI11376" s="386"/>
      <c r="BJ11376" s="46"/>
    </row>
    <row r="11377" spans="59:62" x14ac:dyDescent="0.3">
      <c r="BG11377" s="387"/>
      <c r="BH11377" s="386"/>
      <c r="BI11377" s="386"/>
      <c r="BJ11377" s="46"/>
    </row>
    <row r="11378" spans="59:62" x14ac:dyDescent="0.3">
      <c r="BG11378" s="387"/>
      <c r="BH11378" s="386"/>
      <c r="BI11378" s="386"/>
      <c r="BJ11378" s="46"/>
    </row>
    <row r="11379" spans="59:62" x14ac:dyDescent="0.3">
      <c r="BG11379" s="387"/>
      <c r="BH11379" s="386"/>
      <c r="BI11379" s="386"/>
      <c r="BJ11379" s="46"/>
    </row>
    <row r="11380" spans="59:62" x14ac:dyDescent="0.3">
      <c r="BG11380" s="387"/>
      <c r="BH11380" s="386"/>
      <c r="BI11380" s="386"/>
      <c r="BJ11380" s="46"/>
    </row>
    <row r="11381" spans="59:62" x14ac:dyDescent="0.3">
      <c r="BG11381" s="387"/>
      <c r="BH11381" s="386"/>
      <c r="BI11381" s="386"/>
      <c r="BJ11381" s="46"/>
    </row>
    <row r="11382" spans="59:62" x14ac:dyDescent="0.3">
      <c r="BG11382" s="387"/>
      <c r="BH11382" s="386"/>
      <c r="BI11382" s="386"/>
      <c r="BJ11382" s="46"/>
    </row>
    <row r="11383" spans="59:62" x14ac:dyDescent="0.3">
      <c r="BG11383" s="387"/>
      <c r="BH11383" s="386"/>
      <c r="BI11383" s="386"/>
      <c r="BJ11383" s="46"/>
    </row>
    <row r="11384" spans="59:62" x14ac:dyDescent="0.3">
      <c r="BG11384" s="387"/>
      <c r="BH11384" s="386"/>
      <c r="BI11384" s="386"/>
      <c r="BJ11384" s="46"/>
    </row>
    <row r="11385" spans="59:62" x14ac:dyDescent="0.3">
      <c r="BG11385" s="387"/>
      <c r="BH11385" s="386"/>
      <c r="BI11385" s="386"/>
      <c r="BJ11385" s="46"/>
    </row>
    <row r="11386" spans="59:62" x14ac:dyDescent="0.3">
      <c r="BG11386" s="387"/>
      <c r="BH11386" s="386"/>
      <c r="BI11386" s="386"/>
      <c r="BJ11386" s="46"/>
    </row>
    <row r="11387" spans="59:62" x14ac:dyDescent="0.3">
      <c r="BG11387" s="387"/>
      <c r="BH11387" s="386"/>
      <c r="BI11387" s="386"/>
      <c r="BJ11387" s="46"/>
    </row>
    <row r="11388" spans="59:62" x14ac:dyDescent="0.3">
      <c r="BG11388" s="387"/>
      <c r="BH11388" s="386"/>
      <c r="BI11388" s="386"/>
      <c r="BJ11388" s="46"/>
    </row>
    <row r="11389" spans="59:62" x14ac:dyDescent="0.3">
      <c r="BG11389" s="387"/>
      <c r="BH11389" s="386"/>
      <c r="BI11389" s="386"/>
      <c r="BJ11389" s="46"/>
    </row>
    <row r="11390" spans="59:62" x14ac:dyDescent="0.3">
      <c r="BG11390" s="387"/>
      <c r="BH11390" s="386"/>
      <c r="BI11390" s="386"/>
      <c r="BJ11390" s="46"/>
    </row>
    <row r="11391" spans="59:62" x14ac:dyDescent="0.3">
      <c r="BG11391" s="387"/>
      <c r="BH11391" s="386"/>
      <c r="BI11391" s="386"/>
      <c r="BJ11391" s="46"/>
    </row>
    <row r="11392" spans="59:62" x14ac:dyDescent="0.3">
      <c r="BG11392" s="387"/>
      <c r="BH11392" s="386"/>
      <c r="BI11392" s="386"/>
      <c r="BJ11392" s="46"/>
    </row>
    <row r="11393" spans="59:62" x14ac:dyDescent="0.3">
      <c r="BG11393" s="387"/>
      <c r="BH11393" s="386"/>
      <c r="BI11393" s="386"/>
      <c r="BJ11393" s="46"/>
    </row>
    <row r="11394" spans="59:62" x14ac:dyDescent="0.3">
      <c r="BG11394" s="387"/>
      <c r="BH11394" s="386"/>
      <c r="BI11394" s="386"/>
      <c r="BJ11394" s="46"/>
    </row>
    <row r="11395" spans="59:62" x14ac:dyDescent="0.3">
      <c r="BG11395" s="387"/>
      <c r="BH11395" s="386"/>
      <c r="BI11395" s="386"/>
      <c r="BJ11395" s="46"/>
    </row>
    <row r="11396" spans="59:62" x14ac:dyDescent="0.3">
      <c r="BG11396" s="387"/>
      <c r="BH11396" s="386"/>
      <c r="BI11396" s="386"/>
      <c r="BJ11396" s="46"/>
    </row>
    <row r="11397" spans="59:62" x14ac:dyDescent="0.3">
      <c r="BG11397" s="387"/>
      <c r="BH11397" s="386"/>
      <c r="BI11397" s="386"/>
      <c r="BJ11397" s="46"/>
    </row>
    <row r="11398" spans="59:62" x14ac:dyDescent="0.3">
      <c r="BG11398" s="387"/>
      <c r="BH11398" s="386"/>
      <c r="BI11398" s="386"/>
      <c r="BJ11398" s="46"/>
    </row>
    <row r="11399" spans="59:62" x14ac:dyDescent="0.3">
      <c r="BG11399" s="387"/>
      <c r="BH11399" s="386"/>
      <c r="BI11399" s="386"/>
      <c r="BJ11399" s="46"/>
    </row>
    <row r="11400" spans="59:62" x14ac:dyDescent="0.3">
      <c r="BG11400" s="387"/>
      <c r="BH11400" s="386"/>
      <c r="BI11400" s="386"/>
      <c r="BJ11400" s="46"/>
    </row>
    <row r="11401" spans="59:62" x14ac:dyDescent="0.3">
      <c r="BG11401" s="387"/>
      <c r="BH11401" s="386"/>
      <c r="BI11401" s="386"/>
      <c r="BJ11401" s="46"/>
    </row>
    <row r="11402" spans="59:62" x14ac:dyDescent="0.3">
      <c r="BG11402" s="387"/>
      <c r="BH11402" s="386"/>
      <c r="BI11402" s="386"/>
      <c r="BJ11402" s="46"/>
    </row>
    <row r="11403" spans="59:62" x14ac:dyDescent="0.3">
      <c r="BG11403" s="387"/>
      <c r="BH11403" s="386"/>
      <c r="BI11403" s="386"/>
      <c r="BJ11403" s="46"/>
    </row>
    <row r="11404" spans="59:62" x14ac:dyDescent="0.3">
      <c r="BG11404" s="387"/>
      <c r="BH11404" s="386"/>
      <c r="BI11404" s="386"/>
      <c r="BJ11404" s="46"/>
    </row>
    <row r="11405" spans="59:62" x14ac:dyDescent="0.3">
      <c r="BG11405" s="387"/>
      <c r="BH11405" s="386"/>
      <c r="BI11405" s="386"/>
      <c r="BJ11405" s="46"/>
    </row>
    <row r="11406" spans="59:62" x14ac:dyDescent="0.3">
      <c r="BG11406" s="387"/>
      <c r="BH11406" s="386"/>
      <c r="BI11406" s="386"/>
      <c r="BJ11406" s="46"/>
    </row>
    <row r="11407" spans="59:62" x14ac:dyDescent="0.3">
      <c r="BG11407" s="387"/>
      <c r="BH11407" s="386"/>
      <c r="BI11407" s="386"/>
      <c r="BJ11407" s="46"/>
    </row>
    <row r="11408" spans="59:62" x14ac:dyDescent="0.3">
      <c r="BG11408" s="387"/>
      <c r="BH11408" s="386"/>
      <c r="BI11408" s="386"/>
      <c r="BJ11408" s="46"/>
    </row>
    <row r="11409" spans="59:62" x14ac:dyDescent="0.3">
      <c r="BG11409" s="387"/>
      <c r="BH11409" s="386"/>
      <c r="BI11409" s="386"/>
      <c r="BJ11409" s="46"/>
    </row>
    <row r="11410" spans="59:62" x14ac:dyDescent="0.3">
      <c r="BG11410" s="387"/>
      <c r="BH11410" s="386"/>
      <c r="BI11410" s="386"/>
      <c r="BJ11410" s="46"/>
    </row>
    <row r="11411" spans="59:62" x14ac:dyDescent="0.3">
      <c r="BG11411" s="387"/>
      <c r="BH11411" s="386"/>
      <c r="BI11411" s="386"/>
      <c r="BJ11411" s="46"/>
    </row>
    <row r="11412" spans="59:62" x14ac:dyDescent="0.3">
      <c r="BG11412" s="387"/>
      <c r="BH11412" s="386"/>
      <c r="BI11412" s="386"/>
      <c r="BJ11412" s="46"/>
    </row>
    <row r="11413" spans="59:62" x14ac:dyDescent="0.3">
      <c r="BG11413" s="387"/>
      <c r="BH11413" s="386"/>
      <c r="BI11413" s="386"/>
      <c r="BJ11413" s="46"/>
    </row>
    <row r="11414" spans="59:62" x14ac:dyDescent="0.3">
      <c r="BG11414" s="387"/>
      <c r="BH11414" s="386"/>
      <c r="BI11414" s="386"/>
      <c r="BJ11414" s="46"/>
    </row>
    <row r="11415" spans="59:62" x14ac:dyDescent="0.3">
      <c r="BG11415" s="387"/>
      <c r="BH11415" s="386"/>
      <c r="BI11415" s="386"/>
      <c r="BJ11415" s="46"/>
    </row>
    <row r="11416" spans="59:62" x14ac:dyDescent="0.3">
      <c r="BG11416" s="387"/>
      <c r="BH11416" s="386"/>
      <c r="BI11416" s="386"/>
      <c r="BJ11416" s="46"/>
    </row>
    <row r="11417" spans="59:62" x14ac:dyDescent="0.3">
      <c r="BG11417" s="387"/>
      <c r="BH11417" s="386"/>
      <c r="BI11417" s="386"/>
      <c r="BJ11417" s="46"/>
    </row>
    <row r="11418" spans="59:62" x14ac:dyDescent="0.3">
      <c r="BG11418" s="387"/>
      <c r="BH11418" s="386"/>
      <c r="BI11418" s="386"/>
      <c r="BJ11418" s="46"/>
    </row>
    <row r="11419" spans="59:62" x14ac:dyDescent="0.3">
      <c r="BG11419" s="387"/>
      <c r="BH11419" s="386"/>
      <c r="BI11419" s="386"/>
      <c r="BJ11419" s="46"/>
    </row>
    <row r="11420" spans="59:62" x14ac:dyDescent="0.3">
      <c r="BG11420" s="387"/>
      <c r="BH11420" s="386"/>
      <c r="BI11420" s="386"/>
      <c r="BJ11420" s="46"/>
    </row>
    <row r="11421" spans="59:62" x14ac:dyDescent="0.3">
      <c r="BG11421" s="387"/>
      <c r="BH11421" s="386"/>
      <c r="BI11421" s="386"/>
      <c r="BJ11421" s="46"/>
    </row>
    <row r="11422" spans="59:62" x14ac:dyDescent="0.3">
      <c r="BG11422" s="387"/>
      <c r="BH11422" s="386"/>
      <c r="BI11422" s="386"/>
      <c r="BJ11422" s="46"/>
    </row>
    <row r="11423" spans="59:62" x14ac:dyDescent="0.3">
      <c r="BG11423" s="387"/>
      <c r="BH11423" s="386"/>
      <c r="BI11423" s="386"/>
      <c r="BJ11423" s="46"/>
    </row>
    <row r="11424" spans="59:62" x14ac:dyDescent="0.3">
      <c r="BG11424" s="387"/>
      <c r="BH11424" s="386"/>
      <c r="BI11424" s="386"/>
      <c r="BJ11424" s="46"/>
    </row>
    <row r="11425" spans="59:62" x14ac:dyDescent="0.3">
      <c r="BG11425" s="387"/>
      <c r="BH11425" s="386"/>
      <c r="BI11425" s="386"/>
      <c r="BJ11425" s="46"/>
    </row>
    <row r="11426" spans="59:62" x14ac:dyDescent="0.3">
      <c r="BG11426" s="387"/>
      <c r="BH11426" s="386"/>
      <c r="BI11426" s="386"/>
      <c r="BJ11426" s="46"/>
    </row>
    <row r="11427" spans="59:62" x14ac:dyDescent="0.3">
      <c r="BG11427" s="387"/>
      <c r="BH11427" s="386"/>
      <c r="BI11427" s="386"/>
      <c r="BJ11427" s="46"/>
    </row>
    <row r="11428" spans="59:62" x14ac:dyDescent="0.3">
      <c r="BG11428" s="387"/>
      <c r="BH11428" s="386"/>
      <c r="BI11428" s="386"/>
      <c r="BJ11428" s="46"/>
    </row>
    <row r="11429" spans="59:62" x14ac:dyDescent="0.3">
      <c r="BG11429" s="387"/>
      <c r="BH11429" s="386"/>
      <c r="BI11429" s="386"/>
      <c r="BJ11429" s="46"/>
    </row>
    <row r="11430" spans="59:62" x14ac:dyDescent="0.3">
      <c r="BG11430" s="387"/>
      <c r="BH11430" s="386"/>
      <c r="BI11430" s="386"/>
      <c r="BJ11430" s="46"/>
    </row>
    <row r="11431" spans="59:62" x14ac:dyDescent="0.3">
      <c r="BG11431" s="387"/>
      <c r="BH11431" s="386"/>
      <c r="BI11431" s="386"/>
      <c r="BJ11431" s="46"/>
    </row>
    <row r="11432" spans="59:62" x14ac:dyDescent="0.3">
      <c r="BG11432" s="387"/>
      <c r="BH11432" s="386"/>
      <c r="BI11432" s="386"/>
      <c r="BJ11432" s="46"/>
    </row>
    <row r="11433" spans="59:62" x14ac:dyDescent="0.3">
      <c r="BG11433" s="387"/>
      <c r="BH11433" s="386"/>
      <c r="BI11433" s="386"/>
      <c r="BJ11433" s="46"/>
    </row>
    <row r="11434" spans="59:62" x14ac:dyDescent="0.3">
      <c r="BG11434" s="387"/>
      <c r="BH11434" s="386"/>
      <c r="BI11434" s="386"/>
      <c r="BJ11434" s="46"/>
    </row>
    <row r="11435" spans="59:62" x14ac:dyDescent="0.3">
      <c r="BG11435" s="387"/>
      <c r="BH11435" s="386"/>
      <c r="BI11435" s="386"/>
      <c r="BJ11435" s="46"/>
    </row>
    <row r="11436" spans="59:62" x14ac:dyDescent="0.3">
      <c r="BG11436" s="387"/>
      <c r="BH11436" s="386"/>
      <c r="BI11436" s="386"/>
      <c r="BJ11436" s="46"/>
    </row>
    <row r="11437" spans="59:62" x14ac:dyDescent="0.3">
      <c r="BG11437" s="387"/>
      <c r="BH11437" s="386"/>
      <c r="BI11437" s="386"/>
      <c r="BJ11437" s="46"/>
    </row>
    <row r="11438" spans="59:62" x14ac:dyDescent="0.3">
      <c r="BG11438" s="387"/>
      <c r="BH11438" s="386"/>
      <c r="BI11438" s="386"/>
      <c r="BJ11438" s="46"/>
    </row>
    <row r="11439" spans="59:62" x14ac:dyDescent="0.3">
      <c r="BG11439" s="387"/>
      <c r="BH11439" s="386"/>
      <c r="BI11439" s="386"/>
      <c r="BJ11439" s="46"/>
    </row>
    <row r="11440" spans="59:62" x14ac:dyDescent="0.3">
      <c r="BG11440" s="387"/>
      <c r="BH11440" s="386"/>
      <c r="BI11440" s="386"/>
      <c r="BJ11440" s="46"/>
    </row>
    <row r="11441" spans="59:62" x14ac:dyDescent="0.3">
      <c r="BG11441" s="387"/>
      <c r="BH11441" s="386"/>
      <c r="BI11441" s="386"/>
      <c r="BJ11441" s="46"/>
    </row>
    <row r="11442" spans="59:62" x14ac:dyDescent="0.3">
      <c r="BG11442" s="387"/>
      <c r="BH11442" s="386"/>
      <c r="BI11442" s="386"/>
      <c r="BJ11442" s="46"/>
    </row>
    <row r="11443" spans="59:62" x14ac:dyDescent="0.3">
      <c r="BG11443" s="387"/>
      <c r="BH11443" s="386"/>
      <c r="BI11443" s="386"/>
      <c r="BJ11443" s="46"/>
    </row>
    <row r="11444" spans="59:62" x14ac:dyDescent="0.3">
      <c r="BG11444" s="387"/>
      <c r="BH11444" s="386"/>
      <c r="BI11444" s="386"/>
      <c r="BJ11444" s="46"/>
    </row>
    <row r="11445" spans="59:62" x14ac:dyDescent="0.3">
      <c r="BG11445" s="387"/>
      <c r="BH11445" s="386"/>
      <c r="BI11445" s="386"/>
      <c r="BJ11445" s="46"/>
    </row>
    <row r="11446" spans="59:62" x14ac:dyDescent="0.3">
      <c r="BG11446" s="387"/>
      <c r="BH11446" s="386"/>
      <c r="BI11446" s="386"/>
      <c r="BJ11446" s="46"/>
    </row>
    <row r="11447" spans="59:62" x14ac:dyDescent="0.3">
      <c r="BG11447" s="387"/>
      <c r="BH11447" s="386"/>
      <c r="BI11447" s="386"/>
      <c r="BJ11447" s="46"/>
    </row>
    <row r="11448" spans="59:62" x14ac:dyDescent="0.3">
      <c r="BG11448" s="387"/>
      <c r="BH11448" s="386"/>
      <c r="BI11448" s="386"/>
      <c r="BJ11448" s="46"/>
    </row>
    <row r="11449" spans="59:62" x14ac:dyDescent="0.3">
      <c r="BG11449" s="387"/>
      <c r="BH11449" s="386"/>
      <c r="BI11449" s="386"/>
      <c r="BJ11449" s="46"/>
    </row>
    <row r="11450" spans="59:62" x14ac:dyDescent="0.3">
      <c r="BG11450" s="387"/>
      <c r="BH11450" s="386"/>
      <c r="BI11450" s="386"/>
      <c r="BJ11450" s="46"/>
    </row>
    <row r="11451" spans="59:62" x14ac:dyDescent="0.3">
      <c r="BG11451" s="387"/>
      <c r="BH11451" s="386"/>
      <c r="BI11451" s="386"/>
      <c r="BJ11451" s="46"/>
    </row>
    <row r="11452" spans="59:62" x14ac:dyDescent="0.3">
      <c r="BG11452" s="387"/>
      <c r="BH11452" s="386"/>
      <c r="BI11452" s="386"/>
      <c r="BJ11452" s="46"/>
    </row>
    <row r="11453" spans="59:62" x14ac:dyDescent="0.3">
      <c r="BG11453" s="387"/>
      <c r="BH11453" s="386"/>
      <c r="BI11453" s="386"/>
      <c r="BJ11453" s="46"/>
    </row>
    <row r="11454" spans="59:62" x14ac:dyDescent="0.3">
      <c r="BG11454" s="387"/>
      <c r="BH11454" s="386"/>
      <c r="BI11454" s="386"/>
      <c r="BJ11454" s="46"/>
    </row>
    <row r="11455" spans="59:62" x14ac:dyDescent="0.3">
      <c r="BG11455" s="387"/>
      <c r="BH11455" s="386"/>
      <c r="BI11455" s="386"/>
      <c r="BJ11455" s="46"/>
    </row>
    <row r="11456" spans="59:62" x14ac:dyDescent="0.3">
      <c r="BG11456" s="387"/>
      <c r="BH11456" s="386"/>
      <c r="BI11456" s="386"/>
      <c r="BJ11456" s="46"/>
    </row>
    <row r="11457" spans="59:62" x14ac:dyDescent="0.3">
      <c r="BG11457" s="387"/>
      <c r="BH11457" s="386"/>
      <c r="BI11457" s="386"/>
      <c r="BJ11457" s="46"/>
    </row>
    <row r="11458" spans="59:62" x14ac:dyDescent="0.3">
      <c r="BG11458" s="387"/>
      <c r="BH11458" s="386"/>
      <c r="BI11458" s="386"/>
      <c r="BJ11458" s="46"/>
    </row>
    <row r="11459" spans="59:62" x14ac:dyDescent="0.3">
      <c r="BG11459" s="387"/>
      <c r="BH11459" s="386"/>
      <c r="BI11459" s="386"/>
      <c r="BJ11459" s="46"/>
    </row>
    <row r="11460" spans="59:62" x14ac:dyDescent="0.3">
      <c r="BG11460" s="387"/>
      <c r="BH11460" s="386"/>
      <c r="BI11460" s="386"/>
      <c r="BJ11460" s="46"/>
    </row>
    <row r="11461" spans="59:62" x14ac:dyDescent="0.3">
      <c r="BG11461" s="387"/>
      <c r="BH11461" s="386"/>
      <c r="BI11461" s="386"/>
      <c r="BJ11461" s="46"/>
    </row>
    <row r="11462" spans="59:62" x14ac:dyDescent="0.3">
      <c r="BG11462" s="387"/>
      <c r="BH11462" s="386"/>
      <c r="BI11462" s="386"/>
      <c r="BJ11462" s="46"/>
    </row>
    <row r="11463" spans="59:62" x14ac:dyDescent="0.3">
      <c r="BG11463" s="387"/>
      <c r="BH11463" s="386"/>
      <c r="BI11463" s="386"/>
      <c r="BJ11463" s="46"/>
    </row>
    <row r="11464" spans="59:62" x14ac:dyDescent="0.3">
      <c r="BG11464" s="387"/>
      <c r="BH11464" s="386"/>
      <c r="BI11464" s="386"/>
      <c r="BJ11464" s="46"/>
    </row>
    <row r="11465" spans="59:62" x14ac:dyDescent="0.3">
      <c r="BG11465" s="387"/>
      <c r="BH11465" s="386"/>
      <c r="BI11465" s="386"/>
      <c r="BJ11465" s="46"/>
    </row>
    <row r="11466" spans="59:62" x14ac:dyDescent="0.3">
      <c r="BG11466" s="387"/>
      <c r="BH11466" s="386"/>
      <c r="BI11466" s="386"/>
      <c r="BJ11466" s="46"/>
    </row>
    <row r="11467" spans="59:62" x14ac:dyDescent="0.3">
      <c r="BG11467" s="387"/>
      <c r="BH11467" s="386"/>
      <c r="BI11467" s="386"/>
      <c r="BJ11467" s="46"/>
    </row>
    <row r="11468" spans="59:62" x14ac:dyDescent="0.3">
      <c r="BG11468" s="387"/>
      <c r="BH11468" s="386"/>
      <c r="BI11468" s="386"/>
      <c r="BJ11468" s="46"/>
    </row>
    <row r="11469" spans="59:62" x14ac:dyDescent="0.3">
      <c r="BG11469" s="387"/>
      <c r="BH11469" s="386"/>
      <c r="BI11469" s="386"/>
      <c r="BJ11469" s="46"/>
    </row>
    <row r="11470" spans="59:62" x14ac:dyDescent="0.3">
      <c r="BG11470" s="387"/>
      <c r="BH11470" s="386"/>
      <c r="BI11470" s="386"/>
      <c r="BJ11470" s="46"/>
    </row>
    <row r="11471" spans="59:62" x14ac:dyDescent="0.3">
      <c r="BG11471" s="387"/>
      <c r="BH11471" s="386"/>
      <c r="BI11471" s="386"/>
      <c r="BJ11471" s="46"/>
    </row>
    <row r="11472" spans="59:62" x14ac:dyDescent="0.3">
      <c r="BG11472" s="387"/>
      <c r="BH11472" s="386"/>
      <c r="BI11472" s="386"/>
      <c r="BJ11472" s="46"/>
    </row>
    <row r="11473" spans="59:62" x14ac:dyDescent="0.3">
      <c r="BG11473" s="387"/>
      <c r="BH11473" s="386"/>
      <c r="BI11473" s="386"/>
      <c r="BJ11473" s="46"/>
    </row>
    <row r="11474" spans="59:62" x14ac:dyDescent="0.3">
      <c r="BG11474" s="387"/>
      <c r="BH11474" s="386"/>
      <c r="BI11474" s="386"/>
      <c r="BJ11474" s="46"/>
    </row>
    <row r="11475" spans="59:62" x14ac:dyDescent="0.3">
      <c r="BG11475" s="387"/>
      <c r="BH11475" s="386"/>
      <c r="BI11475" s="386"/>
      <c r="BJ11475" s="46"/>
    </row>
    <row r="11476" spans="59:62" x14ac:dyDescent="0.3">
      <c r="BG11476" s="387"/>
      <c r="BH11476" s="386"/>
      <c r="BI11476" s="386"/>
      <c r="BJ11476" s="46"/>
    </row>
    <row r="11477" spans="59:62" x14ac:dyDescent="0.3">
      <c r="BG11477" s="387"/>
      <c r="BH11477" s="386"/>
      <c r="BI11477" s="386"/>
      <c r="BJ11477" s="46"/>
    </row>
    <row r="11478" spans="59:62" x14ac:dyDescent="0.3">
      <c r="BG11478" s="387"/>
      <c r="BH11478" s="386"/>
      <c r="BI11478" s="386"/>
      <c r="BJ11478" s="46"/>
    </row>
    <row r="11479" spans="59:62" x14ac:dyDescent="0.3">
      <c r="BG11479" s="387"/>
      <c r="BH11479" s="386"/>
      <c r="BI11479" s="386"/>
      <c r="BJ11479" s="46"/>
    </row>
    <row r="11480" spans="59:62" x14ac:dyDescent="0.3">
      <c r="BG11480" s="387"/>
      <c r="BH11480" s="386"/>
      <c r="BI11480" s="386"/>
      <c r="BJ11480" s="46"/>
    </row>
    <row r="11481" spans="59:62" x14ac:dyDescent="0.3">
      <c r="BG11481" s="387"/>
      <c r="BH11481" s="386"/>
      <c r="BI11481" s="386"/>
      <c r="BJ11481" s="46"/>
    </row>
    <row r="11482" spans="59:62" x14ac:dyDescent="0.3">
      <c r="BG11482" s="387"/>
      <c r="BH11482" s="386"/>
      <c r="BI11482" s="386"/>
      <c r="BJ11482" s="46"/>
    </row>
    <row r="11483" spans="59:62" x14ac:dyDescent="0.3">
      <c r="BG11483" s="387"/>
      <c r="BH11483" s="386"/>
      <c r="BI11483" s="386"/>
      <c r="BJ11483" s="46"/>
    </row>
    <row r="11484" spans="59:62" x14ac:dyDescent="0.3">
      <c r="BG11484" s="387"/>
      <c r="BH11484" s="386"/>
      <c r="BI11484" s="386"/>
      <c r="BJ11484" s="46"/>
    </row>
    <row r="11485" spans="59:62" x14ac:dyDescent="0.3">
      <c r="BG11485" s="387"/>
      <c r="BH11485" s="386"/>
      <c r="BI11485" s="386"/>
      <c r="BJ11485" s="46"/>
    </row>
    <row r="11486" spans="59:62" x14ac:dyDescent="0.3">
      <c r="BG11486" s="387"/>
      <c r="BH11486" s="386"/>
      <c r="BI11486" s="386"/>
      <c r="BJ11486" s="46"/>
    </row>
    <row r="11487" spans="59:62" x14ac:dyDescent="0.3">
      <c r="BG11487" s="387"/>
      <c r="BH11487" s="386"/>
      <c r="BI11487" s="386"/>
      <c r="BJ11487" s="46"/>
    </row>
    <row r="11488" spans="59:62" x14ac:dyDescent="0.3">
      <c r="BG11488" s="387"/>
      <c r="BH11488" s="386"/>
      <c r="BI11488" s="386"/>
      <c r="BJ11488" s="46"/>
    </row>
    <row r="11489" spans="59:62" x14ac:dyDescent="0.3">
      <c r="BG11489" s="387"/>
      <c r="BH11489" s="386"/>
      <c r="BI11489" s="386"/>
      <c r="BJ11489" s="46"/>
    </row>
    <row r="11490" spans="59:62" x14ac:dyDescent="0.3">
      <c r="BG11490" s="387"/>
      <c r="BH11490" s="386"/>
      <c r="BI11490" s="386"/>
      <c r="BJ11490" s="46"/>
    </row>
    <row r="11491" spans="59:62" x14ac:dyDescent="0.3">
      <c r="BG11491" s="387"/>
      <c r="BH11491" s="386"/>
      <c r="BI11491" s="386"/>
      <c r="BJ11491" s="46"/>
    </row>
    <row r="11492" spans="59:62" x14ac:dyDescent="0.3">
      <c r="BG11492" s="387"/>
      <c r="BH11492" s="386"/>
      <c r="BI11492" s="386"/>
      <c r="BJ11492" s="46"/>
    </row>
    <row r="11493" spans="59:62" x14ac:dyDescent="0.3">
      <c r="BG11493" s="387"/>
      <c r="BH11493" s="386"/>
      <c r="BI11493" s="386"/>
      <c r="BJ11493" s="46"/>
    </row>
    <row r="11494" spans="59:62" x14ac:dyDescent="0.3">
      <c r="BG11494" s="387"/>
      <c r="BH11494" s="386"/>
      <c r="BI11494" s="386"/>
      <c r="BJ11494" s="46"/>
    </row>
    <row r="11495" spans="59:62" x14ac:dyDescent="0.3">
      <c r="BG11495" s="387"/>
      <c r="BH11495" s="386"/>
      <c r="BI11495" s="386"/>
      <c r="BJ11495" s="46"/>
    </row>
    <row r="11496" spans="59:62" x14ac:dyDescent="0.3">
      <c r="BG11496" s="387"/>
      <c r="BH11496" s="386"/>
      <c r="BI11496" s="386"/>
      <c r="BJ11496" s="46"/>
    </row>
    <row r="11497" spans="59:62" x14ac:dyDescent="0.3">
      <c r="BG11497" s="387"/>
      <c r="BH11497" s="386"/>
      <c r="BI11497" s="386"/>
      <c r="BJ11497" s="46"/>
    </row>
    <row r="11498" spans="59:62" x14ac:dyDescent="0.3">
      <c r="BG11498" s="387"/>
      <c r="BH11498" s="386"/>
      <c r="BI11498" s="386"/>
      <c r="BJ11498" s="46"/>
    </row>
    <row r="11499" spans="59:62" x14ac:dyDescent="0.3">
      <c r="BG11499" s="387"/>
      <c r="BH11499" s="386"/>
      <c r="BI11499" s="386"/>
      <c r="BJ11499" s="46"/>
    </row>
    <row r="11500" spans="59:62" x14ac:dyDescent="0.3">
      <c r="BG11500" s="387"/>
      <c r="BH11500" s="386"/>
      <c r="BI11500" s="386"/>
      <c r="BJ11500" s="46"/>
    </row>
    <row r="11501" spans="59:62" x14ac:dyDescent="0.3">
      <c r="BG11501" s="387"/>
      <c r="BH11501" s="386"/>
      <c r="BI11501" s="386"/>
      <c r="BJ11501" s="46"/>
    </row>
    <row r="11502" spans="59:62" x14ac:dyDescent="0.3">
      <c r="BG11502" s="387"/>
      <c r="BH11502" s="386"/>
      <c r="BI11502" s="386"/>
      <c r="BJ11502" s="46"/>
    </row>
    <row r="11503" spans="59:62" x14ac:dyDescent="0.3">
      <c r="BG11503" s="387"/>
      <c r="BH11503" s="386"/>
      <c r="BI11503" s="386"/>
      <c r="BJ11503" s="46"/>
    </row>
    <row r="11504" spans="59:62" x14ac:dyDescent="0.3">
      <c r="BG11504" s="387"/>
      <c r="BH11504" s="386"/>
      <c r="BI11504" s="386"/>
      <c r="BJ11504" s="46"/>
    </row>
    <row r="11505" spans="59:62" x14ac:dyDescent="0.3">
      <c r="BG11505" s="387"/>
      <c r="BH11505" s="386"/>
      <c r="BI11505" s="386"/>
      <c r="BJ11505" s="46"/>
    </row>
    <row r="11506" spans="59:62" x14ac:dyDescent="0.3">
      <c r="BG11506" s="387"/>
      <c r="BH11506" s="386"/>
      <c r="BI11506" s="386"/>
      <c r="BJ11506" s="46"/>
    </row>
    <row r="11507" spans="59:62" x14ac:dyDescent="0.3">
      <c r="BG11507" s="387"/>
      <c r="BH11507" s="386"/>
      <c r="BI11507" s="386"/>
      <c r="BJ11507" s="46"/>
    </row>
    <row r="11508" spans="59:62" x14ac:dyDescent="0.3">
      <c r="BG11508" s="387"/>
      <c r="BH11508" s="386"/>
      <c r="BI11508" s="386"/>
      <c r="BJ11508" s="46"/>
    </row>
    <row r="11509" spans="59:62" x14ac:dyDescent="0.3">
      <c r="BG11509" s="387"/>
      <c r="BH11509" s="386"/>
      <c r="BI11509" s="386"/>
      <c r="BJ11509" s="46"/>
    </row>
    <row r="11510" spans="59:62" x14ac:dyDescent="0.3">
      <c r="BG11510" s="387"/>
      <c r="BH11510" s="386"/>
      <c r="BI11510" s="386"/>
      <c r="BJ11510" s="46"/>
    </row>
    <row r="11511" spans="59:62" x14ac:dyDescent="0.3">
      <c r="BG11511" s="387"/>
      <c r="BH11511" s="386"/>
      <c r="BI11511" s="386"/>
      <c r="BJ11511" s="46"/>
    </row>
    <row r="11512" spans="59:62" x14ac:dyDescent="0.3">
      <c r="BG11512" s="387"/>
      <c r="BH11512" s="386"/>
      <c r="BI11512" s="386"/>
      <c r="BJ11512" s="46"/>
    </row>
    <row r="11513" spans="59:62" x14ac:dyDescent="0.3">
      <c r="BG11513" s="387"/>
      <c r="BH11513" s="386"/>
      <c r="BI11513" s="386"/>
      <c r="BJ11513" s="46"/>
    </row>
    <row r="11514" spans="59:62" x14ac:dyDescent="0.3">
      <c r="BG11514" s="387"/>
      <c r="BH11514" s="386"/>
      <c r="BI11514" s="386"/>
      <c r="BJ11514" s="46"/>
    </row>
    <row r="11515" spans="59:62" x14ac:dyDescent="0.3">
      <c r="BG11515" s="387"/>
      <c r="BH11515" s="386"/>
      <c r="BI11515" s="386"/>
      <c r="BJ11515" s="46"/>
    </row>
    <row r="11516" spans="59:62" x14ac:dyDescent="0.3">
      <c r="BG11516" s="387"/>
      <c r="BH11516" s="386"/>
      <c r="BI11516" s="386"/>
      <c r="BJ11516" s="46"/>
    </row>
    <row r="11517" spans="59:62" x14ac:dyDescent="0.3">
      <c r="BG11517" s="387"/>
      <c r="BH11517" s="386"/>
      <c r="BI11517" s="386"/>
      <c r="BJ11517" s="46"/>
    </row>
    <row r="11518" spans="59:62" x14ac:dyDescent="0.3">
      <c r="BG11518" s="387"/>
      <c r="BH11518" s="386"/>
      <c r="BI11518" s="386"/>
      <c r="BJ11518" s="46"/>
    </row>
    <row r="11519" spans="59:62" x14ac:dyDescent="0.3">
      <c r="BG11519" s="387"/>
      <c r="BH11519" s="386"/>
      <c r="BI11519" s="386"/>
      <c r="BJ11519" s="46"/>
    </row>
    <row r="11520" spans="59:62" x14ac:dyDescent="0.3">
      <c r="BG11520" s="387"/>
      <c r="BH11520" s="386"/>
      <c r="BI11520" s="386"/>
      <c r="BJ11520" s="46"/>
    </row>
    <row r="11521" spans="59:62" x14ac:dyDescent="0.3">
      <c r="BG11521" s="387"/>
      <c r="BH11521" s="386"/>
      <c r="BI11521" s="386"/>
      <c r="BJ11521" s="46"/>
    </row>
    <row r="11522" spans="59:62" x14ac:dyDescent="0.3">
      <c r="BG11522" s="387"/>
      <c r="BH11522" s="386"/>
      <c r="BI11522" s="386"/>
      <c r="BJ11522" s="46"/>
    </row>
    <row r="11523" spans="59:62" x14ac:dyDescent="0.3">
      <c r="BG11523" s="387"/>
      <c r="BH11523" s="386"/>
      <c r="BI11523" s="386"/>
      <c r="BJ11523" s="46"/>
    </row>
    <row r="11524" spans="59:62" x14ac:dyDescent="0.3">
      <c r="BG11524" s="387"/>
      <c r="BH11524" s="386"/>
      <c r="BI11524" s="386"/>
      <c r="BJ11524" s="46"/>
    </row>
    <row r="11525" spans="59:62" x14ac:dyDescent="0.3">
      <c r="BG11525" s="387"/>
      <c r="BH11525" s="386"/>
      <c r="BI11525" s="386"/>
      <c r="BJ11525" s="46"/>
    </row>
    <row r="11526" spans="59:62" x14ac:dyDescent="0.3">
      <c r="BG11526" s="387"/>
      <c r="BH11526" s="386"/>
      <c r="BI11526" s="386"/>
      <c r="BJ11526" s="46"/>
    </row>
    <row r="11527" spans="59:62" x14ac:dyDescent="0.3">
      <c r="BG11527" s="387"/>
      <c r="BH11527" s="386"/>
      <c r="BI11527" s="386"/>
      <c r="BJ11527" s="46"/>
    </row>
    <row r="11528" spans="59:62" x14ac:dyDescent="0.3">
      <c r="BG11528" s="387"/>
      <c r="BH11528" s="386"/>
      <c r="BI11528" s="386"/>
      <c r="BJ11528" s="46"/>
    </row>
    <row r="11529" spans="59:62" x14ac:dyDescent="0.3">
      <c r="BG11529" s="387"/>
      <c r="BH11529" s="386"/>
      <c r="BI11529" s="386"/>
      <c r="BJ11529" s="46"/>
    </row>
    <row r="11530" spans="59:62" x14ac:dyDescent="0.3">
      <c r="BG11530" s="387"/>
      <c r="BH11530" s="386"/>
      <c r="BI11530" s="386"/>
      <c r="BJ11530" s="46"/>
    </row>
    <row r="11531" spans="59:62" x14ac:dyDescent="0.3">
      <c r="BG11531" s="387"/>
      <c r="BH11531" s="386"/>
      <c r="BI11531" s="386"/>
      <c r="BJ11531" s="46"/>
    </row>
    <row r="11532" spans="59:62" x14ac:dyDescent="0.3">
      <c r="BG11532" s="387"/>
      <c r="BH11532" s="386"/>
      <c r="BI11532" s="386"/>
      <c r="BJ11532" s="46"/>
    </row>
    <row r="11533" spans="59:62" x14ac:dyDescent="0.3">
      <c r="BG11533" s="387"/>
      <c r="BH11533" s="386"/>
      <c r="BI11533" s="386"/>
      <c r="BJ11533" s="46"/>
    </row>
    <row r="11534" spans="59:62" x14ac:dyDescent="0.3">
      <c r="BG11534" s="387"/>
      <c r="BH11534" s="386"/>
      <c r="BI11534" s="386"/>
      <c r="BJ11534" s="46"/>
    </row>
    <row r="11535" spans="59:62" x14ac:dyDescent="0.3">
      <c r="BG11535" s="387"/>
      <c r="BH11535" s="386"/>
      <c r="BI11535" s="386"/>
      <c r="BJ11535" s="46"/>
    </row>
    <row r="11536" spans="59:62" x14ac:dyDescent="0.3">
      <c r="BG11536" s="387"/>
      <c r="BH11536" s="386"/>
      <c r="BI11536" s="386"/>
      <c r="BJ11536" s="46"/>
    </row>
    <row r="11537" spans="59:62" x14ac:dyDescent="0.3">
      <c r="BG11537" s="387"/>
      <c r="BH11537" s="386"/>
      <c r="BI11537" s="386"/>
      <c r="BJ11537" s="46"/>
    </row>
    <row r="11538" spans="59:62" x14ac:dyDescent="0.3">
      <c r="BG11538" s="387"/>
      <c r="BH11538" s="386"/>
      <c r="BI11538" s="386"/>
      <c r="BJ11538" s="46"/>
    </row>
    <row r="11539" spans="59:62" x14ac:dyDescent="0.3">
      <c r="BG11539" s="387"/>
      <c r="BH11539" s="386"/>
      <c r="BI11539" s="386"/>
      <c r="BJ11539" s="46"/>
    </row>
    <row r="11540" spans="59:62" x14ac:dyDescent="0.3">
      <c r="BG11540" s="387"/>
      <c r="BH11540" s="386"/>
      <c r="BI11540" s="386"/>
      <c r="BJ11540" s="46"/>
    </row>
    <row r="11541" spans="59:62" x14ac:dyDescent="0.3">
      <c r="BG11541" s="387"/>
      <c r="BH11541" s="386"/>
      <c r="BI11541" s="386"/>
      <c r="BJ11541" s="46"/>
    </row>
    <row r="11542" spans="59:62" x14ac:dyDescent="0.3">
      <c r="BG11542" s="387"/>
      <c r="BH11542" s="386"/>
      <c r="BI11542" s="386"/>
      <c r="BJ11542" s="46"/>
    </row>
    <row r="11543" spans="59:62" x14ac:dyDescent="0.3">
      <c r="BG11543" s="387"/>
      <c r="BH11543" s="386"/>
      <c r="BI11543" s="386"/>
      <c r="BJ11543" s="46"/>
    </row>
    <row r="11544" spans="59:62" x14ac:dyDescent="0.3">
      <c r="BG11544" s="387"/>
      <c r="BH11544" s="386"/>
      <c r="BI11544" s="386"/>
      <c r="BJ11544" s="46"/>
    </row>
    <row r="11545" spans="59:62" x14ac:dyDescent="0.3">
      <c r="BG11545" s="387"/>
      <c r="BH11545" s="386"/>
      <c r="BI11545" s="386"/>
      <c r="BJ11545" s="46"/>
    </row>
    <row r="11546" spans="59:62" x14ac:dyDescent="0.3">
      <c r="BG11546" s="387"/>
      <c r="BH11546" s="386"/>
      <c r="BI11546" s="386"/>
      <c r="BJ11546" s="46"/>
    </row>
    <row r="11547" spans="59:62" x14ac:dyDescent="0.3">
      <c r="BG11547" s="387"/>
      <c r="BH11547" s="386"/>
      <c r="BI11547" s="386"/>
      <c r="BJ11547" s="46"/>
    </row>
    <row r="11548" spans="59:62" x14ac:dyDescent="0.3">
      <c r="BG11548" s="387"/>
      <c r="BH11548" s="386"/>
      <c r="BI11548" s="386"/>
      <c r="BJ11548" s="46"/>
    </row>
    <row r="11549" spans="59:62" x14ac:dyDescent="0.3">
      <c r="BG11549" s="387"/>
      <c r="BH11549" s="386"/>
      <c r="BI11549" s="386"/>
      <c r="BJ11549" s="46"/>
    </row>
    <row r="11550" spans="59:62" x14ac:dyDescent="0.3">
      <c r="BG11550" s="387"/>
      <c r="BH11550" s="386"/>
      <c r="BI11550" s="386"/>
      <c r="BJ11550" s="46"/>
    </row>
    <row r="11551" spans="59:62" x14ac:dyDescent="0.3">
      <c r="BG11551" s="387"/>
      <c r="BH11551" s="386"/>
      <c r="BI11551" s="386"/>
      <c r="BJ11551" s="46"/>
    </row>
    <row r="11552" spans="59:62" x14ac:dyDescent="0.3">
      <c r="BG11552" s="387"/>
      <c r="BH11552" s="386"/>
      <c r="BI11552" s="386"/>
      <c r="BJ11552" s="46"/>
    </row>
    <row r="11553" spans="59:62" x14ac:dyDescent="0.3">
      <c r="BG11553" s="387"/>
      <c r="BH11553" s="386"/>
      <c r="BI11553" s="386"/>
      <c r="BJ11553" s="46"/>
    </row>
    <row r="11554" spans="59:62" x14ac:dyDescent="0.3">
      <c r="BG11554" s="387"/>
      <c r="BH11554" s="386"/>
      <c r="BI11554" s="386"/>
      <c r="BJ11554" s="46"/>
    </row>
    <row r="11555" spans="59:62" x14ac:dyDescent="0.3">
      <c r="BG11555" s="387"/>
      <c r="BH11555" s="386"/>
      <c r="BI11555" s="386"/>
      <c r="BJ11555" s="46"/>
    </row>
    <row r="11556" spans="59:62" x14ac:dyDescent="0.3">
      <c r="BG11556" s="387"/>
      <c r="BH11556" s="386"/>
      <c r="BI11556" s="386"/>
      <c r="BJ11556" s="46"/>
    </row>
    <row r="11557" spans="59:62" x14ac:dyDescent="0.3">
      <c r="BG11557" s="387"/>
      <c r="BH11557" s="386"/>
      <c r="BI11557" s="386"/>
      <c r="BJ11557" s="46"/>
    </row>
    <row r="11558" spans="59:62" x14ac:dyDescent="0.3">
      <c r="BG11558" s="387"/>
      <c r="BH11558" s="386"/>
      <c r="BI11558" s="386"/>
      <c r="BJ11558" s="46"/>
    </row>
    <row r="11559" spans="59:62" x14ac:dyDescent="0.3">
      <c r="BG11559" s="387"/>
      <c r="BH11559" s="386"/>
      <c r="BI11559" s="386"/>
      <c r="BJ11559" s="46"/>
    </row>
    <row r="11560" spans="59:62" x14ac:dyDescent="0.3">
      <c r="BG11560" s="387"/>
      <c r="BH11560" s="386"/>
      <c r="BI11560" s="386"/>
      <c r="BJ11560" s="46"/>
    </row>
    <row r="11561" spans="59:62" x14ac:dyDescent="0.3">
      <c r="BG11561" s="387"/>
      <c r="BH11561" s="386"/>
      <c r="BI11561" s="386"/>
      <c r="BJ11561" s="46"/>
    </row>
    <row r="11562" spans="59:62" x14ac:dyDescent="0.3">
      <c r="BG11562" s="387"/>
      <c r="BH11562" s="386"/>
      <c r="BI11562" s="386"/>
      <c r="BJ11562" s="46"/>
    </row>
    <row r="11563" spans="59:62" x14ac:dyDescent="0.3">
      <c r="BG11563" s="387"/>
      <c r="BH11563" s="386"/>
      <c r="BI11563" s="386"/>
      <c r="BJ11563" s="46"/>
    </row>
    <row r="11564" spans="59:62" x14ac:dyDescent="0.3">
      <c r="BG11564" s="387"/>
      <c r="BH11564" s="386"/>
      <c r="BI11564" s="386"/>
      <c r="BJ11564" s="46"/>
    </row>
    <row r="11565" spans="59:62" x14ac:dyDescent="0.3">
      <c r="BG11565" s="387"/>
      <c r="BH11565" s="386"/>
      <c r="BI11565" s="386"/>
      <c r="BJ11565" s="46"/>
    </row>
    <row r="11566" spans="59:62" x14ac:dyDescent="0.3">
      <c r="BG11566" s="387"/>
      <c r="BH11566" s="386"/>
      <c r="BI11566" s="386"/>
      <c r="BJ11566" s="46"/>
    </row>
    <row r="11567" spans="59:62" x14ac:dyDescent="0.3">
      <c r="BG11567" s="387"/>
      <c r="BH11567" s="386"/>
      <c r="BI11567" s="386"/>
      <c r="BJ11567" s="46"/>
    </row>
    <row r="11568" spans="59:62" x14ac:dyDescent="0.3">
      <c r="BG11568" s="387"/>
      <c r="BH11568" s="386"/>
      <c r="BI11568" s="386"/>
      <c r="BJ11568" s="46"/>
    </row>
    <row r="11569" spans="59:62" x14ac:dyDescent="0.3">
      <c r="BG11569" s="387"/>
      <c r="BH11569" s="386"/>
      <c r="BI11569" s="386"/>
      <c r="BJ11569" s="46"/>
    </row>
    <row r="11570" spans="59:62" x14ac:dyDescent="0.3">
      <c r="BG11570" s="387"/>
      <c r="BH11570" s="386"/>
      <c r="BI11570" s="386"/>
      <c r="BJ11570" s="46"/>
    </row>
    <row r="11571" spans="59:62" x14ac:dyDescent="0.3">
      <c r="BG11571" s="387"/>
      <c r="BH11571" s="386"/>
      <c r="BI11571" s="386"/>
      <c r="BJ11571" s="46"/>
    </row>
    <row r="11572" spans="59:62" x14ac:dyDescent="0.3">
      <c r="BG11572" s="387"/>
      <c r="BH11572" s="386"/>
      <c r="BI11572" s="386"/>
      <c r="BJ11572" s="46"/>
    </row>
    <row r="11573" spans="59:62" x14ac:dyDescent="0.3">
      <c r="BG11573" s="387"/>
      <c r="BH11573" s="386"/>
      <c r="BI11573" s="386"/>
      <c r="BJ11573" s="46"/>
    </row>
    <row r="11574" spans="59:62" x14ac:dyDescent="0.3">
      <c r="BG11574" s="387"/>
      <c r="BH11574" s="386"/>
      <c r="BI11574" s="386"/>
      <c r="BJ11574" s="46"/>
    </row>
    <row r="11575" spans="59:62" x14ac:dyDescent="0.3">
      <c r="BG11575" s="387"/>
      <c r="BH11575" s="386"/>
      <c r="BI11575" s="386"/>
      <c r="BJ11575" s="46"/>
    </row>
    <row r="11576" spans="59:62" x14ac:dyDescent="0.3">
      <c r="BG11576" s="387"/>
      <c r="BH11576" s="386"/>
      <c r="BI11576" s="386"/>
      <c r="BJ11576" s="46"/>
    </row>
    <row r="11577" spans="59:62" x14ac:dyDescent="0.3">
      <c r="BG11577" s="387"/>
      <c r="BH11577" s="386"/>
      <c r="BI11577" s="386"/>
      <c r="BJ11577" s="46"/>
    </row>
    <row r="11578" spans="59:62" x14ac:dyDescent="0.3">
      <c r="BG11578" s="387"/>
      <c r="BH11578" s="386"/>
      <c r="BI11578" s="386"/>
      <c r="BJ11578" s="46"/>
    </row>
    <row r="11579" spans="59:62" x14ac:dyDescent="0.3">
      <c r="BG11579" s="387"/>
      <c r="BH11579" s="386"/>
      <c r="BI11579" s="386"/>
      <c r="BJ11579" s="46"/>
    </row>
    <row r="11580" spans="59:62" x14ac:dyDescent="0.3">
      <c r="BG11580" s="387"/>
      <c r="BH11580" s="386"/>
      <c r="BI11580" s="386"/>
      <c r="BJ11580" s="46"/>
    </row>
    <row r="11581" spans="59:62" x14ac:dyDescent="0.3">
      <c r="BG11581" s="387"/>
      <c r="BH11581" s="386"/>
      <c r="BI11581" s="386"/>
      <c r="BJ11581" s="46"/>
    </row>
    <row r="11582" spans="59:62" x14ac:dyDescent="0.3">
      <c r="BG11582" s="387"/>
      <c r="BH11582" s="386"/>
      <c r="BI11582" s="386"/>
      <c r="BJ11582" s="46"/>
    </row>
    <row r="11583" spans="59:62" x14ac:dyDescent="0.3">
      <c r="BG11583" s="387"/>
      <c r="BH11583" s="386"/>
      <c r="BI11583" s="386"/>
      <c r="BJ11583" s="46"/>
    </row>
    <row r="11584" spans="59:62" x14ac:dyDescent="0.3">
      <c r="BG11584" s="387"/>
      <c r="BH11584" s="386"/>
      <c r="BI11584" s="386"/>
      <c r="BJ11584" s="46"/>
    </row>
    <row r="11585" spans="59:62" x14ac:dyDescent="0.3">
      <c r="BG11585" s="387"/>
      <c r="BH11585" s="386"/>
      <c r="BI11585" s="386"/>
      <c r="BJ11585" s="46"/>
    </row>
    <row r="11586" spans="59:62" x14ac:dyDescent="0.3">
      <c r="BG11586" s="387"/>
      <c r="BH11586" s="386"/>
      <c r="BI11586" s="386"/>
      <c r="BJ11586" s="46"/>
    </row>
    <row r="11587" spans="59:62" x14ac:dyDescent="0.3">
      <c r="BG11587" s="387"/>
      <c r="BH11587" s="386"/>
      <c r="BI11587" s="386"/>
      <c r="BJ11587" s="46"/>
    </row>
    <row r="11588" spans="59:62" x14ac:dyDescent="0.3">
      <c r="BG11588" s="387"/>
      <c r="BH11588" s="386"/>
      <c r="BI11588" s="386"/>
      <c r="BJ11588" s="46"/>
    </row>
    <row r="11589" spans="59:62" x14ac:dyDescent="0.3">
      <c r="BG11589" s="387"/>
      <c r="BH11589" s="386"/>
      <c r="BI11589" s="386"/>
      <c r="BJ11589" s="46"/>
    </row>
    <row r="11590" spans="59:62" x14ac:dyDescent="0.3">
      <c r="BG11590" s="387"/>
      <c r="BH11590" s="386"/>
      <c r="BI11590" s="386"/>
      <c r="BJ11590" s="46"/>
    </row>
    <row r="11591" spans="59:62" x14ac:dyDescent="0.3">
      <c r="BG11591" s="387"/>
      <c r="BH11591" s="386"/>
      <c r="BI11591" s="386"/>
      <c r="BJ11591" s="46"/>
    </row>
    <row r="11592" spans="59:62" x14ac:dyDescent="0.3">
      <c r="BG11592" s="387"/>
      <c r="BH11592" s="386"/>
      <c r="BI11592" s="386"/>
      <c r="BJ11592" s="46"/>
    </row>
    <row r="11593" spans="59:62" x14ac:dyDescent="0.3">
      <c r="BG11593" s="387"/>
      <c r="BH11593" s="386"/>
      <c r="BI11593" s="386"/>
      <c r="BJ11593" s="46"/>
    </row>
    <row r="11594" spans="59:62" x14ac:dyDescent="0.3">
      <c r="BG11594" s="387"/>
      <c r="BH11594" s="386"/>
      <c r="BI11594" s="386"/>
      <c r="BJ11594" s="46"/>
    </row>
    <row r="11595" spans="59:62" x14ac:dyDescent="0.3">
      <c r="BG11595" s="387"/>
      <c r="BH11595" s="386"/>
      <c r="BI11595" s="386"/>
      <c r="BJ11595" s="46"/>
    </row>
    <row r="11596" spans="59:62" x14ac:dyDescent="0.3">
      <c r="BG11596" s="387"/>
      <c r="BH11596" s="386"/>
      <c r="BI11596" s="386"/>
      <c r="BJ11596" s="46"/>
    </row>
    <row r="11597" spans="59:62" x14ac:dyDescent="0.3">
      <c r="BG11597" s="387"/>
      <c r="BH11597" s="386"/>
      <c r="BI11597" s="386"/>
      <c r="BJ11597" s="46"/>
    </row>
    <row r="11598" spans="59:62" x14ac:dyDescent="0.3">
      <c r="BG11598" s="387"/>
      <c r="BH11598" s="386"/>
      <c r="BI11598" s="386"/>
      <c r="BJ11598" s="46"/>
    </row>
    <row r="11599" spans="59:62" x14ac:dyDescent="0.3">
      <c r="BG11599" s="387"/>
      <c r="BH11599" s="386"/>
      <c r="BI11599" s="386"/>
      <c r="BJ11599" s="46"/>
    </row>
    <row r="11600" spans="59:62" x14ac:dyDescent="0.3">
      <c r="BG11600" s="387"/>
      <c r="BH11600" s="386"/>
      <c r="BI11600" s="386"/>
      <c r="BJ11600" s="46"/>
    </row>
    <row r="11601" spans="59:62" x14ac:dyDescent="0.3">
      <c r="BG11601" s="387"/>
      <c r="BH11601" s="386"/>
      <c r="BI11601" s="386"/>
      <c r="BJ11601" s="46"/>
    </row>
    <row r="11602" spans="59:62" x14ac:dyDescent="0.3">
      <c r="BG11602" s="387"/>
      <c r="BH11602" s="386"/>
      <c r="BI11602" s="386"/>
      <c r="BJ11602" s="46"/>
    </row>
    <row r="11603" spans="59:62" x14ac:dyDescent="0.3">
      <c r="BG11603" s="387"/>
      <c r="BH11603" s="386"/>
      <c r="BI11603" s="386"/>
      <c r="BJ11603" s="46"/>
    </row>
    <row r="11604" spans="59:62" x14ac:dyDescent="0.3">
      <c r="BG11604" s="387"/>
      <c r="BH11604" s="386"/>
      <c r="BI11604" s="386"/>
      <c r="BJ11604" s="46"/>
    </row>
    <row r="11605" spans="59:62" x14ac:dyDescent="0.3">
      <c r="BG11605" s="387"/>
      <c r="BH11605" s="386"/>
      <c r="BI11605" s="386"/>
      <c r="BJ11605" s="46"/>
    </row>
    <row r="11606" spans="59:62" x14ac:dyDescent="0.3">
      <c r="BG11606" s="387"/>
      <c r="BH11606" s="386"/>
      <c r="BI11606" s="386"/>
      <c r="BJ11606" s="46"/>
    </row>
    <row r="11607" spans="59:62" x14ac:dyDescent="0.3">
      <c r="BG11607" s="387"/>
      <c r="BH11607" s="386"/>
      <c r="BI11607" s="386"/>
      <c r="BJ11607" s="46"/>
    </row>
    <row r="11608" spans="59:62" x14ac:dyDescent="0.3">
      <c r="BG11608" s="387"/>
      <c r="BH11608" s="386"/>
      <c r="BI11608" s="386"/>
      <c r="BJ11608" s="46"/>
    </row>
    <row r="11609" spans="59:62" x14ac:dyDescent="0.3">
      <c r="BG11609" s="387"/>
      <c r="BH11609" s="386"/>
      <c r="BI11609" s="386"/>
      <c r="BJ11609" s="46"/>
    </row>
    <row r="11610" spans="59:62" x14ac:dyDescent="0.3">
      <c r="BG11610" s="387"/>
      <c r="BH11610" s="386"/>
      <c r="BI11610" s="386"/>
      <c r="BJ11610" s="46"/>
    </row>
    <row r="11611" spans="59:62" x14ac:dyDescent="0.3">
      <c r="BG11611" s="387"/>
      <c r="BH11611" s="386"/>
      <c r="BI11611" s="386"/>
      <c r="BJ11611" s="46"/>
    </row>
    <row r="11612" spans="59:62" x14ac:dyDescent="0.3">
      <c r="BG11612" s="387"/>
      <c r="BH11612" s="386"/>
      <c r="BI11612" s="386"/>
      <c r="BJ11612" s="46"/>
    </row>
    <row r="11613" spans="59:62" x14ac:dyDescent="0.3">
      <c r="BG11613" s="387"/>
      <c r="BH11613" s="386"/>
      <c r="BI11613" s="386"/>
      <c r="BJ11613" s="46"/>
    </row>
    <row r="11614" spans="59:62" x14ac:dyDescent="0.3">
      <c r="BG11614" s="387"/>
      <c r="BH11614" s="386"/>
      <c r="BI11614" s="386"/>
      <c r="BJ11614" s="46"/>
    </row>
    <row r="11615" spans="59:62" x14ac:dyDescent="0.3">
      <c r="BG11615" s="387"/>
      <c r="BH11615" s="386"/>
      <c r="BI11615" s="386"/>
      <c r="BJ11615" s="46"/>
    </row>
    <row r="11616" spans="59:62" x14ac:dyDescent="0.3">
      <c r="BG11616" s="387"/>
      <c r="BH11616" s="386"/>
      <c r="BI11616" s="386"/>
      <c r="BJ11616" s="46"/>
    </row>
    <row r="11617" spans="59:62" x14ac:dyDescent="0.3">
      <c r="BG11617" s="387"/>
      <c r="BH11617" s="386"/>
      <c r="BI11617" s="386"/>
      <c r="BJ11617" s="46"/>
    </row>
    <row r="11618" spans="59:62" x14ac:dyDescent="0.3">
      <c r="BG11618" s="387"/>
      <c r="BH11618" s="386"/>
      <c r="BI11618" s="386"/>
      <c r="BJ11618" s="46"/>
    </row>
    <row r="11619" spans="59:62" x14ac:dyDescent="0.3">
      <c r="BG11619" s="387"/>
      <c r="BH11619" s="386"/>
      <c r="BI11619" s="386"/>
      <c r="BJ11619" s="46"/>
    </row>
    <row r="11620" spans="59:62" x14ac:dyDescent="0.3">
      <c r="BG11620" s="387"/>
      <c r="BH11620" s="386"/>
      <c r="BI11620" s="386"/>
      <c r="BJ11620" s="46"/>
    </row>
    <row r="11621" spans="59:62" x14ac:dyDescent="0.3">
      <c r="BG11621" s="387"/>
      <c r="BH11621" s="386"/>
      <c r="BI11621" s="386"/>
      <c r="BJ11621" s="46"/>
    </row>
    <row r="11622" spans="59:62" x14ac:dyDescent="0.3">
      <c r="BG11622" s="387"/>
      <c r="BH11622" s="386"/>
      <c r="BI11622" s="386"/>
      <c r="BJ11622" s="46"/>
    </row>
    <row r="11623" spans="59:62" x14ac:dyDescent="0.3">
      <c r="BG11623" s="387"/>
      <c r="BH11623" s="386"/>
      <c r="BI11623" s="386"/>
      <c r="BJ11623" s="46"/>
    </row>
    <row r="11624" spans="59:62" x14ac:dyDescent="0.3">
      <c r="BG11624" s="387"/>
      <c r="BH11624" s="386"/>
      <c r="BI11624" s="386"/>
      <c r="BJ11624" s="46"/>
    </row>
    <row r="11625" spans="59:62" x14ac:dyDescent="0.3">
      <c r="BG11625" s="387"/>
      <c r="BH11625" s="386"/>
      <c r="BI11625" s="386"/>
      <c r="BJ11625" s="46"/>
    </row>
    <row r="11626" spans="59:62" x14ac:dyDescent="0.3">
      <c r="BG11626" s="387"/>
      <c r="BH11626" s="386"/>
      <c r="BI11626" s="386"/>
      <c r="BJ11626" s="46"/>
    </row>
    <row r="11627" spans="59:62" x14ac:dyDescent="0.3">
      <c r="BG11627" s="387"/>
      <c r="BH11627" s="386"/>
      <c r="BI11627" s="386"/>
      <c r="BJ11627" s="46"/>
    </row>
    <row r="11628" spans="59:62" x14ac:dyDescent="0.3">
      <c r="BG11628" s="387"/>
      <c r="BH11628" s="386"/>
      <c r="BI11628" s="386"/>
      <c r="BJ11628" s="46"/>
    </row>
    <row r="11629" spans="59:62" x14ac:dyDescent="0.3">
      <c r="BG11629" s="387"/>
      <c r="BH11629" s="386"/>
      <c r="BI11629" s="386"/>
      <c r="BJ11629" s="46"/>
    </row>
    <row r="11630" spans="59:62" x14ac:dyDescent="0.3">
      <c r="BG11630" s="387"/>
      <c r="BH11630" s="386"/>
      <c r="BI11630" s="386"/>
      <c r="BJ11630" s="46"/>
    </row>
    <row r="11631" spans="59:62" x14ac:dyDescent="0.3">
      <c r="BG11631" s="387"/>
      <c r="BH11631" s="386"/>
      <c r="BI11631" s="386"/>
      <c r="BJ11631" s="46"/>
    </row>
    <row r="11632" spans="59:62" x14ac:dyDescent="0.3">
      <c r="BG11632" s="387"/>
      <c r="BH11632" s="386"/>
      <c r="BI11632" s="386"/>
      <c r="BJ11632" s="46"/>
    </row>
    <row r="11633" spans="59:62" x14ac:dyDescent="0.3">
      <c r="BG11633" s="387"/>
      <c r="BH11633" s="386"/>
      <c r="BI11633" s="386"/>
      <c r="BJ11633" s="46"/>
    </row>
    <row r="11634" spans="59:62" x14ac:dyDescent="0.3">
      <c r="BG11634" s="387"/>
      <c r="BH11634" s="386"/>
      <c r="BI11634" s="386"/>
      <c r="BJ11634" s="46"/>
    </row>
    <row r="11635" spans="59:62" x14ac:dyDescent="0.3">
      <c r="BG11635" s="387"/>
      <c r="BH11635" s="386"/>
      <c r="BI11635" s="386"/>
      <c r="BJ11635" s="46"/>
    </row>
    <row r="11636" spans="59:62" x14ac:dyDescent="0.3">
      <c r="BG11636" s="387"/>
      <c r="BH11636" s="386"/>
      <c r="BI11636" s="386"/>
      <c r="BJ11636" s="46"/>
    </row>
    <row r="11637" spans="59:62" x14ac:dyDescent="0.3">
      <c r="BG11637" s="387"/>
      <c r="BH11637" s="386"/>
      <c r="BI11637" s="386"/>
      <c r="BJ11637" s="46"/>
    </row>
    <row r="11638" spans="59:62" x14ac:dyDescent="0.3">
      <c r="BG11638" s="387"/>
      <c r="BH11638" s="386"/>
      <c r="BI11638" s="386"/>
      <c r="BJ11638" s="46"/>
    </row>
    <row r="11639" spans="59:62" x14ac:dyDescent="0.3">
      <c r="BG11639" s="387"/>
      <c r="BH11639" s="386"/>
      <c r="BI11639" s="386"/>
      <c r="BJ11639" s="46"/>
    </row>
    <row r="11640" spans="59:62" x14ac:dyDescent="0.3">
      <c r="BG11640" s="387"/>
      <c r="BH11640" s="386"/>
      <c r="BI11640" s="386"/>
      <c r="BJ11640" s="46"/>
    </row>
    <row r="11641" spans="59:62" x14ac:dyDescent="0.3">
      <c r="BG11641" s="387"/>
      <c r="BH11641" s="386"/>
      <c r="BI11641" s="386"/>
      <c r="BJ11641" s="46"/>
    </row>
    <row r="11642" spans="59:62" x14ac:dyDescent="0.3">
      <c r="BG11642" s="387"/>
      <c r="BH11642" s="386"/>
      <c r="BI11642" s="386"/>
      <c r="BJ11642" s="46"/>
    </row>
    <row r="11643" spans="59:62" x14ac:dyDescent="0.3">
      <c r="BG11643" s="387"/>
      <c r="BH11643" s="386"/>
      <c r="BI11643" s="386"/>
      <c r="BJ11643" s="46"/>
    </row>
    <row r="11644" spans="59:62" x14ac:dyDescent="0.3">
      <c r="BG11644" s="387"/>
      <c r="BH11644" s="386"/>
      <c r="BI11644" s="386"/>
      <c r="BJ11644" s="46"/>
    </row>
    <row r="11645" spans="59:62" x14ac:dyDescent="0.3">
      <c r="BG11645" s="387"/>
      <c r="BH11645" s="386"/>
      <c r="BI11645" s="386"/>
      <c r="BJ11645" s="46"/>
    </row>
    <row r="11646" spans="59:62" x14ac:dyDescent="0.3">
      <c r="BG11646" s="387"/>
      <c r="BH11646" s="386"/>
      <c r="BI11646" s="386"/>
      <c r="BJ11646" s="46"/>
    </row>
    <row r="11647" spans="59:62" x14ac:dyDescent="0.3">
      <c r="BG11647" s="387"/>
      <c r="BH11647" s="386"/>
      <c r="BI11647" s="386"/>
      <c r="BJ11647" s="46"/>
    </row>
    <row r="11648" spans="59:62" x14ac:dyDescent="0.3">
      <c r="BG11648" s="387"/>
      <c r="BH11648" s="386"/>
      <c r="BI11648" s="386"/>
      <c r="BJ11648" s="46"/>
    </row>
    <row r="11649" spans="59:62" x14ac:dyDescent="0.3">
      <c r="BG11649" s="387"/>
      <c r="BH11649" s="386"/>
      <c r="BI11649" s="386"/>
      <c r="BJ11649" s="46"/>
    </row>
    <row r="11650" spans="59:62" x14ac:dyDescent="0.3">
      <c r="BG11650" s="387"/>
      <c r="BH11650" s="386"/>
      <c r="BI11650" s="386"/>
      <c r="BJ11650" s="46"/>
    </row>
    <row r="11651" spans="59:62" x14ac:dyDescent="0.3">
      <c r="BG11651" s="387"/>
      <c r="BH11651" s="386"/>
      <c r="BI11651" s="386"/>
      <c r="BJ11651" s="46"/>
    </row>
    <row r="11652" spans="59:62" x14ac:dyDescent="0.3">
      <c r="BG11652" s="387"/>
      <c r="BH11652" s="386"/>
      <c r="BI11652" s="386"/>
      <c r="BJ11652" s="46"/>
    </row>
    <row r="11653" spans="59:62" x14ac:dyDescent="0.3">
      <c r="BG11653" s="387"/>
      <c r="BH11653" s="386"/>
      <c r="BI11653" s="386"/>
      <c r="BJ11653" s="46"/>
    </row>
    <row r="11654" spans="59:62" x14ac:dyDescent="0.3">
      <c r="BG11654" s="387"/>
      <c r="BH11654" s="386"/>
      <c r="BI11654" s="386"/>
      <c r="BJ11654" s="46"/>
    </row>
    <row r="11655" spans="59:62" x14ac:dyDescent="0.3">
      <c r="BG11655" s="387"/>
      <c r="BH11655" s="386"/>
      <c r="BI11655" s="386"/>
      <c r="BJ11655" s="46"/>
    </row>
    <row r="11656" spans="59:62" x14ac:dyDescent="0.3">
      <c r="BG11656" s="387"/>
      <c r="BH11656" s="386"/>
      <c r="BI11656" s="386"/>
      <c r="BJ11656" s="46"/>
    </row>
    <row r="11657" spans="59:62" x14ac:dyDescent="0.3">
      <c r="BG11657" s="387"/>
      <c r="BH11657" s="386"/>
      <c r="BI11657" s="386"/>
      <c r="BJ11657" s="46"/>
    </row>
    <row r="11658" spans="59:62" x14ac:dyDescent="0.3">
      <c r="BG11658" s="387"/>
      <c r="BH11658" s="386"/>
      <c r="BI11658" s="386"/>
      <c r="BJ11658" s="46"/>
    </row>
    <row r="11659" spans="59:62" x14ac:dyDescent="0.3">
      <c r="BG11659" s="387"/>
      <c r="BH11659" s="386"/>
      <c r="BI11659" s="386"/>
      <c r="BJ11659" s="46"/>
    </row>
    <row r="11660" spans="59:62" x14ac:dyDescent="0.3">
      <c r="BG11660" s="387"/>
      <c r="BH11660" s="386"/>
      <c r="BI11660" s="386"/>
      <c r="BJ11660" s="46"/>
    </row>
    <row r="11661" spans="59:62" x14ac:dyDescent="0.3">
      <c r="BG11661" s="387"/>
      <c r="BH11661" s="386"/>
      <c r="BI11661" s="386"/>
      <c r="BJ11661" s="46"/>
    </row>
    <row r="11662" spans="59:62" x14ac:dyDescent="0.3">
      <c r="BG11662" s="387"/>
      <c r="BH11662" s="386"/>
      <c r="BI11662" s="386"/>
      <c r="BJ11662" s="46"/>
    </row>
    <row r="11663" spans="59:62" x14ac:dyDescent="0.3">
      <c r="BG11663" s="387"/>
      <c r="BH11663" s="386"/>
      <c r="BI11663" s="386"/>
      <c r="BJ11663" s="46"/>
    </row>
    <row r="11664" spans="59:62" x14ac:dyDescent="0.3">
      <c r="BG11664" s="387"/>
      <c r="BH11664" s="386"/>
      <c r="BI11664" s="386"/>
      <c r="BJ11664" s="46"/>
    </row>
    <row r="11665" spans="59:62" x14ac:dyDescent="0.3">
      <c r="BG11665" s="387"/>
      <c r="BH11665" s="386"/>
      <c r="BI11665" s="386"/>
      <c r="BJ11665" s="46"/>
    </row>
    <row r="11666" spans="59:62" x14ac:dyDescent="0.3">
      <c r="BG11666" s="387"/>
      <c r="BH11666" s="386"/>
      <c r="BI11666" s="386"/>
      <c r="BJ11666" s="46"/>
    </row>
    <row r="11667" spans="59:62" x14ac:dyDescent="0.3">
      <c r="BG11667" s="387"/>
      <c r="BH11667" s="386"/>
      <c r="BI11667" s="386"/>
      <c r="BJ11667" s="46"/>
    </row>
    <row r="11668" spans="59:62" x14ac:dyDescent="0.3">
      <c r="BG11668" s="387"/>
      <c r="BH11668" s="386"/>
      <c r="BI11668" s="386"/>
      <c r="BJ11668" s="46"/>
    </row>
    <row r="11669" spans="59:62" x14ac:dyDescent="0.3">
      <c r="BG11669" s="387"/>
      <c r="BH11669" s="386"/>
      <c r="BI11669" s="386"/>
      <c r="BJ11669" s="46"/>
    </row>
    <row r="11670" spans="59:62" x14ac:dyDescent="0.3">
      <c r="BG11670" s="387"/>
      <c r="BH11670" s="386"/>
      <c r="BI11670" s="386"/>
      <c r="BJ11670" s="46"/>
    </row>
    <row r="11671" spans="59:62" x14ac:dyDescent="0.3">
      <c r="BG11671" s="387"/>
      <c r="BH11671" s="386"/>
      <c r="BI11671" s="386"/>
      <c r="BJ11671" s="46"/>
    </row>
    <row r="11672" spans="59:62" x14ac:dyDescent="0.3">
      <c r="BG11672" s="387"/>
      <c r="BH11672" s="386"/>
      <c r="BI11672" s="386"/>
      <c r="BJ11672" s="46"/>
    </row>
    <row r="11673" spans="59:62" x14ac:dyDescent="0.3">
      <c r="BG11673" s="387"/>
      <c r="BH11673" s="386"/>
      <c r="BI11673" s="386"/>
      <c r="BJ11673" s="46"/>
    </row>
    <row r="11674" spans="59:62" x14ac:dyDescent="0.3">
      <c r="BG11674" s="387"/>
      <c r="BH11674" s="386"/>
      <c r="BI11674" s="386"/>
      <c r="BJ11674" s="46"/>
    </row>
    <row r="11675" spans="59:62" x14ac:dyDescent="0.3">
      <c r="BG11675" s="387"/>
      <c r="BH11675" s="386"/>
      <c r="BI11675" s="386"/>
      <c r="BJ11675" s="46"/>
    </row>
    <row r="11676" spans="59:62" x14ac:dyDescent="0.3">
      <c r="BG11676" s="387"/>
      <c r="BH11676" s="386"/>
      <c r="BI11676" s="386"/>
      <c r="BJ11676" s="46"/>
    </row>
    <row r="11677" spans="59:62" x14ac:dyDescent="0.3">
      <c r="BG11677" s="387"/>
      <c r="BH11677" s="386"/>
      <c r="BI11677" s="386"/>
      <c r="BJ11677" s="46"/>
    </row>
    <row r="11678" spans="59:62" x14ac:dyDescent="0.3">
      <c r="BG11678" s="387"/>
      <c r="BH11678" s="386"/>
      <c r="BI11678" s="386"/>
      <c r="BJ11678" s="46"/>
    </row>
    <row r="11679" spans="59:62" x14ac:dyDescent="0.3">
      <c r="BG11679" s="387"/>
      <c r="BH11679" s="386"/>
      <c r="BI11679" s="386"/>
      <c r="BJ11679" s="46"/>
    </row>
    <row r="11680" spans="59:62" x14ac:dyDescent="0.3">
      <c r="BG11680" s="387"/>
      <c r="BH11680" s="386"/>
      <c r="BI11680" s="386"/>
      <c r="BJ11680" s="46"/>
    </row>
    <row r="11681" spans="59:62" x14ac:dyDescent="0.3">
      <c r="BG11681" s="387"/>
      <c r="BH11681" s="386"/>
      <c r="BI11681" s="386"/>
      <c r="BJ11681" s="46"/>
    </row>
    <row r="11682" spans="59:62" x14ac:dyDescent="0.3">
      <c r="BG11682" s="387"/>
      <c r="BH11682" s="386"/>
      <c r="BI11682" s="386"/>
      <c r="BJ11682" s="46"/>
    </row>
    <row r="11683" spans="59:62" x14ac:dyDescent="0.3">
      <c r="BG11683" s="387"/>
      <c r="BH11683" s="386"/>
      <c r="BI11683" s="386"/>
      <c r="BJ11683" s="46"/>
    </row>
    <row r="11684" spans="59:62" x14ac:dyDescent="0.3">
      <c r="BG11684" s="387"/>
      <c r="BH11684" s="386"/>
      <c r="BI11684" s="386"/>
      <c r="BJ11684" s="46"/>
    </row>
    <row r="11685" spans="59:62" x14ac:dyDescent="0.3">
      <c r="BG11685" s="387"/>
      <c r="BH11685" s="386"/>
      <c r="BI11685" s="386"/>
      <c r="BJ11685" s="46"/>
    </row>
    <row r="11686" spans="59:62" x14ac:dyDescent="0.3">
      <c r="BG11686" s="387"/>
      <c r="BH11686" s="386"/>
      <c r="BI11686" s="386"/>
      <c r="BJ11686" s="46"/>
    </row>
    <row r="11687" spans="59:62" x14ac:dyDescent="0.3">
      <c r="BG11687" s="387"/>
      <c r="BH11687" s="386"/>
      <c r="BI11687" s="386"/>
      <c r="BJ11687" s="46"/>
    </row>
    <row r="11688" spans="59:62" x14ac:dyDescent="0.3">
      <c r="BG11688" s="387"/>
      <c r="BH11688" s="386"/>
      <c r="BI11688" s="386"/>
      <c r="BJ11688" s="46"/>
    </row>
    <row r="11689" spans="59:62" x14ac:dyDescent="0.3">
      <c r="BG11689" s="387"/>
      <c r="BH11689" s="386"/>
      <c r="BI11689" s="386"/>
      <c r="BJ11689" s="46"/>
    </row>
    <row r="11690" spans="59:62" x14ac:dyDescent="0.3">
      <c r="BG11690" s="387"/>
      <c r="BH11690" s="386"/>
      <c r="BI11690" s="386"/>
      <c r="BJ11690" s="46"/>
    </row>
    <row r="11691" spans="59:62" x14ac:dyDescent="0.3">
      <c r="BG11691" s="387"/>
      <c r="BH11691" s="386"/>
      <c r="BI11691" s="386"/>
      <c r="BJ11691" s="46"/>
    </row>
    <row r="11692" spans="59:62" x14ac:dyDescent="0.3">
      <c r="BG11692" s="387"/>
      <c r="BH11692" s="386"/>
      <c r="BI11692" s="386"/>
      <c r="BJ11692" s="46"/>
    </row>
    <row r="11693" spans="59:62" x14ac:dyDescent="0.3">
      <c r="BG11693" s="387"/>
      <c r="BH11693" s="386"/>
      <c r="BI11693" s="386"/>
      <c r="BJ11693" s="46"/>
    </row>
    <row r="11694" spans="59:62" x14ac:dyDescent="0.3">
      <c r="BG11694" s="387"/>
      <c r="BH11694" s="386"/>
      <c r="BI11694" s="386"/>
      <c r="BJ11694" s="46"/>
    </row>
    <row r="11695" spans="59:62" x14ac:dyDescent="0.3">
      <c r="BG11695" s="387"/>
      <c r="BH11695" s="386"/>
      <c r="BI11695" s="386"/>
      <c r="BJ11695" s="46"/>
    </row>
    <row r="11696" spans="59:62" x14ac:dyDescent="0.3">
      <c r="BG11696" s="387"/>
      <c r="BH11696" s="386"/>
      <c r="BI11696" s="386"/>
      <c r="BJ11696" s="46"/>
    </row>
    <row r="11697" spans="59:62" x14ac:dyDescent="0.3">
      <c r="BG11697" s="387"/>
      <c r="BH11697" s="386"/>
      <c r="BI11697" s="386"/>
      <c r="BJ11697" s="46"/>
    </row>
    <row r="11698" spans="59:62" x14ac:dyDescent="0.3">
      <c r="BG11698" s="387"/>
      <c r="BH11698" s="386"/>
      <c r="BI11698" s="386"/>
      <c r="BJ11698" s="46"/>
    </row>
    <row r="11699" spans="59:62" x14ac:dyDescent="0.3">
      <c r="BG11699" s="387"/>
      <c r="BH11699" s="386"/>
      <c r="BI11699" s="386"/>
      <c r="BJ11699" s="46"/>
    </row>
    <row r="11700" spans="59:62" x14ac:dyDescent="0.3">
      <c r="BG11700" s="387"/>
      <c r="BH11700" s="386"/>
      <c r="BI11700" s="386"/>
      <c r="BJ11700" s="46"/>
    </row>
    <row r="11701" spans="59:62" x14ac:dyDescent="0.3">
      <c r="BG11701" s="387"/>
      <c r="BH11701" s="386"/>
      <c r="BI11701" s="386"/>
      <c r="BJ11701" s="46"/>
    </row>
    <row r="11702" spans="59:62" x14ac:dyDescent="0.3">
      <c r="BG11702" s="387"/>
      <c r="BH11702" s="386"/>
      <c r="BI11702" s="386"/>
      <c r="BJ11702" s="46"/>
    </row>
    <row r="11703" spans="59:62" x14ac:dyDescent="0.3">
      <c r="BG11703" s="387"/>
      <c r="BH11703" s="386"/>
      <c r="BI11703" s="386"/>
      <c r="BJ11703" s="46"/>
    </row>
    <row r="11704" spans="59:62" x14ac:dyDescent="0.3">
      <c r="BG11704" s="387"/>
      <c r="BH11704" s="386"/>
      <c r="BI11704" s="386"/>
      <c r="BJ11704" s="46"/>
    </row>
    <row r="11705" spans="59:62" x14ac:dyDescent="0.3">
      <c r="BG11705" s="387"/>
      <c r="BH11705" s="386"/>
      <c r="BI11705" s="386"/>
      <c r="BJ11705" s="46"/>
    </row>
    <row r="11706" spans="59:62" x14ac:dyDescent="0.3">
      <c r="BG11706" s="387"/>
      <c r="BH11706" s="386"/>
      <c r="BI11706" s="386"/>
      <c r="BJ11706" s="46"/>
    </row>
    <row r="11707" spans="59:62" x14ac:dyDescent="0.3">
      <c r="BG11707" s="387"/>
      <c r="BH11707" s="386"/>
      <c r="BI11707" s="386"/>
      <c r="BJ11707" s="46"/>
    </row>
    <row r="11708" spans="59:62" x14ac:dyDescent="0.3">
      <c r="BG11708" s="387"/>
      <c r="BH11708" s="386"/>
      <c r="BI11708" s="386"/>
      <c r="BJ11708" s="46"/>
    </row>
    <row r="11709" spans="59:62" x14ac:dyDescent="0.3">
      <c r="BG11709" s="387"/>
      <c r="BH11709" s="386"/>
      <c r="BI11709" s="386"/>
      <c r="BJ11709" s="46"/>
    </row>
    <row r="11710" spans="59:62" x14ac:dyDescent="0.3">
      <c r="BG11710" s="387"/>
      <c r="BH11710" s="386"/>
      <c r="BI11710" s="386"/>
      <c r="BJ11710" s="46"/>
    </row>
    <row r="11711" spans="59:62" x14ac:dyDescent="0.3">
      <c r="BG11711" s="387"/>
      <c r="BH11711" s="386"/>
      <c r="BI11711" s="386"/>
      <c r="BJ11711" s="46"/>
    </row>
    <row r="11712" spans="59:62" x14ac:dyDescent="0.3">
      <c r="BG11712" s="387"/>
      <c r="BH11712" s="386"/>
      <c r="BI11712" s="386"/>
      <c r="BJ11712" s="46"/>
    </row>
    <row r="11713" spans="59:62" x14ac:dyDescent="0.3">
      <c r="BG11713" s="387"/>
      <c r="BH11713" s="386"/>
      <c r="BI11713" s="386"/>
      <c r="BJ11713" s="46"/>
    </row>
    <row r="11714" spans="59:62" x14ac:dyDescent="0.3">
      <c r="BG11714" s="387"/>
      <c r="BH11714" s="386"/>
      <c r="BI11714" s="386"/>
      <c r="BJ11714" s="46"/>
    </row>
    <row r="11715" spans="59:62" x14ac:dyDescent="0.3">
      <c r="BG11715" s="387"/>
      <c r="BH11715" s="386"/>
      <c r="BI11715" s="386"/>
      <c r="BJ11715" s="46"/>
    </row>
    <row r="11716" spans="59:62" x14ac:dyDescent="0.3">
      <c r="BG11716" s="387"/>
      <c r="BH11716" s="386"/>
      <c r="BI11716" s="386"/>
      <c r="BJ11716" s="46"/>
    </row>
    <row r="11717" spans="59:62" x14ac:dyDescent="0.3">
      <c r="BG11717" s="387"/>
      <c r="BH11717" s="386"/>
      <c r="BI11717" s="386"/>
      <c r="BJ11717" s="46"/>
    </row>
    <row r="11718" spans="59:62" x14ac:dyDescent="0.3">
      <c r="BG11718" s="387"/>
      <c r="BH11718" s="386"/>
      <c r="BI11718" s="386"/>
      <c r="BJ11718" s="46"/>
    </row>
    <row r="11719" spans="59:62" x14ac:dyDescent="0.3">
      <c r="BG11719" s="387"/>
      <c r="BH11719" s="386"/>
      <c r="BI11719" s="386"/>
      <c r="BJ11719" s="46"/>
    </row>
    <row r="11720" spans="59:62" x14ac:dyDescent="0.3">
      <c r="BG11720" s="387"/>
      <c r="BH11720" s="386"/>
      <c r="BI11720" s="386"/>
      <c r="BJ11720" s="46"/>
    </row>
    <row r="11721" spans="59:62" x14ac:dyDescent="0.3">
      <c r="BG11721" s="387"/>
      <c r="BH11721" s="386"/>
      <c r="BI11721" s="386"/>
      <c r="BJ11721" s="46"/>
    </row>
    <row r="11722" spans="59:62" x14ac:dyDescent="0.3">
      <c r="BG11722" s="387"/>
      <c r="BH11722" s="386"/>
      <c r="BI11722" s="386"/>
      <c r="BJ11722" s="46"/>
    </row>
    <row r="11723" spans="59:62" x14ac:dyDescent="0.3">
      <c r="BG11723" s="387"/>
      <c r="BH11723" s="386"/>
      <c r="BI11723" s="386"/>
      <c r="BJ11723" s="46"/>
    </row>
    <row r="11724" spans="59:62" x14ac:dyDescent="0.3">
      <c r="BG11724" s="387"/>
      <c r="BH11724" s="386"/>
      <c r="BI11724" s="386"/>
      <c r="BJ11724" s="46"/>
    </row>
    <row r="11725" spans="59:62" x14ac:dyDescent="0.3">
      <c r="BG11725" s="387"/>
      <c r="BH11725" s="386"/>
      <c r="BI11725" s="386"/>
      <c r="BJ11725" s="46"/>
    </row>
    <row r="11726" spans="59:62" x14ac:dyDescent="0.3">
      <c r="BG11726" s="387"/>
      <c r="BH11726" s="386"/>
      <c r="BI11726" s="386"/>
      <c r="BJ11726" s="46"/>
    </row>
    <row r="11727" spans="59:62" x14ac:dyDescent="0.3">
      <c r="BG11727" s="387"/>
      <c r="BH11727" s="386"/>
      <c r="BI11727" s="386"/>
      <c r="BJ11727" s="46"/>
    </row>
    <row r="11728" spans="59:62" x14ac:dyDescent="0.3">
      <c r="BG11728" s="387"/>
      <c r="BH11728" s="386"/>
      <c r="BI11728" s="386"/>
      <c r="BJ11728" s="46"/>
    </row>
    <row r="11729" spans="59:62" x14ac:dyDescent="0.3">
      <c r="BG11729" s="387"/>
      <c r="BH11729" s="386"/>
      <c r="BI11729" s="386"/>
      <c r="BJ11729" s="46"/>
    </row>
    <row r="11730" spans="59:62" x14ac:dyDescent="0.3">
      <c r="BG11730" s="387"/>
      <c r="BH11730" s="386"/>
      <c r="BI11730" s="386"/>
      <c r="BJ11730" s="46"/>
    </row>
    <row r="11731" spans="59:62" x14ac:dyDescent="0.3">
      <c r="BG11731" s="387"/>
      <c r="BH11731" s="386"/>
      <c r="BI11731" s="386"/>
      <c r="BJ11731" s="46"/>
    </row>
    <row r="11732" spans="59:62" x14ac:dyDescent="0.3">
      <c r="BG11732" s="387"/>
      <c r="BH11732" s="386"/>
      <c r="BI11732" s="386"/>
      <c r="BJ11732" s="46"/>
    </row>
    <row r="11733" spans="59:62" x14ac:dyDescent="0.3">
      <c r="BG11733" s="387"/>
      <c r="BH11733" s="386"/>
      <c r="BI11733" s="386"/>
      <c r="BJ11733" s="46"/>
    </row>
    <row r="11734" spans="59:62" x14ac:dyDescent="0.3">
      <c r="BG11734" s="387"/>
      <c r="BH11734" s="386"/>
      <c r="BI11734" s="386"/>
      <c r="BJ11734" s="46"/>
    </row>
    <row r="11735" spans="59:62" x14ac:dyDescent="0.3">
      <c r="BG11735" s="387"/>
      <c r="BH11735" s="386"/>
      <c r="BI11735" s="386"/>
      <c r="BJ11735" s="46"/>
    </row>
    <row r="11736" spans="59:62" x14ac:dyDescent="0.3">
      <c r="BG11736" s="387"/>
      <c r="BH11736" s="386"/>
      <c r="BI11736" s="386"/>
      <c r="BJ11736" s="46"/>
    </row>
    <row r="11737" spans="59:62" x14ac:dyDescent="0.3">
      <c r="BG11737" s="387"/>
      <c r="BH11737" s="386"/>
      <c r="BI11737" s="386"/>
      <c r="BJ11737" s="46"/>
    </row>
    <row r="11738" spans="59:62" x14ac:dyDescent="0.3">
      <c r="BG11738" s="387"/>
      <c r="BH11738" s="386"/>
      <c r="BI11738" s="386"/>
      <c r="BJ11738" s="46"/>
    </row>
    <row r="11739" spans="59:62" x14ac:dyDescent="0.3">
      <c r="BG11739" s="387"/>
      <c r="BH11739" s="386"/>
      <c r="BI11739" s="386"/>
      <c r="BJ11739" s="46"/>
    </row>
    <row r="11740" spans="59:62" x14ac:dyDescent="0.3">
      <c r="BG11740" s="387"/>
      <c r="BH11740" s="386"/>
      <c r="BI11740" s="386"/>
      <c r="BJ11740" s="46"/>
    </row>
    <row r="11741" spans="59:62" x14ac:dyDescent="0.3">
      <c r="BG11741" s="387"/>
      <c r="BH11741" s="386"/>
      <c r="BI11741" s="386"/>
      <c r="BJ11741" s="46"/>
    </row>
    <row r="11742" spans="59:62" x14ac:dyDescent="0.3">
      <c r="BG11742" s="387"/>
      <c r="BH11742" s="386"/>
      <c r="BI11742" s="386"/>
      <c r="BJ11742" s="46"/>
    </row>
    <row r="11743" spans="59:62" x14ac:dyDescent="0.3">
      <c r="BG11743" s="387"/>
      <c r="BH11743" s="386"/>
      <c r="BI11743" s="386"/>
      <c r="BJ11743" s="46"/>
    </row>
    <row r="11744" spans="59:62" x14ac:dyDescent="0.3">
      <c r="BG11744" s="387"/>
      <c r="BH11744" s="386"/>
      <c r="BI11744" s="386"/>
      <c r="BJ11744" s="46"/>
    </row>
    <row r="11745" spans="59:62" x14ac:dyDescent="0.3">
      <c r="BG11745" s="387"/>
      <c r="BH11745" s="386"/>
      <c r="BI11745" s="386"/>
      <c r="BJ11745" s="46"/>
    </row>
    <row r="11746" spans="59:62" x14ac:dyDescent="0.3">
      <c r="BG11746" s="387"/>
      <c r="BH11746" s="386"/>
      <c r="BI11746" s="386"/>
      <c r="BJ11746" s="46"/>
    </row>
    <row r="11747" spans="59:62" x14ac:dyDescent="0.3">
      <c r="BG11747" s="387"/>
      <c r="BH11747" s="386"/>
      <c r="BI11747" s="386"/>
      <c r="BJ11747" s="46"/>
    </row>
    <row r="11748" spans="59:62" x14ac:dyDescent="0.3">
      <c r="BG11748" s="387"/>
      <c r="BH11748" s="386"/>
      <c r="BI11748" s="386"/>
      <c r="BJ11748" s="46"/>
    </row>
    <row r="11749" spans="59:62" x14ac:dyDescent="0.3">
      <c r="BG11749" s="387"/>
      <c r="BH11749" s="386"/>
      <c r="BI11749" s="386"/>
      <c r="BJ11749" s="46"/>
    </row>
    <row r="11750" spans="59:62" x14ac:dyDescent="0.3">
      <c r="BG11750" s="387"/>
      <c r="BH11750" s="386"/>
      <c r="BI11750" s="386"/>
      <c r="BJ11750" s="46"/>
    </row>
    <row r="11751" spans="59:62" x14ac:dyDescent="0.3">
      <c r="BG11751" s="387"/>
      <c r="BH11751" s="386"/>
      <c r="BI11751" s="386"/>
      <c r="BJ11751" s="46"/>
    </row>
    <row r="11752" spans="59:62" x14ac:dyDescent="0.3">
      <c r="BG11752" s="387"/>
      <c r="BH11752" s="386"/>
      <c r="BI11752" s="386"/>
      <c r="BJ11752" s="46"/>
    </row>
    <row r="11753" spans="59:62" x14ac:dyDescent="0.3">
      <c r="BG11753" s="387"/>
      <c r="BH11753" s="386"/>
      <c r="BI11753" s="386"/>
      <c r="BJ11753" s="46"/>
    </row>
    <row r="11754" spans="59:62" x14ac:dyDescent="0.3">
      <c r="BG11754" s="387"/>
      <c r="BH11754" s="386"/>
      <c r="BI11754" s="386"/>
      <c r="BJ11754" s="46"/>
    </row>
    <row r="11755" spans="59:62" x14ac:dyDescent="0.3">
      <c r="BG11755" s="387"/>
      <c r="BH11755" s="386"/>
      <c r="BI11755" s="386"/>
      <c r="BJ11755" s="46"/>
    </row>
    <row r="11756" spans="59:62" x14ac:dyDescent="0.3">
      <c r="BG11756" s="387"/>
      <c r="BH11756" s="386"/>
      <c r="BI11756" s="386"/>
      <c r="BJ11756" s="46"/>
    </row>
    <row r="11757" spans="59:62" x14ac:dyDescent="0.3">
      <c r="BG11757" s="387"/>
      <c r="BH11757" s="386"/>
      <c r="BI11757" s="386"/>
      <c r="BJ11757" s="46"/>
    </row>
    <row r="11758" spans="59:62" x14ac:dyDescent="0.3">
      <c r="BG11758" s="387"/>
      <c r="BH11758" s="386"/>
      <c r="BI11758" s="386"/>
      <c r="BJ11758" s="46"/>
    </row>
    <row r="11759" spans="59:62" x14ac:dyDescent="0.3">
      <c r="BG11759" s="387"/>
      <c r="BH11759" s="386"/>
      <c r="BI11759" s="386"/>
      <c r="BJ11759" s="46"/>
    </row>
    <row r="11760" spans="59:62" x14ac:dyDescent="0.3">
      <c r="BG11760" s="387"/>
      <c r="BH11760" s="386"/>
      <c r="BI11760" s="386"/>
      <c r="BJ11760" s="46"/>
    </row>
    <row r="11761" spans="59:62" x14ac:dyDescent="0.3">
      <c r="BG11761" s="387"/>
      <c r="BH11761" s="386"/>
      <c r="BI11761" s="386"/>
      <c r="BJ11761" s="46"/>
    </row>
    <row r="11762" spans="59:62" x14ac:dyDescent="0.3">
      <c r="BG11762" s="387"/>
      <c r="BH11762" s="386"/>
      <c r="BI11762" s="386"/>
      <c r="BJ11762" s="46"/>
    </row>
    <row r="11763" spans="59:62" x14ac:dyDescent="0.3">
      <c r="BG11763" s="387"/>
      <c r="BH11763" s="386"/>
      <c r="BI11763" s="386"/>
      <c r="BJ11763" s="46"/>
    </row>
    <row r="11764" spans="59:62" x14ac:dyDescent="0.3">
      <c r="BG11764" s="387"/>
      <c r="BH11764" s="386"/>
      <c r="BI11764" s="386"/>
      <c r="BJ11764" s="46"/>
    </row>
    <row r="11765" spans="59:62" x14ac:dyDescent="0.3">
      <c r="BG11765" s="387"/>
      <c r="BH11765" s="386"/>
      <c r="BI11765" s="386"/>
      <c r="BJ11765" s="46"/>
    </row>
    <row r="11766" spans="59:62" x14ac:dyDescent="0.3">
      <c r="BG11766" s="387"/>
      <c r="BH11766" s="386"/>
      <c r="BI11766" s="386"/>
      <c r="BJ11766" s="46"/>
    </row>
    <row r="11767" spans="59:62" x14ac:dyDescent="0.3">
      <c r="BG11767" s="387"/>
      <c r="BH11767" s="386"/>
      <c r="BI11767" s="386"/>
      <c r="BJ11767" s="46"/>
    </row>
    <row r="11768" spans="59:62" x14ac:dyDescent="0.3">
      <c r="BG11768" s="387"/>
      <c r="BH11768" s="386"/>
      <c r="BI11768" s="386"/>
      <c r="BJ11768" s="46"/>
    </row>
    <row r="11769" spans="59:62" x14ac:dyDescent="0.3">
      <c r="BG11769" s="387"/>
      <c r="BH11769" s="386"/>
      <c r="BI11769" s="386"/>
      <c r="BJ11769" s="46"/>
    </row>
    <row r="11770" spans="59:62" x14ac:dyDescent="0.3">
      <c r="BG11770" s="387"/>
      <c r="BH11770" s="386"/>
      <c r="BI11770" s="386"/>
      <c r="BJ11770" s="46"/>
    </row>
    <row r="11771" spans="59:62" x14ac:dyDescent="0.3">
      <c r="BG11771" s="387"/>
      <c r="BH11771" s="386"/>
      <c r="BI11771" s="386"/>
      <c r="BJ11771" s="46"/>
    </row>
    <row r="11772" spans="59:62" x14ac:dyDescent="0.3">
      <c r="BG11772" s="387"/>
      <c r="BH11772" s="386"/>
      <c r="BI11772" s="386"/>
      <c r="BJ11772" s="46"/>
    </row>
    <row r="11773" spans="59:62" x14ac:dyDescent="0.3">
      <c r="BG11773" s="387"/>
      <c r="BH11773" s="386"/>
      <c r="BI11773" s="386"/>
      <c r="BJ11773" s="46"/>
    </row>
    <row r="11774" spans="59:62" x14ac:dyDescent="0.3">
      <c r="BG11774" s="387"/>
      <c r="BH11774" s="386"/>
      <c r="BI11774" s="386"/>
      <c r="BJ11774" s="46"/>
    </row>
    <row r="11775" spans="59:62" x14ac:dyDescent="0.3">
      <c r="BG11775" s="387"/>
      <c r="BH11775" s="386"/>
      <c r="BI11775" s="386"/>
      <c r="BJ11775" s="46"/>
    </row>
    <row r="11776" spans="59:62" x14ac:dyDescent="0.3">
      <c r="BG11776" s="387"/>
      <c r="BH11776" s="386"/>
      <c r="BI11776" s="386"/>
      <c r="BJ11776" s="46"/>
    </row>
    <row r="11777" spans="59:62" x14ac:dyDescent="0.3">
      <c r="BG11777" s="387"/>
      <c r="BH11777" s="386"/>
      <c r="BI11777" s="386"/>
      <c r="BJ11777" s="46"/>
    </row>
    <row r="11778" spans="59:62" x14ac:dyDescent="0.3">
      <c r="BG11778" s="387"/>
      <c r="BH11778" s="386"/>
      <c r="BI11778" s="386"/>
      <c r="BJ11778" s="46"/>
    </row>
    <row r="11779" spans="59:62" x14ac:dyDescent="0.3">
      <c r="BG11779" s="387"/>
      <c r="BH11779" s="386"/>
      <c r="BI11779" s="386"/>
      <c r="BJ11779" s="46"/>
    </row>
    <row r="11780" spans="59:62" x14ac:dyDescent="0.3">
      <c r="BG11780" s="387"/>
      <c r="BH11780" s="386"/>
      <c r="BI11780" s="386"/>
      <c r="BJ11780" s="46"/>
    </row>
    <row r="11781" spans="59:62" x14ac:dyDescent="0.3">
      <c r="BG11781" s="387"/>
      <c r="BH11781" s="386"/>
      <c r="BI11781" s="386"/>
      <c r="BJ11781" s="46"/>
    </row>
    <row r="11782" spans="59:62" x14ac:dyDescent="0.3">
      <c r="BG11782" s="387"/>
      <c r="BH11782" s="386"/>
      <c r="BI11782" s="386"/>
      <c r="BJ11782" s="46"/>
    </row>
    <row r="11783" spans="59:62" x14ac:dyDescent="0.3">
      <c r="BG11783" s="387"/>
      <c r="BH11783" s="386"/>
      <c r="BI11783" s="386"/>
      <c r="BJ11783" s="46"/>
    </row>
    <row r="11784" spans="59:62" x14ac:dyDescent="0.3">
      <c r="BG11784" s="387"/>
      <c r="BH11784" s="386"/>
      <c r="BI11784" s="386"/>
      <c r="BJ11784" s="46"/>
    </row>
    <row r="11785" spans="59:62" x14ac:dyDescent="0.3">
      <c r="BG11785" s="387"/>
      <c r="BH11785" s="386"/>
      <c r="BI11785" s="386"/>
      <c r="BJ11785" s="46"/>
    </row>
    <row r="11786" spans="59:62" x14ac:dyDescent="0.3">
      <c r="BG11786" s="387"/>
      <c r="BH11786" s="386"/>
      <c r="BI11786" s="386"/>
      <c r="BJ11786" s="46"/>
    </row>
    <row r="11787" spans="59:62" x14ac:dyDescent="0.3">
      <c r="BG11787" s="387"/>
      <c r="BH11787" s="386"/>
      <c r="BI11787" s="386"/>
      <c r="BJ11787" s="46"/>
    </row>
    <row r="11788" spans="59:62" x14ac:dyDescent="0.3">
      <c r="BG11788" s="387"/>
      <c r="BH11788" s="386"/>
      <c r="BI11788" s="386"/>
      <c r="BJ11788" s="46"/>
    </row>
    <row r="11789" spans="59:62" x14ac:dyDescent="0.3">
      <c r="BG11789" s="387"/>
      <c r="BH11789" s="386"/>
      <c r="BI11789" s="386"/>
      <c r="BJ11789" s="46"/>
    </row>
    <row r="11790" spans="59:62" x14ac:dyDescent="0.3">
      <c r="BG11790" s="387"/>
      <c r="BH11790" s="386"/>
      <c r="BI11790" s="386"/>
      <c r="BJ11790" s="46"/>
    </row>
    <row r="11791" spans="59:62" x14ac:dyDescent="0.3">
      <c r="BG11791" s="387"/>
      <c r="BH11791" s="386"/>
      <c r="BI11791" s="386"/>
      <c r="BJ11791" s="46"/>
    </row>
    <row r="11792" spans="59:62" x14ac:dyDescent="0.3">
      <c r="BG11792" s="387"/>
      <c r="BH11792" s="386"/>
      <c r="BI11792" s="386"/>
      <c r="BJ11792" s="46"/>
    </row>
    <row r="11793" spans="59:62" x14ac:dyDescent="0.3">
      <c r="BG11793" s="387"/>
      <c r="BH11793" s="386"/>
      <c r="BI11793" s="386"/>
      <c r="BJ11793" s="46"/>
    </row>
    <row r="11794" spans="59:62" x14ac:dyDescent="0.3">
      <c r="BG11794" s="387"/>
      <c r="BH11794" s="386"/>
      <c r="BI11794" s="386"/>
      <c r="BJ11794" s="46"/>
    </row>
    <row r="11795" spans="59:62" x14ac:dyDescent="0.3">
      <c r="BG11795" s="387"/>
      <c r="BH11795" s="386"/>
      <c r="BI11795" s="386"/>
      <c r="BJ11795" s="46"/>
    </row>
    <row r="11796" spans="59:62" x14ac:dyDescent="0.3">
      <c r="BG11796" s="387"/>
      <c r="BH11796" s="386"/>
      <c r="BI11796" s="386"/>
      <c r="BJ11796" s="46"/>
    </row>
    <row r="11797" spans="59:62" x14ac:dyDescent="0.3">
      <c r="BG11797" s="387"/>
      <c r="BH11797" s="386"/>
      <c r="BI11797" s="386"/>
      <c r="BJ11797" s="46"/>
    </row>
    <row r="11798" spans="59:62" x14ac:dyDescent="0.3">
      <c r="BG11798" s="387"/>
      <c r="BH11798" s="386"/>
      <c r="BI11798" s="386"/>
      <c r="BJ11798" s="46"/>
    </row>
    <row r="11799" spans="59:62" x14ac:dyDescent="0.3">
      <c r="BG11799" s="387"/>
      <c r="BH11799" s="386"/>
      <c r="BI11799" s="386"/>
      <c r="BJ11799" s="46"/>
    </row>
    <row r="11800" spans="59:62" x14ac:dyDescent="0.3">
      <c r="BG11800" s="387"/>
      <c r="BH11800" s="386"/>
      <c r="BI11800" s="386"/>
      <c r="BJ11800" s="46"/>
    </row>
    <row r="11801" spans="59:62" x14ac:dyDescent="0.3">
      <c r="BG11801" s="387"/>
      <c r="BH11801" s="386"/>
      <c r="BI11801" s="386"/>
      <c r="BJ11801" s="46"/>
    </row>
    <row r="11802" spans="59:62" x14ac:dyDescent="0.3">
      <c r="BG11802" s="387"/>
      <c r="BH11802" s="386"/>
      <c r="BI11802" s="386"/>
      <c r="BJ11802" s="46"/>
    </row>
    <row r="11803" spans="59:62" x14ac:dyDescent="0.3">
      <c r="BG11803" s="387"/>
      <c r="BH11803" s="386"/>
      <c r="BI11803" s="386"/>
      <c r="BJ11803" s="46"/>
    </row>
    <row r="11804" spans="59:62" x14ac:dyDescent="0.3">
      <c r="BG11804" s="387"/>
      <c r="BH11804" s="386"/>
      <c r="BI11804" s="386"/>
      <c r="BJ11804" s="46"/>
    </row>
    <row r="11805" spans="59:62" x14ac:dyDescent="0.3">
      <c r="BG11805" s="387"/>
      <c r="BH11805" s="386"/>
      <c r="BI11805" s="386"/>
      <c r="BJ11805" s="46"/>
    </row>
    <row r="11806" spans="59:62" x14ac:dyDescent="0.3">
      <c r="BG11806" s="387"/>
      <c r="BH11806" s="386"/>
      <c r="BI11806" s="386"/>
      <c r="BJ11806" s="46"/>
    </row>
    <row r="11807" spans="59:62" x14ac:dyDescent="0.3">
      <c r="BG11807" s="387"/>
      <c r="BH11807" s="386"/>
      <c r="BI11807" s="386"/>
      <c r="BJ11807" s="46"/>
    </row>
    <row r="11808" spans="59:62" x14ac:dyDescent="0.3">
      <c r="BG11808" s="387"/>
      <c r="BH11808" s="386"/>
      <c r="BI11808" s="386"/>
      <c r="BJ11808" s="46"/>
    </row>
    <row r="11809" spans="59:62" x14ac:dyDescent="0.3">
      <c r="BG11809" s="387"/>
      <c r="BH11809" s="386"/>
      <c r="BI11809" s="386"/>
      <c r="BJ11809" s="46"/>
    </row>
    <row r="11810" spans="59:62" x14ac:dyDescent="0.3">
      <c r="BG11810" s="387"/>
      <c r="BH11810" s="386"/>
      <c r="BI11810" s="386"/>
      <c r="BJ11810" s="46"/>
    </row>
    <row r="11811" spans="59:62" x14ac:dyDescent="0.3">
      <c r="BG11811" s="387"/>
      <c r="BH11811" s="386"/>
      <c r="BI11811" s="386"/>
      <c r="BJ11811" s="46"/>
    </row>
    <row r="11812" spans="59:62" x14ac:dyDescent="0.3">
      <c r="BG11812" s="387"/>
      <c r="BH11812" s="386"/>
      <c r="BI11812" s="386"/>
      <c r="BJ11812" s="46"/>
    </row>
    <row r="11813" spans="59:62" x14ac:dyDescent="0.3">
      <c r="BG11813" s="387"/>
      <c r="BH11813" s="386"/>
      <c r="BI11813" s="386"/>
      <c r="BJ11813" s="46"/>
    </row>
    <row r="11814" spans="59:62" x14ac:dyDescent="0.3">
      <c r="BG11814" s="387"/>
      <c r="BH11814" s="386"/>
      <c r="BI11814" s="386"/>
      <c r="BJ11814" s="46"/>
    </row>
    <row r="11815" spans="59:62" x14ac:dyDescent="0.3">
      <c r="BG11815" s="387"/>
      <c r="BH11815" s="386"/>
      <c r="BI11815" s="386"/>
      <c r="BJ11815" s="46"/>
    </row>
    <row r="11816" spans="59:62" x14ac:dyDescent="0.3">
      <c r="BG11816" s="387"/>
      <c r="BH11816" s="386"/>
      <c r="BI11816" s="386"/>
      <c r="BJ11816" s="46"/>
    </row>
    <row r="11817" spans="59:62" x14ac:dyDescent="0.3">
      <c r="BG11817" s="387"/>
      <c r="BH11817" s="386"/>
      <c r="BI11817" s="386"/>
      <c r="BJ11817" s="46"/>
    </row>
    <row r="11818" spans="59:62" x14ac:dyDescent="0.3">
      <c r="BG11818" s="387"/>
      <c r="BH11818" s="386"/>
      <c r="BI11818" s="386"/>
      <c r="BJ11818" s="46"/>
    </row>
    <row r="11819" spans="59:62" x14ac:dyDescent="0.3">
      <c r="BG11819" s="387"/>
      <c r="BH11819" s="386"/>
      <c r="BI11819" s="386"/>
      <c r="BJ11819" s="46"/>
    </row>
    <row r="11820" spans="59:62" x14ac:dyDescent="0.3">
      <c r="BG11820" s="387"/>
      <c r="BH11820" s="386"/>
      <c r="BI11820" s="386"/>
      <c r="BJ11820" s="46"/>
    </row>
    <row r="11821" spans="59:62" x14ac:dyDescent="0.3">
      <c r="BG11821" s="387"/>
      <c r="BH11821" s="386"/>
      <c r="BI11821" s="386"/>
      <c r="BJ11821" s="46"/>
    </row>
    <row r="11822" spans="59:62" x14ac:dyDescent="0.3">
      <c r="BG11822" s="387"/>
      <c r="BH11822" s="386"/>
      <c r="BI11822" s="386"/>
      <c r="BJ11822" s="46"/>
    </row>
    <row r="11823" spans="59:62" x14ac:dyDescent="0.3">
      <c r="BG11823" s="387"/>
      <c r="BH11823" s="386"/>
      <c r="BI11823" s="386"/>
      <c r="BJ11823" s="46"/>
    </row>
    <row r="11824" spans="59:62" x14ac:dyDescent="0.3">
      <c r="BG11824" s="387"/>
      <c r="BH11824" s="386"/>
      <c r="BI11824" s="386"/>
      <c r="BJ11824" s="46"/>
    </row>
    <row r="11825" spans="59:62" x14ac:dyDescent="0.3">
      <c r="BG11825" s="387"/>
      <c r="BH11825" s="386"/>
      <c r="BI11825" s="386"/>
      <c r="BJ11825" s="46"/>
    </row>
    <row r="11826" spans="59:62" x14ac:dyDescent="0.3">
      <c r="BG11826" s="387"/>
      <c r="BH11826" s="386"/>
      <c r="BI11826" s="386"/>
      <c r="BJ11826" s="46"/>
    </row>
    <row r="11827" spans="59:62" x14ac:dyDescent="0.3">
      <c r="BG11827" s="387"/>
      <c r="BH11827" s="386"/>
      <c r="BI11827" s="386"/>
      <c r="BJ11827" s="46"/>
    </row>
    <row r="11828" spans="59:62" x14ac:dyDescent="0.3">
      <c r="BG11828" s="387"/>
      <c r="BH11828" s="386"/>
      <c r="BI11828" s="386"/>
      <c r="BJ11828" s="46"/>
    </row>
    <row r="11829" spans="59:62" x14ac:dyDescent="0.3">
      <c r="BG11829" s="387"/>
      <c r="BH11829" s="386"/>
      <c r="BI11829" s="386"/>
      <c r="BJ11829" s="46"/>
    </row>
    <row r="11830" spans="59:62" x14ac:dyDescent="0.3">
      <c r="BG11830" s="387"/>
      <c r="BH11830" s="386"/>
      <c r="BI11830" s="386"/>
      <c r="BJ11830" s="46"/>
    </row>
    <row r="11831" spans="59:62" x14ac:dyDescent="0.3">
      <c r="BG11831" s="387"/>
      <c r="BH11831" s="386"/>
      <c r="BI11831" s="386"/>
      <c r="BJ11831" s="46"/>
    </row>
    <row r="11832" spans="59:62" x14ac:dyDescent="0.3">
      <c r="BG11832" s="387"/>
      <c r="BH11832" s="386"/>
      <c r="BI11832" s="386"/>
      <c r="BJ11832" s="46"/>
    </row>
    <row r="11833" spans="59:62" x14ac:dyDescent="0.3">
      <c r="BG11833" s="387"/>
      <c r="BH11833" s="386"/>
      <c r="BI11833" s="386"/>
      <c r="BJ11833" s="46"/>
    </row>
    <row r="11834" spans="59:62" x14ac:dyDescent="0.3">
      <c r="BG11834" s="387"/>
      <c r="BH11834" s="386"/>
      <c r="BI11834" s="386"/>
      <c r="BJ11834" s="46"/>
    </row>
    <row r="11835" spans="59:62" x14ac:dyDescent="0.3">
      <c r="BG11835" s="387"/>
      <c r="BH11835" s="386"/>
      <c r="BI11835" s="386"/>
      <c r="BJ11835" s="46"/>
    </row>
    <row r="11836" spans="59:62" x14ac:dyDescent="0.3">
      <c r="BG11836" s="387"/>
      <c r="BH11836" s="386"/>
      <c r="BI11836" s="386"/>
      <c r="BJ11836" s="46"/>
    </row>
    <row r="11837" spans="59:62" x14ac:dyDescent="0.3">
      <c r="BG11837" s="387"/>
      <c r="BH11837" s="386"/>
      <c r="BI11837" s="386"/>
      <c r="BJ11837" s="46"/>
    </row>
    <row r="11838" spans="59:62" x14ac:dyDescent="0.3">
      <c r="BG11838" s="387"/>
      <c r="BH11838" s="386"/>
      <c r="BI11838" s="386"/>
      <c r="BJ11838" s="46"/>
    </row>
    <row r="11839" spans="59:62" x14ac:dyDescent="0.3">
      <c r="BG11839" s="387"/>
      <c r="BH11839" s="386"/>
      <c r="BI11839" s="386"/>
      <c r="BJ11839" s="46"/>
    </row>
    <row r="11840" spans="59:62" x14ac:dyDescent="0.3">
      <c r="BG11840" s="387"/>
      <c r="BH11840" s="386"/>
      <c r="BI11840" s="386"/>
      <c r="BJ11840" s="46"/>
    </row>
    <row r="11841" spans="59:62" x14ac:dyDescent="0.3">
      <c r="BG11841" s="387"/>
      <c r="BH11841" s="386"/>
      <c r="BI11841" s="386"/>
      <c r="BJ11841" s="46"/>
    </row>
    <row r="11842" spans="59:62" x14ac:dyDescent="0.3">
      <c r="BG11842" s="387"/>
      <c r="BH11842" s="386"/>
      <c r="BI11842" s="386"/>
      <c r="BJ11842" s="46"/>
    </row>
    <row r="11843" spans="59:62" x14ac:dyDescent="0.3">
      <c r="BG11843" s="387"/>
      <c r="BH11843" s="386"/>
      <c r="BI11843" s="386"/>
      <c r="BJ11843" s="46"/>
    </row>
    <row r="11844" spans="59:62" x14ac:dyDescent="0.3">
      <c r="BG11844" s="387"/>
      <c r="BH11844" s="386"/>
      <c r="BI11844" s="386"/>
      <c r="BJ11844" s="46"/>
    </row>
    <row r="11845" spans="59:62" x14ac:dyDescent="0.3">
      <c r="BG11845" s="387"/>
      <c r="BH11845" s="386"/>
      <c r="BI11845" s="386"/>
      <c r="BJ11845" s="46"/>
    </row>
    <row r="11846" spans="59:62" x14ac:dyDescent="0.3">
      <c r="BG11846" s="387"/>
      <c r="BH11846" s="386"/>
      <c r="BI11846" s="386"/>
      <c r="BJ11846" s="46"/>
    </row>
    <row r="11847" spans="59:62" x14ac:dyDescent="0.3">
      <c r="BG11847" s="387"/>
      <c r="BH11847" s="386"/>
      <c r="BI11847" s="386"/>
      <c r="BJ11847" s="46"/>
    </row>
    <row r="11848" spans="59:62" x14ac:dyDescent="0.3">
      <c r="BG11848" s="387"/>
      <c r="BH11848" s="386"/>
      <c r="BI11848" s="386"/>
      <c r="BJ11848" s="46"/>
    </row>
    <row r="11849" spans="59:62" x14ac:dyDescent="0.3">
      <c r="BG11849" s="387"/>
      <c r="BH11849" s="386"/>
      <c r="BI11849" s="386"/>
      <c r="BJ11849" s="46"/>
    </row>
    <row r="11850" spans="59:62" x14ac:dyDescent="0.3">
      <c r="BG11850" s="387"/>
      <c r="BH11850" s="386"/>
      <c r="BI11850" s="386"/>
      <c r="BJ11850" s="46"/>
    </row>
    <row r="11851" spans="59:62" x14ac:dyDescent="0.3">
      <c r="BG11851" s="387"/>
      <c r="BH11851" s="386"/>
      <c r="BI11851" s="386"/>
      <c r="BJ11851" s="46"/>
    </row>
    <row r="11852" spans="59:62" x14ac:dyDescent="0.3">
      <c r="BG11852" s="387"/>
      <c r="BH11852" s="386"/>
      <c r="BI11852" s="386"/>
      <c r="BJ11852" s="46"/>
    </row>
    <row r="11853" spans="59:62" x14ac:dyDescent="0.3">
      <c r="BG11853" s="387"/>
      <c r="BH11853" s="386"/>
      <c r="BI11853" s="386"/>
      <c r="BJ11853" s="46"/>
    </row>
    <row r="11854" spans="59:62" x14ac:dyDescent="0.3">
      <c r="BG11854" s="387"/>
      <c r="BH11854" s="386"/>
      <c r="BI11854" s="386"/>
      <c r="BJ11854" s="46"/>
    </row>
    <row r="11855" spans="59:62" x14ac:dyDescent="0.3">
      <c r="BG11855" s="387"/>
      <c r="BH11855" s="386"/>
      <c r="BI11855" s="386"/>
      <c r="BJ11855" s="46"/>
    </row>
    <row r="11856" spans="59:62" x14ac:dyDescent="0.3">
      <c r="BG11856" s="387"/>
      <c r="BH11856" s="386"/>
      <c r="BI11856" s="386"/>
      <c r="BJ11856" s="46"/>
    </row>
    <row r="11857" spans="59:62" x14ac:dyDescent="0.3">
      <c r="BG11857" s="387"/>
      <c r="BH11857" s="386"/>
      <c r="BI11857" s="386"/>
      <c r="BJ11857" s="46"/>
    </row>
    <row r="11858" spans="59:62" x14ac:dyDescent="0.3">
      <c r="BG11858" s="387"/>
      <c r="BH11858" s="386"/>
      <c r="BI11858" s="386"/>
      <c r="BJ11858" s="46"/>
    </row>
    <row r="11859" spans="59:62" x14ac:dyDescent="0.3">
      <c r="BG11859" s="387"/>
      <c r="BH11859" s="386"/>
      <c r="BI11859" s="386"/>
      <c r="BJ11859" s="46"/>
    </row>
    <row r="11860" spans="59:62" x14ac:dyDescent="0.3">
      <c r="BG11860" s="387"/>
      <c r="BH11860" s="386"/>
      <c r="BI11860" s="386"/>
      <c r="BJ11860" s="46"/>
    </row>
    <row r="11861" spans="59:62" x14ac:dyDescent="0.3">
      <c r="BG11861" s="387"/>
      <c r="BH11861" s="386"/>
      <c r="BI11861" s="386"/>
      <c r="BJ11861" s="46"/>
    </row>
    <row r="11862" spans="59:62" x14ac:dyDescent="0.3">
      <c r="BG11862" s="387"/>
      <c r="BH11862" s="386"/>
      <c r="BI11862" s="386"/>
      <c r="BJ11862" s="46"/>
    </row>
    <row r="11863" spans="59:62" x14ac:dyDescent="0.3">
      <c r="BG11863" s="387"/>
      <c r="BH11863" s="386"/>
      <c r="BI11863" s="386"/>
      <c r="BJ11863" s="46"/>
    </row>
    <row r="11864" spans="59:62" x14ac:dyDescent="0.3">
      <c r="BG11864" s="387"/>
      <c r="BH11864" s="386"/>
      <c r="BI11864" s="386"/>
      <c r="BJ11864" s="46"/>
    </row>
    <row r="11865" spans="59:62" x14ac:dyDescent="0.3">
      <c r="BG11865" s="387"/>
      <c r="BH11865" s="386"/>
      <c r="BI11865" s="386"/>
      <c r="BJ11865" s="46"/>
    </row>
    <row r="11866" spans="59:62" x14ac:dyDescent="0.3">
      <c r="BG11866" s="387"/>
      <c r="BH11866" s="386"/>
      <c r="BI11866" s="386"/>
      <c r="BJ11866" s="46"/>
    </row>
    <row r="11867" spans="59:62" x14ac:dyDescent="0.3">
      <c r="BG11867" s="387"/>
      <c r="BH11867" s="386"/>
      <c r="BI11867" s="386"/>
      <c r="BJ11867" s="46"/>
    </row>
    <row r="11868" spans="59:62" x14ac:dyDescent="0.3">
      <c r="BG11868" s="387"/>
      <c r="BH11868" s="386"/>
      <c r="BI11868" s="386"/>
      <c r="BJ11868" s="46"/>
    </row>
    <row r="11869" spans="59:62" x14ac:dyDescent="0.3">
      <c r="BG11869" s="387"/>
      <c r="BH11869" s="386"/>
      <c r="BI11869" s="386"/>
      <c r="BJ11869" s="46"/>
    </row>
    <row r="11870" spans="59:62" x14ac:dyDescent="0.3">
      <c r="BG11870" s="387"/>
      <c r="BH11870" s="386"/>
      <c r="BI11870" s="386"/>
      <c r="BJ11870" s="46"/>
    </row>
    <row r="11871" spans="59:62" x14ac:dyDescent="0.3">
      <c r="BG11871" s="387"/>
      <c r="BH11871" s="386"/>
      <c r="BI11871" s="386"/>
      <c r="BJ11871" s="46"/>
    </row>
    <row r="11872" spans="59:62" x14ac:dyDescent="0.3">
      <c r="BG11872" s="387"/>
      <c r="BH11872" s="386"/>
      <c r="BI11872" s="386"/>
      <c r="BJ11872" s="46"/>
    </row>
    <row r="11873" spans="59:62" x14ac:dyDescent="0.3">
      <c r="BG11873" s="387"/>
      <c r="BH11873" s="386"/>
      <c r="BI11873" s="386"/>
      <c r="BJ11873" s="46"/>
    </row>
    <row r="11874" spans="59:62" x14ac:dyDescent="0.3">
      <c r="BG11874" s="387"/>
      <c r="BH11874" s="386"/>
      <c r="BI11874" s="386"/>
      <c r="BJ11874" s="46"/>
    </row>
    <row r="11875" spans="59:62" x14ac:dyDescent="0.3">
      <c r="BG11875" s="387"/>
      <c r="BH11875" s="386"/>
      <c r="BI11875" s="386"/>
      <c r="BJ11875" s="46"/>
    </row>
    <row r="11876" spans="59:62" x14ac:dyDescent="0.3">
      <c r="BG11876" s="387"/>
      <c r="BH11876" s="386"/>
      <c r="BI11876" s="386"/>
      <c r="BJ11876" s="46"/>
    </row>
    <row r="11877" spans="59:62" x14ac:dyDescent="0.3">
      <c r="BG11877" s="387"/>
      <c r="BH11877" s="386"/>
      <c r="BI11877" s="386"/>
      <c r="BJ11877" s="46"/>
    </row>
    <row r="11878" spans="59:62" x14ac:dyDescent="0.3">
      <c r="BG11878" s="387"/>
      <c r="BH11878" s="386"/>
      <c r="BI11878" s="386"/>
      <c r="BJ11878" s="46"/>
    </row>
    <row r="11879" spans="59:62" x14ac:dyDescent="0.3">
      <c r="BG11879" s="387"/>
      <c r="BH11879" s="386"/>
      <c r="BI11879" s="386"/>
      <c r="BJ11879" s="46"/>
    </row>
    <row r="11880" spans="59:62" x14ac:dyDescent="0.3">
      <c r="BG11880" s="387"/>
      <c r="BH11880" s="386"/>
      <c r="BI11880" s="386"/>
      <c r="BJ11880" s="46"/>
    </row>
    <row r="11881" spans="59:62" x14ac:dyDescent="0.3">
      <c r="BG11881" s="387"/>
      <c r="BH11881" s="386"/>
      <c r="BI11881" s="386"/>
      <c r="BJ11881" s="46"/>
    </row>
    <row r="11882" spans="59:62" x14ac:dyDescent="0.3">
      <c r="BG11882" s="387"/>
      <c r="BH11882" s="386"/>
      <c r="BI11882" s="386"/>
      <c r="BJ11882" s="46"/>
    </row>
    <row r="11883" spans="59:62" x14ac:dyDescent="0.3">
      <c r="BG11883" s="387"/>
      <c r="BH11883" s="386"/>
      <c r="BI11883" s="386"/>
      <c r="BJ11883" s="46"/>
    </row>
    <row r="11884" spans="59:62" x14ac:dyDescent="0.3">
      <c r="BG11884" s="387"/>
      <c r="BH11884" s="386"/>
      <c r="BI11884" s="386"/>
      <c r="BJ11884" s="46"/>
    </row>
    <row r="11885" spans="59:62" x14ac:dyDescent="0.3">
      <c r="BG11885" s="387"/>
      <c r="BH11885" s="386"/>
      <c r="BI11885" s="386"/>
      <c r="BJ11885" s="46"/>
    </row>
    <row r="11886" spans="59:62" x14ac:dyDescent="0.3">
      <c r="BG11886" s="387"/>
      <c r="BH11886" s="386"/>
      <c r="BI11886" s="386"/>
      <c r="BJ11886" s="46"/>
    </row>
    <row r="11887" spans="59:62" x14ac:dyDescent="0.3">
      <c r="BG11887" s="387"/>
      <c r="BH11887" s="386"/>
      <c r="BI11887" s="386"/>
      <c r="BJ11887" s="46"/>
    </row>
    <row r="11888" spans="59:62" x14ac:dyDescent="0.3">
      <c r="BG11888" s="387"/>
      <c r="BH11888" s="386"/>
      <c r="BI11888" s="386"/>
      <c r="BJ11888" s="46"/>
    </row>
    <row r="11889" spans="59:62" x14ac:dyDescent="0.3">
      <c r="BG11889" s="387"/>
      <c r="BH11889" s="386"/>
      <c r="BI11889" s="386"/>
      <c r="BJ11889" s="46"/>
    </row>
    <row r="11890" spans="59:62" x14ac:dyDescent="0.3">
      <c r="BG11890" s="387"/>
      <c r="BH11890" s="386"/>
      <c r="BI11890" s="386"/>
      <c r="BJ11890" s="46"/>
    </row>
    <row r="11891" spans="59:62" x14ac:dyDescent="0.3">
      <c r="BG11891" s="387"/>
      <c r="BH11891" s="386"/>
      <c r="BI11891" s="386"/>
      <c r="BJ11891" s="46"/>
    </row>
    <row r="11892" spans="59:62" x14ac:dyDescent="0.3">
      <c r="BG11892" s="387"/>
      <c r="BH11892" s="386"/>
      <c r="BI11892" s="386"/>
      <c r="BJ11892" s="46"/>
    </row>
    <row r="11893" spans="59:62" x14ac:dyDescent="0.3">
      <c r="BG11893" s="387"/>
      <c r="BH11893" s="386"/>
      <c r="BI11893" s="386"/>
      <c r="BJ11893" s="46"/>
    </row>
    <row r="11894" spans="59:62" x14ac:dyDescent="0.3">
      <c r="BG11894" s="387"/>
      <c r="BH11894" s="386"/>
      <c r="BI11894" s="386"/>
      <c r="BJ11894" s="46"/>
    </row>
    <row r="11895" spans="59:62" x14ac:dyDescent="0.3">
      <c r="BG11895" s="387"/>
      <c r="BH11895" s="386"/>
      <c r="BI11895" s="386"/>
      <c r="BJ11895" s="46"/>
    </row>
    <row r="11896" spans="59:62" x14ac:dyDescent="0.3">
      <c r="BG11896" s="387"/>
      <c r="BH11896" s="386"/>
      <c r="BI11896" s="386"/>
      <c r="BJ11896" s="46"/>
    </row>
    <row r="11897" spans="59:62" x14ac:dyDescent="0.3">
      <c r="BG11897" s="387"/>
      <c r="BH11897" s="386"/>
      <c r="BI11897" s="386"/>
      <c r="BJ11897" s="46"/>
    </row>
    <row r="11898" spans="59:62" x14ac:dyDescent="0.3">
      <c r="BG11898" s="387"/>
      <c r="BH11898" s="386"/>
      <c r="BI11898" s="386"/>
      <c r="BJ11898" s="46"/>
    </row>
    <row r="11899" spans="59:62" x14ac:dyDescent="0.3">
      <c r="BG11899" s="387"/>
      <c r="BH11899" s="386"/>
      <c r="BI11899" s="386"/>
      <c r="BJ11899" s="46"/>
    </row>
    <row r="11900" spans="59:62" x14ac:dyDescent="0.3">
      <c r="BG11900" s="387"/>
      <c r="BH11900" s="386"/>
      <c r="BI11900" s="386"/>
      <c r="BJ11900" s="46"/>
    </row>
    <row r="11901" spans="59:62" x14ac:dyDescent="0.3">
      <c r="BG11901" s="387"/>
      <c r="BH11901" s="386"/>
      <c r="BI11901" s="386"/>
      <c r="BJ11901" s="46"/>
    </row>
    <row r="11902" spans="59:62" x14ac:dyDescent="0.3">
      <c r="BG11902" s="387"/>
      <c r="BH11902" s="386"/>
      <c r="BI11902" s="386"/>
      <c r="BJ11902" s="46"/>
    </row>
    <row r="11903" spans="59:62" x14ac:dyDescent="0.3">
      <c r="BG11903" s="387"/>
      <c r="BH11903" s="386"/>
      <c r="BI11903" s="386"/>
      <c r="BJ11903" s="46"/>
    </row>
    <row r="11904" spans="59:62" x14ac:dyDescent="0.3">
      <c r="BG11904" s="387"/>
      <c r="BH11904" s="386"/>
      <c r="BI11904" s="386"/>
      <c r="BJ11904" s="46"/>
    </row>
    <row r="11905" spans="59:62" x14ac:dyDescent="0.3">
      <c r="BG11905" s="387"/>
      <c r="BH11905" s="386"/>
      <c r="BI11905" s="386"/>
      <c r="BJ11905" s="46"/>
    </row>
    <row r="11906" spans="59:62" x14ac:dyDescent="0.3">
      <c r="BG11906" s="387"/>
      <c r="BH11906" s="386"/>
      <c r="BI11906" s="386"/>
      <c r="BJ11906" s="46"/>
    </row>
    <row r="11907" spans="59:62" x14ac:dyDescent="0.3">
      <c r="BG11907" s="387"/>
      <c r="BH11907" s="386"/>
      <c r="BI11907" s="386"/>
      <c r="BJ11907" s="46"/>
    </row>
    <row r="11908" spans="59:62" x14ac:dyDescent="0.3">
      <c r="BG11908" s="387"/>
      <c r="BH11908" s="386"/>
      <c r="BI11908" s="386"/>
      <c r="BJ11908" s="46"/>
    </row>
    <row r="11909" spans="59:62" x14ac:dyDescent="0.3">
      <c r="BG11909" s="387"/>
      <c r="BH11909" s="386"/>
      <c r="BI11909" s="386"/>
      <c r="BJ11909" s="46"/>
    </row>
    <row r="11910" spans="59:62" x14ac:dyDescent="0.3">
      <c r="BG11910" s="387"/>
      <c r="BH11910" s="386"/>
      <c r="BI11910" s="386"/>
      <c r="BJ11910" s="46"/>
    </row>
    <row r="11911" spans="59:62" x14ac:dyDescent="0.3">
      <c r="BG11911" s="387"/>
      <c r="BH11911" s="386"/>
      <c r="BI11911" s="386"/>
      <c r="BJ11911" s="46"/>
    </row>
    <row r="11912" spans="59:62" x14ac:dyDescent="0.3">
      <c r="BG11912" s="387"/>
      <c r="BH11912" s="386"/>
      <c r="BI11912" s="386"/>
      <c r="BJ11912" s="46"/>
    </row>
    <row r="11913" spans="59:62" x14ac:dyDescent="0.3">
      <c r="BG11913" s="387"/>
      <c r="BH11913" s="386"/>
      <c r="BI11913" s="386"/>
      <c r="BJ11913" s="46"/>
    </row>
    <row r="11914" spans="59:62" x14ac:dyDescent="0.3">
      <c r="BG11914" s="387"/>
      <c r="BH11914" s="386"/>
      <c r="BI11914" s="386"/>
      <c r="BJ11914" s="46"/>
    </row>
    <row r="11915" spans="59:62" x14ac:dyDescent="0.3">
      <c r="BG11915" s="387"/>
      <c r="BH11915" s="386"/>
      <c r="BI11915" s="386"/>
      <c r="BJ11915" s="46"/>
    </row>
    <row r="11916" spans="59:62" x14ac:dyDescent="0.3">
      <c r="BG11916" s="387"/>
      <c r="BH11916" s="386"/>
      <c r="BI11916" s="386"/>
      <c r="BJ11916" s="46"/>
    </row>
    <row r="11917" spans="59:62" x14ac:dyDescent="0.3">
      <c r="BG11917" s="387"/>
      <c r="BH11917" s="386"/>
      <c r="BI11917" s="386"/>
      <c r="BJ11917" s="46"/>
    </row>
    <row r="11918" spans="59:62" x14ac:dyDescent="0.3">
      <c r="BG11918" s="387"/>
      <c r="BH11918" s="386"/>
      <c r="BI11918" s="386"/>
      <c r="BJ11918" s="46"/>
    </row>
    <row r="11919" spans="59:62" x14ac:dyDescent="0.3">
      <c r="BG11919" s="387"/>
      <c r="BH11919" s="386"/>
      <c r="BI11919" s="386"/>
      <c r="BJ11919" s="46"/>
    </row>
    <row r="11920" spans="59:62" x14ac:dyDescent="0.3">
      <c r="BG11920" s="387"/>
      <c r="BH11920" s="386"/>
      <c r="BI11920" s="386"/>
      <c r="BJ11920" s="46"/>
    </row>
    <row r="11921" spans="59:62" x14ac:dyDescent="0.3">
      <c r="BG11921" s="387"/>
      <c r="BH11921" s="386"/>
      <c r="BI11921" s="386"/>
      <c r="BJ11921" s="46"/>
    </row>
    <row r="11922" spans="59:62" x14ac:dyDescent="0.3">
      <c r="BG11922" s="387"/>
      <c r="BH11922" s="386"/>
      <c r="BI11922" s="386"/>
      <c r="BJ11922" s="46"/>
    </row>
    <row r="11923" spans="59:62" x14ac:dyDescent="0.3">
      <c r="BG11923" s="387"/>
      <c r="BH11923" s="386"/>
      <c r="BI11923" s="386"/>
      <c r="BJ11923" s="46"/>
    </row>
    <row r="11924" spans="59:62" x14ac:dyDescent="0.3">
      <c r="BG11924" s="387"/>
      <c r="BH11924" s="386"/>
      <c r="BI11924" s="386"/>
      <c r="BJ11924" s="46"/>
    </row>
    <row r="11925" spans="59:62" x14ac:dyDescent="0.3">
      <c r="BG11925" s="387"/>
      <c r="BH11925" s="386"/>
      <c r="BI11925" s="386"/>
      <c r="BJ11925" s="46"/>
    </row>
    <row r="11926" spans="59:62" x14ac:dyDescent="0.3">
      <c r="BG11926" s="387"/>
      <c r="BH11926" s="386"/>
      <c r="BI11926" s="386"/>
      <c r="BJ11926" s="46"/>
    </row>
    <row r="11927" spans="59:62" x14ac:dyDescent="0.3">
      <c r="BG11927" s="387"/>
      <c r="BH11927" s="386"/>
      <c r="BI11927" s="386"/>
      <c r="BJ11927" s="46"/>
    </row>
    <row r="11928" spans="59:62" x14ac:dyDescent="0.3">
      <c r="BG11928" s="387"/>
      <c r="BH11928" s="386"/>
      <c r="BI11928" s="386"/>
      <c r="BJ11928" s="46"/>
    </row>
    <row r="11929" spans="59:62" x14ac:dyDescent="0.3">
      <c r="BG11929" s="387"/>
      <c r="BH11929" s="386"/>
      <c r="BI11929" s="386"/>
      <c r="BJ11929" s="46"/>
    </row>
    <row r="11930" spans="59:62" x14ac:dyDescent="0.3">
      <c r="BG11930" s="387"/>
      <c r="BH11930" s="386"/>
      <c r="BI11930" s="386"/>
      <c r="BJ11930" s="46"/>
    </row>
    <row r="11931" spans="59:62" x14ac:dyDescent="0.3">
      <c r="BG11931" s="387"/>
      <c r="BH11931" s="386"/>
      <c r="BI11931" s="386"/>
      <c r="BJ11931" s="46"/>
    </row>
    <row r="11932" spans="59:62" x14ac:dyDescent="0.3">
      <c r="BG11932" s="387"/>
      <c r="BH11932" s="386"/>
      <c r="BI11932" s="386"/>
      <c r="BJ11932" s="46"/>
    </row>
    <row r="11933" spans="59:62" x14ac:dyDescent="0.3">
      <c r="BG11933" s="387"/>
      <c r="BH11933" s="386"/>
      <c r="BI11933" s="386"/>
      <c r="BJ11933" s="46"/>
    </row>
    <row r="11934" spans="59:62" x14ac:dyDescent="0.3">
      <c r="BG11934" s="387"/>
      <c r="BH11934" s="386"/>
      <c r="BI11934" s="386"/>
      <c r="BJ11934" s="46"/>
    </row>
    <row r="11935" spans="59:62" x14ac:dyDescent="0.3">
      <c r="BG11935" s="387"/>
      <c r="BH11935" s="386"/>
      <c r="BI11935" s="386"/>
      <c r="BJ11935" s="46"/>
    </row>
    <row r="11936" spans="59:62" x14ac:dyDescent="0.3">
      <c r="BG11936" s="387"/>
      <c r="BH11936" s="386"/>
      <c r="BI11936" s="386"/>
      <c r="BJ11936" s="46"/>
    </row>
    <row r="11937" spans="59:62" x14ac:dyDescent="0.3">
      <c r="BG11937" s="387"/>
      <c r="BH11937" s="386"/>
      <c r="BI11937" s="386"/>
      <c r="BJ11937" s="46"/>
    </row>
    <row r="11938" spans="59:62" x14ac:dyDescent="0.3">
      <c r="BG11938" s="387"/>
      <c r="BH11938" s="386"/>
      <c r="BI11938" s="386"/>
      <c r="BJ11938" s="46"/>
    </row>
    <row r="11939" spans="59:62" x14ac:dyDescent="0.3">
      <c r="BG11939" s="387"/>
      <c r="BH11939" s="386"/>
      <c r="BI11939" s="386"/>
      <c r="BJ11939" s="46"/>
    </row>
    <row r="11940" spans="59:62" x14ac:dyDescent="0.3">
      <c r="BG11940" s="387"/>
      <c r="BH11940" s="386"/>
      <c r="BI11940" s="386"/>
      <c r="BJ11940" s="46"/>
    </row>
    <row r="11941" spans="59:62" x14ac:dyDescent="0.3">
      <c r="BG11941" s="387"/>
      <c r="BH11941" s="386"/>
      <c r="BI11941" s="386"/>
      <c r="BJ11941" s="46"/>
    </row>
    <row r="11942" spans="59:62" x14ac:dyDescent="0.3">
      <c r="BG11942" s="387"/>
      <c r="BH11942" s="386"/>
      <c r="BI11942" s="386"/>
      <c r="BJ11942" s="46"/>
    </row>
    <row r="11943" spans="59:62" x14ac:dyDescent="0.3">
      <c r="BG11943" s="387"/>
      <c r="BH11943" s="386"/>
      <c r="BI11943" s="386"/>
      <c r="BJ11943" s="46"/>
    </row>
    <row r="11944" spans="59:62" x14ac:dyDescent="0.3">
      <c r="BG11944" s="387"/>
      <c r="BH11944" s="386"/>
      <c r="BI11944" s="386"/>
      <c r="BJ11944" s="46"/>
    </row>
    <row r="11945" spans="59:62" x14ac:dyDescent="0.3">
      <c r="BG11945" s="387"/>
      <c r="BH11945" s="386"/>
      <c r="BI11945" s="386"/>
      <c r="BJ11945" s="46"/>
    </row>
    <row r="11946" spans="59:62" x14ac:dyDescent="0.3">
      <c r="BG11946" s="387"/>
      <c r="BH11946" s="386"/>
      <c r="BI11946" s="386"/>
      <c r="BJ11946" s="46"/>
    </row>
    <row r="11947" spans="59:62" x14ac:dyDescent="0.3">
      <c r="BG11947" s="387"/>
      <c r="BH11947" s="386"/>
      <c r="BI11947" s="386"/>
      <c r="BJ11947" s="46"/>
    </row>
    <row r="11948" spans="59:62" x14ac:dyDescent="0.3">
      <c r="BG11948" s="387"/>
      <c r="BH11948" s="386"/>
      <c r="BI11948" s="386"/>
      <c r="BJ11948" s="46"/>
    </row>
    <row r="11949" spans="59:62" x14ac:dyDescent="0.3">
      <c r="BG11949" s="387"/>
      <c r="BH11949" s="386"/>
      <c r="BI11949" s="386"/>
      <c r="BJ11949" s="46"/>
    </row>
    <row r="11950" spans="59:62" x14ac:dyDescent="0.3">
      <c r="BG11950" s="387"/>
      <c r="BH11950" s="386"/>
      <c r="BI11950" s="386"/>
      <c r="BJ11950" s="46"/>
    </row>
    <row r="11951" spans="59:62" x14ac:dyDescent="0.3">
      <c r="BG11951" s="387"/>
      <c r="BH11951" s="386"/>
      <c r="BI11951" s="386"/>
      <c r="BJ11951" s="46"/>
    </row>
    <row r="11952" spans="59:62" x14ac:dyDescent="0.3">
      <c r="BG11952" s="387"/>
      <c r="BH11952" s="386"/>
      <c r="BI11952" s="386"/>
      <c r="BJ11952" s="46"/>
    </row>
    <row r="11953" spans="59:62" x14ac:dyDescent="0.3">
      <c r="BG11953" s="387"/>
      <c r="BH11953" s="386"/>
      <c r="BI11953" s="386"/>
      <c r="BJ11953" s="46"/>
    </row>
    <row r="11954" spans="59:62" x14ac:dyDescent="0.3">
      <c r="BG11954" s="387"/>
      <c r="BH11954" s="386"/>
      <c r="BI11954" s="386"/>
      <c r="BJ11954" s="46"/>
    </row>
    <row r="11955" spans="59:62" x14ac:dyDescent="0.3">
      <c r="BG11955" s="387"/>
      <c r="BH11955" s="386"/>
      <c r="BI11955" s="386"/>
      <c r="BJ11955" s="46"/>
    </row>
    <row r="11956" spans="59:62" x14ac:dyDescent="0.3">
      <c r="BG11956" s="387"/>
      <c r="BH11956" s="386"/>
      <c r="BI11956" s="386"/>
      <c r="BJ11956" s="46"/>
    </row>
    <row r="11957" spans="59:62" x14ac:dyDescent="0.3">
      <c r="BG11957" s="387"/>
      <c r="BH11957" s="386"/>
      <c r="BI11957" s="386"/>
      <c r="BJ11957" s="46"/>
    </row>
    <row r="11958" spans="59:62" x14ac:dyDescent="0.3">
      <c r="BG11958" s="387"/>
      <c r="BH11958" s="386"/>
      <c r="BI11958" s="386"/>
      <c r="BJ11958" s="46"/>
    </row>
    <row r="11959" spans="59:62" x14ac:dyDescent="0.3">
      <c r="BG11959" s="387"/>
      <c r="BH11959" s="386"/>
      <c r="BI11959" s="386"/>
      <c r="BJ11959" s="46"/>
    </row>
    <row r="11960" spans="59:62" x14ac:dyDescent="0.3">
      <c r="BG11960" s="387"/>
      <c r="BH11960" s="386"/>
      <c r="BI11960" s="386"/>
      <c r="BJ11960" s="46"/>
    </row>
    <row r="11961" spans="59:62" x14ac:dyDescent="0.3">
      <c r="BG11961" s="387"/>
      <c r="BH11961" s="386"/>
      <c r="BI11961" s="386"/>
      <c r="BJ11961" s="46"/>
    </row>
    <row r="11962" spans="59:62" x14ac:dyDescent="0.3">
      <c r="BG11962" s="387"/>
      <c r="BH11962" s="386"/>
      <c r="BI11962" s="386"/>
      <c r="BJ11962" s="46"/>
    </row>
    <row r="11963" spans="59:62" x14ac:dyDescent="0.3">
      <c r="BG11963" s="387"/>
      <c r="BH11963" s="386"/>
      <c r="BI11963" s="386"/>
      <c r="BJ11963" s="46"/>
    </row>
    <row r="11964" spans="59:62" x14ac:dyDescent="0.3">
      <c r="BG11964" s="387"/>
      <c r="BH11964" s="386"/>
      <c r="BI11964" s="386"/>
      <c r="BJ11964" s="46"/>
    </row>
    <row r="11965" spans="59:62" x14ac:dyDescent="0.3">
      <c r="BG11965" s="387"/>
      <c r="BH11965" s="386"/>
      <c r="BI11965" s="386"/>
      <c r="BJ11965" s="46"/>
    </row>
    <row r="11966" spans="59:62" x14ac:dyDescent="0.3">
      <c r="BG11966" s="387"/>
      <c r="BH11966" s="386"/>
      <c r="BI11966" s="386"/>
      <c r="BJ11966" s="46"/>
    </row>
    <row r="11967" spans="59:62" x14ac:dyDescent="0.3">
      <c r="BG11967" s="387"/>
      <c r="BH11967" s="386"/>
      <c r="BI11967" s="386"/>
      <c r="BJ11967" s="46"/>
    </row>
    <row r="11968" spans="59:62" x14ac:dyDescent="0.3">
      <c r="BG11968" s="387"/>
      <c r="BH11968" s="386"/>
      <c r="BI11968" s="386"/>
      <c r="BJ11968" s="46"/>
    </row>
    <row r="11969" spans="59:62" x14ac:dyDescent="0.3">
      <c r="BG11969" s="387"/>
      <c r="BH11969" s="386"/>
      <c r="BI11969" s="386"/>
      <c r="BJ11969" s="46"/>
    </row>
    <row r="11970" spans="59:62" x14ac:dyDescent="0.3">
      <c r="BG11970" s="387"/>
      <c r="BH11970" s="386"/>
      <c r="BI11970" s="386"/>
      <c r="BJ11970" s="46"/>
    </row>
    <row r="11971" spans="59:62" x14ac:dyDescent="0.3">
      <c r="BG11971" s="387"/>
      <c r="BH11971" s="386"/>
      <c r="BI11971" s="386"/>
      <c r="BJ11971" s="46"/>
    </row>
    <row r="11972" spans="59:62" x14ac:dyDescent="0.3">
      <c r="BG11972" s="387"/>
      <c r="BH11972" s="386"/>
      <c r="BI11972" s="386"/>
      <c r="BJ11972" s="46"/>
    </row>
    <row r="11973" spans="59:62" x14ac:dyDescent="0.3">
      <c r="BG11973" s="387"/>
      <c r="BH11973" s="386"/>
      <c r="BI11973" s="386"/>
      <c r="BJ11973" s="46"/>
    </row>
    <row r="11974" spans="59:62" x14ac:dyDescent="0.3">
      <c r="BG11974" s="387"/>
      <c r="BH11974" s="386"/>
      <c r="BI11974" s="386"/>
      <c r="BJ11974" s="46"/>
    </row>
    <row r="11975" spans="59:62" x14ac:dyDescent="0.3">
      <c r="BG11975" s="387"/>
      <c r="BH11975" s="386"/>
      <c r="BI11975" s="386"/>
      <c r="BJ11975" s="46"/>
    </row>
    <row r="11976" spans="59:62" x14ac:dyDescent="0.3">
      <c r="BG11976" s="387"/>
      <c r="BH11976" s="386"/>
      <c r="BI11976" s="386"/>
      <c r="BJ11976" s="46"/>
    </row>
    <row r="11977" spans="59:62" x14ac:dyDescent="0.3">
      <c r="BG11977" s="387"/>
      <c r="BH11977" s="386"/>
      <c r="BI11977" s="386"/>
      <c r="BJ11977" s="46"/>
    </row>
    <row r="11978" spans="59:62" x14ac:dyDescent="0.3">
      <c r="BG11978" s="387"/>
      <c r="BH11978" s="386"/>
      <c r="BI11978" s="386"/>
      <c r="BJ11978" s="46"/>
    </row>
    <row r="11979" spans="59:62" x14ac:dyDescent="0.3">
      <c r="BG11979" s="387"/>
      <c r="BH11979" s="386"/>
      <c r="BI11979" s="386"/>
      <c r="BJ11979" s="46"/>
    </row>
    <row r="11980" spans="59:62" x14ac:dyDescent="0.3">
      <c r="BG11980" s="387"/>
      <c r="BH11980" s="386"/>
      <c r="BI11980" s="386"/>
      <c r="BJ11980" s="46"/>
    </row>
    <row r="11981" spans="59:62" x14ac:dyDescent="0.3">
      <c r="BG11981" s="387"/>
      <c r="BH11981" s="386"/>
      <c r="BI11981" s="386"/>
      <c r="BJ11981" s="46"/>
    </row>
    <row r="11982" spans="59:62" x14ac:dyDescent="0.3">
      <c r="BG11982" s="387"/>
      <c r="BH11982" s="386"/>
      <c r="BI11982" s="386"/>
      <c r="BJ11982" s="46"/>
    </row>
    <row r="11983" spans="59:62" x14ac:dyDescent="0.3">
      <c r="BG11983" s="387"/>
      <c r="BH11983" s="386"/>
      <c r="BI11983" s="386"/>
      <c r="BJ11983" s="46"/>
    </row>
    <row r="11984" spans="59:62" x14ac:dyDescent="0.3">
      <c r="BG11984" s="387"/>
      <c r="BH11984" s="386"/>
      <c r="BI11984" s="386"/>
      <c r="BJ11984" s="46"/>
    </row>
    <row r="11985" spans="59:62" x14ac:dyDescent="0.3">
      <c r="BG11985" s="387"/>
      <c r="BH11985" s="386"/>
      <c r="BI11985" s="386"/>
      <c r="BJ11985" s="46"/>
    </row>
    <row r="11986" spans="59:62" x14ac:dyDescent="0.3">
      <c r="BG11986" s="387"/>
      <c r="BH11986" s="386"/>
      <c r="BI11986" s="386"/>
      <c r="BJ11986" s="46"/>
    </row>
    <row r="11987" spans="59:62" x14ac:dyDescent="0.3">
      <c r="BG11987" s="387"/>
      <c r="BH11987" s="386"/>
      <c r="BI11987" s="386"/>
      <c r="BJ11987" s="46"/>
    </row>
    <row r="11988" spans="59:62" x14ac:dyDescent="0.3">
      <c r="BG11988" s="387"/>
      <c r="BH11988" s="386"/>
      <c r="BI11988" s="386"/>
      <c r="BJ11988" s="46"/>
    </row>
    <row r="11989" spans="59:62" x14ac:dyDescent="0.3">
      <c r="BG11989" s="387"/>
      <c r="BH11989" s="386"/>
      <c r="BI11989" s="386"/>
      <c r="BJ11989" s="46"/>
    </row>
    <row r="11990" spans="59:62" x14ac:dyDescent="0.3">
      <c r="BG11990" s="387"/>
      <c r="BH11990" s="386"/>
      <c r="BI11990" s="386"/>
      <c r="BJ11990" s="46"/>
    </row>
    <row r="11991" spans="59:62" x14ac:dyDescent="0.3">
      <c r="BG11991" s="387"/>
      <c r="BH11991" s="386"/>
      <c r="BI11991" s="386"/>
      <c r="BJ11991" s="46"/>
    </row>
    <row r="11992" spans="59:62" x14ac:dyDescent="0.3">
      <c r="BG11992" s="387"/>
      <c r="BH11992" s="386"/>
      <c r="BI11992" s="386"/>
      <c r="BJ11992" s="46"/>
    </row>
    <row r="11993" spans="59:62" x14ac:dyDescent="0.3">
      <c r="BG11993" s="387"/>
      <c r="BH11993" s="386"/>
      <c r="BI11993" s="386"/>
      <c r="BJ11993" s="46"/>
    </row>
    <row r="11994" spans="59:62" x14ac:dyDescent="0.3">
      <c r="BG11994" s="387"/>
      <c r="BH11994" s="386"/>
      <c r="BI11994" s="386"/>
      <c r="BJ11994" s="46"/>
    </row>
    <row r="11995" spans="59:62" x14ac:dyDescent="0.3">
      <c r="BG11995" s="387"/>
      <c r="BH11995" s="386"/>
      <c r="BI11995" s="386"/>
      <c r="BJ11995" s="46"/>
    </row>
    <row r="11996" spans="59:62" x14ac:dyDescent="0.3">
      <c r="BG11996" s="387"/>
      <c r="BH11996" s="386"/>
      <c r="BI11996" s="386"/>
      <c r="BJ11996" s="46"/>
    </row>
    <row r="11997" spans="59:62" x14ac:dyDescent="0.3">
      <c r="BG11997" s="387"/>
      <c r="BH11997" s="386"/>
      <c r="BI11997" s="386"/>
      <c r="BJ11997" s="46"/>
    </row>
    <row r="11998" spans="59:62" x14ac:dyDescent="0.3">
      <c r="BG11998" s="387"/>
      <c r="BH11998" s="386"/>
      <c r="BI11998" s="386"/>
      <c r="BJ11998" s="46"/>
    </row>
    <row r="11999" spans="59:62" x14ac:dyDescent="0.3">
      <c r="BG11999" s="387"/>
      <c r="BH11999" s="386"/>
      <c r="BI11999" s="386"/>
      <c r="BJ11999" s="46"/>
    </row>
    <row r="12000" spans="59:62" x14ac:dyDescent="0.3">
      <c r="BG12000" s="387"/>
      <c r="BH12000" s="386"/>
      <c r="BI12000" s="386"/>
      <c r="BJ12000" s="46"/>
    </row>
    <row r="12001" spans="59:62" x14ac:dyDescent="0.3">
      <c r="BG12001" s="387"/>
      <c r="BH12001" s="386"/>
      <c r="BI12001" s="386"/>
      <c r="BJ12001" s="46"/>
    </row>
    <row r="12002" spans="59:62" x14ac:dyDescent="0.3">
      <c r="BG12002" s="387"/>
      <c r="BH12002" s="386"/>
      <c r="BI12002" s="386"/>
      <c r="BJ12002" s="46"/>
    </row>
    <row r="12003" spans="59:62" x14ac:dyDescent="0.3">
      <c r="BG12003" s="387"/>
      <c r="BH12003" s="386"/>
      <c r="BI12003" s="386"/>
      <c r="BJ12003" s="46"/>
    </row>
    <row r="12004" spans="59:62" x14ac:dyDescent="0.3">
      <c r="BG12004" s="387"/>
      <c r="BH12004" s="386"/>
      <c r="BI12004" s="386"/>
      <c r="BJ12004" s="46"/>
    </row>
    <row r="12005" spans="59:62" x14ac:dyDescent="0.3">
      <c r="BG12005" s="387"/>
      <c r="BH12005" s="386"/>
      <c r="BI12005" s="386"/>
      <c r="BJ12005" s="46"/>
    </row>
    <row r="12006" spans="59:62" x14ac:dyDescent="0.3">
      <c r="BG12006" s="387"/>
      <c r="BH12006" s="386"/>
      <c r="BI12006" s="386"/>
      <c r="BJ12006" s="46"/>
    </row>
    <row r="12007" spans="59:62" x14ac:dyDescent="0.3">
      <c r="BG12007" s="387"/>
      <c r="BH12007" s="386"/>
      <c r="BI12007" s="386"/>
      <c r="BJ12007" s="46"/>
    </row>
    <row r="12008" spans="59:62" x14ac:dyDescent="0.3">
      <c r="BG12008" s="387"/>
      <c r="BH12008" s="386"/>
      <c r="BI12008" s="386"/>
      <c r="BJ12008" s="46"/>
    </row>
    <row r="12009" spans="59:62" x14ac:dyDescent="0.3">
      <c r="BG12009" s="387"/>
      <c r="BH12009" s="386"/>
      <c r="BI12009" s="386"/>
      <c r="BJ12009" s="46"/>
    </row>
    <row r="12010" spans="59:62" x14ac:dyDescent="0.3">
      <c r="BG12010" s="387"/>
      <c r="BH12010" s="386"/>
      <c r="BI12010" s="386"/>
      <c r="BJ12010" s="46"/>
    </row>
    <row r="12011" spans="59:62" x14ac:dyDescent="0.3">
      <c r="BG12011" s="387"/>
      <c r="BH12011" s="386"/>
      <c r="BI12011" s="386"/>
      <c r="BJ12011" s="46"/>
    </row>
    <row r="12012" spans="59:62" x14ac:dyDescent="0.3">
      <c r="BG12012" s="387"/>
      <c r="BH12012" s="386"/>
      <c r="BI12012" s="386"/>
      <c r="BJ12012" s="46"/>
    </row>
    <row r="12013" spans="59:62" x14ac:dyDescent="0.3">
      <c r="BG12013" s="387"/>
      <c r="BH12013" s="386"/>
      <c r="BI12013" s="386"/>
      <c r="BJ12013" s="46"/>
    </row>
    <row r="12014" spans="59:62" x14ac:dyDescent="0.3">
      <c r="BG12014" s="387"/>
      <c r="BH12014" s="386"/>
      <c r="BI12014" s="386"/>
      <c r="BJ12014" s="46"/>
    </row>
    <row r="12015" spans="59:62" x14ac:dyDescent="0.3">
      <c r="BG12015" s="387"/>
      <c r="BH12015" s="386"/>
      <c r="BI12015" s="386"/>
      <c r="BJ12015" s="46"/>
    </row>
    <row r="12016" spans="59:62" x14ac:dyDescent="0.3">
      <c r="BG12016" s="387"/>
      <c r="BH12016" s="386"/>
      <c r="BI12016" s="386"/>
      <c r="BJ12016" s="46"/>
    </row>
    <row r="12017" spans="59:62" x14ac:dyDescent="0.3">
      <c r="BG12017" s="387"/>
      <c r="BH12017" s="386"/>
      <c r="BI12017" s="386"/>
      <c r="BJ12017" s="46"/>
    </row>
    <row r="12018" spans="59:62" x14ac:dyDescent="0.3">
      <c r="BG12018" s="387"/>
      <c r="BH12018" s="386"/>
      <c r="BI12018" s="386"/>
      <c r="BJ12018" s="46"/>
    </row>
    <row r="12019" spans="59:62" x14ac:dyDescent="0.3">
      <c r="BG12019" s="387"/>
      <c r="BH12019" s="386"/>
      <c r="BI12019" s="386"/>
      <c r="BJ12019" s="46"/>
    </row>
    <row r="12020" spans="59:62" x14ac:dyDescent="0.3">
      <c r="BG12020" s="387"/>
      <c r="BH12020" s="386"/>
      <c r="BI12020" s="386"/>
      <c r="BJ12020" s="46"/>
    </row>
    <row r="12021" spans="59:62" x14ac:dyDescent="0.3">
      <c r="BG12021" s="387"/>
      <c r="BH12021" s="386"/>
      <c r="BI12021" s="386"/>
      <c r="BJ12021" s="46"/>
    </row>
    <row r="12022" spans="59:62" x14ac:dyDescent="0.3">
      <c r="BG12022" s="387"/>
      <c r="BH12022" s="386"/>
      <c r="BI12022" s="386"/>
      <c r="BJ12022" s="46"/>
    </row>
    <row r="12023" spans="59:62" x14ac:dyDescent="0.3">
      <c r="BG12023" s="387"/>
      <c r="BH12023" s="386"/>
      <c r="BI12023" s="386"/>
      <c r="BJ12023" s="46"/>
    </row>
    <row r="12024" spans="59:62" x14ac:dyDescent="0.3">
      <c r="BG12024" s="387"/>
      <c r="BH12024" s="386"/>
      <c r="BI12024" s="386"/>
      <c r="BJ12024" s="46"/>
    </row>
    <row r="12025" spans="59:62" x14ac:dyDescent="0.3">
      <c r="BG12025" s="387"/>
      <c r="BH12025" s="386"/>
      <c r="BI12025" s="386"/>
      <c r="BJ12025" s="46"/>
    </row>
    <row r="12026" spans="59:62" x14ac:dyDescent="0.3">
      <c r="BG12026" s="387"/>
      <c r="BH12026" s="386"/>
      <c r="BI12026" s="386"/>
      <c r="BJ12026" s="46"/>
    </row>
    <row r="12027" spans="59:62" x14ac:dyDescent="0.3">
      <c r="BG12027" s="387"/>
      <c r="BH12027" s="386"/>
      <c r="BI12027" s="386"/>
      <c r="BJ12027" s="46"/>
    </row>
    <row r="12028" spans="59:62" x14ac:dyDescent="0.3">
      <c r="BG12028" s="387"/>
      <c r="BH12028" s="386"/>
      <c r="BI12028" s="386"/>
      <c r="BJ12028" s="46"/>
    </row>
    <row r="12029" spans="59:62" x14ac:dyDescent="0.3">
      <c r="BG12029" s="387"/>
      <c r="BH12029" s="386"/>
      <c r="BI12029" s="386"/>
      <c r="BJ12029" s="46"/>
    </row>
    <row r="12030" spans="59:62" x14ac:dyDescent="0.3">
      <c r="BG12030" s="387"/>
      <c r="BH12030" s="386"/>
      <c r="BI12030" s="386"/>
      <c r="BJ12030" s="46"/>
    </row>
    <row r="12031" spans="59:62" x14ac:dyDescent="0.3">
      <c r="BG12031" s="387"/>
      <c r="BH12031" s="386"/>
      <c r="BI12031" s="386"/>
      <c r="BJ12031" s="46"/>
    </row>
    <row r="12032" spans="59:62" x14ac:dyDescent="0.3">
      <c r="BG12032" s="387"/>
      <c r="BH12032" s="386"/>
      <c r="BI12032" s="386"/>
      <c r="BJ12032" s="46"/>
    </row>
    <row r="12033" spans="59:62" x14ac:dyDescent="0.3">
      <c r="BG12033" s="387"/>
      <c r="BH12033" s="386"/>
      <c r="BI12033" s="386"/>
      <c r="BJ12033" s="46"/>
    </row>
    <row r="12034" spans="59:62" x14ac:dyDescent="0.3">
      <c r="BG12034" s="387"/>
      <c r="BH12034" s="386"/>
      <c r="BI12034" s="386"/>
      <c r="BJ12034" s="46"/>
    </row>
    <row r="12035" spans="59:62" x14ac:dyDescent="0.3">
      <c r="BG12035" s="387"/>
      <c r="BH12035" s="386"/>
      <c r="BI12035" s="386"/>
      <c r="BJ12035" s="46"/>
    </row>
    <row r="12036" spans="59:62" x14ac:dyDescent="0.3">
      <c r="BG12036" s="387"/>
      <c r="BH12036" s="386"/>
      <c r="BI12036" s="386"/>
      <c r="BJ12036" s="46"/>
    </row>
    <row r="12037" spans="59:62" x14ac:dyDescent="0.3">
      <c r="BG12037" s="387"/>
      <c r="BH12037" s="386"/>
      <c r="BI12037" s="386"/>
      <c r="BJ12037" s="46"/>
    </row>
    <row r="12038" spans="59:62" x14ac:dyDescent="0.3">
      <c r="BG12038" s="387"/>
      <c r="BH12038" s="386"/>
      <c r="BI12038" s="386"/>
      <c r="BJ12038" s="46"/>
    </row>
    <row r="12039" spans="59:62" x14ac:dyDescent="0.3">
      <c r="BG12039" s="387"/>
      <c r="BH12039" s="386"/>
      <c r="BI12039" s="386"/>
      <c r="BJ12039" s="46"/>
    </row>
    <row r="12040" spans="59:62" x14ac:dyDescent="0.3">
      <c r="BG12040" s="387"/>
      <c r="BH12040" s="386"/>
      <c r="BI12040" s="386"/>
      <c r="BJ12040" s="46"/>
    </row>
    <row r="12041" spans="59:62" x14ac:dyDescent="0.3">
      <c r="BG12041" s="387"/>
      <c r="BH12041" s="386"/>
      <c r="BI12041" s="386"/>
      <c r="BJ12041" s="46"/>
    </row>
    <row r="12042" spans="59:62" x14ac:dyDescent="0.3">
      <c r="BG12042" s="387"/>
      <c r="BH12042" s="386"/>
      <c r="BI12042" s="386"/>
      <c r="BJ12042" s="46"/>
    </row>
    <row r="12043" spans="59:62" x14ac:dyDescent="0.3">
      <c r="BG12043" s="387"/>
      <c r="BH12043" s="386"/>
      <c r="BI12043" s="386"/>
      <c r="BJ12043" s="46"/>
    </row>
    <row r="12044" spans="59:62" x14ac:dyDescent="0.3">
      <c r="BG12044" s="387"/>
      <c r="BH12044" s="386"/>
      <c r="BI12044" s="386"/>
      <c r="BJ12044" s="46"/>
    </row>
    <row r="12045" spans="59:62" x14ac:dyDescent="0.3">
      <c r="BG12045" s="387"/>
      <c r="BH12045" s="386"/>
      <c r="BI12045" s="386"/>
      <c r="BJ12045" s="46"/>
    </row>
    <row r="12046" spans="59:62" x14ac:dyDescent="0.3">
      <c r="BG12046" s="387"/>
      <c r="BH12046" s="386"/>
      <c r="BI12046" s="386"/>
      <c r="BJ12046" s="46"/>
    </row>
    <row r="12047" spans="59:62" x14ac:dyDescent="0.3">
      <c r="BG12047" s="387"/>
      <c r="BH12047" s="386"/>
      <c r="BI12047" s="386"/>
      <c r="BJ12047" s="46"/>
    </row>
    <row r="12048" spans="59:62" x14ac:dyDescent="0.3">
      <c r="BG12048" s="387"/>
      <c r="BH12048" s="386"/>
      <c r="BI12048" s="386"/>
      <c r="BJ12048" s="46"/>
    </row>
    <row r="12049" spans="59:62" x14ac:dyDescent="0.3">
      <c r="BG12049" s="387"/>
      <c r="BH12049" s="386"/>
      <c r="BI12049" s="386"/>
      <c r="BJ12049" s="46"/>
    </row>
    <row r="12050" spans="59:62" x14ac:dyDescent="0.3">
      <c r="BG12050" s="387"/>
      <c r="BH12050" s="386"/>
      <c r="BI12050" s="386"/>
      <c r="BJ12050" s="46"/>
    </row>
    <row r="12051" spans="59:62" x14ac:dyDescent="0.3">
      <c r="BG12051" s="387"/>
      <c r="BH12051" s="386"/>
      <c r="BI12051" s="386"/>
      <c r="BJ12051" s="46"/>
    </row>
    <row r="12052" spans="59:62" x14ac:dyDescent="0.3">
      <c r="BG12052" s="387"/>
      <c r="BH12052" s="386"/>
      <c r="BI12052" s="386"/>
      <c r="BJ12052" s="46"/>
    </row>
    <row r="12053" spans="59:62" x14ac:dyDescent="0.3">
      <c r="BG12053" s="387"/>
      <c r="BH12053" s="386"/>
      <c r="BI12053" s="386"/>
      <c r="BJ12053" s="46"/>
    </row>
    <row r="12054" spans="59:62" x14ac:dyDescent="0.3">
      <c r="BG12054" s="387"/>
      <c r="BH12054" s="386"/>
      <c r="BI12054" s="386"/>
      <c r="BJ12054" s="46"/>
    </row>
    <row r="12055" spans="59:62" x14ac:dyDescent="0.3">
      <c r="BG12055" s="387"/>
      <c r="BH12055" s="386"/>
      <c r="BI12055" s="386"/>
      <c r="BJ12055" s="46"/>
    </row>
    <row r="12056" spans="59:62" x14ac:dyDescent="0.3">
      <c r="BG12056" s="387"/>
      <c r="BH12056" s="386"/>
      <c r="BI12056" s="386"/>
      <c r="BJ12056" s="46"/>
    </row>
    <row r="12057" spans="59:62" x14ac:dyDescent="0.3">
      <c r="BG12057" s="387"/>
      <c r="BH12057" s="386"/>
      <c r="BI12057" s="386"/>
      <c r="BJ12057" s="46"/>
    </row>
    <row r="12058" spans="59:62" x14ac:dyDescent="0.3">
      <c r="BG12058" s="387"/>
      <c r="BH12058" s="386"/>
      <c r="BI12058" s="386"/>
      <c r="BJ12058" s="46"/>
    </row>
    <row r="12059" spans="59:62" x14ac:dyDescent="0.3">
      <c r="BG12059" s="387"/>
      <c r="BH12059" s="386"/>
      <c r="BI12059" s="386"/>
      <c r="BJ12059" s="46"/>
    </row>
    <row r="12060" spans="59:62" x14ac:dyDescent="0.3">
      <c r="BG12060" s="387"/>
      <c r="BH12060" s="386"/>
      <c r="BI12060" s="386"/>
      <c r="BJ12060" s="46"/>
    </row>
    <row r="12061" spans="59:62" x14ac:dyDescent="0.3">
      <c r="BG12061" s="387"/>
      <c r="BH12061" s="386"/>
      <c r="BI12061" s="386"/>
      <c r="BJ12061" s="46"/>
    </row>
    <row r="12062" spans="59:62" x14ac:dyDescent="0.3">
      <c r="BG12062" s="387"/>
      <c r="BH12062" s="386"/>
      <c r="BI12062" s="386"/>
      <c r="BJ12062" s="46"/>
    </row>
    <row r="12063" spans="59:62" x14ac:dyDescent="0.3">
      <c r="BG12063" s="387"/>
      <c r="BH12063" s="386"/>
      <c r="BI12063" s="386"/>
      <c r="BJ12063" s="46"/>
    </row>
    <row r="12064" spans="59:62" x14ac:dyDescent="0.3">
      <c r="BG12064" s="387"/>
      <c r="BH12064" s="386"/>
      <c r="BI12064" s="386"/>
      <c r="BJ12064" s="46"/>
    </row>
    <row r="12065" spans="59:62" x14ac:dyDescent="0.3">
      <c r="BG12065" s="387"/>
      <c r="BH12065" s="386"/>
      <c r="BI12065" s="386"/>
      <c r="BJ12065" s="46"/>
    </row>
    <row r="12066" spans="59:62" x14ac:dyDescent="0.3">
      <c r="BG12066" s="387"/>
      <c r="BH12066" s="386"/>
      <c r="BI12066" s="386"/>
      <c r="BJ12066" s="46"/>
    </row>
    <row r="12067" spans="59:62" x14ac:dyDescent="0.3">
      <c r="BG12067" s="387"/>
      <c r="BH12067" s="386"/>
      <c r="BI12067" s="386"/>
      <c r="BJ12067" s="46"/>
    </row>
    <row r="12068" spans="59:62" x14ac:dyDescent="0.3">
      <c r="BG12068" s="387"/>
      <c r="BH12068" s="386"/>
      <c r="BI12068" s="386"/>
      <c r="BJ12068" s="46"/>
    </row>
    <row r="12069" spans="59:62" x14ac:dyDescent="0.3">
      <c r="BG12069" s="387"/>
      <c r="BH12069" s="386"/>
      <c r="BI12069" s="386"/>
      <c r="BJ12069" s="46"/>
    </row>
    <row r="12070" spans="59:62" x14ac:dyDescent="0.3">
      <c r="BG12070" s="387"/>
      <c r="BH12070" s="386"/>
      <c r="BI12070" s="386"/>
      <c r="BJ12070" s="46"/>
    </row>
    <row r="12071" spans="59:62" x14ac:dyDescent="0.3">
      <c r="BG12071" s="387"/>
      <c r="BH12071" s="386"/>
      <c r="BI12071" s="386"/>
      <c r="BJ12071" s="46"/>
    </row>
    <row r="12072" spans="59:62" x14ac:dyDescent="0.3">
      <c r="BG12072" s="387"/>
      <c r="BH12072" s="386"/>
      <c r="BI12072" s="386"/>
      <c r="BJ12072" s="46"/>
    </row>
    <row r="12073" spans="59:62" x14ac:dyDescent="0.3">
      <c r="BG12073" s="387"/>
      <c r="BH12073" s="386"/>
      <c r="BI12073" s="386"/>
      <c r="BJ12073" s="46"/>
    </row>
    <row r="12074" spans="59:62" x14ac:dyDescent="0.3">
      <c r="BG12074" s="387"/>
      <c r="BH12074" s="386"/>
      <c r="BI12074" s="386"/>
      <c r="BJ12074" s="46"/>
    </row>
    <row r="12075" spans="59:62" x14ac:dyDescent="0.3">
      <c r="BG12075" s="387"/>
      <c r="BH12075" s="386"/>
      <c r="BI12075" s="386"/>
      <c r="BJ12075" s="46"/>
    </row>
    <row r="12076" spans="59:62" x14ac:dyDescent="0.3">
      <c r="BG12076" s="387"/>
      <c r="BH12076" s="386"/>
      <c r="BI12076" s="386"/>
      <c r="BJ12076" s="46"/>
    </row>
    <row r="12077" spans="59:62" x14ac:dyDescent="0.3">
      <c r="BG12077" s="387"/>
      <c r="BH12077" s="386"/>
      <c r="BI12077" s="386"/>
      <c r="BJ12077" s="46"/>
    </row>
    <row r="12078" spans="59:62" x14ac:dyDescent="0.3">
      <c r="BG12078" s="387"/>
      <c r="BH12078" s="386"/>
      <c r="BI12078" s="386"/>
      <c r="BJ12078" s="46"/>
    </row>
    <row r="12079" spans="59:62" x14ac:dyDescent="0.3">
      <c r="BG12079" s="387"/>
      <c r="BH12079" s="386"/>
      <c r="BI12079" s="386"/>
      <c r="BJ12079" s="46"/>
    </row>
    <row r="12080" spans="59:62" x14ac:dyDescent="0.3">
      <c r="BG12080" s="387"/>
      <c r="BH12080" s="386"/>
      <c r="BI12080" s="386"/>
      <c r="BJ12080" s="46"/>
    </row>
    <row r="12081" spans="59:62" x14ac:dyDescent="0.3">
      <c r="BG12081" s="387"/>
      <c r="BH12081" s="386"/>
      <c r="BI12081" s="386"/>
      <c r="BJ12081" s="46"/>
    </row>
    <row r="12082" spans="59:62" x14ac:dyDescent="0.3">
      <c r="BG12082" s="387"/>
      <c r="BH12082" s="386"/>
      <c r="BI12082" s="386"/>
      <c r="BJ12082" s="46"/>
    </row>
    <row r="12083" spans="59:62" x14ac:dyDescent="0.3">
      <c r="BG12083" s="387"/>
      <c r="BH12083" s="386"/>
      <c r="BI12083" s="386"/>
      <c r="BJ12083" s="46"/>
    </row>
    <row r="12084" spans="59:62" x14ac:dyDescent="0.3">
      <c r="BG12084" s="387"/>
      <c r="BH12084" s="386"/>
      <c r="BI12084" s="386"/>
      <c r="BJ12084" s="46"/>
    </row>
    <row r="12085" spans="59:62" x14ac:dyDescent="0.3">
      <c r="BG12085" s="387"/>
      <c r="BH12085" s="386"/>
      <c r="BI12085" s="386"/>
      <c r="BJ12085" s="46"/>
    </row>
    <row r="12086" spans="59:62" x14ac:dyDescent="0.3">
      <c r="BG12086" s="387"/>
      <c r="BH12086" s="386"/>
      <c r="BI12086" s="386"/>
      <c r="BJ12086" s="46"/>
    </row>
    <row r="12087" spans="59:62" x14ac:dyDescent="0.3">
      <c r="BG12087" s="387"/>
      <c r="BH12087" s="386"/>
      <c r="BI12087" s="386"/>
      <c r="BJ12087" s="46"/>
    </row>
    <row r="12088" spans="59:62" x14ac:dyDescent="0.3">
      <c r="BG12088" s="387"/>
      <c r="BH12088" s="386"/>
      <c r="BI12088" s="386"/>
      <c r="BJ12088" s="46"/>
    </row>
    <row r="12089" spans="59:62" x14ac:dyDescent="0.3">
      <c r="BG12089" s="387"/>
      <c r="BH12089" s="386"/>
      <c r="BI12089" s="386"/>
      <c r="BJ12089" s="46"/>
    </row>
    <row r="12090" spans="59:62" x14ac:dyDescent="0.3">
      <c r="BG12090" s="387"/>
      <c r="BH12090" s="386"/>
      <c r="BI12090" s="386"/>
      <c r="BJ12090" s="46"/>
    </row>
    <row r="12091" spans="59:62" x14ac:dyDescent="0.3">
      <c r="BG12091" s="387"/>
      <c r="BH12091" s="386"/>
      <c r="BI12091" s="386"/>
      <c r="BJ12091" s="46"/>
    </row>
    <row r="12092" spans="59:62" x14ac:dyDescent="0.3">
      <c r="BG12092" s="387"/>
      <c r="BH12092" s="386"/>
      <c r="BI12092" s="386"/>
      <c r="BJ12092" s="46"/>
    </row>
    <row r="12093" spans="59:62" x14ac:dyDescent="0.3">
      <c r="BG12093" s="387"/>
      <c r="BH12093" s="386"/>
      <c r="BI12093" s="386"/>
      <c r="BJ12093" s="46"/>
    </row>
    <row r="12094" spans="59:62" x14ac:dyDescent="0.3">
      <c r="BG12094" s="387"/>
      <c r="BH12094" s="386"/>
      <c r="BI12094" s="386"/>
      <c r="BJ12094" s="46"/>
    </row>
    <row r="12095" spans="59:62" x14ac:dyDescent="0.3">
      <c r="BG12095" s="387"/>
      <c r="BH12095" s="386"/>
      <c r="BI12095" s="386"/>
      <c r="BJ12095" s="46"/>
    </row>
    <row r="12096" spans="59:62" x14ac:dyDescent="0.3">
      <c r="BG12096" s="387"/>
      <c r="BH12096" s="386"/>
      <c r="BI12096" s="386"/>
      <c r="BJ12096" s="46"/>
    </row>
    <row r="12097" spans="59:62" x14ac:dyDescent="0.3">
      <c r="BG12097" s="387"/>
      <c r="BH12097" s="386"/>
      <c r="BI12097" s="386"/>
      <c r="BJ12097" s="46"/>
    </row>
    <row r="12098" spans="59:62" x14ac:dyDescent="0.3">
      <c r="BG12098" s="387"/>
      <c r="BH12098" s="386"/>
      <c r="BI12098" s="386"/>
      <c r="BJ12098" s="46"/>
    </row>
    <row r="12099" spans="59:62" x14ac:dyDescent="0.3">
      <c r="BG12099" s="387"/>
      <c r="BH12099" s="386"/>
      <c r="BI12099" s="386"/>
      <c r="BJ12099" s="46"/>
    </row>
    <row r="12100" spans="59:62" x14ac:dyDescent="0.3">
      <c r="BG12100" s="387"/>
      <c r="BH12100" s="386"/>
      <c r="BI12100" s="386"/>
      <c r="BJ12100" s="46"/>
    </row>
    <row r="12101" spans="59:62" x14ac:dyDescent="0.3">
      <c r="BG12101" s="387"/>
      <c r="BH12101" s="386"/>
      <c r="BI12101" s="386"/>
      <c r="BJ12101" s="46"/>
    </row>
    <row r="12102" spans="59:62" x14ac:dyDescent="0.3">
      <c r="BG12102" s="387"/>
      <c r="BH12102" s="386"/>
      <c r="BI12102" s="386"/>
      <c r="BJ12102" s="46"/>
    </row>
    <row r="12103" spans="59:62" x14ac:dyDescent="0.3">
      <c r="BG12103" s="387"/>
      <c r="BH12103" s="386"/>
      <c r="BI12103" s="386"/>
      <c r="BJ12103" s="46"/>
    </row>
    <row r="12104" spans="59:62" x14ac:dyDescent="0.3">
      <c r="BG12104" s="387"/>
      <c r="BH12104" s="386"/>
      <c r="BI12104" s="386"/>
      <c r="BJ12104" s="46"/>
    </row>
    <row r="12105" spans="59:62" x14ac:dyDescent="0.3">
      <c r="BG12105" s="387"/>
      <c r="BH12105" s="386"/>
      <c r="BI12105" s="386"/>
      <c r="BJ12105" s="46"/>
    </row>
    <row r="12106" spans="59:62" x14ac:dyDescent="0.3">
      <c r="BG12106" s="387"/>
      <c r="BH12106" s="386"/>
      <c r="BI12106" s="386"/>
      <c r="BJ12106" s="46"/>
    </row>
    <row r="12107" spans="59:62" x14ac:dyDescent="0.3">
      <c r="BG12107" s="387"/>
      <c r="BH12107" s="386"/>
      <c r="BI12107" s="386"/>
      <c r="BJ12107" s="46"/>
    </row>
    <row r="12108" spans="59:62" x14ac:dyDescent="0.3">
      <c r="BG12108" s="387"/>
      <c r="BH12108" s="386"/>
      <c r="BI12108" s="386"/>
      <c r="BJ12108" s="46"/>
    </row>
    <row r="12109" spans="59:62" x14ac:dyDescent="0.3">
      <c r="BG12109" s="387"/>
      <c r="BH12109" s="386"/>
      <c r="BI12109" s="386"/>
      <c r="BJ12109" s="46"/>
    </row>
    <row r="12110" spans="59:62" x14ac:dyDescent="0.3">
      <c r="BG12110" s="387"/>
      <c r="BH12110" s="386"/>
      <c r="BI12110" s="386"/>
      <c r="BJ12110" s="46"/>
    </row>
    <row r="12111" spans="59:62" x14ac:dyDescent="0.3">
      <c r="BG12111" s="387"/>
      <c r="BH12111" s="386"/>
      <c r="BI12111" s="386"/>
      <c r="BJ12111" s="46"/>
    </row>
    <row r="12112" spans="59:62" x14ac:dyDescent="0.3">
      <c r="BG12112" s="387"/>
      <c r="BH12112" s="386"/>
      <c r="BI12112" s="386"/>
      <c r="BJ12112" s="46"/>
    </row>
    <row r="12113" spans="59:62" x14ac:dyDescent="0.3">
      <c r="BG12113" s="387"/>
      <c r="BH12113" s="386"/>
      <c r="BI12113" s="386"/>
      <c r="BJ12113" s="46"/>
    </row>
    <row r="12114" spans="59:62" x14ac:dyDescent="0.3">
      <c r="BG12114" s="387"/>
      <c r="BH12114" s="386"/>
      <c r="BI12114" s="386"/>
      <c r="BJ12114" s="46"/>
    </row>
    <row r="12115" spans="59:62" x14ac:dyDescent="0.3">
      <c r="BG12115" s="387"/>
      <c r="BH12115" s="386"/>
      <c r="BI12115" s="386"/>
      <c r="BJ12115" s="46"/>
    </row>
    <row r="12116" spans="59:62" x14ac:dyDescent="0.3">
      <c r="BG12116" s="387"/>
      <c r="BH12116" s="386"/>
      <c r="BI12116" s="386"/>
      <c r="BJ12116" s="46"/>
    </row>
    <row r="12117" spans="59:62" x14ac:dyDescent="0.3">
      <c r="BG12117" s="387"/>
      <c r="BH12117" s="386"/>
      <c r="BI12117" s="386"/>
      <c r="BJ12117" s="46"/>
    </row>
    <row r="12118" spans="59:62" x14ac:dyDescent="0.3">
      <c r="BG12118" s="387"/>
      <c r="BH12118" s="386"/>
      <c r="BI12118" s="386"/>
      <c r="BJ12118" s="46"/>
    </row>
    <row r="12119" spans="59:62" x14ac:dyDescent="0.3">
      <c r="BG12119" s="387"/>
      <c r="BH12119" s="386"/>
      <c r="BI12119" s="386"/>
      <c r="BJ12119" s="46"/>
    </row>
    <row r="12120" spans="59:62" x14ac:dyDescent="0.3">
      <c r="BG12120" s="387"/>
      <c r="BH12120" s="386"/>
      <c r="BI12120" s="386"/>
      <c r="BJ12120" s="46"/>
    </row>
    <row r="12121" spans="59:62" x14ac:dyDescent="0.3">
      <c r="BG12121" s="387"/>
      <c r="BH12121" s="386"/>
      <c r="BI12121" s="386"/>
      <c r="BJ12121" s="46"/>
    </row>
    <row r="12122" spans="59:62" x14ac:dyDescent="0.3">
      <c r="BG12122" s="387"/>
      <c r="BH12122" s="386"/>
      <c r="BI12122" s="386"/>
      <c r="BJ12122" s="46"/>
    </row>
    <row r="12123" spans="59:62" x14ac:dyDescent="0.3">
      <c r="BG12123" s="387"/>
      <c r="BH12123" s="386"/>
      <c r="BI12123" s="386"/>
      <c r="BJ12123" s="46"/>
    </row>
    <row r="12124" spans="59:62" x14ac:dyDescent="0.3">
      <c r="BG12124" s="387"/>
      <c r="BH12124" s="386"/>
      <c r="BI12124" s="386"/>
      <c r="BJ12124" s="46"/>
    </row>
    <row r="12125" spans="59:62" x14ac:dyDescent="0.3">
      <c r="BG12125" s="387"/>
      <c r="BH12125" s="386"/>
      <c r="BI12125" s="386"/>
      <c r="BJ12125" s="46"/>
    </row>
    <row r="12126" spans="59:62" x14ac:dyDescent="0.3">
      <c r="BG12126" s="387"/>
      <c r="BH12126" s="386"/>
      <c r="BI12126" s="386"/>
      <c r="BJ12126" s="46"/>
    </row>
    <row r="12127" spans="59:62" x14ac:dyDescent="0.3">
      <c r="BG12127" s="387"/>
      <c r="BH12127" s="386"/>
      <c r="BI12127" s="386"/>
      <c r="BJ12127" s="46"/>
    </row>
    <row r="12128" spans="59:62" x14ac:dyDescent="0.3">
      <c r="BG12128" s="387"/>
      <c r="BH12128" s="386"/>
      <c r="BI12128" s="386"/>
      <c r="BJ12128" s="46"/>
    </row>
    <row r="12129" spans="59:62" x14ac:dyDescent="0.3">
      <c r="BG12129" s="387"/>
      <c r="BH12129" s="386"/>
      <c r="BI12129" s="386"/>
      <c r="BJ12129" s="46"/>
    </row>
    <row r="12130" spans="59:62" x14ac:dyDescent="0.3">
      <c r="BG12130" s="387"/>
      <c r="BH12130" s="386"/>
      <c r="BI12130" s="386"/>
      <c r="BJ12130" s="46"/>
    </row>
    <row r="12131" spans="59:62" x14ac:dyDescent="0.3">
      <c r="BG12131" s="387"/>
      <c r="BH12131" s="386"/>
      <c r="BI12131" s="386"/>
      <c r="BJ12131" s="46"/>
    </row>
    <row r="12132" spans="59:62" x14ac:dyDescent="0.3">
      <c r="BG12132" s="387"/>
      <c r="BH12132" s="386"/>
      <c r="BI12132" s="386"/>
      <c r="BJ12132" s="46"/>
    </row>
    <row r="12133" spans="59:62" x14ac:dyDescent="0.3">
      <c r="BG12133" s="387"/>
      <c r="BH12133" s="386"/>
      <c r="BI12133" s="386"/>
      <c r="BJ12133" s="46"/>
    </row>
    <row r="12134" spans="59:62" x14ac:dyDescent="0.3">
      <c r="BG12134" s="387"/>
      <c r="BH12134" s="386"/>
      <c r="BI12134" s="386"/>
      <c r="BJ12134" s="46"/>
    </row>
    <row r="12135" spans="59:62" x14ac:dyDescent="0.3">
      <c r="BG12135" s="387"/>
      <c r="BH12135" s="386"/>
      <c r="BI12135" s="386"/>
      <c r="BJ12135" s="46"/>
    </row>
    <row r="12136" spans="59:62" x14ac:dyDescent="0.3">
      <c r="BG12136" s="387"/>
      <c r="BH12136" s="386"/>
      <c r="BI12136" s="386"/>
      <c r="BJ12136" s="46"/>
    </row>
    <row r="12137" spans="59:62" x14ac:dyDescent="0.3">
      <c r="BG12137" s="387"/>
      <c r="BH12137" s="386"/>
      <c r="BI12137" s="386"/>
      <c r="BJ12137" s="46"/>
    </row>
    <row r="12138" spans="59:62" x14ac:dyDescent="0.3">
      <c r="BG12138" s="387"/>
      <c r="BH12138" s="386"/>
      <c r="BI12138" s="386"/>
      <c r="BJ12138" s="46"/>
    </row>
    <row r="12139" spans="59:62" x14ac:dyDescent="0.3">
      <c r="BG12139" s="387"/>
      <c r="BH12139" s="386"/>
      <c r="BI12139" s="386"/>
      <c r="BJ12139" s="46"/>
    </row>
    <row r="12140" spans="59:62" x14ac:dyDescent="0.3">
      <c r="BG12140" s="387"/>
      <c r="BH12140" s="386"/>
      <c r="BI12140" s="386"/>
      <c r="BJ12140" s="46"/>
    </row>
    <row r="12141" spans="59:62" x14ac:dyDescent="0.3">
      <c r="BG12141" s="387"/>
      <c r="BH12141" s="386"/>
      <c r="BI12141" s="386"/>
      <c r="BJ12141" s="46"/>
    </row>
    <row r="12142" spans="59:62" x14ac:dyDescent="0.3">
      <c r="BG12142" s="387"/>
      <c r="BH12142" s="386"/>
      <c r="BI12142" s="386"/>
      <c r="BJ12142" s="46"/>
    </row>
    <row r="12143" spans="59:62" x14ac:dyDescent="0.3">
      <c r="BG12143" s="387"/>
      <c r="BH12143" s="386"/>
      <c r="BI12143" s="386"/>
      <c r="BJ12143" s="46"/>
    </row>
    <row r="12144" spans="59:62" x14ac:dyDescent="0.3">
      <c r="BG12144" s="387"/>
      <c r="BH12144" s="386"/>
      <c r="BI12144" s="386"/>
      <c r="BJ12144" s="46"/>
    </row>
    <row r="12145" spans="59:62" x14ac:dyDescent="0.3">
      <c r="BG12145" s="387"/>
      <c r="BH12145" s="386"/>
      <c r="BI12145" s="386"/>
      <c r="BJ12145" s="46"/>
    </row>
    <row r="12146" spans="59:62" x14ac:dyDescent="0.3">
      <c r="BG12146" s="387"/>
      <c r="BH12146" s="386"/>
      <c r="BI12146" s="386"/>
      <c r="BJ12146" s="46"/>
    </row>
    <row r="12147" spans="59:62" x14ac:dyDescent="0.3">
      <c r="BG12147" s="387"/>
      <c r="BH12147" s="386"/>
      <c r="BI12147" s="386"/>
      <c r="BJ12147" s="46"/>
    </row>
    <row r="12148" spans="59:62" x14ac:dyDescent="0.3">
      <c r="BG12148" s="387"/>
      <c r="BH12148" s="386"/>
      <c r="BI12148" s="386"/>
      <c r="BJ12148" s="46"/>
    </row>
    <row r="12149" spans="59:62" x14ac:dyDescent="0.3">
      <c r="BG12149" s="387"/>
      <c r="BH12149" s="386"/>
      <c r="BI12149" s="386"/>
      <c r="BJ12149" s="46"/>
    </row>
    <row r="12150" spans="59:62" x14ac:dyDescent="0.3">
      <c r="BG12150" s="387"/>
      <c r="BH12150" s="386"/>
      <c r="BI12150" s="386"/>
      <c r="BJ12150" s="46"/>
    </row>
    <row r="12151" spans="59:62" x14ac:dyDescent="0.3">
      <c r="BG12151" s="387"/>
      <c r="BH12151" s="386"/>
      <c r="BI12151" s="386"/>
      <c r="BJ12151" s="46"/>
    </row>
    <row r="12152" spans="59:62" x14ac:dyDescent="0.3">
      <c r="BG12152" s="387"/>
      <c r="BH12152" s="386"/>
      <c r="BI12152" s="386"/>
      <c r="BJ12152" s="46"/>
    </row>
    <row r="12153" spans="59:62" x14ac:dyDescent="0.3">
      <c r="BG12153" s="387"/>
      <c r="BH12153" s="386"/>
      <c r="BI12153" s="386"/>
      <c r="BJ12153" s="46"/>
    </row>
    <row r="12154" spans="59:62" x14ac:dyDescent="0.3">
      <c r="BG12154" s="387"/>
      <c r="BH12154" s="386"/>
      <c r="BI12154" s="386"/>
      <c r="BJ12154" s="46"/>
    </row>
    <row r="12155" spans="59:62" x14ac:dyDescent="0.3">
      <c r="BG12155" s="387"/>
      <c r="BH12155" s="386"/>
      <c r="BI12155" s="386"/>
      <c r="BJ12155" s="46"/>
    </row>
    <row r="12156" spans="59:62" x14ac:dyDescent="0.3">
      <c r="BG12156" s="387"/>
      <c r="BH12156" s="386"/>
      <c r="BI12156" s="386"/>
      <c r="BJ12156" s="46"/>
    </row>
    <row r="12157" spans="59:62" x14ac:dyDescent="0.3">
      <c r="BG12157" s="387"/>
      <c r="BH12157" s="386"/>
      <c r="BI12157" s="386"/>
      <c r="BJ12157" s="46"/>
    </row>
    <row r="12158" spans="59:62" x14ac:dyDescent="0.3">
      <c r="BG12158" s="387"/>
      <c r="BH12158" s="386"/>
      <c r="BI12158" s="386"/>
      <c r="BJ12158" s="46"/>
    </row>
    <row r="12159" spans="59:62" x14ac:dyDescent="0.3">
      <c r="BG12159" s="387"/>
      <c r="BH12159" s="386"/>
      <c r="BI12159" s="386"/>
      <c r="BJ12159" s="46"/>
    </row>
    <row r="12160" spans="59:62" x14ac:dyDescent="0.3">
      <c r="BG12160" s="387"/>
      <c r="BH12160" s="386"/>
      <c r="BI12160" s="386"/>
      <c r="BJ12160" s="46"/>
    </row>
    <row r="12161" spans="59:62" x14ac:dyDescent="0.3">
      <c r="BG12161" s="387"/>
      <c r="BH12161" s="386"/>
      <c r="BI12161" s="386"/>
      <c r="BJ12161" s="46"/>
    </row>
    <row r="12162" spans="59:62" x14ac:dyDescent="0.3">
      <c r="BG12162" s="387"/>
      <c r="BH12162" s="386"/>
      <c r="BI12162" s="386"/>
      <c r="BJ12162" s="46"/>
    </row>
    <row r="12163" spans="59:62" x14ac:dyDescent="0.3">
      <c r="BG12163" s="387"/>
      <c r="BH12163" s="386"/>
      <c r="BI12163" s="386"/>
      <c r="BJ12163" s="46"/>
    </row>
    <row r="12164" spans="59:62" x14ac:dyDescent="0.3">
      <c r="BG12164" s="387"/>
      <c r="BH12164" s="386"/>
      <c r="BI12164" s="386"/>
      <c r="BJ12164" s="46"/>
    </row>
    <row r="12165" spans="59:62" x14ac:dyDescent="0.3">
      <c r="BG12165" s="387"/>
      <c r="BH12165" s="386"/>
      <c r="BI12165" s="386"/>
      <c r="BJ12165" s="46"/>
    </row>
    <row r="12166" spans="59:62" x14ac:dyDescent="0.3">
      <c r="BG12166" s="387"/>
      <c r="BH12166" s="386"/>
      <c r="BI12166" s="386"/>
      <c r="BJ12166" s="46"/>
    </row>
    <row r="12167" spans="59:62" x14ac:dyDescent="0.3">
      <c r="BG12167" s="387"/>
      <c r="BH12167" s="386"/>
      <c r="BI12167" s="386"/>
      <c r="BJ12167" s="46"/>
    </row>
    <row r="12168" spans="59:62" x14ac:dyDescent="0.3">
      <c r="BG12168" s="387"/>
      <c r="BH12168" s="386"/>
      <c r="BI12168" s="386"/>
      <c r="BJ12168" s="46"/>
    </row>
    <row r="12169" spans="59:62" x14ac:dyDescent="0.3">
      <c r="BG12169" s="387"/>
      <c r="BH12169" s="386"/>
      <c r="BI12169" s="386"/>
      <c r="BJ12169" s="46"/>
    </row>
    <row r="12170" spans="59:62" x14ac:dyDescent="0.3">
      <c r="BG12170" s="387"/>
      <c r="BH12170" s="386"/>
      <c r="BI12170" s="386"/>
      <c r="BJ12170" s="46"/>
    </row>
    <row r="12171" spans="59:62" x14ac:dyDescent="0.3">
      <c r="BG12171" s="387"/>
      <c r="BH12171" s="386"/>
      <c r="BI12171" s="386"/>
      <c r="BJ12171" s="46"/>
    </row>
    <row r="12172" spans="59:62" x14ac:dyDescent="0.3">
      <c r="BG12172" s="387"/>
      <c r="BH12172" s="386"/>
      <c r="BI12172" s="386"/>
      <c r="BJ12172" s="46"/>
    </row>
    <row r="12173" spans="59:62" x14ac:dyDescent="0.3">
      <c r="BG12173" s="387"/>
      <c r="BH12173" s="386"/>
      <c r="BI12173" s="386"/>
      <c r="BJ12173" s="46"/>
    </row>
    <row r="12174" spans="59:62" x14ac:dyDescent="0.3">
      <c r="BG12174" s="387"/>
      <c r="BH12174" s="386"/>
      <c r="BI12174" s="386"/>
      <c r="BJ12174" s="46"/>
    </row>
    <row r="12175" spans="59:62" x14ac:dyDescent="0.3">
      <c r="BG12175" s="387"/>
      <c r="BH12175" s="386"/>
      <c r="BI12175" s="386"/>
      <c r="BJ12175" s="46"/>
    </row>
    <row r="12176" spans="59:62" x14ac:dyDescent="0.3">
      <c r="BG12176" s="387"/>
      <c r="BH12176" s="386"/>
      <c r="BI12176" s="386"/>
      <c r="BJ12176" s="46"/>
    </row>
    <row r="12177" spans="59:62" x14ac:dyDescent="0.3">
      <c r="BG12177" s="387"/>
      <c r="BH12177" s="386"/>
      <c r="BI12177" s="386"/>
      <c r="BJ12177" s="46"/>
    </row>
    <row r="12178" spans="59:62" x14ac:dyDescent="0.3">
      <c r="BG12178" s="387"/>
      <c r="BH12178" s="386"/>
      <c r="BI12178" s="386"/>
      <c r="BJ12178" s="46"/>
    </row>
    <row r="12179" spans="59:62" x14ac:dyDescent="0.3">
      <c r="BG12179" s="387"/>
      <c r="BH12179" s="386"/>
      <c r="BI12179" s="386"/>
      <c r="BJ12179" s="46"/>
    </row>
    <row r="12180" spans="59:62" x14ac:dyDescent="0.3">
      <c r="BG12180" s="387"/>
      <c r="BH12180" s="386"/>
      <c r="BI12180" s="386"/>
      <c r="BJ12180" s="46"/>
    </row>
    <row r="12181" spans="59:62" x14ac:dyDescent="0.3">
      <c r="BG12181" s="387"/>
      <c r="BH12181" s="386"/>
      <c r="BI12181" s="386"/>
      <c r="BJ12181" s="46"/>
    </row>
    <row r="12182" spans="59:62" x14ac:dyDescent="0.3">
      <c r="BG12182" s="387"/>
      <c r="BH12182" s="386"/>
      <c r="BI12182" s="386"/>
      <c r="BJ12182" s="46"/>
    </row>
    <row r="12183" spans="59:62" x14ac:dyDescent="0.3">
      <c r="BG12183" s="387"/>
      <c r="BH12183" s="386"/>
      <c r="BI12183" s="386"/>
      <c r="BJ12183" s="46"/>
    </row>
    <row r="12184" spans="59:62" x14ac:dyDescent="0.3">
      <c r="BG12184" s="387"/>
      <c r="BH12184" s="386"/>
      <c r="BI12184" s="386"/>
      <c r="BJ12184" s="46"/>
    </row>
    <row r="12185" spans="59:62" x14ac:dyDescent="0.3">
      <c r="BG12185" s="387"/>
      <c r="BH12185" s="386"/>
      <c r="BI12185" s="386"/>
      <c r="BJ12185" s="46"/>
    </row>
    <row r="12186" spans="59:62" x14ac:dyDescent="0.3">
      <c r="BG12186" s="387"/>
      <c r="BH12186" s="386"/>
      <c r="BI12186" s="386"/>
      <c r="BJ12186" s="46"/>
    </row>
    <row r="12187" spans="59:62" x14ac:dyDescent="0.3">
      <c r="BG12187" s="387"/>
      <c r="BH12187" s="386"/>
      <c r="BI12187" s="386"/>
      <c r="BJ12187" s="46"/>
    </row>
    <row r="12188" spans="59:62" x14ac:dyDescent="0.3">
      <c r="BG12188" s="387"/>
      <c r="BH12188" s="386"/>
      <c r="BI12188" s="386"/>
      <c r="BJ12188" s="46"/>
    </row>
    <row r="12189" spans="59:62" x14ac:dyDescent="0.3">
      <c r="BG12189" s="387"/>
      <c r="BH12189" s="386"/>
      <c r="BI12189" s="386"/>
      <c r="BJ12189" s="46"/>
    </row>
    <row r="12190" spans="59:62" x14ac:dyDescent="0.3">
      <c r="BG12190" s="387"/>
      <c r="BH12190" s="386"/>
      <c r="BI12190" s="386"/>
      <c r="BJ12190" s="46"/>
    </row>
    <row r="12191" spans="59:62" x14ac:dyDescent="0.3">
      <c r="BG12191" s="387"/>
      <c r="BH12191" s="386"/>
      <c r="BI12191" s="386"/>
      <c r="BJ12191" s="46"/>
    </row>
    <row r="12192" spans="59:62" x14ac:dyDescent="0.3">
      <c r="BG12192" s="387"/>
      <c r="BH12192" s="386"/>
      <c r="BI12192" s="386"/>
      <c r="BJ12192" s="46"/>
    </row>
    <row r="12193" spans="59:62" x14ac:dyDescent="0.3">
      <c r="BG12193" s="387"/>
      <c r="BH12193" s="386"/>
      <c r="BI12193" s="386"/>
      <c r="BJ12193" s="46"/>
    </row>
    <row r="12194" spans="59:62" x14ac:dyDescent="0.3">
      <c r="BG12194" s="387"/>
      <c r="BH12194" s="386"/>
      <c r="BI12194" s="386"/>
      <c r="BJ12194" s="46"/>
    </row>
    <row r="12195" spans="59:62" x14ac:dyDescent="0.3">
      <c r="BG12195" s="387"/>
      <c r="BH12195" s="386"/>
      <c r="BI12195" s="386"/>
      <c r="BJ12195" s="46"/>
    </row>
    <row r="12196" spans="59:62" x14ac:dyDescent="0.3">
      <c r="BG12196" s="387"/>
      <c r="BH12196" s="386"/>
      <c r="BI12196" s="386"/>
      <c r="BJ12196" s="46"/>
    </row>
    <row r="12197" spans="59:62" x14ac:dyDescent="0.3">
      <c r="BG12197" s="387"/>
      <c r="BH12197" s="386"/>
      <c r="BI12197" s="386"/>
      <c r="BJ12197" s="46"/>
    </row>
    <row r="12198" spans="59:62" x14ac:dyDescent="0.3">
      <c r="BG12198" s="387"/>
      <c r="BH12198" s="386"/>
      <c r="BI12198" s="386"/>
      <c r="BJ12198" s="46"/>
    </row>
    <row r="12199" spans="59:62" x14ac:dyDescent="0.3">
      <c r="BG12199" s="387"/>
      <c r="BH12199" s="386"/>
      <c r="BI12199" s="386"/>
      <c r="BJ12199" s="46"/>
    </row>
    <row r="12200" spans="59:62" x14ac:dyDescent="0.3">
      <c r="BG12200" s="387"/>
      <c r="BH12200" s="386"/>
      <c r="BI12200" s="386"/>
      <c r="BJ12200" s="46"/>
    </row>
    <row r="12201" spans="59:62" x14ac:dyDescent="0.3">
      <c r="BG12201" s="387"/>
      <c r="BH12201" s="386"/>
      <c r="BI12201" s="386"/>
      <c r="BJ12201" s="46"/>
    </row>
    <row r="12202" spans="59:62" x14ac:dyDescent="0.3">
      <c r="BG12202" s="387"/>
      <c r="BH12202" s="386"/>
      <c r="BI12202" s="386"/>
      <c r="BJ12202" s="46"/>
    </row>
    <row r="12203" spans="59:62" x14ac:dyDescent="0.3">
      <c r="BG12203" s="387"/>
      <c r="BH12203" s="386"/>
      <c r="BI12203" s="386"/>
      <c r="BJ12203" s="46"/>
    </row>
    <row r="12204" spans="59:62" x14ac:dyDescent="0.3">
      <c r="BG12204" s="387"/>
      <c r="BH12204" s="386"/>
      <c r="BI12204" s="386"/>
      <c r="BJ12204" s="46"/>
    </row>
    <row r="12205" spans="59:62" x14ac:dyDescent="0.3">
      <c r="BG12205" s="387"/>
      <c r="BH12205" s="386"/>
      <c r="BI12205" s="386"/>
      <c r="BJ12205" s="46"/>
    </row>
    <row r="12206" spans="59:62" x14ac:dyDescent="0.3">
      <c r="BG12206" s="387"/>
      <c r="BH12206" s="386"/>
      <c r="BI12206" s="386"/>
      <c r="BJ12206" s="46"/>
    </row>
    <row r="12207" spans="59:62" x14ac:dyDescent="0.3">
      <c r="BG12207" s="387"/>
      <c r="BH12207" s="386"/>
      <c r="BI12207" s="386"/>
      <c r="BJ12207" s="46"/>
    </row>
    <row r="12208" spans="59:62" x14ac:dyDescent="0.3">
      <c r="BG12208" s="387"/>
      <c r="BH12208" s="386"/>
      <c r="BI12208" s="386"/>
      <c r="BJ12208" s="46"/>
    </row>
    <row r="12209" spans="59:62" x14ac:dyDescent="0.3">
      <c r="BG12209" s="387"/>
      <c r="BH12209" s="386"/>
      <c r="BI12209" s="386"/>
      <c r="BJ12209" s="46"/>
    </row>
    <row r="12210" spans="59:62" x14ac:dyDescent="0.3">
      <c r="BG12210" s="387"/>
      <c r="BH12210" s="386"/>
      <c r="BI12210" s="386"/>
      <c r="BJ12210" s="46"/>
    </row>
    <row r="12211" spans="59:62" x14ac:dyDescent="0.3">
      <c r="BG12211" s="387"/>
      <c r="BH12211" s="386"/>
      <c r="BI12211" s="386"/>
      <c r="BJ12211" s="46"/>
    </row>
    <row r="12212" spans="59:62" x14ac:dyDescent="0.3">
      <c r="BG12212" s="387"/>
      <c r="BH12212" s="386"/>
      <c r="BI12212" s="386"/>
      <c r="BJ12212" s="46"/>
    </row>
    <row r="12213" spans="59:62" x14ac:dyDescent="0.3">
      <c r="BG12213" s="387"/>
      <c r="BH12213" s="386"/>
      <c r="BI12213" s="386"/>
      <c r="BJ12213" s="46"/>
    </row>
    <row r="12214" spans="59:62" x14ac:dyDescent="0.3">
      <c r="BG12214" s="387"/>
      <c r="BH12214" s="386"/>
      <c r="BI12214" s="386"/>
      <c r="BJ12214" s="46"/>
    </row>
    <row r="12215" spans="59:62" x14ac:dyDescent="0.3">
      <c r="BG12215" s="387"/>
      <c r="BH12215" s="386"/>
      <c r="BI12215" s="386"/>
      <c r="BJ12215" s="46"/>
    </row>
    <row r="12216" spans="59:62" x14ac:dyDescent="0.3">
      <c r="BG12216" s="387"/>
      <c r="BH12216" s="386"/>
      <c r="BI12216" s="386"/>
      <c r="BJ12216" s="46"/>
    </row>
    <row r="12217" spans="59:62" x14ac:dyDescent="0.3">
      <c r="BG12217" s="387"/>
      <c r="BH12217" s="386"/>
      <c r="BI12217" s="386"/>
      <c r="BJ12217" s="46"/>
    </row>
    <row r="12218" spans="59:62" x14ac:dyDescent="0.3">
      <c r="BG12218" s="387"/>
      <c r="BH12218" s="386"/>
      <c r="BI12218" s="386"/>
      <c r="BJ12218" s="46"/>
    </row>
    <row r="12219" spans="59:62" x14ac:dyDescent="0.3">
      <c r="BG12219" s="387"/>
      <c r="BH12219" s="386"/>
      <c r="BI12219" s="386"/>
      <c r="BJ12219" s="46"/>
    </row>
    <row r="12220" spans="59:62" x14ac:dyDescent="0.3">
      <c r="BG12220" s="387"/>
      <c r="BH12220" s="386"/>
      <c r="BI12220" s="386"/>
      <c r="BJ12220" s="46"/>
    </row>
    <row r="12221" spans="59:62" x14ac:dyDescent="0.3">
      <c r="BG12221" s="387"/>
      <c r="BH12221" s="386"/>
      <c r="BI12221" s="386"/>
      <c r="BJ12221" s="46"/>
    </row>
    <row r="12222" spans="59:62" x14ac:dyDescent="0.3">
      <c r="BG12222" s="387"/>
      <c r="BH12222" s="386"/>
      <c r="BI12222" s="386"/>
      <c r="BJ12222" s="46"/>
    </row>
    <row r="12223" spans="59:62" x14ac:dyDescent="0.3">
      <c r="BG12223" s="387"/>
      <c r="BH12223" s="386"/>
      <c r="BI12223" s="386"/>
      <c r="BJ12223" s="46"/>
    </row>
    <row r="12224" spans="59:62" x14ac:dyDescent="0.3">
      <c r="BG12224" s="387"/>
      <c r="BH12224" s="386"/>
      <c r="BI12224" s="386"/>
      <c r="BJ12224" s="46"/>
    </row>
    <row r="12225" spans="59:62" x14ac:dyDescent="0.3">
      <c r="BG12225" s="387"/>
      <c r="BH12225" s="386"/>
      <c r="BI12225" s="386"/>
      <c r="BJ12225" s="46"/>
    </row>
    <row r="12226" spans="59:62" x14ac:dyDescent="0.3">
      <c r="BG12226" s="387"/>
      <c r="BH12226" s="386"/>
      <c r="BI12226" s="386"/>
      <c r="BJ12226" s="46"/>
    </row>
    <row r="12227" spans="59:62" x14ac:dyDescent="0.3">
      <c r="BG12227" s="387"/>
      <c r="BH12227" s="386"/>
      <c r="BI12227" s="386"/>
      <c r="BJ12227" s="46"/>
    </row>
    <row r="12228" spans="59:62" x14ac:dyDescent="0.3">
      <c r="BG12228" s="387"/>
      <c r="BH12228" s="386"/>
      <c r="BI12228" s="386"/>
      <c r="BJ12228" s="46"/>
    </row>
    <row r="12229" spans="59:62" x14ac:dyDescent="0.3">
      <c r="BG12229" s="387"/>
      <c r="BH12229" s="386"/>
      <c r="BI12229" s="386"/>
      <c r="BJ12229" s="46"/>
    </row>
    <row r="12230" spans="59:62" x14ac:dyDescent="0.3">
      <c r="BG12230" s="387"/>
      <c r="BH12230" s="386"/>
      <c r="BI12230" s="386"/>
      <c r="BJ12230" s="46"/>
    </row>
    <row r="12231" spans="59:62" x14ac:dyDescent="0.3">
      <c r="BG12231" s="387"/>
      <c r="BH12231" s="386"/>
      <c r="BI12231" s="386"/>
      <c r="BJ12231" s="46"/>
    </row>
    <row r="12232" spans="59:62" x14ac:dyDescent="0.3">
      <c r="BG12232" s="387"/>
      <c r="BH12232" s="386"/>
      <c r="BI12232" s="386"/>
      <c r="BJ12232" s="46"/>
    </row>
    <row r="12233" spans="59:62" x14ac:dyDescent="0.3">
      <c r="BG12233" s="387"/>
      <c r="BH12233" s="386"/>
      <c r="BI12233" s="386"/>
      <c r="BJ12233" s="46"/>
    </row>
    <row r="12234" spans="59:62" x14ac:dyDescent="0.3">
      <c r="BG12234" s="387"/>
      <c r="BH12234" s="386"/>
      <c r="BI12234" s="386"/>
      <c r="BJ12234" s="46"/>
    </row>
    <row r="12235" spans="59:62" x14ac:dyDescent="0.3">
      <c r="BG12235" s="387"/>
      <c r="BH12235" s="386"/>
      <c r="BI12235" s="386"/>
      <c r="BJ12235" s="46"/>
    </row>
    <row r="12236" spans="59:62" x14ac:dyDescent="0.3">
      <c r="BG12236" s="387"/>
      <c r="BH12236" s="386"/>
      <c r="BI12236" s="386"/>
      <c r="BJ12236" s="46"/>
    </row>
    <row r="12237" spans="59:62" x14ac:dyDescent="0.3">
      <c r="BG12237" s="387"/>
      <c r="BH12237" s="386"/>
      <c r="BI12237" s="386"/>
      <c r="BJ12237" s="46"/>
    </row>
    <row r="12238" spans="59:62" x14ac:dyDescent="0.3">
      <c r="BG12238" s="387"/>
      <c r="BH12238" s="386"/>
      <c r="BI12238" s="386"/>
      <c r="BJ12238" s="46"/>
    </row>
    <row r="12239" spans="59:62" x14ac:dyDescent="0.3">
      <c r="BG12239" s="387"/>
      <c r="BH12239" s="386"/>
      <c r="BI12239" s="386"/>
      <c r="BJ12239" s="46"/>
    </row>
    <row r="12240" spans="59:62" x14ac:dyDescent="0.3">
      <c r="BG12240" s="387"/>
      <c r="BH12240" s="386"/>
      <c r="BI12240" s="386"/>
      <c r="BJ12240" s="46"/>
    </row>
    <row r="12241" spans="59:62" x14ac:dyDescent="0.3">
      <c r="BG12241" s="387"/>
      <c r="BH12241" s="386"/>
      <c r="BI12241" s="386"/>
      <c r="BJ12241" s="46"/>
    </row>
    <row r="12242" spans="59:62" x14ac:dyDescent="0.3">
      <c r="BG12242" s="387"/>
      <c r="BH12242" s="386"/>
      <c r="BI12242" s="386"/>
      <c r="BJ12242" s="46"/>
    </row>
    <row r="12243" spans="59:62" x14ac:dyDescent="0.3">
      <c r="BG12243" s="387"/>
      <c r="BH12243" s="386"/>
      <c r="BI12243" s="386"/>
      <c r="BJ12243" s="46"/>
    </row>
    <row r="12244" spans="59:62" x14ac:dyDescent="0.3">
      <c r="BG12244" s="387"/>
      <c r="BH12244" s="386"/>
      <c r="BI12244" s="386"/>
      <c r="BJ12244" s="46"/>
    </row>
    <row r="12245" spans="59:62" x14ac:dyDescent="0.3">
      <c r="BG12245" s="387"/>
      <c r="BH12245" s="386"/>
      <c r="BI12245" s="386"/>
      <c r="BJ12245" s="46"/>
    </row>
    <row r="12246" spans="59:62" x14ac:dyDescent="0.3">
      <c r="BG12246" s="387"/>
      <c r="BH12246" s="386"/>
      <c r="BI12246" s="386"/>
      <c r="BJ12246" s="46"/>
    </row>
    <row r="12247" spans="59:62" x14ac:dyDescent="0.3">
      <c r="BG12247" s="387"/>
      <c r="BH12247" s="386"/>
      <c r="BI12247" s="386"/>
      <c r="BJ12247" s="46"/>
    </row>
    <row r="12248" spans="59:62" x14ac:dyDescent="0.3">
      <c r="BG12248" s="387"/>
      <c r="BH12248" s="386"/>
      <c r="BI12248" s="386"/>
      <c r="BJ12248" s="46"/>
    </row>
    <row r="12249" spans="59:62" x14ac:dyDescent="0.3">
      <c r="BG12249" s="387"/>
      <c r="BH12249" s="386"/>
      <c r="BI12249" s="386"/>
      <c r="BJ12249" s="46"/>
    </row>
    <row r="12250" spans="59:62" x14ac:dyDescent="0.3">
      <c r="BG12250" s="387"/>
      <c r="BH12250" s="386"/>
      <c r="BI12250" s="386"/>
      <c r="BJ12250" s="46"/>
    </row>
    <row r="12251" spans="59:62" x14ac:dyDescent="0.3">
      <c r="BG12251" s="387"/>
      <c r="BH12251" s="386"/>
      <c r="BI12251" s="386"/>
      <c r="BJ12251" s="46"/>
    </row>
    <row r="12252" spans="59:62" x14ac:dyDescent="0.3">
      <c r="BG12252" s="387"/>
      <c r="BH12252" s="386"/>
      <c r="BI12252" s="386"/>
      <c r="BJ12252" s="46"/>
    </row>
    <row r="12253" spans="59:62" x14ac:dyDescent="0.3">
      <c r="BG12253" s="387"/>
      <c r="BH12253" s="386"/>
      <c r="BI12253" s="386"/>
      <c r="BJ12253" s="46"/>
    </row>
    <row r="12254" spans="59:62" x14ac:dyDescent="0.3">
      <c r="BG12254" s="387"/>
      <c r="BH12254" s="386"/>
      <c r="BI12254" s="386"/>
      <c r="BJ12254" s="46"/>
    </row>
    <row r="12255" spans="59:62" x14ac:dyDescent="0.3">
      <c r="BG12255" s="387"/>
      <c r="BH12255" s="386"/>
      <c r="BI12255" s="386"/>
      <c r="BJ12255" s="46"/>
    </row>
    <row r="12256" spans="59:62" x14ac:dyDescent="0.3">
      <c r="BG12256" s="387"/>
      <c r="BH12256" s="386"/>
      <c r="BI12256" s="386"/>
      <c r="BJ12256" s="46"/>
    </row>
    <row r="12257" spans="59:62" x14ac:dyDescent="0.3">
      <c r="BG12257" s="387"/>
      <c r="BH12257" s="386"/>
      <c r="BI12257" s="386"/>
      <c r="BJ12257" s="46"/>
    </row>
    <row r="12258" spans="59:62" x14ac:dyDescent="0.3">
      <c r="BG12258" s="387"/>
      <c r="BH12258" s="386"/>
      <c r="BI12258" s="386"/>
      <c r="BJ12258" s="46"/>
    </row>
    <row r="12259" spans="59:62" x14ac:dyDescent="0.3">
      <c r="BG12259" s="387"/>
      <c r="BH12259" s="386"/>
      <c r="BI12259" s="386"/>
      <c r="BJ12259" s="46"/>
    </row>
    <row r="12260" spans="59:62" x14ac:dyDescent="0.3">
      <c r="BG12260" s="387"/>
      <c r="BH12260" s="386"/>
      <c r="BI12260" s="386"/>
      <c r="BJ12260" s="46"/>
    </row>
    <row r="12261" spans="59:62" x14ac:dyDescent="0.3">
      <c r="BG12261" s="387"/>
      <c r="BH12261" s="386"/>
      <c r="BI12261" s="386"/>
      <c r="BJ12261" s="46"/>
    </row>
    <row r="12262" spans="59:62" x14ac:dyDescent="0.3">
      <c r="BG12262" s="387"/>
      <c r="BH12262" s="386"/>
      <c r="BI12262" s="386"/>
      <c r="BJ12262" s="46"/>
    </row>
    <row r="12263" spans="59:62" x14ac:dyDescent="0.3">
      <c r="BG12263" s="387"/>
      <c r="BH12263" s="386"/>
      <c r="BI12263" s="386"/>
      <c r="BJ12263" s="46"/>
    </row>
    <row r="12264" spans="59:62" x14ac:dyDescent="0.3">
      <c r="BG12264" s="387"/>
      <c r="BH12264" s="386"/>
      <c r="BI12264" s="386"/>
      <c r="BJ12264" s="46"/>
    </row>
    <row r="12265" spans="59:62" x14ac:dyDescent="0.3">
      <c r="BG12265" s="387"/>
      <c r="BH12265" s="386"/>
      <c r="BI12265" s="386"/>
      <c r="BJ12265" s="46"/>
    </row>
    <row r="12266" spans="59:62" x14ac:dyDescent="0.3">
      <c r="BG12266" s="387"/>
      <c r="BH12266" s="386"/>
      <c r="BI12266" s="386"/>
      <c r="BJ12266" s="46"/>
    </row>
    <row r="12267" spans="59:62" x14ac:dyDescent="0.3">
      <c r="BG12267" s="387"/>
      <c r="BH12267" s="386"/>
      <c r="BI12267" s="386"/>
      <c r="BJ12267" s="46"/>
    </row>
    <row r="12268" spans="59:62" x14ac:dyDescent="0.3">
      <c r="BG12268" s="387"/>
      <c r="BH12268" s="386"/>
      <c r="BI12268" s="386"/>
      <c r="BJ12268" s="46"/>
    </row>
    <row r="12269" spans="59:62" x14ac:dyDescent="0.3">
      <c r="BG12269" s="387"/>
      <c r="BH12269" s="386"/>
      <c r="BI12269" s="386"/>
      <c r="BJ12269" s="46"/>
    </row>
    <row r="12270" spans="59:62" x14ac:dyDescent="0.3">
      <c r="BG12270" s="387"/>
      <c r="BH12270" s="386"/>
      <c r="BI12270" s="386"/>
      <c r="BJ12270" s="46"/>
    </row>
    <row r="12271" spans="59:62" x14ac:dyDescent="0.3">
      <c r="BG12271" s="387"/>
      <c r="BH12271" s="386"/>
      <c r="BI12271" s="386"/>
      <c r="BJ12271" s="46"/>
    </row>
    <row r="12272" spans="59:62" x14ac:dyDescent="0.3">
      <c r="BG12272" s="387"/>
      <c r="BH12272" s="386"/>
      <c r="BI12272" s="386"/>
      <c r="BJ12272" s="46"/>
    </row>
    <row r="12273" spans="59:62" x14ac:dyDescent="0.3">
      <c r="BG12273" s="387"/>
      <c r="BH12273" s="386"/>
      <c r="BI12273" s="386"/>
      <c r="BJ12273" s="46"/>
    </row>
    <row r="12274" spans="59:62" x14ac:dyDescent="0.3">
      <c r="BG12274" s="387"/>
      <c r="BH12274" s="386"/>
      <c r="BI12274" s="386"/>
      <c r="BJ12274" s="46"/>
    </row>
    <row r="12275" spans="59:62" x14ac:dyDescent="0.3">
      <c r="BG12275" s="387"/>
      <c r="BH12275" s="386"/>
      <c r="BI12275" s="386"/>
      <c r="BJ12275" s="46"/>
    </row>
    <row r="12276" spans="59:62" x14ac:dyDescent="0.3">
      <c r="BG12276" s="387"/>
      <c r="BH12276" s="386"/>
      <c r="BI12276" s="386"/>
      <c r="BJ12276" s="46"/>
    </row>
    <row r="12277" spans="59:62" x14ac:dyDescent="0.3">
      <c r="BG12277" s="387"/>
      <c r="BH12277" s="386"/>
      <c r="BI12277" s="386"/>
      <c r="BJ12277" s="46"/>
    </row>
    <row r="12278" spans="59:62" x14ac:dyDescent="0.3">
      <c r="BG12278" s="387"/>
      <c r="BH12278" s="386"/>
      <c r="BI12278" s="386"/>
      <c r="BJ12278" s="46"/>
    </row>
    <row r="12279" spans="59:62" x14ac:dyDescent="0.3">
      <c r="BG12279" s="387"/>
      <c r="BH12279" s="386"/>
      <c r="BI12279" s="386"/>
      <c r="BJ12279" s="46"/>
    </row>
    <row r="12280" spans="59:62" x14ac:dyDescent="0.3">
      <c r="BG12280" s="387"/>
      <c r="BH12280" s="386"/>
      <c r="BI12280" s="386"/>
      <c r="BJ12280" s="46"/>
    </row>
    <row r="12281" spans="59:62" x14ac:dyDescent="0.3">
      <c r="BG12281" s="387"/>
      <c r="BH12281" s="386"/>
      <c r="BI12281" s="386"/>
      <c r="BJ12281" s="46"/>
    </row>
    <row r="12282" spans="59:62" x14ac:dyDescent="0.3">
      <c r="BG12282" s="387"/>
      <c r="BH12282" s="386"/>
      <c r="BI12282" s="386"/>
      <c r="BJ12282" s="46"/>
    </row>
    <row r="12283" spans="59:62" x14ac:dyDescent="0.3">
      <c r="BG12283" s="387"/>
      <c r="BH12283" s="386"/>
      <c r="BI12283" s="386"/>
      <c r="BJ12283" s="46"/>
    </row>
    <row r="12284" spans="59:62" x14ac:dyDescent="0.3">
      <c r="BG12284" s="387"/>
      <c r="BH12284" s="386"/>
      <c r="BI12284" s="386"/>
      <c r="BJ12284" s="46"/>
    </row>
    <row r="12285" spans="59:62" x14ac:dyDescent="0.3">
      <c r="BG12285" s="387"/>
      <c r="BH12285" s="386"/>
      <c r="BI12285" s="386"/>
      <c r="BJ12285" s="46"/>
    </row>
    <row r="12286" spans="59:62" x14ac:dyDescent="0.3">
      <c r="BG12286" s="387"/>
      <c r="BH12286" s="386"/>
      <c r="BI12286" s="386"/>
      <c r="BJ12286" s="46"/>
    </row>
    <row r="12287" spans="59:62" x14ac:dyDescent="0.3">
      <c r="BG12287" s="387"/>
      <c r="BH12287" s="386"/>
      <c r="BI12287" s="386"/>
      <c r="BJ12287" s="46"/>
    </row>
    <row r="12288" spans="59:62" x14ac:dyDescent="0.3">
      <c r="BG12288" s="387"/>
      <c r="BH12288" s="386"/>
      <c r="BI12288" s="386"/>
      <c r="BJ12288" s="46"/>
    </row>
    <row r="12289" spans="59:62" x14ac:dyDescent="0.3">
      <c r="BG12289" s="387"/>
      <c r="BH12289" s="386"/>
      <c r="BI12289" s="386"/>
      <c r="BJ12289" s="46"/>
    </row>
    <row r="12290" spans="59:62" x14ac:dyDescent="0.3">
      <c r="BG12290" s="387"/>
      <c r="BH12290" s="386"/>
      <c r="BI12290" s="386"/>
      <c r="BJ12290" s="46"/>
    </row>
    <row r="12291" spans="59:62" x14ac:dyDescent="0.3">
      <c r="BG12291" s="387"/>
      <c r="BH12291" s="386"/>
      <c r="BI12291" s="386"/>
      <c r="BJ12291" s="46"/>
    </row>
    <row r="12292" spans="59:62" x14ac:dyDescent="0.3">
      <c r="BG12292" s="387"/>
      <c r="BH12292" s="386"/>
      <c r="BI12292" s="386"/>
      <c r="BJ12292" s="46"/>
    </row>
    <row r="12293" spans="59:62" x14ac:dyDescent="0.3">
      <c r="BG12293" s="387"/>
      <c r="BH12293" s="386"/>
      <c r="BI12293" s="386"/>
      <c r="BJ12293" s="46"/>
    </row>
    <row r="12294" spans="59:62" x14ac:dyDescent="0.3">
      <c r="BG12294" s="387"/>
      <c r="BH12294" s="386"/>
      <c r="BI12294" s="386"/>
      <c r="BJ12294" s="46"/>
    </row>
    <row r="12295" spans="59:62" x14ac:dyDescent="0.3">
      <c r="BG12295" s="387"/>
      <c r="BH12295" s="386"/>
      <c r="BI12295" s="386"/>
      <c r="BJ12295" s="46"/>
    </row>
    <row r="12296" spans="59:62" x14ac:dyDescent="0.3">
      <c r="BG12296" s="387"/>
      <c r="BH12296" s="386"/>
      <c r="BI12296" s="386"/>
      <c r="BJ12296" s="46"/>
    </row>
    <row r="12297" spans="59:62" x14ac:dyDescent="0.3">
      <c r="BG12297" s="387"/>
      <c r="BH12297" s="386"/>
      <c r="BI12297" s="386"/>
      <c r="BJ12297" s="46"/>
    </row>
    <row r="12298" spans="59:62" x14ac:dyDescent="0.3">
      <c r="BG12298" s="387"/>
      <c r="BH12298" s="386"/>
      <c r="BI12298" s="386"/>
      <c r="BJ12298" s="46"/>
    </row>
    <row r="12299" spans="59:62" x14ac:dyDescent="0.3">
      <c r="BG12299" s="387"/>
      <c r="BH12299" s="386"/>
      <c r="BI12299" s="386"/>
      <c r="BJ12299" s="46"/>
    </row>
    <row r="12300" spans="59:62" x14ac:dyDescent="0.3">
      <c r="BG12300" s="387"/>
      <c r="BH12300" s="386"/>
      <c r="BI12300" s="386"/>
      <c r="BJ12300" s="46"/>
    </row>
    <row r="12301" spans="59:62" x14ac:dyDescent="0.3">
      <c r="BG12301" s="387"/>
      <c r="BH12301" s="386"/>
      <c r="BI12301" s="386"/>
      <c r="BJ12301" s="46"/>
    </row>
    <row r="12302" spans="59:62" x14ac:dyDescent="0.3">
      <c r="BG12302" s="387"/>
      <c r="BH12302" s="386"/>
      <c r="BI12302" s="386"/>
      <c r="BJ12302" s="46"/>
    </row>
    <row r="12303" spans="59:62" x14ac:dyDescent="0.3">
      <c r="BG12303" s="387"/>
      <c r="BH12303" s="386"/>
      <c r="BI12303" s="386"/>
      <c r="BJ12303" s="46"/>
    </row>
    <row r="12304" spans="59:62" x14ac:dyDescent="0.3">
      <c r="BG12304" s="387"/>
      <c r="BH12304" s="386"/>
      <c r="BI12304" s="386"/>
      <c r="BJ12304" s="46"/>
    </row>
    <row r="12305" spans="59:62" x14ac:dyDescent="0.3">
      <c r="BG12305" s="387"/>
      <c r="BH12305" s="386"/>
      <c r="BI12305" s="386"/>
      <c r="BJ12305" s="46"/>
    </row>
    <row r="12306" spans="59:62" x14ac:dyDescent="0.3">
      <c r="BG12306" s="387"/>
      <c r="BH12306" s="386"/>
      <c r="BI12306" s="386"/>
      <c r="BJ12306" s="46"/>
    </row>
    <row r="12307" spans="59:62" x14ac:dyDescent="0.3">
      <c r="BG12307" s="387"/>
      <c r="BH12307" s="386"/>
      <c r="BI12307" s="386"/>
      <c r="BJ12307" s="46"/>
    </row>
    <row r="12308" spans="59:62" x14ac:dyDescent="0.3">
      <c r="BG12308" s="387"/>
      <c r="BH12308" s="386"/>
      <c r="BI12308" s="386"/>
      <c r="BJ12308" s="46"/>
    </row>
    <row r="12309" spans="59:62" x14ac:dyDescent="0.3">
      <c r="BG12309" s="387"/>
      <c r="BH12309" s="386"/>
      <c r="BI12309" s="386"/>
      <c r="BJ12309" s="46"/>
    </row>
    <row r="12310" spans="59:62" x14ac:dyDescent="0.3">
      <c r="BG12310" s="387"/>
      <c r="BH12310" s="386"/>
      <c r="BI12310" s="386"/>
      <c r="BJ12310" s="46"/>
    </row>
    <row r="12311" spans="59:62" x14ac:dyDescent="0.3">
      <c r="BG12311" s="387"/>
      <c r="BH12311" s="386"/>
      <c r="BI12311" s="386"/>
      <c r="BJ12311" s="46"/>
    </row>
    <row r="12312" spans="59:62" x14ac:dyDescent="0.3">
      <c r="BG12312" s="387"/>
      <c r="BH12312" s="386"/>
      <c r="BI12312" s="386"/>
      <c r="BJ12312" s="46"/>
    </row>
    <row r="12313" spans="59:62" x14ac:dyDescent="0.3">
      <c r="BG12313" s="387"/>
      <c r="BH12313" s="386"/>
      <c r="BI12313" s="386"/>
      <c r="BJ12313" s="46"/>
    </row>
    <row r="12314" spans="59:62" x14ac:dyDescent="0.3">
      <c r="BG12314" s="387"/>
      <c r="BH12314" s="386"/>
      <c r="BI12314" s="386"/>
      <c r="BJ12314" s="46"/>
    </row>
    <row r="12315" spans="59:62" x14ac:dyDescent="0.3">
      <c r="BG12315" s="387"/>
      <c r="BH12315" s="386"/>
      <c r="BI12315" s="386"/>
      <c r="BJ12315" s="46"/>
    </row>
    <row r="12316" spans="59:62" x14ac:dyDescent="0.3">
      <c r="BG12316" s="387"/>
      <c r="BH12316" s="386"/>
      <c r="BI12316" s="386"/>
      <c r="BJ12316" s="46"/>
    </row>
    <row r="12317" spans="59:62" x14ac:dyDescent="0.3">
      <c r="BG12317" s="387"/>
      <c r="BH12317" s="386"/>
      <c r="BI12317" s="386"/>
      <c r="BJ12317" s="46"/>
    </row>
    <row r="12318" spans="59:62" x14ac:dyDescent="0.3">
      <c r="BG12318" s="387"/>
      <c r="BH12318" s="386"/>
      <c r="BI12318" s="386"/>
      <c r="BJ12318" s="46"/>
    </row>
    <row r="12319" spans="59:62" x14ac:dyDescent="0.3">
      <c r="BG12319" s="387"/>
      <c r="BH12319" s="386"/>
      <c r="BI12319" s="386"/>
      <c r="BJ12319" s="46"/>
    </row>
    <row r="12320" spans="59:62" x14ac:dyDescent="0.3">
      <c r="BG12320" s="387"/>
      <c r="BH12320" s="386"/>
      <c r="BI12320" s="386"/>
      <c r="BJ12320" s="46"/>
    </row>
    <row r="12321" spans="59:62" x14ac:dyDescent="0.3">
      <c r="BG12321" s="387"/>
      <c r="BH12321" s="386"/>
      <c r="BI12321" s="386"/>
      <c r="BJ12321" s="46"/>
    </row>
    <row r="12322" spans="59:62" x14ac:dyDescent="0.3">
      <c r="BG12322" s="387"/>
      <c r="BH12322" s="386"/>
      <c r="BI12322" s="386"/>
      <c r="BJ12322" s="46"/>
    </row>
    <row r="12323" spans="59:62" x14ac:dyDescent="0.3">
      <c r="BG12323" s="387"/>
      <c r="BH12323" s="386"/>
      <c r="BI12323" s="386"/>
      <c r="BJ12323" s="46"/>
    </row>
    <row r="12324" spans="59:62" x14ac:dyDescent="0.3">
      <c r="BG12324" s="387"/>
      <c r="BH12324" s="386"/>
      <c r="BI12324" s="386"/>
      <c r="BJ12324" s="46"/>
    </row>
    <row r="12325" spans="59:62" x14ac:dyDescent="0.3">
      <c r="BG12325" s="387"/>
      <c r="BH12325" s="386"/>
      <c r="BI12325" s="386"/>
      <c r="BJ12325" s="46"/>
    </row>
    <row r="12326" spans="59:62" x14ac:dyDescent="0.3">
      <c r="BG12326" s="387"/>
      <c r="BH12326" s="386"/>
      <c r="BI12326" s="386"/>
      <c r="BJ12326" s="46"/>
    </row>
    <row r="12327" spans="59:62" x14ac:dyDescent="0.3">
      <c r="BG12327" s="387"/>
      <c r="BH12327" s="386"/>
      <c r="BI12327" s="386"/>
      <c r="BJ12327" s="46"/>
    </row>
    <row r="12328" spans="59:62" x14ac:dyDescent="0.3">
      <c r="BG12328" s="387"/>
      <c r="BH12328" s="386"/>
      <c r="BI12328" s="386"/>
      <c r="BJ12328" s="46"/>
    </row>
    <row r="12329" spans="59:62" x14ac:dyDescent="0.3">
      <c r="BG12329" s="387"/>
      <c r="BH12329" s="386"/>
      <c r="BI12329" s="386"/>
      <c r="BJ12329" s="46"/>
    </row>
    <row r="12330" spans="59:62" x14ac:dyDescent="0.3">
      <c r="BG12330" s="387"/>
      <c r="BH12330" s="386"/>
      <c r="BI12330" s="386"/>
      <c r="BJ12330" s="46"/>
    </row>
    <row r="12331" spans="59:62" x14ac:dyDescent="0.3">
      <c r="BG12331" s="387"/>
      <c r="BH12331" s="386"/>
      <c r="BI12331" s="386"/>
      <c r="BJ12331" s="46"/>
    </row>
    <row r="12332" spans="59:62" x14ac:dyDescent="0.3">
      <c r="BG12332" s="387"/>
      <c r="BH12332" s="386"/>
      <c r="BI12332" s="386"/>
      <c r="BJ12332" s="46"/>
    </row>
    <row r="12333" spans="59:62" x14ac:dyDescent="0.3">
      <c r="BG12333" s="387"/>
      <c r="BH12333" s="386"/>
      <c r="BI12333" s="386"/>
      <c r="BJ12333" s="46"/>
    </row>
    <row r="12334" spans="59:62" x14ac:dyDescent="0.3">
      <c r="BG12334" s="387"/>
      <c r="BH12334" s="386"/>
      <c r="BI12334" s="386"/>
      <c r="BJ12334" s="46"/>
    </row>
    <row r="12335" spans="59:62" x14ac:dyDescent="0.3">
      <c r="BG12335" s="387"/>
      <c r="BH12335" s="386"/>
      <c r="BI12335" s="386"/>
      <c r="BJ12335" s="46"/>
    </row>
    <row r="12336" spans="59:62" x14ac:dyDescent="0.3">
      <c r="BG12336" s="387"/>
      <c r="BH12336" s="386"/>
      <c r="BI12336" s="386"/>
      <c r="BJ12336" s="46"/>
    </row>
    <row r="12337" spans="59:62" x14ac:dyDescent="0.3">
      <c r="BG12337" s="387"/>
      <c r="BH12337" s="386"/>
      <c r="BI12337" s="386"/>
      <c r="BJ12337" s="46"/>
    </row>
    <row r="12338" spans="59:62" x14ac:dyDescent="0.3">
      <c r="BG12338" s="387"/>
      <c r="BH12338" s="386"/>
      <c r="BI12338" s="386"/>
      <c r="BJ12338" s="46"/>
    </row>
    <row r="12339" spans="59:62" x14ac:dyDescent="0.3">
      <c r="BG12339" s="387"/>
      <c r="BH12339" s="386"/>
      <c r="BI12339" s="386"/>
      <c r="BJ12339" s="46"/>
    </row>
    <row r="12340" spans="59:62" x14ac:dyDescent="0.3">
      <c r="BG12340" s="387"/>
      <c r="BH12340" s="386"/>
      <c r="BI12340" s="386"/>
      <c r="BJ12340" s="46"/>
    </row>
    <row r="12341" spans="59:62" x14ac:dyDescent="0.3">
      <c r="BG12341" s="387"/>
      <c r="BH12341" s="386"/>
      <c r="BI12341" s="386"/>
      <c r="BJ12341" s="46"/>
    </row>
    <row r="12342" spans="59:62" x14ac:dyDescent="0.3">
      <c r="BG12342" s="387"/>
      <c r="BH12342" s="386"/>
      <c r="BI12342" s="386"/>
      <c r="BJ12342" s="46"/>
    </row>
    <row r="12343" spans="59:62" x14ac:dyDescent="0.3">
      <c r="BG12343" s="387"/>
      <c r="BH12343" s="386"/>
      <c r="BI12343" s="386"/>
      <c r="BJ12343" s="46"/>
    </row>
    <row r="12344" spans="59:62" x14ac:dyDescent="0.3">
      <c r="BG12344" s="387"/>
      <c r="BH12344" s="386"/>
      <c r="BI12344" s="386"/>
      <c r="BJ12344" s="46"/>
    </row>
    <row r="12345" spans="59:62" x14ac:dyDescent="0.3">
      <c r="BG12345" s="387"/>
      <c r="BH12345" s="386"/>
      <c r="BI12345" s="386"/>
      <c r="BJ12345" s="46"/>
    </row>
    <row r="12346" spans="59:62" x14ac:dyDescent="0.3">
      <c r="BG12346" s="387"/>
      <c r="BH12346" s="386"/>
      <c r="BI12346" s="386"/>
      <c r="BJ12346" s="46"/>
    </row>
    <row r="12347" spans="59:62" x14ac:dyDescent="0.3">
      <c r="BG12347" s="387"/>
      <c r="BH12347" s="386"/>
      <c r="BI12347" s="386"/>
      <c r="BJ12347" s="46"/>
    </row>
    <row r="12348" spans="59:62" x14ac:dyDescent="0.3">
      <c r="BG12348" s="387"/>
      <c r="BH12348" s="386"/>
      <c r="BI12348" s="386"/>
      <c r="BJ12348" s="46"/>
    </row>
    <row r="12349" spans="59:62" x14ac:dyDescent="0.3">
      <c r="BG12349" s="387"/>
      <c r="BH12349" s="386"/>
      <c r="BI12349" s="386"/>
      <c r="BJ12349" s="46"/>
    </row>
    <row r="12350" spans="59:62" x14ac:dyDescent="0.3">
      <c r="BG12350" s="387"/>
      <c r="BH12350" s="386"/>
      <c r="BI12350" s="386"/>
      <c r="BJ12350" s="46"/>
    </row>
    <row r="12351" spans="59:62" x14ac:dyDescent="0.3">
      <c r="BG12351" s="387"/>
      <c r="BH12351" s="386"/>
      <c r="BI12351" s="386"/>
      <c r="BJ12351" s="46"/>
    </row>
    <row r="12352" spans="59:62" x14ac:dyDescent="0.3">
      <c r="BG12352" s="387"/>
      <c r="BH12352" s="386"/>
      <c r="BI12352" s="386"/>
      <c r="BJ12352" s="46"/>
    </row>
    <row r="12353" spans="59:62" x14ac:dyDescent="0.3">
      <c r="BG12353" s="387"/>
      <c r="BH12353" s="386"/>
      <c r="BI12353" s="386"/>
      <c r="BJ12353" s="46"/>
    </row>
    <row r="12354" spans="59:62" x14ac:dyDescent="0.3">
      <c r="BG12354" s="387"/>
      <c r="BH12354" s="386"/>
      <c r="BI12354" s="386"/>
      <c r="BJ12354" s="46"/>
    </row>
    <row r="12355" spans="59:62" x14ac:dyDescent="0.3">
      <c r="BG12355" s="387"/>
      <c r="BH12355" s="386"/>
      <c r="BI12355" s="386"/>
      <c r="BJ12355" s="46"/>
    </row>
    <row r="12356" spans="59:62" x14ac:dyDescent="0.3">
      <c r="BG12356" s="387"/>
      <c r="BH12356" s="386"/>
      <c r="BI12356" s="386"/>
      <c r="BJ12356" s="46"/>
    </row>
    <row r="12357" spans="59:62" x14ac:dyDescent="0.3">
      <c r="BG12357" s="387"/>
      <c r="BH12357" s="386"/>
      <c r="BI12357" s="386"/>
      <c r="BJ12357" s="46"/>
    </row>
    <row r="12358" spans="59:62" x14ac:dyDescent="0.3">
      <c r="BG12358" s="387"/>
      <c r="BH12358" s="386"/>
      <c r="BI12358" s="386"/>
      <c r="BJ12358" s="46"/>
    </row>
    <row r="12359" spans="59:62" x14ac:dyDescent="0.3">
      <c r="BG12359" s="387"/>
      <c r="BH12359" s="386"/>
      <c r="BI12359" s="386"/>
      <c r="BJ12359" s="46"/>
    </row>
    <row r="12360" spans="59:62" x14ac:dyDescent="0.3">
      <c r="BG12360" s="387"/>
      <c r="BH12360" s="386"/>
      <c r="BI12360" s="386"/>
      <c r="BJ12360" s="46"/>
    </row>
    <row r="12361" spans="59:62" x14ac:dyDescent="0.3">
      <c r="BG12361" s="387"/>
      <c r="BH12361" s="386"/>
      <c r="BI12361" s="386"/>
      <c r="BJ12361" s="46"/>
    </row>
    <row r="12362" spans="59:62" x14ac:dyDescent="0.3">
      <c r="BG12362" s="387"/>
      <c r="BH12362" s="386"/>
      <c r="BI12362" s="386"/>
      <c r="BJ12362" s="46"/>
    </row>
    <row r="12363" spans="59:62" x14ac:dyDescent="0.3">
      <c r="BG12363" s="387"/>
      <c r="BH12363" s="386"/>
      <c r="BI12363" s="386"/>
      <c r="BJ12363" s="46"/>
    </row>
    <row r="12364" spans="59:62" x14ac:dyDescent="0.3">
      <c r="BG12364" s="387"/>
      <c r="BH12364" s="386"/>
      <c r="BI12364" s="386"/>
      <c r="BJ12364" s="46"/>
    </row>
    <row r="12365" spans="59:62" x14ac:dyDescent="0.3">
      <c r="BG12365" s="387"/>
      <c r="BH12365" s="386"/>
      <c r="BI12365" s="386"/>
      <c r="BJ12365" s="46"/>
    </row>
    <row r="12366" spans="59:62" x14ac:dyDescent="0.3">
      <c r="BG12366" s="387"/>
      <c r="BH12366" s="386"/>
      <c r="BI12366" s="386"/>
      <c r="BJ12366" s="46"/>
    </row>
    <row r="12367" spans="59:62" x14ac:dyDescent="0.3">
      <c r="BG12367" s="387"/>
      <c r="BH12367" s="386"/>
      <c r="BI12367" s="386"/>
      <c r="BJ12367" s="46"/>
    </row>
    <row r="12368" spans="59:62" x14ac:dyDescent="0.3">
      <c r="BG12368" s="387"/>
      <c r="BH12368" s="386"/>
      <c r="BI12368" s="386"/>
      <c r="BJ12368" s="46"/>
    </row>
    <row r="12369" spans="59:62" x14ac:dyDescent="0.3">
      <c r="BG12369" s="387"/>
      <c r="BH12369" s="386"/>
      <c r="BI12369" s="386"/>
      <c r="BJ12369" s="46"/>
    </row>
    <row r="12370" spans="59:62" x14ac:dyDescent="0.3">
      <c r="BG12370" s="387"/>
      <c r="BH12370" s="386"/>
      <c r="BI12370" s="386"/>
      <c r="BJ12370" s="46"/>
    </row>
    <row r="12371" spans="59:62" x14ac:dyDescent="0.3">
      <c r="BG12371" s="387"/>
      <c r="BH12371" s="386"/>
      <c r="BI12371" s="386"/>
      <c r="BJ12371" s="46"/>
    </row>
    <row r="12372" spans="59:62" x14ac:dyDescent="0.3">
      <c r="BG12372" s="387"/>
      <c r="BH12372" s="386"/>
      <c r="BI12372" s="386"/>
      <c r="BJ12372" s="46"/>
    </row>
    <row r="12373" spans="59:62" x14ac:dyDescent="0.3">
      <c r="BG12373" s="387"/>
      <c r="BH12373" s="386"/>
      <c r="BI12373" s="386"/>
      <c r="BJ12373" s="46"/>
    </row>
    <row r="12374" spans="59:62" x14ac:dyDescent="0.3">
      <c r="BG12374" s="387"/>
      <c r="BH12374" s="386"/>
      <c r="BI12374" s="386"/>
      <c r="BJ12374" s="46"/>
    </row>
    <row r="12375" spans="59:62" x14ac:dyDescent="0.3">
      <c r="BG12375" s="387"/>
      <c r="BH12375" s="386"/>
      <c r="BI12375" s="386"/>
      <c r="BJ12375" s="46"/>
    </row>
    <row r="12376" spans="59:62" x14ac:dyDescent="0.3">
      <c r="BG12376" s="387"/>
      <c r="BH12376" s="386"/>
      <c r="BI12376" s="386"/>
      <c r="BJ12376" s="46"/>
    </row>
    <row r="12377" spans="59:62" x14ac:dyDescent="0.3">
      <c r="BG12377" s="387"/>
      <c r="BH12377" s="386"/>
      <c r="BI12377" s="386"/>
      <c r="BJ12377" s="46"/>
    </row>
    <row r="12378" spans="59:62" x14ac:dyDescent="0.3">
      <c r="BG12378" s="387"/>
      <c r="BH12378" s="386"/>
      <c r="BI12378" s="386"/>
      <c r="BJ12378" s="46"/>
    </row>
    <row r="12379" spans="59:62" x14ac:dyDescent="0.3">
      <c r="BG12379" s="387"/>
      <c r="BH12379" s="386"/>
      <c r="BI12379" s="386"/>
      <c r="BJ12379" s="46"/>
    </row>
    <row r="12380" spans="59:62" x14ac:dyDescent="0.3">
      <c r="BG12380" s="387"/>
      <c r="BH12380" s="386"/>
      <c r="BI12380" s="386"/>
      <c r="BJ12380" s="46"/>
    </row>
    <row r="12381" spans="59:62" x14ac:dyDescent="0.3">
      <c r="BG12381" s="387"/>
      <c r="BH12381" s="386"/>
      <c r="BI12381" s="386"/>
      <c r="BJ12381" s="46"/>
    </row>
    <row r="12382" spans="59:62" x14ac:dyDescent="0.3">
      <c r="BG12382" s="387"/>
      <c r="BH12382" s="386"/>
      <c r="BI12382" s="386"/>
      <c r="BJ12382" s="46"/>
    </row>
    <row r="12383" spans="59:62" x14ac:dyDescent="0.3">
      <c r="BG12383" s="387"/>
      <c r="BH12383" s="386"/>
      <c r="BI12383" s="386"/>
      <c r="BJ12383" s="46"/>
    </row>
    <row r="12384" spans="59:62" x14ac:dyDescent="0.3">
      <c r="BG12384" s="387"/>
      <c r="BH12384" s="386"/>
      <c r="BI12384" s="386"/>
      <c r="BJ12384" s="46"/>
    </row>
    <row r="12385" spans="59:62" x14ac:dyDescent="0.3">
      <c r="BG12385" s="387"/>
      <c r="BH12385" s="386"/>
      <c r="BI12385" s="386"/>
      <c r="BJ12385" s="46"/>
    </row>
    <row r="12386" spans="59:62" x14ac:dyDescent="0.3">
      <c r="BG12386" s="387"/>
      <c r="BH12386" s="386"/>
      <c r="BI12386" s="386"/>
      <c r="BJ12386" s="46"/>
    </row>
    <row r="12387" spans="59:62" x14ac:dyDescent="0.3">
      <c r="BG12387" s="387"/>
      <c r="BH12387" s="386"/>
      <c r="BI12387" s="386"/>
      <c r="BJ12387" s="46"/>
    </row>
    <row r="12388" spans="59:62" x14ac:dyDescent="0.3">
      <c r="BG12388" s="387"/>
      <c r="BH12388" s="386"/>
      <c r="BI12388" s="386"/>
      <c r="BJ12388" s="46"/>
    </row>
    <row r="12389" spans="59:62" x14ac:dyDescent="0.3">
      <c r="BG12389" s="387"/>
      <c r="BH12389" s="386"/>
      <c r="BI12389" s="386"/>
      <c r="BJ12389" s="46"/>
    </row>
    <row r="12390" spans="59:62" x14ac:dyDescent="0.3">
      <c r="BG12390" s="387"/>
      <c r="BH12390" s="386"/>
      <c r="BI12390" s="386"/>
      <c r="BJ12390" s="46"/>
    </row>
    <row r="12391" spans="59:62" x14ac:dyDescent="0.3">
      <c r="BG12391" s="387"/>
      <c r="BH12391" s="386"/>
      <c r="BI12391" s="386"/>
      <c r="BJ12391" s="46"/>
    </row>
    <row r="12392" spans="59:62" x14ac:dyDescent="0.3">
      <c r="BG12392" s="387"/>
      <c r="BH12392" s="386"/>
      <c r="BI12392" s="386"/>
      <c r="BJ12392" s="46"/>
    </row>
    <row r="12393" spans="59:62" x14ac:dyDescent="0.3">
      <c r="BG12393" s="387"/>
      <c r="BH12393" s="386"/>
      <c r="BI12393" s="386"/>
      <c r="BJ12393" s="46"/>
    </row>
    <row r="12394" spans="59:62" x14ac:dyDescent="0.3">
      <c r="BG12394" s="387"/>
      <c r="BH12394" s="386"/>
      <c r="BI12394" s="386"/>
      <c r="BJ12394" s="46"/>
    </row>
    <row r="12395" spans="59:62" x14ac:dyDescent="0.3">
      <c r="BG12395" s="387"/>
      <c r="BH12395" s="386"/>
      <c r="BI12395" s="386"/>
      <c r="BJ12395" s="46"/>
    </row>
    <row r="12396" spans="59:62" x14ac:dyDescent="0.3">
      <c r="BG12396" s="387"/>
      <c r="BH12396" s="386"/>
      <c r="BI12396" s="386"/>
      <c r="BJ12396" s="46"/>
    </row>
    <row r="12397" spans="59:62" x14ac:dyDescent="0.3">
      <c r="BG12397" s="387"/>
      <c r="BH12397" s="386"/>
      <c r="BI12397" s="386"/>
      <c r="BJ12397" s="46"/>
    </row>
    <row r="12398" spans="59:62" x14ac:dyDescent="0.3">
      <c r="BG12398" s="387"/>
      <c r="BH12398" s="386"/>
      <c r="BI12398" s="386"/>
      <c r="BJ12398" s="46"/>
    </row>
    <row r="12399" spans="59:62" x14ac:dyDescent="0.3">
      <c r="BG12399" s="387"/>
      <c r="BH12399" s="386"/>
      <c r="BI12399" s="386"/>
      <c r="BJ12399" s="46"/>
    </row>
    <row r="12400" spans="59:62" x14ac:dyDescent="0.3">
      <c r="BG12400" s="387"/>
      <c r="BH12400" s="386"/>
      <c r="BI12400" s="386"/>
      <c r="BJ12400" s="46"/>
    </row>
    <row r="12401" spans="59:62" x14ac:dyDescent="0.3">
      <c r="BG12401" s="387"/>
      <c r="BH12401" s="386"/>
      <c r="BI12401" s="386"/>
      <c r="BJ12401" s="46"/>
    </row>
    <row r="12402" spans="59:62" x14ac:dyDescent="0.3">
      <c r="BG12402" s="387"/>
      <c r="BH12402" s="386"/>
      <c r="BI12402" s="386"/>
      <c r="BJ12402" s="46"/>
    </row>
    <row r="12403" spans="59:62" x14ac:dyDescent="0.3">
      <c r="BG12403" s="387"/>
      <c r="BH12403" s="386"/>
      <c r="BI12403" s="386"/>
      <c r="BJ12403" s="46"/>
    </row>
    <row r="12404" spans="59:62" x14ac:dyDescent="0.3">
      <c r="BG12404" s="387"/>
      <c r="BH12404" s="386"/>
      <c r="BI12404" s="386"/>
      <c r="BJ12404" s="46"/>
    </row>
    <row r="12405" spans="59:62" x14ac:dyDescent="0.3">
      <c r="BG12405" s="387"/>
      <c r="BH12405" s="386"/>
      <c r="BI12405" s="386"/>
      <c r="BJ12405" s="46"/>
    </row>
    <row r="12406" spans="59:62" x14ac:dyDescent="0.3">
      <c r="BG12406" s="387"/>
      <c r="BH12406" s="386"/>
      <c r="BI12406" s="386"/>
      <c r="BJ12406" s="46"/>
    </row>
    <row r="12407" spans="59:62" x14ac:dyDescent="0.3">
      <c r="BG12407" s="387"/>
      <c r="BH12407" s="386"/>
      <c r="BI12407" s="386"/>
      <c r="BJ12407" s="46"/>
    </row>
    <row r="12408" spans="59:62" x14ac:dyDescent="0.3">
      <c r="BG12408" s="387"/>
      <c r="BH12408" s="386"/>
      <c r="BI12408" s="386"/>
      <c r="BJ12408" s="46"/>
    </row>
    <row r="12409" spans="59:62" x14ac:dyDescent="0.3">
      <c r="BG12409" s="387"/>
      <c r="BH12409" s="386"/>
      <c r="BI12409" s="386"/>
      <c r="BJ12409" s="46"/>
    </row>
    <row r="12410" spans="59:62" x14ac:dyDescent="0.3">
      <c r="BG12410" s="387"/>
      <c r="BH12410" s="386"/>
      <c r="BI12410" s="386"/>
      <c r="BJ12410" s="46"/>
    </row>
    <row r="12411" spans="59:62" x14ac:dyDescent="0.3">
      <c r="BG12411" s="387"/>
      <c r="BH12411" s="386"/>
      <c r="BI12411" s="386"/>
      <c r="BJ12411" s="46"/>
    </row>
    <row r="12412" spans="59:62" x14ac:dyDescent="0.3">
      <c r="BG12412" s="387"/>
      <c r="BH12412" s="386"/>
      <c r="BI12412" s="386"/>
      <c r="BJ12412" s="46"/>
    </row>
    <row r="12413" spans="59:62" x14ac:dyDescent="0.3">
      <c r="BG12413" s="387"/>
      <c r="BH12413" s="386"/>
      <c r="BI12413" s="386"/>
      <c r="BJ12413" s="46"/>
    </row>
    <row r="12414" spans="59:62" x14ac:dyDescent="0.3">
      <c r="BG12414" s="387"/>
      <c r="BH12414" s="386"/>
      <c r="BI12414" s="386"/>
      <c r="BJ12414" s="46"/>
    </row>
    <row r="12415" spans="59:62" x14ac:dyDescent="0.3">
      <c r="BG12415" s="387"/>
      <c r="BH12415" s="386"/>
      <c r="BI12415" s="386"/>
      <c r="BJ12415" s="46"/>
    </row>
    <row r="12416" spans="59:62" x14ac:dyDescent="0.3">
      <c r="BG12416" s="387"/>
      <c r="BH12416" s="386"/>
      <c r="BI12416" s="386"/>
      <c r="BJ12416" s="46"/>
    </row>
    <row r="12417" spans="59:62" x14ac:dyDescent="0.3">
      <c r="BG12417" s="387"/>
      <c r="BH12417" s="386"/>
      <c r="BI12417" s="386"/>
      <c r="BJ12417" s="46"/>
    </row>
    <row r="12418" spans="59:62" x14ac:dyDescent="0.3">
      <c r="BG12418" s="387"/>
      <c r="BH12418" s="386"/>
      <c r="BI12418" s="386"/>
      <c r="BJ12418" s="46"/>
    </row>
    <row r="12419" spans="59:62" x14ac:dyDescent="0.3">
      <c r="BG12419" s="387"/>
      <c r="BH12419" s="386"/>
      <c r="BI12419" s="386"/>
      <c r="BJ12419" s="46"/>
    </row>
    <row r="12420" spans="59:62" x14ac:dyDescent="0.3">
      <c r="BG12420" s="387"/>
      <c r="BH12420" s="386"/>
      <c r="BI12420" s="386"/>
      <c r="BJ12420" s="46"/>
    </row>
    <row r="12421" spans="59:62" x14ac:dyDescent="0.3">
      <c r="BG12421" s="387"/>
      <c r="BH12421" s="386"/>
      <c r="BI12421" s="386"/>
      <c r="BJ12421" s="46"/>
    </row>
    <row r="12422" spans="59:62" x14ac:dyDescent="0.3">
      <c r="BG12422" s="387"/>
      <c r="BH12422" s="386"/>
      <c r="BI12422" s="386"/>
      <c r="BJ12422" s="46"/>
    </row>
    <row r="12423" spans="59:62" x14ac:dyDescent="0.3">
      <c r="BG12423" s="387"/>
      <c r="BH12423" s="386"/>
      <c r="BI12423" s="386"/>
      <c r="BJ12423" s="46"/>
    </row>
    <row r="12424" spans="59:62" x14ac:dyDescent="0.3">
      <c r="BG12424" s="387"/>
      <c r="BH12424" s="386"/>
      <c r="BI12424" s="386"/>
      <c r="BJ12424" s="46"/>
    </row>
    <row r="12425" spans="59:62" x14ac:dyDescent="0.3">
      <c r="BG12425" s="387"/>
      <c r="BH12425" s="386"/>
      <c r="BI12425" s="386"/>
      <c r="BJ12425" s="46"/>
    </row>
    <row r="12426" spans="59:62" x14ac:dyDescent="0.3">
      <c r="BG12426" s="387"/>
      <c r="BH12426" s="386"/>
      <c r="BI12426" s="386"/>
      <c r="BJ12426" s="46"/>
    </row>
    <row r="12427" spans="59:62" x14ac:dyDescent="0.3">
      <c r="BG12427" s="387"/>
      <c r="BH12427" s="386"/>
      <c r="BI12427" s="386"/>
      <c r="BJ12427" s="46"/>
    </row>
    <row r="12428" spans="59:62" x14ac:dyDescent="0.3">
      <c r="BG12428" s="387"/>
      <c r="BH12428" s="386"/>
      <c r="BI12428" s="386"/>
      <c r="BJ12428" s="46"/>
    </row>
    <row r="12429" spans="59:62" x14ac:dyDescent="0.3">
      <c r="BG12429" s="387"/>
      <c r="BH12429" s="386"/>
      <c r="BI12429" s="386"/>
      <c r="BJ12429" s="46"/>
    </row>
    <row r="12430" spans="59:62" x14ac:dyDescent="0.3">
      <c r="BG12430" s="387"/>
      <c r="BH12430" s="386"/>
      <c r="BI12430" s="386"/>
      <c r="BJ12430" s="46"/>
    </row>
    <row r="12431" spans="59:62" x14ac:dyDescent="0.3">
      <c r="BG12431" s="387"/>
      <c r="BH12431" s="386"/>
      <c r="BI12431" s="386"/>
      <c r="BJ12431" s="46"/>
    </row>
    <row r="12432" spans="59:62" x14ac:dyDescent="0.3">
      <c r="BG12432" s="387"/>
      <c r="BH12432" s="386"/>
      <c r="BI12432" s="386"/>
      <c r="BJ12432" s="46"/>
    </row>
    <row r="12433" spans="59:62" x14ac:dyDescent="0.3">
      <c r="BG12433" s="387"/>
      <c r="BH12433" s="386"/>
      <c r="BI12433" s="386"/>
      <c r="BJ12433" s="46"/>
    </row>
    <row r="12434" spans="59:62" x14ac:dyDescent="0.3">
      <c r="BG12434" s="387"/>
      <c r="BH12434" s="386"/>
      <c r="BI12434" s="386"/>
      <c r="BJ12434" s="46"/>
    </row>
    <row r="12435" spans="59:62" x14ac:dyDescent="0.3">
      <c r="BG12435" s="387"/>
      <c r="BH12435" s="386"/>
      <c r="BI12435" s="386"/>
      <c r="BJ12435" s="46"/>
    </row>
    <row r="12436" spans="59:62" x14ac:dyDescent="0.3">
      <c r="BG12436" s="387"/>
      <c r="BH12436" s="386"/>
      <c r="BI12436" s="386"/>
      <c r="BJ12436" s="46"/>
    </row>
    <row r="12437" spans="59:62" x14ac:dyDescent="0.3">
      <c r="BG12437" s="387"/>
      <c r="BH12437" s="386"/>
      <c r="BI12437" s="386"/>
      <c r="BJ12437" s="46"/>
    </row>
    <row r="12438" spans="59:62" x14ac:dyDescent="0.3">
      <c r="BG12438" s="387"/>
      <c r="BH12438" s="386"/>
      <c r="BI12438" s="386"/>
      <c r="BJ12438" s="46"/>
    </row>
    <row r="12439" spans="59:62" x14ac:dyDescent="0.3">
      <c r="BG12439" s="387"/>
      <c r="BH12439" s="386"/>
      <c r="BI12439" s="386"/>
      <c r="BJ12439" s="46"/>
    </row>
    <row r="12440" spans="59:62" x14ac:dyDescent="0.3">
      <c r="BG12440" s="387"/>
      <c r="BH12440" s="386"/>
      <c r="BI12440" s="386"/>
      <c r="BJ12440" s="46"/>
    </row>
    <row r="12441" spans="59:62" x14ac:dyDescent="0.3">
      <c r="BG12441" s="387"/>
      <c r="BH12441" s="386"/>
      <c r="BI12441" s="386"/>
      <c r="BJ12441" s="46"/>
    </row>
    <row r="12442" spans="59:62" x14ac:dyDescent="0.3">
      <c r="BG12442" s="387"/>
      <c r="BH12442" s="386"/>
      <c r="BI12442" s="386"/>
      <c r="BJ12442" s="46"/>
    </row>
    <row r="12443" spans="59:62" x14ac:dyDescent="0.3">
      <c r="BG12443" s="387"/>
      <c r="BH12443" s="386"/>
      <c r="BI12443" s="386"/>
      <c r="BJ12443" s="46"/>
    </row>
    <row r="12444" spans="59:62" x14ac:dyDescent="0.3">
      <c r="BG12444" s="387"/>
      <c r="BH12444" s="386"/>
      <c r="BI12444" s="386"/>
      <c r="BJ12444" s="46"/>
    </row>
    <row r="12445" spans="59:62" x14ac:dyDescent="0.3">
      <c r="BG12445" s="387"/>
      <c r="BH12445" s="386"/>
      <c r="BI12445" s="386"/>
      <c r="BJ12445" s="46"/>
    </row>
    <row r="12446" spans="59:62" x14ac:dyDescent="0.3">
      <c r="BG12446" s="387"/>
      <c r="BH12446" s="386"/>
      <c r="BI12446" s="386"/>
      <c r="BJ12446" s="46"/>
    </row>
    <row r="12447" spans="59:62" x14ac:dyDescent="0.3">
      <c r="BG12447" s="387"/>
      <c r="BH12447" s="386"/>
      <c r="BI12447" s="386"/>
      <c r="BJ12447" s="46"/>
    </row>
    <row r="12448" spans="59:62" x14ac:dyDescent="0.3">
      <c r="BG12448" s="387"/>
      <c r="BH12448" s="386"/>
      <c r="BI12448" s="386"/>
      <c r="BJ12448" s="46"/>
    </row>
    <row r="12449" spans="59:62" x14ac:dyDescent="0.3">
      <c r="BG12449" s="387"/>
      <c r="BH12449" s="386"/>
      <c r="BI12449" s="386"/>
      <c r="BJ12449" s="46"/>
    </row>
    <row r="12450" spans="59:62" x14ac:dyDescent="0.3">
      <c r="BG12450" s="387"/>
      <c r="BH12450" s="386"/>
      <c r="BI12450" s="386"/>
      <c r="BJ12450" s="46"/>
    </row>
    <row r="12451" spans="59:62" x14ac:dyDescent="0.3">
      <c r="BG12451" s="387"/>
      <c r="BH12451" s="386"/>
      <c r="BI12451" s="386"/>
      <c r="BJ12451" s="46"/>
    </row>
    <row r="12452" spans="59:62" x14ac:dyDescent="0.3">
      <c r="BG12452" s="387"/>
      <c r="BH12452" s="386"/>
      <c r="BI12452" s="386"/>
      <c r="BJ12452" s="46"/>
    </row>
    <row r="12453" spans="59:62" x14ac:dyDescent="0.3">
      <c r="BG12453" s="387"/>
      <c r="BH12453" s="386"/>
      <c r="BI12453" s="386"/>
      <c r="BJ12453" s="46"/>
    </row>
    <row r="12454" spans="59:62" x14ac:dyDescent="0.3">
      <c r="BG12454" s="387"/>
      <c r="BH12454" s="386"/>
      <c r="BI12454" s="386"/>
      <c r="BJ12454" s="46"/>
    </row>
    <row r="12455" spans="59:62" x14ac:dyDescent="0.3">
      <c r="BG12455" s="387"/>
      <c r="BH12455" s="386"/>
      <c r="BI12455" s="386"/>
      <c r="BJ12455" s="46"/>
    </row>
    <row r="12456" spans="59:62" x14ac:dyDescent="0.3">
      <c r="BG12456" s="387"/>
      <c r="BH12456" s="386"/>
      <c r="BI12456" s="386"/>
      <c r="BJ12456" s="46"/>
    </row>
    <row r="12457" spans="59:62" x14ac:dyDescent="0.3">
      <c r="BG12457" s="387"/>
      <c r="BH12457" s="386"/>
      <c r="BI12457" s="386"/>
      <c r="BJ12457" s="46"/>
    </row>
    <row r="12458" spans="59:62" x14ac:dyDescent="0.3">
      <c r="BG12458" s="387"/>
      <c r="BH12458" s="386"/>
      <c r="BI12458" s="386"/>
      <c r="BJ12458" s="46"/>
    </row>
    <row r="12459" spans="59:62" x14ac:dyDescent="0.3">
      <c r="BG12459" s="387"/>
      <c r="BH12459" s="386"/>
      <c r="BI12459" s="386"/>
      <c r="BJ12459" s="46"/>
    </row>
    <row r="12460" spans="59:62" x14ac:dyDescent="0.3">
      <c r="BG12460" s="387"/>
      <c r="BH12460" s="386"/>
      <c r="BI12460" s="386"/>
      <c r="BJ12460" s="46"/>
    </row>
    <row r="12461" spans="59:62" x14ac:dyDescent="0.3">
      <c r="BG12461" s="387"/>
      <c r="BH12461" s="386"/>
      <c r="BI12461" s="386"/>
      <c r="BJ12461" s="46"/>
    </row>
    <row r="12462" spans="59:62" x14ac:dyDescent="0.3">
      <c r="BG12462" s="387"/>
      <c r="BH12462" s="386"/>
      <c r="BI12462" s="386"/>
      <c r="BJ12462" s="46"/>
    </row>
    <row r="12463" spans="59:62" x14ac:dyDescent="0.3">
      <c r="BG12463" s="387"/>
      <c r="BH12463" s="386"/>
      <c r="BI12463" s="386"/>
      <c r="BJ12463" s="46"/>
    </row>
    <row r="12464" spans="59:62" x14ac:dyDescent="0.3">
      <c r="BG12464" s="387"/>
      <c r="BH12464" s="386"/>
      <c r="BI12464" s="386"/>
      <c r="BJ12464" s="46"/>
    </row>
    <row r="12465" spans="59:62" x14ac:dyDescent="0.3">
      <c r="BG12465" s="387"/>
      <c r="BH12465" s="386"/>
      <c r="BI12465" s="386"/>
      <c r="BJ12465" s="46"/>
    </row>
    <row r="12466" spans="59:62" x14ac:dyDescent="0.3">
      <c r="BG12466" s="387"/>
      <c r="BH12466" s="386"/>
      <c r="BI12466" s="386"/>
      <c r="BJ12466" s="46"/>
    </row>
    <row r="12467" spans="59:62" x14ac:dyDescent="0.3">
      <c r="BG12467" s="387"/>
      <c r="BH12467" s="386"/>
      <c r="BI12467" s="386"/>
      <c r="BJ12467" s="46"/>
    </row>
    <row r="12468" spans="59:62" x14ac:dyDescent="0.3">
      <c r="BG12468" s="387"/>
      <c r="BH12468" s="386"/>
      <c r="BI12468" s="386"/>
      <c r="BJ12468" s="46"/>
    </row>
    <row r="12469" spans="59:62" x14ac:dyDescent="0.3">
      <c r="BG12469" s="387"/>
      <c r="BH12469" s="386"/>
      <c r="BI12469" s="386"/>
      <c r="BJ12469" s="46"/>
    </row>
    <row r="12470" spans="59:62" x14ac:dyDescent="0.3">
      <c r="BG12470" s="387"/>
      <c r="BH12470" s="386"/>
      <c r="BI12470" s="386"/>
      <c r="BJ12470" s="46"/>
    </row>
    <row r="12471" spans="59:62" x14ac:dyDescent="0.3">
      <c r="BG12471" s="387"/>
      <c r="BH12471" s="386"/>
      <c r="BI12471" s="386"/>
      <c r="BJ12471" s="46"/>
    </row>
    <row r="12472" spans="59:62" x14ac:dyDescent="0.3">
      <c r="BG12472" s="387"/>
      <c r="BH12472" s="386"/>
      <c r="BI12472" s="386"/>
      <c r="BJ12472" s="46"/>
    </row>
    <row r="12473" spans="59:62" x14ac:dyDescent="0.3">
      <c r="BG12473" s="387"/>
      <c r="BH12473" s="386"/>
      <c r="BI12473" s="386"/>
      <c r="BJ12473" s="46"/>
    </row>
    <row r="12474" spans="59:62" x14ac:dyDescent="0.3">
      <c r="BG12474" s="387"/>
      <c r="BH12474" s="386"/>
      <c r="BI12474" s="386"/>
      <c r="BJ12474" s="46"/>
    </row>
    <row r="12475" spans="59:62" x14ac:dyDescent="0.3">
      <c r="BG12475" s="387"/>
      <c r="BH12475" s="386"/>
      <c r="BI12475" s="386"/>
      <c r="BJ12475" s="46"/>
    </row>
    <row r="12476" spans="59:62" x14ac:dyDescent="0.3">
      <c r="BG12476" s="387"/>
      <c r="BH12476" s="386"/>
      <c r="BI12476" s="386"/>
      <c r="BJ12476" s="46"/>
    </row>
    <row r="12477" spans="59:62" x14ac:dyDescent="0.3">
      <c r="BG12477" s="387"/>
      <c r="BH12477" s="386"/>
      <c r="BI12477" s="386"/>
      <c r="BJ12477" s="46"/>
    </row>
    <row r="12478" spans="59:62" x14ac:dyDescent="0.3">
      <c r="BG12478" s="387"/>
      <c r="BH12478" s="386"/>
      <c r="BI12478" s="386"/>
      <c r="BJ12478" s="46"/>
    </row>
    <row r="12479" spans="59:62" x14ac:dyDescent="0.3">
      <c r="BG12479" s="387"/>
      <c r="BH12479" s="386"/>
      <c r="BI12479" s="386"/>
      <c r="BJ12479" s="46"/>
    </row>
    <row r="12480" spans="59:62" x14ac:dyDescent="0.3">
      <c r="BG12480" s="387"/>
      <c r="BH12480" s="386"/>
      <c r="BI12480" s="386"/>
      <c r="BJ12480" s="46"/>
    </row>
    <row r="12481" spans="59:62" x14ac:dyDescent="0.3">
      <c r="BG12481" s="387"/>
      <c r="BH12481" s="386"/>
      <c r="BI12481" s="386"/>
      <c r="BJ12481" s="46"/>
    </row>
    <row r="12482" spans="59:62" x14ac:dyDescent="0.3">
      <c r="BG12482" s="387"/>
      <c r="BH12482" s="386"/>
      <c r="BI12482" s="386"/>
      <c r="BJ12482" s="46"/>
    </row>
    <row r="12483" spans="59:62" x14ac:dyDescent="0.3">
      <c r="BG12483" s="387"/>
      <c r="BH12483" s="386"/>
      <c r="BI12483" s="386"/>
      <c r="BJ12483" s="46"/>
    </row>
    <row r="12484" spans="59:62" x14ac:dyDescent="0.3">
      <c r="BG12484" s="387"/>
      <c r="BH12484" s="386"/>
      <c r="BI12484" s="386"/>
      <c r="BJ12484" s="46"/>
    </row>
    <row r="12485" spans="59:62" x14ac:dyDescent="0.3">
      <c r="BG12485" s="387"/>
      <c r="BH12485" s="386"/>
      <c r="BI12485" s="386"/>
      <c r="BJ12485" s="46"/>
    </row>
    <row r="12486" spans="59:62" x14ac:dyDescent="0.3">
      <c r="BG12486" s="387"/>
      <c r="BH12486" s="386"/>
      <c r="BI12486" s="386"/>
      <c r="BJ12486" s="46"/>
    </row>
    <row r="12487" spans="59:62" x14ac:dyDescent="0.3">
      <c r="BG12487" s="387"/>
      <c r="BH12487" s="386"/>
      <c r="BI12487" s="386"/>
      <c r="BJ12487" s="46"/>
    </row>
    <row r="12488" spans="59:62" x14ac:dyDescent="0.3">
      <c r="BG12488" s="387"/>
      <c r="BH12488" s="386"/>
      <c r="BI12488" s="386"/>
      <c r="BJ12488" s="46"/>
    </row>
    <row r="12489" spans="59:62" x14ac:dyDescent="0.3">
      <c r="BG12489" s="387"/>
      <c r="BH12489" s="386"/>
      <c r="BI12489" s="386"/>
      <c r="BJ12489" s="46"/>
    </row>
    <row r="12490" spans="59:62" x14ac:dyDescent="0.3">
      <c r="BG12490" s="387"/>
      <c r="BH12490" s="386"/>
      <c r="BI12490" s="386"/>
      <c r="BJ12490" s="46"/>
    </row>
    <row r="12491" spans="59:62" x14ac:dyDescent="0.3">
      <c r="BG12491" s="387"/>
      <c r="BH12491" s="386"/>
      <c r="BI12491" s="386"/>
      <c r="BJ12491" s="46"/>
    </row>
    <row r="12492" spans="59:62" x14ac:dyDescent="0.3">
      <c r="BG12492" s="387"/>
      <c r="BH12492" s="386"/>
      <c r="BI12492" s="386"/>
      <c r="BJ12492" s="46"/>
    </row>
    <row r="12493" spans="59:62" x14ac:dyDescent="0.3">
      <c r="BG12493" s="387"/>
      <c r="BH12493" s="386"/>
      <c r="BI12493" s="386"/>
      <c r="BJ12493" s="46"/>
    </row>
    <row r="12494" spans="59:62" x14ac:dyDescent="0.3">
      <c r="BG12494" s="387"/>
      <c r="BH12494" s="386"/>
      <c r="BI12494" s="386"/>
      <c r="BJ12494" s="46"/>
    </row>
    <row r="12495" spans="59:62" x14ac:dyDescent="0.3">
      <c r="BG12495" s="387"/>
      <c r="BH12495" s="386"/>
      <c r="BI12495" s="386"/>
      <c r="BJ12495" s="46"/>
    </row>
    <row r="12496" spans="59:62" x14ac:dyDescent="0.3">
      <c r="BG12496" s="387"/>
      <c r="BH12496" s="386"/>
      <c r="BI12496" s="386"/>
      <c r="BJ12496" s="46"/>
    </row>
    <row r="12497" spans="59:62" x14ac:dyDescent="0.3">
      <c r="BG12497" s="387"/>
      <c r="BH12497" s="386"/>
      <c r="BI12497" s="386"/>
      <c r="BJ12497" s="46"/>
    </row>
    <row r="12498" spans="59:62" x14ac:dyDescent="0.3">
      <c r="BG12498" s="387"/>
      <c r="BH12498" s="386"/>
      <c r="BI12498" s="386"/>
      <c r="BJ12498" s="46"/>
    </row>
    <row r="12499" spans="59:62" x14ac:dyDescent="0.3">
      <c r="BG12499" s="387"/>
      <c r="BH12499" s="386"/>
      <c r="BI12499" s="386"/>
      <c r="BJ12499" s="46"/>
    </row>
    <row r="12500" spans="59:62" x14ac:dyDescent="0.3">
      <c r="BG12500" s="387"/>
      <c r="BH12500" s="386"/>
      <c r="BI12500" s="386"/>
      <c r="BJ12500" s="46"/>
    </row>
    <row r="12501" spans="59:62" x14ac:dyDescent="0.3">
      <c r="BG12501" s="387"/>
      <c r="BH12501" s="386"/>
      <c r="BI12501" s="386"/>
      <c r="BJ12501" s="46"/>
    </row>
    <row r="12502" spans="59:62" x14ac:dyDescent="0.3">
      <c r="BG12502" s="387"/>
      <c r="BH12502" s="386"/>
      <c r="BI12502" s="386"/>
      <c r="BJ12502" s="46"/>
    </row>
    <row r="12503" spans="59:62" x14ac:dyDescent="0.3">
      <c r="BG12503" s="387"/>
      <c r="BH12503" s="386"/>
      <c r="BI12503" s="386"/>
      <c r="BJ12503" s="46"/>
    </row>
    <row r="12504" spans="59:62" x14ac:dyDescent="0.3">
      <c r="BG12504" s="387"/>
      <c r="BH12504" s="386"/>
      <c r="BI12504" s="386"/>
      <c r="BJ12504" s="46"/>
    </row>
    <row r="12505" spans="59:62" x14ac:dyDescent="0.3">
      <c r="BG12505" s="387"/>
      <c r="BH12505" s="386"/>
      <c r="BI12505" s="386"/>
      <c r="BJ12505" s="46"/>
    </row>
    <row r="12506" spans="59:62" x14ac:dyDescent="0.3">
      <c r="BG12506" s="387"/>
      <c r="BH12506" s="386"/>
      <c r="BI12506" s="386"/>
      <c r="BJ12506" s="46"/>
    </row>
    <row r="12507" spans="59:62" x14ac:dyDescent="0.3">
      <c r="BG12507" s="387"/>
      <c r="BH12507" s="386"/>
      <c r="BI12507" s="386"/>
      <c r="BJ12507" s="46"/>
    </row>
    <row r="12508" spans="59:62" x14ac:dyDescent="0.3">
      <c r="BG12508" s="387"/>
      <c r="BH12508" s="386"/>
      <c r="BI12508" s="386"/>
      <c r="BJ12508" s="46"/>
    </row>
    <row r="12509" spans="59:62" x14ac:dyDescent="0.3">
      <c r="BG12509" s="387"/>
      <c r="BH12509" s="386"/>
      <c r="BI12509" s="386"/>
      <c r="BJ12509" s="46"/>
    </row>
    <row r="12510" spans="59:62" x14ac:dyDescent="0.3">
      <c r="BG12510" s="387"/>
      <c r="BH12510" s="386"/>
      <c r="BI12510" s="386"/>
      <c r="BJ12510" s="46"/>
    </row>
    <row r="12511" spans="59:62" x14ac:dyDescent="0.3">
      <c r="BG12511" s="387"/>
      <c r="BH12511" s="386"/>
      <c r="BI12511" s="386"/>
      <c r="BJ12511" s="46"/>
    </row>
    <row r="12512" spans="59:62" x14ac:dyDescent="0.3">
      <c r="BG12512" s="387"/>
      <c r="BH12512" s="386"/>
      <c r="BI12512" s="386"/>
      <c r="BJ12512" s="46"/>
    </row>
    <row r="12513" spans="59:62" x14ac:dyDescent="0.3">
      <c r="BG12513" s="387"/>
      <c r="BH12513" s="386"/>
      <c r="BI12513" s="386"/>
      <c r="BJ12513" s="46"/>
    </row>
    <row r="12514" spans="59:62" x14ac:dyDescent="0.3">
      <c r="BG12514" s="387"/>
      <c r="BH12514" s="386"/>
      <c r="BI12514" s="386"/>
      <c r="BJ12514" s="46"/>
    </row>
    <row r="12515" spans="59:62" x14ac:dyDescent="0.3">
      <c r="BG12515" s="387"/>
      <c r="BH12515" s="386"/>
      <c r="BI12515" s="386"/>
      <c r="BJ12515" s="46"/>
    </row>
    <row r="12516" spans="59:62" x14ac:dyDescent="0.3">
      <c r="BG12516" s="387"/>
      <c r="BH12516" s="386"/>
      <c r="BI12516" s="386"/>
      <c r="BJ12516" s="46"/>
    </row>
    <row r="12517" spans="59:62" x14ac:dyDescent="0.3">
      <c r="BG12517" s="387"/>
      <c r="BH12517" s="386"/>
      <c r="BI12517" s="386"/>
      <c r="BJ12517" s="46"/>
    </row>
    <row r="12518" spans="59:62" x14ac:dyDescent="0.3">
      <c r="BG12518" s="387"/>
      <c r="BH12518" s="386"/>
      <c r="BI12518" s="386"/>
      <c r="BJ12518" s="46"/>
    </row>
    <row r="12519" spans="59:62" x14ac:dyDescent="0.3">
      <c r="BG12519" s="387"/>
      <c r="BH12519" s="386"/>
      <c r="BI12519" s="386"/>
      <c r="BJ12519" s="46"/>
    </row>
    <row r="12520" spans="59:62" x14ac:dyDescent="0.3">
      <c r="BG12520" s="387"/>
      <c r="BH12520" s="386"/>
      <c r="BI12520" s="386"/>
      <c r="BJ12520" s="46"/>
    </row>
    <row r="12521" spans="59:62" x14ac:dyDescent="0.3">
      <c r="BG12521" s="387"/>
      <c r="BH12521" s="386"/>
      <c r="BI12521" s="386"/>
      <c r="BJ12521" s="46"/>
    </row>
    <row r="12522" spans="59:62" x14ac:dyDescent="0.3">
      <c r="BG12522" s="387"/>
      <c r="BH12522" s="386"/>
      <c r="BI12522" s="386"/>
      <c r="BJ12522" s="46"/>
    </row>
    <row r="12523" spans="59:62" x14ac:dyDescent="0.3">
      <c r="BG12523" s="387"/>
      <c r="BH12523" s="386"/>
      <c r="BI12523" s="386"/>
      <c r="BJ12523" s="46"/>
    </row>
    <row r="12524" spans="59:62" x14ac:dyDescent="0.3">
      <c r="BG12524" s="387"/>
      <c r="BH12524" s="386"/>
      <c r="BI12524" s="386"/>
      <c r="BJ12524" s="46"/>
    </row>
    <row r="12525" spans="59:62" x14ac:dyDescent="0.3">
      <c r="BG12525" s="387"/>
      <c r="BH12525" s="386"/>
      <c r="BI12525" s="386"/>
      <c r="BJ12525" s="46"/>
    </row>
    <row r="12526" spans="59:62" x14ac:dyDescent="0.3">
      <c r="BG12526" s="387"/>
      <c r="BH12526" s="386"/>
      <c r="BI12526" s="386"/>
      <c r="BJ12526" s="46"/>
    </row>
    <row r="12527" spans="59:62" x14ac:dyDescent="0.3">
      <c r="BG12527" s="387"/>
      <c r="BH12527" s="386"/>
      <c r="BI12527" s="386"/>
      <c r="BJ12527" s="46"/>
    </row>
    <row r="12528" spans="59:62" x14ac:dyDescent="0.3">
      <c r="BG12528" s="387"/>
      <c r="BH12528" s="386"/>
      <c r="BI12528" s="386"/>
      <c r="BJ12528" s="46"/>
    </row>
    <row r="12529" spans="59:62" x14ac:dyDescent="0.3">
      <c r="BG12529" s="387"/>
      <c r="BH12529" s="386"/>
      <c r="BI12529" s="386"/>
      <c r="BJ12529" s="46"/>
    </row>
    <row r="12530" spans="59:62" x14ac:dyDescent="0.3">
      <c r="BG12530" s="387"/>
      <c r="BH12530" s="386"/>
      <c r="BI12530" s="386"/>
      <c r="BJ12530" s="46"/>
    </row>
    <row r="12531" spans="59:62" x14ac:dyDescent="0.3">
      <c r="BG12531" s="387"/>
      <c r="BH12531" s="386"/>
      <c r="BI12531" s="386"/>
      <c r="BJ12531" s="46"/>
    </row>
    <row r="12532" spans="59:62" x14ac:dyDescent="0.3">
      <c r="BG12532" s="387"/>
      <c r="BH12532" s="386"/>
      <c r="BI12532" s="386"/>
      <c r="BJ12532" s="46"/>
    </row>
    <row r="12533" spans="59:62" x14ac:dyDescent="0.3">
      <c r="BG12533" s="387"/>
      <c r="BH12533" s="386"/>
      <c r="BI12533" s="386"/>
      <c r="BJ12533" s="46"/>
    </row>
    <row r="12534" spans="59:62" x14ac:dyDescent="0.3">
      <c r="BG12534" s="387"/>
      <c r="BH12534" s="386"/>
      <c r="BI12534" s="386"/>
      <c r="BJ12534" s="46"/>
    </row>
    <row r="12535" spans="59:62" x14ac:dyDescent="0.3">
      <c r="BG12535" s="387"/>
      <c r="BH12535" s="386"/>
      <c r="BI12535" s="386"/>
      <c r="BJ12535" s="46"/>
    </row>
    <row r="12536" spans="59:62" x14ac:dyDescent="0.3">
      <c r="BG12536" s="387"/>
      <c r="BH12536" s="386"/>
      <c r="BI12536" s="386"/>
      <c r="BJ12536" s="46"/>
    </row>
    <row r="12537" spans="59:62" x14ac:dyDescent="0.3">
      <c r="BG12537" s="387"/>
      <c r="BH12537" s="386"/>
      <c r="BI12537" s="386"/>
      <c r="BJ12537" s="46"/>
    </row>
    <row r="12538" spans="59:62" x14ac:dyDescent="0.3">
      <c r="BG12538" s="387"/>
      <c r="BH12538" s="386"/>
      <c r="BI12538" s="386"/>
      <c r="BJ12538" s="46"/>
    </row>
    <row r="12539" spans="59:62" x14ac:dyDescent="0.3">
      <c r="BG12539" s="387"/>
      <c r="BH12539" s="386"/>
      <c r="BI12539" s="386"/>
      <c r="BJ12539" s="46"/>
    </row>
    <row r="12540" spans="59:62" x14ac:dyDescent="0.3">
      <c r="BG12540" s="387"/>
      <c r="BH12540" s="386"/>
      <c r="BI12540" s="386"/>
      <c r="BJ12540" s="46"/>
    </row>
    <row r="12541" spans="59:62" x14ac:dyDescent="0.3">
      <c r="BG12541" s="387"/>
      <c r="BH12541" s="386"/>
      <c r="BI12541" s="386"/>
      <c r="BJ12541" s="46"/>
    </row>
    <row r="12542" spans="59:62" x14ac:dyDescent="0.3">
      <c r="BG12542" s="387"/>
      <c r="BH12542" s="386"/>
      <c r="BI12542" s="386"/>
      <c r="BJ12542" s="46"/>
    </row>
    <row r="12543" spans="59:62" x14ac:dyDescent="0.3">
      <c r="BG12543" s="387"/>
      <c r="BH12543" s="386"/>
      <c r="BI12543" s="386"/>
      <c r="BJ12543" s="46"/>
    </row>
    <row r="12544" spans="59:62" x14ac:dyDescent="0.3">
      <c r="BG12544" s="387"/>
      <c r="BH12544" s="386"/>
      <c r="BI12544" s="386"/>
      <c r="BJ12544" s="46"/>
    </row>
    <row r="12545" spans="59:62" x14ac:dyDescent="0.3">
      <c r="BG12545" s="387"/>
      <c r="BH12545" s="386"/>
      <c r="BI12545" s="386"/>
      <c r="BJ12545" s="46"/>
    </row>
    <row r="12546" spans="59:62" x14ac:dyDescent="0.3">
      <c r="BG12546" s="387"/>
      <c r="BH12546" s="386"/>
      <c r="BI12546" s="386"/>
      <c r="BJ12546" s="46"/>
    </row>
    <row r="12547" spans="59:62" x14ac:dyDescent="0.3">
      <c r="BG12547" s="387"/>
      <c r="BH12547" s="386"/>
      <c r="BI12547" s="386"/>
      <c r="BJ12547" s="46"/>
    </row>
    <row r="12548" spans="59:62" x14ac:dyDescent="0.3">
      <c r="BG12548" s="387"/>
      <c r="BH12548" s="386"/>
      <c r="BI12548" s="386"/>
      <c r="BJ12548" s="46"/>
    </row>
    <row r="12549" spans="59:62" x14ac:dyDescent="0.3">
      <c r="BG12549" s="387"/>
      <c r="BH12549" s="386"/>
      <c r="BI12549" s="386"/>
      <c r="BJ12549" s="46"/>
    </row>
    <row r="12550" spans="59:62" x14ac:dyDescent="0.3">
      <c r="BG12550" s="387"/>
      <c r="BH12550" s="386"/>
      <c r="BI12550" s="386"/>
      <c r="BJ12550" s="46"/>
    </row>
    <row r="12551" spans="59:62" x14ac:dyDescent="0.3">
      <c r="BG12551" s="387"/>
      <c r="BH12551" s="386"/>
      <c r="BI12551" s="386"/>
      <c r="BJ12551" s="46"/>
    </row>
    <row r="12552" spans="59:62" x14ac:dyDescent="0.3">
      <c r="BG12552" s="387"/>
      <c r="BH12552" s="386"/>
      <c r="BI12552" s="386"/>
      <c r="BJ12552" s="46"/>
    </row>
    <row r="12553" spans="59:62" x14ac:dyDescent="0.3">
      <c r="BG12553" s="387"/>
      <c r="BH12553" s="386"/>
      <c r="BI12553" s="386"/>
      <c r="BJ12553" s="46"/>
    </row>
    <row r="12554" spans="59:62" x14ac:dyDescent="0.3">
      <c r="BG12554" s="387"/>
      <c r="BH12554" s="386"/>
      <c r="BI12554" s="386"/>
      <c r="BJ12554" s="46"/>
    </row>
    <row r="12555" spans="59:62" x14ac:dyDescent="0.3">
      <c r="BG12555" s="387"/>
      <c r="BH12555" s="386"/>
      <c r="BI12555" s="386"/>
      <c r="BJ12555" s="46"/>
    </row>
    <row r="12556" spans="59:62" x14ac:dyDescent="0.3">
      <c r="BG12556" s="387"/>
      <c r="BH12556" s="386"/>
      <c r="BI12556" s="386"/>
      <c r="BJ12556" s="46"/>
    </row>
    <row r="12557" spans="59:62" x14ac:dyDescent="0.3">
      <c r="BG12557" s="387"/>
      <c r="BH12557" s="386"/>
      <c r="BI12557" s="386"/>
      <c r="BJ12557" s="46"/>
    </row>
    <row r="12558" spans="59:62" x14ac:dyDescent="0.3">
      <c r="BG12558" s="387"/>
      <c r="BH12558" s="386"/>
      <c r="BI12558" s="386"/>
      <c r="BJ12558" s="46"/>
    </row>
    <row r="12559" spans="59:62" x14ac:dyDescent="0.3">
      <c r="BG12559" s="387"/>
      <c r="BH12559" s="386"/>
      <c r="BI12559" s="386"/>
      <c r="BJ12559" s="46"/>
    </row>
    <row r="12560" spans="59:62" x14ac:dyDescent="0.3">
      <c r="BG12560" s="387"/>
      <c r="BH12560" s="386"/>
      <c r="BI12560" s="386"/>
      <c r="BJ12560" s="46"/>
    </row>
    <row r="12561" spans="59:62" x14ac:dyDescent="0.3">
      <c r="BG12561" s="387"/>
      <c r="BH12561" s="386"/>
      <c r="BI12561" s="386"/>
      <c r="BJ12561" s="46"/>
    </row>
    <row r="12562" spans="59:62" x14ac:dyDescent="0.3">
      <c r="BG12562" s="387"/>
      <c r="BH12562" s="386"/>
      <c r="BI12562" s="386"/>
      <c r="BJ12562" s="46"/>
    </row>
    <row r="12563" spans="59:62" x14ac:dyDescent="0.3">
      <c r="BG12563" s="387"/>
      <c r="BH12563" s="386"/>
      <c r="BI12563" s="386"/>
      <c r="BJ12563" s="46"/>
    </row>
    <row r="12564" spans="59:62" x14ac:dyDescent="0.3">
      <c r="BG12564" s="387"/>
      <c r="BH12564" s="386"/>
      <c r="BI12564" s="386"/>
      <c r="BJ12564" s="46"/>
    </row>
    <row r="12565" spans="59:62" x14ac:dyDescent="0.3">
      <c r="BG12565" s="387"/>
      <c r="BH12565" s="386"/>
      <c r="BI12565" s="386"/>
      <c r="BJ12565" s="46"/>
    </row>
    <row r="12566" spans="59:62" x14ac:dyDescent="0.3">
      <c r="BG12566" s="387"/>
      <c r="BH12566" s="386"/>
      <c r="BI12566" s="386"/>
      <c r="BJ12566" s="46"/>
    </row>
    <row r="12567" spans="59:62" x14ac:dyDescent="0.3">
      <c r="BG12567" s="387"/>
      <c r="BH12567" s="386"/>
      <c r="BI12567" s="386"/>
      <c r="BJ12567" s="46"/>
    </row>
    <row r="12568" spans="59:62" x14ac:dyDescent="0.3">
      <c r="BG12568" s="387"/>
      <c r="BH12568" s="386"/>
      <c r="BI12568" s="386"/>
      <c r="BJ12568" s="46"/>
    </row>
    <row r="12569" spans="59:62" x14ac:dyDescent="0.3">
      <c r="BG12569" s="387"/>
      <c r="BH12569" s="386"/>
      <c r="BI12569" s="386"/>
      <c r="BJ12569" s="46"/>
    </row>
    <row r="12570" spans="59:62" x14ac:dyDescent="0.3">
      <c r="BG12570" s="387"/>
      <c r="BH12570" s="386"/>
      <c r="BI12570" s="386"/>
      <c r="BJ12570" s="46"/>
    </row>
    <row r="12571" spans="59:62" x14ac:dyDescent="0.3">
      <c r="BG12571" s="387"/>
      <c r="BH12571" s="386"/>
      <c r="BI12571" s="386"/>
      <c r="BJ12571" s="46"/>
    </row>
    <row r="12572" spans="59:62" x14ac:dyDescent="0.3">
      <c r="BG12572" s="387"/>
      <c r="BH12572" s="386"/>
      <c r="BI12572" s="386"/>
      <c r="BJ12572" s="46"/>
    </row>
    <row r="12573" spans="59:62" x14ac:dyDescent="0.3">
      <c r="BG12573" s="387"/>
      <c r="BH12573" s="386"/>
      <c r="BI12573" s="386"/>
      <c r="BJ12573" s="46"/>
    </row>
    <row r="12574" spans="59:62" x14ac:dyDescent="0.3">
      <c r="BG12574" s="387"/>
      <c r="BH12574" s="386"/>
      <c r="BI12574" s="386"/>
      <c r="BJ12574" s="46"/>
    </row>
    <row r="12575" spans="59:62" x14ac:dyDescent="0.3">
      <c r="BG12575" s="387"/>
      <c r="BH12575" s="386"/>
      <c r="BI12575" s="386"/>
      <c r="BJ12575" s="46"/>
    </row>
    <row r="12576" spans="59:62" x14ac:dyDescent="0.3">
      <c r="BG12576" s="387"/>
      <c r="BH12576" s="386"/>
      <c r="BI12576" s="386"/>
      <c r="BJ12576" s="46"/>
    </row>
    <row r="12577" spans="59:62" x14ac:dyDescent="0.3">
      <c r="BG12577" s="387"/>
      <c r="BH12577" s="386"/>
      <c r="BI12577" s="386"/>
      <c r="BJ12577" s="46"/>
    </row>
    <row r="12578" spans="59:62" x14ac:dyDescent="0.3">
      <c r="BG12578" s="387"/>
      <c r="BH12578" s="386"/>
      <c r="BI12578" s="386"/>
      <c r="BJ12578" s="46"/>
    </row>
    <row r="12579" spans="59:62" x14ac:dyDescent="0.3">
      <c r="BG12579" s="387"/>
      <c r="BH12579" s="386"/>
      <c r="BI12579" s="386"/>
      <c r="BJ12579" s="46"/>
    </row>
    <row r="12580" spans="59:62" x14ac:dyDescent="0.3">
      <c r="BG12580" s="387"/>
      <c r="BH12580" s="386"/>
      <c r="BI12580" s="386"/>
      <c r="BJ12580" s="46"/>
    </row>
    <row r="12581" spans="59:62" x14ac:dyDescent="0.3">
      <c r="BG12581" s="387"/>
      <c r="BH12581" s="386"/>
      <c r="BI12581" s="386"/>
      <c r="BJ12581" s="46"/>
    </row>
    <row r="12582" spans="59:62" x14ac:dyDescent="0.3">
      <c r="BG12582" s="387"/>
      <c r="BH12582" s="386"/>
      <c r="BI12582" s="386"/>
      <c r="BJ12582" s="46"/>
    </row>
    <row r="12583" spans="59:62" x14ac:dyDescent="0.3">
      <c r="BG12583" s="387"/>
      <c r="BH12583" s="386"/>
      <c r="BI12583" s="386"/>
      <c r="BJ12583" s="46"/>
    </row>
    <row r="12584" spans="59:62" x14ac:dyDescent="0.3">
      <c r="BG12584" s="387"/>
      <c r="BH12584" s="386"/>
      <c r="BI12584" s="386"/>
      <c r="BJ12584" s="46"/>
    </row>
    <row r="12585" spans="59:62" x14ac:dyDescent="0.3">
      <c r="BG12585" s="387"/>
      <c r="BH12585" s="386"/>
      <c r="BI12585" s="386"/>
      <c r="BJ12585" s="46"/>
    </row>
    <row r="12586" spans="59:62" x14ac:dyDescent="0.3">
      <c r="BG12586" s="387"/>
      <c r="BH12586" s="386"/>
      <c r="BI12586" s="386"/>
      <c r="BJ12586" s="46"/>
    </row>
    <row r="12587" spans="59:62" x14ac:dyDescent="0.3">
      <c r="BG12587" s="387"/>
      <c r="BH12587" s="386"/>
      <c r="BI12587" s="386"/>
      <c r="BJ12587" s="46"/>
    </row>
    <row r="12588" spans="59:62" x14ac:dyDescent="0.3">
      <c r="BG12588" s="387"/>
      <c r="BH12588" s="386"/>
      <c r="BI12588" s="386"/>
      <c r="BJ12588" s="46"/>
    </row>
    <row r="12589" spans="59:62" x14ac:dyDescent="0.3">
      <c r="BG12589" s="387"/>
      <c r="BH12589" s="386"/>
      <c r="BI12589" s="386"/>
      <c r="BJ12589" s="46"/>
    </row>
    <row r="12590" spans="59:62" x14ac:dyDescent="0.3">
      <c r="BG12590" s="387"/>
      <c r="BH12590" s="386"/>
      <c r="BI12590" s="386"/>
      <c r="BJ12590" s="46"/>
    </row>
    <row r="12591" spans="59:62" x14ac:dyDescent="0.3">
      <c r="BG12591" s="387"/>
      <c r="BH12591" s="386"/>
      <c r="BI12591" s="386"/>
      <c r="BJ12591" s="46"/>
    </row>
    <row r="12592" spans="59:62" x14ac:dyDescent="0.3">
      <c r="BG12592" s="387"/>
      <c r="BH12592" s="386"/>
      <c r="BI12592" s="386"/>
      <c r="BJ12592" s="46"/>
    </row>
    <row r="12593" spans="59:62" x14ac:dyDescent="0.3">
      <c r="BG12593" s="387"/>
      <c r="BH12593" s="386"/>
      <c r="BI12593" s="386"/>
      <c r="BJ12593" s="46"/>
    </row>
    <row r="12594" spans="59:62" x14ac:dyDescent="0.3">
      <c r="BG12594" s="387"/>
      <c r="BH12594" s="386"/>
      <c r="BI12594" s="386"/>
      <c r="BJ12594" s="46"/>
    </row>
    <row r="12595" spans="59:62" x14ac:dyDescent="0.3">
      <c r="BG12595" s="387"/>
      <c r="BH12595" s="386"/>
      <c r="BI12595" s="386"/>
      <c r="BJ12595" s="46"/>
    </row>
    <row r="12596" spans="59:62" x14ac:dyDescent="0.3">
      <c r="BG12596" s="387"/>
      <c r="BH12596" s="386"/>
      <c r="BI12596" s="386"/>
      <c r="BJ12596" s="46"/>
    </row>
    <row r="12597" spans="59:62" x14ac:dyDescent="0.3">
      <c r="BG12597" s="387"/>
      <c r="BH12597" s="386"/>
      <c r="BI12597" s="386"/>
      <c r="BJ12597" s="46"/>
    </row>
    <row r="12598" spans="59:62" x14ac:dyDescent="0.3">
      <c r="BG12598" s="387"/>
      <c r="BH12598" s="386"/>
      <c r="BI12598" s="386"/>
      <c r="BJ12598" s="46"/>
    </row>
    <row r="12599" spans="59:62" x14ac:dyDescent="0.3">
      <c r="BG12599" s="387"/>
      <c r="BH12599" s="386"/>
      <c r="BI12599" s="386"/>
      <c r="BJ12599" s="46"/>
    </row>
    <row r="12600" spans="59:62" x14ac:dyDescent="0.3">
      <c r="BG12600" s="387"/>
      <c r="BH12600" s="386"/>
      <c r="BI12600" s="386"/>
      <c r="BJ12600" s="46"/>
    </row>
    <row r="12601" spans="59:62" x14ac:dyDescent="0.3">
      <c r="BG12601" s="387"/>
      <c r="BH12601" s="386"/>
      <c r="BI12601" s="386"/>
      <c r="BJ12601" s="46"/>
    </row>
    <row r="12602" spans="59:62" x14ac:dyDescent="0.3">
      <c r="BG12602" s="387"/>
      <c r="BH12602" s="386"/>
      <c r="BI12602" s="386"/>
      <c r="BJ12602" s="46"/>
    </row>
    <row r="12603" spans="59:62" x14ac:dyDescent="0.3">
      <c r="BG12603" s="387"/>
      <c r="BH12603" s="386"/>
      <c r="BI12603" s="386"/>
      <c r="BJ12603" s="46"/>
    </row>
    <row r="12604" spans="59:62" x14ac:dyDescent="0.3">
      <c r="BG12604" s="387"/>
      <c r="BH12604" s="386"/>
      <c r="BI12604" s="386"/>
      <c r="BJ12604" s="46"/>
    </row>
    <row r="12605" spans="59:62" x14ac:dyDescent="0.3">
      <c r="BG12605" s="387"/>
      <c r="BH12605" s="386"/>
      <c r="BI12605" s="386"/>
      <c r="BJ12605" s="46"/>
    </row>
    <row r="12606" spans="59:62" x14ac:dyDescent="0.3">
      <c r="BG12606" s="387"/>
      <c r="BH12606" s="386"/>
      <c r="BI12606" s="386"/>
      <c r="BJ12606" s="46"/>
    </row>
    <row r="12607" spans="59:62" x14ac:dyDescent="0.3">
      <c r="BG12607" s="387"/>
      <c r="BH12607" s="386"/>
      <c r="BI12607" s="386"/>
      <c r="BJ12607" s="46"/>
    </row>
    <row r="12608" spans="59:62" x14ac:dyDescent="0.3">
      <c r="BG12608" s="387"/>
      <c r="BH12608" s="386"/>
      <c r="BI12608" s="386"/>
      <c r="BJ12608" s="46"/>
    </row>
    <row r="12609" spans="59:62" x14ac:dyDescent="0.3">
      <c r="BG12609" s="387"/>
      <c r="BH12609" s="386"/>
      <c r="BI12609" s="386"/>
      <c r="BJ12609" s="46"/>
    </row>
    <row r="12610" spans="59:62" x14ac:dyDescent="0.3">
      <c r="BG12610" s="387"/>
      <c r="BH12610" s="386"/>
      <c r="BI12610" s="386"/>
      <c r="BJ12610" s="46"/>
    </row>
    <row r="12611" spans="59:62" x14ac:dyDescent="0.3">
      <c r="BG12611" s="387"/>
      <c r="BH12611" s="386"/>
      <c r="BI12611" s="386"/>
      <c r="BJ12611" s="46"/>
    </row>
    <row r="12612" spans="59:62" x14ac:dyDescent="0.3">
      <c r="BG12612" s="387"/>
      <c r="BH12612" s="386"/>
      <c r="BI12612" s="386"/>
      <c r="BJ12612" s="46"/>
    </row>
    <row r="12613" spans="59:62" x14ac:dyDescent="0.3">
      <c r="BG12613" s="387"/>
      <c r="BH12613" s="386"/>
      <c r="BI12613" s="386"/>
      <c r="BJ12613" s="46"/>
    </row>
    <row r="12614" spans="59:62" x14ac:dyDescent="0.3">
      <c r="BG12614" s="387"/>
      <c r="BH12614" s="386"/>
      <c r="BI12614" s="386"/>
      <c r="BJ12614" s="46"/>
    </row>
    <row r="12615" spans="59:62" x14ac:dyDescent="0.3">
      <c r="BG12615" s="387"/>
      <c r="BH12615" s="386"/>
      <c r="BI12615" s="386"/>
      <c r="BJ12615" s="46"/>
    </row>
    <row r="12616" spans="59:62" x14ac:dyDescent="0.3">
      <c r="BG12616" s="387"/>
      <c r="BH12616" s="386"/>
      <c r="BI12616" s="386"/>
      <c r="BJ12616" s="46"/>
    </row>
    <row r="12617" spans="59:62" x14ac:dyDescent="0.3">
      <c r="BG12617" s="387"/>
      <c r="BH12617" s="386"/>
      <c r="BI12617" s="386"/>
      <c r="BJ12617" s="46"/>
    </row>
    <row r="12618" spans="59:62" x14ac:dyDescent="0.3">
      <c r="BG12618" s="387"/>
      <c r="BH12618" s="386"/>
      <c r="BI12618" s="386"/>
      <c r="BJ12618" s="46"/>
    </row>
    <row r="12619" spans="59:62" x14ac:dyDescent="0.3">
      <c r="BG12619" s="387"/>
      <c r="BH12619" s="386"/>
      <c r="BI12619" s="386"/>
      <c r="BJ12619" s="46"/>
    </row>
    <row r="12620" spans="59:62" x14ac:dyDescent="0.3">
      <c r="BG12620" s="387"/>
      <c r="BH12620" s="386"/>
      <c r="BI12620" s="386"/>
      <c r="BJ12620" s="46"/>
    </row>
    <row r="12621" spans="59:62" x14ac:dyDescent="0.3">
      <c r="BG12621" s="387"/>
      <c r="BH12621" s="386"/>
      <c r="BI12621" s="386"/>
      <c r="BJ12621" s="46"/>
    </row>
    <row r="12622" spans="59:62" x14ac:dyDescent="0.3">
      <c r="BG12622" s="387"/>
      <c r="BH12622" s="386"/>
      <c r="BI12622" s="386"/>
      <c r="BJ12622" s="46"/>
    </row>
    <row r="12623" spans="59:62" x14ac:dyDescent="0.3">
      <c r="BG12623" s="387"/>
      <c r="BH12623" s="386"/>
      <c r="BI12623" s="386"/>
      <c r="BJ12623" s="46"/>
    </row>
    <row r="12624" spans="59:62" x14ac:dyDescent="0.3">
      <c r="BG12624" s="387"/>
      <c r="BH12624" s="386"/>
      <c r="BI12624" s="386"/>
      <c r="BJ12624" s="46"/>
    </row>
    <row r="12625" spans="59:62" x14ac:dyDescent="0.3">
      <c r="BG12625" s="387"/>
      <c r="BH12625" s="386"/>
      <c r="BI12625" s="386"/>
      <c r="BJ12625" s="46"/>
    </row>
    <row r="12626" spans="59:62" x14ac:dyDescent="0.3">
      <c r="BG12626" s="387"/>
      <c r="BH12626" s="386"/>
      <c r="BI12626" s="386"/>
      <c r="BJ12626" s="46"/>
    </row>
    <row r="12627" spans="59:62" x14ac:dyDescent="0.3">
      <c r="BG12627" s="387"/>
      <c r="BH12627" s="386"/>
      <c r="BI12627" s="386"/>
      <c r="BJ12627" s="46"/>
    </row>
    <row r="12628" spans="59:62" x14ac:dyDescent="0.3">
      <c r="BG12628" s="387"/>
      <c r="BH12628" s="386"/>
      <c r="BI12628" s="386"/>
      <c r="BJ12628" s="46"/>
    </row>
    <row r="12629" spans="59:62" x14ac:dyDescent="0.3">
      <c r="BG12629" s="387"/>
      <c r="BH12629" s="386"/>
      <c r="BI12629" s="386"/>
      <c r="BJ12629" s="46"/>
    </row>
    <row r="12630" spans="59:62" x14ac:dyDescent="0.3">
      <c r="BG12630" s="387"/>
      <c r="BH12630" s="386"/>
      <c r="BI12630" s="386"/>
      <c r="BJ12630" s="46"/>
    </row>
    <row r="12631" spans="59:62" x14ac:dyDescent="0.3">
      <c r="BG12631" s="387"/>
      <c r="BH12631" s="386"/>
      <c r="BI12631" s="386"/>
      <c r="BJ12631" s="46"/>
    </row>
    <row r="12632" spans="59:62" x14ac:dyDescent="0.3">
      <c r="BG12632" s="387"/>
      <c r="BH12632" s="386"/>
      <c r="BI12632" s="386"/>
      <c r="BJ12632" s="46"/>
    </row>
    <row r="12633" spans="59:62" x14ac:dyDescent="0.3">
      <c r="BG12633" s="387"/>
      <c r="BH12633" s="386"/>
      <c r="BI12633" s="386"/>
      <c r="BJ12633" s="46"/>
    </row>
    <row r="12634" spans="59:62" x14ac:dyDescent="0.3">
      <c r="BG12634" s="387"/>
      <c r="BH12634" s="386"/>
      <c r="BI12634" s="386"/>
      <c r="BJ12634" s="46"/>
    </row>
    <row r="12635" spans="59:62" x14ac:dyDescent="0.3">
      <c r="BG12635" s="387"/>
      <c r="BH12635" s="386"/>
      <c r="BI12635" s="386"/>
      <c r="BJ12635" s="46"/>
    </row>
    <row r="12636" spans="59:62" x14ac:dyDescent="0.3">
      <c r="BG12636" s="387"/>
      <c r="BH12636" s="386"/>
      <c r="BI12636" s="386"/>
      <c r="BJ12636" s="46"/>
    </row>
    <row r="12637" spans="59:62" x14ac:dyDescent="0.3">
      <c r="BG12637" s="387"/>
      <c r="BH12637" s="386"/>
      <c r="BI12637" s="386"/>
      <c r="BJ12637" s="46"/>
    </row>
    <row r="12638" spans="59:62" x14ac:dyDescent="0.3">
      <c r="BG12638" s="387"/>
      <c r="BH12638" s="386"/>
      <c r="BI12638" s="386"/>
      <c r="BJ12638" s="46"/>
    </row>
    <row r="12639" spans="59:62" x14ac:dyDescent="0.3">
      <c r="BG12639" s="387"/>
      <c r="BH12639" s="386"/>
      <c r="BI12639" s="386"/>
      <c r="BJ12639" s="46"/>
    </row>
    <row r="12640" spans="59:62" x14ac:dyDescent="0.3">
      <c r="BG12640" s="387"/>
      <c r="BH12640" s="386"/>
      <c r="BI12640" s="386"/>
      <c r="BJ12640" s="46"/>
    </row>
    <row r="12641" spans="59:62" x14ac:dyDescent="0.3">
      <c r="BG12641" s="387"/>
      <c r="BH12641" s="386"/>
      <c r="BI12641" s="386"/>
      <c r="BJ12641" s="46"/>
    </row>
    <row r="12642" spans="59:62" x14ac:dyDescent="0.3">
      <c r="BG12642" s="387"/>
      <c r="BH12642" s="386"/>
      <c r="BI12642" s="386"/>
      <c r="BJ12642" s="46"/>
    </row>
    <row r="12643" spans="59:62" x14ac:dyDescent="0.3">
      <c r="BG12643" s="387"/>
      <c r="BH12643" s="386"/>
      <c r="BI12643" s="386"/>
      <c r="BJ12643" s="46"/>
    </row>
    <row r="12644" spans="59:62" x14ac:dyDescent="0.3">
      <c r="BG12644" s="387"/>
      <c r="BH12644" s="386"/>
      <c r="BI12644" s="386"/>
      <c r="BJ12644" s="46"/>
    </row>
    <row r="12645" spans="59:62" x14ac:dyDescent="0.3">
      <c r="BG12645" s="387"/>
      <c r="BH12645" s="386"/>
      <c r="BI12645" s="386"/>
      <c r="BJ12645" s="46"/>
    </row>
    <row r="12646" spans="59:62" x14ac:dyDescent="0.3">
      <c r="BG12646" s="387"/>
      <c r="BH12646" s="386"/>
      <c r="BI12646" s="386"/>
      <c r="BJ12646" s="46"/>
    </row>
    <row r="12647" spans="59:62" x14ac:dyDescent="0.3">
      <c r="BG12647" s="387"/>
      <c r="BH12647" s="386"/>
      <c r="BI12647" s="386"/>
      <c r="BJ12647" s="46"/>
    </row>
    <row r="12648" spans="59:62" x14ac:dyDescent="0.3">
      <c r="BG12648" s="387"/>
      <c r="BH12648" s="386"/>
      <c r="BI12648" s="386"/>
      <c r="BJ12648" s="46"/>
    </row>
    <row r="12649" spans="59:62" x14ac:dyDescent="0.3">
      <c r="BG12649" s="387"/>
      <c r="BH12649" s="386"/>
      <c r="BI12649" s="386"/>
      <c r="BJ12649" s="46"/>
    </row>
    <row r="12650" spans="59:62" x14ac:dyDescent="0.3">
      <c r="BG12650" s="387"/>
      <c r="BH12650" s="386"/>
      <c r="BI12650" s="386"/>
      <c r="BJ12650" s="46"/>
    </row>
    <row r="12651" spans="59:62" x14ac:dyDescent="0.3">
      <c r="BG12651" s="387"/>
      <c r="BH12651" s="386"/>
      <c r="BI12651" s="386"/>
      <c r="BJ12651" s="46"/>
    </row>
    <row r="12652" spans="59:62" x14ac:dyDescent="0.3">
      <c r="BG12652" s="387"/>
      <c r="BH12652" s="386"/>
      <c r="BI12652" s="386"/>
      <c r="BJ12652" s="46"/>
    </row>
    <row r="12653" spans="59:62" x14ac:dyDescent="0.3">
      <c r="BG12653" s="387"/>
      <c r="BH12653" s="386"/>
      <c r="BI12653" s="386"/>
      <c r="BJ12653" s="46"/>
    </row>
    <row r="12654" spans="59:62" x14ac:dyDescent="0.3">
      <c r="BG12654" s="387"/>
      <c r="BH12654" s="386"/>
      <c r="BI12654" s="386"/>
      <c r="BJ12654" s="46"/>
    </row>
    <row r="12655" spans="59:62" x14ac:dyDescent="0.3">
      <c r="BG12655" s="387"/>
      <c r="BH12655" s="386"/>
      <c r="BI12655" s="386"/>
      <c r="BJ12655" s="46"/>
    </row>
    <row r="12656" spans="59:62" x14ac:dyDescent="0.3">
      <c r="BG12656" s="387"/>
      <c r="BH12656" s="386"/>
      <c r="BI12656" s="386"/>
      <c r="BJ12656" s="46"/>
    </row>
    <row r="12657" spans="59:62" x14ac:dyDescent="0.3">
      <c r="BG12657" s="387"/>
      <c r="BH12657" s="386"/>
      <c r="BI12657" s="386"/>
      <c r="BJ12657" s="46"/>
    </row>
    <row r="12658" spans="59:62" x14ac:dyDescent="0.3">
      <c r="BG12658" s="387"/>
      <c r="BH12658" s="386"/>
      <c r="BI12658" s="386"/>
      <c r="BJ12658" s="46"/>
    </row>
    <row r="12659" spans="59:62" x14ac:dyDescent="0.3">
      <c r="BG12659" s="387"/>
      <c r="BH12659" s="386"/>
      <c r="BI12659" s="386"/>
      <c r="BJ12659" s="46"/>
    </row>
    <row r="12660" spans="59:62" x14ac:dyDescent="0.3">
      <c r="BG12660" s="387"/>
      <c r="BH12660" s="386"/>
      <c r="BI12660" s="386"/>
      <c r="BJ12660" s="46"/>
    </row>
    <row r="12661" spans="59:62" x14ac:dyDescent="0.3">
      <c r="BG12661" s="387"/>
      <c r="BH12661" s="386"/>
      <c r="BI12661" s="386"/>
      <c r="BJ12661" s="46"/>
    </row>
    <row r="12662" spans="59:62" x14ac:dyDescent="0.3">
      <c r="BG12662" s="387"/>
      <c r="BH12662" s="386"/>
      <c r="BI12662" s="386"/>
      <c r="BJ12662" s="46"/>
    </row>
    <row r="12663" spans="59:62" x14ac:dyDescent="0.3">
      <c r="BG12663" s="387"/>
      <c r="BH12663" s="386"/>
      <c r="BI12663" s="386"/>
      <c r="BJ12663" s="46"/>
    </row>
    <row r="12664" spans="59:62" x14ac:dyDescent="0.3">
      <c r="BG12664" s="387"/>
      <c r="BH12664" s="386"/>
      <c r="BI12664" s="386"/>
      <c r="BJ12664" s="46"/>
    </row>
    <row r="12665" spans="59:62" x14ac:dyDescent="0.3">
      <c r="BG12665" s="387"/>
      <c r="BH12665" s="386"/>
      <c r="BI12665" s="386"/>
      <c r="BJ12665" s="46"/>
    </row>
    <row r="12666" spans="59:62" x14ac:dyDescent="0.3">
      <c r="BG12666" s="387"/>
      <c r="BH12666" s="386"/>
      <c r="BI12666" s="386"/>
      <c r="BJ12666" s="46"/>
    </row>
    <row r="12667" spans="59:62" x14ac:dyDescent="0.3">
      <c r="BG12667" s="387"/>
      <c r="BH12667" s="386"/>
      <c r="BI12667" s="386"/>
      <c r="BJ12667" s="46"/>
    </row>
    <row r="12668" spans="59:62" x14ac:dyDescent="0.3">
      <c r="BG12668" s="387"/>
      <c r="BH12668" s="386"/>
      <c r="BI12668" s="386"/>
      <c r="BJ12668" s="46"/>
    </row>
    <row r="12669" spans="59:62" x14ac:dyDescent="0.3">
      <c r="BG12669" s="387"/>
      <c r="BH12669" s="386"/>
      <c r="BI12669" s="386"/>
      <c r="BJ12669" s="46"/>
    </row>
    <row r="12670" spans="59:62" x14ac:dyDescent="0.3">
      <c r="BG12670" s="387"/>
      <c r="BH12670" s="386"/>
      <c r="BI12670" s="386"/>
      <c r="BJ12670" s="46"/>
    </row>
    <row r="12671" spans="59:62" x14ac:dyDescent="0.3">
      <c r="BG12671" s="387"/>
      <c r="BH12671" s="386"/>
      <c r="BI12671" s="386"/>
      <c r="BJ12671" s="46"/>
    </row>
    <row r="12672" spans="59:62" x14ac:dyDescent="0.3">
      <c r="BG12672" s="387"/>
      <c r="BH12672" s="386"/>
      <c r="BI12672" s="386"/>
      <c r="BJ12672" s="46"/>
    </row>
    <row r="12673" spans="59:62" x14ac:dyDescent="0.3">
      <c r="BG12673" s="387"/>
      <c r="BH12673" s="386"/>
      <c r="BI12673" s="386"/>
      <c r="BJ12673" s="46"/>
    </row>
    <row r="12674" spans="59:62" x14ac:dyDescent="0.3">
      <c r="BG12674" s="387"/>
      <c r="BH12674" s="386"/>
      <c r="BI12674" s="386"/>
      <c r="BJ12674" s="46"/>
    </row>
    <row r="12675" spans="59:62" x14ac:dyDescent="0.3">
      <c r="BG12675" s="387"/>
      <c r="BH12675" s="386"/>
      <c r="BI12675" s="386"/>
      <c r="BJ12675" s="46"/>
    </row>
    <row r="12676" spans="59:62" x14ac:dyDescent="0.3">
      <c r="BG12676" s="387"/>
      <c r="BH12676" s="386"/>
      <c r="BI12676" s="386"/>
      <c r="BJ12676" s="46"/>
    </row>
    <row r="12677" spans="59:62" x14ac:dyDescent="0.3">
      <c r="BG12677" s="387"/>
      <c r="BH12677" s="386"/>
      <c r="BI12677" s="386"/>
      <c r="BJ12677" s="46"/>
    </row>
    <row r="12678" spans="59:62" x14ac:dyDescent="0.3">
      <c r="BG12678" s="387"/>
      <c r="BH12678" s="386"/>
      <c r="BI12678" s="386"/>
      <c r="BJ12678" s="46"/>
    </row>
    <row r="12679" spans="59:62" x14ac:dyDescent="0.3">
      <c r="BG12679" s="387"/>
      <c r="BH12679" s="386"/>
      <c r="BI12679" s="386"/>
      <c r="BJ12679" s="46"/>
    </row>
    <row r="12680" spans="59:62" x14ac:dyDescent="0.3">
      <c r="BG12680" s="387"/>
      <c r="BH12680" s="386"/>
      <c r="BI12680" s="386"/>
      <c r="BJ12680" s="46"/>
    </row>
    <row r="12681" spans="59:62" x14ac:dyDescent="0.3">
      <c r="BG12681" s="387"/>
      <c r="BH12681" s="386"/>
      <c r="BI12681" s="386"/>
      <c r="BJ12681" s="46"/>
    </row>
    <row r="12682" spans="59:62" x14ac:dyDescent="0.3">
      <c r="BG12682" s="387"/>
      <c r="BH12682" s="386"/>
      <c r="BI12682" s="386"/>
      <c r="BJ12682" s="46"/>
    </row>
    <row r="12683" spans="59:62" x14ac:dyDescent="0.3">
      <c r="BG12683" s="387"/>
      <c r="BH12683" s="386"/>
      <c r="BI12683" s="386"/>
      <c r="BJ12683" s="46"/>
    </row>
    <row r="12684" spans="59:62" x14ac:dyDescent="0.3">
      <c r="BG12684" s="387"/>
      <c r="BH12684" s="386"/>
      <c r="BI12684" s="386"/>
      <c r="BJ12684" s="46"/>
    </row>
    <row r="12685" spans="59:62" x14ac:dyDescent="0.3">
      <c r="BG12685" s="387"/>
      <c r="BH12685" s="386"/>
      <c r="BI12685" s="386"/>
      <c r="BJ12685" s="46"/>
    </row>
    <row r="12686" spans="59:62" x14ac:dyDescent="0.3">
      <c r="BG12686" s="387"/>
      <c r="BH12686" s="386"/>
      <c r="BI12686" s="386"/>
      <c r="BJ12686" s="46"/>
    </row>
    <row r="12687" spans="59:62" x14ac:dyDescent="0.3">
      <c r="BG12687" s="387"/>
      <c r="BH12687" s="386"/>
      <c r="BI12687" s="386"/>
      <c r="BJ12687" s="46"/>
    </row>
    <row r="12688" spans="59:62" x14ac:dyDescent="0.3">
      <c r="BG12688" s="387"/>
      <c r="BH12688" s="386"/>
      <c r="BI12688" s="386"/>
      <c r="BJ12688" s="46"/>
    </row>
    <row r="12689" spans="59:62" x14ac:dyDescent="0.3">
      <c r="BG12689" s="387"/>
      <c r="BH12689" s="386"/>
      <c r="BI12689" s="386"/>
      <c r="BJ12689" s="46"/>
    </row>
    <row r="12690" spans="59:62" x14ac:dyDescent="0.3">
      <c r="BG12690" s="387"/>
      <c r="BH12690" s="386"/>
      <c r="BI12690" s="386"/>
      <c r="BJ12690" s="46"/>
    </row>
    <row r="12691" spans="59:62" x14ac:dyDescent="0.3">
      <c r="BG12691" s="387"/>
      <c r="BH12691" s="386"/>
      <c r="BI12691" s="386"/>
      <c r="BJ12691" s="46"/>
    </row>
    <row r="12692" spans="59:62" x14ac:dyDescent="0.3">
      <c r="BG12692" s="387"/>
      <c r="BH12692" s="386"/>
      <c r="BI12692" s="386"/>
      <c r="BJ12692" s="46"/>
    </row>
    <row r="12693" spans="59:62" x14ac:dyDescent="0.3">
      <c r="BG12693" s="387"/>
      <c r="BH12693" s="386"/>
      <c r="BI12693" s="386"/>
      <c r="BJ12693" s="46"/>
    </row>
    <row r="12694" spans="59:62" x14ac:dyDescent="0.3">
      <c r="BG12694" s="387"/>
      <c r="BH12694" s="386"/>
      <c r="BI12694" s="386"/>
      <c r="BJ12694" s="46"/>
    </row>
    <row r="12695" spans="59:62" x14ac:dyDescent="0.3">
      <c r="BG12695" s="387"/>
      <c r="BH12695" s="386"/>
      <c r="BI12695" s="386"/>
      <c r="BJ12695" s="46"/>
    </row>
    <row r="12696" spans="59:62" x14ac:dyDescent="0.3">
      <c r="BG12696" s="387"/>
      <c r="BH12696" s="386"/>
      <c r="BI12696" s="386"/>
      <c r="BJ12696" s="46"/>
    </row>
    <row r="12697" spans="59:62" x14ac:dyDescent="0.3">
      <c r="BG12697" s="387"/>
      <c r="BH12697" s="386"/>
      <c r="BI12697" s="386"/>
      <c r="BJ12697" s="46"/>
    </row>
    <row r="12698" spans="59:62" x14ac:dyDescent="0.3">
      <c r="BG12698" s="387"/>
      <c r="BH12698" s="386"/>
      <c r="BI12698" s="386"/>
      <c r="BJ12698" s="46"/>
    </row>
    <row r="12699" spans="59:62" x14ac:dyDescent="0.3">
      <c r="BG12699" s="387"/>
      <c r="BH12699" s="386"/>
      <c r="BI12699" s="386"/>
      <c r="BJ12699" s="46"/>
    </row>
    <row r="12700" spans="59:62" x14ac:dyDescent="0.3">
      <c r="BG12700" s="387"/>
      <c r="BH12700" s="386"/>
      <c r="BI12700" s="386"/>
      <c r="BJ12700" s="46"/>
    </row>
    <row r="12701" spans="59:62" x14ac:dyDescent="0.3">
      <c r="BG12701" s="387"/>
      <c r="BH12701" s="386"/>
      <c r="BI12701" s="386"/>
      <c r="BJ12701" s="46"/>
    </row>
    <row r="12702" spans="59:62" x14ac:dyDescent="0.3">
      <c r="BG12702" s="387"/>
      <c r="BH12702" s="386"/>
      <c r="BI12702" s="386"/>
      <c r="BJ12702" s="46"/>
    </row>
    <row r="12703" spans="59:62" x14ac:dyDescent="0.3">
      <c r="BG12703" s="387"/>
      <c r="BH12703" s="386"/>
      <c r="BI12703" s="386"/>
      <c r="BJ12703" s="46"/>
    </row>
    <row r="12704" spans="59:62" x14ac:dyDescent="0.3">
      <c r="BG12704" s="387"/>
      <c r="BH12704" s="386"/>
      <c r="BI12704" s="386"/>
      <c r="BJ12704" s="46"/>
    </row>
    <row r="12705" spans="59:62" x14ac:dyDescent="0.3">
      <c r="BG12705" s="387"/>
      <c r="BH12705" s="386"/>
      <c r="BI12705" s="386"/>
      <c r="BJ12705" s="46"/>
    </row>
    <row r="12706" spans="59:62" x14ac:dyDescent="0.3">
      <c r="BG12706" s="387"/>
      <c r="BH12706" s="386"/>
      <c r="BI12706" s="386"/>
      <c r="BJ12706" s="46"/>
    </row>
    <row r="12707" spans="59:62" x14ac:dyDescent="0.3">
      <c r="BG12707" s="387"/>
      <c r="BH12707" s="386"/>
      <c r="BI12707" s="386"/>
      <c r="BJ12707" s="46"/>
    </row>
    <row r="12708" spans="59:62" x14ac:dyDescent="0.3">
      <c r="BG12708" s="387"/>
      <c r="BH12708" s="386"/>
      <c r="BI12708" s="386"/>
      <c r="BJ12708" s="46"/>
    </row>
    <row r="12709" spans="59:62" x14ac:dyDescent="0.3">
      <c r="BG12709" s="387"/>
      <c r="BH12709" s="386"/>
      <c r="BI12709" s="386"/>
      <c r="BJ12709" s="46"/>
    </row>
    <row r="12710" spans="59:62" x14ac:dyDescent="0.3">
      <c r="BG12710" s="387"/>
      <c r="BH12710" s="386"/>
      <c r="BI12710" s="386"/>
      <c r="BJ12710" s="46"/>
    </row>
    <row r="12711" spans="59:62" x14ac:dyDescent="0.3">
      <c r="BG12711" s="387"/>
      <c r="BH12711" s="386"/>
      <c r="BI12711" s="386"/>
      <c r="BJ12711" s="46"/>
    </row>
    <row r="12712" spans="59:62" x14ac:dyDescent="0.3">
      <c r="BG12712" s="387"/>
      <c r="BH12712" s="386"/>
      <c r="BI12712" s="386"/>
      <c r="BJ12712" s="46"/>
    </row>
    <row r="12713" spans="59:62" x14ac:dyDescent="0.3">
      <c r="BG12713" s="387"/>
      <c r="BH12713" s="386"/>
      <c r="BI12713" s="386"/>
      <c r="BJ12713" s="46"/>
    </row>
    <row r="12714" spans="59:62" x14ac:dyDescent="0.3">
      <c r="BG12714" s="387"/>
      <c r="BH12714" s="386"/>
      <c r="BI12714" s="386"/>
      <c r="BJ12714" s="46"/>
    </row>
    <row r="12715" spans="59:62" x14ac:dyDescent="0.3">
      <c r="BG12715" s="387"/>
      <c r="BH12715" s="386"/>
      <c r="BI12715" s="386"/>
      <c r="BJ12715" s="46"/>
    </row>
    <row r="12716" spans="59:62" x14ac:dyDescent="0.3">
      <c r="BG12716" s="387"/>
      <c r="BH12716" s="386"/>
      <c r="BI12716" s="386"/>
      <c r="BJ12716" s="46"/>
    </row>
    <row r="12717" spans="59:62" x14ac:dyDescent="0.3">
      <c r="BG12717" s="387"/>
      <c r="BH12717" s="386"/>
      <c r="BI12717" s="386"/>
      <c r="BJ12717" s="46"/>
    </row>
    <row r="12718" spans="59:62" x14ac:dyDescent="0.3">
      <c r="BG12718" s="387"/>
      <c r="BH12718" s="386"/>
      <c r="BI12718" s="386"/>
      <c r="BJ12718" s="46"/>
    </row>
    <row r="12719" spans="59:62" x14ac:dyDescent="0.3">
      <c r="BG12719" s="387"/>
      <c r="BH12719" s="386"/>
      <c r="BI12719" s="386"/>
      <c r="BJ12719" s="46"/>
    </row>
    <row r="12720" spans="59:62" x14ac:dyDescent="0.3">
      <c r="BG12720" s="387"/>
      <c r="BH12720" s="386"/>
      <c r="BI12720" s="386"/>
      <c r="BJ12720" s="46"/>
    </row>
    <row r="12721" spans="59:62" x14ac:dyDescent="0.3">
      <c r="BG12721" s="387"/>
      <c r="BH12721" s="386"/>
      <c r="BI12721" s="386"/>
      <c r="BJ12721" s="46"/>
    </row>
    <row r="12722" spans="59:62" x14ac:dyDescent="0.3">
      <c r="BG12722" s="387"/>
      <c r="BH12722" s="386"/>
      <c r="BI12722" s="386"/>
      <c r="BJ12722" s="46"/>
    </row>
    <row r="12723" spans="59:62" x14ac:dyDescent="0.3">
      <c r="BG12723" s="387"/>
      <c r="BH12723" s="386"/>
      <c r="BI12723" s="386"/>
      <c r="BJ12723" s="46"/>
    </row>
    <row r="12724" spans="59:62" x14ac:dyDescent="0.3">
      <c r="BG12724" s="387"/>
      <c r="BH12724" s="386"/>
      <c r="BI12724" s="386"/>
      <c r="BJ12724" s="46"/>
    </row>
    <row r="12725" spans="59:62" x14ac:dyDescent="0.3">
      <c r="BG12725" s="387"/>
      <c r="BH12725" s="386"/>
      <c r="BI12725" s="386"/>
      <c r="BJ12725" s="46"/>
    </row>
    <row r="12726" spans="59:62" x14ac:dyDescent="0.3">
      <c r="BG12726" s="387"/>
      <c r="BH12726" s="386"/>
      <c r="BI12726" s="386"/>
      <c r="BJ12726" s="46"/>
    </row>
    <row r="12727" spans="59:62" x14ac:dyDescent="0.3">
      <c r="BG12727" s="387"/>
      <c r="BH12727" s="386"/>
      <c r="BI12727" s="386"/>
      <c r="BJ12727" s="46"/>
    </row>
    <row r="12728" spans="59:62" x14ac:dyDescent="0.3">
      <c r="BG12728" s="387"/>
      <c r="BH12728" s="386"/>
      <c r="BI12728" s="386"/>
      <c r="BJ12728" s="46"/>
    </row>
    <row r="12729" spans="59:62" x14ac:dyDescent="0.3">
      <c r="BG12729" s="387"/>
      <c r="BH12729" s="386"/>
      <c r="BI12729" s="386"/>
      <c r="BJ12729" s="46"/>
    </row>
    <row r="12730" spans="59:62" x14ac:dyDescent="0.3">
      <c r="BG12730" s="387"/>
      <c r="BH12730" s="386"/>
      <c r="BI12730" s="386"/>
      <c r="BJ12730" s="46"/>
    </row>
    <row r="12731" spans="59:62" x14ac:dyDescent="0.3">
      <c r="BG12731" s="387"/>
      <c r="BH12731" s="386"/>
      <c r="BI12731" s="386"/>
      <c r="BJ12731" s="46"/>
    </row>
    <row r="12732" spans="59:62" x14ac:dyDescent="0.3">
      <c r="BG12732" s="387"/>
      <c r="BH12732" s="386"/>
      <c r="BI12732" s="386"/>
      <c r="BJ12732" s="46"/>
    </row>
    <row r="12733" spans="59:62" x14ac:dyDescent="0.3">
      <c r="BG12733" s="387"/>
      <c r="BH12733" s="386"/>
      <c r="BI12733" s="386"/>
      <c r="BJ12733" s="46"/>
    </row>
    <row r="12734" spans="59:62" x14ac:dyDescent="0.3">
      <c r="BG12734" s="387"/>
      <c r="BH12734" s="386"/>
      <c r="BI12734" s="386"/>
      <c r="BJ12734" s="46"/>
    </row>
    <row r="12735" spans="59:62" x14ac:dyDescent="0.3">
      <c r="BG12735" s="387"/>
      <c r="BH12735" s="386"/>
      <c r="BI12735" s="386"/>
      <c r="BJ12735" s="46"/>
    </row>
    <row r="12736" spans="59:62" x14ac:dyDescent="0.3">
      <c r="BG12736" s="387"/>
      <c r="BH12736" s="386"/>
      <c r="BI12736" s="386"/>
      <c r="BJ12736" s="46"/>
    </row>
    <row r="12737" spans="59:62" x14ac:dyDescent="0.3">
      <c r="BG12737" s="387"/>
      <c r="BH12737" s="386"/>
      <c r="BI12737" s="386"/>
      <c r="BJ12737" s="46"/>
    </row>
    <row r="12738" spans="59:62" x14ac:dyDescent="0.3">
      <c r="BG12738" s="387"/>
      <c r="BH12738" s="386"/>
      <c r="BI12738" s="386"/>
      <c r="BJ12738" s="46"/>
    </row>
    <row r="12739" spans="59:62" x14ac:dyDescent="0.3">
      <c r="BG12739" s="387"/>
      <c r="BH12739" s="386"/>
      <c r="BI12739" s="386"/>
      <c r="BJ12739" s="46"/>
    </row>
    <row r="12740" spans="59:62" x14ac:dyDescent="0.3">
      <c r="BG12740" s="387"/>
      <c r="BH12740" s="386"/>
      <c r="BI12740" s="386"/>
      <c r="BJ12740" s="46"/>
    </row>
    <row r="12741" spans="59:62" x14ac:dyDescent="0.3">
      <c r="BG12741" s="387"/>
      <c r="BH12741" s="386"/>
      <c r="BI12741" s="386"/>
      <c r="BJ12741" s="46"/>
    </row>
    <row r="12742" spans="59:62" x14ac:dyDescent="0.3">
      <c r="BG12742" s="387"/>
      <c r="BH12742" s="386"/>
      <c r="BI12742" s="386"/>
      <c r="BJ12742" s="46"/>
    </row>
    <row r="12743" spans="59:62" x14ac:dyDescent="0.3">
      <c r="BG12743" s="387"/>
      <c r="BH12743" s="386"/>
      <c r="BI12743" s="386"/>
      <c r="BJ12743" s="46"/>
    </row>
    <row r="12744" spans="59:62" x14ac:dyDescent="0.3">
      <c r="BG12744" s="387"/>
      <c r="BH12744" s="386"/>
      <c r="BI12744" s="386"/>
      <c r="BJ12744" s="46"/>
    </row>
    <row r="12745" spans="59:62" x14ac:dyDescent="0.3">
      <c r="BG12745" s="387"/>
      <c r="BH12745" s="386"/>
      <c r="BI12745" s="386"/>
      <c r="BJ12745" s="46"/>
    </row>
    <row r="12746" spans="59:62" x14ac:dyDescent="0.3">
      <c r="BG12746" s="387"/>
      <c r="BH12746" s="386"/>
      <c r="BI12746" s="386"/>
      <c r="BJ12746" s="46"/>
    </row>
    <row r="12747" spans="59:62" x14ac:dyDescent="0.3">
      <c r="BG12747" s="387"/>
      <c r="BH12747" s="386"/>
      <c r="BI12747" s="386"/>
      <c r="BJ12747" s="46"/>
    </row>
    <row r="12748" spans="59:62" x14ac:dyDescent="0.3">
      <c r="BG12748" s="387"/>
      <c r="BH12748" s="386"/>
      <c r="BI12748" s="386"/>
      <c r="BJ12748" s="46"/>
    </row>
    <row r="12749" spans="59:62" x14ac:dyDescent="0.3">
      <c r="BG12749" s="387"/>
      <c r="BH12749" s="386"/>
      <c r="BI12749" s="386"/>
      <c r="BJ12749" s="46"/>
    </row>
    <row r="12750" spans="59:62" x14ac:dyDescent="0.3">
      <c r="BG12750" s="387"/>
      <c r="BH12750" s="386"/>
      <c r="BI12750" s="386"/>
      <c r="BJ12750" s="46"/>
    </row>
    <row r="12751" spans="59:62" x14ac:dyDescent="0.3">
      <c r="BG12751" s="387"/>
      <c r="BH12751" s="386"/>
      <c r="BI12751" s="386"/>
      <c r="BJ12751" s="46"/>
    </row>
    <row r="12752" spans="59:62" x14ac:dyDescent="0.3">
      <c r="BG12752" s="387"/>
      <c r="BH12752" s="386"/>
      <c r="BI12752" s="386"/>
      <c r="BJ12752" s="46"/>
    </row>
    <row r="12753" spans="59:62" x14ac:dyDescent="0.3">
      <c r="BG12753" s="387"/>
      <c r="BH12753" s="386"/>
      <c r="BI12753" s="386"/>
      <c r="BJ12753" s="46"/>
    </row>
    <row r="12754" spans="59:62" x14ac:dyDescent="0.3">
      <c r="BG12754" s="387"/>
      <c r="BH12754" s="386"/>
      <c r="BI12754" s="386"/>
      <c r="BJ12754" s="46"/>
    </row>
    <row r="12755" spans="59:62" x14ac:dyDescent="0.3">
      <c r="BG12755" s="387"/>
      <c r="BH12755" s="386"/>
      <c r="BI12755" s="386"/>
      <c r="BJ12755" s="46"/>
    </row>
    <row r="12756" spans="59:62" x14ac:dyDescent="0.3">
      <c r="BG12756" s="387"/>
      <c r="BH12756" s="386"/>
      <c r="BI12756" s="386"/>
      <c r="BJ12756" s="46"/>
    </row>
    <row r="12757" spans="59:62" x14ac:dyDescent="0.3">
      <c r="BG12757" s="387"/>
      <c r="BH12757" s="386"/>
      <c r="BI12757" s="386"/>
      <c r="BJ12757" s="46"/>
    </row>
    <row r="12758" spans="59:62" x14ac:dyDescent="0.3">
      <c r="BG12758" s="387"/>
      <c r="BH12758" s="386"/>
      <c r="BI12758" s="386"/>
      <c r="BJ12758" s="46"/>
    </row>
    <row r="12759" spans="59:62" x14ac:dyDescent="0.3">
      <c r="BG12759" s="387"/>
      <c r="BH12759" s="386"/>
      <c r="BI12759" s="386"/>
      <c r="BJ12759" s="46"/>
    </row>
    <row r="12760" spans="59:62" x14ac:dyDescent="0.3">
      <c r="BG12760" s="387"/>
      <c r="BH12760" s="386"/>
      <c r="BI12760" s="386"/>
      <c r="BJ12760" s="46"/>
    </row>
    <row r="12761" spans="59:62" x14ac:dyDescent="0.3">
      <c r="BG12761" s="387"/>
      <c r="BH12761" s="386"/>
      <c r="BI12761" s="386"/>
      <c r="BJ12761" s="46"/>
    </row>
    <row r="12762" spans="59:62" x14ac:dyDescent="0.3">
      <c r="BG12762" s="387"/>
      <c r="BH12762" s="386"/>
      <c r="BI12762" s="386"/>
      <c r="BJ12762" s="46"/>
    </row>
    <row r="12763" spans="59:62" x14ac:dyDescent="0.3">
      <c r="BG12763" s="387"/>
      <c r="BH12763" s="386"/>
      <c r="BI12763" s="386"/>
      <c r="BJ12763" s="46"/>
    </row>
    <row r="12764" spans="59:62" x14ac:dyDescent="0.3">
      <c r="BG12764" s="387"/>
      <c r="BH12764" s="386"/>
      <c r="BI12764" s="386"/>
      <c r="BJ12764" s="46"/>
    </row>
    <row r="12765" spans="59:62" x14ac:dyDescent="0.3">
      <c r="BG12765" s="387"/>
      <c r="BH12765" s="386"/>
      <c r="BI12765" s="386"/>
      <c r="BJ12765" s="46"/>
    </row>
    <row r="12766" spans="59:62" x14ac:dyDescent="0.3">
      <c r="BG12766" s="387"/>
      <c r="BH12766" s="386"/>
      <c r="BI12766" s="386"/>
      <c r="BJ12766" s="46"/>
    </row>
    <row r="12767" spans="59:62" x14ac:dyDescent="0.3">
      <c r="BG12767" s="387"/>
      <c r="BH12767" s="386"/>
      <c r="BI12767" s="386"/>
      <c r="BJ12767" s="46"/>
    </row>
    <row r="12768" spans="59:62" x14ac:dyDescent="0.3">
      <c r="BG12768" s="387"/>
      <c r="BH12768" s="386"/>
      <c r="BI12768" s="386"/>
      <c r="BJ12768" s="46"/>
    </row>
    <row r="12769" spans="59:62" x14ac:dyDescent="0.3">
      <c r="BG12769" s="387"/>
      <c r="BH12769" s="386"/>
      <c r="BI12769" s="386"/>
      <c r="BJ12769" s="46"/>
    </row>
    <row r="12770" spans="59:62" x14ac:dyDescent="0.3">
      <c r="BG12770" s="387"/>
      <c r="BH12770" s="386"/>
      <c r="BI12770" s="386"/>
      <c r="BJ12770" s="46"/>
    </row>
    <row r="12771" spans="59:62" x14ac:dyDescent="0.3">
      <c r="BG12771" s="387"/>
      <c r="BH12771" s="386"/>
      <c r="BI12771" s="386"/>
      <c r="BJ12771" s="46"/>
    </row>
    <row r="12772" spans="59:62" x14ac:dyDescent="0.3">
      <c r="BG12772" s="387"/>
      <c r="BH12772" s="386"/>
      <c r="BI12772" s="386"/>
      <c r="BJ12772" s="46"/>
    </row>
    <row r="12773" spans="59:62" x14ac:dyDescent="0.3">
      <c r="BG12773" s="387"/>
      <c r="BH12773" s="386"/>
      <c r="BI12773" s="386"/>
      <c r="BJ12773" s="46"/>
    </row>
    <row r="12774" spans="59:62" x14ac:dyDescent="0.3">
      <c r="BG12774" s="387"/>
      <c r="BH12774" s="386"/>
      <c r="BI12774" s="386"/>
      <c r="BJ12774" s="46"/>
    </row>
    <row r="12775" spans="59:62" x14ac:dyDescent="0.3">
      <c r="BG12775" s="387"/>
      <c r="BH12775" s="386"/>
      <c r="BI12775" s="386"/>
      <c r="BJ12775" s="46"/>
    </row>
    <row r="12776" spans="59:62" x14ac:dyDescent="0.3">
      <c r="BG12776" s="387"/>
      <c r="BH12776" s="386"/>
      <c r="BI12776" s="386"/>
      <c r="BJ12776" s="46"/>
    </row>
    <row r="12777" spans="59:62" x14ac:dyDescent="0.3">
      <c r="BG12777" s="387"/>
      <c r="BH12777" s="386"/>
      <c r="BI12777" s="386"/>
      <c r="BJ12777" s="46"/>
    </row>
    <row r="12778" spans="59:62" x14ac:dyDescent="0.3">
      <c r="BG12778" s="387"/>
      <c r="BH12778" s="386"/>
      <c r="BI12778" s="386"/>
      <c r="BJ12778" s="46"/>
    </row>
    <row r="12779" spans="59:62" x14ac:dyDescent="0.3">
      <c r="BG12779" s="387"/>
      <c r="BH12779" s="386"/>
      <c r="BI12779" s="386"/>
      <c r="BJ12779" s="46"/>
    </row>
    <row r="12780" spans="59:62" x14ac:dyDescent="0.3">
      <c r="BG12780" s="387"/>
      <c r="BH12780" s="386"/>
      <c r="BI12780" s="386"/>
      <c r="BJ12780" s="46"/>
    </row>
    <row r="12781" spans="59:62" x14ac:dyDescent="0.3">
      <c r="BG12781" s="387"/>
      <c r="BH12781" s="386"/>
      <c r="BI12781" s="386"/>
      <c r="BJ12781" s="46"/>
    </row>
    <row r="12782" spans="59:62" x14ac:dyDescent="0.3">
      <c r="BG12782" s="387"/>
      <c r="BH12782" s="386"/>
      <c r="BI12782" s="386"/>
      <c r="BJ12782" s="46"/>
    </row>
    <row r="12783" spans="59:62" x14ac:dyDescent="0.3">
      <c r="BG12783" s="387"/>
      <c r="BH12783" s="386"/>
      <c r="BI12783" s="386"/>
      <c r="BJ12783" s="46"/>
    </row>
    <row r="12784" spans="59:62" x14ac:dyDescent="0.3">
      <c r="BG12784" s="387"/>
      <c r="BH12784" s="386"/>
      <c r="BI12784" s="386"/>
      <c r="BJ12784" s="46"/>
    </row>
    <row r="12785" spans="59:62" x14ac:dyDescent="0.3">
      <c r="BG12785" s="387"/>
      <c r="BH12785" s="386"/>
      <c r="BI12785" s="386"/>
      <c r="BJ12785" s="46"/>
    </row>
    <row r="12786" spans="59:62" x14ac:dyDescent="0.3">
      <c r="BG12786" s="387"/>
      <c r="BH12786" s="386"/>
      <c r="BI12786" s="386"/>
      <c r="BJ12786" s="46"/>
    </row>
    <row r="12787" spans="59:62" x14ac:dyDescent="0.3">
      <c r="BG12787" s="387"/>
      <c r="BH12787" s="386"/>
      <c r="BI12787" s="386"/>
      <c r="BJ12787" s="46"/>
    </row>
    <row r="12788" spans="59:62" x14ac:dyDescent="0.3">
      <c r="BG12788" s="387"/>
      <c r="BH12788" s="386"/>
      <c r="BI12788" s="386"/>
      <c r="BJ12788" s="46"/>
    </row>
    <row r="12789" spans="59:62" x14ac:dyDescent="0.3">
      <c r="BG12789" s="387"/>
      <c r="BH12789" s="386"/>
      <c r="BI12789" s="386"/>
      <c r="BJ12789" s="46"/>
    </row>
    <row r="12790" spans="59:62" x14ac:dyDescent="0.3">
      <c r="BG12790" s="387"/>
      <c r="BH12790" s="386"/>
      <c r="BI12790" s="386"/>
      <c r="BJ12790" s="46"/>
    </row>
    <row r="12791" spans="59:62" x14ac:dyDescent="0.3">
      <c r="BG12791" s="387"/>
      <c r="BH12791" s="386"/>
      <c r="BI12791" s="386"/>
      <c r="BJ12791" s="46"/>
    </row>
    <row r="12792" spans="59:62" x14ac:dyDescent="0.3">
      <c r="BG12792" s="387"/>
      <c r="BH12792" s="386"/>
      <c r="BI12792" s="386"/>
      <c r="BJ12792" s="46"/>
    </row>
    <row r="12793" spans="59:62" x14ac:dyDescent="0.3">
      <c r="BG12793" s="387"/>
      <c r="BH12793" s="386"/>
      <c r="BI12793" s="386"/>
      <c r="BJ12793" s="46"/>
    </row>
    <row r="12794" spans="59:62" x14ac:dyDescent="0.3">
      <c r="BG12794" s="387"/>
      <c r="BH12794" s="386"/>
      <c r="BI12794" s="386"/>
      <c r="BJ12794" s="46"/>
    </row>
    <row r="12795" spans="59:62" x14ac:dyDescent="0.3">
      <c r="BG12795" s="387"/>
      <c r="BH12795" s="386"/>
      <c r="BI12795" s="386"/>
      <c r="BJ12795" s="46"/>
    </row>
    <row r="12796" spans="59:62" x14ac:dyDescent="0.3">
      <c r="BG12796" s="387"/>
      <c r="BH12796" s="386"/>
      <c r="BI12796" s="386"/>
      <c r="BJ12796" s="46"/>
    </row>
    <row r="12797" spans="59:62" x14ac:dyDescent="0.3">
      <c r="BG12797" s="387"/>
      <c r="BH12797" s="386"/>
      <c r="BI12797" s="386"/>
      <c r="BJ12797" s="46"/>
    </row>
    <row r="12798" spans="59:62" x14ac:dyDescent="0.3">
      <c r="BG12798" s="387"/>
      <c r="BH12798" s="386"/>
      <c r="BI12798" s="386"/>
      <c r="BJ12798" s="46"/>
    </row>
    <row r="12799" spans="59:62" x14ac:dyDescent="0.3">
      <c r="BG12799" s="387"/>
      <c r="BH12799" s="386"/>
      <c r="BI12799" s="386"/>
      <c r="BJ12799" s="46"/>
    </row>
    <row r="12800" spans="59:62" x14ac:dyDescent="0.3">
      <c r="BG12800" s="387"/>
      <c r="BH12800" s="386"/>
      <c r="BI12800" s="386"/>
      <c r="BJ12800" s="46"/>
    </row>
    <row r="12801" spans="59:62" x14ac:dyDescent="0.3">
      <c r="BG12801" s="387"/>
      <c r="BH12801" s="386"/>
      <c r="BI12801" s="386"/>
      <c r="BJ12801" s="46"/>
    </row>
    <row r="12802" spans="59:62" x14ac:dyDescent="0.3">
      <c r="BG12802" s="387"/>
      <c r="BH12802" s="386"/>
      <c r="BI12802" s="386"/>
      <c r="BJ12802" s="46"/>
    </row>
    <row r="12803" spans="59:62" x14ac:dyDescent="0.3">
      <c r="BG12803" s="387"/>
      <c r="BH12803" s="386"/>
      <c r="BI12803" s="386"/>
      <c r="BJ12803" s="46"/>
    </row>
    <row r="12804" spans="59:62" x14ac:dyDescent="0.3">
      <c r="BG12804" s="387"/>
      <c r="BH12804" s="386"/>
      <c r="BI12804" s="386"/>
      <c r="BJ12804" s="46"/>
    </row>
    <row r="12805" spans="59:62" x14ac:dyDescent="0.3">
      <c r="BG12805" s="387"/>
      <c r="BH12805" s="386"/>
      <c r="BI12805" s="386"/>
      <c r="BJ12805" s="46"/>
    </row>
    <row r="12806" spans="59:62" x14ac:dyDescent="0.3">
      <c r="BG12806" s="387"/>
      <c r="BH12806" s="386"/>
      <c r="BI12806" s="386"/>
      <c r="BJ12806" s="46"/>
    </row>
    <row r="12807" spans="59:62" x14ac:dyDescent="0.3">
      <c r="BG12807" s="387"/>
      <c r="BH12807" s="386"/>
      <c r="BI12807" s="386"/>
      <c r="BJ12807" s="46"/>
    </row>
    <row r="12808" spans="59:62" x14ac:dyDescent="0.3">
      <c r="BG12808" s="387"/>
      <c r="BH12808" s="386"/>
      <c r="BI12808" s="386"/>
      <c r="BJ12808" s="46"/>
    </row>
    <row r="12809" spans="59:62" x14ac:dyDescent="0.3">
      <c r="BG12809" s="387"/>
      <c r="BH12809" s="386"/>
      <c r="BI12809" s="386"/>
      <c r="BJ12809" s="46"/>
    </row>
    <row r="12810" spans="59:62" x14ac:dyDescent="0.3">
      <c r="BG12810" s="387"/>
      <c r="BH12810" s="386"/>
      <c r="BI12810" s="386"/>
      <c r="BJ12810" s="46"/>
    </row>
    <row r="12811" spans="59:62" x14ac:dyDescent="0.3">
      <c r="BG12811" s="387"/>
      <c r="BH12811" s="386"/>
      <c r="BI12811" s="386"/>
      <c r="BJ12811" s="46"/>
    </row>
    <row r="12812" spans="59:62" x14ac:dyDescent="0.3">
      <c r="BG12812" s="387"/>
      <c r="BH12812" s="386"/>
      <c r="BI12812" s="386"/>
      <c r="BJ12812" s="46"/>
    </row>
    <row r="12813" spans="59:62" x14ac:dyDescent="0.3">
      <c r="BG12813" s="387"/>
      <c r="BH12813" s="386"/>
      <c r="BI12813" s="386"/>
      <c r="BJ12813" s="46"/>
    </row>
    <row r="12814" spans="59:62" x14ac:dyDescent="0.3">
      <c r="BG12814" s="387"/>
      <c r="BH12814" s="386"/>
      <c r="BI12814" s="386"/>
      <c r="BJ12814" s="46"/>
    </row>
    <row r="12815" spans="59:62" x14ac:dyDescent="0.3">
      <c r="BG12815" s="387"/>
      <c r="BH12815" s="386"/>
      <c r="BI12815" s="386"/>
      <c r="BJ12815" s="46"/>
    </row>
    <row r="12816" spans="59:62" x14ac:dyDescent="0.3">
      <c r="BG12816" s="387"/>
      <c r="BH12816" s="386"/>
      <c r="BI12816" s="386"/>
      <c r="BJ12816" s="46"/>
    </row>
    <row r="12817" spans="59:62" x14ac:dyDescent="0.3">
      <c r="BG12817" s="387"/>
      <c r="BH12817" s="386"/>
      <c r="BI12817" s="386"/>
      <c r="BJ12817" s="46"/>
    </row>
    <row r="12818" spans="59:62" x14ac:dyDescent="0.3">
      <c r="BG12818" s="387"/>
      <c r="BH12818" s="386"/>
      <c r="BI12818" s="386"/>
      <c r="BJ12818" s="46"/>
    </row>
    <row r="12819" spans="59:62" x14ac:dyDescent="0.3">
      <c r="BG12819" s="387"/>
      <c r="BH12819" s="386"/>
      <c r="BI12819" s="386"/>
      <c r="BJ12819" s="46"/>
    </row>
    <row r="12820" spans="59:62" x14ac:dyDescent="0.3">
      <c r="BG12820" s="387"/>
      <c r="BH12820" s="386"/>
      <c r="BI12820" s="386"/>
      <c r="BJ12820" s="46"/>
    </row>
    <row r="12821" spans="59:62" x14ac:dyDescent="0.3">
      <c r="BG12821" s="387"/>
      <c r="BH12821" s="386"/>
      <c r="BI12821" s="386"/>
      <c r="BJ12821" s="46"/>
    </row>
    <row r="12822" spans="59:62" x14ac:dyDescent="0.3">
      <c r="BG12822" s="387"/>
      <c r="BH12822" s="386"/>
      <c r="BI12822" s="386"/>
      <c r="BJ12822" s="46"/>
    </row>
    <row r="12823" spans="59:62" x14ac:dyDescent="0.3">
      <c r="BG12823" s="387"/>
      <c r="BH12823" s="386"/>
      <c r="BI12823" s="386"/>
      <c r="BJ12823" s="46"/>
    </row>
    <row r="12824" spans="59:62" x14ac:dyDescent="0.3">
      <c r="BG12824" s="387"/>
      <c r="BH12824" s="386"/>
      <c r="BI12824" s="386"/>
      <c r="BJ12824" s="46"/>
    </row>
    <row r="12825" spans="59:62" x14ac:dyDescent="0.3">
      <c r="BG12825" s="387"/>
      <c r="BH12825" s="386"/>
      <c r="BI12825" s="386"/>
      <c r="BJ12825" s="46"/>
    </row>
    <row r="12826" spans="59:62" x14ac:dyDescent="0.3">
      <c r="BG12826" s="387"/>
      <c r="BH12826" s="386"/>
      <c r="BI12826" s="386"/>
      <c r="BJ12826" s="46"/>
    </row>
    <row r="12827" spans="59:62" x14ac:dyDescent="0.3">
      <c r="BG12827" s="387"/>
      <c r="BH12827" s="386"/>
      <c r="BI12827" s="386"/>
      <c r="BJ12827" s="46"/>
    </row>
    <row r="12828" spans="59:62" x14ac:dyDescent="0.3">
      <c r="BG12828" s="387"/>
      <c r="BH12828" s="386"/>
      <c r="BI12828" s="386"/>
      <c r="BJ12828" s="46"/>
    </row>
    <row r="12829" spans="59:62" x14ac:dyDescent="0.3">
      <c r="BG12829" s="387"/>
      <c r="BH12829" s="386"/>
      <c r="BI12829" s="386"/>
      <c r="BJ12829" s="46"/>
    </row>
    <row r="12830" spans="59:62" x14ac:dyDescent="0.3">
      <c r="BG12830" s="387"/>
      <c r="BH12830" s="386"/>
      <c r="BI12830" s="386"/>
      <c r="BJ12830" s="46"/>
    </row>
    <row r="12831" spans="59:62" x14ac:dyDescent="0.3">
      <c r="BG12831" s="387"/>
      <c r="BH12831" s="386"/>
      <c r="BI12831" s="386"/>
      <c r="BJ12831" s="46"/>
    </row>
    <row r="12832" spans="59:62" x14ac:dyDescent="0.3">
      <c r="BG12832" s="387"/>
      <c r="BH12832" s="386"/>
      <c r="BI12832" s="386"/>
      <c r="BJ12832" s="46"/>
    </row>
    <row r="12833" spans="59:62" x14ac:dyDescent="0.3">
      <c r="BG12833" s="387"/>
      <c r="BH12833" s="386"/>
      <c r="BI12833" s="386"/>
      <c r="BJ12833" s="46"/>
    </row>
    <row r="12834" spans="59:62" x14ac:dyDescent="0.3">
      <c r="BG12834" s="387"/>
      <c r="BH12834" s="386"/>
      <c r="BI12834" s="386"/>
      <c r="BJ12834" s="46"/>
    </row>
    <row r="12835" spans="59:62" x14ac:dyDescent="0.3">
      <c r="BG12835" s="387"/>
      <c r="BH12835" s="386"/>
      <c r="BI12835" s="386"/>
      <c r="BJ12835" s="46"/>
    </row>
    <row r="12836" spans="59:62" x14ac:dyDescent="0.3">
      <c r="BG12836" s="387"/>
      <c r="BH12836" s="386"/>
      <c r="BI12836" s="386"/>
      <c r="BJ12836" s="46"/>
    </row>
    <row r="12837" spans="59:62" x14ac:dyDescent="0.3">
      <c r="BG12837" s="387"/>
      <c r="BH12837" s="386"/>
      <c r="BI12837" s="386"/>
      <c r="BJ12837" s="46"/>
    </row>
    <row r="12838" spans="59:62" x14ac:dyDescent="0.3">
      <c r="BG12838" s="387"/>
      <c r="BH12838" s="386"/>
      <c r="BI12838" s="386"/>
      <c r="BJ12838" s="46"/>
    </row>
    <row r="12839" spans="59:62" x14ac:dyDescent="0.3">
      <c r="BG12839" s="387"/>
      <c r="BH12839" s="386"/>
      <c r="BI12839" s="386"/>
      <c r="BJ12839" s="46"/>
    </row>
    <row r="12840" spans="59:62" x14ac:dyDescent="0.3">
      <c r="BG12840" s="387"/>
      <c r="BH12840" s="386"/>
      <c r="BI12840" s="386"/>
      <c r="BJ12840" s="46"/>
    </row>
    <row r="12841" spans="59:62" x14ac:dyDescent="0.3">
      <c r="BG12841" s="387"/>
      <c r="BH12841" s="386"/>
      <c r="BI12841" s="386"/>
      <c r="BJ12841" s="46"/>
    </row>
    <row r="12842" spans="59:62" x14ac:dyDescent="0.3">
      <c r="BG12842" s="387"/>
      <c r="BH12842" s="386"/>
      <c r="BI12842" s="386"/>
      <c r="BJ12842" s="46"/>
    </row>
    <row r="12843" spans="59:62" x14ac:dyDescent="0.3">
      <c r="BG12843" s="387"/>
      <c r="BH12843" s="386"/>
      <c r="BI12843" s="386"/>
      <c r="BJ12843" s="46"/>
    </row>
    <row r="12844" spans="59:62" x14ac:dyDescent="0.3">
      <c r="BG12844" s="387"/>
      <c r="BH12844" s="386"/>
      <c r="BI12844" s="386"/>
      <c r="BJ12844" s="46"/>
    </row>
    <row r="12845" spans="59:62" x14ac:dyDescent="0.3">
      <c r="BG12845" s="387"/>
      <c r="BH12845" s="386"/>
      <c r="BI12845" s="386"/>
      <c r="BJ12845" s="46"/>
    </row>
    <row r="12846" spans="59:62" x14ac:dyDescent="0.3">
      <c r="BG12846" s="387"/>
      <c r="BH12846" s="386"/>
      <c r="BI12846" s="386"/>
      <c r="BJ12846" s="46"/>
    </row>
    <row r="12847" spans="59:62" x14ac:dyDescent="0.3">
      <c r="BG12847" s="387"/>
      <c r="BH12847" s="386"/>
      <c r="BI12847" s="386"/>
      <c r="BJ12847" s="46"/>
    </row>
    <row r="12848" spans="59:62" x14ac:dyDescent="0.3">
      <c r="BG12848" s="387"/>
      <c r="BH12848" s="386"/>
      <c r="BI12848" s="386"/>
      <c r="BJ12848" s="46"/>
    </row>
    <row r="12849" spans="59:62" x14ac:dyDescent="0.3">
      <c r="BG12849" s="387"/>
      <c r="BH12849" s="386"/>
      <c r="BI12849" s="386"/>
      <c r="BJ12849" s="46"/>
    </row>
    <row r="12850" spans="59:62" x14ac:dyDescent="0.3">
      <c r="BG12850" s="387"/>
      <c r="BH12850" s="386"/>
      <c r="BI12850" s="386"/>
      <c r="BJ12850" s="46"/>
    </row>
    <row r="12851" spans="59:62" x14ac:dyDescent="0.3">
      <c r="BG12851" s="387"/>
      <c r="BH12851" s="386"/>
      <c r="BI12851" s="386"/>
      <c r="BJ12851" s="46"/>
    </row>
    <row r="12852" spans="59:62" x14ac:dyDescent="0.3">
      <c r="BG12852" s="387"/>
      <c r="BH12852" s="386"/>
      <c r="BI12852" s="386"/>
      <c r="BJ12852" s="46"/>
    </row>
    <row r="12853" spans="59:62" x14ac:dyDescent="0.3">
      <c r="BG12853" s="387"/>
      <c r="BH12853" s="386"/>
      <c r="BI12853" s="386"/>
      <c r="BJ12853" s="46"/>
    </row>
    <row r="12854" spans="59:62" x14ac:dyDescent="0.3">
      <c r="BG12854" s="387"/>
      <c r="BH12854" s="386"/>
      <c r="BI12854" s="386"/>
      <c r="BJ12854" s="46"/>
    </row>
    <row r="12855" spans="59:62" x14ac:dyDescent="0.3">
      <c r="BG12855" s="387"/>
      <c r="BH12855" s="386"/>
      <c r="BI12855" s="386"/>
      <c r="BJ12855" s="46"/>
    </row>
    <row r="12856" spans="59:62" x14ac:dyDescent="0.3">
      <c r="BG12856" s="387"/>
      <c r="BH12856" s="386"/>
      <c r="BI12856" s="386"/>
      <c r="BJ12856" s="46"/>
    </row>
    <row r="12857" spans="59:62" x14ac:dyDescent="0.3">
      <c r="BG12857" s="387"/>
      <c r="BH12857" s="386"/>
      <c r="BI12857" s="386"/>
      <c r="BJ12857" s="46"/>
    </row>
    <row r="12858" spans="59:62" x14ac:dyDescent="0.3">
      <c r="BG12858" s="387"/>
      <c r="BH12858" s="386"/>
      <c r="BI12858" s="386"/>
      <c r="BJ12858" s="46"/>
    </row>
    <row r="12859" spans="59:62" x14ac:dyDescent="0.3">
      <c r="BG12859" s="387"/>
      <c r="BH12859" s="386"/>
      <c r="BI12859" s="386"/>
      <c r="BJ12859" s="46"/>
    </row>
    <row r="12860" spans="59:62" x14ac:dyDescent="0.3">
      <c r="BG12860" s="387"/>
      <c r="BH12860" s="386"/>
      <c r="BI12860" s="386"/>
      <c r="BJ12860" s="46"/>
    </row>
    <row r="12861" spans="59:62" x14ac:dyDescent="0.3">
      <c r="BG12861" s="387"/>
      <c r="BH12861" s="386"/>
      <c r="BI12861" s="386"/>
      <c r="BJ12861" s="46"/>
    </row>
    <row r="12862" spans="59:62" x14ac:dyDescent="0.3">
      <c r="BG12862" s="387"/>
      <c r="BH12862" s="386"/>
      <c r="BI12862" s="386"/>
      <c r="BJ12862" s="46"/>
    </row>
    <row r="12863" spans="59:62" x14ac:dyDescent="0.3">
      <c r="BG12863" s="387"/>
      <c r="BH12863" s="386"/>
      <c r="BI12863" s="386"/>
      <c r="BJ12863" s="46"/>
    </row>
    <row r="12864" spans="59:62" x14ac:dyDescent="0.3">
      <c r="BG12864" s="387"/>
      <c r="BH12864" s="386"/>
      <c r="BI12864" s="386"/>
      <c r="BJ12864" s="46"/>
    </row>
    <row r="12865" spans="59:62" x14ac:dyDescent="0.3">
      <c r="BG12865" s="387"/>
      <c r="BH12865" s="386"/>
      <c r="BI12865" s="386"/>
      <c r="BJ12865" s="46"/>
    </row>
    <row r="12866" spans="59:62" x14ac:dyDescent="0.3">
      <c r="BG12866" s="387"/>
      <c r="BH12866" s="386"/>
      <c r="BI12866" s="386"/>
      <c r="BJ12866" s="46"/>
    </row>
    <row r="12867" spans="59:62" x14ac:dyDescent="0.3">
      <c r="BG12867" s="387"/>
      <c r="BH12867" s="386"/>
      <c r="BI12867" s="386"/>
      <c r="BJ12867" s="46"/>
    </row>
    <row r="12868" spans="59:62" x14ac:dyDescent="0.3">
      <c r="BG12868" s="387"/>
      <c r="BH12868" s="386"/>
      <c r="BI12868" s="386"/>
      <c r="BJ12868" s="46"/>
    </row>
    <row r="12869" spans="59:62" x14ac:dyDescent="0.3">
      <c r="BG12869" s="387"/>
      <c r="BH12869" s="386"/>
      <c r="BI12869" s="386"/>
      <c r="BJ12869" s="46"/>
    </row>
    <row r="12870" spans="59:62" x14ac:dyDescent="0.3">
      <c r="BG12870" s="387"/>
      <c r="BH12870" s="386"/>
      <c r="BI12870" s="386"/>
      <c r="BJ12870" s="46"/>
    </row>
    <row r="12871" spans="59:62" x14ac:dyDescent="0.3">
      <c r="BG12871" s="387"/>
      <c r="BH12871" s="386"/>
      <c r="BI12871" s="386"/>
      <c r="BJ12871" s="46"/>
    </row>
    <row r="12872" spans="59:62" x14ac:dyDescent="0.3">
      <c r="BG12872" s="387"/>
      <c r="BH12872" s="386"/>
      <c r="BI12872" s="386"/>
      <c r="BJ12872" s="46"/>
    </row>
    <row r="12873" spans="59:62" x14ac:dyDescent="0.3">
      <c r="BG12873" s="387"/>
      <c r="BH12873" s="386"/>
      <c r="BI12873" s="386"/>
      <c r="BJ12873" s="46"/>
    </row>
    <row r="12874" spans="59:62" x14ac:dyDescent="0.3">
      <c r="BG12874" s="387"/>
      <c r="BH12874" s="386"/>
      <c r="BI12874" s="386"/>
      <c r="BJ12874" s="46"/>
    </row>
    <row r="12875" spans="59:62" x14ac:dyDescent="0.3">
      <c r="BG12875" s="387"/>
      <c r="BH12875" s="386"/>
      <c r="BI12875" s="386"/>
      <c r="BJ12875" s="46"/>
    </row>
    <row r="12876" spans="59:62" x14ac:dyDescent="0.3">
      <c r="BG12876" s="387"/>
      <c r="BH12876" s="386"/>
      <c r="BI12876" s="386"/>
      <c r="BJ12876" s="46"/>
    </row>
    <row r="12877" spans="59:62" x14ac:dyDescent="0.3">
      <c r="BG12877" s="387"/>
      <c r="BH12877" s="386"/>
      <c r="BI12877" s="386"/>
      <c r="BJ12877" s="46"/>
    </row>
    <row r="12878" spans="59:62" x14ac:dyDescent="0.3">
      <c r="BG12878" s="387"/>
      <c r="BH12878" s="386"/>
      <c r="BI12878" s="386"/>
      <c r="BJ12878" s="46"/>
    </row>
    <row r="12879" spans="59:62" x14ac:dyDescent="0.3">
      <c r="BG12879" s="387"/>
      <c r="BH12879" s="386"/>
      <c r="BI12879" s="386"/>
      <c r="BJ12879" s="46"/>
    </row>
    <row r="12880" spans="59:62" x14ac:dyDescent="0.3">
      <c r="BG12880" s="387"/>
      <c r="BH12880" s="386"/>
      <c r="BI12880" s="386"/>
      <c r="BJ12880" s="46"/>
    </row>
    <row r="12881" spans="59:62" x14ac:dyDescent="0.3">
      <c r="BG12881" s="387"/>
      <c r="BH12881" s="386"/>
      <c r="BI12881" s="386"/>
      <c r="BJ12881" s="46"/>
    </row>
    <row r="12882" spans="59:62" x14ac:dyDescent="0.3">
      <c r="BG12882" s="387"/>
      <c r="BH12882" s="386"/>
      <c r="BI12882" s="386"/>
      <c r="BJ12882" s="46"/>
    </row>
    <row r="12883" spans="59:62" x14ac:dyDescent="0.3">
      <c r="BG12883" s="387"/>
      <c r="BH12883" s="386"/>
      <c r="BI12883" s="386"/>
      <c r="BJ12883" s="46"/>
    </row>
    <row r="12884" spans="59:62" x14ac:dyDescent="0.3">
      <c r="BG12884" s="387"/>
      <c r="BH12884" s="386"/>
      <c r="BI12884" s="386"/>
      <c r="BJ12884" s="46"/>
    </row>
    <row r="12885" spans="59:62" x14ac:dyDescent="0.3">
      <c r="BG12885" s="387"/>
      <c r="BH12885" s="386"/>
      <c r="BI12885" s="386"/>
      <c r="BJ12885" s="46"/>
    </row>
    <row r="12886" spans="59:62" x14ac:dyDescent="0.3">
      <c r="BG12886" s="387"/>
      <c r="BH12886" s="386"/>
      <c r="BI12886" s="386"/>
      <c r="BJ12886" s="46"/>
    </row>
    <row r="12887" spans="59:62" x14ac:dyDescent="0.3">
      <c r="BG12887" s="387"/>
      <c r="BH12887" s="386"/>
      <c r="BI12887" s="386"/>
      <c r="BJ12887" s="46"/>
    </row>
    <row r="12888" spans="59:62" x14ac:dyDescent="0.3">
      <c r="BG12888" s="387"/>
      <c r="BH12888" s="386"/>
      <c r="BI12888" s="386"/>
      <c r="BJ12888" s="46"/>
    </row>
    <row r="12889" spans="59:62" x14ac:dyDescent="0.3">
      <c r="BG12889" s="387"/>
      <c r="BH12889" s="386"/>
      <c r="BI12889" s="386"/>
      <c r="BJ12889" s="46"/>
    </row>
    <row r="12890" spans="59:62" x14ac:dyDescent="0.3">
      <c r="BG12890" s="387"/>
      <c r="BH12890" s="386"/>
      <c r="BI12890" s="386"/>
      <c r="BJ12890" s="46"/>
    </row>
    <row r="12891" spans="59:62" x14ac:dyDescent="0.3">
      <c r="BG12891" s="387"/>
      <c r="BH12891" s="386"/>
      <c r="BI12891" s="386"/>
      <c r="BJ12891" s="46"/>
    </row>
    <row r="12892" spans="59:62" x14ac:dyDescent="0.3">
      <c r="BG12892" s="387"/>
      <c r="BH12892" s="386"/>
      <c r="BI12892" s="386"/>
      <c r="BJ12892" s="46"/>
    </row>
    <row r="12893" spans="59:62" x14ac:dyDescent="0.3">
      <c r="BG12893" s="387"/>
      <c r="BH12893" s="386"/>
      <c r="BI12893" s="386"/>
      <c r="BJ12893" s="46"/>
    </row>
    <row r="12894" spans="59:62" x14ac:dyDescent="0.3">
      <c r="BG12894" s="387"/>
      <c r="BH12894" s="386"/>
      <c r="BI12894" s="386"/>
      <c r="BJ12894" s="46"/>
    </row>
    <row r="12895" spans="59:62" x14ac:dyDescent="0.3">
      <c r="BG12895" s="387"/>
      <c r="BH12895" s="386"/>
      <c r="BI12895" s="386"/>
      <c r="BJ12895" s="46"/>
    </row>
    <row r="12896" spans="59:62" x14ac:dyDescent="0.3">
      <c r="BG12896" s="387"/>
      <c r="BH12896" s="386"/>
      <c r="BI12896" s="386"/>
      <c r="BJ12896" s="46"/>
    </row>
    <row r="12897" spans="59:62" x14ac:dyDescent="0.3">
      <c r="BG12897" s="387"/>
      <c r="BH12897" s="386"/>
      <c r="BI12897" s="386"/>
      <c r="BJ12897" s="46"/>
    </row>
    <row r="12898" spans="59:62" x14ac:dyDescent="0.3">
      <c r="BG12898" s="387"/>
      <c r="BH12898" s="386"/>
      <c r="BI12898" s="386"/>
      <c r="BJ12898" s="46"/>
    </row>
    <row r="12899" spans="59:62" x14ac:dyDescent="0.3">
      <c r="BG12899" s="387"/>
      <c r="BH12899" s="386"/>
      <c r="BI12899" s="386"/>
      <c r="BJ12899" s="46"/>
    </row>
    <row r="12900" spans="59:62" x14ac:dyDescent="0.3">
      <c r="BG12900" s="387"/>
      <c r="BH12900" s="386"/>
      <c r="BI12900" s="386"/>
      <c r="BJ12900" s="46"/>
    </row>
    <row r="12901" spans="59:62" x14ac:dyDescent="0.3">
      <c r="BG12901" s="387"/>
      <c r="BH12901" s="386"/>
      <c r="BI12901" s="386"/>
      <c r="BJ12901" s="46"/>
    </row>
    <row r="12902" spans="59:62" x14ac:dyDescent="0.3">
      <c r="BG12902" s="387"/>
      <c r="BH12902" s="386"/>
      <c r="BI12902" s="386"/>
      <c r="BJ12902" s="46"/>
    </row>
    <row r="12903" spans="59:62" x14ac:dyDescent="0.3">
      <c r="BG12903" s="387"/>
      <c r="BH12903" s="386"/>
      <c r="BI12903" s="386"/>
      <c r="BJ12903" s="46"/>
    </row>
    <row r="12904" spans="59:62" x14ac:dyDescent="0.3">
      <c r="BG12904" s="387"/>
      <c r="BH12904" s="386"/>
      <c r="BI12904" s="386"/>
      <c r="BJ12904" s="46"/>
    </row>
    <row r="12905" spans="59:62" x14ac:dyDescent="0.3">
      <c r="BG12905" s="387"/>
      <c r="BH12905" s="386"/>
      <c r="BI12905" s="386"/>
      <c r="BJ12905" s="46"/>
    </row>
    <row r="12906" spans="59:62" x14ac:dyDescent="0.3">
      <c r="BG12906" s="387"/>
      <c r="BH12906" s="386"/>
      <c r="BI12906" s="386"/>
      <c r="BJ12906" s="46"/>
    </row>
    <row r="12907" spans="59:62" x14ac:dyDescent="0.3">
      <c r="BG12907" s="387"/>
      <c r="BH12907" s="386"/>
      <c r="BI12907" s="386"/>
      <c r="BJ12907" s="46"/>
    </row>
    <row r="12908" spans="59:62" x14ac:dyDescent="0.3">
      <c r="BG12908" s="387"/>
      <c r="BH12908" s="386"/>
      <c r="BI12908" s="386"/>
      <c r="BJ12908" s="46"/>
    </row>
    <row r="12909" spans="59:62" x14ac:dyDescent="0.3">
      <c r="BG12909" s="387"/>
      <c r="BH12909" s="386"/>
      <c r="BI12909" s="386"/>
      <c r="BJ12909" s="46"/>
    </row>
    <row r="12910" spans="59:62" x14ac:dyDescent="0.3">
      <c r="BG12910" s="387"/>
      <c r="BH12910" s="386"/>
      <c r="BI12910" s="386"/>
      <c r="BJ12910" s="46"/>
    </row>
    <row r="12911" spans="59:62" x14ac:dyDescent="0.3">
      <c r="BG12911" s="387"/>
      <c r="BH12911" s="386"/>
      <c r="BI12911" s="386"/>
      <c r="BJ12911" s="46"/>
    </row>
    <row r="12912" spans="59:62" x14ac:dyDescent="0.3">
      <c r="BG12912" s="387"/>
      <c r="BH12912" s="386"/>
      <c r="BI12912" s="386"/>
      <c r="BJ12912" s="46"/>
    </row>
    <row r="12913" spans="59:62" x14ac:dyDescent="0.3">
      <c r="BG12913" s="387"/>
      <c r="BH12913" s="386"/>
      <c r="BI12913" s="386"/>
      <c r="BJ12913" s="46"/>
    </row>
    <row r="12914" spans="59:62" x14ac:dyDescent="0.3">
      <c r="BG12914" s="387"/>
      <c r="BH12914" s="386"/>
      <c r="BI12914" s="386"/>
      <c r="BJ12914" s="46"/>
    </row>
    <row r="12915" spans="59:62" x14ac:dyDescent="0.3">
      <c r="BG12915" s="387"/>
      <c r="BH12915" s="386"/>
      <c r="BI12915" s="386"/>
      <c r="BJ12915" s="46"/>
    </row>
    <row r="12916" spans="59:62" x14ac:dyDescent="0.3">
      <c r="BG12916" s="387"/>
      <c r="BH12916" s="386"/>
      <c r="BI12916" s="386"/>
      <c r="BJ12916" s="46"/>
    </row>
    <row r="12917" spans="59:62" x14ac:dyDescent="0.3">
      <c r="BG12917" s="387"/>
      <c r="BH12917" s="386"/>
      <c r="BI12917" s="386"/>
      <c r="BJ12917" s="46"/>
    </row>
    <row r="12918" spans="59:62" x14ac:dyDescent="0.3">
      <c r="BG12918" s="387"/>
      <c r="BH12918" s="386"/>
      <c r="BI12918" s="386"/>
      <c r="BJ12918" s="46"/>
    </row>
    <row r="12919" spans="59:62" x14ac:dyDescent="0.3">
      <c r="BG12919" s="387"/>
      <c r="BH12919" s="386"/>
      <c r="BI12919" s="386"/>
      <c r="BJ12919" s="46"/>
    </row>
    <row r="12920" spans="59:62" x14ac:dyDescent="0.3">
      <c r="BG12920" s="387"/>
      <c r="BH12920" s="386"/>
      <c r="BI12920" s="386"/>
      <c r="BJ12920" s="46"/>
    </row>
    <row r="12921" spans="59:62" x14ac:dyDescent="0.3">
      <c r="BG12921" s="387"/>
      <c r="BH12921" s="386"/>
      <c r="BI12921" s="386"/>
      <c r="BJ12921" s="46"/>
    </row>
    <row r="12922" spans="59:62" x14ac:dyDescent="0.3">
      <c r="BG12922" s="387"/>
      <c r="BH12922" s="386"/>
      <c r="BI12922" s="386"/>
      <c r="BJ12922" s="46"/>
    </row>
    <row r="12923" spans="59:62" x14ac:dyDescent="0.3">
      <c r="BG12923" s="387"/>
      <c r="BH12923" s="386"/>
      <c r="BI12923" s="386"/>
      <c r="BJ12923" s="46"/>
    </row>
    <row r="12924" spans="59:62" x14ac:dyDescent="0.3">
      <c r="BG12924" s="387"/>
      <c r="BH12924" s="386"/>
      <c r="BI12924" s="386"/>
      <c r="BJ12924" s="46"/>
    </row>
    <row r="12925" spans="59:62" x14ac:dyDescent="0.3">
      <c r="BG12925" s="387"/>
      <c r="BH12925" s="386"/>
      <c r="BI12925" s="386"/>
      <c r="BJ12925" s="46"/>
    </row>
    <row r="12926" spans="59:62" x14ac:dyDescent="0.3">
      <c r="BG12926" s="387"/>
      <c r="BH12926" s="386"/>
      <c r="BI12926" s="386"/>
      <c r="BJ12926" s="46"/>
    </row>
    <row r="12927" spans="59:62" x14ac:dyDescent="0.3">
      <c r="BG12927" s="387"/>
      <c r="BH12927" s="386"/>
      <c r="BI12927" s="386"/>
      <c r="BJ12927" s="46"/>
    </row>
    <row r="12928" spans="59:62" x14ac:dyDescent="0.3">
      <c r="BG12928" s="387"/>
      <c r="BH12928" s="386"/>
      <c r="BI12928" s="386"/>
      <c r="BJ12928" s="46"/>
    </row>
    <row r="12929" spans="59:62" x14ac:dyDescent="0.3">
      <c r="BG12929" s="387"/>
      <c r="BH12929" s="386"/>
      <c r="BI12929" s="386"/>
      <c r="BJ12929" s="46"/>
    </row>
    <row r="12930" spans="59:62" x14ac:dyDescent="0.3">
      <c r="BG12930" s="387"/>
      <c r="BH12930" s="386"/>
      <c r="BI12930" s="386"/>
      <c r="BJ12930" s="46"/>
    </row>
    <row r="12931" spans="59:62" x14ac:dyDescent="0.3">
      <c r="BG12931" s="387"/>
      <c r="BH12931" s="386"/>
      <c r="BI12931" s="386"/>
      <c r="BJ12931" s="46"/>
    </row>
    <row r="12932" spans="59:62" x14ac:dyDescent="0.3">
      <c r="BG12932" s="387"/>
      <c r="BH12932" s="386"/>
      <c r="BI12932" s="386"/>
      <c r="BJ12932" s="46"/>
    </row>
    <row r="12933" spans="59:62" x14ac:dyDescent="0.3">
      <c r="BG12933" s="387"/>
      <c r="BH12933" s="386"/>
      <c r="BI12933" s="386"/>
      <c r="BJ12933" s="46"/>
    </row>
    <row r="12934" spans="59:62" x14ac:dyDescent="0.3">
      <c r="BG12934" s="387"/>
      <c r="BH12934" s="386"/>
      <c r="BI12934" s="386"/>
      <c r="BJ12934" s="46"/>
    </row>
    <row r="12935" spans="59:62" x14ac:dyDescent="0.3">
      <c r="BG12935" s="387"/>
      <c r="BH12935" s="386"/>
      <c r="BI12935" s="386"/>
      <c r="BJ12935" s="46"/>
    </row>
    <row r="12936" spans="59:62" x14ac:dyDescent="0.3">
      <c r="BG12936" s="387"/>
      <c r="BH12936" s="386"/>
      <c r="BI12936" s="386"/>
      <c r="BJ12936" s="46"/>
    </row>
    <row r="12937" spans="59:62" x14ac:dyDescent="0.3">
      <c r="BG12937" s="387"/>
      <c r="BH12937" s="386"/>
      <c r="BI12937" s="386"/>
      <c r="BJ12937" s="46"/>
    </row>
    <row r="12938" spans="59:62" x14ac:dyDescent="0.3">
      <c r="BG12938" s="387"/>
      <c r="BH12938" s="386"/>
      <c r="BI12938" s="386"/>
      <c r="BJ12938" s="46"/>
    </row>
    <row r="12939" spans="59:62" x14ac:dyDescent="0.3">
      <c r="BG12939" s="387"/>
      <c r="BH12939" s="386"/>
      <c r="BI12939" s="386"/>
      <c r="BJ12939" s="46"/>
    </row>
    <row r="12940" spans="59:62" x14ac:dyDescent="0.3">
      <c r="BG12940" s="387"/>
      <c r="BH12940" s="386"/>
      <c r="BI12940" s="386"/>
      <c r="BJ12940" s="46"/>
    </row>
    <row r="12941" spans="59:62" x14ac:dyDescent="0.3">
      <c r="BG12941" s="387"/>
      <c r="BH12941" s="386"/>
      <c r="BI12941" s="386"/>
      <c r="BJ12941" s="46"/>
    </row>
    <row r="12942" spans="59:62" x14ac:dyDescent="0.3">
      <c r="BG12942" s="387"/>
      <c r="BH12942" s="386"/>
      <c r="BI12942" s="386"/>
      <c r="BJ12942" s="46"/>
    </row>
    <row r="12943" spans="59:62" x14ac:dyDescent="0.3">
      <c r="BG12943" s="387"/>
      <c r="BH12943" s="386"/>
      <c r="BI12943" s="386"/>
      <c r="BJ12943" s="46"/>
    </row>
    <row r="12944" spans="59:62" x14ac:dyDescent="0.3">
      <c r="BG12944" s="387"/>
      <c r="BH12944" s="386"/>
      <c r="BI12944" s="386"/>
      <c r="BJ12944" s="46"/>
    </row>
    <row r="12945" spans="59:62" x14ac:dyDescent="0.3">
      <c r="BG12945" s="387"/>
      <c r="BH12945" s="386"/>
      <c r="BI12945" s="386"/>
      <c r="BJ12945" s="46"/>
    </row>
    <row r="12946" spans="59:62" x14ac:dyDescent="0.3">
      <c r="BG12946" s="387"/>
      <c r="BH12946" s="386"/>
      <c r="BI12946" s="386"/>
      <c r="BJ12946" s="46"/>
    </row>
    <row r="12947" spans="59:62" x14ac:dyDescent="0.3">
      <c r="BG12947" s="387"/>
      <c r="BH12947" s="386"/>
      <c r="BI12947" s="386"/>
      <c r="BJ12947" s="46"/>
    </row>
    <row r="12948" spans="59:62" x14ac:dyDescent="0.3">
      <c r="BG12948" s="387"/>
      <c r="BH12948" s="386"/>
      <c r="BI12948" s="386"/>
      <c r="BJ12948" s="46"/>
    </row>
    <row r="12949" spans="59:62" x14ac:dyDescent="0.3">
      <c r="BG12949" s="387"/>
      <c r="BH12949" s="386"/>
      <c r="BI12949" s="386"/>
      <c r="BJ12949" s="46"/>
    </row>
    <row r="12950" spans="59:62" x14ac:dyDescent="0.3">
      <c r="BG12950" s="387"/>
      <c r="BH12950" s="386"/>
      <c r="BI12950" s="386"/>
      <c r="BJ12950" s="46"/>
    </row>
    <row r="12951" spans="59:62" x14ac:dyDescent="0.3">
      <c r="BG12951" s="387"/>
      <c r="BH12951" s="386"/>
      <c r="BI12951" s="386"/>
      <c r="BJ12951" s="46"/>
    </row>
    <row r="12952" spans="59:62" x14ac:dyDescent="0.3">
      <c r="BG12952" s="387"/>
      <c r="BH12952" s="386"/>
      <c r="BI12952" s="386"/>
      <c r="BJ12952" s="46"/>
    </row>
    <row r="12953" spans="59:62" x14ac:dyDescent="0.3">
      <c r="BG12953" s="387"/>
      <c r="BH12953" s="386"/>
      <c r="BI12953" s="386"/>
      <c r="BJ12953" s="46"/>
    </row>
    <row r="12954" spans="59:62" x14ac:dyDescent="0.3">
      <c r="BG12954" s="387"/>
      <c r="BH12954" s="386"/>
      <c r="BI12954" s="386"/>
      <c r="BJ12954" s="46"/>
    </row>
    <row r="12955" spans="59:62" x14ac:dyDescent="0.3">
      <c r="BG12955" s="387"/>
      <c r="BH12955" s="386"/>
      <c r="BI12955" s="386"/>
      <c r="BJ12955" s="46"/>
    </row>
    <row r="12956" spans="59:62" x14ac:dyDescent="0.3">
      <c r="BG12956" s="387"/>
      <c r="BH12956" s="386"/>
      <c r="BI12956" s="386"/>
      <c r="BJ12956" s="46"/>
    </row>
    <row r="12957" spans="59:62" x14ac:dyDescent="0.3">
      <c r="BG12957" s="387"/>
      <c r="BH12957" s="386"/>
      <c r="BI12957" s="386"/>
      <c r="BJ12957" s="46"/>
    </row>
    <row r="12958" spans="59:62" x14ac:dyDescent="0.3">
      <c r="BG12958" s="387"/>
      <c r="BH12958" s="386"/>
      <c r="BI12958" s="386"/>
      <c r="BJ12958" s="46"/>
    </row>
    <row r="12959" spans="59:62" x14ac:dyDescent="0.3">
      <c r="BG12959" s="387"/>
      <c r="BH12959" s="386"/>
      <c r="BI12959" s="386"/>
      <c r="BJ12959" s="46"/>
    </row>
    <row r="12960" spans="59:62" x14ac:dyDescent="0.3">
      <c r="BG12960" s="387"/>
      <c r="BH12960" s="386"/>
      <c r="BI12960" s="386"/>
      <c r="BJ12960" s="46"/>
    </row>
    <row r="12961" spans="59:62" x14ac:dyDescent="0.3">
      <c r="BG12961" s="387"/>
      <c r="BH12961" s="386"/>
      <c r="BI12961" s="386"/>
      <c r="BJ12961" s="46"/>
    </row>
    <row r="12962" spans="59:62" x14ac:dyDescent="0.3">
      <c r="BG12962" s="387"/>
      <c r="BH12962" s="386"/>
      <c r="BI12962" s="386"/>
      <c r="BJ12962" s="46"/>
    </row>
    <row r="12963" spans="59:62" x14ac:dyDescent="0.3">
      <c r="BG12963" s="387"/>
      <c r="BH12963" s="386"/>
      <c r="BI12963" s="386"/>
      <c r="BJ12963" s="46"/>
    </row>
    <row r="12964" spans="59:62" x14ac:dyDescent="0.3">
      <c r="BG12964" s="387"/>
      <c r="BH12964" s="386"/>
      <c r="BI12964" s="386"/>
      <c r="BJ12964" s="46"/>
    </row>
    <row r="12965" spans="59:62" x14ac:dyDescent="0.3">
      <c r="BG12965" s="387"/>
      <c r="BH12965" s="386"/>
      <c r="BI12965" s="386"/>
      <c r="BJ12965" s="46"/>
    </row>
    <row r="12966" spans="59:62" x14ac:dyDescent="0.3">
      <c r="BG12966" s="387"/>
      <c r="BH12966" s="386"/>
      <c r="BI12966" s="386"/>
      <c r="BJ12966" s="46"/>
    </row>
    <row r="12967" spans="59:62" x14ac:dyDescent="0.3">
      <c r="BG12967" s="387"/>
      <c r="BH12967" s="386"/>
      <c r="BI12967" s="386"/>
      <c r="BJ12967" s="46"/>
    </row>
    <row r="12968" spans="59:62" x14ac:dyDescent="0.3">
      <c r="BG12968" s="387"/>
      <c r="BH12968" s="386"/>
      <c r="BI12968" s="386"/>
      <c r="BJ12968" s="46"/>
    </row>
    <row r="12969" spans="59:62" x14ac:dyDescent="0.3">
      <c r="BG12969" s="387"/>
      <c r="BH12969" s="386"/>
      <c r="BI12969" s="386"/>
      <c r="BJ12969" s="46"/>
    </row>
    <row r="12970" spans="59:62" x14ac:dyDescent="0.3">
      <c r="BG12970" s="387"/>
      <c r="BH12970" s="386"/>
      <c r="BI12970" s="386"/>
      <c r="BJ12970" s="46"/>
    </row>
    <row r="12971" spans="59:62" x14ac:dyDescent="0.3">
      <c r="BG12971" s="387"/>
      <c r="BH12971" s="386"/>
      <c r="BI12971" s="386"/>
      <c r="BJ12971" s="46"/>
    </row>
    <row r="12972" spans="59:62" x14ac:dyDescent="0.3">
      <c r="BG12972" s="387"/>
      <c r="BH12972" s="386"/>
      <c r="BI12972" s="386"/>
      <c r="BJ12972" s="46"/>
    </row>
    <row r="12973" spans="59:62" x14ac:dyDescent="0.3">
      <c r="BG12973" s="387"/>
      <c r="BH12973" s="386"/>
      <c r="BI12973" s="386"/>
      <c r="BJ12973" s="46"/>
    </row>
    <row r="12974" spans="59:62" x14ac:dyDescent="0.3">
      <c r="BG12974" s="387"/>
      <c r="BH12974" s="386"/>
      <c r="BI12974" s="386"/>
      <c r="BJ12974" s="46"/>
    </row>
    <row r="12975" spans="59:62" x14ac:dyDescent="0.3">
      <c r="BG12975" s="387"/>
      <c r="BH12975" s="386"/>
      <c r="BI12975" s="386"/>
      <c r="BJ12975" s="46"/>
    </row>
    <row r="12976" spans="59:62" x14ac:dyDescent="0.3">
      <c r="BG12976" s="387"/>
      <c r="BH12976" s="386"/>
      <c r="BI12976" s="386"/>
      <c r="BJ12976" s="46"/>
    </row>
    <row r="12977" spans="59:62" x14ac:dyDescent="0.3">
      <c r="BG12977" s="387"/>
      <c r="BH12977" s="386"/>
      <c r="BI12977" s="386"/>
      <c r="BJ12977" s="46"/>
    </row>
    <row r="12978" spans="59:62" x14ac:dyDescent="0.3">
      <c r="BG12978" s="387"/>
      <c r="BH12978" s="386"/>
      <c r="BI12978" s="386"/>
      <c r="BJ12978" s="46"/>
    </row>
    <row r="12979" spans="59:62" x14ac:dyDescent="0.3">
      <c r="BG12979" s="387"/>
      <c r="BH12979" s="386"/>
      <c r="BI12979" s="386"/>
      <c r="BJ12979" s="46"/>
    </row>
    <row r="12980" spans="59:62" x14ac:dyDescent="0.3">
      <c r="BG12980" s="387"/>
      <c r="BH12980" s="386"/>
      <c r="BI12980" s="386"/>
      <c r="BJ12980" s="46"/>
    </row>
    <row r="12981" spans="59:62" x14ac:dyDescent="0.3">
      <c r="BG12981" s="387"/>
      <c r="BH12981" s="386"/>
      <c r="BI12981" s="386"/>
      <c r="BJ12981" s="46"/>
    </row>
    <row r="12982" spans="59:62" x14ac:dyDescent="0.3">
      <c r="BG12982" s="387"/>
      <c r="BH12982" s="386"/>
      <c r="BI12982" s="386"/>
      <c r="BJ12982" s="46"/>
    </row>
    <row r="12983" spans="59:62" x14ac:dyDescent="0.3">
      <c r="BG12983" s="387"/>
      <c r="BH12983" s="386"/>
      <c r="BI12983" s="386"/>
      <c r="BJ12983" s="46"/>
    </row>
    <row r="12984" spans="59:62" x14ac:dyDescent="0.3">
      <c r="BG12984" s="387"/>
      <c r="BH12984" s="386"/>
      <c r="BI12984" s="386"/>
      <c r="BJ12984" s="46"/>
    </row>
    <row r="12985" spans="59:62" x14ac:dyDescent="0.3">
      <c r="BG12985" s="387"/>
      <c r="BH12985" s="386"/>
      <c r="BI12985" s="386"/>
      <c r="BJ12985" s="46"/>
    </row>
    <row r="12986" spans="59:62" x14ac:dyDescent="0.3">
      <c r="BG12986" s="387"/>
      <c r="BH12986" s="386"/>
      <c r="BI12986" s="386"/>
      <c r="BJ12986" s="46"/>
    </row>
    <row r="12987" spans="59:62" x14ac:dyDescent="0.3">
      <c r="BG12987" s="387"/>
      <c r="BH12987" s="386"/>
      <c r="BI12987" s="386"/>
      <c r="BJ12987" s="46"/>
    </row>
    <row r="12988" spans="59:62" x14ac:dyDescent="0.3">
      <c r="BG12988" s="387"/>
      <c r="BH12988" s="386"/>
      <c r="BI12988" s="386"/>
      <c r="BJ12988" s="46"/>
    </row>
    <row r="12989" spans="59:62" x14ac:dyDescent="0.3">
      <c r="BG12989" s="387"/>
      <c r="BH12989" s="386"/>
      <c r="BI12989" s="386"/>
      <c r="BJ12989" s="46"/>
    </row>
    <row r="12990" spans="59:62" x14ac:dyDescent="0.3">
      <c r="BG12990" s="387"/>
      <c r="BH12990" s="386"/>
      <c r="BI12990" s="386"/>
      <c r="BJ12990" s="46"/>
    </row>
    <row r="12991" spans="59:62" x14ac:dyDescent="0.3">
      <c r="BG12991" s="387"/>
      <c r="BH12991" s="386"/>
      <c r="BI12991" s="386"/>
      <c r="BJ12991" s="46"/>
    </row>
    <row r="12992" spans="59:62" x14ac:dyDescent="0.3">
      <c r="BG12992" s="387"/>
      <c r="BH12992" s="386"/>
      <c r="BI12992" s="386"/>
      <c r="BJ12992" s="46"/>
    </row>
    <row r="12993" spans="59:62" x14ac:dyDescent="0.3">
      <c r="BG12993" s="387"/>
      <c r="BH12993" s="386"/>
      <c r="BI12993" s="386"/>
      <c r="BJ12993" s="46"/>
    </row>
    <row r="12994" spans="59:62" x14ac:dyDescent="0.3">
      <c r="BG12994" s="387"/>
      <c r="BH12994" s="386"/>
      <c r="BI12994" s="386"/>
      <c r="BJ12994" s="46"/>
    </row>
    <row r="12995" spans="59:62" x14ac:dyDescent="0.3">
      <c r="BG12995" s="387"/>
      <c r="BH12995" s="386"/>
      <c r="BI12995" s="386"/>
      <c r="BJ12995" s="46"/>
    </row>
    <row r="12996" spans="59:62" x14ac:dyDescent="0.3">
      <c r="BG12996" s="387"/>
      <c r="BH12996" s="386"/>
      <c r="BI12996" s="386"/>
      <c r="BJ12996" s="46"/>
    </row>
    <row r="12997" spans="59:62" x14ac:dyDescent="0.3">
      <c r="BG12997" s="387"/>
      <c r="BH12997" s="386"/>
      <c r="BI12997" s="386"/>
      <c r="BJ12997" s="46"/>
    </row>
    <row r="12998" spans="59:62" x14ac:dyDescent="0.3">
      <c r="BG12998" s="387"/>
      <c r="BH12998" s="386"/>
      <c r="BI12998" s="386"/>
      <c r="BJ12998" s="46"/>
    </row>
    <row r="12999" spans="59:62" x14ac:dyDescent="0.3">
      <c r="BG12999" s="387"/>
      <c r="BH12999" s="386"/>
      <c r="BI12999" s="386"/>
      <c r="BJ12999" s="46"/>
    </row>
    <row r="13000" spans="59:62" x14ac:dyDescent="0.3">
      <c r="BG13000" s="387"/>
      <c r="BH13000" s="386"/>
      <c r="BI13000" s="386"/>
      <c r="BJ13000" s="46"/>
    </row>
    <row r="13001" spans="59:62" x14ac:dyDescent="0.3">
      <c r="BG13001" s="387"/>
      <c r="BH13001" s="386"/>
      <c r="BI13001" s="386"/>
      <c r="BJ13001" s="46"/>
    </row>
    <row r="13002" spans="59:62" x14ac:dyDescent="0.3">
      <c r="BG13002" s="387"/>
      <c r="BH13002" s="386"/>
      <c r="BI13002" s="386"/>
      <c r="BJ13002" s="46"/>
    </row>
    <row r="13003" spans="59:62" x14ac:dyDescent="0.3">
      <c r="BG13003" s="387"/>
      <c r="BH13003" s="386"/>
      <c r="BI13003" s="386"/>
      <c r="BJ13003" s="46"/>
    </row>
    <row r="13004" spans="59:62" x14ac:dyDescent="0.3">
      <c r="BG13004" s="387"/>
      <c r="BH13004" s="386"/>
      <c r="BI13004" s="386"/>
      <c r="BJ13004" s="46"/>
    </row>
    <row r="13005" spans="59:62" x14ac:dyDescent="0.3">
      <c r="BG13005" s="387"/>
      <c r="BH13005" s="386"/>
      <c r="BI13005" s="386"/>
      <c r="BJ13005" s="46"/>
    </row>
    <row r="13006" spans="59:62" x14ac:dyDescent="0.3">
      <c r="BG13006" s="387"/>
      <c r="BH13006" s="386"/>
      <c r="BI13006" s="386"/>
      <c r="BJ13006" s="46"/>
    </row>
    <row r="13007" spans="59:62" x14ac:dyDescent="0.3">
      <c r="BG13007" s="387"/>
      <c r="BH13007" s="386"/>
      <c r="BI13007" s="386"/>
      <c r="BJ13007" s="46"/>
    </row>
    <row r="13008" spans="59:62" x14ac:dyDescent="0.3">
      <c r="BG13008" s="387"/>
      <c r="BH13008" s="386"/>
      <c r="BI13008" s="386"/>
      <c r="BJ13008" s="46"/>
    </row>
    <row r="13009" spans="59:62" x14ac:dyDescent="0.3">
      <c r="BG13009" s="387"/>
      <c r="BH13009" s="386"/>
      <c r="BI13009" s="386"/>
      <c r="BJ13009" s="46"/>
    </row>
    <row r="13010" spans="59:62" x14ac:dyDescent="0.3">
      <c r="BG13010" s="387"/>
      <c r="BH13010" s="386"/>
      <c r="BI13010" s="386"/>
      <c r="BJ13010" s="46"/>
    </row>
    <row r="13011" spans="59:62" x14ac:dyDescent="0.3">
      <c r="BG13011" s="387"/>
      <c r="BH13011" s="386"/>
      <c r="BI13011" s="386"/>
      <c r="BJ13011" s="46"/>
    </row>
    <row r="13012" spans="59:62" x14ac:dyDescent="0.3">
      <c r="BG13012" s="387"/>
      <c r="BH13012" s="386"/>
      <c r="BI13012" s="386"/>
      <c r="BJ13012" s="46"/>
    </row>
    <row r="13013" spans="59:62" x14ac:dyDescent="0.3">
      <c r="BG13013" s="387"/>
      <c r="BH13013" s="386"/>
      <c r="BI13013" s="386"/>
      <c r="BJ13013" s="46"/>
    </row>
    <row r="13014" spans="59:62" x14ac:dyDescent="0.3">
      <c r="BG13014" s="387"/>
      <c r="BH13014" s="386"/>
      <c r="BI13014" s="386"/>
      <c r="BJ13014" s="46"/>
    </row>
    <row r="13015" spans="59:62" x14ac:dyDescent="0.3">
      <c r="BG13015" s="387"/>
      <c r="BH13015" s="386"/>
      <c r="BI13015" s="386"/>
      <c r="BJ13015" s="46"/>
    </row>
    <row r="13016" spans="59:62" x14ac:dyDescent="0.3">
      <c r="BG13016" s="387"/>
      <c r="BH13016" s="386"/>
      <c r="BI13016" s="386"/>
      <c r="BJ13016" s="46"/>
    </row>
    <row r="13017" spans="59:62" x14ac:dyDescent="0.3">
      <c r="BG13017" s="387"/>
      <c r="BH13017" s="386"/>
      <c r="BI13017" s="386"/>
      <c r="BJ13017" s="46"/>
    </row>
    <row r="13018" spans="59:62" x14ac:dyDescent="0.3">
      <c r="BG13018" s="387"/>
      <c r="BH13018" s="386"/>
      <c r="BI13018" s="386"/>
      <c r="BJ13018" s="46"/>
    </row>
    <row r="13019" spans="59:62" x14ac:dyDescent="0.3">
      <c r="BG13019" s="387"/>
      <c r="BH13019" s="386"/>
      <c r="BI13019" s="386"/>
      <c r="BJ13019" s="46"/>
    </row>
    <row r="13020" spans="59:62" x14ac:dyDescent="0.3">
      <c r="BG13020" s="387"/>
      <c r="BH13020" s="386"/>
      <c r="BI13020" s="386"/>
      <c r="BJ13020" s="46"/>
    </row>
    <row r="13021" spans="59:62" x14ac:dyDescent="0.3">
      <c r="BG13021" s="387"/>
      <c r="BH13021" s="386"/>
      <c r="BI13021" s="386"/>
      <c r="BJ13021" s="46"/>
    </row>
    <row r="13022" spans="59:62" x14ac:dyDescent="0.3">
      <c r="BG13022" s="387"/>
      <c r="BH13022" s="386"/>
      <c r="BI13022" s="386"/>
      <c r="BJ13022" s="46"/>
    </row>
    <row r="13023" spans="59:62" x14ac:dyDescent="0.3">
      <c r="BG13023" s="387"/>
      <c r="BH13023" s="386"/>
      <c r="BI13023" s="386"/>
      <c r="BJ13023" s="46"/>
    </row>
    <row r="13024" spans="59:62" x14ac:dyDescent="0.3">
      <c r="BG13024" s="387"/>
      <c r="BH13024" s="386"/>
      <c r="BI13024" s="386"/>
      <c r="BJ13024" s="46"/>
    </row>
    <row r="13025" spans="59:62" x14ac:dyDescent="0.3">
      <c r="BG13025" s="387"/>
      <c r="BH13025" s="386"/>
      <c r="BI13025" s="386"/>
      <c r="BJ13025" s="46"/>
    </row>
    <row r="13026" spans="59:62" x14ac:dyDescent="0.3">
      <c r="BG13026" s="387"/>
      <c r="BH13026" s="386"/>
      <c r="BI13026" s="386"/>
      <c r="BJ13026" s="46"/>
    </row>
    <row r="13027" spans="59:62" x14ac:dyDescent="0.3">
      <c r="BG13027" s="387"/>
      <c r="BH13027" s="386"/>
      <c r="BI13027" s="386"/>
      <c r="BJ13027" s="46"/>
    </row>
    <row r="13028" spans="59:62" x14ac:dyDescent="0.3">
      <c r="BG13028" s="387"/>
      <c r="BH13028" s="386"/>
      <c r="BI13028" s="386"/>
      <c r="BJ13028" s="46"/>
    </row>
    <row r="13029" spans="59:62" x14ac:dyDescent="0.3">
      <c r="BG13029" s="387"/>
      <c r="BH13029" s="386"/>
      <c r="BI13029" s="386"/>
      <c r="BJ13029" s="46"/>
    </row>
    <row r="13030" spans="59:62" x14ac:dyDescent="0.3">
      <c r="BG13030" s="387"/>
      <c r="BH13030" s="386"/>
      <c r="BI13030" s="386"/>
      <c r="BJ13030" s="46"/>
    </row>
    <row r="13031" spans="59:62" x14ac:dyDescent="0.3">
      <c r="BG13031" s="387"/>
      <c r="BH13031" s="386"/>
      <c r="BI13031" s="386"/>
      <c r="BJ13031" s="46"/>
    </row>
    <row r="13032" spans="59:62" x14ac:dyDescent="0.3">
      <c r="BG13032" s="387"/>
      <c r="BH13032" s="386"/>
      <c r="BI13032" s="386"/>
      <c r="BJ13032" s="46"/>
    </row>
    <row r="13033" spans="59:62" x14ac:dyDescent="0.3">
      <c r="BG13033" s="387"/>
      <c r="BH13033" s="386"/>
      <c r="BI13033" s="386"/>
      <c r="BJ13033" s="46"/>
    </row>
    <row r="13034" spans="59:62" x14ac:dyDescent="0.3">
      <c r="BG13034" s="387"/>
      <c r="BH13034" s="386"/>
      <c r="BI13034" s="386"/>
      <c r="BJ13034" s="46"/>
    </row>
    <row r="13035" spans="59:62" x14ac:dyDescent="0.3">
      <c r="BG13035" s="387"/>
      <c r="BH13035" s="386"/>
      <c r="BI13035" s="386"/>
      <c r="BJ13035" s="46"/>
    </row>
    <row r="13036" spans="59:62" x14ac:dyDescent="0.3">
      <c r="BG13036" s="387"/>
      <c r="BH13036" s="386"/>
      <c r="BI13036" s="386"/>
      <c r="BJ13036" s="46"/>
    </row>
    <row r="13037" spans="59:62" x14ac:dyDescent="0.3">
      <c r="BG13037" s="387"/>
      <c r="BH13037" s="386"/>
      <c r="BI13037" s="386"/>
      <c r="BJ13037" s="46"/>
    </row>
    <row r="13038" spans="59:62" x14ac:dyDescent="0.3">
      <c r="BG13038" s="387"/>
      <c r="BH13038" s="386"/>
      <c r="BI13038" s="386"/>
      <c r="BJ13038" s="46"/>
    </row>
    <row r="13039" spans="59:62" x14ac:dyDescent="0.3">
      <c r="BG13039" s="387"/>
      <c r="BH13039" s="386"/>
      <c r="BI13039" s="386"/>
      <c r="BJ13039" s="46"/>
    </row>
    <row r="13040" spans="59:62" x14ac:dyDescent="0.3">
      <c r="BG13040" s="387"/>
      <c r="BH13040" s="386"/>
      <c r="BI13040" s="386"/>
      <c r="BJ13040" s="46"/>
    </row>
    <row r="13041" spans="59:62" x14ac:dyDescent="0.3">
      <c r="BG13041" s="387"/>
      <c r="BH13041" s="386"/>
      <c r="BI13041" s="386"/>
      <c r="BJ13041" s="46"/>
    </row>
    <row r="13042" spans="59:62" x14ac:dyDescent="0.3">
      <c r="BG13042" s="387"/>
      <c r="BH13042" s="386"/>
      <c r="BI13042" s="386"/>
      <c r="BJ13042" s="46"/>
    </row>
    <row r="13043" spans="59:62" x14ac:dyDescent="0.3">
      <c r="BG13043" s="387"/>
      <c r="BH13043" s="386"/>
      <c r="BI13043" s="386"/>
      <c r="BJ13043" s="46"/>
    </row>
    <row r="13044" spans="59:62" x14ac:dyDescent="0.3">
      <c r="BG13044" s="387"/>
      <c r="BH13044" s="386"/>
      <c r="BI13044" s="386"/>
      <c r="BJ13044" s="46"/>
    </row>
    <row r="13045" spans="59:62" x14ac:dyDescent="0.3">
      <c r="BG13045" s="387"/>
      <c r="BH13045" s="386"/>
      <c r="BI13045" s="386"/>
      <c r="BJ13045" s="46"/>
    </row>
    <row r="13046" spans="59:62" x14ac:dyDescent="0.3">
      <c r="BG13046" s="387"/>
      <c r="BH13046" s="386"/>
      <c r="BI13046" s="386"/>
      <c r="BJ13046" s="46"/>
    </row>
    <row r="13047" spans="59:62" x14ac:dyDescent="0.3">
      <c r="BG13047" s="387"/>
      <c r="BH13047" s="386"/>
      <c r="BI13047" s="386"/>
      <c r="BJ13047" s="46"/>
    </row>
    <row r="13048" spans="59:62" x14ac:dyDescent="0.3">
      <c r="BG13048" s="387"/>
      <c r="BH13048" s="386"/>
      <c r="BI13048" s="386"/>
      <c r="BJ13048" s="46"/>
    </row>
    <row r="13049" spans="59:62" x14ac:dyDescent="0.3">
      <c r="BG13049" s="387"/>
      <c r="BH13049" s="386"/>
      <c r="BI13049" s="386"/>
      <c r="BJ13049" s="46"/>
    </row>
    <row r="13050" spans="59:62" x14ac:dyDescent="0.3">
      <c r="BG13050" s="387"/>
      <c r="BH13050" s="386"/>
      <c r="BI13050" s="386"/>
      <c r="BJ13050" s="46"/>
    </row>
    <row r="13051" spans="59:62" x14ac:dyDescent="0.3">
      <c r="BG13051" s="387"/>
      <c r="BH13051" s="386"/>
      <c r="BI13051" s="386"/>
      <c r="BJ13051" s="46"/>
    </row>
    <row r="13052" spans="59:62" x14ac:dyDescent="0.3">
      <c r="BG13052" s="387"/>
      <c r="BH13052" s="386"/>
      <c r="BI13052" s="386"/>
      <c r="BJ13052" s="46"/>
    </row>
    <row r="13053" spans="59:62" x14ac:dyDescent="0.3">
      <c r="BG13053" s="387"/>
      <c r="BH13053" s="386"/>
      <c r="BI13053" s="386"/>
      <c r="BJ13053" s="46"/>
    </row>
    <row r="13054" spans="59:62" x14ac:dyDescent="0.3">
      <c r="BG13054" s="387"/>
      <c r="BH13054" s="386"/>
      <c r="BI13054" s="386"/>
      <c r="BJ13054" s="46"/>
    </row>
    <row r="13055" spans="59:62" x14ac:dyDescent="0.3">
      <c r="BG13055" s="387"/>
      <c r="BH13055" s="386"/>
      <c r="BI13055" s="386"/>
      <c r="BJ13055" s="46"/>
    </row>
    <row r="13056" spans="59:62" x14ac:dyDescent="0.3">
      <c r="BG13056" s="387"/>
      <c r="BH13056" s="386"/>
      <c r="BI13056" s="386"/>
      <c r="BJ13056" s="46"/>
    </row>
    <row r="13057" spans="59:62" x14ac:dyDescent="0.3">
      <c r="BG13057" s="387"/>
      <c r="BH13057" s="386"/>
      <c r="BI13057" s="386"/>
      <c r="BJ13057" s="46"/>
    </row>
    <row r="13058" spans="59:62" x14ac:dyDescent="0.3">
      <c r="BG13058" s="387"/>
      <c r="BH13058" s="386"/>
      <c r="BI13058" s="386"/>
      <c r="BJ13058" s="46"/>
    </row>
    <row r="13059" spans="59:62" x14ac:dyDescent="0.3">
      <c r="BG13059" s="387"/>
      <c r="BH13059" s="386"/>
      <c r="BI13059" s="386"/>
      <c r="BJ13059" s="46"/>
    </row>
    <row r="13060" spans="59:62" x14ac:dyDescent="0.3">
      <c r="BG13060" s="387"/>
      <c r="BH13060" s="386"/>
      <c r="BI13060" s="386"/>
      <c r="BJ13060" s="46"/>
    </row>
    <row r="13061" spans="59:62" x14ac:dyDescent="0.3">
      <c r="BG13061" s="387"/>
      <c r="BH13061" s="386"/>
      <c r="BI13061" s="386"/>
      <c r="BJ13061" s="46"/>
    </row>
    <row r="13062" spans="59:62" x14ac:dyDescent="0.3">
      <c r="BG13062" s="387"/>
      <c r="BH13062" s="386"/>
      <c r="BI13062" s="386"/>
      <c r="BJ13062" s="46"/>
    </row>
    <row r="13063" spans="59:62" x14ac:dyDescent="0.3">
      <c r="BG13063" s="387"/>
      <c r="BH13063" s="386"/>
      <c r="BI13063" s="386"/>
      <c r="BJ13063" s="46"/>
    </row>
    <row r="13064" spans="59:62" x14ac:dyDescent="0.3">
      <c r="BG13064" s="387"/>
      <c r="BH13064" s="386"/>
      <c r="BI13064" s="386"/>
      <c r="BJ13064" s="46"/>
    </row>
    <row r="13065" spans="59:62" x14ac:dyDescent="0.3">
      <c r="BG13065" s="387"/>
      <c r="BH13065" s="386"/>
      <c r="BI13065" s="386"/>
      <c r="BJ13065" s="46"/>
    </row>
    <row r="13066" spans="59:62" x14ac:dyDescent="0.3">
      <c r="BG13066" s="387"/>
      <c r="BH13066" s="386"/>
      <c r="BI13066" s="386"/>
      <c r="BJ13066" s="46"/>
    </row>
    <row r="13067" spans="59:62" x14ac:dyDescent="0.3">
      <c r="BG13067" s="387"/>
      <c r="BH13067" s="386"/>
      <c r="BI13067" s="386"/>
      <c r="BJ13067" s="46"/>
    </row>
    <row r="13068" spans="59:62" x14ac:dyDescent="0.3">
      <c r="BG13068" s="387"/>
      <c r="BH13068" s="386"/>
      <c r="BI13068" s="386"/>
      <c r="BJ13068" s="46"/>
    </row>
    <row r="13069" spans="59:62" x14ac:dyDescent="0.3">
      <c r="BG13069" s="387"/>
      <c r="BH13069" s="386"/>
      <c r="BI13069" s="386"/>
      <c r="BJ13069" s="46"/>
    </row>
    <row r="13070" spans="59:62" x14ac:dyDescent="0.3">
      <c r="BG13070" s="387"/>
      <c r="BH13070" s="386"/>
      <c r="BI13070" s="386"/>
      <c r="BJ13070" s="46"/>
    </row>
    <row r="13071" spans="59:62" x14ac:dyDescent="0.3">
      <c r="BG13071" s="387"/>
      <c r="BH13071" s="386"/>
      <c r="BI13071" s="386"/>
      <c r="BJ13071" s="46"/>
    </row>
    <row r="13072" spans="59:62" x14ac:dyDescent="0.3">
      <c r="BG13072" s="387"/>
      <c r="BH13072" s="386"/>
      <c r="BI13072" s="386"/>
      <c r="BJ13072" s="46"/>
    </row>
    <row r="13073" spans="59:62" x14ac:dyDescent="0.3">
      <c r="BG13073" s="387"/>
      <c r="BH13073" s="386"/>
      <c r="BI13073" s="386"/>
      <c r="BJ13073" s="46"/>
    </row>
    <row r="13074" spans="59:62" x14ac:dyDescent="0.3">
      <c r="BG13074" s="387"/>
      <c r="BH13074" s="386"/>
      <c r="BI13074" s="386"/>
      <c r="BJ13074" s="46"/>
    </row>
    <row r="13075" spans="59:62" x14ac:dyDescent="0.3">
      <c r="BG13075" s="387"/>
      <c r="BH13075" s="386"/>
      <c r="BI13075" s="386"/>
      <c r="BJ13075" s="46"/>
    </row>
    <row r="13076" spans="59:62" x14ac:dyDescent="0.3">
      <c r="BG13076" s="387"/>
      <c r="BH13076" s="386"/>
      <c r="BI13076" s="386"/>
      <c r="BJ13076" s="46"/>
    </row>
    <row r="13077" spans="59:62" x14ac:dyDescent="0.3">
      <c r="BG13077" s="387"/>
      <c r="BH13077" s="386"/>
      <c r="BI13077" s="386"/>
      <c r="BJ13077" s="46"/>
    </row>
    <row r="13078" spans="59:62" x14ac:dyDescent="0.3">
      <c r="BG13078" s="387"/>
      <c r="BH13078" s="386"/>
      <c r="BI13078" s="386"/>
      <c r="BJ13078" s="46"/>
    </row>
    <row r="13079" spans="59:62" x14ac:dyDescent="0.3">
      <c r="BG13079" s="387"/>
      <c r="BH13079" s="386"/>
      <c r="BI13079" s="386"/>
      <c r="BJ13079" s="46"/>
    </row>
    <row r="13080" spans="59:62" x14ac:dyDescent="0.3">
      <c r="BG13080" s="387"/>
      <c r="BH13080" s="386"/>
      <c r="BI13080" s="386"/>
      <c r="BJ13080" s="46"/>
    </row>
    <row r="13081" spans="59:62" x14ac:dyDescent="0.3">
      <c r="BG13081" s="387"/>
      <c r="BH13081" s="386"/>
      <c r="BI13081" s="386"/>
      <c r="BJ13081" s="46"/>
    </row>
    <row r="13082" spans="59:62" x14ac:dyDescent="0.3">
      <c r="BG13082" s="387"/>
      <c r="BH13082" s="386"/>
      <c r="BI13082" s="386"/>
      <c r="BJ13082" s="46"/>
    </row>
    <row r="13083" spans="59:62" x14ac:dyDescent="0.3">
      <c r="BG13083" s="387"/>
      <c r="BH13083" s="386"/>
      <c r="BI13083" s="386"/>
      <c r="BJ13083" s="46"/>
    </row>
    <row r="13084" spans="59:62" x14ac:dyDescent="0.3">
      <c r="BG13084" s="387"/>
      <c r="BH13084" s="386"/>
      <c r="BI13084" s="386"/>
      <c r="BJ13084" s="46"/>
    </row>
    <row r="13085" spans="59:62" x14ac:dyDescent="0.3">
      <c r="BG13085" s="387"/>
      <c r="BH13085" s="386"/>
      <c r="BI13085" s="386"/>
      <c r="BJ13085" s="46"/>
    </row>
    <row r="13086" spans="59:62" x14ac:dyDescent="0.3">
      <c r="BG13086" s="387"/>
      <c r="BH13086" s="386"/>
      <c r="BI13086" s="386"/>
      <c r="BJ13086" s="46"/>
    </row>
    <row r="13087" spans="59:62" x14ac:dyDescent="0.3">
      <c r="BG13087" s="387"/>
      <c r="BH13087" s="386"/>
      <c r="BI13087" s="386"/>
      <c r="BJ13087" s="46"/>
    </row>
    <row r="13088" spans="59:62" x14ac:dyDescent="0.3">
      <c r="BG13088" s="387"/>
      <c r="BH13088" s="386"/>
      <c r="BI13088" s="386"/>
      <c r="BJ13088" s="46"/>
    </row>
    <row r="13089" spans="59:62" x14ac:dyDescent="0.3">
      <c r="BG13089" s="387"/>
      <c r="BH13089" s="386"/>
      <c r="BI13089" s="386"/>
      <c r="BJ13089" s="46"/>
    </row>
    <row r="13090" spans="59:62" x14ac:dyDescent="0.3">
      <c r="BG13090" s="387"/>
      <c r="BH13090" s="386"/>
      <c r="BI13090" s="386"/>
      <c r="BJ13090" s="46"/>
    </row>
    <row r="13091" spans="59:62" x14ac:dyDescent="0.3">
      <c r="BG13091" s="387"/>
      <c r="BH13091" s="386"/>
      <c r="BI13091" s="386"/>
      <c r="BJ13091" s="46"/>
    </row>
    <row r="13092" spans="59:62" x14ac:dyDescent="0.3">
      <c r="BG13092" s="387"/>
      <c r="BH13092" s="386"/>
      <c r="BI13092" s="386"/>
      <c r="BJ13092" s="46"/>
    </row>
    <row r="13093" spans="59:62" x14ac:dyDescent="0.3">
      <c r="BG13093" s="387"/>
      <c r="BH13093" s="386"/>
      <c r="BI13093" s="386"/>
      <c r="BJ13093" s="46"/>
    </row>
    <row r="13094" spans="59:62" x14ac:dyDescent="0.3">
      <c r="BG13094" s="387"/>
      <c r="BH13094" s="386"/>
      <c r="BI13094" s="386"/>
      <c r="BJ13094" s="46"/>
    </row>
    <row r="13095" spans="59:62" x14ac:dyDescent="0.3">
      <c r="BG13095" s="387"/>
      <c r="BH13095" s="386"/>
      <c r="BI13095" s="386"/>
      <c r="BJ13095" s="46"/>
    </row>
    <row r="13096" spans="59:62" x14ac:dyDescent="0.3">
      <c r="BG13096" s="387"/>
      <c r="BH13096" s="386"/>
      <c r="BI13096" s="386"/>
      <c r="BJ13096" s="46"/>
    </row>
    <row r="13097" spans="59:62" x14ac:dyDescent="0.3">
      <c r="BG13097" s="387"/>
      <c r="BH13097" s="386"/>
      <c r="BI13097" s="386"/>
      <c r="BJ13097" s="46"/>
    </row>
    <row r="13098" spans="59:62" x14ac:dyDescent="0.3">
      <c r="BG13098" s="387"/>
      <c r="BH13098" s="386"/>
      <c r="BI13098" s="386"/>
      <c r="BJ13098" s="46"/>
    </row>
    <row r="13099" spans="59:62" x14ac:dyDescent="0.3">
      <c r="BG13099" s="387"/>
      <c r="BH13099" s="386"/>
      <c r="BI13099" s="386"/>
      <c r="BJ13099" s="46"/>
    </row>
    <row r="13100" spans="59:62" x14ac:dyDescent="0.3">
      <c r="BG13100" s="387"/>
      <c r="BH13100" s="386"/>
      <c r="BI13100" s="386"/>
      <c r="BJ13100" s="46"/>
    </row>
    <row r="13101" spans="59:62" x14ac:dyDescent="0.3">
      <c r="BG13101" s="387"/>
      <c r="BH13101" s="386"/>
      <c r="BI13101" s="386"/>
      <c r="BJ13101" s="46"/>
    </row>
    <row r="13102" spans="59:62" x14ac:dyDescent="0.3">
      <c r="BG13102" s="387"/>
      <c r="BH13102" s="386"/>
      <c r="BI13102" s="386"/>
      <c r="BJ13102" s="46"/>
    </row>
    <row r="13103" spans="59:62" x14ac:dyDescent="0.3">
      <c r="BG13103" s="387"/>
      <c r="BH13103" s="386"/>
      <c r="BI13103" s="386"/>
      <c r="BJ13103" s="46"/>
    </row>
    <row r="13104" spans="59:62" x14ac:dyDescent="0.3">
      <c r="BG13104" s="387"/>
      <c r="BH13104" s="386"/>
      <c r="BI13104" s="386"/>
      <c r="BJ13104" s="46"/>
    </row>
    <row r="13105" spans="59:62" x14ac:dyDescent="0.3">
      <c r="BG13105" s="387"/>
      <c r="BH13105" s="386"/>
      <c r="BI13105" s="386"/>
      <c r="BJ13105" s="46"/>
    </row>
    <row r="13106" spans="59:62" x14ac:dyDescent="0.3">
      <c r="BG13106" s="387"/>
      <c r="BH13106" s="386"/>
      <c r="BI13106" s="386"/>
      <c r="BJ13106" s="46"/>
    </row>
    <row r="13107" spans="59:62" x14ac:dyDescent="0.3">
      <c r="BG13107" s="387"/>
      <c r="BH13107" s="386"/>
      <c r="BI13107" s="386"/>
      <c r="BJ13107" s="46"/>
    </row>
    <row r="13108" spans="59:62" x14ac:dyDescent="0.3">
      <c r="BG13108" s="387"/>
      <c r="BH13108" s="386"/>
      <c r="BI13108" s="386"/>
      <c r="BJ13108" s="46"/>
    </row>
    <row r="13109" spans="59:62" x14ac:dyDescent="0.3">
      <c r="BG13109" s="387"/>
      <c r="BH13109" s="386"/>
      <c r="BI13109" s="386"/>
      <c r="BJ13109" s="46"/>
    </row>
    <row r="13110" spans="59:62" x14ac:dyDescent="0.3">
      <c r="BG13110" s="387"/>
      <c r="BH13110" s="386"/>
      <c r="BI13110" s="386"/>
      <c r="BJ13110" s="46"/>
    </row>
    <row r="13111" spans="59:62" x14ac:dyDescent="0.3">
      <c r="BG13111" s="387"/>
      <c r="BH13111" s="386"/>
      <c r="BI13111" s="386"/>
      <c r="BJ13111" s="46"/>
    </row>
    <row r="13112" spans="59:62" x14ac:dyDescent="0.3">
      <c r="BG13112" s="387"/>
      <c r="BH13112" s="386"/>
      <c r="BI13112" s="386"/>
      <c r="BJ13112" s="46"/>
    </row>
    <row r="13113" spans="59:62" x14ac:dyDescent="0.3">
      <c r="BG13113" s="387"/>
      <c r="BH13113" s="386"/>
      <c r="BI13113" s="386"/>
      <c r="BJ13113" s="46"/>
    </row>
    <row r="13114" spans="59:62" x14ac:dyDescent="0.3">
      <c r="BG13114" s="387"/>
      <c r="BH13114" s="386"/>
      <c r="BI13114" s="386"/>
      <c r="BJ13114" s="46"/>
    </row>
    <row r="13115" spans="59:62" x14ac:dyDescent="0.3">
      <c r="BG13115" s="387"/>
      <c r="BH13115" s="386"/>
      <c r="BI13115" s="386"/>
      <c r="BJ13115" s="46"/>
    </row>
    <row r="13116" spans="59:62" x14ac:dyDescent="0.3">
      <c r="BG13116" s="387"/>
      <c r="BH13116" s="386"/>
      <c r="BI13116" s="386"/>
      <c r="BJ13116" s="46"/>
    </row>
    <row r="13117" spans="59:62" x14ac:dyDescent="0.3">
      <c r="BG13117" s="387"/>
      <c r="BH13117" s="386"/>
      <c r="BI13117" s="386"/>
      <c r="BJ13117" s="46"/>
    </row>
    <row r="13118" spans="59:62" x14ac:dyDescent="0.3">
      <c r="BG13118" s="387"/>
      <c r="BH13118" s="386"/>
      <c r="BI13118" s="386"/>
      <c r="BJ13118" s="46"/>
    </row>
    <row r="13119" spans="59:62" x14ac:dyDescent="0.3">
      <c r="BG13119" s="387"/>
      <c r="BH13119" s="386"/>
      <c r="BI13119" s="386"/>
      <c r="BJ13119" s="46"/>
    </row>
    <row r="13120" spans="59:62" x14ac:dyDescent="0.3">
      <c r="BG13120" s="387"/>
      <c r="BH13120" s="386"/>
      <c r="BI13120" s="386"/>
      <c r="BJ13120" s="46"/>
    </row>
    <row r="13121" spans="59:62" x14ac:dyDescent="0.3">
      <c r="BG13121" s="387"/>
      <c r="BH13121" s="386"/>
      <c r="BI13121" s="386"/>
      <c r="BJ13121" s="46"/>
    </row>
    <row r="13122" spans="59:62" x14ac:dyDescent="0.3">
      <c r="BG13122" s="387"/>
      <c r="BH13122" s="386"/>
      <c r="BI13122" s="386"/>
      <c r="BJ13122" s="46"/>
    </row>
    <row r="13123" spans="59:62" x14ac:dyDescent="0.3">
      <c r="BG13123" s="387"/>
      <c r="BH13123" s="386"/>
      <c r="BI13123" s="386"/>
      <c r="BJ13123" s="46"/>
    </row>
    <row r="13124" spans="59:62" x14ac:dyDescent="0.3">
      <c r="BG13124" s="387"/>
      <c r="BH13124" s="386"/>
      <c r="BI13124" s="386"/>
      <c r="BJ13124" s="46"/>
    </row>
    <row r="13125" spans="59:62" x14ac:dyDescent="0.3">
      <c r="BG13125" s="387"/>
      <c r="BH13125" s="386"/>
      <c r="BI13125" s="386"/>
      <c r="BJ13125" s="46"/>
    </row>
    <row r="13126" spans="59:62" x14ac:dyDescent="0.3">
      <c r="BG13126" s="387"/>
      <c r="BH13126" s="386"/>
      <c r="BI13126" s="386"/>
      <c r="BJ13126" s="46"/>
    </row>
    <row r="13127" spans="59:62" x14ac:dyDescent="0.3">
      <c r="BG13127" s="387"/>
      <c r="BH13127" s="386"/>
      <c r="BI13127" s="386"/>
      <c r="BJ13127" s="46"/>
    </row>
    <row r="13128" spans="59:62" x14ac:dyDescent="0.3">
      <c r="BG13128" s="387"/>
      <c r="BH13128" s="386"/>
      <c r="BI13128" s="386"/>
      <c r="BJ13128" s="46"/>
    </row>
    <row r="13129" spans="59:62" x14ac:dyDescent="0.3">
      <c r="BG13129" s="387"/>
      <c r="BH13129" s="386"/>
      <c r="BI13129" s="386"/>
      <c r="BJ13129" s="46"/>
    </row>
    <row r="13130" spans="59:62" x14ac:dyDescent="0.3">
      <c r="BG13130" s="387"/>
      <c r="BH13130" s="386"/>
      <c r="BI13130" s="386"/>
      <c r="BJ13130" s="46"/>
    </row>
    <row r="13131" spans="59:62" x14ac:dyDescent="0.3">
      <c r="BG13131" s="387"/>
      <c r="BH13131" s="386"/>
      <c r="BI13131" s="386"/>
      <c r="BJ13131" s="46"/>
    </row>
    <row r="13132" spans="59:62" x14ac:dyDescent="0.3">
      <c r="BG13132" s="387"/>
      <c r="BH13132" s="386"/>
      <c r="BI13132" s="386"/>
      <c r="BJ13132" s="46"/>
    </row>
    <row r="13133" spans="59:62" x14ac:dyDescent="0.3">
      <c r="BG13133" s="387"/>
      <c r="BH13133" s="386"/>
      <c r="BI13133" s="386"/>
      <c r="BJ13133" s="46"/>
    </row>
    <row r="13134" spans="59:62" x14ac:dyDescent="0.3">
      <c r="BG13134" s="387"/>
      <c r="BH13134" s="386"/>
      <c r="BI13134" s="386"/>
      <c r="BJ13134" s="46"/>
    </row>
    <row r="13135" spans="59:62" x14ac:dyDescent="0.3">
      <c r="BG13135" s="387"/>
      <c r="BH13135" s="386"/>
      <c r="BI13135" s="386"/>
      <c r="BJ13135" s="46"/>
    </row>
    <row r="13136" spans="59:62" x14ac:dyDescent="0.3">
      <c r="BG13136" s="387"/>
      <c r="BH13136" s="386"/>
      <c r="BI13136" s="386"/>
      <c r="BJ13136" s="46"/>
    </row>
    <row r="13137" spans="59:62" x14ac:dyDescent="0.3">
      <c r="BG13137" s="387"/>
      <c r="BH13137" s="386"/>
      <c r="BI13137" s="386"/>
      <c r="BJ13137" s="46"/>
    </row>
    <row r="13138" spans="59:62" x14ac:dyDescent="0.3">
      <c r="BG13138" s="387"/>
      <c r="BH13138" s="386"/>
      <c r="BI13138" s="386"/>
      <c r="BJ13138" s="46"/>
    </row>
    <row r="13139" spans="59:62" x14ac:dyDescent="0.3">
      <c r="BG13139" s="387"/>
      <c r="BH13139" s="386"/>
      <c r="BI13139" s="386"/>
      <c r="BJ13139" s="46"/>
    </row>
    <row r="13140" spans="59:62" x14ac:dyDescent="0.3">
      <c r="BG13140" s="387"/>
      <c r="BH13140" s="386"/>
      <c r="BI13140" s="386"/>
      <c r="BJ13140" s="46"/>
    </row>
    <row r="13141" spans="59:62" x14ac:dyDescent="0.3">
      <c r="BG13141" s="387"/>
      <c r="BH13141" s="386"/>
      <c r="BI13141" s="386"/>
      <c r="BJ13141" s="46"/>
    </row>
    <row r="13142" spans="59:62" x14ac:dyDescent="0.3">
      <c r="BG13142" s="387"/>
      <c r="BH13142" s="386"/>
      <c r="BI13142" s="386"/>
      <c r="BJ13142" s="46"/>
    </row>
    <row r="13143" spans="59:62" x14ac:dyDescent="0.3">
      <c r="BG13143" s="387"/>
      <c r="BH13143" s="386"/>
      <c r="BI13143" s="386"/>
      <c r="BJ13143" s="46"/>
    </row>
    <row r="13144" spans="59:62" x14ac:dyDescent="0.3">
      <c r="BG13144" s="387"/>
      <c r="BH13144" s="386"/>
      <c r="BI13144" s="386"/>
      <c r="BJ13144" s="46"/>
    </row>
    <row r="13145" spans="59:62" x14ac:dyDescent="0.3">
      <c r="BG13145" s="387"/>
      <c r="BH13145" s="386"/>
      <c r="BI13145" s="386"/>
      <c r="BJ13145" s="46"/>
    </row>
    <row r="13146" spans="59:62" x14ac:dyDescent="0.3">
      <c r="BG13146" s="387"/>
      <c r="BH13146" s="386"/>
      <c r="BI13146" s="386"/>
      <c r="BJ13146" s="46"/>
    </row>
    <row r="13147" spans="59:62" x14ac:dyDescent="0.3">
      <c r="BG13147" s="387"/>
      <c r="BH13147" s="386"/>
      <c r="BI13147" s="386"/>
      <c r="BJ13147" s="46"/>
    </row>
    <row r="13148" spans="59:62" x14ac:dyDescent="0.3">
      <c r="BG13148" s="387"/>
      <c r="BH13148" s="386"/>
      <c r="BI13148" s="386"/>
      <c r="BJ13148" s="46"/>
    </row>
    <row r="13149" spans="59:62" x14ac:dyDescent="0.3">
      <c r="BG13149" s="387"/>
      <c r="BH13149" s="386"/>
      <c r="BI13149" s="386"/>
      <c r="BJ13149" s="46"/>
    </row>
    <row r="13150" spans="59:62" x14ac:dyDescent="0.3">
      <c r="BG13150" s="387"/>
      <c r="BH13150" s="386"/>
      <c r="BI13150" s="386"/>
      <c r="BJ13150" s="46"/>
    </row>
    <row r="13151" spans="59:62" x14ac:dyDescent="0.3">
      <c r="BG13151" s="387"/>
      <c r="BH13151" s="386"/>
      <c r="BI13151" s="386"/>
      <c r="BJ13151" s="46"/>
    </row>
    <row r="13152" spans="59:62" x14ac:dyDescent="0.3">
      <c r="BG13152" s="387"/>
      <c r="BH13152" s="386"/>
      <c r="BI13152" s="386"/>
      <c r="BJ13152" s="46"/>
    </row>
    <row r="13153" spans="59:62" x14ac:dyDescent="0.3">
      <c r="BG13153" s="387"/>
      <c r="BH13153" s="386"/>
      <c r="BI13153" s="386"/>
      <c r="BJ13153" s="46"/>
    </row>
    <row r="13154" spans="59:62" x14ac:dyDescent="0.3">
      <c r="BG13154" s="387"/>
      <c r="BH13154" s="386"/>
      <c r="BI13154" s="386"/>
      <c r="BJ13154" s="46"/>
    </row>
    <row r="13155" spans="59:62" x14ac:dyDescent="0.3">
      <c r="BG13155" s="387"/>
      <c r="BH13155" s="386"/>
      <c r="BI13155" s="386"/>
      <c r="BJ13155" s="46"/>
    </row>
    <row r="13156" spans="59:62" x14ac:dyDescent="0.3">
      <c r="BG13156" s="387"/>
      <c r="BH13156" s="386"/>
      <c r="BI13156" s="386"/>
      <c r="BJ13156" s="46"/>
    </row>
    <row r="13157" spans="59:62" x14ac:dyDescent="0.3">
      <c r="BG13157" s="387"/>
      <c r="BH13157" s="386"/>
      <c r="BI13157" s="386"/>
      <c r="BJ13157" s="46"/>
    </row>
    <row r="13158" spans="59:62" x14ac:dyDescent="0.3">
      <c r="BG13158" s="387"/>
      <c r="BH13158" s="386"/>
      <c r="BI13158" s="386"/>
      <c r="BJ13158" s="46"/>
    </row>
    <row r="13159" spans="59:62" x14ac:dyDescent="0.3">
      <c r="BG13159" s="387"/>
      <c r="BH13159" s="386"/>
      <c r="BI13159" s="386"/>
      <c r="BJ13159" s="46"/>
    </row>
    <row r="13160" spans="59:62" x14ac:dyDescent="0.3">
      <c r="BG13160" s="387"/>
      <c r="BH13160" s="386"/>
      <c r="BI13160" s="386"/>
      <c r="BJ13160" s="46"/>
    </row>
    <row r="13161" spans="59:62" x14ac:dyDescent="0.3">
      <c r="BG13161" s="387"/>
      <c r="BH13161" s="386"/>
      <c r="BI13161" s="386"/>
      <c r="BJ13161" s="46"/>
    </row>
    <row r="13162" spans="59:62" x14ac:dyDescent="0.3">
      <c r="BG13162" s="387"/>
      <c r="BH13162" s="386"/>
      <c r="BI13162" s="386"/>
      <c r="BJ13162" s="46"/>
    </row>
    <row r="13163" spans="59:62" x14ac:dyDescent="0.3">
      <c r="BG13163" s="387"/>
      <c r="BH13163" s="386"/>
      <c r="BI13163" s="386"/>
      <c r="BJ13163" s="46"/>
    </row>
    <row r="13164" spans="59:62" x14ac:dyDescent="0.3">
      <c r="BG13164" s="387"/>
      <c r="BH13164" s="386"/>
      <c r="BI13164" s="386"/>
      <c r="BJ13164" s="46"/>
    </row>
    <row r="13165" spans="59:62" x14ac:dyDescent="0.3">
      <c r="BG13165" s="387"/>
      <c r="BH13165" s="386"/>
      <c r="BI13165" s="386"/>
      <c r="BJ13165" s="46"/>
    </row>
    <row r="13166" spans="59:62" x14ac:dyDescent="0.3">
      <c r="BG13166" s="387"/>
      <c r="BH13166" s="386"/>
      <c r="BI13166" s="386"/>
      <c r="BJ13166" s="46"/>
    </row>
    <row r="13167" spans="59:62" x14ac:dyDescent="0.3">
      <c r="BG13167" s="387"/>
      <c r="BH13167" s="386"/>
      <c r="BI13167" s="386"/>
      <c r="BJ13167" s="46"/>
    </row>
    <row r="13168" spans="59:62" x14ac:dyDescent="0.3">
      <c r="BG13168" s="387"/>
      <c r="BH13168" s="386"/>
      <c r="BI13168" s="386"/>
      <c r="BJ13168" s="46"/>
    </row>
    <row r="13169" spans="59:62" x14ac:dyDescent="0.3">
      <c r="BG13169" s="387"/>
      <c r="BH13169" s="386"/>
      <c r="BI13169" s="386"/>
      <c r="BJ13169" s="46"/>
    </row>
    <row r="13170" spans="59:62" x14ac:dyDescent="0.3">
      <c r="BG13170" s="387"/>
      <c r="BH13170" s="386"/>
      <c r="BI13170" s="386"/>
      <c r="BJ13170" s="46"/>
    </row>
    <row r="13171" spans="59:62" x14ac:dyDescent="0.3">
      <c r="BG13171" s="387"/>
      <c r="BH13171" s="386"/>
      <c r="BI13171" s="386"/>
      <c r="BJ13171" s="46"/>
    </row>
    <row r="13172" spans="59:62" x14ac:dyDescent="0.3">
      <c r="BG13172" s="387"/>
      <c r="BH13172" s="386"/>
      <c r="BI13172" s="386"/>
      <c r="BJ13172" s="46"/>
    </row>
    <row r="13173" spans="59:62" x14ac:dyDescent="0.3">
      <c r="BG13173" s="387"/>
      <c r="BH13173" s="386"/>
      <c r="BI13173" s="386"/>
      <c r="BJ13173" s="46"/>
    </row>
    <row r="13174" spans="59:62" x14ac:dyDescent="0.3">
      <c r="BG13174" s="387"/>
      <c r="BH13174" s="386"/>
      <c r="BI13174" s="386"/>
      <c r="BJ13174" s="46"/>
    </row>
    <row r="13175" spans="59:62" x14ac:dyDescent="0.3">
      <c r="BG13175" s="387"/>
      <c r="BH13175" s="386"/>
      <c r="BI13175" s="386"/>
      <c r="BJ13175" s="46"/>
    </row>
    <row r="13176" spans="59:62" x14ac:dyDescent="0.3">
      <c r="BG13176" s="387"/>
      <c r="BH13176" s="386"/>
      <c r="BI13176" s="386"/>
      <c r="BJ13176" s="46"/>
    </row>
    <row r="13177" spans="59:62" x14ac:dyDescent="0.3">
      <c r="BG13177" s="387"/>
      <c r="BH13177" s="386"/>
      <c r="BI13177" s="386"/>
      <c r="BJ13177" s="46"/>
    </row>
    <row r="13178" spans="59:62" x14ac:dyDescent="0.3">
      <c r="BG13178" s="387"/>
      <c r="BH13178" s="386"/>
      <c r="BI13178" s="386"/>
      <c r="BJ13178" s="46"/>
    </row>
    <row r="13179" spans="59:62" x14ac:dyDescent="0.3">
      <c r="BG13179" s="387"/>
      <c r="BH13179" s="386"/>
      <c r="BI13179" s="386"/>
      <c r="BJ13179" s="46"/>
    </row>
    <row r="13180" spans="59:62" x14ac:dyDescent="0.3">
      <c r="BG13180" s="387"/>
      <c r="BH13180" s="386"/>
      <c r="BI13180" s="386"/>
      <c r="BJ13180" s="46"/>
    </row>
    <row r="13181" spans="59:62" x14ac:dyDescent="0.3">
      <c r="BG13181" s="387"/>
      <c r="BH13181" s="386"/>
      <c r="BI13181" s="386"/>
      <c r="BJ13181" s="46"/>
    </row>
    <row r="13182" spans="59:62" x14ac:dyDescent="0.3">
      <c r="BG13182" s="387"/>
      <c r="BH13182" s="386"/>
      <c r="BI13182" s="386"/>
      <c r="BJ13182" s="46"/>
    </row>
    <row r="13183" spans="59:62" x14ac:dyDescent="0.3">
      <c r="BG13183" s="387"/>
      <c r="BH13183" s="386"/>
      <c r="BI13183" s="386"/>
      <c r="BJ13183" s="46"/>
    </row>
    <row r="13184" spans="59:62" x14ac:dyDescent="0.3">
      <c r="BG13184" s="387"/>
      <c r="BH13184" s="386"/>
      <c r="BI13184" s="386"/>
      <c r="BJ13184" s="46"/>
    </row>
    <row r="13185" spans="59:62" x14ac:dyDescent="0.3">
      <c r="BG13185" s="387"/>
      <c r="BH13185" s="386"/>
      <c r="BI13185" s="386"/>
      <c r="BJ13185" s="46"/>
    </row>
    <row r="13186" spans="59:62" x14ac:dyDescent="0.3">
      <c r="BG13186" s="387"/>
      <c r="BH13186" s="386"/>
      <c r="BI13186" s="386"/>
      <c r="BJ13186" s="46"/>
    </row>
    <row r="13187" spans="59:62" x14ac:dyDescent="0.3">
      <c r="BG13187" s="387"/>
      <c r="BH13187" s="386"/>
      <c r="BI13187" s="386"/>
      <c r="BJ13187" s="46"/>
    </row>
    <row r="13188" spans="59:62" x14ac:dyDescent="0.3">
      <c r="BG13188" s="387"/>
      <c r="BH13188" s="386"/>
      <c r="BI13188" s="386"/>
      <c r="BJ13188" s="46"/>
    </row>
    <row r="13189" spans="59:62" x14ac:dyDescent="0.3">
      <c r="BG13189" s="387"/>
      <c r="BH13189" s="386"/>
      <c r="BI13189" s="386"/>
      <c r="BJ13189" s="46"/>
    </row>
    <row r="13190" spans="59:62" x14ac:dyDescent="0.3">
      <c r="BG13190" s="387"/>
      <c r="BH13190" s="386"/>
      <c r="BI13190" s="386"/>
      <c r="BJ13190" s="46"/>
    </row>
    <row r="13191" spans="59:62" x14ac:dyDescent="0.3">
      <c r="BG13191" s="387"/>
      <c r="BH13191" s="386"/>
      <c r="BI13191" s="386"/>
      <c r="BJ13191" s="46"/>
    </row>
    <row r="13192" spans="59:62" x14ac:dyDescent="0.3">
      <c r="BG13192" s="387"/>
      <c r="BH13192" s="386"/>
      <c r="BI13192" s="386"/>
      <c r="BJ13192" s="46"/>
    </row>
    <row r="13193" spans="59:62" x14ac:dyDescent="0.3">
      <c r="BG13193" s="387"/>
      <c r="BH13193" s="386"/>
      <c r="BI13193" s="386"/>
      <c r="BJ13193" s="46"/>
    </row>
    <row r="13194" spans="59:62" x14ac:dyDescent="0.3">
      <c r="BG13194" s="387"/>
      <c r="BH13194" s="386"/>
      <c r="BI13194" s="386"/>
      <c r="BJ13194" s="46"/>
    </row>
    <row r="13195" spans="59:62" x14ac:dyDescent="0.3">
      <c r="BG13195" s="387"/>
      <c r="BH13195" s="386"/>
      <c r="BI13195" s="386"/>
      <c r="BJ13195" s="46"/>
    </row>
    <row r="13196" spans="59:62" x14ac:dyDescent="0.3">
      <c r="BG13196" s="387"/>
      <c r="BH13196" s="386"/>
      <c r="BI13196" s="386"/>
      <c r="BJ13196" s="46"/>
    </row>
    <row r="13197" spans="59:62" x14ac:dyDescent="0.3">
      <c r="BG13197" s="387"/>
      <c r="BH13197" s="386"/>
      <c r="BI13197" s="386"/>
      <c r="BJ13197" s="46"/>
    </row>
    <row r="13198" spans="59:62" x14ac:dyDescent="0.3">
      <c r="BG13198" s="387"/>
      <c r="BH13198" s="386"/>
      <c r="BI13198" s="386"/>
      <c r="BJ13198" s="46"/>
    </row>
    <row r="13199" spans="59:62" x14ac:dyDescent="0.3">
      <c r="BG13199" s="387"/>
      <c r="BH13199" s="386"/>
      <c r="BI13199" s="386"/>
      <c r="BJ13199" s="46"/>
    </row>
    <row r="13200" spans="59:62" x14ac:dyDescent="0.3">
      <c r="BG13200" s="387"/>
      <c r="BH13200" s="386"/>
      <c r="BI13200" s="386"/>
      <c r="BJ13200" s="46"/>
    </row>
    <row r="13201" spans="59:62" x14ac:dyDescent="0.3">
      <c r="BG13201" s="387"/>
      <c r="BH13201" s="386"/>
      <c r="BI13201" s="386"/>
      <c r="BJ13201" s="46"/>
    </row>
    <row r="13202" spans="59:62" x14ac:dyDescent="0.3">
      <c r="BG13202" s="387"/>
      <c r="BH13202" s="386"/>
      <c r="BI13202" s="386"/>
      <c r="BJ13202" s="46"/>
    </row>
    <row r="13203" spans="59:62" x14ac:dyDescent="0.3">
      <c r="BG13203" s="387"/>
      <c r="BH13203" s="386"/>
      <c r="BI13203" s="386"/>
      <c r="BJ13203" s="46"/>
    </row>
    <row r="13204" spans="59:62" x14ac:dyDescent="0.3">
      <c r="BG13204" s="387"/>
      <c r="BH13204" s="386"/>
      <c r="BI13204" s="386"/>
      <c r="BJ13204" s="46"/>
    </row>
    <row r="13205" spans="59:62" x14ac:dyDescent="0.3">
      <c r="BG13205" s="387"/>
      <c r="BH13205" s="386"/>
      <c r="BI13205" s="386"/>
      <c r="BJ13205" s="46"/>
    </row>
    <row r="13206" spans="59:62" x14ac:dyDescent="0.3">
      <c r="BG13206" s="387"/>
      <c r="BH13206" s="386"/>
      <c r="BI13206" s="386"/>
      <c r="BJ13206" s="46"/>
    </row>
    <row r="13207" spans="59:62" x14ac:dyDescent="0.3">
      <c r="BG13207" s="387"/>
      <c r="BH13207" s="386"/>
      <c r="BI13207" s="386"/>
      <c r="BJ13207" s="46"/>
    </row>
    <row r="13208" spans="59:62" x14ac:dyDescent="0.3">
      <c r="BG13208" s="387"/>
      <c r="BH13208" s="386"/>
      <c r="BI13208" s="386"/>
      <c r="BJ13208" s="46"/>
    </row>
    <row r="13209" spans="59:62" x14ac:dyDescent="0.3">
      <c r="BG13209" s="387"/>
      <c r="BH13209" s="386"/>
      <c r="BI13209" s="386"/>
      <c r="BJ13209" s="46"/>
    </row>
    <row r="13210" spans="59:62" x14ac:dyDescent="0.3">
      <c r="BG13210" s="387"/>
      <c r="BH13210" s="386"/>
      <c r="BI13210" s="386"/>
      <c r="BJ13210" s="46"/>
    </row>
    <row r="13211" spans="59:62" x14ac:dyDescent="0.3">
      <c r="BG13211" s="387"/>
      <c r="BH13211" s="386"/>
      <c r="BI13211" s="386"/>
      <c r="BJ13211" s="46"/>
    </row>
    <row r="13212" spans="59:62" x14ac:dyDescent="0.3">
      <c r="BG13212" s="387"/>
      <c r="BH13212" s="386"/>
      <c r="BI13212" s="386"/>
      <c r="BJ13212" s="46"/>
    </row>
    <row r="13213" spans="59:62" x14ac:dyDescent="0.3">
      <c r="BG13213" s="387"/>
      <c r="BH13213" s="386"/>
      <c r="BI13213" s="386"/>
      <c r="BJ13213" s="46"/>
    </row>
    <row r="13214" spans="59:62" x14ac:dyDescent="0.3">
      <c r="BG13214" s="387"/>
      <c r="BH13214" s="386"/>
      <c r="BI13214" s="386"/>
      <c r="BJ13214" s="46"/>
    </row>
    <row r="13215" spans="59:62" x14ac:dyDescent="0.3">
      <c r="BG13215" s="387"/>
      <c r="BH13215" s="386"/>
      <c r="BI13215" s="386"/>
      <c r="BJ13215" s="46"/>
    </row>
    <row r="13216" spans="59:62" x14ac:dyDescent="0.3">
      <c r="BG13216" s="387"/>
      <c r="BH13216" s="386"/>
      <c r="BI13216" s="386"/>
      <c r="BJ13216" s="46"/>
    </row>
    <row r="13217" spans="59:62" x14ac:dyDescent="0.3">
      <c r="BG13217" s="387"/>
      <c r="BH13217" s="386"/>
      <c r="BI13217" s="386"/>
      <c r="BJ13217" s="46"/>
    </row>
    <row r="13218" spans="59:62" x14ac:dyDescent="0.3">
      <c r="BG13218" s="387"/>
      <c r="BH13218" s="386"/>
      <c r="BI13218" s="386"/>
      <c r="BJ13218" s="46"/>
    </row>
    <row r="13219" spans="59:62" x14ac:dyDescent="0.3">
      <c r="BG13219" s="387"/>
      <c r="BH13219" s="386"/>
      <c r="BI13219" s="386"/>
      <c r="BJ13219" s="46"/>
    </row>
    <row r="13220" spans="59:62" x14ac:dyDescent="0.3">
      <c r="BG13220" s="387"/>
      <c r="BH13220" s="386"/>
      <c r="BI13220" s="386"/>
      <c r="BJ13220" s="46"/>
    </row>
    <row r="13221" spans="59:62" x14ac:dyDescent="0.3">
      <c r="BG13221" s="387"/>
      <c r="BH13221" s="386"/>
      <c r="BI13221" s="386"/>
      <c r="BJ13221" s="46"/>
    </row>
    <row r="13222" spans="59:62" x14ac:dyDescent="0.3">
      <c r="BG13222" s="387"/>
      <c r="BH13222" s="386"/>
      <c r="BI13222" s="386"/>
      <c r="BJ13222" s="46"/>
    </row>
    <row r="13223" spans="59:62" x14ac:dyDescent="0.3">
      <c r="BG13223" s="387"/>
      <c r="BH13223" s="386"/>
      <c r="BI13223" s="386"/>
      <c r="BJ13223" s="46"/>
    </row>
    <row r="13224" spans="59:62" x14ac:dyDescent="0.3">
      <c r="BG13224" s="387"/>
      <c r="BH13224" s="386"/>
      <c r="BI13224" s="386"/>
      <c r="BJ13224" s="46"/>
    </row>
    <row r="13225" spans="59:62" x14ac:dyDescent="0.3">
      <c r="BG13225" s="387"/>
      <c r="BH13225" s="386"/>
      <c r="BI13225" s="386"/>
      <c r="BJ13225" s="46"/>
    </row>
    <row r="13226" spans="59:62" x14ac:dyDescent="0.3">
      <c r="BG13226" s="387"/>
      <c r="BH13226" s="386"/>
      <c r="BI13226" s="386"/>
      <c r="BJ13226" s="46"/>
    </row>
    <row r="13227" spans="59:62" x14ac:dyDescent="0.3">
      <c r="BG13227" s="387"/>
      <c r="BH13227" s="386"/>
      <c r="BI13227" s="386"/>
      <c r="BJ13227" s="46"/>
    </row>
    <row r="13228" spans="59:62" x14ac:dyDescent="0.3">
      <c r="BG13228" s="387"/>
      <c r="BH13228" s="386"/>
      <c r="BI13228" s="386"/>
      <c r="BJ13228" s="46"/>
    </row>
    <row r="13229" spans="59:62" x14ac:dyDescent="0.3">
      <c r="BG13229" s="387"/>
      <c r="BH13229" s="386"/>
      <c r="BI13229" s="386"/>
      <c r="BJ13229" s="46"/>
    </row>
    <row r="13230" spans="59:62" x14ac:dyDescent="0.3">
      <c r="BG13230" s="387"/>
      <c r="BH13230" s="386"/>
      <c r="BI13230" s="386"/>
      <c r="BJ13230" s="46"/>
    </row>
    <row r="13231" spans="59:62" x14ac:dyDescent="0.3">
      <c r="BG13231" s="387"/>
      <c r="BH13231" s="386"/>
      <c r="BI13231" s="386"/>
      <c r="BJ13231" s="46"/>
    </row>
    <row r="13232" spans="59:62" x14ac:dyDescent="0.3">
      <c r="BG13232" s="387"/>
      <c r="BH13232" s="386"/>
      <c r="BI13232" s="386"/>
      <c r="BJ13232" s="46"/>
    </row>
    <row r="13233" spans="59:62" x14ac:dyDescent="0.3">
      <c r="BG13233" s="387"/>
      <c r="BH13233" s="386"/>
      <c r="BI13233" s="386"/>
      <c r="BJ13233" s="46"/>
    </row>
    <row r="13234" spans="59:62" x14ac:dyDescent="0.3">
      <c r="BG13234" s="387"/>
      <c r="BH13234" s="386"/>
      <c r="BI13234" s="386"/>
      <c r="BJ13234" s="46"/>
    </row>
    <row r="13235" spans="59:62" x14ac:dyDescent="0.3">
      <c r="BG13235" s="387"/>
      <c r="BH13235" s="386"/>
      <c r="BI13235" s="386"/>
      <c r="BJ13235" s="46"/>
    </row>
    <row r="13236" spans="59:62" x14ac:dyDescent="0.3">
      <c r="BG13236" s="387"/>
      <c r="BH13236" s="386"/>
      <c r="BI13236" s="386"/>
      <c r="BJ13236" s="46"/>
    </row>
    <row r="13237" spans="59:62" x14ac:dyDescent="0.3">
      <c r="BG13237" s="387"/>
      <c r="BH13237" s="386"/>
      <c r="BI13237" s="386"/>
      <c r="BJ13237" s="46"/>
    </row>
    <row r="13238" spans="59:62" x14ac:dyDescent="0.3">
      <c r="BG13238" s="387"/>
      <c r="BH13238" s="386"/>
      <c r="BI13238" s="386"/>
      <c r="BJ13238" s="46"/>
    </row>
    <row r="13239" spans="59:62" x14ac:dyDescent="0.3">
      <c r="BG13239" s="387"/>
      <c r="BH13239" s="386"/>
      <c r="BI13239" s="386"/>
      <c r="BJ13239" s="46"/>
    </row>
    <row r="13240" spans="59:62" x14ac:dyDescent="0.3">
      <c r="BG13240" s="387"/>
      <c r="BH13240" s="386"/>
      <c r="BI13240" s="386"/>
      <c r="BJ13240" s="46"/>
    </row>
    <row r="13241" spans="59:62" x14ac:dyDescent="0.3">
      <c r="BG13241" s="387"/>
      <c r="BH13241" s="386"/>
      <c r="BI13241" s="386"/>
      <c r="BJ13241" s="46"/>
    </row>
    <row r="13242" spans="59:62" x14ac:dyDescent="0.3">
      <c r="BG13242" s="387"/>
      <c r="BH13242" s="386"/>
      <c r="BI13242" s="386"/>
      <c r="BJ13242" s="46"/>
    </row>
    <row r="13243" spans="59:62" x14ac:dyDescent="0.3">
      <c r="BG13243" s="387"/>
      <c r="BH13243" s="386"/>
      <c r="BI13243" s="386"/>
      <c r="BJ13243" s="46"/>
    </row>
    <row r="13244" spans="59:62" x14ac:dyDescent="0.3">
      <c r="BG13244" s="387"/>
      <c r="BH13244" s="386"/>
      <c r="BI13244" s="386"/>
      <c r="BJ13244" s="46"/>
    </row>
    <row r="13245" spans="59:62" x14ac:dyDescent="0.3">
      <c r="BG13245" s="387"/>
      <c r="BH13245" s="386"/>
      <c r="BI13245" s="386"/>
      <c r="BJ13245" s="46"/>
    </row>
    <row r="13246" spans="59:62" x14ac:dyDescent="0.3">
      <c r="BG13246" s="387"/>
      <c r="BH13246" s="386"/>
      <c r="BI13246" s="386"/>
      <c r="BJ13246" s="46"/>
    </row>
    <row r="13247" spans="59:62" x14ac:dyDescent="0.3">
      <c r="BG13247" s="387"/>
      <c r="BH13247" s="386"/>
      <c r="BI13247" s="386"/>
      <c r="BJ13247" s="46"/>
    </row>
    <row r="13248" spans="59:62" x14ac:dyDescent="0.3">
      <c r="BG13248" s="387"/>
      <c r="BH13248" s="386"/>
      <c r="BI13248" s="386"/>
      <c r="BJ13248" s="46"/>
    </row>
    <row r="13249" spans="59:62" x14ac:dyDescent="0.3">
      <c r="BG13249" s="387"/>
      <c r="BH13249" s="386"/>
      <c r="BI13249" s="386"/>
      <c r="BJ13249" s="46"/>
    </row>
    <row r="13250" spans="59:62" x14ac:dyDescent="0.3">
      <c r="BG13250" s="387"/>
      <c r="BH13250" s="386"/>
      <c r="BI13250" s="386"/>
      <c r="BJ13250" s="46"/>
    </row>
    <row r="13251" spans="59:62" x14ac:dyDescent="0.3">
      <c r="BG13251" s="387"/>
      <c r="BH13251" s="386"/>
      <c r="BI13251" s="386"/>
      <c r="BJ13251" s="46"/>
    </row>
    <row r="13252" spans="59:62" x14ac:dyDescent="0.3">
      <c r="BG13252" s="387"/>
      <c r="BH13252" s="386"/>
      <c r="BI13252" s="386"/>
      <c r="BJ13252" s="46"/>
    </row>
    <row r="13253" spans="59:62" x14ac:dyDescent="0.3">
      <c r="BG13253" s="387"/>
      <c r="BH13253" s="386"/>
      <c r="BI13253" s="386"/>
      <c r="BJ13253" s="46"/>
    </row>
    <row r="13254" spans="59:62" x14ac:dyDescent="0.3">
      <c r="BG13254" s="387"/>
      <c r="BH13254" s="386"/>
      <c r="BI13254" s="386"/>
      <c r="BJ13254" s="46"/>
    </row>
    <row r="13255" spans="59:62" x14ac:dyDescent="0.3">
      <c r="BG13255" s="387"/>
      <c r="BH13255" s="386"/>
      <c r="BI13255" s="386"/>
      <c r="BJ13255" s="46"/>
    </row>
    <row r="13256" spans="59:62" x14ac:dyDescent="0.3">
      <c r="BG13256" s="387"/>
      <c r="BH13256" s="386"/>
      <c r="BI13256" s="386"/>
      <c r="BJ13256" s="46"/>
    </row>
    <row r="13257" spans="59:62" x14ac:dyDescent="0.3">
      <c r="BG13257" s="387"/>
      <c r="BH13257" s="386"/>
      <c r="BI13257" s="386"/>
      <c r="BJ13257" s="46"/>
    </row>
    <row r="13258" spans="59:62" x14ac:dyDescent="0.3">
      <c r="BG13258" s="387"/>
      <c r="BH13258" s="386"/>
      <c r="BI13258" s="386"/>
      <c r="BJ13258" s="46"/>
    </row>
    <row r="13259" spans="59:62" x14ac:dyDescent="0.3">
      <c r="BG13259" s="387"/>
      <c r="BH13259" s="386"/>
      <c r="BI13259" s="386"/>
      <c r="BJ13259" s="46"/>
    </row>
    <row r="13260" spans="59:62" x14ac:dyDescent="0.3">
      <c r="BG13260" s="387"/>
      <c r="BH13260" s="386"/>
      <c r="BI13260" s="386"/>
      <c r="BJ13260" s="46"/>
    </row>
    <row r="13261" spans="59:62" x14ac:dyDescent="0.3">
      <c r="BG13261" s="387"/>
      <c r="BH13261" s="386"/>
      <c r="BI13261" s="386"/>
      <c r="BJ13261" s="46"/>
    </row>
    <row r="13262" spans="59:62" x14ac:dyDescent="0.3">
      <c r="BG13262" s="387"/>
      <c r="BH13262" s="386"/>
      <c r="BI13262" s="386"/>
      <c r="BJ13262" s="46"/>
    </row>
    <row r="13263" spans="59:62" x14ac:dyDescent="0.3">
      <c r="BG13263" s="387"/>
      <c r="BH13263" s="386"/>
      <c r="BI13263" s="386"/>
      <c r="BJ13263" s="46"/>
    </row>
    <row r="13264" spans="59:62" x14ac:dyDescent="0.3">
      <c r="BG13264" s="387"/>
      <c r="BH13264" s="386"/>
      <c r="BI13264" s="386"/>
      <c r="BJ13264" s="46"/>
    </row>
    <row r="13265" spans="59:62" x14ac:dyDescent="0.3">
      <c r="BG13265" s="387"/>
      <c r="BH13265" s="386"/>
      <c r="BI13265" s="386"/>
      <c r="BJ13265" s="46"/>
    </row>
    <row r="13266" spans="59:62" x14ac:dyDescent="0.3">
      <c r="BG13266" s="387"/>
      <c r="BH13266" s="386"/>
      <c r="BI13266" s="386"/>
      <c r="BJ13266" s="46"/>
    </row>
    <row r="13267" spans="59:62" x14ac:dyDescent="0.3">
      <c r="BG13267" s="387"/>
      <c r="BH13267" s="386"/>
      <c r="BI13267" s="386"/>
      <c r="BJ13267" s="46"/>
    </row>
    <row r="13268" spans="59:62" x14ac:dyDescent="0.3">
      <c r="BG13268" s="387"/>
      <c r="BH13268" s="386"/>
      <c r="BI13268" s="386"/>
      <c r="BJ13268" s="46"/>
    </row>
    <row r="13269" spans="59:62" x14ac:dyDescent="0.3">
      <c r="BG13269" s="387"/>
      <c r="BH13269" s="386"/>
      <c r="BI13269" s="386"/>
      <c r="BJ13269" s="46"/>
    </row>
    <row r="13270" spans="59:62" x14ac:dyDescent="0.3">
      <c r="BG13270" s="387"/>
      <c r="BH13270" s="386"/>
      <c r="BI13270" s="386"/>
      <c r="BJ13270" s="46"/>
    </row>
    <row r="13271" spans="59:62" x14ac:dyDescent="0.3">
      <c r="BG13271" s="387"/>
      <c r="BH13271" s="386"/>
      <c r="BI13271" s="386"/>
      <c r="BJ13271" s="46"/>
    </row>
    <row r="13272" spans="59:62" x14ac:dyDescent="0.3">
      <c r="BG13272" s="387"/>
      <c r="BH13272" s="386"/>
      <c r="BI13272" s="386"/>
      <c r="BJ13272" s="46"/>
    </row>
    <row r="13273" spans="59:62" x14ac:dyDescent="0.3">
      <c r="BG13273" s="387"/>
      <c r="BH13273" s="386"/>
      <c r="BI13273" s="386"/>
      <c r="BJ13273" s="46"/>
    </row>
    <row r="13274" spans="59:62" x14ac:dyDescent="0.3">
      <c r="BG13274" s="387"/>
      <c r="BH13274" s="386"/>
      <c r="BI13274" s="386"/>
      <c r="BJ13274" s="46"/>
    </row>
    <row r="13275" spans="59:62" x14ac:dyDescent="0.3">
      <c r="BG13275" s="387"/>
      <c r="BH13275" s="386"/>
      <c r="BI13275" s="386"/>
      <c r="BJ13275" s="46"/>
    </row>
    <row r="13276" spans="59:62" x14ac:dyDescent="0.3">
      <c r="BG13276" s="387"/>
      <c r="BH13276" s="386"/>
      <c r="BI13276" s="386"/>
      <c r="BJ13276" s="46"/>
    </row>
    <row r="13277" spans="59:62" x14ac:dyDescent="0.3">
      <c r="BG13277" s="387"/>
      <c r="BH13277" s="386"/>
      <c r="BI13277" s="386"/>
      <c r="BJ13277" s="46"/>
    </row>
    <row r="13278" spans="59:62" x14ac:dyDescent="0.3">
      <c r="BG13278" s="387"/>
      <c r="BH13278" s="386"/>
      <c r="BI13278" s="386"/>
      <c r="BJ13278" s="46"/>
    </row>
    <row r="13279" spans="59:62" x14ac:dyDescent="0.3">
      <c r="BG13279" s="387"/>
      <c r="BH13279" s="386"/>
      <c r="BI13279" s="386"/>
      <c r="BJ13279" s="46"/>
    </row>
    <row r="13280" spans="59:62" x14ac:dyDescent="0.3">
      <c r="BG13280" s="387"/>
      <c r="BH13280" s="386"/>
      <c r="BI13280" s="386"/>
      <c r="BJ13280" s="46"/>
    </row>
    <row r="13281" spans="59:62" x14ac:dyDescent="0.3">
      <c r="BG13281" s="387"/>
      <c r="BH13281" s="386"/>
      <c r="BI13281" s="386"/>
      <c r="BJ13281" s="46"/>
    </row>
    <row r="13282" spans="59:62" x14ac:dyDescent="0.3">
      <c r="BG13282" s="387"/>
      <c r="BH13282" s="386"/>
      <c r="BI13282" s="386"/>
      <c r="BJ13282" s="46"/>
    </row>
    <row r="13283" spans="59:62" x14ac:dyDescent="0.3">
      <c r="BG13283" s="387"/>
      <c r="BH13283" s="386"/>
      <c r="BI13283" s="386"/>
      <c r="BJ13283" s="46"/>
    </row>
    <row r="13284" spans="59:62" x14ac:dyDescent="0.3">
      <c r="BG13284" s="387"/>
      <c r="BH13284" s="386"/>
      <c r="BI13284" s="386"/>
      <c r="BJ13284" s="46"/>
    </row>
    <row r="13285" spans="59:62" x14ac:dyDescent="0.3">
      <c r="BG13285" s="387"/>
      <c r="BH13285" s="386"/>
      <c r="BI13285" s="386"/>
      <c r="BJ13285" s="46"/>
    </row>
    <row r="13286" spans="59:62" x14ac:dyDescent="0.3">
      <c r="BG13286" s="387"/>
      <c r="BH13286" s="386"/>
      <c r="BI13286" s="386"/>
      <c r="BJ13286" s="46"/>
    </row>
    <row r="13287" spans="59:62" x14ac:dyDescent="0.3">
      <c r="BG13287" s="387"/>
      <c r="BH13287" s="386"/>
      <c r="BI13287" s="386"/>
      <c r="BJ13287" s="46"/>
    </row>
    <row r="13288" spans="59:62" x14ac:dyDescent="0.3">
      <c r="BG13288" s="387"/>
      <c r="BH13288" s="386"/>
      <c r="BI13288" s="386"/>
      <c r="BJ13288" s="46"/>
    </row>
    <row r="13289" spans="59:62" x14ac:dyDescent="0.3">
      <c r="BG13289" s="387"/>
      <c r="BH13289" s="386"/>
      <c r="BI13289" s="386"/>
      <c r="BJ13289" s="46"/>
    </row>
    <row r="13290" spans="59:62" x14ac:dyDescent="0.3">
      <c r="BG13290" s="387"/>
      <c r="BH13290" s="386"/>
      <c r="BI13290" s="386"/>
      <c r="BJ13290" s="46"/>
    </row>
    <row r="13291" spans="59:62" x14ac:dyDescent="0.3">
      <c r="BG13291" s="387"/>
      <c r="BH13291" s="386"/>
      <c r="BI13291" s="386"/>
      <c r="BJ13291" s="46"/>
    </row>
    <row r="13292" spans="59:62" x14ac:dyDescent="0.3">
      <c r="BG13292" s="387"/>
      <c r="BH13292" s="386"/>
      <c r="BI13292" s="386"/>
      <c r="BJ13292" s="46"/>
    </row>
    <row r="13293" spans="59:62" x14ac:dyDescent="0.3">
      <c r="BG13293" s="387"/>
      <c r="BH13293" s="386"/>
      <c r="BI13293" s="386"/>
      <c r="BJ13293" s="46"/>
    </row>
    <row r="13294" spans="59:62" x14ac:dyDescent="0.3">
      <c r="BG13294" s="387"/>
      <c r="BH13294" s="386"/>
      <c r="BI13294" s="386"/>
      <c r="BJ13294" s="46"/>
    </row>
    <row r="13295" spans="59:62" x14ac:dyDescent="0.3">
      <c r="BG13295" s="387"/>
      <c r="BH13295" s="386"/>
      <c r="BI13295" s="386"/>
      <c r="BJ13295" s="46"/>
    </row>
    <row r="13296" spans="59:62" x14ac:dyDescent="0.3">
      <c r="BG13296" s="387"/>
      <c r="BH13296" s="386"/>
      <c r="BI13296" s="386"/>
      <c r="BJ13296" s="46"/>
    </row>
    <row r="13297" spans="59:62" x14ac:dyDescent="0.3">
      <c r="BG13297" s="387"/>
      <c r="BH13297" s="386"/>
      <c r="BI13297" s="386"/>
      <c r="BJ13297" s="46"/>
    </row>
    <row r="13298" spans="59:62" x14ac:dyDescent="0.3">
      <c r="BG13298" s="387"/>
      <c r="BH13298" s="386"/>
      <c r="BI13298" s="386"/>
      <c r="BJ13298" s="46"/>
    </row>
    <row r="13299" spans="59:62" x14ac:dyDescent="0.3">
      <c r="BG13299" s="387"/>
      <c r="BH13299" s="386"/>
      <c r="BI13299" s="386"/>
      <c r="BJ13299" s="46"/>
    </row>
    <row r="13300" spans="59:62" x14ac:dyDescent="0.3">
      <c r="BG13300" s="387"/>
      <c r="BH13300" s="386"/>
      <c r="BI13300" s="386"/>
      <c r="BJ13300" s="46"/>
    </row>
    <row r="13301" spans="59:62" x14ac:dyDescent="0.3">
      <c r="BG13301" s="387"/>
      <c r="BH13301" s="386"/>
      <c r="BI13301" s="386"/>
      <c r="BJ13301" s="46"/>
    </row>
    <row r="13302" spans="59:62" x14ac:dyDescent="0.3">
      <c r="BG13302" s="387"/>
      <c r="BH13302" s="386"/>
      <c r="BI13302" s="386"/>
      <c r="BJ13302" s="46"/>
    </row>
    <row r="13303" spans="59:62" x14ac:dyDescent="0.3">
      <c r="BG13303" s="387"/>
      <c r="BH13303" s="386"/>
      <c r="BI13303" s="386"/>
      <c r="BJ13303" s="46"/>
    </row>
    <row r="13304" spans="59:62" x14ac:dyDescent="0.3">
      <c r="BG13304" s="387"/>
      <c r="BH13304" s="386"/>
      <c r="BI13304" s="386"/>
      <c r="BJ13304" s="46"/>
    </row>
    <row r="13305" spans="59:62" x14ac:dyDescent="0.3">
      <c r="BG13305" s="387"/>
      <c r="BH13305" s="386"/>
      <c r="BI13305" s="386"/>
      <c r="BJ13305" s="46"/>
    </row>
    <row r="13306" spans="59:62" x14ac:dyDescent="0.3">
      <c r="BG13306" s="387"/>
      <c r="BH13306" s="386"/>
      <c r="BI13306" s="386"/>
      <c r="BJ13306" s="46"/>
    </row>
    <row r="13307" spans="59:62" x14ac:dyDescent="0.3">
      <c r="BG13307" s="387"/>
      <c r="BH13307" s="386"/>
      <c r="BI13307" s="386"/>
      <c r="BJ13307" s="46"/>
    </row>
    <row r="13308" spans="59:62" x14ac:dyDescent="0.3">
      <c r="BG13308" s="387"/>
      <c r="BH13308" s="386"/>
      <c r="BI13308" s="386"/>
      <c r="BJ13308" s="46"/>
    </row>
    <row r="13309" spans="59:62" x14ac:dyDescent="0.3">
      <c r="BG13309" s="387"/>
      <c r="BH13309" s="386"/>
      <c r="BI13309" s="386"/>
      <c r="BJ13309" s="46"/>
    </row>
    <row r="13310" spans="59:62" x14ac:dyDescent="0.3">
      <c r="BG13310" s="387"/>
      <c r="BH13310" s="386"/>
      <c r="BI13310" s="386"/>
      <c r="BJ13310" s="46"/>
    </row>
    <row r="13311" spans="59:62" x14ac:dyDescent="0.3">
      <c r="BG13311" s="387"/>
      <c r="BH13311" s="386"/>
      <c r="BI13311" s="386"/>
      <c r="BJ13311" s="46"/>
    </row>
    <row r="13312" spans="59:62" x14ac:dyDescent="0.3">
      <c r="BG13312" s="387"/>
      <c r="BH13312" s="386"/>
      <c r="BI13312" s="386"/>
      <c r="BJ13312" s="46"/>
    </row>
    <row r="13313" spans="59:62" x14ac:dyDescent="0.3">
      <c r="BG13313" s="387"/>
      <c r="BH13313" s="386"/>
      <c r="BI13313" s="386"/>
      <c r="BJ13313" s="46"/>
    </row>
    <row r="13314" spans="59:62" x14ac:dyDescent="0.3">
      <c r="BG13314" s="387"/>
      <c r="BH13314" s="386"/>
      <c r="BI13314" s="386"/>
      <c r="BJ13314" s="46"/>
    </row>
    <row r="13315" spans="59:62" x14ac:dyDescent="0.3">
      <c r="BG13315" s="387"/>
      <c r="BH13315" s="386"/>
      <c r="BI13315" s="386"/>
      <c r="BJ13315" s="46"/>
    </row>
    <row r="13316" spans="59:62" x14ac:dyDescent="0.3">
      <c r="BG13316" s="387"/>
      <c r="BH13316" s="386"/>
      <c r="BI13316" s="386"/>
      <c r="BJ13316" s="46"/>
    </row>
    <row r="13317" spans="59:62" x14ac:dyDescent="0.3">
      <c r="BG13317" s="387"/>
      <c r="BH13317" s="386"/>
      <c r="BI13317" s="386"/>
      <c r="BJ13317" s="46"/>
    </row>
    <row r="13318" spans="59:62" x14ac:dyDescent="0.3">
      <c r="BG13318" s="387"/>
      <c r="BH13318" s="386"/>
      <c r="BI13318" s="386"/>
      <c r="BJ13318" s="46"/>
    </row>
    <row r="13319" spans="59:62" x14ac:dyDescent="0.3">
      <c r="BG13319" s="387"/>
      <c r="BH13319" s="386"/>
      <c r="BI13319" s="386"/>
      <c r="BJ13319" s="46"/>
    </row>
    <row r="13320" spans="59:62" x14ac:dyDescent="0.3">
      <c r="BG13320" s="387"/>
      <c r="BH13320" s="386"/>
      <c r="BI13320" s="386"/>
      <c r="BJ13320" s="46"/>
    </row>
    <row r="13321" spans="59:62" x14ac:dyDescent="0.3">
      <c r="BG13321" s="387"/>
      <c r="BH13321" s="386"/>
      <c r="BI13321" s="386"/>
      <c r="BJ13321" s="46"/>
    </row>
    <row r="13322" spans="59:62" x14ac:dyDescent="0.3">
      <c r="BG13322" s="387"/>
      <c r="BH13322" s="386"/>
      <c r="BI13322" s="386"/>
      <c r="BJ13322" s="46"/>
    </row>
    <row r="13323" spans="59:62" x14ac:dyDescent="0.3">
      <c r="BG13323" s="387"/>
      <c r="BH13323" s="386"/>
      <c r="BI13323" s="386"/>
      <c r="BJ13323" s="46"/>
    </row>
    <row r="13324" spans="59:62" x14ac:dyDescent="0.3">
      <c r="BG13324" s="387"/>
      <c r="BH13324" s="386"/>
      <c r="BI13324" s="386"/>
      <c r="BJ13324" s="46"/>
    </row>
    <row r="13325" spans="59:62" x14ac:dyDescent="0.3">
      <c r="BG13325" s="387"/>
      <c r="BH13325" s="386"/>
      <c r="BI13325" s="386"/>
      <c r="BJ13325" s="46"/>
    </row>
    <row r="13326" spans="59:62" x14ac:dyDescent="0.3">
      <c r="BG13326" s="387"/>
      <c r="BH13326" s="386"/>
      <c r="BI13326" s="386"/>
      <c r="BJ13326" s="46"/>
    </row>
    <row r="13327" spans="59:62" x14ac:dyDescent="0.3">
      <c r="BG13327" s="387"/>
      <c r="BH13327" s="386"/>
      <c r="BI13327" s="386"/>
      <c r="BJ13327" s="46"/>
    </row>
    <row r="13328" spans="59:62" x14ac:dyDescent="0.3">
      <c r="BG13328" s="387"/>
      <c r="BH13328" s="386"/>
      <c r="BI13328" s="386"/>
      <c r="BJ13328" s="46"/>
    </row>
    <row r="13329" spans="59:62" x14ac:dyDescent="0.3">
      <c r="BG13329" s="387"/>
      <c r="BH13329" s="386"/>
      <c r="BI13329" s="386"/>
      <c r="BJ13329" s="46"/>
    </row>
    <row r="13330" spans="59:62" x14ac:dyDescent="0.3">
      <c r="BG13330" s="387"/>
      <c r="BH13330" s="386"/>
      <c r="BI13330" s="386"/>
      <c r="BJ13330" s="46"/>
    </row>
    <row r="13331" spans="59:62" x14ac:dyDescent="0.3">
      <c r="BG13331" s="387"/>
      <c r="BH13331" s="386"/>
      <c r="BI13331" s="386"/>
      <c r="BJ13331" s="46"/>
    </row>
    <row r="13332" spans="59:62" x14ac:dyDescent="0.3">
      <c r="BG13332" s="387"/>
      <c r="BH13332" s="386"/>
      <c r="BI13332" s="386"/>
      <c r="BJ13332" s="46"/>
    </row>
    <row r="13333" spans="59:62" x14ac:dyDescent="0.3">
      <c r="BG13333" s="387"/>
      <c r="BH13333" s="386"/>
      <c r="BI13333" s="386"/>
      <c r="BJ13333" s="46"/>
    </row>
    <row r="13334" spans="59:62" x14ac:dyDescent="0.3">
      <c r="BG13334" s="387"/>
      <c r="BH13334" s="386"/>
      <c r="BI13334" s="386"/>
      <c r="BJ13334" s="46"/>
    </row>
    <row r="13335" spans="59:62" x14ac:dyDescent="0.3">
      <c r="BG13335" s="387"/>
      <c r="BH13335" s="386"/>
      <c r="BI13335" s="386"/>
      <c r="BJ13335" s="46"/>
    </row>
    <row r="13336" spans="59:62" x14ac:dyDescent="0.3">
      <c r="BG13336" s="387"/>
      <c r="BH13336" s="386"/>
      <c r="BI13336" s="386"/>
      <c r="BJ13336" s="46"/>
    </row>
    <row r="13337" spans="59:62" x14ac:dyDescent="0.3">
      <c r="BG13337" s="387"/>
      <c r="BH13337" s="386"/>
      <c r="BI13337" s="386"/>
      <c r="BJ13337" s="46"/>
    </row>
    <row r="13338" spans="59:62" x14ac:dyDescent="0.3">
      <c r="BG13338" s="387"/>
      <c r="BH13338" s="386"/>
      <c r="BI13338" s="386"/>
      <c r="BJ13338" s="46"/>
    </row>
    <row r="13339" spans="59:62" x14ac:dyDescent="0.3">
      <c r="BG13339" s="387"/>
      <c r="BH13339" s="386"/>
      <c r="BI13339" s="386"/>
      <c r="BJ13339" s="46"/>
    </row>
    <row r="13340" spans="59:62" x14ac:dyDescent="0.3">
      <c r="BG13340" s="387"/>
      <c r="BH13340" s="386"/>
      <c r="BI13340" s="386"/>
      <c r="BJ13340" s="46"/>
    </row>
    <row r="13341" spans="59:62" x14ac:dyDescent="0.3">
      <c r="BG13341" s="387"/>
      <c r="BH13341" s="386"/>
      <c r="BI13341" s="386"/>
      <c r="BJ13341" s="46"/>
    </row>
    <row r="13342" spans="59:62" x14ac:dyDescent="0.3">
      <c r="BG13342" s="387"/>
      <c r="BH13342" s="386"/>
      <c r="BI13342" s="386"/>
      <c r="BJ13342" s="46"/>
    </row>
    <row r="13343" spans="59:62" x14ac:dyDescent="0.3">
      <c r="BG13343" s="387"/>
      <c r="BH13343" s="386"/>
      <c r="BI13343" s="386"/>
      <c r="BJ13343" s="46"/>
    </row>
    <row r="13344" spans="59:62" x14ac:dyDescent="0.3">
      <c r="BG13344" s="387"/>
      <c r="BH13344" s="386"/>
      <c r="BI13344" s="386"/>
      <c r="BJ13344" s="46"/>
    </row>
    <row r="13345" spans="59:62" x14ac:dyDescent="0.3">
      <c r="BG13345" s="387"/>
      <c r="BH13345" s="386"/>
      <c r="BI13345" s="386"/>
      <c r="BJ13345" s="46"/>
    </row>
    <row r="13346" spans="59:62" x14ac:dyDescent="0.3">
      <c r="BG13346" s="387"/>
      <c r="BH13346" s="386"/>
      <c r="BI13346" s="386"/>
      <c r="BJ13346" s="46"/>
    </row>
    <row r="13347" spans="59:62" x14ac:dyDescent="0.3">
      <c r="BG13347" s="387"/>
      <c r="BH13347" s="386"/>
      <c r="BI13347" s="386"/>
      <c r="BJ13347" s="46"/>
    </row>
    <row r="13348" spans="59:62" x14ac:dyDescent="0.3">
      <c r="BG13348" s="387"/>
      <c r="BH13348" s="386"/>
      <c r="BI13348" s="386"/>
      <c r="BJ13348" s="46"/>
    </row>
    <row r="13349" spans="59:62" x14ac:dyDescent="0.3">
      <c r="BG13349" s="387"/>
      <c r="BH13349" s="386"/>
      <c r="BI13349" s="386"/>
      <c r="BJ13349" s="46"/>
    </row>
    <row r="13350" spans="59:62" x14ac:dyDescent="0.3">
      <c r="BG13350" s="387"/>
      <c r="BH13350" s="386"/>
      <c r="BI13350" s="386"/>
      <c r="BJ13350" s="46"/>
    </row>
    <row r="13351" spans="59:62" x14ac:dyDescent="0.3">
      <c r="BG13351" s="387"/>
      <c r="BH13351" s="386"/>
      <c r="BI13351" s="386"/>
      <c r="BJ13351" s="46"/>
    </row>
    <row r="13352" spans="59:62" x14ac:dyDescent="0.3">
      <c r="BG13352" s="387"/>
      <c r="BH13352" s="386"/>
      <c r="BI13352" s="386"/>
      <c r="BJ13352" s="46"/>
    </row>
    <row r="13353" spans="59:62" x14ac:dyDescent="0.3">
      <c r="BG13353" s="387"/>
      <c r="BH13353" s="386"/>
      <c r="BI13353" s="386"/>
      <c r="BJ13353" s="46"/>
    </row>
    <row r="13354" spans="59:62" x14ac:dyDescent="0.3">
      <c r="BG13354" s="387"/>
      <c r="BH13354" s="386"/>
      <c r="BI13354" s="386"/>
      <c r="BJ13354" s="46"/>
    </row>
    <row r="13355" spans="59:62" x14ac:dyDescent="0.3">
      <c r="BG13355" s="387"/>
      <c r="BH13355" s="386"/>
      <c r="BI13355" s="386"/>
      <c r="BJ13355" s="46"/>
    </row>
    <row r="13356" spans="59:62" x14ac:dyDescent="0.3">
      <c r="BG13356" s="387"/>
      <c r="BH13356" s="386"/>
      <c r="BI13356" s="386"/>
      <c r="BJ13356" s="46"/>
    </row>
    <row r="13357" spans="59:62" x14ac:dyDescent="0.3">
      <c r="BG13357" s="387"/>
      <c r="BH13357" s="386"/>
      <c r="BI13357" s="386"/>
      <c r="BJ13357" s="46"/>
    </row>
    <row r="13358" spans="59:62" x14ac:dyDescent="0.3">
      <c r="BG13358" s="387"/>
      <c r="BH13358" s="386"/>
      <c r="BI13358" s="386"/>
      <c r="BJ13358" s="46"/>
    </row>
    <row r="13359" spans="59:62" x14ac:dyDescent="0.3">
      <c r="BG13359" s="387"/>
      <c r="BH13359" s="386"/>
      <c r="BI13359" s="386"/>
      <c r="BJ13359" s="46"/>
    </row>
    <row r="13360" spans="59:62" x14ac:dyDescent="0.3">
      <c r="BG13360" s="387"/>
      <c r="BH13360" s="386"/>
      <c r="BI13360" s="386"/>
      <c r="BJ13360" s="46"/>
    </row>
    <row r="13361" spans="59:62" x14ac:dyDescent="0.3">
      <c r="BG13361" s="387"/>
      <c r="BH13361" s="386"/>
      <c r="BI13361" s="386"/>
      <c r="BJ13361" s="46"/>
    </row>
    <row r="13362" spans="59:62" x14ac:dyDescent="0.3">
      <c r="BG13362" s="387"/>
      <c r="BH13362" s="386"/>
      <c r="BI13362" s="386"/>
      <c r="BJ13362" s="46"/>
    </row>
    <row r="13363" spans="59:62" x14ac:dyDescent="0.3">
      <c r="BG13363" s="387"/>
      <c r="BH13363" s="386"/>
      <c r="BI13363" s="386"/>
      <c r="BJ13363" s="46"/>
    </row>
    <row r="13364" spans="59:62" x14ac:dyDescent="0.3">
      <c r="BG13364" s="387"/>
      <c r="BH13364" s="386"/>
      <c r="BI13364" s="386"/>
      <c r="BJ13364" s="46"/>
    </row>
    <row r="13365" spans="59:62" x14ac:dyDescent="0.3">
      <c r="BG13365" s="387"/>
      <c r="BH13365" s="386"/>
      <c r="BI13365" s="386"/>
      <c r="BJ13365" s="46"/>
    </row>
    <row r="13366" spans="59:62" x14ac:dyDescent="0.3">
      <c r="BG13366" s="387"/>
      <c r="BH13366" s="386"/>
      <c r="BI13366" s="386"/>
      <c r="BJ13366" s="46"/>
    </row>
    <row r="13367" spans="59:62" x14ac:dyDescent="0.3">
      <c r="BG13367" s="387"/>
      <c r="BH13367" s="386"/>
      <c r="BI13367" s="386"/>
      <c r="BJ13367" s="46"/>
    </row>
    <row r="13368" spans="59:62" x14ac:dyDescent="0.3">
      <c r="BG13368" s="387"/>
      <c r="BH13368" s="386"/>
      <c r="BI13368" s="386"/>
      <c r="BJ13368" s="46"/>
    </row>
    <row r="13369" spans="59:62" x14ac:dyDescent="0.3">
      <c r="BG13369" s="387"/>
      <c r="BH13369" s="386"/>
      <c r="BI13369" s="386"/>
      <c r="BJ13369" s="46"/>
    </row>
    <row r="13370" spans="59:62" x14ac:dyDescent="0.3">
      <c r="BG13370" s="387"/>
      <c r="BH13370" s="386"/>
      <c r="BI13370" s="386"/>
      <c r="BJ13370" s="46"/>
    </row>
    <row r="13371" spans="59:62" x14ac:dyDescent="0.3">
      <c r="BG13371" s="387"/>
      <c r="BH13371" s="386"/>
      <c r="BI13371" s="386"/>
      <c r="BJ13371" s="46"/>
    </row>
    <row r="13372" spans="59:62" x14ac:dyDescent="0.3">
      <c r="BG13372" s="387"/>
      <c r="BH13372" s="386"/>
      <c r="BI13372" s="386"/>
      <c r="BJ13372" s="46"/>
    </row>
    <row r="13373" spans="59:62" x14ac:dyDescent="0.3">
      <c r="BG13373" s="387"/>
      <c r="BH13373" s="386"/>
      <c r="BI13373" s="386"/>
      <c r="BJ13373" s="46"/>
    </row>
    <row r="13374" spans="59:62" x14ac:dyDescent="0.3">
      <c r="BG13374" s="387"/>
      <c r="BH13374" s="386"/>
      <c r="BI13374" s="386"/>
      <c r="BJ13374" s="46"/>
    </row>
    <row r="13375" spans="59:62" x14ac:dyDescent="0.3">
      <c r="BG13375" s="387"/>
      <c r="BH13375" s="386"/>
      <c r="BI13375" s="386"/>
      <c r="BJ13375" s="46"/>
    </row>
    <row r="13376" spans="59:62" x14ac:dyDescent="0.3">
      <c r="BG13376" s="387"/>
      <c r="BH13376" s="386"/>
      <c r="BI13376" s="386"/>
      <c r="BJ13376" s="46"/>
    </row>
    <row r="13377" spans="59:62" x14ac:dyDescent="0.3">
      <c r="BG13377" s="387"/>
      <c r="BH13377" s="386"/>
      <c r="BI13377" s="386"/>
      <c r="BJ13377" s="46"/>
    </row>
    <row r="13378" spans="59:62" x14ac:dyDescent="0.3">
      <c r="BG13378" s="387"/>
      <c r="BH13378" s="386"/>
      <c r="BI13378" s="386"/>
      <c r="BJ13378" s="46"/>
    </row>
    <row r="13379" spans="59:62" x14ac:dyDescent="0.3">
      <c r="BG13379" s="387"/>
      <c r="BH13379" s="386"/>
      <c r="BI13379" s="386"/>
      <c r="BJ13379" s="46"/>
    </row>
    <row r="13380" spans="59:62" x14ac:dyDescent="0.3">
      <c r="BG13380" s="387"/>
      <c r="BH13380" s="386"/>
      <c r="BI13380" s="386"/>
      <c r="BJ13380" s="46"/>
    </row>
    <row r="13381" spans="59:62" x14ac:dyDescent="0.3">
      <c r="BG13381" s="387"/>
      <c r="BH13381" s="386"/>
      <c r="BI13381" s="386"/>
      <c r="BJ13381" s="46"/>
    </row>
    <row r="13382" spans="59:62" x14ac:dyDescent="0.3">
      <c r="BG13382" s="387"/>
      <c r="BH13382" s="386"/>
      <c r="BI13382" s="386"/>
      <c r="BJ13382" s="46"/>
    </row>
    <row r="13383" spans="59:62" x14ac:dyDescent="0.3">
      <c r="BG13383" s="387"/>
      <c r="BH13383" s="386"/>
      <c r="BI13383" s="386"/>
      <c r="BJ13383" s="46"/>
    </row>
    <row r="13384" spans="59:62" x14ac:dyDescent="0.3">
      <c r="BG13384" s="387"/>
      <c r="BH13384" s="386"/>
      <c r="BI13384" s="386"/>
      <c r="BJ13384" s="46"/>
    </row>
    <row r="13385" spans="59:62" x14ac:dyDescent="0.3">
      <c r="BG13385" s="387"/>
      <c r="BH13385" s="386"/>
      <c r="BI13385" s="386"/>
      <c r="BJ13385" s="46"/>
    </row>
    <row r="13386" spans="59:62" x14ac:dyDescent="0.3">
      <c r="BG13386" s="387"/>
      <c r="BH13386" s="386"/>
      <c r="BI13386" s="386"/>
      <c r="BJ13386" s="46"/>
    </row>
    <row r="13387" spans="59:62" x14ac:dyDescent="0.3">
      <c r="BG13387" s="387"/>
      <c r="BH13387" s="386"/>
      <c r="BI13387" s="386"/>
      <c r="BJ13387" s="46"/>
    </row>
    <row r="13388" spans="59:62" x14ac:dyDescent="0.3">
      <c r="BG13388" s="387"/>
      <c r="BH13388" s="386"/>
      <c r="BI13388" s="386"/>
      <c r="BJ13388" s="46"/>
    </row>
    <row r="13389" spans="59:62" x14ac:dyDescent="0.3">
      <c r="BG13389" s="387"/>
      <c r="BH13389" s="386"/>
      <c r="BI13389" s="386"/>
      <c r="BJ13389" s="46"/>
    </row>
    <row r="13390" spans="59:62" x14ac:dyDescent="0.3">
      <c r="BG13390" s="387"/>
      <c r="BH13390" s="386"/>
      <c r="BI13390" s="386"/>
      <c r="BJ13390" s="46"/>
    </row>
    <row r="13391" spans="59:62" x14ac:dyDescent="0.3">
      <c r="BG13391" s="387"/>
      <c r="BH13391" s="386"/>
      <c r="BI13391" s="386"/>
      <c r="BJ13391" s="46"/>
    </row>
    <row r="13392" spans="59:62" x14ac:dyDescent="0.3">
      <c r="BG13392" s="387"/>
      <c r="BH13392" s="386"/>
      <c r="BI13392" s="386"/>
      <c r="BJ13392" s="46"/>
    </row>
    <row r="13393" spans="59:62" x14ac:dyDescent="0.3">
      <c r="BG13393" s="387"/>
      <c r="BH13393" s="386"/>
      <c r="BI13393" s="386"/>
      <c r="BJ13393" s="46"/>
    </row>
    <row r="13394" spans="59:62" x14ac:dyDescent="0.3">
      <c r="BG13394" s="387"/>
      <c r="BH13394" s="386"/>
      <c r="BI13394" s="386"/>
      <c r="BJ13394" s="46"/>
    </row>
    <row r="13395" spans="59:62" x14ac:dyDescent="0.3">
      <c r="BG13395" s="387"/>
      <c r="BH13395" s="386"/>
      <c r="BI13395" s="386"/>
      <c r="BJ13395" s="46"/>
    </row>
    <row r="13396" spans="59:62" x14ac:dyDescent="0.3">
      <c r="BG13396" s="387"/>
      <c r="BH13396" s="386"/>
      <c r="BI13396" s="386"/>
      <c r="BJ13396" s="46"/>
    </row>
    <row r="13397" spans="59:62" x14ac:dyDescent="0.3">
      <c r="BG13397" s="387"/>
      <c r="BH13397" s="386"/>
      <c r="BI13397" s="386"/>
      <c r="BJ13397" s="46"/>
    </row>
    <row r="13398" spans="59:62" x14ac:dyDescent="0.3">
      <c r="BG13398" s="387"/>
      <c r="BH13398" s="386"/>
      <c r="BI13398" s="386"/>
      <c r="BJ13398" s="46"/>
    </row>
    <row r="13399" spans="59:62" x14ac:dyDescent="0.3">
      <c r="BG13399" s="387"/>
      <c r="BH13399" s="386"/>
      <c r="BI13399" s="386"/>
      <c r="BJ13399" s="46"/>
    </row>
    <row r="13400" spans="59:62" x14ac:dyDescent="0.3">
      <c r="BG13400" s="387"/>
      <c r="BH13400" s="386"/>
      <c r="BI13400" s="386"/>
      <c r="BJ13400" s="46"/>
    </row>
    <row r="13401" spans="59:62" x14ac:dyDescent="0.3">
      <c r="BG13401" s="387"/>
      <c r="BH13401" s="386"/>
      <c r="BI13401" s="386"/>
      <c r="BJ13401" s="46"/>
    </row>
    <row r="13402" spans="59:62" x14ac:dyDescent="0.3">
      <c r="BG13402" s="387"/>
      <c r="BH13402" s="386"/>
      <c r="BI13402" s="386"/>
      <c r="BJ13402" s="46"/>
    </row>
    <row r="13403" spans="59:62" x14ac:dyDescent="0.3">
      <c r="BG13403" s="387"/>
      <c r="BH13403" s="386"/>
      <c r="BI13403" s="386"/>
      <c r="BJ13403" s="46"/>
    </row>
    <row r="13404" spans="59:62" x14ac:dyDescent="0.3">
      <c r="BG13404" s="387"/>
      <c r="BH13404" s="386"/>
      <c r="BI13404" s="386"/>
      <c r="BJ13404" s="46"/>
    </row>
    <row r="13405" spans="59:62" x14ac:dyDescent="0.3">
      <c r="BG13405" s="387"/>
      <c r="BH13405" s="386"/>
      <c r="BI13405" s="386"/>
      <c r="BJ13405" s="46"/>
    </row>
    <row r="13406" spans="59:62" x14ac:dyDescent="0.3">
      <c r="BG13406" s="387"/>
      <c r="BH13406" s="386"/>
      <c r="BI13406" s="386"/>
      <c r="BJ13406" s="46"/>
    </row>
    <row r="13407" spans="59:62" x14ac:dyDescent="0.3">
      <c r="BG13407" s="387"/>
      <c r="BH13407" s="386"/>
      <c r="BI13407" s="386"/>
      <c r="BJ13407" s="46"/>
    </row>
    <row r="13408" spans="59:62" x14ac:dyDescent="0.3">
      <c r="BG13408" s="387"/>
      <c r="BH13408" s="386"/>
      <c r="BI13408" s="386"/>
      <c r="BJ13408" s="46"/>
    </row>
    <row r="13409" spans="59:62" x14ac:dyDescent="0.3">
      <c r="BG13409" s="387"/>
      <c r="BH13409" s="386"/>
      <c r="BI13409" s="386"/>
      <c r="BJ13409" s="46"/>
    </row>
    <row r="13410" spans="59:62" x14ac:dyDescent="0.3">
      <c r="BG13410" s="387"/>
      <c r="BH13410" s="386"/>
      <c r="BI13410" s="386"/>
      <c r="BJ13410" s="46"/>
    </row>
    <row r="13411" spans="59:62" x14ac:dyDescent="0.3">
      <c r="BG13411" s="387"/>
      <c r="BH13411" s="386"/>
      <c r="BI13411" s="386"/>
      <c r="BJ13411" s="46"/>
    </row>
    <row r="13412" spans="59:62" x14ac:dyDescent="0.3">
      <c r="BG13412" s="387"/>
      <c r="BH13412" s="386"/>
      <c r="BI13412" s="386"/>
      <c r="BJ13412" s="46"/>
    </row>
    <row r="13413" spans="59:62" x14ac:dyDescent="0.3">
      <c r="BG13413" s="387"/>
      <c r="BH13413" s="386"/>
      <c r="BI13413" s="386"/>
      <c r="BJ13413" s="46"/>
    </row>
    <row r="13414" spans="59:62" x14ac:dyDescent="0.3">
      <c r="BG13414" s="387"/>
      <c r="BH13414" s="386"/>
      <c r="BI13414" s="386"/>
      <c r="BJ13414" s="46"/>
    </row>
    <row r="13415" spans="59:62" x14ac:dyDescent="0.3">
      <c r="BG13415" s="387"/>
      <c r="BH13415" s="386"/>
      <c r="BI13415" s="386"/>
      <c r="BJ13415" s="46"/>
    </row>
    <row r="13416" spans="59:62" x14ac:dyDescent="0.3">
      <c r="BG13416" s="387"/>
      <c r="BH13416" s="386"/>
      <c r="BI13416" s="386"/>
      <c r="BJ13416" s="46"/>
    </row>
    <row r="13417" spans="59:62" x14ac:dyDescent="0.3">
      <c r="BG13417" s="387"/>
      <c r="BH13417" s="386"/>
      <c r="BI13417" s="386"/>
      <c r="BJ13417" s="46"/>
    </row>
    <row r="13418" spans="59:62" x14ac:dyDescent="0.3">
      <c r="BG13418" s="387"/>
      <c r="BH13418" s="386"/>
      <c r="BI13418" s="386"/>
      <c r="BJ13418" s="46"/>
    </row>
    <row r="13419" spans="59:62" x14ac:dyDescent="0.3">
      <c r="BG13419" s="387"/>
      <c r="BH13419" s="386"/>
      <c r="BI13419" s="386"/>
      <c r="BJ13419" s="46"/>
    </row>
    <row r="13420" spans="59:62" x14ac:dyDescent="0.3">
      <c r="BG13420" s="387"/>
      <c r="BH13420" s="386"/>
      <c r="BI13420" s="386"/>
      <c r="BJ13420" s="46"/>
    </row>
    <row r="13421" spans="59:62" x14ac:dyDescent="0.3">
      <c r="BG13421" s="387"/>
      <c r="BH13421" s="386"/>
      <c r="BI13421" s="386"/>
      <c r="BJ13421" s="46"/>
    </row>
    <row r="13422" spans="59:62" x14ac:dyDescent="0.3">
      <c r="BG13422" s="387"/>
      <c r="BH13422" s="386"/>
      <c r="BI13422" s="386"/>
      <c r="BJ13422" s="46"/>
    </row>
    <row r="13423" spans="59:62" x14ac:dyDescent="0.3">
      <c r="BG13423" s="387"/>
      <c r="BH13423" s="386"/>
      <c r="BI13423" s="386"/>
      <c r="BJ13423" s="46"/>
    </row>
    <row r="13424" spans="59:62" x14ac:dyDescent="0.3">
      <c r="BG13424" s="387"/>
      <c r="BH13424" s="386"/>
      <c r="BI13424" s="386"/>
      <c r="BJ13424" s="46"/>
    </row>
    <row r="13425" spans="59:62" x14ac:dyDescent="0.3">
      <c r="BG13425" s="387"/>
      <c r="BH13425" s="386"/>
      <c r="BI13425" s="386"/>
      <c r="BJ13425" s="46"/>
    </row>
    <row r="13426" spans="59:62" x14ac:dyDescent="0.3">
      <c r="BG13426" s="387"/>
      <c r="BH13426" s="386"/>
      <c r="BI13426" s="386"/>
      <c r="BJ13426" s="46"/>
    </row>
    <row r="13427" spans="59:62" x14ac:dyDescent="0.3">
      <c r="BG13427" s="387"/>
      <c r="BH13427" s="386"/>
      <c r="BI13427" s="386"/>
      <c r="BJ13427" s="46"/>
    </row>
    <row r="13428" spans="59:62" x14ac:dyDescent="0.3">
      <c r="BG13428" s="387"/>
      <c r="BH13428" s="386"/>
      <c r="BI13428" s="386"/>
      <c r="BJ13428" s="46"/>
    </row>
    <row r="13429" spans="59:62" x14ac:dyDescent="0.3">
      <c r="BG13429" s="387"/>
      <c r="BH13429" s="386"/>
      <c r="BI13429" s="386"/>
      <c r="BJ13429" s="46"/>
    </row>
    <row r="13430" spans="59:62" x14ac:dyDescent="0.3">
      <c r="BG13430" s="387"/>
      <c r="BH13430" s="386"/>
      <c r="BI13430" s="386"/>
      <c r="BJ13430" s="46"/>
    </row>
    <row r="13431" spans="59:62" x14ac:dyDescent="0.3">
      <c r="BG13431" s="387"/>
      <c r="BH13431" s="386"/>
      <c r="BI13431" s="386"/>
      <c r="BJ13431" s="46"/>
    </row>
    <row r="13432" spans="59:62" x14ac:dyDescent="0.3">
      <c r="BG13432" s="387"/>
      <c r="BH13432" s="386"/>
      <c r="BI13432" s="386"/>
      <c r="BJ13432" s="46"/>
    </row>
    <row r="13433" spans="59:62" x14ac:dyDescent="0.3">
      <c r="BG13433" s="387"/>
      <c r="BH13433" s="386"/>
      <c r="BI13433" s="386"/>
      <c r="BJ13433" s="46"/>
    </row>
    <row r="13434" spans="59:62" x14ac:dyDescent="0.3">
      <c r="BG13434" s="387"/>
      <c r="BH13434" s="386"/>
      <c r="BI13434" s="386"/>
      <c r="BJ13434" s="46"/>
    </row>
    <row r="13435" spans="59:62" x14ac:dyDescent="0.3">
      <c r="BG13435" s="387"/>
      <c r="BH13435" s="386"/>
      <c r="BI13435" s="386"/>
      <c r="BJ13435" s="46"/>
    </row>
    <row r="13436" spans="59:62" x14ac:dyDescent="0.3">
      <c r="BG13436" s="387"/>
      <c r="BH13436" s="386"/>
      <c r="BI13436" s="386"/>
      <c r="BJ13436" s="46"/>
    </row>
    <row r="13437" spans="59:62" x14ac:dyDescent="0.3">
      <c r="BG13437" s="387"/>
      <c r="BH13437" s="386"/>
      <c r="BI13437" s="386"/>
      <c r="BJ13437" s="46"/>
    </row>
    <row r="13438" spans="59:62" x14ac:dyDescent="0.3">
      <c r="BG13438" s="387"/>
      <c r="BH13438" s="386"/>
      <c r="BI13438" s="386"/>
      <c r="BJ13438" s="46"/>
    </row>
    <row r="13439" spans="59:62" x14ac:dyDescent="0.3">
      <c r="BG13439" s="387"/>
      <c r="BH13439" s="386"/>
      <c r="BI13439" s="386"/>
      <c r="BJ13439" s="46"/>
    </row>
    <row r="13440" spans="59:62" x14ac:dyDescent="0.3">
      <c r="BG13440" s="387"/>
      <c r="BH13440" s="386"/>
      <c r="BI13440" s="386"/>
      <c r="BJ13440" s="46"/>
    </row>
    <row r="13441" spans="59:62" x14ac:dyDescent="0.3">
      <c r="BG13441" s="387"/>
      <c r="BH13441" s="386"/>
      <c r="BI13441" s="386"/>
      <c r="BJ13441" s="46"/>
    </row>
    <row r="13442" spans="59:62" x14ac:dyDescent="0.3">
      <c r="BG13442" s="387"/>
      <c r="BH13442" s="386"/>
      <c r="BI13442" s="386"/>
      <c r="BJ13442" s="46"/>
    </row>
    <row r="13443" spans="59:62" x14ac:dyDescent="0.3">
      <c r="BG13443" s="387"/>
      <c r="BH13443" s="386"/>
      <c r="BI13443" s="386"/>
      <c r="BJ13443" s="46"/>
    </row>
    <row r="13444" spans="59:62" x14ac:dyDescent="0.3">
      <c r="BG13444" s="387"/>
      <c r="BH13444" s="386"/>
      <c r="BI13444" s="386"/>
      <c r="BJ13444" s="46"/>
    </row>
    <row r="13445" spans="59:62" x14ac:dyDescent="0.3">
      <c r="BG13445" s="387"/>
      <c r="BH13445" s="386"/>
      <c r="BI13445" s="386"/>
      <c r="BJ13445" s="46"/>
    </row>
    <row r="13446" spans="59:62" x14ac:dyDescent="0.3">
      <c r="BG13446" s="387"/>
      <c r="BH13446" s="386"/>
      <c r="BI13446" s="386"/>
      <c r="BJ13446" s="46"/>
    </row>
    <row r="13447" spans="59:62" x14ac:dyDescent="0.3">
      <c r="BG13447" s="387"/>
      <c r="BH13447" s="386"/>
      <c r="BI13447" s="386"/>
      <c r="BJ13447" s="46"/>
    </row>
    <row r="13448" spans="59:62" x14ac:dyDescent="0.3">
      <c r="BG13448" s="387"/>
      <c r="BH13448" s="386"/>
      <c r="BI13448" s="386"/>
      <c r="BJ13448" s="46"/>
    </row>
    <row r="13449" spans="59:62" x14ac:dyDescent="0.3">
      <c r="BG13449" s="387"/>
      <c r="BH13449" s="386"/>
      <c r="BI13449" s="386"/>
      <c r="BJ13449" s="46"/>
    </row>
    <row r="13450" spans="59:62" x14ac:dyDescent="0.3">
      <c r="BG13450" s="387"/>
      <c r="BH13450" s="386"/>
      <c r="BI13450" s="386"/>
      <c r="BJ13450" s="46"/>
    </row>
    <row r="13451" spans="59:62" x14ac:dyDescent="0.3">
      <c r="BG13451" s="387"/>
      <c r="BH13451" s="386"/>
      <c r="BI13451" s="386"/>
      <c r="BJ13451" s="46"/>
    </row>
    <row r="13452" spans="59:62" x14ac:dyDescent="0.3">
      <c r="BG13452" s="387"/>
      <c r="BH13452" s="386"/>
      <c r="BI13452" s="386"/>
      <c r="BJ13452" s="46"/>
    </row>
    <row r="13453" spans="59:62" x14ac:dyDescent="0.3">
      <c r="BG13453" s="387"/>
      <c r="BH13453" s="386"/>
      <c r="BI13453" s="386"/>
      <c r="BJ13453" s="46"/>
    </row>
    <row r="13454" spans="59:62" x14ac:dyDescent="0.3">
      <c r="BG13454" s="387"/>
      <c r="BH13454" s="386"/>
      <c r="BI13454" s="386"/>
      <c r="BJ13454" s="46"/>
    </row>
    <row r="13455" spans="59:62" x14ac:dyDescent="0.3">
      <c r="BG13455" s="387"/>
      <c r="BH13455" s="386"/>
      <c r="BI13455" s="386"/>
      <c r="BJ13455" s="46"/>
    </row>
    <row r="13456" spans="59:62" x14ac:dyDescent="0.3">
      <c r="BG13456" s="387"/>
      <c r="BH13456" s="386"/>
      <c r="BI13456" s="386"/>
      <c r="BJ13456" s="46"/>
    </row>
    <row r="13457" spans="59:62" x14ac:dyDescent="0.3">
      <c r="BG13457" s="387"/>
      <c r="BH13457" s="386"/>
      <c r="BI13457" s="386"/>
      <c r="BJ13457" s="46"/>
    </row>
    <row r="13458" spans="59:62" x14ac:dyDescent="0.3">
      <c r="BG13458" s="387"/>
      <c r="BH13458" s="386"/>
      <c r="BI13458" s="386"/>
      <c r="BJ13458" s="46"/>
    </row>
    <row r="13459" spans="59:62" x14ac:dyDescent="0.3">
      <c r="BG13459" s="387"/>
      <c r="BH13459" s="386"/>
      <c r="BI13459" s="386"/>
      <c r="BJ13459" s="46"/>
    </row>
    <row r="13460" spans="59:62" x14ac:dyDescent="0.3">
      <c r="BG13460" s="387"/>
      <c r="BH13460" s="386"/>
      <c r="BI13460" s="386"/>
      <c r="BJ13460" s="46"/>
    </row>
    <row r="13461" spans="59:62" x14ac:dyDescent="0.3">
      <c r="BG13461" s="387"/>
      <c r="BH13461" s="386"/>
      <c r="BI13461" s="386"/>
      <c r="BJ13461" s="46"/>
    </row>
    <row r="13462" spans="59:62" x14ac:dyDescent="0.3">
      <c r="BG13462" s="387"/>
      <c r="BH13462" s="386"/>
      <c r="BI13462" s="386"/>
      <c r="BJ13462" s="46"/>
    </row>
    <row r="13463" spans="59:62" x14ac:dyDescent="0.3">
      <c r="BG13463" s="387"/>
      <c r="BH13463" s="386"/>
      <c r="BI13463" s="386"/>
      <c r="BJ13463" s="46"/>
    </row>
    <row r="13464" spans="59:62" x14ac:dyDescent="0.3">
      <c r="BG13464" s="387"/>
      <c r="BH13464" s="386"/>
      <c r="BI13464" s="386"/>
      <c r="BJ13464" s="46"/>
    </row>
    <row r="13465" spans="59:62" x14ac:dyDescent="0.3">
      <c r="BG13465" s="387"/>
      <c r="BH13465" s="386"/>
      <c r="BI13465" s="386"/>
      <c r="BJ13465" s="46"/>
    </row>
    <row r="13466" spans="59:62" x14ac:dyDescent="0.3">
      <c r="BG13466" s="387"/>
      <c r="BH13466" s="386"/>
      <c r="BI13466" s="386"/>
      <c r="BJ13466" s="46"/>
    </row>
    <row r="13467" spans="59:62" x14ac:dyDescent="0.3">
      <c r="BG13467" s="387"/>
      <c r="BH13467" s="386"/>
      <c r="BI13467" s="386"/>
      <c r="BJ13467" s="46"/>
    </row>
    <row r="13468" spans="59:62" x14ac:dyDescent="0.3">
      <c r="BG13468" s="387"/>
      <c r="BH13468" s="386"/>
      <c r="BI13468" s="386"/>
      <c r="BJ13468" s="46"/>
    </row>
    <row r="13469" spans="59:62" x14ac:dyDescent="0.3">
      <c r="BG13469" s="387"/>
      <c r="BH13469" s="386"/>
      <c r="BI13469" s="386"/>
      <c r="BJ13469" s="46"/>
    </row>
    <row r="13470" spans="59:62" x14ac:dyDescent="0.3">
      <c r="BG13470" s="387"/>
      <c r="BH13470" s="386"/>
      <c r="BI13470" s="386"/>
      <c r="BJ13470" s="46"/>
    </row>
    <row r="13471" spans="59:62" x14ac:dyDescent="0.3">
      <c r="BG13471" s="387"/>
      <c r="BH13471" s="386"/>
      <c r="BI13471" s="386"/>
      <c r="BJ13471" s="46"/>
    </row>
    <row r="13472" spans="59:62" x14ac:dyDescent="0.3">
      <c r="BG13472" s="387"/>
      <c r="BH13472" s="386"/>
      <c r="BI13472" s="386"/>
      <c r="BJ13472" s="46"/>
    </row>
    <row r="13473" spans="59:62" x14ac:dyDescent="0.3">
      <c r="BG13473" s="387"/>
      <c r="BH13473" s="386"/>
      <c r="BI13473" s="386"/>
      <c r="BJ13473" s="46"/>
    </row>
    <row r="13474" spans="59:62" x14ac:dyDescent="0.3">
      <c r="BG13474" s="387"/>
      <c r="BH13474" s="386"/>
      <c r="BI13474" s="386"/>
      <c r="BJ13474" s="46"/>
    </row>
    <row r="13475" spans="59:62" x14ac:dyDescent="0.3">
      <c r="BG13475" s="387"/>
      <c r="BH13475" s="386"/>
      <c r="BI13475" s="386"/>
      <c r="BJ13475" s="46"/>
    </row>
    <row r="13476" spans="59:62" x14ac:dyDescent="0.3">
      <c r="BG13476" s="387"/>
      <c r="BH13476" s="386"/>
      <c r="BI13476" s="386"/>
      <c r="BJ13476" s="46"/>
    </row>
    <row r="13477" spans="59:62" x14ac:dyDescent="0.3">
      <c r="BG13477" s="387"/>
      <c r="BH13477" s="386"/>
      <c r="BI13477" s="386"/>
      <c r="BJ13477" s="46"/>
    </row>
    <row r="13478" spans="59:62" x14ac:dyDescent="0.3">
      <c r="BG13478" s="387"/>
      <c r="BH13478" s="386"/>
      <c r="BI13478" s="386"/>
      <c r="BJ13478" s="46"/>
    </row>
    <row r="13479" spans="59:62" x14ac:dyDescent="0.3">
      <c r="BG13479" s="387"/>
      <c r="BH13479" s="386"/>
      <c r="BI13479" s="386"/>
      <c r="BJ13479" s="46"/>
    </row>
    <row r="13480" spans="59:62" x14ac:dyDescent="0.3">
      <c r="BG13480" s="387"/>
      <c r="BH13480" s="386"/>
      <c r="BI13480" s="386"/>
      <c r="BJ13480" s="46"/>
    </row>
    <row r="13481" spans="59:62" x14ac:dyDescent="0.3">
      <c r="BG13481" s="387"/>
      <c r="BH13481" s="386"/>
      <c r="BI13481" s="386"/>
      <c r="BJ13481" s="46"/>
    </row>
    <row r="13482" spans="59:62" x14ac:dyDescent="0.3">
      <c r="BG13482" s="387"/>
      <c r="BH13482" s="386"/>
      <c r="BI13482" s="386"/>
      <c r="BJ13482" s="46"/>
    </row>
    <row r="13483" spans="59:62" x14ac:dyDescent="0.3">
      <c r="BG13483" s="387"/>
      <c r="BH13483" s="386"/>
      <c r="BI13483" s="386"/>
      <c r="BJ13483" s="46"/>
    </row>
    <row r="13484" spans="59:62" x14ac:dyDescent="0.3">
      <c r="BG13484" s="387"/>
      <c r="BH13484" s="386"/>
      <c r="BI13484" s="386"/>
      <c r="BJ13484" s="46"/>
    </row>
    <row r="13485" spans="59:62" x14ac:dyDescent="0.3">
      <c r="BG13485" s="387"/>
      <c r="BH13485" s="386"/>
      <c r="BI13485" s="386"/>
      <c r="BJ13485" s="46"/>
    </row>
    <row r="13486" spans="59:62" x14ac:dyDescent="0.3">
      <c r="BG13486" s="387"/>
      <c r="BH13486" s="386"/>
      <c r="BI13486" s="386"/>
      <c r="BJ13486" s="46"/>
    </row>
    <row r="13487" spans="59:62" x14ac:dyDescent="0.3">
      <c r="BG13487" s="387"/>
      <c r="BH13487" s="386"/>
      <c r="BI13487" s="386"/>
      <c r="BJ13487" s="46"/>
    </row>
    <row r="13488" spans="59:62" x14ac:dyDescent="0.3">
      <c r="BG13488" s="387"/>
      <c r="BH13488" s="386"/>
      <c r="BI13488" s="386"/>
      <c r="BJ13488" s="46"/>
    </row>
    <row r="13489" spans="59:62" x14ac:dyDescent="0.3">
      <c r="BG13489" s="387"/>
      <c r="BH13489" s="386"/>
      <c r="BI13489" s="386"/>
      <c r="BJ13489" s="46"/>
    </row>
    <row r="13490" spans="59:62" x14ac:dyDescent="0.3">
      <c r="BG13490" s="387"/>
      <c r="BH13490" s="386"/>
      <c r="BI13490" s="386"/>
      <c r="BJ13490" s="46"/>
    </row>
    <row r="13491" spans="59:62" x14ac:dyDescent="0.3">
      <c r="BG13491" s="387"/>
      <c r="BH13491" s="386"/>
      <c r="BI13491" s="386"/>
      <c r="BJ13491" s="46"/>
    </row>
    <row r="13492" spans="59:62" x14ac:dyDescent="0.3">
      <c r="BG13492" s="387"/>
      <c r="BH13492" s="386"/>
      <c r="BI13492" s="386"/>
      <c r="BJ13492" s="46"/>
    </row>
    <row r="13493" spans="59:62" x14ac:dyDescent="0.3">
      <c r="BG13493" s="387"/>
      <c r="BH13493" s="386"/>
      <c r="BI13493" s="386"/>
      <c r="BJ13493" s="46"/>
    </row>
    <row r="13494" spans="59:62" x14ac:dyDescent="0.3">
      <c r="BG13494" s="387"/>
      <c r="BH13494" s="386"/>
      <c r="BI13494" s="386"/>
      <c r="BJ13494" s="46"/>
    </row>
    <row r="13495" spans="59:62" x14ac:dyDescent="0.3">
      <c r="BG13495" s="387"/>
      <c r="BH13495" s="386"/>
      <c r="BI13495" s="386"/>
      <c r="BJ13495" s="46"/>
    </row>
    <row r="13496" spans="59:62" x14ac:dyDescent="0.3">
      <c r="BG13496" s="387"/>
      <c r="BH13496" s="386"/>
      <c r="BI13496" s="386"/>
      <c r="BJ13496" s="46"/>
    </row>
    <row r="13497" spans="59:62" x14ac:dyDescent="0.3">
      <c r="BG13497" s="387"/>
      <c r="BH13497" s="386"/>
      <c r="BI13497" s="386"/>
      <c r="BJ13497" s="46"/>
    </row>
    <row r="13498" spans="59:62" x14ac:dyDescent="0.3">
      <c r="BG13498" s="387"/>
      <c r="BH13498" s="386"/>
      <c r="BI13498" s="386"/>
      <c r="BJ13498" s="46"/>
    </row>
    <row r="13499" spans="59:62" x14ac:dyDescent="0.3">
      <c r="BG13499" s="387"/>
      <c r="BH13499" s="386"/>
      <c r="BI13499" s="386"/>
      <c r="BJ13499" s="46"/>
    </row>
    <row r="13500" spans="59:62" x14ac:dyDescent="0.3">
      <c r="BG13500" s="387"/>
      <c r="BH13500" s="386"/>
      <c r="BI13500" s="386"/>
      <c r="BJ13500" s="46"/>
    </row>
    <row r="13501" spans="59:62" x14ac:dyDescent="0.3">
      <c r="BG13501" s="387"/>
      <c r="BH13501" s="386"/>
      <c r="BI13501" s="386"/>
      <c r="BJ13501" s="46"/>
    </row>
    <row r="13502" spans="59:62" x14ac:dyDescent="0.3">
      <c r="BG13502" s="387"/>
      <c r="BH13502" s="386"/>
      <c r="BI13502" s="386"/>
      <c r="BJ13502" s="46"/>
    </row>
    <row r="13503" spans="59:62" x14ac:dyDescent="0.3">
      <c r="BG13503" s="387"/>
      <c r="BH13503" s="386"/>
      <c r="BI13503" s="386"/>
      <c r="BJ13503" s="46"/>
    </row>
    <row r="13504" spans="59:62" x14ac:dyDescent="0.3">
      <c r="BG13504" s="387"/>
      <c r="BH13504" s="386"/>
      <c r="BI13504" s="386"/>
      <c r="BJ13504" s="46"/>
    </row>
    <row r="13505" spans="59:62" x14ac:dyDescent="0.3">
      <c r="BG13505" s="387"/>
      <c r="BH13505" s="386"/>
      <c r="BI13505" s="386"/>
      <c r="BJ13505" s="46"/>
    </row>
    <row r="13506" spans="59:62" x14ac:dyDescent="0.3">
      <c r="BG13506" s="387"/>
      <c r="BH13506" s="386"/>
      <c r="BI13506" s="386"/>
      <c r="BJ13506" s="46"/>
    </row>
    <row r="13507" spans="59:62" x14ac:dyDescent="0.3">
      <c r="BG13507" s="387"/>
      <c r="BH13507" s="386"/>
      <c r="BI13507" s="386"/>
      <c r="BJ13507" s="46"/>
    </row>
    <row r="13508" spans="59:62" x14ac:dyDescent="0.3">
      <c r="BG13508" s="387"/>
      <c r="BH13508" s="386"/>
      <c r="BI13508" s="386"/>
      <c r="BJ13508" s="46"/>
    </row>
    <row r="13509" spans="59:62" x14ac:dyDescent="0.3">
      <c r="BG13509" s="387"/>
      <c r="BH13509" s="386"/>
      <c r="BI13509" s="386"/>
      <c r="BJ13509" s="46"/>
    </row>
    <row r="13510" spans="59:62" x14ac:dyDescent="0.3">
      <c r="BG13510" s="387"/>
      <c r="BH13510" s="386"/>
      <c r="BI13510" s="386"/>
      <c r="BJ13510" s="46"/>
    </row>
    <row r="13511" spans="59:62" x14ac:dyDescent="0.3">
      <c r="BG13511" s="387"/>
      <c r="BH13511" s="386"/>
      <c r="BI13511" s="386"/>
      <c r="BJ13511" s="46"/>
    </row>
    <row r="13512" spans="59:62" x14ac:dyDescent="0.3">
      <c r="BG13512" s="387"/>
      <c r="BH13512" s="386"/>
      <c r="BI13512" s="386"/>
      <c r="BJ13512" s="46"/>
    </row>
    <row r="13513" spans="59:62" x14ac:dyDescent="0.3">
      <c r="BG13513" s="387"/>
      <c r="BH13513" s="386"/>
      <c r="BI13513" s="386"/>
      <c r="BJ13513" s="46"/>
    </row>
    <row r="13514" spans="59:62" x14ac:dyDescent="0.3">
      <c r="BG13514" s="387"/>
      <c r="BH13514" s="386"/>
      <c r="BI13514" s="386"/>
      <c r="BJ13514" s="46"/>
    </row>
    <row r="13515" spans="59:62" x14ac:dyDescent="0.3">
      <c r="BG13515" s="387"/>
      <c r="BH13515" s="386"/>
      <c r="BI13515" s="386"/>
      <c r="BJ13515" s="46"/>
    </row>
    <row r="13516" spans="59:62" x14ac:dyDescent="0.3">
      <c r="BG13516" s="387"/>
      <c r="BH13516" s="386"/>
      <c r="BI13516" s="386"/>
      <c r="BJ13516" s="46"/>
    </row>
    <row r="13517" spans="59:62" x14ac:dyDescent="0.3">
      <c r="BG13517" s="387"/>
      <c r="BH13517" s="386"/>
      <c r="BI13517" s="386"/>
      <c r="BJ13517" s="46"/>
    </row>
    <row r="13518" spans="59:62" x14ac:dyDescent="0.3">
      <c r="BG13518" s="387"/>
      <c r="BH13518" s="386"/>
      <c r="BI13518" s="386"/>
      <c r="BJ13518" s="46"/>
    </row>
    <row r="13519" spans="59:62" x14ac:dyDescent="0.3">
      <c r="BG13519" s="387"/>
      <c r="BH13519" s="386"/>
      <c r="BI13519" s="386"/>
      <c r="BJ13519" s="46"/>
    </row>
    <row r="13520" spans="59:62" x14ac:dyDescent="0.3">
      <c r="BG13520" s="387"/>
      <c r="BH13520" s="386"/>
      <c r="BI13520" s="386"/>
      <c r="BJ13520" s="46"/>
    </row>
    <row r="13521" spans="59:62" x14ac:dyDescent="0.3">
      <c r="BG13521" s="387"/>
      <c r="BH13521" s="386"/>
      <c r="BI13521" s="386"/>
      <c r="BJ13521" s="46"/>
    </row>
    <row r="13522" spans="59:62" x14ac:dyDescent="0.3">
      <c r="BG13522" s="387"/>
      <c r="BH13522" s="386"/>
      <c r="BI13522" s="386"/>
      <c r="BJ13522" s="46"/>
    </row>
    <row r="13523" spans="59:62" x14ac:dyDescent="0.3">
      <c r="BG13523" s="387"/>
      <c r="BH13523" s="386"/>
      <c r="BI13523" s="386"/>
      <c r="BJ13523" s="46"/>
    </row>
    <row r="13524" spans="59:62" x14ac:dyDescent="0.3">
      <c r="BG13524" s="387"/>
      <c r="BH13524" s="386"/>
      <c r="BI13524" s="386"/>
      <c r="BJ13524" s="46"/>
    </row>
    <row r="13525" spans="59:62" x14ac:dyDescent="0.3">
      <c r="BG13525" s="387"/>
      <c r="BH13525" s="386"/>
      <c r="BI13525" s="386"/>
      <c r="BJ13525" s="46"/>
    </row>
    <row r="13526" spans="59:62" x14ac:dyDescent="0.3">
      <c r="BG13526" s="387"/>
      <c r="BH13526" s="386"/>
      <c r="BI13526" s="386"/>
      <c r="BJ13526" s="46"/>
    </row>
    <row r="13527" spans="59:62" x14ac:dyDescent="0.3">
      <c r="BG13527" s="387"/>
      <c r="BH13527" s="386"/>
      <c r="BI13527" s="386"/>
      <c r="BJ13527" s="46"/>
    </row>
    <row r="13528" spans="59:62" x14ac:dyDescent="0.3">
      <c r="BG13528" s="387"/>
      <c r="BH13528" s="386"/>
      <c r="BI13528" s="386"/>
      <c r="BJ13528" s="46"/>
    </row>
    <row r="13529" spans="59:62" x14ac:dyDescent="0.3">
      <c r="BG13529" s="387"/>
      <c r="BH13529" s="386"/>
      <c r="BI13529" s="386"/>
      <c r="BJ13529" s="46"/>
    </row>
    <row r="13530" spans="59:62" x14ac:dyDescent="0.3">
      <c r="BG13530" s="387"/>
      <c r="BH13530" s="386"/>
      <c r="BI13530" s="386"/>
      <c r="BJ13530" s="46"/>
    </row>
    <row r="13531" spans="59:62" x14ac:dyDescent="0.3">
      <c r="BG13531" s="387"/>
      <c r="BH13531" s="386"/>
      <c r="BI13531" s="386"/>
      <c r="BJ13531" s="46"/>
    </row>
    <row r="13532" spans="59:62" x14ac:dyDescent="0.3">
      <c r="BG13532" s="387"/>
      <c r="BH13532" s="386"/>
      <c r="BI13532" s="386"/>
      <c r="BJ13532" s="46"/>
    </row>
    <row r="13533" spans="59:62" x14ac:dyDescent="0.3">
      <c r="BG13533" s="387"/>
      <c r="BH13533" s="386"/>
      <c r="BI13533" s="386"/>
      <c r="BJ13533" s="46"/>
    </row>
    <row r="13534" spans="59:62" x14ac:dyDescent="0.3">
      <c r="BG13534" s="387"/>
      <c r="BH13534" s="386"/>
      <c r="BI13534" s="386"/>
      <c r="BJ13534" s="46"/>
    </row>
    <row r="13535" spans="59:62" x14ac:dyDescent="0.3">
      <c r="BG13535" s="387"/>
      <c r="BH13535" s="386"/>
      <c r="BI13535" s="386"/>
      <c r="BJ13535" s="46"/>
    </row>
    <row r="13536" spans="59:62" x14ac:dyDescent="0.3">
      <c r="BG13536" s="387"/>
      <c r="BH13536" s="386"/>
      <c r="BI13536" s="386"/>
      <c r="BJ13536" s="46"/>
    </row>
    <row r="13537" spans="59:62" x14ac:dyDescent="0.3">
      <c r="BG13537" s="387"/>
      <c r="BH13537" s="386"/>
      <c r="BI13537" s="386"/>
      <c r="BJ13537" s="46"/>
    </row>
    <row r="13538" spans="59:62" x14ac:dyDescent="0.3">
      <c r="BG13538" s="387"/>
      <c r="BH13538" s="386"/>
      <c r="BI13538" s="386"/>
      <c r="BJ13538" s="46"/>
    </row>
    <row r="13539" spans="59:62" x14ac:dyDescent="0.3">
      <c r="BG13539" s="387"/>
      <c r="BH13539" s="386"/>
      <c r="BI13539" s="386"/>
      <c r="BJ13539" s="46"/>
    </row>
    <row r="13540" spans="59:62" x14ac:dyDescent="0.3">
      <c r="BG13540" s="387"/>
      <c r="BH13540" s="386"/>
      <c r="BI13540" s="386"/>
      <c r="BJ13540" s="46"/>
    </row>
    <row r="13541" spans="59:62" x14ac:dyDescent="0.3">
      <c r="BG13541" s="387"/>
      <c r="BH13541" s="386"/>
      <c r="BI13541" s="386"/>
      <c r="BJ13541" s="46"/>
    </row>
    <row r="13542" spans="59:62" x14ac:dyDescent="0.3">
      <c r="BG13542" s="387"/>
      <c r="BH13542" s="386"/>
      <c r="BI13542" s="386"/>
      <c r="BJ13542" s="46"/>
    </row>
    <row r="13543" spans="59:62" x14ac:dyDescent="0.3">
      <c r="BG13543" s="387"/>
      <c r="BH13543" s="386"/>
      <c r="BI13543" s="386"/>
      <c r="BJ13543" s="46"/>
    </row>
    <row r="13544" spans="59:62" x14ac:dyDescent="0.3">
      <c r="BG13544" s="387"/>
      <c r="BH13544" s="386"/>
      <c r="BI13544" s="386"/>
      <c r="BJ13544" s="46"/>
    </row>
    <row r="13545" spans="59:62" x14ac:dyDescent="0.3">
      <c r="BG13545" s="387"/>
      <c r="BH13545" s="386"/>
      <c r="BI13545" s="386"/>
      <c r="BJ13545" s="46"/>
    </row>
    <row r="13546" spans="59:62" x14ac:dyDescent="0.3">
      <c r="BG13546" s="387"/>
      <c r="BH13546" s="386"/>
      <c r="BI13546" s="386"/>
      <c r="BJ13546" s="46"/>
    </row>
    <row r="13547" spans="59:62" x14ac:dyDescent="0.3">
      <c r="BG13547" s="387"/>
      <c r="BH13547" s="386"/>
      <c r="BI13547" s="386"/>
      <c r="BJ13547" s="46"/>
    </row>
    <row r="13548" spans="59:62" x14ac:dyDescent="0.3">
      <c r="BG13548" s="387"/>
      <c r="BH13548" s="386"/>
      <c r="BI13548" s="386"/>
      <c r="BJ13548" s="46"/>
    </row>
    <row r="13549" spans="59:62" x14ac:dyDescent="0.3">
      <c r="BG13549" s="387"/>
      <c r="BH13549" s="386"/>
      <c r="BI13549" s="386"/>
      <c r="BJ13549" s="46"/>
    </row>
    <row r="13550" spans="59:62" x14ac:dyDescent="0.3">
      <c r="BG13550" s="387"/>
      <c r="BH13550" s="386"/>
      <c r="BI13550" s="386"/>
      <c r="BJ13550" s="46"/>
    </row>
    <row r="13551" spans="59:62" x14ac:dyDescent="0.3">
      <c r="BG13551" s="387"/>
      <c r="BH13551" s="386"/>
      <c r="BI13551" s="386"/>
      <c r="BJ13551" s="46"/>
    </row>
    <row r="13552" spans="59:62" x14ac:dyDescent="0.3">
      <c r="BG13552" s="387"/>
      <c r="BH13552" s="386"/>
      <c r="BI13552" s="386"/>
      <c r="BJ13552" s="46"/>
    </row>
    <row r="13553" spans="59:62" x14ac:dyDescent="0.3">
      <c r="BG13553" s="387"/>
      <c r="BH13553" s="386"/>
      <c r="BI13553" s="386"/>
      <c r="BJ13553" s="46"/>
    </row>
    <row r="13554" spans="59:62" x14ac:dyDescent="0.3">
      <c r="BG13554" s="387"/>
      <c r="BH13554" s="386"/>
      <c r="BI13554" s="386"/>
      <c r="BJ13554" s="46"/>
    </row>
    <row r="13555" spans="59:62" x14ac:dyDescent="0.3">
      <c r="BG13555" s="387"/>
      <c r="BH13555" s="386"/>
      <c r="BI13555" s="386"/>
      <c r="BJ13555" s="46"/>
    </row>
    <row r="13556" spans="59:62" x14ac:dyDescent="0.3">
      <c r="BG13556" s="387"/>
      <c r="BH13556" s="386"/>
      <c r="BI13556" s="386"/>
      <c r="BJ13556" s="46"/>
    </row>
    <row r="13557" spans="59:62" x14ac:dyDescent="0.3">
      <c r="BG13557" s="387"/>
      <c r="BH13557" s="386"/>
      <c r="BI13557" s="386"/>
      <c r="BJ13557" s="46"/>
    </row>
    <row r="13558" spans="59:62" x14ac:dyDescent="0.3">
      <c r="BG13558" s="387"/>
      <c r="BH13558" s="386"/>
      <c r="BI13558" s="386"/>
      <c r="BJ13558" s="46"/>
    </row>
    <row r="13559" spans="59:62" x14ac:dyDescent="0.3">
      <c r="BG13559" s="387"/>
      <c r="BH13559" s="386"/>
      <c r="BI13559" s="386"/>
      <c r="BJ13559" s="46"/>
    </row>
    <row r="13560" spans="59:62" x14ac:dyDescent="0.3">
      <c r="BG13560" s="387"/>
      <c r="BH13560" s="386"/>
      <c r="BI13560" s="386"/>
      <c r="BJ13560" s="46"/>
    </row>
    <row r="13561" spans="59:62" x14ac:dyDescent="0.3">
      <c r="BG13561" s="387"/>
      <c r="BH13561" s="386"/>
      <c r="BI13561" s="386"/>
      <c r="BJ13561" s="46"/>
    </row>
    <row r="13562" spans="59:62" x14ac:dyDescent="0.3">
      <c r="BG13562" s="387"/>
      <c r="BH13562" s="386"/>
      <c r="BI13562" s="386"/>
      <c r="BJ13562" s="46"/>
    </row>
    <row r="13563" spans="59:62" x14ac:dyDescent="0.3">
      <c r="BG13563" s="387"/>
      <c r="BH13563" s="386"/>
      <c r="BI13563" s="386"/>
      <c r="BJ13563" s="46"/>
    </row>
    <row r="13564" spans="59:62" x14ac:dyDescent="0.3">
      <c r="BG13564" s="387"/>
      <c r="BH13564" s="386"/>
      <c r="BI13564" s="386"/>
      <c r="BJ13564" s="46"/>
    </row>
    <row r="13565" spans="59:62" x14ac:dyDescent="0.3">
      <c r="BG13565" s="387"/>
      <c r="BH13565" s="386"/>
      <c r="BI13565" s="386"/>
      <c r="BJ13565" s="46"/>
    </row>
    <row r="13566" spans="59:62" x14ac:dyDescent="0.3">
      <c r="BG13566" s="387"/>
      <c r="BH13566" s="386"/>
      <c r="BI13566" s="386"/>
      <c r="BJ13566" s="46"/>
    </row>
    <row r="13567" spans="59:62" x14ac:dyDescent="0.3">
      <c r="BG13567" s="387"/>
      <c r="BH13567" s="386"/>
      <c r="BI13567" s="386"/>
      <c r="BJ13567" s="46"/>
    </row>
    <row r="13568" spans="59:62" x14ac:dyDescent="0.3">
      <c r="BG13568" s="387"/>
      <c r="BH13568" s="386"/>
      <c r="BI13568" s="386"/>
      <c r="BJ13568" s="46"/>
    </row>
    <row r="13569" spans="59:62" x14ac:dyDescent="0.3">
      <c r="BG13569" s="387"/>
      <c r="BH13569" s="386"/>
      <c r="BI13569" s="386"/>
      <c r="BJ13569" s="46"/>
    </row>
    <row r="13570" spans="59:62" x14ac:dyDescent="0.3">
      <c r="BG13570" s="387"/>
      <c r="BH13570" s="386"/>
      <c r="BI13570" s="386"/>
      <c r="BJ13570" s="46"/>
    </row>
    <row r="13571" spans="59:62" x14ac:dyDescent="0.3">
      <c r="BG13571" s="387"/>
      <c r="BH13571" s="386"/>
      <c r="BI13571" s="386"/>
      <c r="BJ13571" s="46"/>
    </row>
    <row r="13572" spans="59:62" x14ac:dyDescent="0.3">
      <c r="BG13572" s="387"/>
      <c r="BH13572" s="386"/>
      <c r="BI13572" s="386"/>
      <c r="BJ13572" s="46"/>
    </row>
    <row r="13573" spans="59:62" x14ac:dyDescent="0.3">
      <c r="BG13573" s="387"/>
      <c r="BH13573" s="386"/>
      <c r="BI13573" s="386"/>
      <c r="BJ13573" s="46"/>
    </row>
    <row r="13574" spans="59:62" x14ac:dyDescent="0.3">
      <c r="BG13574" s="387"/>
      <c r="BH13574" s="386"/>
      <c r="BI13574" s="386"/>
      <c r="BJ13574" s="46"/>
    </row>
    <row r="13575" spans="59:62" x14ac:dyDescent="0.3">
      <c r="BG13575" s="387"/>
      <c r="BH13575" s="386"/>
      <c r="BI13575" s="386"/>
      <c r="BJ13575" s="46"/>
    </row>
    <row r="13576" spans="59:62" x14ac:dyDescent="0.3">
      <c r="BG13576" s="387"/>
      <c r="BH13576" s="386"/>
      <c r="BI13576" s="386"/>
      <c r="BJ13576" s="46"/>
    </row>
    <row r="13577" spans="59:62" x14ac:dyDescent="0.3">
      <c r="BG13577" s="387"/>
      <c r="BH13577" s="386"/>
      <c r="BI13577" s="386"/>
      <c r="BJ13577" s="46"/>
    </row>
    <row r="13578" spans="59:62" x14ac:dyDescent="0.3">
      <c r="BG13578" s="387"/>
      <c r="BH13578" s="386"/>
      <c r="BI13578" s="386"/>
      <c r="BJ13578" s="46"/>
    </row>
    <row r="13579" spans="59:62" x14ac:dyDescent="0.3">
      <c r="BG13579" s="387"/>
      <c r="BH13579" s="386"/>
      <c r="BI13579" s="386"/>
      <c r="BJ13579" s="46"/>
    </row>
    <row r="13580" spans="59:62" x14ac:dyDescent="0.3">
      <c r="BG13580" s="387"/>
      <c r="BH13580" s="386"/>
      <c r="BI13580" s="386"/>
      <c r="BJ13580" s="46"/>
    </row>
    <row r="13581" spans="59:62" x14ac:dyDescent="0.3">
      <c r="BG13581" s="387"/>
      <c r="BH13581" s="386"/>
      <c r="BI13581" s="386"/>
      <c r="BJ13581" s="46"/>
    </row>
    <row r="13582" spans="59:62" x14ac:dyDescent="0.3">
      <c r="BG13582" s="387"/>
      <c r="BH13582" s="386"/>
      <c r="BI13582" s="386"/>
      <c r="BJ13582" s="46"/>
    </row>
    <row r="13583" spans="59:62" x14ac:dyDescent="0.3">
      <c r="BG13583" s="387"/>
      <c r="BH13583" s="386"/>
      <c r="BI13583" s="386"/>
      <c r="BJ13583" s="46"/>
    </row>
    <row r="13584" spans="59:62" x14ac:dyDescent="0.3">
      <c r="BG13584" s="387"/>
      <c r="BH13584" s="386"/>
      <c r="BI13584" s="386"/>
      <c r="BJ13584" s="46"/>
    </row>
    <row r="13585" spans="59:62" x14ac:dyDescent="0.3">
      <c r="BG13585" s="387"/>
      <c r="BH13585" s="386"/>
      <c r="BI13585" s="386"/>
      <c r="BJ13585" s="46"/>
    </row>
    <row r="13586" spans="59:62" x14ac:dyDescent="0.3">
      <c r="BG13586" s="387"/>
      <c r="BH13586" s="386"/>
      <c r="BI13586" s="386"/>
      <c r="BJ13586" s="46"/>
    </row>
    <row r="13587" spans="59:62" x14ac:dyDescent="0.3">
      <c r="BG13587" s="387"/>
      <c r="BH13587" s="386"/>
      <c r="BI13587" s="386"/>
      <c r="BJ13587" s="46"/>
    </row>
    <row r="13588" spans="59:62" x14ac:dyDescent="0.3">
      <c r="BG13588" s="387"/>
      <c r="BH13588" s="386"/>
      <c r="BI13588" s="386"/>
      <c r="BJ13588" s="46"/>
    </row>
    <row r="13589" spans="59:62" x14ac:dyDescent="0.3">
      <c r="BG13589" s="387"/>
      <c r="BH13589" s="386"/>
      <c r="BI13589" s="386"/>
      <c r="BJ13589" s="46"/>
    </row>
    <row r="13590" spans="59:62" x14ac:dyDescent="0.3">
      <c r="BG13590" s="387"/>
      <c r="BH13590" s="386"/>
      <c r="BI13590" s="386"/>
      <c r="BJ13590" s="46"/>
    </row>
    <row r="13591" spans="59:62" x14ac:dyDescent="0.3">
      <c r="BG13591" s="387"/>
      <c r="BH13591" s="386"/>
      <c r="BI13591" s="386"/>
      <c r="BJ13591" s="46"/>
    </row>
    <row r="13592" spans="59:62" x14ac:dyDescent="0.3">
      <c r="BG13592" s="387"/>
      <c r="BH13592" s="386"/>
      <c r="BI13592" s="386"/>
      <c r="BJ13592" s="46"/>
    </row>
    <row r="13593" spans="59:62" x14ac:dyDescent="0.3">
      <c r="BG13593" s="387"/>
      <c r="BH13593" s="386"/>
      <c r="BI13593" s="386"/>
      <c r="BJ13593" s="46"/>
    </row>
    <row r="13594" spans="59:62" x14ac:dyDescent="0.3">
      <c r="BG13594" s="387"/>
      <c r="BH13594" s="386"/>
      <c r="BI13594" s="386"/>
      <c r="BJ13594" s="46"/>
    </row>
    <row r="13595" spans="59:62" x14ac:dyDescent="0.3">
      <c r="BG13595" s="387"/>
      <c r="BH13595" s="386"/>
      <c r="BI13595" s="386"/>
      <c r="BJ13595" s="46"/>
    </row>
    <row r="13596" spans="59:62" x14ac:dyDescent="0.3">
      <c r="BG13596" s="387"/>
      <c r="BH13596" s="386"/>
      <c r="BI13596" s="386"/>
      <c r="BJ13596" s="46"/>
    </row>
    <row r="13597" spans="59:62" x14ac:dyDescent="0.3">
      <c r="BG13597" s="387"/>
      <c r="BH13597" s="386"/>
      <c r="BI13597" s="386"/>
      <c r="BJ13597" s="46"/>
    </row>
    <row r="13598" spans="59:62" x14ac:dyDescent="0.3">
      <c r="BG13598" s="387"/>
      <c r="BH13598" s="386"/>
      <c r="BI13598" s="386"/>
      <c r="BJ13598" s="46"/>
    </row>
    <row r="13599" spans="59:62" x14ac:dyDescent="0.3">
      <c r="BG13599" s="387"/>
      <c r="BH13599" s="386"/>
      <c r="BI13599" s="386"/>
      <c r="BJ13599" s="46"/>
    </row>
    <row r="13600" spans="59:62" x14ac:dyDescent="0.3">
      <c r="BG13600" s="387"/>
      <c r="BH13600" s="386"/>
      <c r="BI13600" s="386"/>
      <c r="BJ13600" s="46"/>
    </row>
    <row r="13601" spans="59:62" x14ac:dyDescent="0.3">
      <c r="BG13601" s="387"/>
      <c r="BH13601" s="386"/>
      <c r="BI13601" s="386"/>
      <c r="BJ13601" s="46"/>
    </row>
    <row r="13602" spans="59:62" x14ac:dyDescent="0.3">
      <c r="BG13602" s="387"/>
      <c r="BH13602" s="386"/>
      <c r="BI13602" s="386"/>
      <c r="BJ13602" s="46"/>
    </row>
    <row r="13603" spans="59:62" x14ac:dyDescent="0.3">
      <c r="BG13603" s="387"/>
      <c r="BH13603" s="386"/>
      <c r="BI13603" s="386"/>
      <c r="BJ13603" s="46"/>
    </row>
    <row r="13604" spans="59:62" x14ac:dyDescent="0.3">
      <c r="BG13604" s="387"/>
      <c r="BH13604" s="386"/>
      <c r="BI13604" s="386"/>
      <c r="BJ13604" s="46"/>
    </row>
    <row r="13605" spans="59:62" x14ac:dyDescent="0.3">
      <c r="BG13605" s="387"/>
      <c r="BH13605" s="386"/>
      <c r="BI13605" s="386"/>
      <c r="BJ13605" s="46"/>
    </row>
    <row r="13606" spans="59:62" x14ac:dyDescent="0.3">
      <c r="BG13606" s="387"/>
      <c r="BH13606" s="386"/>
      <c r="BI13606" s="386"/>
      <c r="BJ13606" s="46"/>
    </row>
    <row r="13607" spans="59:62" x14ac:dyDescent="0.3">
      <c r="BG13607" s="387"/>
      <c r="BH13607" s="386"/>
      <c r="BI13607" s="386"/>
      <c r="BJ13607" s="46"/>
    </row>
    <row r="13608" spans="59:62" x14ac:dyDescent="0.3">
      <c r="BG13608" s="387"/>
      <c r="BH13608" s="386"/>
      <c r="BI13608" s="386"/>
      <c r="BJ13608" s="46"/>
    </row>
    <row r="13609" spans="59:62" x14ac:dyDescent="0.3">
      <c r="BG13609" s="387"/>
      <c r="BH13609" s="386"/>
      <c r="BI13609" s="386"/>
      <c r="BJ13609" s="46"/>
    </row>
    <row r="13610" spans="59:62" x14ac:dyDescent="0.3">
      <c r="BG13610" s="387"/>
      <c r="BH13610" s="386"/>
      <c r="BI13610" s="386"/>
      <c r="BJ13610" s="46"/>
    </row>
    <row r="13611" spans="59:62" x14ac:dyDescent="0.3">
      <c r="BG13611" s="387"/>
      <c r="BH13611" s="386"/>
      <c r="BI13611" s="386"/>
      <c r="BJ13611" s="46"/>
    </row>
    <row r="13612" spans="59:62" x14ac:dyDescent="0.3">
      <c r="BG13612" s="387"/>
      <c r="BH13612" s="386"/>
      <c r="BI13612" s="386"/>
      <c r="BJ13612" s="46"/>
    </row>
    <row r="13613" spans="59:62" x14ac:dyDescent="0.3">
      <c r="BG13613" s="387"/>
      <c r="BH13613" s="386"/>
      <c r="BI13613" s="386"/>
      <c r="BJ13613" s="46"/>
    </row>
    <row r="13614" spans="59:62" x14ac:dyDescent="0.3">
      <c r="BG13614" s="387"/>
      <c r="BH13614" s="386"/>
      <c r="BI13614" s="386"/>
      <c r="BJ13614" s="46"/>
    </row>
    <row r="13615" spans="59:62" x14ac:dyDescent="0.3">
      <c r="BG13615" s="387"/>
      <c r="BH13615" s="386"/>
      <c r="BI13615" s="386"/>
      <c r="BJ13615" s="46"/>
    </row>
    <row r="13616" spans="59:62" x14ac:dyDescent="0.3">
      <c r="BG13616" s="387"/>
      <c r="BH13616" s="386"/>
      <c r="BI13616" s="386"/>
      <c r="BJ13616" s="46"/>
    </row>
    <row r="13617" spans="59:62" x14ac:dyDescent="0.3">
      <c r="BG13617" s="387"/>
      <c r="BH13617" s="386"/>
      <c r="BI13617" s="386"/>
      <c r="BJ13617" s="46"/>
    </row>
    <row r="13618" spans="59:62" x14ac:dyDescent="0.3">
      <c r="BG13618" s="387"/>
      <c r="BH13618" s="386"/>
      <c r="BI13618" s="386"/>
      <c r="BJ13618" s="46"/>
    </row>
    <row r="13619" spans="59:62" x14ac:dyDescent="0.3">
      <c r="BG13619" s="387"/>
      <c r="BH13619" s="386"/>
      <c r="BI13619" s="386"/>
      <c r="BJ13619" s="46"/>
    </row>
    <row r="13620" spans="59:62" x14ac:dyDescent="0.3">
      <c r="BG13620" s="387"/>
      <c r="BH13620" s="386"/>
      <c r="BI13620" s="386"/>
      <c r="BJ13620" s="46"/>
    </row>
    <row r="13621" spans="59:62" x14ac:dyDescent="0.3">
      <c r="BG13621" s="387"/>
      <c r="BH13621" s="386"/>
      <c r="BI13621" s="386"/>
      <c r="BJ13621" s="46"/>
    </row>
    <row r="13622" spans="59:62" x14ac:dyDescent="0.3">
      <c r="BG13622" s="387"/>
      <c r="BH13622" s="386"/>
      <c r="BI13622" s="386"/>
      <c r="BJ13622" s="46"/>
    </row>
    <row r="13623" spans="59:62" x14ac:dyDescent="0.3">
      <c r="BG13623" s="387"/>
      <c r="BH13623" s="386"/>
      <c r="BI13623" s="386"/>
      <c r="BJ13623" s="46"/>
    </row>
    <row r="13624" spans="59:62" x14ac:dyDescent="0.3">
      <c r="BG13624" s="387"/>
      <c r="BH13624" s="386"/>
      <c r="BI13624" s="386"/>
      <c r="BJ13624" s="46"/>
    </row>
    <row r="13625" spans="59:62" x14ac:dyDescent="0.3">
      <c r="BG13625" s="387"/>
      <c r="BH13625" s="386"/>
      <c r="BI13625" s="386"/>
      <c r="BJ13625" s="46"/>
    </row>
    <row r="13626" spans="59:62" x14ac:dyDescent="0.3">
      <c r="BG13626" s="387"/>
      <c r="BH13626" s="386"/>
      <c r="BI13626" s="386"/>
      <c r="BJ13626" s="46"/>
    </row>
    <row r="13627" spans="59:62" x14ac:dyDescent="0.3">
      <c r="BG13627" s="387"/>
      <c r="BH13627" s="386"/>
      <c r="BI13627" s="386"/>
      <c r="BJ13627" s="46"/>
    </row>
    <row r="13628" spans="59:62" x14ac:dyDescent="0.3">
      <c r="BG13628" s="387"/>
      <c r="BH13628" s="386"/>
      <c r="BI13628" s="386"/>
      <c r="BJ13628" s="46"/>
    </row>
    <row r="13629" spans="59:62" x14ac:dyDescent="0.3">
      <c r="BG13629" s="387"/>
      <c r="BH13629" s="386"/>
      <c r="BI13629" s="386"/>
      <c r="BJ13629" s="46"/>
    </row>
    <row r="13630" spans="59:62" x14ac:dyDescent="0.3">
      <c r="BG13630" s="387"/>
      <c r="BH13630" s="386"/>
      <c r="BI13630" s="386"/>
      <c r="BJ13630" s="46"/>
    </row>
    <row r="13631" spans="59:62" x14ac:dyDescent="0.3">
      <c r="BG13631" s="387"/>
      <c r="BH13631" s="386"/>
      <c r="BI13631" s="386"/>
      <c r="BJ13631" s="46"/>
    </row>
    <row r="13632" spans="59:62" x14ac:dyDescent="0.3">
      <c r="BG13632" s="387"/>
      <c r="BH13632" s="386"/>
      <c r="BI13632" s="386"/>
      <c r="BJ13632" s="46"/>
    </row>
    <row r="13633" spans="59:62" x14ac:dyDescent="0.3">
      <c r="BG13633" s="387"/>
      <c r="BH13633" s="386"/>
      <c r="BI13633" s="386"/>
      <c r="BJ13633" s="46"/>
    </row>
    <row r="13634" spans="59:62" x14ac:dyDescent="0.3">
      <c r="BG13634" s="387"/>
      <c r="BH13634" s="386"/>
      <c r="BI13634" s="386"/>
      <c r="BJ13634" s="46"/>
    </row>
    <row r="13635" spans="59:62" x14ac:dyDescent="0.3">
      <c r="BG13635" s="387"/>
      <c r="BH13635" s="386"/>
      <c r="BI13635" s="386"/>
      <c r="BJ13635" s="46"/>
    </row>
    <row r="13636" spans="59:62" x14ac:dyDescent="0.3">
      <c r="BG13636" s="387"/>
      <c r="BH13636" s="386"/>
      <c r="BI13636" s="386"/>
      <c r="BJ13636" s="46"/>
    </row>
    <row r="13637" spans="59:62" x14ac:dyDescent="0.3">
      <c r="BG13637" s="387"/>
      <c r="BH13637" s="386"/>
      <c r="BI13637" s="386"/>
      <c r="BJ13637" s="46"/>
    </row>
    <row r="13638" spans="59:62" x14ac:dyDescent="0.3">
      <c r="BG13638" s="387"/>
      <c r="BH13638" s="386"/>
      <c r="BI13638" s="386"/>
      <c r="BJ13638" s="46"/>
    </row>
    <row r="13639" spans="59:62" x14ac:dyDescent="0.3">
      <c r="BG13639" s="387"/>
      <c r="BH13639" s="386"/>
      <c r="BI13639" s="386"/>
      <c r="BJ13639" s="46"/>
    </row>
    <row r="13640" spans="59:62" x14ac:dyDescent="0.3">
      <c r="BG13640" s="387"/>
      <c r="BH13640" s="386"/>
      <c r="BI13640" s="386"/>
      <c r="BJ13640" s="46"/>
    </row>
    <row r="13641" spans="59:62" x14ac:dyDescent="0.3">
      <c r="BG13641" s="387"/>
      <c r="BH13641" s="386"/>
      <c r="BI13641" s="386"/>
      <c r="BJ13641" s="46"/>
    </row>
    <row r="13642" spans="59:62" x14ac:dyDescent="0.3">
      <c r="BG13642" s="387"/>
      <c r="BH13642" s="386"/>
      <c r="BI13642" s="386"/>
      <c r="BJ13642" s="46"/>
    </row>
    <row r="13643" spans="59:62" x14ac:dyDescent="0.3">
      <c r="BG13643" s="387"/>
      <c r="BH13643" s="386"/>
      <c r="BI13643" s="386"/>
      <c r="BJ13643" s="46"/>
    </row>
    <row r="13644" spans="59:62" x14ac:dyDescent="0.3">
      <c r="BG13644" s="387"/>
      <c r="BH13644" s="386"/>
      <c r="BI13644" s="386"/>
      <c r="BJ13644" s="46"/>
    </row>
    <row r="13645" spans="59:62" x14ac:dyDescent="0.3">
      <c r="BG13645" s="387"/>
      <c r="BH13645" s="386"/>
      <c r="BI13645" s="386"/>
      <c r="BJ13645" s="46"/>
    </row>
    <row r="13646" spans="59:62" x14ac:dyDescent="0.3">
      <c r="BG13646" s="387"/>
      <c r="BH13646" s="386"/>
      <c r="BI13646" s="386"/>
      <c r="BJ13646" s="46"/>
    </row>
    <row r="13647" spans="59:62" x14ac:dyDescent="0.3">
      <c r="BG13647" s="387"/>
      <c r="BH13647" s="386"/>
      <c r="BI13647" s="386"/>
      <c r="BJ13647" s="46"/>
    </row>
    <row r="13648" spans="59:62" x14ac:dyDescent="0.3">
      <c r="BG13648" s="387"/>
      <c r="BH13648" s="386"/>
      <c r="BI13648" s="386"/>
      <c r="BJ13648" s="46"/>
    </row>
    <row r="13649" spans="59:62" x14ac:dyDescent="0.3">
      <c r="BG13649" s="387"/>
      <c r="BH13649" s="386"/>
      <c r="BI13649" s="386"/>
      <c r="BJ13649" s="46"/>
    </row>
    <row r="13650" spans="59:62" x14ac:dyDescent="0.3">
      <c r="BG13650" s="387"/>
      <c r="BH13650" s="386"/>
      <c r="BI13650" s="386"/>
      <c r="BJ13650" s="46"/>
    </row>
    <row r="13651" spans="59:62" x14ac:dyDescent="0.3">
      <c r="BG13651" s="387"/>
      <c r="BH13651" s="386"/>
      <c r="BI13651" s="386"/>
      <c r="BJ13651" s="46"/>
    </row>
    <row r="13652" spans="59:62" x14ac:dyDescent="0.3">
      <c r="BG13652" s="387"/>
      <c r="BH13652" s="386"/>
      <c r="BI13652" s="386"/>
      <c r="BJ13652" s="46"/>
    </row>
    <row r="13653" spans="59:62" x14ac:dyDescent="0.3">
      <c r="BG13653" s="387"/>
      <c r="BH13653" s="386"/>
      <c r="BI13653" s="386"/>
      <c r="BJ13653" s="46"/>
    </row>
    <row r="13654" spans="59:62" x14ac:dyDescent="0.3">
      <c r="BG13654" s="387"/>
      <c r="BH13654" s="386"/>
      <c r="BI13654" s="386"/>
      <c r="BJ13654" s="46"/>
    </row>
    <row r="13655" spans="59:62" x14ac:dyDescent="0.3">
      <c r="BG13655" s="387"/>
      <c r="BH13655" s="386"/>
      <c r="BI13655" s="386"/>
      <c r="BJ13655" s="46"/>
    </row>
    <row r="13656" spans="59:62" x14ac:dyDescent="0.3">
      <c r="BG13656" s="387"/>
      <c r="BH13656" s="386"/>
      <c r="BI13656" s="386"/>
      <c r="BJ13656" s="46"/>
    </row>
    <row r="13657" spans="59:62" x14ac:dyDescent="0.3">
      <c r="BG13657" s="387"/>
      <c r="BH13657" s="386"/>
      <c r="BI13657" s="386"/>
      <c r="BJ13657" s="46"/>
    </row>
    <row r="13658" spans="59:62" x14ac:dyDescent="0.3">
      <c r="BG13658" s="387"/>
      <c r="BH13658" s="386"/>
      <c r="BI13658" s="386"/>
      <c r="BJ13658" s="46"/>
    </row>
    <row r="13659" spans="59:62" x14ac:dyDescent="0.3">
      <c r="BG13659" s="387"/>
      <c r="BH13659" s="386"/>
      <c r="BI13659" s="386"/>
      <c r="BJ13659" s="46"/>
    </row>
    <row r="13660" spans="59:62" x14ac:dyDescent="0.3">
      <c r="BG13660" s="387"/>
      <c r="BH13660" s="386"/>
      <c r="BI13660" s="386"/>
      <c r="BJ13660" s="46"/>
    </row>
    <row r="13661" spans="59:62" x14ac:dyDescent="0.3">
      <c r="BG13661" s="387"/>
      <c r="BH13661" s="386"/>
      <c r="BI13661" s="386"/>
      <c r="BJ13661" s="46"/>
    </row>
    <row r="13662" spans="59:62" x14ac:dyDescent="0.3">
      <c r="BG13662" s="387"/>
      <c r="BH13662" s="386"/>
      <c r="BI13662" s="386"/>
      <c r="BJ13662" s="46"/>
    </row>
    <row r="13663" spans="59:62" x14ac:dyDescent="0.3">
      <c r="BG13663" s="387"/>
      <c r="BH13663" s="386"/>
      <c r="BI13663" s="386"/>
      <c r="BJ13663" s="46"/>
    </row>
    <row r="13664" spans="59:62" x14ac:dyDescent="0.3">
      <c r="BG13664" s="387"/>
      <c r="BH13664" s="386"/>
      <c r="BI13664" s="386"/>
      <c r="BJ13664" s="46"/>
    </row>
    <row r="13665" spans="59:62" x14ac:dyDescent="0.3">
      <c r="BG13665" s="387"/>
      <c r="BH13665" s="386"/>
      <c r="BI13665" s="386"/>
      <c r="BJ13665" s="46"/>
    </row>
    <row r="13666" spans="59:62" x14ac:dyDescent="0.3">
      <c r="BG13666" s="387"/>
      <c r="BH13666" s="386"/>
      <c r="BI13666" s="386"/>
      <c r="BJ13666" s="46"/>
    </row>
    <row r="13667" spans="59:62" x14ac:dyDescent="0.3">
      <c r="BG13667" s="387"/>
      <c r="BH13667" s="386"/>
      <c r="BI13667" s="386"/>
      <c r="BJ13667" s="46"/>
    </row>
    <row r="13668" spans="59:62" x14ac:dyDescent="0.3">
      <c r="BG13668" s="387"/>
      <c r="BH13668" s="386"/>
      <c r="BI13668" s="386"/>
      <c r="BJ13668" s="46"/>
    </row>
    <row r="13669" spans="59:62" x14ac:dyDescent="0.3">
      <c r="BG13669" s="387"/>
      <c r="BH13669" s="386"/>
      <c r="BI13669" s="386"/>
      <c r="BJ13669" s="46"/>
    </row>
    <row r="13670" spans="59:62" x14ac:dyDescent="0.3">
      <c r="BG13670" s="387"/>
      <c r="BH13670" s="386"/>
      <c r="BI13670" s="386"/>
      <c r="BJ13670" s="46"/>
    </row>
    <row r="13671" spans="59:62" x14ac:dyDescent="0.3">
      <c r="BG13671" s="387"/>
      <c r="BH13671" s="386"/>
      <c r="BI13671" s="386"/>
      <c r="BJ13671" s="46"/>
    </row>
    <row r="13672" spans="59:62" x14ac:dyDescent="0.3">
      <c r="BG13672" s="387"/>
      <c r="BH13672" s="386"/>
      <c r="BI13672" s="386"/>
      <c r="BJ13672" s="46"/>
    </row>
    <row r="13673" spans="59:62" x14ac:dyDescent="0.3">
      <c r="BG13673" s="387"/>
      <c r="BH13673" s="386"/>
      <c r="BI13673" s="386"/>
      <c r="BJ13673" s="46"/>
    </row>
    <row r="13674" spans="59:62" x14ac:dyDescent="0.3">
      <c r="BG13674" s="387"/>
      <c r="BH13674" s="386"/>
      <c r="BI13674" s="386"/>
      <c r="BJ13674" s="46"/>
    </row>
    <row r="13675" spans="59:62" x14ac:dyDescent="0.3">
      <c r="BG13675" s="387"/>
      <c r="BH13675" s="386"/>
      <c r="BI13675" s="386"/>
      <c r="BJ13675" s="46"/>
    </row>
    <row r="13676" spans="59:62" x14ac:dyDescent="0.3">
      <c r="BG13676" s="387"/>
      <c r="BH13676" s="386"/>
      <c r="BI13676" s="386"/>
      <c r="BJ13676" s="46"/>
    </row>
    <row r="13677" spans="59:62" x14ac:dyDescent="0.3">
      <c r="BG13677" s="387"/>
      <c r="BH13677" s="386"/>
      <c r="BI13677" s="386"/>
      <c r="BJ13677" s="46"/>
    </row>
    <row r="13678" spans="59:62" x14ac:dyDescent="0.3">
      <c r="BG13678" s="387"/>
      <c r="BH13678" s="386"/>
      <c r="BI13678" s="386"/>
      <c r="BJ13678" s="46"/>
    </row>
    <row r="13679" spans="59:62" x14ac:dyDescent="0.3">
      <c r="BG13679" s="387"/>
      <c r="BH13679" s="386"/>
      <c r="BI13679" s="386"/>
      <c r="BJ13679" s="46"/>
    </row>
    <row r="13680" spans="59:62" x14ac:dyDescent="0.3">
      <c r="BG13680" s="387"/>
      <c r="BH13680" s="386"/>
      <c r="BI13680" s="386"/>
      <c r="BJ13680" s="46"/>
    </row>
    <row r="13681" spans="59:62" x14ac:dyDescent="0.3">
      <c r="BG13681" s="387"/>
      <c r="BH13681" s="386"/>
      <c r="BI13681" s="386"/>
      <c r="BJ13681" s="46"/>
    </row>
    <row r="13682" spans="59:62" x14ac:dyDescent="0.3">
      <c r="BG13682" s="387"/>
      <c r="BH13682" s="386"/>
      <c r="BI13682" s="386"/>
      <c r="BJ13682" s="46"/>
    </row>
    <row r="13683" spans="59:62" x14ac:dyDescent="0.3">
      <c r="BG13683" s="387"/>
      <c r="BH13683" s="386"/>
      <c r="BI13683" s="386"/>
      <c r="BJ13683" s="46"/>
    </row>
    <row r="13684" spans="59:62" x14ac:dyDescent="0.3">
      <c r="BG13684" s="387"/>
      <c r="BH13684" s="386"/>
      <c r="BI13684" s="386"/>
      <c r="BJ13684" s="46"/>
    </row>
    <row r="13685" spans="59:62" x14ac:dyDescent="0.3">
      <c r="BG13685" s="387"/>
      <c r="BH13685" s="386"/>
      <c r="BI13685" s="386"/>
      <c r="BJ13685" s="46"/>
    </row>
    <row r="13686" spans="59:62" x14ac:dyDescent="0.3">
      <c r="BG13686" s="387"/>
      <c r="BH13686" s="386"/>
      <c r="BI13686" s="386"/>
      <c r="BJ13686" s="46"/>
    </row>
    <row r="13687" spans="59:62" x14ac:dyDescent="0.3">
      <c r="BG13687" s="387"/>
      <c r="BH13687" s="386"/>
      <c r="BI13687" s="386"/>
      <c r="BJ13687" s="46"/>
    </row>
    <row r="13688" spans="59:62" x14ac:dyDescent="0.3">
      <c r="BG13688" s="387"/>
      <c r="BH13688" s="386"/>
      <c r="BI13688" s="386"/>
      <c r="BJ13688" s="46"/>
    </row>
    <row r="13689" spans="59:62" x14ac:dyDescent="0.3">
      <c r="BG13689" s="387"/>
      <c r="BH13689" s="386"/>
      <c r="BI13689" s="386"/>
      <c r="BJ13689" s="46"/>
    </row>
    <row r="13690" spans="59:62" x14ac:dyDescent="0.3">
      <c r="BG13690" s="387"/>
      <c r="BH13690" s="386"/>
      <c r="BI13690" s="386"/>
      <c r="BJ13690" s="46"/>
    </row>
    <row r="13691" spans="59:62" x14ac:dyDescent="0.3">
      <c r="BG13691" s="387"/>
      <c r="BH13691" s="386"/>
      <c r="BI13691" s="386"/>
      <c r="BJ13691" s="46"/>
    </row>
    <row r="13692" spans="59:62" x14ac:dyDescent="0.3">
      <c r="BG13692" s="387"/>
      <c r="BH13692" s="386"/>
      <c r="BI13692" s="386"/>
      <c r="BJ13692" s="46"/>
    </row>
    <row r="13693" spans="59:62" x14ac:dyDescent="0.3">
      <c r="BG13693" s="387"/>
      <c r="BH13693" s="386"/>
      <c r="BI13693" s="386"/>
      <c r="BJ13693" s="46"/>
    </row>
    <row r="13694" spans="59:62" x14ac:dyDescent="0.3">
      <c r="BG13694" s="387"/>
      <c r="BH13694" s="386"/>
      <c r="BI13694" s="386"/>
      <c r="BJ13694" s="46"/>
    </row>
    <row r="13695" spans="59:62" x14ac:dyDescent="0.3">
      <c r="BG13695" s="387"/>
      <c r="BH13695" s="386"/>
      <c r="BI13695" s="386"/>
      <c r="BJ13695" s="46"/>
    </row>
    <row r="13696" spans="59:62" x14ac:dyDescent="0.3">
      <c r="BG13696" s="387"/>
      <c r="BH13696" s="386"/>
      <c r="BI13696" s="386"/>
      <c r="BJ13696" s="46"/>
    </row>
    <row r="13697" spans="59:62" x14ac:dyDescent="0.3">
      <c r="BG13697" s="387"/>
      <c r="BH13697" s="386"/>
      <c r="BI13697" s="386"/>
      <c r="BJ13697" s="46"/>
    </row>
    <row r="13698" spans="59:62" x14ac:dyDescent="0.3">
      <c r="BG13698" s="387"/>
      <c r="BH13698" s="386"/>
      <c r="BI13698" s="386"/>
      <c r="BJ13698" s="46"/>
    </row>
    <row r="13699" spans="59:62" x14ac:dyDescent="0.3">
      <c r="BG13699" s="387"/>
      <c r="BH13699" s="386"/>
      <c r="BI13699" s="386"/>
      <c r="BJ13699" s="46"/>
    </row>
    <row r="13700" spans="59:62" x14ac:dyDescent="0.3">
      <c r="BG13700" s="387"/>
      <c r="BH13700" s="386"/>
      <c r="BI13700" s="386"/>
      <c r="BJ13700" s="46"/>
    </row>
    <row r="13701" spans="59:62" x14ac:dyDescent="0.3">
      <c r="BG13701" s="387"/>
      <c r="BH13701" s="386"/>
      <c r="BI13701" s="386"/>
      <c r="BJ13701" s="46"/>
    </row>
    <row r="13702" spans="59:62" x14ac:dyDescent="0.3">
      <c r="BG13702" s="387"/>
      <c r="BH13702" s="386"/>
      <c r="BI13702" s="386"/>
      <c r="BJ13702" s="46"/>
    </row>
    <row r="13703" spans="59:62" x14ac:dyDescent="0.3">
      <c r="BG13703" s="387"/>
      <c r="BH13703" s="386"/>
      <c r="BI13703" s="386"/>
      <c r="BJ13703" s="46"/>
    </row>
    <row r="13704" spans="59:62" x14ac:dyDescent="0.3">
      <c r="BG13704" s="387"/>
      <c r="BH13704" s="386"/>
      <c r="BI13704" s="386"/>
      <c r="BJ13704" s="46"/>
    </row>
    <row r="13705" spans="59:62" x14ac:dyDescent="0.3">
      <c r="BG13705" s="387"/>
      <c r="BH13705" s="386"/>
      <c r="BI13705" s="386"/>
      <c r="BJ13705" s="46"/>
    </row>
    <row r="13706" spans="59:62" x14ac:dyDescent="0.3">
      <c r="BG13706" s="387"/>
      <c r="BH13706" s="386"/>
      <c r="BI13706" s="386"/>
      <c r="BJ13706" s="46"/>
    </row>
    <row r="13707" spans="59:62" x14ac:dyDescent="0.3">
      <c r="BG13707" s="387"/>
      <c r="BH13707" s="386"/>
      <c r="BI13707" s="386"/>
      <c r="BJ13707" s="46"/>
    </row>
    <row r="13708" spans="59:62" x14ac:dyDescent="0.3">
      <c r="BG13708" s="387"/>
      <c r="BH13708" s="386"/>
      <c r="BI13708" s="386"/>
      <c r="BJ13708" s="46"/>
    </row>
    <row r="13709" spans="59:62" x14ac:dyDescent="0.3">
      <c r="BG13709" s="387"/>
      <c r="BH13709" s="386"/>
      <c r="BI13709" s="386"/>
      <c r="BJ13709" s="46"/>
    </row>
    <row r="13710" spans="59:62" x14ac:dyDescent="0.3">
      <c r="BG13710" s="387"/>
      <c r="BH13710" s="386"/>
      <c r="BI13710" s="386"/>
      <c r="BJ13710" s="46"/>
    </row>
    <row r="13711" spans="59:62" x14ac:dyDescent="0.3">
      <c r="BG13711" s="387"/>
      <c r="BH13711" s="386"/>
      <c r="BI13711" s="386"/>
      <c r="BJ13711" s="46"/>
    </row>
    <row r="13712" spans="59:62" x14ac:dyDescent="0.3">
      <c r="BG13712" s="387"/>
      <c r="BH13712" s="386"/>
      <c r="BI13712" s="386"/>
      <c r="BJ13712" s="46"/>
    </row>
    <row r="13713" spans="59:62" x14ac:dyDescent="0.3">
      <c r="BG13713" s="387"/>
      <c r="BH13713" s="386"/>
      <c r="BI13713" s="386"/>
      <c r="BJ13713" s="46"/>
    </row>
    <row r="13714" spans="59:62" x14ac:dyDescent="0.3">
      <c r="BG13714" s="387"/>
      <c r="BH13714" s="386"/>
      <c r="BI13714" s="386"/>
      <c r="BJ13714" s="46"/>
    </row>
    <row r="13715" spans="59:62" x14ac:dyDescent="0.3">
      <c r="BG13715" s="387"/>
      <c r="BH13715" s="386"/>
      <c r="BI13715" s="386"/>
      <c r="BJ13715" s="46"/>
    </row>
    <row r="13716" spans="59:62" x14ac:dyDescent="0.3">
      <c r="BG13716" s="387"/>
      <c r="BH13716" s="386"/>
      <c r="BI13716" s="386"/>
      <c r="BJ13716" s="46"/>
    </row>
    <row r="13717" spans="59:62" x14ac:dyDescent="0.3">
      <c r="BG13717" s="387"/>
      <c r="BH13717" s="386"/>
      <c r="BI13717" s="386"/>
      <c r="BJ13717" s="46"/>
    </row>
    <row r="13718" spans="59:62" x14ac:dyDescent="0.3">
      <c r="BG13718" s="387"/>
      <c r="BH13718" s="386"/>
      <c r="BI13718" s="386"/>
      <c r="BJ13718" s="46"/>
    </row>
    <row r="13719" spans="59:62" x14ac:dyDescent="0.3">
      <c r="BG13719" s="387"/>
      <c r="BH13719" s="386"/>
      <c r="BI13719" s="386"/>
      <c r="BJ13719" s="46"/>
    </row>
    <row r="13720" spans="59:62" x14ac:dyDescent="0.3">
      <c r="BG13720" s="387"/>
      <c r="BH13720" s="386"/>
      <c r="BI13720" s="386"/>
      <c r="BJ13720" s="46"/>
    </row>
    <row r="13721" spans="59:62" x14ac:dyDescent="0.3">
      <c r="BG13721" s="387"/>
      <c r="BH13721" s="386"/>
      <c r="BI13721" s="386"/>
      <c r="BJ13721" s="46"/>
    </row>
    <row r="13722" spans="59:62" x14ac:dyDescent="0.3">
      <c r="BG13722" s="387"/>
      <c r="BH13722" s="386"/>
      <c r="BI13722" s="386"/>
      <c r="BJ13722" s="46"/>
    </row>
    <row r="13723" spans="59:62" x14ac:dyDescent="0.3">
      <c r="BG13723" s="387"/>
      <c r="BH13723" s="386"/>
      <c r="BI13723" s="386"/>
      <c r="BJ13723" s="46"/>
    </row>
    <row r="13724" spans="59:62" x14ac:dyDescent="0.3">
      <c r="BG13724" s="387"/>
      <c r="BH13724" s="386"/>
      <c r="BI13724" s="386"/>
      <c r="BJ13724" s="46"/>
    </row>
    <row r="13725" spans="59:62" x14ac:dyDescent="0.3">
      <c r="BG13725" s="387"/>
      <c r="BH13725" s="386"/>
      <c r="BI13725" s="386"/>
      <c r="BJ13725" s="46"/>
    </row>
    <row r="13726" spans="59:62" x14ac:dyDescent="0.3">
      <c r="BG13726" s="387"/>
      <c r="BH13726" s="386"/>
      <c r="BI13726" s="386"/>
      <c r="BJ13726" s="46"/>
    </row>
    <row r="13727" spans="59:62" x14ac:dyDescent="0.3">
      <c r="BG13727" s="387"/>
      <c r="BH13727" s="386"/>
      <c r="BI13727" s="386"/>
      <c r="BJ13727" s="46"/>
    </row>
    <row r="13728" spans="59:62" x14ac:dyDescent="0.3">
      <c r="BG13728" s="387"/>
      <c r="BH13728" s="386"/>
      <c r="BI13728" s="386"/>
      <c r="BJ13728" s="46"/>
    </row>
    <row r="13729" spans="59:62" x14ac:dyDescent="0.3">
      <c r="BG13729" s="387"/>
      <c r="BH13729" s="386"/>
      <c r="BI13729" s="386"/>
      <c r="BJ13729" s="46"/>
    </row>
    <row r="13730" spans="59:62" x14ac:dyDescent="0.3">
      <c r="BG13730" s="387"/>
      <c r="BH13730" s="386"/>
      <c r="BI13730" s="386"/>
      <c r="BJ13730" s="46"/>
    </row>
    <row r="13731" spans="59:62" x14ac:dyDescent="0.3">
      <c r="BG13731" s="387"/>
      <c r="BH13731" s="386"/>
      <c r="BI13731" s="386"/>
      <c r="BJ13731" s="46"/>
    </row>
    <row r="13732" spans="59:62" x14ac:dyDescent="0.3">
      <c r="BG13732" s="387"/>
      <c r="BH13732" s="386"/>
      <c r="BI13732" s="386"/>
      <c r="BJ13732" s="46"/>
    </row>
    <row r="13733" spans="59:62" x14ac:dyDescent="0.3">
      <c r="BG13733" s="387"/>
      <c r="BH13733" s="386"/>
      <c r="BI13733" s="386"/>
      <c r="BJ13733" s="46"/>
    </row>
    <row r="13734" spans="59:62" x14ac:dyDescent="0.3">
      <c r="BG13734" s="387"/>
      <c r="BH13734" s="386"/>
      <c r="BI13734" s="386"/>
      <c r="BJ13734" s="46"/>
    </row>
    <row r="13735" spans="59:62" x14ac:dyDescent="0.3">
      <c r="BG13735" s="387"/>
      <c r="BH13735" s="386"/>
      <c r="BI13735" s="386"/>
      <c r="BJ13735" s="46"/>
    </row>
    <row r="13736" spans="59:62" x14ac:dyDescent="0.3">
      <c r="BG13736" s="387"/>
      <c r="BH13736" s="386"/>
      <c r="BI13736" s="386"/>
      <c r="BJ13736" s="46"/>
    </row>
    <row r="13737" spans="59:62" x14ac:dyDescent="0.3">
      <c r="BG13737" s="387"/>
      <c r="BH13737" s="386"/>
      <c r="BI13737" s="386"/>
      <c r="BJ13737" s="46"/>
    </row>
    <row r="13738" spans="59:62" x14ac:dyDescent="0.3">
      <c r="BG13738" s="387"/>
      <c r="BH13738" s="386"/>
      <c r="BI13738" s="386"/>
      <c r="BJ13738" s="46"/>
    </row>
    <row r="13739" spans="59:62" x14ac:dyDescent="0.3">
      <c r="BG13739" s="387"/>
      <c r="BH13739" s="386"/>
      <c r="BI13739" s="386"/>
      <c r="BJ13739" s="46"/>
    </row>
    <row r="13740" spans="59:62" x14ac:dyDescent="0.3">
      <c r="BG13740" s="387"/>
      <c r="BH13740" s="386"/>
      <c r="BI13740" s="386"/>
      <c r="BJ13740" s="46"/>
    </row>
    <row r="13741" spans="59:62" x14ac:dyDescent="0.3">
      <c r="BG13741" s="387"/>
      <c r="BH13741" s="386"/>
      <c r="BI13741" s="386"/>
      <c r="BJ13741" s="46"/>
    </row>
    <row r="13742" spans="59:62" x14ac:dyDescent="0.3">
      <c r="BG13742" s="387"/>
      <c r="BH13742" s="386"/>
      <c r="BI13742" s="386"/>
      <c r="BJ13742" s="46"/>
    </row>
    <row r="13743" spans="59:62" x14ac:dyDescent="0.3">
      <c r="BG13743" s="387"/>
      <c r="BH13743" s="386"/>
      <c r="BI13743" s="386"/>
      <c r="BJ13743" s="46"/>
    </row>
    <row r="13744" spans="59:62" x14ac:dyDescent="0.3">
      <c r="BG13744" s="387"/>
      <c r="BH13744" s="386"/>
      <c r="BI13744" s="386"/>
      <c r="BJ13744" s="46"/>
    </row>
    <row r="13745" spans="59:62" x14ac:dyDescent="0.3">
      <c r="BG13745" s="387"/>
      <c r="BH13745" s="386"/>
      <c r="BI13745" s="386"/>
      <c r="BJ13745" s="46"/>
    </row>
    <row r="13746" spans="59:62" x14ac:dyDescent="0.3">
      <c r="BG13746" s="387"/>
      <c r="BH13746" s="386"/>
      <c r="BI13746" s="386"/>
      <c r="BJ13746" s="46"/>
    </row>
    <row r="13747" spans="59:62" x14ac:dyDescent="0.3">
      <c r="BG13747" s="387"/>
      <c r="BH13747" s="386"/>
      <c r="BI13747" s="386"/>
      <c r="BJ13747" s="46"/>
    </row>
    <row r="13748" spans="59:62" x14ac:dyDescent="0.3">
      <c r="BG13748" s="387"/>
      <c r="BH13748" s="386"/>
      <c r="BI13748" s="386"/>
      <c r="BJ13748" s="46"/>
    </row>
    <row r="13749" spans="59:62" x14ac:dyDescent="0.3">
      <c r="BG13749" s="387"/>
      <c r="BH13749" s="386"/>
      <c r="BI13749" s="386"/>
      <c r="BJ13749" s="46"/>
    </row>
    <row r="13750" spans="59:62" x14ac:dyDescent="0.3">
      <c r="BG13750" s="387"/>
      <c r="BH13750" s="386"/>
      <c r="BI13750" s="386"/>
      <c r="BJ13750" s="46"/>
    </row>
    <row r="13751" spans="59:62" x14ac:dyDescent="0.3">
      <c r="BG13751" s="387"/>
      <c r="BH13751" s="386"/>
      <c r="BI13751" s="386"/>
      <c r="BJ13751" s="46"/>
    </row>
    <row r="13752" spans="59:62" x14ac:dyDescent="0.3">
      <c r="BG13752" s="387"/>
      <c r="BH13752" s="386"/>
      <c r="BI13752" s="386"/>
      <c r="BJ13752" s="46"/>
    </row>
    <row r="13753" spans="59:62" x14ac:dyDescent="0.3">
      <c r="BG13753" s="387"/>
      <c r="BH13753" s="386"/>
      <c r="BI13753" s="386"/>
      <c r="BJ13753" s="46"/>
    </row>
    <row r="13754" spans="59:62" x14ac:dyDescent="0.3">
      <c r="BG13754" s="387"/>
      <c r="BH13754" s="386"/>
      <c r="BI13754" s="386"/>
      <c r="BJ13754" s="46"/>
    </row>
    <row r="13755" spans="59:62" x14ac:dyDescent="0.3">
      <c r="BG13755" s="387"/>
      <c r="BH13755" s="386"/>
      <c r="BI13755" s="386"/>
      <c r="BJ13755" s="46"/>
    </row>
    <row r="13756" spans="59:62" x14ac:dyDescent="0.3">
      <c r="BG13756" s="387"/>
      <c r="BH13756" s="386"/>
      <c r="BI13756" s="386"/>
      <c r="BJ13756" s="46"/>
    </row>
    <row r="13757" spans="59:62" x14ac:dyDescent="0.3">
      <c r="BG13757" s="387"/>
      <c r="BH13757" s="386"/>
      <c r="BI13757" s="386"/>
      <c r="BJ13757" s="46"/>
    </row>
    <row r="13758" spans="59:62" x14ac:dyDescent="0.3">
      <c r="BG13758" s="387"/>
      <c r="BH13758" s="386"/>
      <c r="BI13758" s="386"/>
      <c r="BJ13758" s="46"/>
    </row>
    <row r="13759" spans="59:62" x14ac:dyDescent="0.3">
      <c r="BG13759" s="387"/>
      <c r="BH13759" s="386"/>
      <c r="BI13759" s="386"/>
      <c r="BJ13759" s="46"/>
    </row>
    <row r="13760" spans="59:62" x14ac:dyDescent="0.3">
      <c r="BG13760" s="387"/>
      <c r="BH13760" s="386"/>
      <c r="BI13760" s="386"/>
      <c r="BJ13760" s="46"/>
    </row>
    <row r="13761" spans="59:62" x14ac:dyDescent="0.3">
      <c r="BG13761" s="387"/>
      <c r="BH13761" s="386"/>
      <c r="BI13761" s="386"/>
      <c r="BJ13761" s="46"/>
    </row>
    <row r="13762" spans="59:62" x14ac:dyDescent="0.3">
      <c r="BG13762" s="387"/>
      <c r="BH13762" s="386"/>
      <c r="BI13762" s="386"/>
      <c r="BJ13762" s="46"/>
    </row>
    <row r="13763" spans="59:62" x14ac:dyDescent="0.3">
      <c r="BG13763" s="387"/>
      <c r="BH13763" s="386"/>
      <c r="BI13763" s="386"/>
      <c r="BJ13763" s="46"/>
    </row>
    <row r="13764" spans="59:62" x14ac:dyDescent="0.3">
      <c r="BG13764" s="387"/>
      <c r="BH13764" s="386"/>
      <c r="BI13764" s="386"/>
      <c r="BJ13764" s="46"/>
    </row>
    <row r="13765" spans="59:62" x14ac:dyDescent="0.3">
      <c r="BG13765" s="387"/>
      <c r="BH13765" s="386"/>
      <c r="BI13765" s="386"/>
      <c r="BJ13765" s="46"/>
    </row>
    <row r="13766" spans="59:62" x14ac:dyDescent="0.3">
      <c r="BG13766" s="387"/>
      <c r="BH13766" s="386"/>
      <c r="BI13766" s="386"/>
      <c r="BJ13766" s="46"/>
    </row>
    <row r="13767" spans="59:62" x14ac:dyDescent="0.3">
      <c r="BG13767" s="387"/>
      <c r="BH13767" s="386"/>
      <c r="BI13767" s="386"/>
      <c r="BJ13767" s="46"/>
    </row>
    <row r="13768" spans="59:62" x14ac:dyDescent="0.3">
      <c r="BG13768" s="387"/>
      <c r="BH13768" s="386"/>
      <c r="BI13768" s="386"/>
      <c r="BJ13768" s="46"/>
    </row>
    <row r="13769" spans="59:62" x14ac:dyDescent="0.3">
      <c r="BG13769" s="387"/>
      <c r="BH13769" s="386"/>
      <c r="BI13769" s="386"/>
      <c r="BJ13769" s="46"/>
    </row>
    <row r="13770" spans="59:62" x14ac:dyDescent="0.3">
      <c r="BG13770" s="387"/>
      <c r="BH13770" s="386"/>
      <c r="BI13770" s="386"/>
      <c r="BJ13770" s="46"/>
    </row>
    <row r="13771" spans="59:62" x14ac:dyDescent="0.3">
      <c r="BG13771" s="387"/>
      <c r="BH13771" s="386"/>
      <c r="BI13771" s="386"/>
      <c r="BJ13771" s="46"/>
    </row>
    <row r="13772" spans="59:62" x14ac:dyDescent="0.3">
      <c r="BG13772" s="387"/>
      <c r="BH13772" s="386"/>
      <c r="BI13772" s="386"/>
      <c r="BJ13772" s="46"/>
    </row>
    <row r="13773" spans="59:62" x14ac:dyDescent="0.3">
      <c r="BG13773" s="387"/>
      <c r="BH13773" s="386"/>
      <c r="BI13773" s="386"/>
      <c r="BJ13773" s="46"/>
    </row>
    <row r="13774" spans="59:62" x14ac:dyDescent="0.3">
      <c r="BG13774" s="387"/>
      <c r="BH13774" s="386"/>
      <c r="BI13774" s="386"/>
      <c r="BJ13774" s="46"/>
    </row>
    <row r="13775" spans="59:62" x14ac:dyDescent="0.3">
      <c r="BG13775" s="387"/>
      <c r="BH13775" s="386"/>
      <c r="BI13775" s="386"/>
      <c r="BJ13775" s="46"/>
    </row>
    <row r="13776" spans="59:62" x14ac:dyDescent="0.3">
      <c r="BG13776" s="387"/>
      <c r="BH13776" s="386"/>
      <c r="BI13776" s="386"/>
      <c r="BJ13776" s="46"/>
    </row>
    <row r="13777" spans="59:62" x14ac:dyDescent="0.3">
      <c r="BG13777" s="387"/>
      <c r="BH13777" s="386"/>
      <c r="BI13777" s="386"/>
      <c r="BJ13777" s="46"/>
    </row>
    <row r="13778" spans="59:62" x14ac:dyDescent="0.3">
      <c r="BG13778" s="387"/>
      <c r="BH13778" s="386"/>
      <c r="BI13778" s="386"/>
      <c r="BJ13778" s="46"/>
    </row>
    <row r="13779" spans="59:62" x14ac:dyDescent="0.3">
      <c r="BG13779" s="387"/>
      <c r="BH13779" s="386"/>
      <c r="BI13779" s="386"/>
      <c r="BJ13779" s="46"/>
    </row>
    <row r="13780" spans="59:62" x14ac:dyDescent="0.3">
      <c r="BG13780" s="387"/>
      <c r="BH13780" s="386"/>
      <c r="BI13780" s="386"/>
      <c r="BJ13780" s="46"/>
    </row>
    <row r="13781" spans="59:62" x14ac:dyDescent="0.3">
      <c r="BG13781" s="387"/>
      <c r="BH13781" s="386"/>
      <c r="BI13781" s="386"/>
      <c r="BJ13781" s="46"/>
    </row>
    <row r="13782" spans="59:62" x14ac:dyDescent="0.3">
      <c r="BG13782" s="387"/>
      <c r="BH13782" s="386"/>
      <c r="BI13782" s="386"/>
      <c r="BJ13782" s="46"/>
    </row>
    <row r="13783" spans="59:62" x14ac:dyDescent="0.3">
      <c r="BG13783" s="387"/>
      <c r="BH13783" s="386"/>
      <c r="BI13783" s="386"/>
      <c r="BJ13783" s="46"/>
    </row>
    <row r="13784" spans="59:62" x14ac:dyDescent="0.3">
      <c r="BG13784" s="387"/>
      <c r="BH13784" s="386"/>
      <c r="BI13784" s="386"/>
      <c r="BJ13784" s="46"/>
    </row>
    <row r="13785" spans="59:62" x14ac:dyDescent="0.3">
      <c r="BG13785" s="387"/>
      <c r="BH13785" s="386"/>
      <c r="BI13785" s="386"/>
      <c r="BJ13785" s="46"/>
    </row>
    <row r="13786" spans="59:62" x14ac:dyDescent="0.3">
      <c r="BG13786" s="387"/>
      <c r="BH13786" s="386"/>
      <c r="BI13786" s="386"/>
      <c r="BJ13786" s="46"/>
    </row>
    <row r="13787" spans="59:62" x14ac:dyDescent="0.3">
      <c r="BG13787" s="387"/>
      <c r="BH13787" s="386"/>
      <c r="BI13787" s="386"/>
      <c r="BJ13787" s="46"/>
    </row>
    <row r="13788" spans="59:62" x14ac:dyDescent="0.3">
      <c r="BG13788" s="387"/>
      <c r="BH13788" s="386"/>
      <c r="BI13788" s="386"/>
      <c r="BJ13788" s="46"/>
    </row>
    <row r="13789" spans="59:62" x14ac:dyDescent="0.3">
      <c r="BG13789" s="387"/>
      <c r="BH13789" s="386"/>
      <c r="BI13789" s="386"/>
      <c r="BJ13789" s="46"/>
    </row>
    <row r="13790" spans="59:62" x14ac:dyDescent="0.3">
      <c r="BG13790" s="387"/>
      <c r="BH13790" s="386"/>
      <c r="BI13790" s="386"/>
      <c r="BJ13790" s="46"/>
    </row>
    <row r="13791" spans="59:62" x14ac:dyDescent="0.3">
      <c r="BG13791" s="387"/>
      <c r="BH13791" s="386"/>
      <c r="BI13791" s="386"/>
      <c r="BJ13791" s="46"/>
    </row>
    <row r="13792" spans="59:62" x14ac:dyDescent="0.3">
      <c r="BG13792" s="387"/>
      <c r="BH13792" s="386"/>
      <c r="BI13792" s="386"/>
      <c r="BJ13792" s="46"/>
    </row>
    <row r="13793" spans="59:62" x14ac:dyDescent="0.3">
      <c r="BG13793" s="387"/>
      <c r="BH13793" s="386"/>
      <c r="BI13793" s="386"/>
      <c r="BJ13793" s="46"/>
    </row>
    <row r="13794" spans="59:62" x14ac:dyDescent="0.3">
      <c r="BG13794" s="387"/>
      <c r="BH13794" s="386"/>
      <c r="BI13794" s="386"/>
      <c r="BJ13794" s="46"/>
    </row>
    <row r="13795" spans="59:62" x14ac:dyDescent="0.3">
      <c r="BG13795" s="387"/>
      <c r="BH13795" s="386"/>
      <c r="BI13795" s="386"/>
      <c r="BJ13795" s="46"/>
    </row>
    <row r="13796" spans="59:62" x14ac:dyDescent="0.3">
      <c r="BG13796" s="387"/>
      <c r="BH13796" s="386"/>
      <c r="BI13796" s="386"/>
      <c r="BJ13796" s="46"/>
    </row>
    <row r="13797" spans="59:62" x14ac:dyDescent="0.3">
      <c r="BG13797" s="387"/>
      <c r="BH13797" s="386"/>
      <c r="BI13797" s="386"/>
      <c r="BJ13797" s="46"/>
    </row>
    <row r="13798" spans="59:62" x14ac:dyDescent="0.3">
      <c r="BG13798" s="387"/>
      <c r="BH13798" s="386"/>
      <c r="BI13798" s="386"/>
      <c r="BJ13798" s="46"/>
    </row>
    <row r="13799" spans="59:62" x14ac:dyDescent="0.3">
      <c r="BG13799" s="387"/>
      <c r="BH13799" s="386"/>
      <c r="BI13799" s="386"/>
      <c r="BJ13799" s="46"/>
    </row>
    <row r="13800" spans="59:62" x14ac:dyDescent="0.3">
      <c r="BG13800" s="387"/>
      <c r="BH13800" s="386"/>
      <c r="BI13800" s="386"/>
      <c r="BJ13800" s="46"/>
    </row>
    <row r="13801" spans="59:62" x14ac:dyDescent="0.3">
      <c r="BG13801" s="387"/>
      <c r="BH13801" s="386"/>
      <c r="BI13801" s="386"/>
      <c r="BJ13801" s="46"/>
    </row>
    <row r="13802" spans="59:62" x14ac:dyDescent="0.3">
      <c r="BG13802" s="387"/>
      <c r="BH13802" s="386"/>
      <c r="BI13802" s="386"/>
      <c r="BJ13802" s="46"/>
    </row>
    <row r="13803" spans="59:62" x14ac:dyDescent="0.3">
      <c r="BG13803" s="387"/>
      <c r="BH13803" s="386"/>
      <c r="BI13803" s="386"/>
      <c r="BJ13803" s="46"/>
    </row>
    <row r="13804" spans="59:62" x14ac:dyDescent="0.3">
      <c r="BG13804" s="387"/>
      <c r="BH13804" s="386"/>
      <c r="BI13804" s="386"/>
      <c r="BJ13804" s="46"/>
    </row>
    <row r="13805" spans="59:62" x14ac:dyDescent="0.3">
      <c r="BG13805" s="387"/>
      <c r="BH13805" s="386"/>
      <c r="BI13805" s="386"/>
      <c r="BJ13805" s="46"/>
    </row>
    <row r="13806" spans="59:62" x14ac:dyDescent="0.3">
      <c r="BG13806" s="387"/>
      <c r="BH13806" s="386"/>
      <c r="BI13806" s="386"/>
      <c r="BJ13806" s="46"/>
    </row>
    <row r="13807" spans="59:62" x14ac:dyDescent="0.3">
      <c r="BG13807" s="387"/>
      <c r="BH13807" s="386"/>
      <c r="BI13807" s="386"/>
      <c r="BJ13807" s="46"/>
    </row>
    <row r="13808" spans="59:62" x14ac:dyDescent="0.3">
      <c r="BG13808" s="387"/>
      <c r="BH13808" s="386"/>
      <c r="BI13808" s="386"/>
      <c r="BJ13808" s="46"/>
    </row>
    <row r="13809" spans="59:62" x14ac:dyDescent="0.3">
      <c r="BG13809" s="387"/>
      <c r="BH13809" s="386"/>
      <c r="BI13809" s="386"/>
      <c r="BJ13809" s="46"/>
    </row>
    <row r="13810" spans="59:62" x14ac:dyDescent="0.3">
      <c r="BG13810" s="387"/>
      <c r="BH13810" s="386"/>
      <c r="BI13810" s="386"/>
      <c r="BJ13810" s="46"/>
    </row>
    <row r="13811" spans="59:62" x14ac:dyDescent="0.3">
      <c r="BG13811" s="387"/>
      <c r="BH13811" s="386"/>
      <c r="BI13811" s="386"/>
      <c r="BJ13811" s="46"/>
    </row>
    <row r="13812" spans="59:62" x14ac:dyDescent="0.3">
      <c r="BG13812" s="387"/>
      <c r="BH13812" s="386"/>
      <c r="BI13812" s="386"/>
      <c r="BJ13812" s="46"/>
    </row>
    <row r="13813" spans="59:62" x14ac:dyDescent="0.3">
      <c r="BG13813" s="387"/>
      <c r="BH13813" s="386"/>
      <c r="BI13813" s="386"/>
      <c r="BJ13813" s="46"/>
    </row>
    <row r="13814" spans="59:62" x14ac:dyDescent="0.3">
      <c r="BG13814" s="387"/>
      <c r="BH13814" s="386"/>
      <c r="BI13814" s="386"/>
      <c r="BJ13814" s="46"/>
    </row>
    <row r="13815" spans="59:62" x14ac:dyDescent="0.3">
      <c r="BG13815" s="387"/>
      <c r="BH13815" s="386"/>
      <c r="BI13815" s="386"/>
      <c r="BJ13815" s="46"/>
    </row>
    <row r="13816" spans="59:62" x14ac:dyDescent="0.3">
      <c r="BG13816" s="387"/>
      <c r="BH13816" s="386"/>
      <c r="BI13816" s="386"/>
      <c r="BJ13816" s="46"/>
    </row>
    <row r="13817" spans="59:62" x14ac:dyDescent="0.3">
      <c r="BG13817" s="387"/>
      <c r="BH13817" s="386"/>
      <c r="BI13817" s="386"/>
      <c r="BJ13817" s="46"/>
    </row>
    <row r="13818" spans="59:62" x14ac:dyDescent="0.3">
      <c r="BG13818" s="387"/>
      <c r="BH13818" s="386"/>
      <c r="BI13818" s="386"/>
      <c r="BJ13818" s="46"/>
    </row>
    <row r="13819" spans="59:62" x14ac:dyDescent="0.3">
      <c r="BG13819" s="387"/>
      <c r="BH13819" s="386"/>
      <c r="BI13819" s="386"/>
      <c r="BJ13819" s="46"/>
    </row>
    <row r="13820" spans="59:62" x14ac:dyDescent="0.3">
      <c r="BG13820" s="387"/>
      <c r="BH13820" s="386"/>
      <c r="BI13820" s="386"/>
      <c r="BJ13820" s="46"/>
    </row>
    <row r="13821" spans="59:62" x14ac:dyDescent="0.3">
      <c r="BG13821" s="387"/>
      <c r="BH13821" s="386"/>
      <c r="BI13821" s="386"/>
      <c r="BJ13821" s="46"/>
    </row>
    <row r="13822" spans="59:62" x14ac:dyDescent="0.3">
      <c r="BG13822" s="387"/>
      <c r="BH13822" s="386"/>
      <c r="BI13822" s="386"/>
      <c r="BJ13822" s="46"/>
    </row>
    <row r="13823" spans="59:62" x14ac:dyDescent="0.3">
      <c r="BG13823" s="387"/>
      <c r="BH13823" s="386"/>
      <c r="BI13823" s="386"/>
      <c r="BJ13823" s="46"/>
    </row>
    <row r="13824" spans="59:62" x14ac:dyDescent="0.3">
      <c r="BG13824" s="387"/>
      <c r="BH13824" s="386"/>
      <c r="BI13824" s="386"/>
      <c r="BJ13824" s="46"/>
    </row>
    <row r="13825" spans="59:62" x14ac:dyDescent="0.3">
      <c r="BG13825" s="387"/>
      <c r="BH13825" s="386"/>
      <c r="BI13825" s="386"/>
      <c r="BJ13825" s="46"/>
    </row>
    <row r="13826" spans="59:62" x14ac:dyDescent="0.3">
      <c r="BG13826" s="387"/>
      <c r="BH13826" s="386"/>
      <c r="BI13826" s="386"/>
      <c r="BJ13826" s="46"/>
    </row>
    <row r="13827" spans="59:62" x14ac:dyDescent="0.3">
      <c r="BG13827" s="387"/>
      <c r="BH13827" s="386"/>
      <c r="BI13827" s="386"/>
      <c r="BJ13827" s="46"/>
    </row>
    <row r="13828" spans="59:62" x14ac:dyDescent="0.3">
      <c r="BG13828" s="387"/>
      <c r="BH13828" s="386"/>
      <c r="BI13828" s="386"/>
      <c r="BJ13828" s="46"/>
    </row>
    <row r="13829" spans="59:62" x14ac:dyDescent="0.3">
      <c r="BG13829" s="387"/>
      <c r="BH13829" s="386"/>
      <c r="BI13829" s="386"/>
      <c r="BJ13829" s="46"/>
    </row>
    <row r="13830" spans="59:62" x14ac:dyDescent="0.3">
      <c r="BG13830" s="387"/>
      <c r="BH13830" s="386"/>
      <c r="BI13830" s="386"/>
      <c r="BJ13830" s="46"/>
    </row>
    <row r="13831" spans="59:62" x14ac:dyDescent="0.3">
      <c r="BG13831" s="387"/>
      <c r="BH13831" s="386"/>
      <c r="BI13831" s="386"/>
      <c r="BJ13831" s="46"/>
    </row>
    <row r="13832" spans="59:62" x14ac:dyDescent="0.3">
      <c r="BG13832" s="387"/>
      <c r="BH13832" s="386"/>
      <c r="BI13832" s="386"/>
      <c r="BJ13832" s="46"/>
    </row>
    <row r="13833" spans="59:62" x14ac:dyDescent="0.3">
      <c r="BG13833" s="387"/>
      <c r="BH13833" s="386"/>
      <c r="BI13833" s="386"/>
      <c r="BJ13833" s="46"/>
    </row>
    <row r="13834" spans="59:62" x14ac:dyDescent="0.3">
      <c r="BG13834" s="387"/>
      <c r="BH13834" s="386"/>
      <c r="BI13834" s="386"/>
      <c r="BJ13834" s="46"/>
    </row>
    <row r="13835" spans="59:62" x14ac:dyDescent="0.3">
      <c r="BG13835" s="387"/>
      <c r="BH13835" s="386"/>
      <c r="BI13835" s="386"/>
      <c r="BJ13835" s="46"/>
    </row>
    <row r="13836" spans="59:62" x14ac:dyDescent="0.3">
      <c r="BG13836" s="387"/>
      <c r="BH13836" s="386"/>
      <c r="BI13836" s="386"/>
      <c r="BJ13836" s="46"/>
    </row>
    <row r="13837" spans="59:62" x14ac:dyDescent="0.3">
      <c r="BG13837" s="387"/>
      <c r="BH13837" s="386"/>
      <c r="BI13837" s="386"/>
      <c r="BJ13837" s="46"/>
    </row>
    <row r="13838" spans="59:62" x14ac:dyDescent="0.3">
      <c r="BG13838" s="387"/>
      <c r="BH13838" s="386"/>
      <c r="BI13838" s="386"/>
      <c r="BJ13838" s="46"/>
    </row>
    <row r="13839" spans="59:62" x14ac:dyDescent="0.3">
      <c r="BG13839" s="387"/>
      <c r="BH13839" s="386"/>
      <c r="BI13839" s="386"/>
      <c r="BJ13839" s="46"/>
    </row>
    <row r="13840" spans="59:62" x14ac:dyDescent="0.3">
      <c r="BG13840" s="387"/>
      <c r="BH13840" s="386"/>
      <c r="BI13840" s="386"/>
      <c r="BJ13840" s="46"/>
    </row>
    <row r="13841" spans="59:62" x14ac:dyDescent="0.3">
      <c r="BG13841" s="387"/>
      <c r="BH13841" s="386"/>
      <c r="BI13841" s="386"/>
      <c r="BJ13841" s="46"/>
    </row>
    <row r="13842" spans="59:62" x14ac:dyDescent="0.3">
      <c r="BG13842" s="387"/>
      <c r="BH13842" s="386"/>
      <c r="BI13842" s="386"/>
      <c r="BJ13842" s="46"/>
    </row>
    <row r="13843" spans="59:62" x14ac:dyDescent="0.3">
      <c r="BG13843" s="387"/>
      <c r="BH13843" s="386"/>
      <c r="BI13843" s="386"/>
      <c r="BJ13843" s="46"/>
    </row>
    <row r="13844" spans="59:62" x14ac:dyDescent="0.3">
      <c r="BG13844" s="387"/>
      <c r="BH13844" s="386"/>
      <c r="BI13844" s="386"/>
      <c r="BJ13844" s="46"/>
    </row>
    <row r="13845" spans="59:62" x14ac:dyDescent="0.3">
      <c r="BG13845" s="387"/>
      <c r="BH13845" s="386"/>
      <c r="BI13845" s="386"/>
      <c r="BJ13845" s="46"/>
    </row>
    <row r="13846" spans="59:62" x14ac:dyDescent="0.3">
      <c r="BG13846" s="387"/>
      <c r="BH13846" s="386"/>
      <c r="BI13846" s="386"/>
      <c r="BJ13846" s="46"/>
    </row>
    <row r="13847" spans="59:62" x14ac:dyDescent="0.3">
      <c r="BG13847" s="387"/>
      <c r="BH13847" s="386"/>
      <c r="BI13847" s="386"/>
      <c r="BJ13847" s="46"/>
    </row>
    <row r="13848" spans="59:62" x14ac:dyDescent="0.3">
      <c r="BG13848" s="387"/>
      <c r="BH13848" s="386"/>
      <c r="BI13848" s="386"/>
      <c r="BJ13848" s="46"/>
    </row>
    <row r="13849" spans="59:62" x14ac:dyDescent="0.3">
      <c r="BG13849" s="387"/>
      <c r="BH13849" s="386"/>
      <c r="BI13849" s="386"/>
      <c r="BJ13849" s="46"/>
    </row>
    <row r="13850" spans="59:62" x14ac:dyDescent="0.3">
      <c r="BG13850" s="387"/>
      <c r="BH13850" s="386"/>
      <c r="BI13850" s="386"/>
      <c r="BJ13850" s="46"/>
    </row>
    <row r="13851" spans="59:62" x14ac:dyDescent="0.3">
      <c r="BG13851" s="387"/>
      <c r="BH13851" s="386"/>
      <c r="BI13851" s="386"/>
      <c r="BJ13851" s="46"/>
    </row>
    <row r="13852" spans="59:62" x14ac:dyDescent="0.3">
      <c r="BG13852" s="387"/>
      <c r="BH13852" s="386"/>
      <c r="BI13852" s="386"/>
      <c r="BJ13852" s="46"/>
    </row>
    <row r="13853" spans="59:62" x14ac:dyDescent="0.3">
      <c r="BG13853" s="387"/>
      <c r="BH13853" s="386"/>
      <c r="BI13853" s="386"/>
      <c r="BJ13853" s="46"/>
    </row>
    <row r="13854" spans="59:62" x14ac:dyDescent="0.3">
      <c r="BG13854" s="387"/>
      <c r="BH13854" s="386"/>
      <c r="BI13854" s="386"/>
      <c r="BJ13854" s="46"/>
    </row>
    <row r="13855" spans="59:62" x14ac:dyDescent="0.3">
      <c r="BG13855" s="387"/>
      <c r="BH13855" s="386"/>
      <c r="BI13855" s="386"/>
      <c r="BJ13855" s="46"/>
    </row>
    <row r="13856" spans="59:62" x14ac:dyDescent="0.3">
      <c r="BG13856" s="387"/>
      <c r="BH13856" s="386"/>
      <c r="BI13856" s="386"/>
      <c r="BJ13856" s="46"/>
    </row>
    <row r="13857" spans="59:62" x14ac:dyDescent="0.3">
      <c r="BG13857" s="387"/>
      <c r="BH13857" s="386"/>
      <c r="BI13857" s="386"/>
      <c r="BJ13857" s="46"/>
    </row>
    <row r="13858" spans="59:62" x14ac:dyDescent="0.3">
      <c r="BG13858" s="387"/>
      <c r="BH13858" s="386"/>
      <c r="BI13858" s="386"/>
      <c r="BJ13858" s="46"/>
    </row>
    <row r="13859" spans="59:62" x14ac:dyDescent="0.3">
      <c r="BG13859" s="387"/>
      <c r="BH13859" s="386"/>
      <c r="BI13859" s="386"/>
      <c r="BJ13859" s="46"/>
    </row>
    <row r="13860" spans="59:62" x14ac:dyDescent="0.3">
      <c r="BG13860" s="387"/>
      <c r="BH13860" s="386"/>
      <c r="BI13860" s="386"/>
      <c r="BJ13860" s="46"/>
    </row>
    <row r="13861" spans="59:62" x14ac:dyDescent="0.3">
      <c r="BG13861" s="387"/>
      <c r="BH13861" s="386"/>
      <c r="BI13861" s="386"/>
      <c r="BJ13861" s="46"/>
    </row>
    <row r="13862" spans="59:62" x14ac:dyDescent="0.3">
      <c r="BG13862" s="387"/>
      <c r="BH13862" s="386"/>
      <c r="BI13862" s="386"/>
      <c r="BJ13862" s="46"/>
    </row>
    <row r="13863" spans="59:62" x14ac:dyDescent="0.3">
      <c r="BG13863" s="387"/>
      <c r="BH13863" s="386"/>
      <c r="BI13863" s="386"/>
      <c r="BJ13863" s="46"/>
    </row>
    <row r="13864" spans="59:62" x14ac:dyDescent="0.3">
      <c r="BG13864" s="387"/>
      <c r="BH13864" s="386"/>
      <c r="BI13864" s="386"/>
      <c r="BJ13864" s="46"/>
    </row>
    <row r="13865" spans="59:62" x14ac:dyDescent="0.3">
      <c r="BG13865" s="387"/>
      <c r="BH13865" s="386"/>
      <c r="BI13865" s="386"/>
      <c r="BJ13865" s="46"/>
    </row>
    <row r="13866" spans="59:62" x14ac:dyDescent="0.3">
      <c r="BG13866" s="387"/>
      <c r="BH13866" s="386"/>
      <c r="BI13866" s="386"/>
      <c r="BJ13866" s="46"/>
    </row>
    <row r="13867" spans="59:62" x14ac:dyDescent="0.3">
      <c r="BG13867" s="387"/>
      <c r="BH13867" s="386"/>
      <c r="BI13867" s="386"/>
      <c r="BJ13867" s="46"/>
    </row>
    <row r="13868" spans="59:62" x14ac:dyDescent="0.3">
      <c r="BG13868" s="387"/>
      <c r="BH13868" s="386"/>
      <c r="BI13868" s="386"/>
      <c r="BJ13868" s="46"/>
    </row>
    <row r="13869" spans="59:62" x14ac:dyDescent="0.3">
      <c r="BG13869" s="387"/>
      <c r="BH13869" s="386"/>
      <c r="BI13869" s="386"/>
      <c r="BJ13869" s="46"/>
    </row>
    <row r="13870" spans="59:62" x14ac:dyDescent="0.3">
      <c r="BG13870" s="387"/>
      <c r="BH13870" s="386"/>
      <c r="BI13870" s="386"/>
      <c r="BJ13870" s="46"/>
    </row>
    <row r="13871" spans="59:62" x14ac:dyDescent="0.3">
      <c r="BG13871" s="387"/>
      <c r="BH13871" s="386"/>
      <c r="BI13871" s="386"/>
      <c r="BJ13871" s="46"/>
    </row>
    <row r="13872" spans="59:62" x14ac:dyDescent="0.3">
      <c r="BG13872" s="387"/>
      <c r="BH13872" s="386"/>
      <c r="BI13872" s="386"/>
      <c r="BJ13872" s="46"/>
    </row>
    <row r="13873" spans="59:62" x14ac:dyDescent="0.3">
      <c r="BG13873" s="387"/>
      <c r="BH13873" s="386"/>
      <c r="BI13873" s="386"/>
      <c r="BJ13873" s="46"/>
    </row>
    <row r="13874" spans="59:62" x14ac:dyDescent="0.3">
      <c r="BG13874" s="387"/>
      <c r="BH13874" s="386"/>
      <c r="BI13874" s="386"/>
      <c r="BJ13874" s="46"/>
    </row>
    <row r="13875" spans="59:62" x14ac:dyDescent="0.3">
      <c r="BG13875" s="387"/>
      <c r="BH13875" s="386"/>
      <c r="BI13875" s="386"/>
      <c r="BJ13875" s="46"/>
    </row>
    <row r="13876" spans="59:62" x14ac:dyDescent="0.3">
      <c r="BG13876" s="387"/>
      <c r="BH13876" s="386"/>
      <c r="BI13876" s="386"/>
      <c r="BJ13876" s="46"/>
    </row>
    <row r="13877" spans="59:62" x14ac:dyDescent="0.3">
      <c r="BG13877" s="387"/>
      <c r="BH13877" s="386"/>
      <c r="BI13877" s="386"/>
      <c r="BJ13877" s="46"/>
    </row>
    <row r="13878" spans="59:62" x14ac:dyDescent="0.3">
      <c r="BG13878" s="387"/>
      <c r="BH13878" s="386"/>
      <c r="BI13878" s="386"/>
      <c r="BJ13878" s="46"/>
    </row>
    <row r="13879" spans="59:62" x14ac:dyDescent="0.3">
      <c r="BG13879" s="387"/>
      <c r="BH13879" s="386"/>
      <c r="BI13879" s="386"/>
      <c r="BJ13879" s="46"/>
    </row>
    <row r="13880" spans="59:62" x14ac:dyDescent="0.3">
      <c r="BG13880" s="387"/>
      <c r="BH13880" s="386"/>
      <c r="BI13880" s="386"/>
      <c r="BJ13880" s="46"/>
    </row>
    <row r="13881" spans="59:62" x14ac:dyDescent="0.3">
      <c r="BG13881" s="387"/>
      <c r="BH13881" s="386"/>
      <c r="BI13881" s="386"/>
      <c r="BJ13881" s="46"/>
    </row>
    <row r="13882" spans="59:62" x14ac:dyDescent="0.3">
      <c r="BG13882" s="387"/>
      <c r="BH13882" s="386"/>
      <c r="BI13882" s="386"/>
      <c r="BJ13882" s="46"/>
    </row>
    <row r="13883" spans="59:62" x14ac:dyDescent="0.3">
      <c r="BG13883" s="387"/>
      <c r="BH13883" s="386"/>
      <c r="BI13883" s="386"/>
      <c r="BJ13883" s="46"/>
    </row>
    <row r="13884" spans="59:62" x14ac:dyDescent="0.3">
      <c r="BG13884" s="387"/>
      <c r="BH13884" s="386"/>
      <c r="BI13884" s="386"/>
      <c r="BJ13884" s="46"/>
    </row>
    <row r="13885" spans="59:62" x14ac:dyDescent="0.3">
      <c r="BG13885" s="387"/>
      <c r="BH13885" s="386"/>
      <c r="BI13885" s="386"/>
      <c r="BJ13885" s="46"/>
    </row>
    <row r="13886" spans="59:62" x14ac:dyDescent="0.3">
      <c r="BG13886" s="387"/>
      <c r="BH13886" s="386"/>
      <c r="BI13886" s="386"/>
      <c r="BJ13886" s="46"/>
    </row>
    <row r="13887" spans="59:62" x14ac:dyDescent="0.3">
      <c r="BG13887" s="387"/>
      <c r="BH13887" s="386"/>
      <c r="BI13887" s="386"/>
      <c r="BJ13887" s="46"/>
    </row>
    <row r="13888" spans="59:62" x14ac:dyDescent="0.3">
      <c r="BG13888" s="387"/>
      <c r="BH13888" s="386"/>
      <c r="BI13888" s="386"/>
      <c r="BJ13888" s="46"/>
    </row>
    <row r="13889" spans="59:62" x14ac:dyDescent="0.3">
      <c r="BG13889" s="387"/>
      <c r="BH13889" s="386"/>
      <c r="BI13889" s="386"/>
      <c r="BJ13889" s="46"/>
    </row>
    <row r="13890" spans="59:62" x14ac:dyDescent="0.3">
      <c r="BG13890" s="387"/>
      <c r="BH13890" s="386"/>
      <c r="BI13890" s="386"/>
      <c r="BJ13890" s="46"/>
    </row>
    <row r="13891" spans="59:62" x14ac:dyDescent="0.3">
      <c r="BG13891" s="387"/>
      <c r="BH13891" s="386"/>
      <c r="BI13891" s="386"/>
      <c r="BJ13891" s="46"/>
    </row>
    <row r="13892" spans="59:62" x14ac:dyDescent="0.3">
      <c r="BG13892" s="387"/>
      <c r="BH13892" s="386"/>
      <c r="BI13892" s="386"/>
      <c r="BJ13892" s="46"/>
    </row>
    <row r="13893" spans="59:62" x14ac:dyDescent="0.3">
      <c r="BG13893" s="387"/>
      <c r="BH13893" s="386"/>
      <c r="BI13893" s="386"/>
      <c r="BJ13893" s="46"/>
    </row>
    <row r="13894" spans="59:62" x14ac:dyDescent="0.3">
      <c r="BG13894" s="387"/>
      <c r="BH13894" s="386"/>
      <c r="BI13894" s="386"/>
      <c r="BJ13894" s="46"/>
    </row>
    <row r="13895" spans="59:62" x14ac:dyDescent="0.3">
      <c r="BG13895" s="387"/>
      <c r="BH13895" s="386"/>
      <c r="BI13895" s="386"/>
      <c r="BJ13895" s="46"/>
    </row>
    <row r="13896" spans="59:62" x14ac:dyDescent="0.3">
      <c r="BG13896" s="387"/>
      <c r="BH13896" s="386"/>
      <c r="BI13896" s="386"/>
      <c r="BJ13896" s="46"/>
    </row>
    <row r="13897" spans="59:62" x14ac:dyDescent="0.3">
      <c r="BG13897" s="387"/>
      <c r="BH13897" s="386"/>
      <c r="BI13897" s="386"/>
      <c r="BJ13897" s="46"/>
    </row>
    <row r="13898" spans="59:62" x14ac:dyDescent="0.3">
      <c r="BG13898" s="387"/>
      <c r="BH13898" s="386"/>
      <c r="BI13898" s="386"/>
      <c r="BJ13898" s="46"/>
    </row>
    <row r="13899" spans="59:62" x14ac:dyDescent="0.3">
      <c r="BG13899" s="387"/>
      <c r="BH13899" s="386"/>
      <c r="BI13899" s="386"/>
      <c r="BJ13899" s="46"/>
    </row>
    <row r="13900" spans="59:62" x14ac:dyDescent="0.3">
      <c r="BG13900" s="387"/>
      <c r="BH13900" s="386"/>
      <c r="BI13900" s="386"/>
      <c r="BJ13900" s="46"/>
    </row>
    <row r="13901" spans="59:62" x14ac:dyDescent="0.3">
      <c r="BG13901" s="387"/>
      <c r="BH13901" s="386"/>
      <c r="BI13901" s="386"/>
      <c r="BJ13901" s="46"/>
    </row>
    <row r="13902" spans="59:62" x14ac:dyDescent="0.3">
      <c r="BG13902" s="387"/>
      <c r="BH13902" s="386"/>
      <c r="BI13902" s="386"/>
      <c r="BJ13902" s="46"/>
    </row>
    <row r="13903" spans="59:62" x14ac:dyDescent="0.3">
      <c r="BG13903" s="387"/>
      <c r="BH13903" s="386"/>
      <c r="BI13903" s="386"/>
      <c r="BJ13903" s="46"/>
    </row>
    <row r="13904" spans="59:62" x14ac:dyDescent="0.3">
      <c r="BG13904" s="387"/>
      <c r="BH13904" s="386"/>
      <c r="BI13904" s="386"/>
      <c r="BJ13904" s="46"/>
    </row>
    <row r="13905" spans="59:62" x14ac:dyDescent="0.3">
      <c r="BG13905" s="387"/>
      <c r="BH13905" s="386"/>
      <c r="BI13905" s="386"/>
      <c r="BJ13905" s="46"/>
    </row>
    <row r="13906" spans="59:62" x14ac:dyDescent="0.3">
      <c r="BG13906" s="387"/>
      <c r="BH13906" s="386"/>
      <c r="BI13906" s="386"/>
      <c r="BJ13906" s="46"/>
    </row>
    <row r="13907" spans="59:62" x14ac:dyDescent="0.3">
      <c r="BG13907" s="387"/>
      <c r="BH13907" s="386"/>
      <c r="BI13907" s="386"/>
      <c r="BJ13907" s="46"/>
    </row>
    <row r="13908" spans="59:62" x14ac:dyDescent="0.3">
      <c r="BG13908" s="387"/>
      <c r="BH13908" s="386"/>
      <c r="BI13908" s="386"/>
      <c r="BJ13908" s="46"/>
    </row>
    <row r="13909" spans="59:62" x14ac:dyDescent="0.3">
      <c r="BG13909" s="387"/>
      <c r="BH13909" s="386"/>
      <c r="BI13909" s="386"/>
      <c r="BJ13909" s="46"/>
    </row>
    <row r="13910" spans="59:62" x14ac:dyDescent="0.3">
      <c r="BG13910" s="387"/>
      <c r="BH13910" s="386"/>
      <c r="BI13910" s="386"/>
      <c r="BJ13910" s="46"/>
    </row>
    <row r="13911" spans="59:62" x14ac:dyDescent="0.3">
      <c r="BG13911" s="387"/>
      <c r="BH13911" s="386"/>
      <c r="BI13911" s="386"/>
      <c r="BJ13911" s="46"/>
    </row>
    <row r="13912" spans="59:62" x14ac:dyDescent="0.3">
      <c r="BG13912" s="387"/>
      <c r="BH13912" s="386"/>
      <c r="BI13912" s="386"/>
      <c r="BJ13912" s="46"/>
    </row>
    <row r="13913" spans="59:62" x14ac:dyDescent="0.3">
      <c r="BG13913" s="387"/>
      <c r="BH13913" s="386"/>
      <c r="BI13913" s="386"/>
      <c r="BJ13913" s="46"/>
    </row>
    <row r="13914" spans="59:62" x14ac:dyDescent="0.3">
      <c r="BG13914" s="387"/>
      <c r="BH13914" s="386"/>
      <c r="BI13914" s="386"/>
      <c r="BJ13914" s="46"/>
    </row>
    <row r="13915" spans="59:62" x14ac:dyDescent="0.3">
      <c r="BG13915" s="387"/>
      <c r="BH13915" s="386"/>
      <c r="BI13915" s="386"/>
      <c r="BJ13915" s="46"/>
    </row>
    <row r="13916" spans="59:62" x14ac:dyDescent="0.3">
      <c r="BG13916" s="387"/>
      <c r="BH13916" s="386"/>
      <c r="BI13916" s="386"/>
      <c r="BJ13916" s="46"/>
    </row>
    <row r="13917" spans="59:62" x14ac:dyDescent="0.3">
      <c r="BG13917" s="387"/>
      <c r="BH13917" s="386"/>
      <c r="BI13917" s="386"/>
      <c r="BJ13917" s="46"/>
    </row>
    <row r="13918" spans="59:62" x14ac:dyDescent="0.3">
      <c r="BG13918" s="387"/>
      <c r="BH13918" s="386"/>
      <c r="BI13918" s="386"/>
      <c r="BJ13918" s="46"/>
    </row>
    <row r="13919" spans="59:62" x14ac:dyDescent="0.3">
      <c r="BG13919" s="387"/>
      <c r="BH13919" s="386"/>
      <c r="BI13919" s="386"/>
      <c r="BJ13919" s="46"/>
    </row>
    <row r="13920" spans="59:62" x14ac:dyDescent="0.3">
      <c r="BG13920" s="387"/>
      <c r="BH13920" s="386"/>
      <c r="BI13920" s="386"/>
      <c r="BJ13920" s="46"/>
    </row>
    <row r="13921" spans="59:62" x14ac:dyDescent="0.3">
      <c r="BG13921" s="387"/>
      <c r="BH13921" s="386"/>
      <c r="BI13921" s="386"/>
      <c r="BJ13921" s="46"/>
    </row>
    <row r="13922" spans="59:62" x14ac:dyDescent="0.3">
      <c r="BG13922" s="387"/>
      <c r="BH13922" s="386"/>
      <c r="BI13922" s="386"/>
      <c r="BJ13922" s="46"/>
    </row>
    <row r="13923" spans="59:62" x14ac:dyDescent="0.3">
      <c r="BG13923" s="387"/>
      <c r="BH13923" s="386"/>
      <c r="BI13923" s="386"/>
      <c r="BJ13923" s="46"/>
    </row>
    <row r="13924" spans="59:62" x14ac:dyDescent="0.3">
      <c r="BG13924" s="387"/>
      <c r="BH13924" s="386"/>
      <c r="BI13924" s="386"/>
      <c r="BJ13924" s="46"/>
    </row>
    <row r="13925" spans="59:62" x14ac:dyDescent="0.3">
      <c r="BG13925" s="387"/>
      <c r="BH13925" s="386"/>
      <c r="BI13925" s="386"/>
      <c r="BJ13925" s="46"/>
    </row>
    <row r="13926" spans="59:62" x14ac:dyDescent="0.3">
      <c r="BG13926" s="387"/>
      <c r="BH13926" s="386"/>
      <c r="BI13926" s="386"/>
      <c r="BJ13926" s="46"/>
    </row>
    <row r="13927" spans="59:62" x14ac:dyDescent="0.3">
      <c r="BG13927" s="387"/>
      <c r="BH13927" s="386"/>
      <c r="BI13927" s="386"/>
      <c r="BJ13927" s="46"/>
    </row>
    <row r="13928" spans="59:62" x14ac:dyDescent="0.3">
      <c r="BG13928" s="387"/>
      <c r="BH13928" s="386"/>
      <c r="BI13928" s="386"/>
      <c r="BJ13928" s="46"/>
    </row>
    <row r="13929" spans="59:62" x14ac:dyDescent="0.3">
      <c r="BG13929" s="387"/>
      <c r="BH13929" s="386"/>
      <c r="BI13929" s="386"/>
      <c r="BJ13929" s="46"/>
    </row>
    <row r="13930" spans="59:62" x14ac:dyDescent="0.3">
      <c r="BG13930" s="387"/>
      <c r="BH13930" s="386"/>
      <c r="BI13930" s="386"/>
      <c r="BJ13930" s="46"/>
    </row>
    <row r="13931" spans="59:62" x14ac:dyDescent="0.3">
      <c r="BG13931" s="387"/>
      <c r="BH13931" s="386"/>
      <c r="BI13931" s="386"/>
      <c r="BJ13931" s="46"/>
    </row>
    <row r="13932" spans="59:62" x14ac:dyDescent="0.3">
      <c r="BG13932" s="387"/>
      <c r="BH13932" s="386"/>
      <c r="BI13932" s="386"/>
      <c r="BJ13932" s="46"/>
    </row>
    <row r="13933" spans="59:62" x14ac:dyDescent="0.3">
      <c r="BG13933" s="387"/>
      <c r="BH13933" s="386"/>
      <c r="BI13933" s="386"/>
      <c r="BJ13933" s="46"/>
    </row>
    <row r="13934" spans="59:62" x14ac:dyDescent="0.3">
      <c r="BG13934" s="387"/>
      <c r="BH13934" s="386"/>
      <c r="BI13934" s="386"/>
      <c r="BJ13934" s="46"/>
    </row>
    <row r="13935" spans="59:62" x14ac:dyDescent="0.3">
      <c r="BG13935" s="387"/>
      <c r="BH13935" s="386"/>
      <c r="BI13935" s="386"/>
      <c r="BJ13935" s="46"/>
    </row>
    <row r="13936" spans="59:62" x14ac:dyDescent="0.3">
      <c r="BG13936" s="387"/>
      <c r="BH13936" s="386"/>
      <c r="BI13936" s="386"/>
      <c r="BJ13936" s="46"/>
    </row>
    <row r="13937" spans="59:62" x14ac:dyDescent="0.3">
      <c r="BG13937" s="387"/>
      <c r="BH13937" s="386"/>
      <c r="BI13937" s="386"/>
      <c r="BJ13937" s="46"/>
    </row>
    <row r="13938" spans="59:62" x14ac:dyDescent="0.3">
      <c r="BG13938" s="387"/>
      <c r="BH13938" s="386"/>
      <c r="BI13938" s="386"/>
      <c r="BJ13938" s="46"/>
    </row>
    <row r="13939" spans="59:62" x14ac:dyDescent="0.3">
      <c r="BG13939" s="387"/>
      <c r="BH13939" s="386"/>
      <c r="BI13939" s="386"/>
      <c r="BJ13939" s="46"/>
    </row>
    <row r="13940" spans="59:62" x14ac:dyDescent="0.3">
      <c r="BG13940" s="387"/>
      <c r="BH13940" s="386"/>
      <c r="BI13940" s="386"/>
      <c r="BJ13940" s="46"/>
    </row>
    <row r="13941" spans="59:62" x14ac:dyDescent="0.3">
      <c r="BG13941" s="387"/>
      <c r="BH13941" s="386"/>
      <c r="BI13941" s="386"/>
      <c r="BJ13941" s="46"/>
    </row>
    <row r="13942" spans="59:62" x14ac:dyDescent="0.3">
      <c r="BG13942" s="387"/>
      <c r="BH13942" s="386"/>
      <c r="BI13942" s="386"/>
      <c r="BJ13942" s="46"/>
    </row>
    <row r="13943" spans="59:62" x14ac:dyDescent="0.3">
      <c r="BG13943" s="387"/>
      <c r="BH13943" s="386"/>
      <c r="BI13943" s="386"/>
      <c r="BJ13943" s="46"/>
    </row>
    <row r="13944" spans="59:62" x14ac:dyDescent="0.3">
      <c r="BG13944" s="387"/>
      <c r="BH13944" s="386"/>
      <c r="BI13944" s="386"/>
      <c r="BJ13944" s="46"/>
    </row>
    <row r="13945" spans="59:62" x14ac:dyDescent="0.3">
      <c r="BG13945" s="387"/>
      <c r="BH13945" s="386"/>
      <c r="BI13945" s="386"/>
      <c r="BJ13945" s="46"/>
    </row>
    <row r="13946" spans="59:62" x14ac:dyDescent="0.3">
      <c r="BG13946" s="387"/>
      <c r="BH13946" s="386"/>
      <c r="BI13946" s="386"/>
      <c r="BJ13946" s="46"/>
    </row>
    <row r="13947" spans="59:62" x14ac:dyDescent="0.3">
      <c r="BG13947" s="387"/>
      <c r="BH13947" s="386"/>
      <c r="BI13947" s="386"/>
      <c r="BJ13947" s="46"/>
    </row>
    <row r="13948" spans="59:62" x14ac:dyDescent="0.3">
      <c r="BG13948" s="387"/>
      <c r="BH13948" s="386"/>
      <c r="BI13948" s="386"/>
      <c r="BJ13948" s="46"/>
    </row>
    <row r="13949" spans="59:62" x14ac:dyDescent="0.3">
      <c r="BG13949" s="387"/>
      <c r="BH13949" s="386"/>
      <c r="BI13949" s="386"/>
      <c r="BJ13949" s="46"/>
    </row>
    <row r="13950" spans="59:62" x14ac:dyDescent="0.3">
      <c r="BG13950" s="387"/>
      <c r="BH13950" s="386"/>
      <c r="BI13950" s="386"/>
      <c r="BJ13950" s="46"/>
    </row>
    <row r="13951" spans="59:62" x14ac:dyDescent="0.3">
      <c r="BG13951" s="387"/>
      <c r="BH13951" s="386"/>
      <c r="BI13951" s="386"/>
      <c r="BJ13951" s="46"/>
    </row>
    <row r="13952" spans="59:62" x14ac:dyDescent="0.3">
      <c r="BG13952" s="387"/>
      <c r="BH13952" s="386"/>
      <c r="BI13952" s="386"/>
      <c r="BJ13952" s="46"/>
    </row>
    <row r="13953" spans="59:62" x14ac:dyDescent="0.3">
      <c r="BG13953" s="387"/>
      <c r="BH13953" s="386"/>
      <c r="BI13953" s="386"/>
      <c r="BJ13953" s="46"/>
    </row>
    <row r="13954" spans="59:62" x14ac:dyDescent="0.3">
      <c r="BG13954" s="387"/>
      <c r="BH13954" s="386"/>
      <c r="BI13954" s="386"/>
      <c r="BJ13954" s="46"/>
    </row>
    <row r="13955" spans="59:62" x14ac:dyDescent="0.3">
      <c r="BG13955" s="387"/>
      <c r="BH13955" s="386"/>
      <c r="BI13955" s="386"/>
      <c r="BJ13955" s="46"/>
    </row>
    <row r="13956" spans="59:62" x14ac:dyDescent="0.3">
      <c r="BG13956" s="387"/>
      <c r="BH13956" s="386"/>
      <c r="BI13956" s="386"/>
      <c r="BJ13956" s="46"/>
    </row>
    <row r="13957" spans="59:62" x14ac:dyDescent="0.3">
      <c r="BG13957" s="387"/>
      <c r="BH13957" s="386"/>
      <c r="BI13957" s="386"/>
      <c r="BJ13957" s="46"/>
    </row>
    <row r="13958" spans="59:62" x14ac:dyDescent="0.3">
      <c r="BG13958" s="387"/>
      <c r="BH13958" s="386"/>
      <c r="BI13958" s="386"/>
      <c r="BJ13958" s="46"/>
    </row>
    <row r="13959" spans="59:62" x14ac:dyDescent="0.3">
      <c r="BG13959" s="387"/>
      <c r="BH13959" s="386"/>
      <c r="BI13959" s="386"/>
      <c r="BJ13959" s="46"/>
    </row>
    <row r="13960" spans="59:62" x14ac:dyDescent="0.3">
      <c r="BG13960" s="387"/>
      <c r="BH13960" s="386"/>
      <c r="BI13960" s="386"/>
      <c r="BJ13960" s="46"/>
    </row>
    <row r="13961" spans="59:62" x14ac:dyDescent="0.3">
      <c r="BG13961" s="387"/>
      <c r="BH13961" s="386"/>
      <c r="BI13961" s="386"/>
      <c r="BJ13961" s="46"/>
    </row>
    <row r="13962" spans="59:62" x14ac:dyDescent="0.3">
      <c r="BG13962" s="387"/>
      <c r="BH13962" s="386"/>
      <c r="BI13962" s="386"/>
      <c r="BJ13962" s="46"/>
    </row>
    <row r="13963" spans="59:62" x14ac:dyDescent="0.3">
      <c r="BG13963" s="387"/>
      <c r="BH13963" s="386"/>
      <c r="BI13963" s="386"/>
      <c r="BJ13963" s="46"/>
    </row>
    <row r="13964" spans="59:62" x14ac:dyDescent="0.3">
      <c r="BG13964" s="387"/>
      <c r="BH13964" s="386"/>
      <c r="BI13964" s="386"/>
      <c r="BJ13964" s="46"/>
    </row>
    <row r="13965" spans="59:62" x14ac:dyDescent="0.3">
      <c r="BG13965" s="387"/>
      <c r="BH13965" s="386"/>
      <c r="BI13965" s="386"/>
      <c r="BJ13965" s="46"/>
    </row>
    <row r="13966" spans="59:62" x14ac:dyDescent="0.3">
      <c r="BG13966" s="387"/>
      <c r="BH13966" s="386"/>
      <c r="BI13966" s="386"/>
      <c r="BJ13966" s="46"/>
    </row>
    <row r="13967" spans="59:62" x14ac:dyDescent="0.3">
      <c r="BG13967" s="387"/>
      <c r="BH13967" s="386"/>
      <c r="BI13967" s="386"/>
      <c r="BJ13967" s="46"/>
    </row>
    <row r="13968" spans="59:62" x14ac:dyDescent="0.3">
      <c r="BG13968" s="387"/>
      <c r="BH13968" s="386"/>
      <c r="BI13968" s="386"/>
      <c r="BJ13968" s="46"/>
    </row>
    <row r="13969" spans="59:62" x14ac:dyDescent="0.3">
      <c r="BG13969" s="387"/>
      <c r="BH13969" s="386"/>
      <c r="BI13969" s="386"/>
      <c r="BJ13969" s="46"/>
    </row>
    <row r="13970" spans="59:62" x14ac:dyDescent="0.3">
      <c r="BG13970" s="387"/>
      <c r="BH13970" s="386"/>
      <c r="BI13970" s="386"/>
      <c r="BJ13970" s="46"/>
    </row>
    <row r="13971" spans="59:62" x14ac:dyDescent="0.3">
      <c r="BG13971" s="387"/>
      <c r="BH13971" s="386"/>
      <c r="BI13971" s="386"/>
      <c r="BJ13971" s="46"/>
    </row>
    <row r="13972" spans="59:62" x14ac:dyDescent="0.3">
      <c r="BG13972" s="387"/>
      <c r="BH13972" s="386"/>
      <c r="BI13972" s="386"/>
      <c r="BJ13972" s="46"/>
    </row>
    <row r="13973" spans="59:62" x14ac:dyDescent="0.3">
      <c r="BG13973" s="387"/>
      <c r="BH13973" s="386"/>
      <c r="BI13973" s="386"/>
      <c r="BJ13973" s="46"/>
    </row>
    <row r="13974" spans="59:62" x14ac:dyDescent="0.3">
      <c r="BG13974" s="387"/>
      <c r="BH13974" s="386"/>
      <c r="BI13974" s="386"/>
      <c r="BJ13974" s="46"/>
    </row>
    <row r="13975" spans="59:62" x14ac:dyDescent="0.3">
      <c r="BG13975" s="387"/>
      <c r="BH13975" s="386"/>
      <c r="BI13975" s="386"/>
      <c r="BJ13975" s="46"/>
    </row>
    <row r="13976" spans="59:62" x14ac:dyDescent="0.3">
      <c r="BG13976" s="387"/>
      <c r="BH13976" s="386"/>
      <c r="BI13976" s="386"/>
      <c r="BJ13976" s="46"/>
    </row>
    <row r="13977" spans="59:62" x14ac:dyDescent="0.3">
      <c r="BG13977" s="387"/>
      <c r="BH13977" s="386"/>
      <c r="BI13977" s="386"/>
      <c r="BJ13977" s="46"/>
    </row>
    <row r="13978" spans="59:62" x14ac:dyDescent="0.3">
      <c r="BG13978" s="387"/>
      <c r="BH13978" s="386"/>
      <c r="BI13978" s="386"/>
      <c r="BJ13978" s="46"/>
    </row>
    <row r="13979" spans="59:62" x14ac:dyDescent="0.3">
      <c r="BG13979" s="387"/>
      <c r="BH13979" s="386"/>
      <c r="BI13979" s="386"/>
      <c r="BJ13979" s="46"/>
    </row>
    <row r="13980" spans="59:62" x14ac:dyDescent="0.3">
      <c r="BG13980" s="387"/>
      <c r="BH13980" s="386"/>
      <c r="BI13980" s="386"/>
      <c r="BJ13980" s="46"/>
    </row>
    <row r="13981" spans="59:62" x14ac:dyDescent="0.3">
      <c r="BG13981" s="387"/>
      <c r="BH13981" s="386"/>
      <c r="BI13981" s="386"/>
      <c r="BJ13981" s="46"/>
    </row>
    <row r="13982" spans="59:62" x14ac:dyDescent="0.3">
      <c r="BG13982" s="387"/>
      <c r="BH13982" s="386"/>
      <c r="BI13982" s="386"/>
      <c r="BJ13982" s="46"/>
    </row>
    <row r="13983" spans="59:62" x14ac:dyDescent="0.3">
      <c r="BG13983" s="387"/>
      <c r="BH13983" s="386"/>
      <c r="BI13983" s="386"/>
      <c r="BJ13983" s="46"/>
    </row>
    <row r="13984" spans="59:62" x14ac:dyDescent="0.3">
      <c r="BG13984" s="387"/>
      <c r="BH13984" s="386"/>
      <c r="BI13984" s="386"/>
      <c r="BJ13984" s="46"/>
    </row>
    <row r="13985" spans="59:62" x14ac:dyDescent="0.3">
      <c r="BG13985" s="387"/>
      <c r="BH13985" s="386"/>
      <c r="BI13985" s="386"/>
      <c r="BJ13985" s="46"/>
    </row>
    <row r="13986" spans="59:62" x14ac:dyDescent="0.3">
      <c r="BG13986" s="387"/>
      <c r="BH13986" s="386"/>
      <c r="BI13986" s="386"/>
      <c r="BJ13986" s="46"/>
    </row>
    <row r="13987" spans="59:62" x14ac:dyDescent="0.3">
      <c r="BG13987" s="387"/>
      <c r="BH13987" s="386"/>
      <c r="BI13987" s="386"/>
      <c r="BJ13987" s="46"/>
    </row>
    <row r="13988" spans="59:62" x14ac:dyDescent="0.3">
      <c r="BG13988" s="387"/>
      <c r="BH13988" s="386"/>
      <c r="BI13988" s="386"/>
      <c r="BJ13988" s="46"/>
    </row>
    <row r="13989" spans="59:62" x14ac:dyDescent="0.3">
      <c r="BG13989" s="387"/>
      <c r="BH13989" s="386"/>
      <c r="BI13989" s="386"/>
      <c r="BJ13989" s="46"/>
    </row>
    <row r="13990" spans="59:62" x14ac:dyDescent="0.3">
      <c r="BG13990" s="387"/>
      <c r="BH13990" s="386"/>
      <c r="BI13990" s="386"/>
      <c r="BJ13990" s="46"/>
    </row>
    <row r="13991" spans="59:62" x14ac:dyDescent="0.3">
      <c r="BG13991" s="387"/>
      <c r="BH13991" s="386"/>
      <c r="BI13991" s="386"/>
      <c r="BJ13991" s="46"/>
    </row>
    <row r="13992" spans="59:62" x14ac:dyDescent="0.3">
      <c r="BG13992" s="387"/>
      <c r="BH13992" s="386"/>
      <c r="BI13992" s="386"/>
      <c r="BJ13992" s="46"/>
    </row>
    <row r="13993" spans="59:62" x14ac:dyDescent="0.3">
      <c r="BG13993" s="387"/>
      <c r="BH13993" s="386"/>
      <c r="BI13993" s="386"/>
      <c r="BJ13993" s="46"/>
    </row>
    <row r="13994" spans="59:62" x14ac:dyDescent="0.3">
      <c r="BG13994" s="387"/>
      <c r="BH13994" s="386"/>
      <c r="BI13994" s="386"/>
      <c r="BJ13994" s="46"/>
    </row>
    <row r="13995" spans="59:62" x14ac:dyDescent="0.3">
      <c r="BG13995" s="387"/>
      <c r="BH13995" s="386"/>
      <c r="BI13995" s="386"/>
      <c r="BJ13995" s="46"/>
    </row>
    <row r="13996" spans="59:62" x14ac:dyDescent="0.3">
      <c r="BG13996" s="387"/>
      <c r="BH13996" s="386"/>
      <c r="BI13996" s="386"/>
      <c r="BJ13996" s="46"/>
    </row>
    <row r="13997" spans="59:62" x14ac:dyDescent="0.3">
      <c r="BG13997" s="387"/>
      <c r="BH13997" s="386"/>
      <c r="BI13997" s="386"/>
      <c r="BJ13997" s="46"/>
    </row>
    <row r="13998" spans="59:62" x14ac:dyDescent="0.3">
      <c r="BG13998" s="387"/>
      <c r="BH13998" s="386"/>
      <c r="BI13998" s="386"/>
      <c r="BJ13998" s="46"/>
    </row>
    <row r="13999" spans="59:62" x14ac:dyDescent="0.3">
      <c r="BG13999" s="387"/>
      <c r="BH13999" s="386"/>
      <c r="BI13999" s="386"/>
      <c r="BJ13999" s="46"/>
    </row>
    <row r="14000" spans="59:62" x14ac:dyDescent="0.3">
      <c r="BG14000" s="387"/>
      <c r="BH14000" s="386"/>
      <c r="BI14000" s="386"/>
      <c r="BJ14000" s="46"/>
    </row>
    <row r="14001" spans="59:62" x14ac:dyDescent="0.3">
      <c r="BG14001" s="387"/>
      <c r="BH14001" s="386"/>
      <c r="BI14001" s="386"/>
      <c r="BJ14001" s="46"/>
    </row>
    <row r="14002" spans="59:62" x14ac:dyDescent="0.3">
      <c r="BG14002" s="387"/>
      <c r="BH14002" s="386"/>
      <c r="BI14002" s="386"/>
      <c r="BJ14002" s="46"/>
    </row>
    <row r="14003" spans="59:62" x14ac:dyDescent="0.3">
      <c r="BG14003" s="387"/>
      <c r="BH14003" s="386"/>
      <c r="BI14003" s="386"/>
      <c r="BJ14003" s="46"/>
    </row>
    <row r="14004" spans="59:62" x14ac:dyDescent="0.3">
      <c r="BG14004" s="387"/>
      <c r="BH14004" s="386"/>
      <c r="BI14004" s="386"/>
      <c r="BJ14004" s="46"/>
    </row>
    <row r="14005" spans="59:62" x14ac:dyDescent="0.3">
      <c r="BG14005" s="387"/>
      <c r="BH14005" s="386"/>
      <c r="BI14005" s="386"/>
      <c r="BJ14005" s="46"/>
    </row>
    <row r="14006" spans="59:62" x14ac:dyDescent="0.3">
      <c r="BG14006" s="387"/>
      <c r="BH14006" s="386"/>
      <c r="BI14006" s="386"/>
      <c r="BJ14006" s="46"/>
    </row>
    <row r="14007" spans="59:62" x14ac:dyDescent="0.3">
      <c r="BG14007" s="387"/>
      <c r="BH14007" s="386"/>
      <c r="BI14007" s="386"/>
      <c r="BJ14007" s="46"/>
    </row>
    <row r="14008" spans="59:62" x14ac:dyDescent="0.3">
      <c r="BG14008" s="387"/>
      <c r="BH14008" s="386"/>
      <c r="BI14008" s="386"/>
      <c r="BJ14008" s="46"/>
    </row>
    <row r="14009" spans="59:62" x14ac:dyDescent="0.3">
      <c r="BG14009" s="387"/>
      <c r="BH14009" s="386"/>
      <c r="BI14009" s="386"/>
      <c r="BJ14009" s="46"/>
    </row>
    <row r="14010" spans="59:62" x14ac:dyDescent="0.3">
      <c r="BG14010" s="387"/>
      <c r="BH14010" s="386"/>
      <c r="BI14010" s="386"/>
      <c r="BJ14010" s="46"/>
    </row>
    <row r="14011" spans="59:62" x14ac:dyDescent="0.3">
      <c r="BG14011" s="387"/>
      <c r="BH14011" s="386"/>
      <c r="BI14011" s="386"/>
      <c r="BJ14011" s="46"/>
    </row>
    <row r="14012" spans="59:62" x14ac:dyDescent="0.3">
      <c r="BG14012" s="387"/>
      <c r="BH14012" s="386"/>
      <c r="BI14012" s="386"/>
      <c r="BJ14012" s="46"/>
    </row>
    <row r="14013" spans="59:62" x14ac:dyDescent="0.3">
      <c r="BG14013" s="387"/>
      <c r="BH14013" s="386"/>
      <c r="BI14013" s="386"/>
      <c r="BJ14013" s="46"/>
    </row>
    <row r="14014" spans="59:62" x14ac:dyDescent="0.3">
      <c r="BG14014" s="387"/>
      <c r="BH14014" s="386"/>
      <c r="BI14014" s="386"/>
      <c r="BJ14014" s="46"/>
    </row>
    <row r="14015" spans="59:62" x14ac:dyDescent="0.3">
      <c r="BG14015" s="387"/>
      <c r="BH14015" s="386"/>
      <c r="BI14015" s="386"/>
      <c r="BJ14015" s="46"/>
    </row>
    <row r="14016" spans="59:62" x14ac:dyDescent="0.3">
      <c r="BG14016" s="387"/>
      <c r="BH14016" s="386"/>
      <c r="BI14016" s="386"/>
      <c r="BJ14016" s="46"/>
    </row>
    <row r="14017" spans="59:62" x14ac:dyDescent="0.3">
      <c r="BG14017" s="387"/>
      <c r="BH14017" s="386"/>
      <c r="BI14017" s="386"/>
      <c r="BJ14017" s="46"/>
    </row>
    <row r="14018" spans="59:62" x14ac:dyDescent="0.3">
      <c r="BG14018" s="387"/>
      <c r="BH14018" s="386"/>
      <c r="BI14018" s="386"/>
      <c r="BJ14018" s="46"/>
    </row>
    <row r="14019" spans="59:62" x14ac:dyDescent="0.3">
      <c r="BG14019" s="387"/>
      <c r="BH14019" s="386"/>
      <c r="BI14019" s="386"/>
      <c r="BJ14019" s="46"/>
    </row>
    <row r="14020" spans="59:62" x14ac:dyDescent="0.3">
      <c r="BG14020" s="387"/>
      <c r="BH14020" s="386"/>
      <c r="BI14020" s="386"/>
      <c r="BJ14020" s="46"/>
    </row>
    <row r="14021" spans="59:62" x14ac:dyDescent="0.3">
      <c r="BG14021" s="387"/>
      <c r="BH14021" s="386"/>
      <c r="BI14021" s="386"/>
      <c r="BJ14021" s="46"/>
    </row>
    <row r="14022" spans="59:62" x14ac:dyDescent="0.3">
      <c r="BG14022" s="387"/>
      <c r="BH14022" s="386"/>
      <c r="BI14022" s="386"/>
      <c r="BJ14022" s="46"/>
    </row>
    <row r="14023" spans="59:62" x14ac:dyDescent="0.3">
      <c r="BG14023" s="387"/>
      <c r="BH14023" s="386"/>
      <c r="BI14023" s="386"/>
      <c r="BJ14023" s="46"/>
    </row>
    <row r="14024" spans="59:62" x14ac:dyDescent="0.3">
      <c r="BG14024" s="387"/>
      <c r="BH14024" s="386"/>
      <c r="BI14024" s="386"/>
      <c r="BJ14024" s="46"/>
    </row>
    <row r="14025" spans="59:62" x14ac:dyDescent="0.3">
      <c r="BG14025" s="387"/>
      <c r="BH14025" s="386"/>
      <c r="BI14025" s="386"/>
      <c r="BJ14025" s="46"/>
    </row>
    <row r="14026" spans="59:62" x14ac:dyDescent="0.3">
      <c r="BG14026" s="387"/>
      <c r="BH14026" s="386"/>
      <c r="BI14026" s="386"/>
      <c r="BJ14026" s="46"/>
    </row>
    <row r="14027" spans="59:62" x14ac:dyDescent="0.3">
      <c r="BG14027" s="387"/>
      <c r="BH14027" s="386"/>
      <c r="BI14027" s="386"/>
      <c r="BJ14027" s="46"/>
    </row>
    <row r="14028" spans="59:62" x14ac:dyDescent="0.3">
      <c r="BG14028" s="387"/>
      <c r="BH14028" s="386"/>
      <c r="BI14028" s="386"/>
      <c r="BJ14028" s="46"/>
    </row>
    <row r="14029" spans="59:62" x14ac:dyDescent="0.3">
      <c r="BG14029" s="387"/>
      <c r="BH14029" s="386"/>
      <c r="BI14029" s="386"/>
      <c r="BJ14029" s="46"/>
    </row>
    <row r="14030" spans="59:62" x14ac:dyDescent="0.3">
      <c r="BG14030" s="387"/>
      <c r="BH14030" s="386"/>
      <c r="BI14030" s="386"/>
      <c r="BJ14030" s="46"/>
    </row>
    <row r="14031" spans="59:62" x14ac:dyDescent="0.3">
      <c r="BG14031" s="387"/>
      <c r="BH14031" s="386"/>
      <c r="BI14031" s="386"/>
      <c r="BJ14031" s="46"/>
    </row>
    <row r="14032" spans="59:62" x14ac:dyDescent="0.3">
      <c r="BG14032" s="387"/>
      <c r="BH14032" s="386"/>
      <c r="BI14032" s="386"/>
      <c r="BJ14032" s="46"/>
    </row>
    <row r="14033" spans="59:62" x14ac:dyDescent="0.3">
      <c r="BG14033" s="387"/>
      <c r="BH14033" s="386"/>
      <c r="BI14033" s="386"/>
      <c r="BJ14033" s="46"/>
    </row>
    <row r="14034" spans="59:62" x14ac:dyDescent="0.3">
      <c r="BG14034" s="387"/>
      <c r="BH14034" s="386"/>
      <c r="BI14034" s="386"/>
      <c r="BJ14034" s="46"/>
    </row>
    <row r="14035" spans="59:62" x14ac:dyDescent="0.3">
      <c r="BG14035" s="387"/>
      <c r="BH14035" s="386"/>
      <c r="BI14035" s="386"/>
      <c r="BJ14035" s="46"/>
    </row>
    <row r="14036" spans="59:62" x14ac:dyDescent="0.3">
      <c r="BG14036" s="387"/>
      <c r="BH14036" s="386"/>
      <c r="BI14036" s="386"/>
      <c r="BJ14036" s="46"/>
    </row>
    <row r="14037" spans="59:62" x14ac:dyDescent="0.3">
      <c r="BG14037" s="387"/>
      <c r="BH14037" s="386"/>
      <c r="BI14037" s="386"/>
      <c r="BJ14037" s="46"/>
    </row>
    <row r="14038" spans="59:62" x14ac:dyDescent="0.3">
      <c r="BG14038" s="387"/>
      <c r="BH14038" s="386"/>
      <c r="BI14038" s="386"/>
      <c r="BJ14038" s="46"/>
    </row>
    <row r="14039" spans="59:62" x14ac:dyDescent="0.3">
      <c r="BG14039" s="387"/>
      <c r="BH14039" s="386"/>
      <c r="BI14039" s="386"/>
      <c r="BJ14039" s="46"/>
    </row>
    <row r="14040" spans="59:62" x14ac:dyDescent="0.3">
      <c r="BG14040" s="387"/>
      <c r="BH14040" s="386"/>
      <c r="BI14040" s="386"/>
      <c r="BJ14040" s="46"/>
    </row>
    <row r="14041" spans="59:62" x14ac:dyDescent="0.3">
      <c r="BG14041" s="387"/>
      <c r="BH14041" s="386"/>
      <c r="BI14041" s="386"/>
      <c r="BJ14041" s="46"/>
    </row>
    <row r="14042" spans="59:62" x14ac:dyDescent="0.3">
      <c r="BG14042" s="387"/>
      <c r="BH14042" s="386"/>
      <c r="BI14042" s="386"/>
      <c r="BJ14042" s="46"/>
    </row>
    <row r="14043" spans="59:62" x14ac:dyDescent="0.3">
      <c r="BG14043" s="387"/>
      <c r="BH14043" s="386"/>
      <c r="BI14043" s="386"/>
      <c r="BJ14043" s="46"/>
    </row>
    <row r="14044" spans="59:62" x14ac:dyDescent="0.3">
      <c r="BG14044" s="387"/>
      <c r="BH14044" s="386"/>
      <c r="BI14044" s="386"/>
      <c r="BJ14044" s="46"/>
    </row>
    <row r="14045" spans="59:62" x14ac:dyDescent="0.3">
      <c r="BG14045" s="387"/>
      <c r="BH14045" s="386"/>
      <c r="BI14045" s="386"/>
      <c r="BJ14045" s="46"/>
    </row>
    <row r="14046" spans="59:62" x14ac:dyDescent="0.3">
      <c r="BG14046" s="387"/>
      <c r="BH14046" s="386"/>
      <c r="BI14046" s="386"/>
      <c r="BJ14046" s="46"/>
    </row>
    <row r="14047" spans="59:62" x14ac:dyDescent="0.3">
      <c r="BG14047" s="387"/>
      <c r="BH14047" s="386"/>
      <c r="BI14047" s="386"/>
      <c r="BJ14047" s="46"/>
    </row>
    <row r="14048" spans="59:62" x14ac:dyDescent="0.3">
      <c r="BG14048" s="387"/>
      <c r="BH14048" s="386"/>
      <c r="BI14048" s="386"/>
      <c r="BJ14048" s="46"/>
    </row>
    <row r="14049" spans="59:62" x14ac:dyDescent="0.3">
      <c r="BG14049" s="387"/>
      <c r="BH14049" s="386"/>
      <c r="BI14049" s="386"/>
      <c r="BJ14049" s="46"/>
    </row>
    <row r="14050" spans="59:62" x14ac:dyDescent="0.3">
      <c r="BG14050" s="387"/>
      <c r="BH14050" s="386"/>
      <c r="BI14050" s="386"/>
      <c r="BJ14050" s="46"/>
    </row>
    <row r="14051" spans="59:62" x14ac:dyDescent="0.3">
      <c r="BG14051" s="387"/>
      <c r="BH14051" s="386"/>
      <c r="BI14051" s="386"/>
      <c r="BJ14051" s="46"/>
    </row>
    <row r="14052" spans="59:62" x14ac:dyDescent="0.3">
      <c r="BG14052" s="387"/>
      <c r="BH14052" s="386"/>
      <c r="BI14052" s="386"/>
      <c r="BJ14052" s="46"/>
    </row>
    <row r="14053" spans="59:62" x14ac:dyDescent="0.3">
      <c r="BG14053" s="387"/>
      <c r="BH14053" s="386"/>
      <c r="BI14053" s="386"/>
      <c r="BJ14053" s="46"/>
    </row>
    <row r="14054" spans="59:62" x14ac:dyDescent="0.3">
      <c r="BG14054" s="387"/>
      <c r="BH14054" s="386"/>
      <c r="BI14054" s="386"/>
      <c r="BJ14054" s="46"/>
    </row>
    <row r="14055" spans="59:62" x14ac:dyDescent="0.3">
      <c r="BG14055" s="387"/>
      <c r="BH14055" s="386"/>
      <c r="BI14055" s="386"/>
      <c r="BJ14055" s="46"/>
    </row>
    <row r="14056" spans="59:62" x14ac:dyDescent="0.3">
      <c r="BG14056" s="387"/>
      <c r="BH14056" s="386"/>
      <c r="BI14056" s="386"/>
      <c r="BJ14056" s="46"/>
    </row>
    <row r="14057" spans="59:62" x14ac:dyDescent="0.3">
      <c r="BG14057" s="387"/>
      <c r="BH14057" s="386"/>
      <c r="BI14057" s="386"/>
      <c r="BJ14057" s="46"/>
    </row>
    <row r="14058" spans="59:62" x14ac:dyDescent="0.3">
      <c r="BG14058" s="387"/>
      <c r="BH14058" s="386"/>
      <c r="BI14058" s="386"/>
      <c r="BJ14058" s="46"/>
    </row>
    <row r="14059" spans="59:62" x14ac:dyDescent="0.3">
      <c r="BG14059" s="387"/>
      <c r="BH14059" s="386"/>
      <c r="BI14059" s="386"/>
      <c r="BJ14059" s="46"/>
    </row>
    <row r="14060" spans="59:62" x14ac:dyDescent="0.3">
      <c r="BG14060" s="387"/>
      <c r="BH14060" s="386"/>
      <c r="BI14060" s="386"/>
      <c r="BJ14060" s="46"/>
    </row>
    <row r="14061" spans="59:62" x14ac:dyDescent="0.3">
      <c r="BG14061" s="387"/>
      <c r="BH14061" s="386"/>
      <c r="BI14061" s="386"/>
      <c r="BJ14061" s="46"/>
    </row>
    <row r="14062" spans="59:62" x14ac:dyDescent="0.3">
      <c r="BG14062" s="387"/>
      <c r="BH14062" s="386"/>
      <c r="BI14062" s="386"/>
      <c r="BJ14062" s="46"/>
    </row>
    <row r="14063" spans="59:62" x14ac:dyDescent="0.3">
      <c r="BG14063" s="387"/>
      <c r="BH14063" s="386"/>
      <c r="BI14063" s="386"/>
      <c r="BJ14063" s="46"/>
    </row>
    <row r="14064" spans="59:62" x14ac:dyDescent="0.3">
      <c r="BG14064" s="387"/>
      <c r="BH14064" s="386"/>
      <c r="BI14064" s="386"/>
      <c r="BJ14064" s="46"/>
    </row>
    <row r="14065" spans="59:62" x14ac:dyDescent="0.3">
      <c r="BG14065" s="387"/>
      <c r="BH14065" s="386"/>
      <c r="BI14065" s="386"/>
      <c r="BJ14065" s="46"/>
    </row>
    <row r="14066" spans="59:62" x14ac:dyDescent="0.3">
      <c r="BG14066" s="387"/>
      <c r="BH14066" s="386"/>
      <c r="BI14066" s="386"/>
      <c r="BJ14066" s="46"/>
    </row>
    <row r="14067" spans="59:62" x14ac:dyDescent="0.3">
      <c r="BG14067" s="387"/>
      <c r="BH14067" s="386"/>
      <c r="BI14067" s="386"/>
      <c r="BJ14067" s="46"/>
    </row>
    <row r="14068" spans="59:62" x14ac:dyDescent="0.3">
      <c r="BG14068" s="387"/>
      <c r="BH14068" s="386"/>
      <c r="BI14068" s="386"/>
      <c r="BJ14068" s="46"/>
    </row>
    <row r="14069" spans="59:62" x14ac:dyDescent="0.3">
      <c r="BG14069" s="387"/>
      <c r="BH14069" s="386"/>
      <c r="BI14069" s="386"/>
      <c r="BJ14069" s="46"/>
    </row>
    <row r="14070" spans="59:62" x14ac:dyDescent="0.3">
      <c r="BG14070" s="387"/>
      <c r="BH14070" s="386"/>
      <c r="BI14070" s="386"/>
      <c r="BJ14070" s="46"/>
    </row>
    <row r="14071" spans="59:62" x14ac:dyDescent="0.3">
      <c r="BG14071" s="387"/>
      <c r="BH14071" s="386"/>
      <c r="BI14071" s="386"/>
      <c r="BJ14071" s="46"/>
    </row>
    <row r="14072" spans="59:62" x14ac:dyDescent="0.3">
      <c r="BG14072" s="387"/>
      <c r="BH14072" s="386"/>
      <c r="BI14072" s="386"/>
      <c r="BJ14072" s="46"/>
    </row>
    <row r="14073" spans="59:62" x14ac:dyDescent="0.3">
      <c r="BG14073" s="387"/>
      <c r="BH14073" s="386"/>
      <c r="BI14073" s="386"/>
      <c r="BJ14073" s="46"/>
    </row>
    <row r="14074" spans="59:62" x14ac:dyDescent="0.3">
      <c r="BG14074" s="387"/>
      <c r="BH14074" s="386"/>
      <c r="BI14074" s="386"/>
      <c r="BJ14074" s="46"/>
    </row>
    <row r="14075" spans="59:62" x14ac:dyDescent="0.3">
      <c r="BG14075" s="387"/>
      <c r="BH14075" s="386"/>
      <c r="BI14075" s="386"/>
      <c r="BJ14075" s="46"/>
    </row>
    <row r="14076" spans="59:62" x14ac:dyDescent="0.3">
      <c r="BG14076" s="387"/>
      <c r="BH14076" s="386"/>
      <c r="BI14076" s="386"/>
      <c r="BJ14076" s="46"/>
    </row>
    <row r="14077" spans="59:62" x14ac:dyDescent="0.3">
      <c r="BG14077" s="387"/>
      <c r="BH14077" s="386"/>
      <c r="BI14077" s="386"/>
      <c r="BJ14077" s="46"/>
    </row>
    <row r="14078" spans="59:62" x14ac:dyDescent="0.3">
      <c r="BG14078" s="387"/>
      <c r="BH14078" s="386"/>
      <c r="BI14078" s="386"/>
      <c r="BJ14078" s="46"/>
    </row>
    <row r="14079" spans="59:62" x14ac:dyDescent="0.3">
      <c r="BG14079" s="387"/>
      <c r="BH14079" s="386"/>
      <c r="BI14079" s="386"/>
      <c r="BJ14079" s="46"/>
    </row>
    <row r="14080" spans="59:62" x14ac:dyDescent="0.3">
      <c r="BG14080" s="387"/>
      <c r="BH14080" s="386"/>
      <c r="BI14080" s="386"/>
      <c r="BJ14080" s="46"/>
    </row>
    <row r="14081" spans="59:62" x14ac:dyDescent="0.3">
      <c r="BG14081" s="387"/>
      <c r="BH14081" s="386"/>
      <c r="BI14081" s="386"/>
      <c r="BJ14081" s="46"/>
    </row>
    <row r="14082" spans="59:62" x14ac:dyDescent="0.3">
      <c r="BG14082" s="387"/>
      <c r="BH14082" s="386"/>
      <c r="BI14082" s="386"/>
      <c r="BJ14082" s="46"/>
    </row>
    <row r="14083" spans="59:62" x14ac:dyDescent="0.3">
      <c r="BG14083" s="387"/>
      <c r="BH14083" s="386"/>
      <c r="BI14083" s="386"/>
      <c r="BJ14083" s="46"/>
    </row>
    <row r="14084" spans="59:62" x14ac:dyDescent="0.3">
      <c r="BG14084" s="387"/>
      <c r="BH14084" s="386"/>
      <c r="BI14084" s="386"/>
      <c r="BJ14084" s="46"/>
    </row>
    <row r="14085" spans="59:62" x14ac:dyDescent="0.3">
      <c r="BG14085" s="387"/>
      <c r="BH14085" s="386"/>
      <c r="BI14085" s="386"/>
      <c r="BJ14085" s="46"/>
    </row>
    <row r="14086" spans="59:62" x14ac:dyDescent="0.3">
      <c r="BG14086" s="387"/>
      <c r="BH14086" s="386"/>
      <c r="BI14086" s="386"/>
      <c r="BJ14086" s="46"/>
    </row>
    <row r="14087" spans="59:62" x14ac:dyDescent="0.3">
      <c r="BG14087" s="387"/>
      <c r="BH14087" s="386"/>
      <c r="BI14087" s="386"/>
      <c r="BJ14087" s="46"/>
    </row>
    <row r="14088" spans="59:62" x14ac:dyDescent="0.3">
      <c r="BG14088" s="387"/>
      <c r="BH14088" s="386"/>
      <c r="BI14088" s="386"/>
      <c r="BJ14088" s="46"/>
    </row>
    <row r="14089" spans="59:62" x14ac:dyDescent="0.3">
      <c r="BG14089" s="387"/>
      <c r="BH14089" s="386"/>
      <c r="BI14089" s="386"/>
      <c r="BJ14089" s="46"/>
    </row>
    <row r="14090" spans="59:62" x14ac:dyDescent="0.3">
      <c r="BG14090" s="387"/>
      <c r="BH14090" s="386"/>
      <c r="BI14090" s="386"/>
      <c r="BJ14090" s="46"/>
    </row>
    <row r="14091" spans="59:62" x14ac:dyDescent="0.3">
      <c r="BG14091" s="387"/>
      <c r="BH14091" s="386"/>
      <c r="BI14091" s="386"/>
      <c r="BJ14091" s="46"/>
    </row>
    <row r="14092" spans="59:62" x14ac:dyDescent="0.3">
      <c r="BG14092" s="387"/>
      <c r="BH14092" s="386"/>
      <c r="BI14092" s="386"/>
      <c r="BJ14092" s="46"/>
    </row>
    <row r="14093" spans="59:62" x14ac:dyDescent="0.3">
      <c r="BG14093" s="387"/>
      <c r="BH14093" s="386"/>
      <c r="BI14093" s="386"/>
      <c r="BJ14093" s="46"/>
    </row>
    <row r="14094" spans="59:62" x14ac:dyDescent="0.3">
      <c r="BG14094" s="387"/>
      <c r="BH14094" s="386"/>
      <c r="BI14094" s="386"/>
      <c r="BJ14094" s="46"/>
    </row>
    <row r="14095" spans="59:62" x14ac:dyDescent="0.3">
      <c r="BG14095" s="387"/>
      <c r="BH14095" s="386"/>
      <c r="BI14095" s="386"/>
      <c r="BJ14095" s="46"/>
    </row>
    <row r="14096" spans="59:62" x14ac:dyDescent="0.3">
      <c r="BG14096" s="387"/>
      <c r="BH14096" s="386"/>
      <c r="BI14096" s="386"/>
      <c r="BJ14096" s="46"/>
    </row>
    <row r="14097" spans="59:62" x14ac:dyDescent="0.3">
      <c r="BG14097" s="387"/>
      <c r="BH14097" s="386"/>
      <c r="BI14097" s="386"/>
      <c r="BJ14097" s="46"/>
    </row>
    <row r="14098" spans="59:62" x14ac:dyDescent="0.3">
      <c r="BG14098" s="387"/>
      <c r="BH14098" s="386"/>
      <c r="BI14098" s="386"/>
      <c r="BJ14098" s="46"/>
    </row>
    <row r="14099" spans="59:62" x14ac:dyDescent="0.3">
      <c r="BG14099" s="387"/>
      <c r="BH14099" s="386"/>
      <c r="BI14099" s="386"/>
      <c r="BJ14099" s="46"/>
    </row>
    <row r="14100" spans="59:62" x14ac:dyDescent="0.3">
      <c r="BG14100" s="387"/>
      <c r="BH14100" s="386"/>
      <c r="BI14100" s="386"/>
      <c r="BJ14100" s="46"/>
    </row>
    <row r="14101" spans="59:62" x14ac:dyDescent="0.3">
      <c r="BG14101" s="387"/>
      <c r="BH14101" s="386"/>
      <c r="BI14101" s="386"/>
      <c r="BJ14101" s="46"/>
    </row>
    <row r="14102" spans="59:62" x14ac:dyDescent="0.3">
      <c r="BG14102" s="387"/>
      <c r="BH14102" s="386"/>
      <c r="BI14102" s="386"/>
      <c r="BJ14102" s="46"/>
    </row>
    <row r="14103" spans="59:62" x14ac:dyDescent="0.3">
      <c r="BG14103" s="387"/>
      <c r="BH14103" s="386"/>
      <c r="BI14103" s="386"/>
      <c r="BJ14103" s="46"/>
    </row>
    <row r="14104" spans="59:62" x14ac:dyDescent="0.3">
      <c r="BG14104" s="387"/>
      <c r="BH14104" s="386"/>
      <c r="BI14104" s="386"/>
      <c r="BJ14104" s="46"/>
    </row>
    <row r="14105" spans="59:62" x14ac:dyDescent="0.3">
      <c r="BG14105" s="387"/>
      <c r="BH14105" s="386"/>
      <c r="BI14105" s="386"/>
      <c r="BJ14105" s="46"/>
    </row>
    <row r="14106" spans="59:62" x14ac:dyDescent="0.3">
      <c r="BG14106" s="387"/>
      <c r="BH14106" s="386"/>
      <c r="BI14106" s="386"/>
      <c r="BJ14106" s="46"/>
    </row>
    <row r="14107" spans="59:62" x14ac:dyDescent="0.3">
      <c r="BG14107" s="387"/>
      <c r="BH14107" s="386"/>
      <c r="BI14107" s="386"/>
      <c r="BJ14107" s="46"/>
    </row>
    <row r="14108" spans="59:62" x14ac:dyDescent="0.3">
      <c r="BG14108" s="387"/>
      <c r="BH14108" s="386"/>
      <c r="BI14108" s="386"/>
      <c r="BJ14108" s="46"/>
    </row>
    <row r="14109" spans="59:62" x14ac:dyDescent="0.3">
      <c r="BG14109" s="387"/>
      <c r="BH14109" s="386"/>
      <c r="BI14109" s="386"/>
      <c r="BJ14109" s="46"/>
    </row>
    <row r="14110" spans="59:62" x14ac:dyDescent="0.3">
      <c r="BG14110" s="387"/>
      <c r="BH14110" s="386"/>
      <c r="BI14110" s="386"/>
      <c r="BJ14110" s="46"/>
    </row>
    <row r="14111" spans="59:62" x14ac:dyDescent="0.3">
      <c r="BG14111" s="387"/>
      <c r="BH14111" s="386"/>
      <c r="BI14111" s="386"/>
      <c r="BJ14111" s="46"/>
    </row>
    <row r="14112" spans="59:62" x14ac:dyDescent="0.3">
      <c r="BG14112" s="387"/>
      <c r="BH14112" s="386"/>
      <c r="BI14112" s="386"/>
      <c r="BJ14112" s="46"/>
    </row>
    <row r="14113" spans="59:62" x14ac:dyDescent="0.3">
      <c r="BG14113" s="387"/>
      <c r="BH14113" s="386"/>
      <c r="BI14113" s="386"/>
      <c r="BJ14113" s="46"/>
    </row>
    <row r="14114" spans="59:62" x14ac:dyDescent="0.3">
      <c r="BG14114" s="387"/>
      <c r="BH14114" s="386"/>
      <c r="BI14114" s="386"/>
      <c r="BJ14114" s="46"/>
    </row>
    <row r="14115" spans="59:62" x14ac:dyDescent="0.3">
      <c r="BG14115" s="387"/>
      <c r="BH14115" s="386"/>
      <c r="BI14115" s="386"/>
      <c r="BJ14115" s="46"/>
    </row>
    <row r="14116" spans="59:62" x14ac:dyDescent="0.3">
      <c r="BG14116" s="387"/>
      <c r="BH14116" s="386"/>
      <c r="BI14116" s="386"/>
      <c r="BJ14116" s="46"/>
    </row>
    <row r="14117" spans="59:62" x14ac:dyDescent="0.3">
      <c r="BG14117" s="387"/>
      <c r="BH14117" s="386"/>
      <c r="BI14117" s="386"/>
      <c r="BJ14117" s="46"/>
    </row>
    <row r="14118" spans="59:62" x14ac:dyDescent="0.3">
      <c r="BG14118" s="387"/>
      <c r="BH14118" s="386"/>
      <c r="BI14118" s="386"/>
      <c r="BJ14118" s="46"/>
    </row>
    <row r="14119" spans="59:62" x14ac:dyDescent="0.3">
      <c r="BG14119" s="387"/>
      <c r="BH14119" s="386"/>
      <c r="BI14119" s="386"/>
      <c r="BJ14119" s="46"/>
    </row>
    <row r="14120" spans="59:62" x14ac:dyDescent="0.3">
      <c r="BG14120" s="387"/>
      <c r="BH14120" s="386"/>
      <c r="BI14120" s="386"/>
      <c r="BJ14120" s="46"/>
    </row>
    <row r="14121" spans="59:62" x14ac:dyDescent="0.3">
      <c r="BG14121" s="387"/>
      <c r="BH14121" s="386"/>
      <c r="BI14121" s="386"/>
      <c r="BJ14121" s="46"/>
    </row>
    <row r="14122" spans="59:62" x14ac:dyDescent="0.3">
      <c r="BG14122" s="387"/>
      <c r="BH14122" s="386"/>
      <c r="BI14122" s="386"/>
      <c r="BJ14122" s="46"/>
    </row>
    <row r="14123" spans="59:62" x14ac:dyDescent="0.3">
      <c r="BG14123" s="387"/>
      <c r="BH14123" s="386"/>
      <c r="BI14123" s="386"/>
      <c r="BJ14123" s="46"/>
    </row>
    <row r="14124" spans="59:62" x14ac:dyDescent="0.3">
      <c r="BG14124" s="387"/>
      <c r="BH14124" s="386"/>
      <c r="BI14124" s="386"/>
      <c r="BJ14124" s="46"/>
    </row>
    <row r="14125" spans="59:62" x14ac:dyDescent="0.3">
      <c r="BG14125" s="387"/>
      <c r="BH14125" s="386"/>
      <c r="BI14125" s="386"/>
      <c r="BJ14125" s="46"/>
    </row>
    <row r="14126" spans="59:62" x14ac:dyDescent="0.3">
      <c r="BG14126" s="387"/>
      <c r="BH14126" s="386"/>
      <c r="BI14126" s="386"/>
      <c r="BJ14126" s="46"/>
    </row>
    <row r="14127" spans="59:62" x14ac:dyDescent="0.3">
      <c r="BG14127" s="387"/>
      <c r="BH14127" s="386"/>
      <c r="BI14127" s="386"/>
      <c r="BJ14127" s="46"/>
    </row>
    <row r="14128" spans="59:62" x14ac:dyDescent="0.3">
      <c r="BG14128" s="387"/>
      <c r="BH14128" s="386"/>
      <c r="BI14128" s="386"/>
      <c r="BJ14128" s="46"/>
    </row>
    <row r="14129" spans="59:62" x14ac:dyDescent="0.3">
      <c r="BG14129" s="387"/>
      <c r="BH14129" s="386"/>
      <c r="BI14129" s="386"/>
      <c r="BJ14129" s="46"/>
    </row>
    <row r="14130" spans="59:62" x14ac:dyDescent="0.3">
      <c r="BG14130" s="387"/>
      <c r="BH14130" s="386"/>
      <c r="BI14130" s="386"/>
      <c r="BJ14130" s="46"/>
    </row>
    <row r="14131" spans="59:62" x14ac:dyDescent="0.3">
      <c r="BG14131" s="387"/>
      <c r="BH14131" s="386"/>
      <c r="BI14131" s="386"/>
      <c r="BJ14131" s="46"/>
    </row>
    <row r="14132" spans="59:62" x14ac:dyDescent="0.3">
      <c r="BG14132" s="387"/>
      <c r="BH14132" s="386"/>
      <c r="BI14132" s="386"/>
      <c r="BJ14132" s="46"/>
    </row>
    <row r="14133" spans="59:62" x14ac:dyDescent="0.3">
      <c r="BG14133" s="387"/>
      <c r="BH14133" s="386"/>
      <c r="BI14133" s="386"/>
      <c r="BJ14133" s="46"/>
    </row>
    <row r="14134" spans="59:62" x14ac:dyDescent="0.3">
      <c r="BG14134" s="387"/>
      <c r="BH14134" s="386"/>
      <c r="BI14134" s="386"/>
      <c r="BJ14134" s="46"/>
    </row>
    <row r="14135" spans="59:62" x14ac:dyDescent="0.3">
      <c r="BG14135" s="387"/>
      <c r="BH14135" s="386"/>
      <c r="BI14135" s="386"/>
      <c r="BJ14135" s="46"/>
    </row>
    <row r="14136" spans="59:62" x14ac:dyDescent="0.3">
      <c r="BG14136" s="387"/>
      <c r="BH14136" s="386"/>
      <c r="BI14136" s="386"/>
      <c r="BJ14136" s="46"/>
    </row>
    <row r="14137" spans="59:62" x14ac:dyDescent="0.3">
      <c r="BG14137" s="387"/>
      <c r="BH14137" s="386"/>
      <c r="BI14137" s="386"/>
      <c r="BJ14137" s="46"/>
    </row>
    <row r="14138" spans="59:62" x14ac:dyDescent="0.3">
      <c r="BG14138" s="387"/>
      <c r="BH14138" s="386"/>
      <c r="BI14138" s="386"/>
      <c r="BJ14138" s="46"/>
    </row>
    <row r="14139" spans="59:62" x14ac:dyDescent="0.3">
      <c r="BG14139" s="387"/>
      <c r="BH14139" s="386"/>
      <c r="BI14139" s="386"/>
      <c r="BJ14139" s="46"/>
    </row>
    <row r="14140" spans="59:62" x14ac:dyDescent="0.3">
      <c r="BG14140" s="387"/>
      <c r="BH14140" s="386"/>
      <c r="BI14140" s="386"/>
      <c r="BJ14140" s="46"/>
    </row>
    <row r="14141" spans="59:62" x14ac:dyDescent="0.3">
      <c r="BG14141" s="387"/>
      <c r="BH14141" s="386"/>
      <c r="BI14141" s="386"/>
      <c r="BJ14141" s="46"/>
    </row>
    <row r="14142" spans="59:62" x14ac:dyDescent="0.3">
      <c r="BG14142" s="387"/>
      <c r="BH14142" s="386"/>
      <c r="BI14142" s="386"/>
      <c r="BJ14142" s="46"/>
    </row>
    <row r="14143" spans="59:62" x14ac:dyDescent="0.3">
      <c r="BG14143" s="387"/>
      <c r="BH14143" s="386"/>
      <c r="BI14143" s="386"/>
      <c r="BJ14143" s="46"/>
    </row>
    <row r="14144" spans="59:62" x14ac:dyDescent="0.3">
      <c r="BG14144" s="387"/>
      <c r="BH14144" s="386"/>
      <c r="BI14144" s="386"/>
      <c r="BJ14144" s="46"/>
    </row>
    <row r="14145" spans="59:62" x14ac:dyDescent="0.3">
      <c r="BG14145" s="387"/>
      <c r="BH14145" s="386"/>
      <c r="BI14145" s="386"/>
      <c r="BJ14145" s="46"/>
    </row>
    <row r="14146" spans="59:62" x14ac:dyDescent="0.3">
      <c r="BG14146" s="387"/>
      <c r="BH14146" s="386"/>
      <c r="BI14146" s="386"/>
      <c r="BJ14146" s="46"/>
    </row>
    <row r="14147" spans="59:62" x14ac:dyDescent="0.3">
      <c r="BG14147" s="387"/>
      <c r="BH14147" s="386"/>
      <c r="BI14147" s="386"/>
      <c r="BJ14147" s="46"/>
    </row>
    <row r="14148" spans="59:62" x14ac:dyDescent="0.3">
      <c r="BG14148" s="387"/>
      <c r="BH14148" s="386"/>
      <c r="BI14148" s="386"/>
      <c r="BJ14148" s="46"/>
    </row>
    <row r="14149" spans="59:62" x14ac:dyDescent="0.3">
      <c r="BG14149" s="387"/>
      <c r="BH14149" s="386"/>
      <c r="BI14149" s="386"/>
      <c r="BJ14149" s="46"/>
    </row>
    <row r="14150" spans="59:62" x14ac:dyDescent="0.3">
      <c r="BG14150" s="387"/>
      <c r="BH14150" s="386"/>
      <c r="BI14150" s="386"/>
      <c r="BJ14150" s="46"/>
    </row>
    <row r="14151" spans="59:62" x14ac:dyDescent="0.3">
      <c r="BG14151" s="387"/>
      <c r="BH14151" s="386"/>
      <c r="BI14151" s="386"/>
      <c r="BJ14151" s="46"/>
    </row>
    <row r="14152" spans="59:62" x14ac:dyDescent="0.3">
      <c r="BG14152" s="387"/>
      <c r="BH14152" s="386"/>
      <c r="BI14152" s="386"/>
      <c r="BJ14152" s="46"/>
    </row>
    <row r="14153" spans="59:62" x14ac:dyDescent="0.3">
      <c r="BG14153" s="387"/>
      <c r="BH14153" s="386"/>
      <c r="BI14153" s="386"/>
      <c r="BJ14153" s="46"/>
    </row>
    <row r="14154" spans="59:62" x14ac:dyDescent="0.3">
      <c r="BG14154" s="387"/>
      <c r="BH14154" s="386"/>
      <c r="BI14154" s="386"/>
      <c r="BJ14154" s="46"/>
    </row>
    <row r="14155" spans="59:62" x14ac:dyDescent="0.3">
      <c r="BG14155" s="387"/>
      <c r="BH14155" s="386"/>
      <c r="BI14155" s="386"/>
      <c r="BJ14155" s="46"/>
    </row>
    <row r="14156" spans="59:62" x14ac:dyDescent="0.3">
      <c r="BG14156" s="387"/>
      <c r="BH14156" s="386"/>
      <c r="BI14156" s="386"/>
      <c r="BJ14156" s="46"/>
    </row>
    <row r="14157" spans="59:62" x14ac:dyDescent="0.3">
      <c r="BG14157" s="387"/>
      <c r="BH14157" s="386"/>
      <c r="BI14157" s="386"/>
      <c r="BJ14157" s="46"/>
    </row>
    <row r="14158" spans="59:62" x14ac:dyDescent="0.3">
      <c r="BG14158" s="387"/>
      <c r="BH14158" s="386"/>
      <c r="BI14158" s="386"/>
      <c r="BJ14158" s="46"/>
    </row>
    <row r="14159" spans="59:62" x14ac:dyDescent="0.3">
      <c r="BG14159" s="387"/>
      <c r="BH14159" s="386"/>
      <c r="BI14159" s="386"/>
      <c r="BJ14159" s="46"/>
    </row>
    <row r="14160" spans="59:62" x14ac:dyDescent="0.3">
      <c r="BG14160" s="387"/>
      <c r="BH14160" s="386"/>
      <c r="BI14160" s="386"/>
      <c r="BJ14160" s="46"/>
    </row>
    <row r="14161" spans="59:62" x14ac:dyDescent="0.3">
      <c r="BG14161" s="387"/>
      <c r="BH14161" s="386"/>
      <c r="BI14161" s="386"/>
      <c r="BJ14161" s="46"/>
    </row>
    <row r="14162" spans="59:62" x14ac:dyDescent="0.3">
      <c r="BG14162" s="387"/>
      <c r="BH14162" s="386"/>
      <c r="BI14162" s="386"/>
      <c r="BJ14162" s="46"/>
    </row>
    <row r="14163" spans="59:62" x14ac:dyDescent="0.3">
      <c r="BG14163" s="387"/>
      <c r="BH14163" s="386"/>
      <c r="BI14163" s="386"/>
      <c r="BJ14163" s="46"/>
    </row>
    <row r="14164" spans="59:62" x14ac:dyDescent="0.3">
      <c r="BG14164" s="387"/>
      <c r="BH14164" s="386"/>
      <c r="BI14164" s="386"/>
      <c r="BJ14164" s="46"/>
    </row>
    <row r="14165" spans="59:62" x14ac:dyDescent="0.3">
      <c r="BG14165" s="387"/>
      <c r="BH14165" s="386"/>
      <c r="BI14165" s="386"/>
      <c r="BJ14165" s="46"/>
    </row>
    <row r="14166" spans="59:62" x14ac:dyDescent="0.3">
      <c r="BG14166" s="387"/>
      <c r="BH14166" s="386"/>
      <c r="BI14166" s="386"/>
      <c r="BJ14166" s="46"/>
    </row>
    <row r="14167" spans="59:62" x14ac:dyDescent="0.3">
      <c r="BG14167" s="387"/>
      <c r="BH14167" s="386"/>
      <c r="BI14167" s="386"/>
      <c r="BJ14167" s="46"/>
    </row>
    <row r="14168" spans="59:62" x14ac:dyDescent="0.3">
      <c r="BG14168" s="387"/>
      <c r="BH14168" s="386"/>
      <c r="BI14168" s="386"/>
      <c r="BJ14168" s="46"/>
    </row>
    <row r="14169" spans="59:62" x14ac:dyDescent="0.3">
      <c r="BG14169" s="387"/>
      <c r="BH14169" s="386"/>
      <c r="BI14169" s="386"/>
      <c r="BJ14169" s="46"/>
    </row>
    <row r="14170" spans="59:62" x14ac:dyDescent="0.3">
      <c r="BG14170" s="387"/>
      <c r="BH14170" s="386"/>
      <c r="BI14170" s="386"/>
      <c r="BJ14170" s="46"/>
    </row>
    <row r="14171" spans="59:62" x14ac:dyDescent="0.3">
      <c r="BG14171" s="387"/>
      <c r="BH14171" s="386"/>
      <c r="BI14171" s="386"/>
      <c r="BJ14171" s="46"/>
    </row>
    <row r="14172" spans="59:62" x14ac:dyDescent="0.3">
      <c r="BG14172" s="387"/>
      <c r="BH14172" s="386"/>
      <c r="BI14172" s="386"/>
      <c r="BJ14172" s="46"/>
    </row>
    <row r="14173" spans="59:62" x14ac:dyDescent="0.3">
      <c r="BG14173" s="387"/>
      <c r="BH14173" s="386"/>
      <c r="BI14173" s="386"/>
      <c r="BJ14173" s="46"/>
    </row>
    <row r="14174" spans="59:62" x14ac:dyDescent="0.3">
      <c r="BG14174" s="387"/>
      <c r="BH14174" s="386"/>
      <c r="BI14174" s="386"/>
      <c r="BJ14174" s="46"/>
    </row>
    <row r="14175" spans="59:62" x14ac:dyDescent="0.3">
      <c r="BG14175" s="387"/>
      <c r="BH14175" s="386"/>
      <c r="BI14175" s="386"/>
      <c r="BJ14175" s="46"/>
    </row>
    <row r="14176" spans="59:62" x14ac:dyDescent="0.3">
      <c r="BG14176" s="387"/>
      <c r="BH14176" s="386"/>
      <c r="BI14176" s="386"/>
      <c r="BJ14176" s="46"/>
    </row>
    <row r="14177" spans="59:62" x14ac:dyDescent="0.3">
      <c r="BG14177" s="387"/>
      <c r="BH14177" s="386"/>
      <c r="BI14177" s="386"/>
      <c r="BJ14177" s="46"/>
    </row>
    <row r="14178" spans="59:62" x14ac:dyDescent="0.3">
      <c r="BG14178" s="387"/>
      <c r="BH14178" s="386"/>
      <c r="BI14178" s="386"/>
      <c r="BJ14178" s="46"/>
    </row>
    <row r="14179" spans="59:62" x14ac:dyDescent="0.3">
      <c r="BG14179" s="387"/>
      <c r="BH14179" s="386"/>
      <c r="BI14179" s="386"/>
      <c r="BJ14179" s="46"/>
    </row>
    <row r="14180" spans="59:62" x14ac:dyDescent="0.3">
      <c r="BG14180" s="387"/>
      <c r="BH14180" s="386"/>
      <c r="BI14180" s="386"/>
      <c r="BJ14180" s="46"/>
    </row>
    <row r="14181" spans="59:62" x14ac:dyDescent="0.3">
      <c r="BG14181" s="387"/>
      <c r="BH14181" s="386"/>
      <c r="BI14181" s="386"/>
      <c r="BJ14181" s="46"/>
    </row>
    <row r="14182" spans="59:62" x14ac:dyDescent="0.3">
      <c r="BG14182" s="387"/>
      <c r="BH14182" s="386"/>
      <c r="BI14182" s="386"/>
      <c r="BJ14182" s="46"/>
    </row>
    <row r="14183" spans="59:62" x14ac:dyDescent="0.3">
      <c r="BG14183" s="387"/>
      <c r="BH14183" s="386"/>
      <c r="BI14183" s="386"/>
      <c r="BJ14183" s="46"/>
    </row>
    <row r="14184" spans="59:62" x14ac:dyDescent="0.3">
      <c r="BG14184" s="387"/>
      <c r="BH14184" s="386"/>
      <c r="BI14184" s="386"/>
      <c r="BJ14184" s="46"/>
    </row>
    <row r="14185" spans="59:62" x14ac:dyDescent="0.3">
      <c r="BG14185" s="387"/>
      <c r="BH14185" s="386"/>
      <c r="BI14185" s="386"/>
      <c r="BJ14185" s="46"/>
    </row>
    <row r="14186" spans="59:62" x14ac:dyDescent="0.3">
      <c r="BG14186" s="387"/>
      <c r="BH14186" s="386"/>
      <c r="BI14186" s="386"/>
      <c r="BJ14186" s="46"/>
    </row>
    <row r="14187" spans="59:62" x14ac:dyDescent="0.3">
      <c r="BG14187" s="387"/>
      <c r="BH14187" s="386"/>
      <c r="BI14187" s="386"/>
      <c r="BJ14187" s="46"/>
    </row>
    <row r="14188" spans="59:62" x14ac:dyDescent="0.3">
      <c r="BG14188" s="387"/>
      <c r="BH14188" s="386"/>
      <c r="BI14188" s="386"/>
      <c r="BJ14188" s="46"/>
    </row>
    <row r="14189" spans="59:62" x14ac:dyDescent="0.3">
      <c r="BG14189" s="387"/>
      <c r="BH14189" s="386"/>
      <c r="BI14189" s="386"/>
      <c r="BJ14189" s="46"/>
    </row>
    <row r="14190" spans="59:62" x14ac:dyDescent="0.3">
      <c r="BG14190" s="387"/>
      <c r="BH14190" s="386"/>
      <c r="BI14190" s="386"/>
      <c r="BJ14190" s="46"/>
    </row>
    <row r="14191" spans="59:62" x14ac:dyDescent="0.3">
      <c r="BG14191" s="387"/>
      <c r="BH14191" s="386"/>
      <c r="BI14191" s="386"/>
      <c r="BJ14191" s="46"/>
    </row>
    <row r="14192" spans="59:62" x14ac:dyDescent="0.3">
      <c r="BG14192" s="387"/>
      <c r="BH14192" s="386"/>
      <c r="BI14192" s="386"/>
      <c r="BJ14192" s="46"/>
    </row>
    <row r="14193" spans="59:62" x14ac:dyDescent="0.3">
      <c r="BG14193" s="387"/>
      <c r="BH14193" s="386"/>
      <c r="BI14193" s="386"/>
      <c r="BJ14193" s="46"/>
    </row>
    <row r="14194" spans="59:62" x14ac:dyDescent="0.3">
      <c r="BG14194" s="387"/>
      <c r="BH14194" s="386"/>
      <c r="BI14194" s="386"/>
      <c r="BJ14194" s="46"/>
    </row>
    <row r="14195" spans="59:62" x14ac:dyDescent="0.3">
      <c r="BG14195" s="387"/>
      <c r="BH14195" s="386"/>
      <c r="BI14195" s="386"/>
      <c r="BJ14195" s="46"/>
    </row>
    <row r="14196" spans="59:62" x14ac:dyDescent="0.3">
      <c r="BG14196" s="387"/>
      <c r="BH14196" s="386"/>
      <c r="BI14196" s="386"/>
      <c r="BJ14196" s="46"/>
    </row>
    <row r="14197" spans="59:62" x14ac:dyDescent="0.3">
      <c r="BG14197" s="387"/>
      <c r="BH14197" s="386"/>
      <c r="BI14197" s="386"/>
      <c r="BJ14197" s="46"/>
    </row>
    <row r="14198" spans="59:62" x14ac:dyDescent="0.3">
      <c r="BG14198" s="387"/>
      <c r="BH14198" s="386"/>
      <c r="BI14198" s="386"/>
      <c r="BJ14198" s="46"/>
    </row>
    <row r="14199" spans="59:62" x14ac:dyDescent="0.3">
      <c r="BG14199" s="387"/>
      <c r="BH14199" s="386"/>
      <c r="BI14199" s="386"/>
      <c r="BJ14199" s="46"/>
    </row>
    <row r="14200" spans="59:62" x14ac:dyDescent="0.3">
      <c r="BG14200" s="387"/>
      <c r="BH14200" s="386"/>
      <c r="BI14200" s="386"/>
      <c r="BJ14200" s="46"/>
    </row>
    <row r="14201" spans="59:62" x14ac:dyDescent="0.3">
      <c r="BG14201" s="387"/>
      <c r="BH14201" s="386"/>
      <c r="BI14201" s="386"/>
      <c r="BJ14201" s="46"/>
    </row>
    <row r="14202" spans="59:62" x14ac:dyDescent="0.3">
      <c r="BG14202" s="387"/>
      <c r="BH14202" s="386"/>
      <c r="BI14202" s="386"/>
      <c r="BJ14202" s="46"/>
    </row>
    <row r="14203" spans="59:62" x14ac:dyDescent="0.3">
      <c r="BG14203" s="387"/>
      <c r="BH14203" s="386"/>
      <c r="BI14203" s="386"/>
      <c r="BJ14203" s="46"/>
    </row>
    <row r="14204" spans="59:62" x14ac:dyDescent="0.3">
      <c r="BG14204" s="387"/>
      <c r="BH14204" s="386"/>
      <c r="BI14204" s="386"/>
      <c r="BJ14204" s="46"/>
    </row>
    <row r="14205" spans="59:62" x14ac:dyDescent="0.3">
      <c r="BG14205" s="387"/>
      <c r="BH14205" s="386"/>
      <c r="BI14205" s="386"/>
      <c r="BJ14205" s="46"/>
    </row>
    <row r="14206" spans="59:62" x14ac:dyDescent="0.3">
      <c r="BG14206" s="387"/>
      <c r="BH14206" s="386"/>
      <c r="BI14206" s="386"/>
      <c r="BJ14206" s="46"/>
    </row>
    <row r="14207" spans="59:62" x14ac:dyDescent="0.3">
      <c r="BG14207" s="387"/>
      <c r="BH14207" s="386"/>
      <c r="BI14207" s="386"/>
      <c r="BJ14207" s="46"/>
    </row>
    <row r="14208" spans="59:62" x14ac:dyDescent="0.3">
      <c r="BG14208" s="387"/>
      <c r="BH14208" s="386"/>
      <c r="BI14208" s="386"/>
      <c r="BJ14208" s="46"/>
    </row>
    <row r="14209" spans="59:62" x14ac:dyDescent="0.3">
      <c r="BG14209" s="387"/>
      <c r="BH14209" s="386"/>
      <c r="BI14209" s="386"/>
      <c r="BJ14209" s="46"/>
    </row>
    <row r="14210" spans="59:62" x14ac:dyDescent="0.3">
      <c r="BG14210" s="387"/>
      <c r="BH14210" s="386"/>
      <c r="BI14210" s="386"/>
      <c r="BJ14210" s="46"/>
    </row>
    <row r="14211" spans="59:62" x14ac:dyDescent="0.3">
      <c r="BG14211" s="387"/>
      <c r="BH14211" s="386"/>
      <c r="BI14211" s="386"/>
      <c r="BJ14211" s="46"/>
    </row>
    <row r="14212" spans="59:62" x14ac:dyDescent="0.3">
      <c r="BG14212" s="387"/>
      <c r="BH14212" s="386"/>
      <c r="BI14212" s="386"/>
      <c r="BJ14212" s="46"/>
    </row>
    <row r="14213" spans="59:62" x14ac:dyDescent="0.3">
      <c r="BG14213" s="387"/>
      <c r="BH14213" s="386"/>
      <c r="BI14213" s="386"/>
      <c r="BJ14213" s="46"/>
    </row>
    <row r="14214" spans="59:62" x14ac:dyDescent="0.3">
      <c r="BG14214" s="387"/>
      <c r="BH14214" s="386"/>
      <c r="BI14214" s="386"/>
      <c r="BJ14214" s="46"/>
    </row>
    <row r="14215" spans="59:62" x14ac:dyDescent="0.3">
      <c r="BG14215" s="387"/>
      <c r="BH14215" s="386"/>
      <c r="BI14215" s="386"/>
      <c r="BJ14215" s="46"/>
    </row>
    <row r="14216" spans="59:62" x14ac:dyDescent="0.3">
      <c r="BG14216" s="387"/>
      <c r="BH14216" s="386"/>
      <c r="BI14216" s="386"/>
      <c r="BJ14216" s="46"/>
    </row>
    <row r="14217" spans="59:62" x14ac:dyDescent="0.3">
      <c r="BG14217" s="387"/>
      <c r="BH14217" s="386"/>
      <c r="BI14217" s="386"/>
      <c r="BJ14217" s="46"/>
    </row>
    <row r="14218" spans="59:62" x14ac:dyDescent="0.3">
      <c r="BG14218" s="387"/>
      <c r="BH14218" s="386"/>
      <c r="BI14218" s="386"/>
      <c r="BJ14218" s="46"/>
    </row>
    <row r="14219" spans="59:62" x14ac:dyDescent="0.3">
      <c r="BG14219" s="387"/>
      <c r="BH14219" s="386"/>
      <c r="BI14219" s="386"/>
      <c r="BJ14219" s="46"/>
    </row>
    <row r="14220" spans="59:62" x14ac:dyDescent="0.3">
      <c r="BG14220" s="387"/>
      <c r="BH14220" s="386"/>
      <c r="BI14220" s="386"/>
      <c r="BJ14220" s="46"/>
    </row>
    <row r="14221" spans="59:62" x14ac:dyDescent="0.3">
      <c r="BG14221" s="387"/>
      <c r="BH14221" s="386"/>
      <c r="BI14221" s="386"/>
      <c r="BJ14221" s="46"/>
    </row>
    <row r="14222" spans="59:62" x14ac:dyDescent="0.3">
      <c r="BG14222" s="387"/>
      <c r="BH14222" s="386"/>
      <c r="BI14222" s="386"/>
      <c r="BJ14222" s="46"/>
    </row>
    <row r="14223" spans="59:62" x14ac:dyDescent="0.3">
      <c r="BG14223" s="387"/>
      <c r="BH14223" s="386"/>
      <c r="BI14223" s="386"/>
      <c r="BJ14223" s="46"/>
    </row>
    <row r="14224" spans="59:62" x14ac:dyDescent="0.3">
      <c r="BG14224" s="387"/>
      <c r="BH14224" s="386"/>
      <c r="BI14224" s="386"/>
      <c r="BJ14224" s="46"/>
    </row>
    <row r="14225" spans="59:62" x14ac:dyDescent="0.3">
      <c r="BG14225" s="387"/>
      <c r="BH14225" s="386"/>
      <c r="BI14225" s="386"/>
      <c r="BJ14225" s="46"/>
    </row>
    <row r="14226" spans="59:62" x14ac:dyDescent="0.3">
      <c r="BG14226" s="387"/>
      <c r="BH14226" s="386"/>
      <c r="BI14226" s="386"/>
      <c r="BJ14226" s="46"/>
    </row>
    <row r="14227" spans="59:62" x14ac:dyDescent="0.3">
      <c r="BG14227" s="387"/>
      <c r="BH14227" s="386"/>
      <c r="BI14227" s="386"/>
      <c r="BJ14227" s="46"/>
    </row>
    <row r="14228" spans="59:62" x14ac:dyDescent="0.3">
      <c r="BG14228" s="387"/>
      <c r="BH14228" s="386"/>
      <c r="BI14228" s="386"/>
      <c r="BJ14228" s="46"/>
    </row>
    <row r="14229" spans="59:62" x14ac:dyDescent="0.3">
      <c r="BG14229" s="387"/>
      <c r="BH14229" s="386"/>
      <c r="BI14229" s="386"/>
      <c r="BJ14229" s="46"/>
    </row>
    <row r="14230" spans="59:62" x14ac:dyDescent="0.3">
      <c r="BG14230" s="387"/>
      <c r="BH14230" s="386"/>
      <c r="BI14230" s="386"/>
      <c r="BJ14230" s="46"/>
    </row>
    <row r="14231" spans="59:62" x14ac:dyDescent="0.3">
      <c r="BG14231" s="387"/>
      <c r="BH14231" s="386"/>
      <c r="BI14231" s="386"/>
      <c r="BJ14231" s="46"/>
    </row>
    <row r="14232" spans="59:62" x14ac:dyDescent="0.3">
      <c r="BG14232" s="387"/>
      <c r="BH14232" s="386"/>
      <c r="BI14232" s="386"/>
      <c r="BJ14232" s="46"/>
    </row>
    <row r="14233" spans="59:62" x14ac:dyDescent="0.3">
      <c r="BG14233" s="387"/>
      <c r="BH14233" s="386"/>
      <c r="BI14233" s="386"/>
      <c r="BJ14233" s="46"/>
    </row>
    <row r="14234" spans="59:62" x14ac:dyDescent="0.3">
      <c r="BG14234" s="387"/>
      <c r="BH14234" s="386"/>
      <c r="BI14234" s="386"/>
      <c r="BJ14234" s="46"/>
    </row>
    <row r="14235" spans="59:62" x14ac:dyDescent="0.3">
      <c r="BG14235" s="387"/>
      <c r="BH14235" s="386"/>
      <c r="BI14235" s="386"/>
      <c r="BJ14235" s="46"/>
    </row>
    <row r="14236" spans="59:62" x14ac:dyDescent="0.3">
      <c r="BG14236" s="387"/>
      <c r="BH14236" s="386"/>
      <c r="BI14236" s="386"/>
      <c r="BJ14236" s="46"/>
    </row>
    <row r="14237" spans="59:62" x14ac:dyDescent="0.3">
      <c r="BG14237" s="387"/>
      <c r="BH14237" s="386"/>
      <c r="BI14237" s="386"/>
      <c r="BJ14237" s="46"/>
    </row>
    <row r="14238" spans="59:62" x14ac:dyDescent="0.3">
      <c r="BG14238" s="387"/>
      <c r="BH14238" s="386"/>
      <c r="BI14238" s="386"/>
      <c r="BJ14238" s="46"/>
    </row>
    <row r="14239" spans="59:62" x14ac:dyDescent="0.3">
      <c r="BG14239" s="387"/>
      <c r="BH14239" s="386"/>
      <c r="BI14239" s="386"/>
      <c r="BJ14239" s="46"/>
    </row>
    <row r="14240" spans="59:62" x14ac:dyDescent="0.3">
      <c r="BG14240" s="387"/>
      <c r="BH14240" s="386"/>
      <c r="BI14240" s="386"/>
      <c r="BJ14240" s="46"/>
    </row>
    <row r="14241" spans="59:62" x14ac:dyDescent="0.3">
      <c r="BG14241" s="387"/>
      <c r="BH14241" s="386"/>
      <c r="BI14241" s="386"/>
      <c r="BJ14241" s="46"/>
    </row>
    <row r="14242" spans="59:62" x14ac:dyDescent="0.3">
      <c r="BG14242" s="387"/>
      <c r="BH14242" s="386"/>
      <c r="BI14242" s="386"/>
      <c r="BJ14242" s="46"/>
    </row>
    <row r="14243" spans="59:62" x14ac:dyDescent="0.3">
      <c r="BG14243" s="387"/>
      <c r="BH14243" s="386"/>
      <c r="BI14243" s="386"/>
      <c r="BJ14243" s="46"/>
    </row>
    <row r="14244" spans="59:62" x14ac:dyDescent="0.3">
      <c r="BG14244" s="387"/>
      <c r="BH14244" s="386"/>
      <c r="BI14244" s="386"/>
      <c r="BJ14244" s="46"/>
    </row>
    <row r="14245" spans="59:62" x14ac:dyDescent="0.3">
      <c r="BG14245" s="387"/>
      <c r="BH14245" s="386"/>
      <c r="BI14245" s="386"/>
      <c r="BJ14245" s="46"/>
    </row>
    <row r="14246" spans="59:62" x14ac:dyDescent="0.3">
      <c r="BG14246" s="387"/>
      <c r="BH14246" s="386"/>
      <c r="BI14246" s="386"/>
      <c r="BJ14246" s="46"/>
    </row>
    <row r="14247" spans="59:62" x14ac:dyDescent="0.3">
      <c r="BG14247" s="387"/>
      <c r="BH14247" s="386"/>
      <c r="BI14247" s="386"/>
      <c r="BJ14247" s="46"/>
    </row>
    <row r="14248" spans="59:62" x14ac:dyDescent="0.3">
      <c r="BG14248" s="387"/>
      <c r="BH14248" s="386"/>
      <c r="BI14248" s="386"/>
      <c r="BJ14248" s="46"/>
    </row>
    <row r="14249" spans="59:62" x14ac:dyDescent="0.3">
      <c r="BG14249" s="387"/>
      <c r="BH14249" s="386"/>
      <c r="BI14249" s="386"/>
      <c r="BJ14249" s="46"/>
    </row>
    <row r="14250" spans="59:62" x14ac:dyDescent="0.3">
      <c r="BG14250" s="387"/>
      <c r="BH14250" s="386"/>
      <c r="BI14250" s="386"/>
      <c r="BJ14250" s="46"/>
    </row>
    <row r="14251" spans="59:62" x14ac:dyDescent="0.3">
      <c r="BG14251" s="387"/>
      <c r="BH14251" s="386"/>
      <c r="BI14251" s="386"/>
      <c r="BJ14251" s="46"/>
    </row>
    <row r="14252" spans="59:62" x14ac:dyDescent="0.3">
      <c r="BG14252" s="387"/>
      <c r="BH14252" s="386"/>
      <c r="BI14252" s="386"/>
      <c r="BJ14252" s="46"/>
    </row>
    <row r="14253" spans="59:62" x14ac:dyDescent="0.3">
      <c r="BG14253" s="387"/>
      <c r="BH14253" s="386"/>
      <c r="BI14253" s="386"/>
      <c r="BJ14253" s="46"/>
    </row>
    <row r="14254" spans="59:62" x14ac:dyDescent="0.3">
      <c r="BG14254" s="387"/>
      <c r="BH14254" s="386"/>
      <c r="BI14254" s="386"/>
      <c r="BJ14254" s="46"/>
    </row>
    <row r="14255" spans="59:62" x14ac:dyDescent="0.3">
      <c r="BG14255" s="387"/>
      <c r="BH14255" s="386"/>
      <c r="BI14255" s="386"/>
      <c r="BJ14255" s="46"/>
    </row>
    <row r="14256" spans="59:62" x14ac:dyDescent="0.3">
      <c r="BG14256" s="387"/>
      <c r="BH14256" s="386"/>
      <c r="BI14256" s="386"/>
      <c r="BJ14256" s="46"/>
    </row>
    <row r="14257" spans="59:62" x14ac:dyDescent="0.3">
      <c r="BG14257" s="387"/>
      <c r="BH14257" s="386"/>
      <c r="BI14257" s="386"/>
      <c r="BJ14257" s="46"/>
    </row>
    <row r="14258" spans="59:62" x14ac:dyDescent="0.3">
      <c r="BG14258" s="387"/>
      <c r="BH14258" s="386"/>
      <c r="BI14258" s="386"/>
      <c r="BJ14258" s="46"/>
    </row>
    <row r="14259" spans="59:62" x14ac:dyDescent="0.3">
      <c r="BG14259" s="387"/>
      <c r="BH14259" s="386"/>
      <c r="BI14259" s="386"/>
      <c r="BJ14259" s="46"/>
    </row>
    <row r="14260" spans="59:62" x14ac:dyDescent="0.3">
      <c r="BG14260" s="387"/>
      <c r="BH14260" s="386"/>
      <c r="BI14260" s="386"/>
      <c r="BJ14260" s="46"/>
    </row>
    <row r="14261" spans="59:62" x14ac:dyDescent="0.3">
      <c r="BG14261" s="387"/>
      <c r="BH14261" s="386"/>
      <c r="BI14261" s="386"/>
      <c r="BJ14261" s="46"/>
    </row>
    <row r="14262" spans="59:62" x14ac:dyDescent="0.3">
      <c r="BG14262" s="387"/>
      <c r="BH14262" s="386"/>
      <c r="BI14262" s="386"/>
      <c r="BJ14262" s="46"/>
    </row>
    <row r="14263" spans="59:62" x14ac:dyDescent="0.3">
      <c r="BG14263" s="387"/>
      <c r="BH14263" s="386"/>
      <c r="BI14263" s="386"/>
      <c r="BJ14263" s="46"/>
    </row>
    <row r="14264" spans="59:62" x14ac:dyDescent="0.3">
      <c r="BG14264" s="387"/>
      <c r="BH14264" s="386"/>
      <c r="BI14264" s="386"/>
      <c r="BJ14264" s="46"/>
    </row>
    <row r="14265" spans="59:62" x14ac:dyDescent="0.3">
      <c r="BG14265" s="387"/>
      <c r="BH14265" s="386"/>
      <c r="BI14265" s="386"/>
      <c r="BJ14265" s="46"/>
    </row>
    <row r="14266" spans="59:62" x14ac:dyDescent="0.3">
      <c r="BG14266" s="387"/>
      <c r="BH14266" s="386"/>
      <c r="BI14266" s="386"/>
      <c r="BJ14266" s="46"/>
    </row>
    <row r="14267" spans="59:62" x14ac:dyDescent="0.3">
      <c r="BG14267" s="387"/>
      <c r="BH14267" s="386"/>
      <c r="BI14267" s="386"/>
      <c r="BJ14267" s="46"/>
    </row>
    <row r="14268" spans="59:62" x14ac:dyDescent="0.3">
      <c r="BG14268" s="387"/>
      <c r="BH14268" s="386"/>
      <c r="BI14268" s="386"/>
      <c r="BJ14268" s="46"/>
    </row>
    <row r="14269" spans="59:62" x14ac:dyDescent="0.3">
      <c r="BG14269" s="387"/>
      <c r="BH14269" s="386"/>
      <c r="BI14269" s="386"/>
      <c r="BJ14269" s="46"/>
    </row>
    <row r="14270" spans="59:62" x14ac:dyDescent="0.3">
      <c r="BG14270" s="387"/>
      <c r="BH14270" s="386"/>
      <c r="BI14270" s="386"/>
      <c r="BJ14270" s="46"/>
    </row>
    <row r="14271" spans="59:62" x14ac:dyDescent="0.3">
      <c r="BG14271" s="387"/>
      <c r="BH14271" s="386"/>
      <c r="BI14271" s="386"/>
      <c r="BJ14271" s="46"/>
    </row>
    <row r="14272" spans="59:62" x14ac:dyDescent="0.3">
      <c r="BG14272" s="387"/>
      <c r="BH14272" s="386"/>
      <c r="BI14272" s="386"/>
      <c r="BJ14272" s="46"/>
    </row>
    <row r="14273" spans="59:62" x14ac:dyDescent="0.3">
      <c r="BG14273" s="387"/>
      <c r="BH14273" s="386"/>
      <c r="BI14273" s="386"/>
      <c r="BJ14273" s="46"/>
    </row>
    <row r="14274" spans="59:62" x14ac:dyDescent="0.3">
      <c r="BG14274" s="387"/>
      <c r="BH14274" s="386"/>
      <c r="BI14274" s="386"/>
      <c r="BJ14274" s="46"/>
    </row>
    <row r="14275" spans="59:62" x14ac:dyDescent="0.3">
      <c r="BG14275" s="387"/>
      <c r="BH14275" s="386"/>
      <c r="BI14275" s="386"/>
      <c r="BJ14275" s="46"/>
    </row>
    <row r="14276" spans="59:62" x14ac:dyDescent="0.3">
      <c r="BG14276" s="387"/>
      <c r="BH14276" s="386"/>
      <c r="BI14276" s="386"/>
      <c r="BJ14276" s="46"/>
    </row>
    <row r="14277" spans="59:62" x14ac:dyDescent="0.3">
      <c r="BG14277" s="387"/>
      <c r="BH14277" s="386"/>
      <c r="BI14277" s="386"/>
      <c r="BJ14277" s="46"/>
    </row>
    <row r="14278" spans="59:62" x14ac:dyDescent="0.3">
      <c r="BG14278" s="387"/>
      <c r="BH14278" s="386"/>
      <c r="BI14278" s="386"/>
      <c r="BJ14278" s="46"/>
    </row>
    <row r="14279" spans="59:62" x14ac:dyDescent="0.3">
      <c r="BG14279" s="387"/>
      <c r="BH14279" s="386"/>
      <c r="BI14279" s="386"/>
      <c r="BJ14279" s="46"/>
    </row>
    <row r="14280" spans="59:62" x14ac:dyDescent="0.3">
      <c r="BG14280" s="387"/>
      <c r="BH14280" s="386"/>
      <c r="BI14280" s="386"/>
      <c r="BJ14280" s="46"/>
    </row>
    <row r="14281" spans="59:62" x14ac:dyDescent="0.3">
      <c r="BG14281" s="387"/>
      <c r="BH14281" s="386"/>
      <c r="BI14281" s="386"/>
      <c r="BJ14281" s="46"/>
    </row>
    <row r="14282" spans="59:62" x14ac:dyDescent="0.3">
      <c r="BG14282" s="387"/>
      <c r="BH14282" s="386"/>
      <c r="BI14282" s="386"/>
      <c r="BJ14282" s="46"/>
    </row>
    <row r="14283" spans="59:62" x14ac:dyDescent="0.3">
      <c r="BG14283" s="387"/>
      <c r="BH14283" s="386"/>
      <c r="BI14283" s="386"/>
      <c r="BJ14283" s="46"/>
    </row>
    <row r="14284" spans="59:62" x14ac:dyDescent="0.3">
      <c r="BG14284" s="387"/>
      <c r="BH14284" s="386"/>
      <c r="BI14284" s="386"/>
      <c r="BJ14284" s="46"/>
    </row>
    <row r="14285" spans="59:62" x14ac:dyDescent="0.3">
      <c r="BG14285" s="387"/>
      <c r="BH14285" s="386"/>
      <c r="BI14285" s="386"/>
      <c r="BJ14285" s="46"/>
    </row>
    <row r="14286" spans="59:62" x14ac:dyDescent="0.3">
      <c r="BG14286" s="387"/>
      <c r="BH14286" s="386"/>
      <c r="BI14286" s="386"/>
      <c r="BJ14286" s="46"/>
    </row>
    <row r="14287" spans="59:62" x14ac:dyDescent="0.3">
      <c r="BG14287" s="387"/>
      <c r="BH14287" s="386"/>
      <c r="BI14287" s="386"/>
      <c r="BJ14287" s="46"/>
    </row>
    <row r="14288" spans="59:62" x14ac:dyDescent="0.3">
      <c r="BG14288" s="387"/>
      <c r="BH14288" s="386"/>
      <c r="BI14288" s="386"/>
      <c r="BJ14288" s="46"/>
    </row>
    <row r="14289" spans="59:62" x14ac:dyDescent="0.3">
      <c r="BG14289" s="387"/>
      <c r="BH14289" s="386"/>
      <c r="BI14289" s="386"/>
      <c r="BJ14289" s="46"/>
    </row>
    <row r="14290" spans="59:62" x14ac:dyDescent="0.3">
      <c r="BG14290" s="387"/>
      <c r="BH14290" s="386"/>
      <c r="BI14290" s="386"/>
      <c r="BJ14290" s="46"/>
    </row>
    <row r="14291" spans="59:62" x14ac:dyDescent="0.3">
      <c r="BG14291" s="387"/>
      <c r="BH14291" s="386"/>
      <c r="BI14291" s="386"/>
      <c r="BJ14291" s="46"/>
    </row>
    <row r="14292" spans="59:62" x14ac:dyDescent="0.3">
      <c r="BG14292" s="387"/>
      <c r="BH14292" s="386"/>
      <c r="BI14292" s="386"/>
      <c r="BJ14292" s="46"/>
    </row>
    <row r="14293" spans="59:62" x14ac:dyDescent="0.3">
      <c r="BG14293" s="387"/>
      <c r="BH14293" s="386"/>
      <c r="BI14293" s="386"/>
      <c r="BJ14293" s="46"/>
    </row>
    <row r="14294" spans="59:62" x14ac:dyDescent="0.3">
      <c r="BG14294" s="387"/>
      <c r="BH14294" s="386"/>
      <c r="BI14294" s="386"/>
      <c r="BJ14294" s="46"/>
    </row>
    <row r="14295" spans="59:62" x14ac:dyDescent="0.3">
      <c r="BG14295" s="387"/>
      <c r="BH14295" s="386"/>
      <c r="BI14295" s="386"/>
      <c r="BJ14295" s="46"/>
    </row>
    <row r="14296" spans="59:62" x14ac:dyDescent="0.3">
      <c r="BG14296" s="387"/>
      <c r="BH14296" s="386"/>
      <c r="BI14296" s="386"/>
      <c r="BJ14296" s="46"/>
    </row>
    <row r="14297" spans="59:62" x14ac:dyDescent="0.3">
      <c r="BG14297" s="387"/>
      <c r="BH14297" s="386"/>
      <c r="BI14297" s="386"/>
      <c r="BJ14297" s="46"/>
    </row>
    <row r="14298" spans="59:62" x14ac:dyDescent="0.3">
      <c r="BG14298" s="387"/>
      <c r="BH14298" s="386"/>
      <c r="BI14298" s="386"/>
      <c r="BJ14298" s="46"/>
    </row>
    <row r="14299" spans="59:62" x14ac:dyDescent="0.3">
      <c r="BG14299" s="387"/>
      <c r="BH14299" s="386"/>
      <c r="BI14299" s="386"/>
      <c r="BJ14299" s="46"/>
    </row>
    <row r="14300" spans="59:62" x14ac:dyDescent="0.3">
      <c r="BG14300" s="387"/>
      <c r="BH14300" s="386"/>
      <c r="BI14300" s="386"/>
      <c r="BJ14300" s="46"/>
    </row>
    <row r="14301" spans="59:62" x14ac:dyDescent="0.3">
      <c r="BG14301" s="387"/>
      <c r="BH14301" s="386"/>
      <c r="BI14301" s="386"/>
      <c r="BJ14301" s="46"/>
    </row>
    <row r="14302" spans="59:62" x14ac:dyDescent="0.3">
      <c r="BG14302" s="387"/>
      <c r="BH14302" s="386"/>
      <c r="BI14302" s="386"/>
      <c r="BJ14302" s="46"/>
    </row>
    <row r="14303" spans="59:62" x14ac:dyDescent="0.3">
      <c r="BG14303" s="387"/>
      <c r="BH14303" s="386"/>
      <c r="BI14303" s="386"/>
      <c r="BJ14303" s="46"/>
    </row>
    <row r="14304" spans="59:62" x14ac:dyDescent="0.3">
      <c r="BG14304" s="387"/>
      <c r="BH14304" s="386"/>
      <c r="BI14304" s="386"/>
      <c r="BJ14304" s="46"/>
    </row>
    <row r="14305" spans="59:62" x14ac:dyDescent="0.3">
      <c r="BG14305" s="387"/>
      <c r="BH14305" s="386"/>
      <c r="BI14305" s="386"/>
      <c r="BJ14305" s="46"/>
    </row>
    <row r="14306" spans="59:62" x14ac:dyDescent="0.3">
      <c r="BG14306" s="387"/>
      <c r="BH14306" s="386"/>
      <c r="BI14306" s="386"/>
      <c r="BJ14306" s="46"/>
    </row>
    <row r="14307" spans="59:62" x14ac:dyDescent="0.3">
      <c r="BG14307" s="387"/>
      <c r="BH14307" s="386"/>
      <c r="BI14307" s="386"/>
      <c r="BJ14307" s="46"/>
    </row>
    <row r="14308" spans="59:62" x14ac:dyDescent="0.3">
      <c r="BG14308" s="387"/>
      <c r="BH14308" s="386"/>
      <c r="BI14308" s="386"/>
      <c r="BJ14308" s="46"/>
    </row>
    <row r="14309" spans="59:62" x14ac:dyDescent="0.3">
      <c r="BG14309" s="387"/>
      <c r="BH14309" s="386"/>
      <c r="BI14309" s="386"/>
      <c r="BJ14309" s="46"/>
    </row>
    <row r="14310" spans="59:62" x14ac:dyDescent="0.3">
      <c r="BG14310" s="387"/>
      <c r="BH14310" s="386"/>
      <c r="BI14310" s="386"/>
      <c r="BJ14310" s="46"/>
    </row>
    <row r="14311" spans="59:62" x14ac:dyDescent="0.3">
      <c r="BG14311" s="387"/>
      <c r="BH14311" s="386"/>
      <c r="BI14311" s="386"/>
      <c r="BJ14311" s="46"/>
    </row>
    <row r="14312" spans="59:62" x14ac:dyDescent="0.3">
      <c r="BG14312" s="387"/>
      <c r="BH14312" s="386"/>
      <c r="BI14312" s="386"/>
      <c r="BJ14312" s="46"/>
    </row>
    <row r="14313" spans="59:62" x14ac:dyDescent="0.3">
      <c r="BG14313" s="387"/>
      <c r="BH14313" s="386"/>
      <c r="BI14313" s="386"/>
      <c r="BJ14313" s="46"/>
    </row>
    <row r="14314" spans="59:62" x14ac:dyDescent="0.3">
      <c r="BG14314" s="387"/>
      <c r="BH14314" s="386"/>
      <c r="BI14314" s="386"/>
      <c r="BJ14314" s="46"/>
    </row>
    <row r="14315" spans="59:62" x14ac:dyDescent="0.3">
      <c r="BG14315" s="387"/>
      <c r="BH14315" s="386"/>
      <c r="BI14315" s="386"/>
      <c r="BJ14315" s="46"/>
    </row>
    <row r="14316" spans="59:62" x14ac:dyDescent="0.3">
      <c r="BG14316" s="387"/>
      <c r="BH14316" s="386"/>
      <c r="BI14316" s="386"/>
      <c r="BJ14316" s="46"/>
    </row>
    <row r="14317" spans="59:62" x14ac:dyDescent="0.3">
      <c r="BG14317" s="387"/>
      <c r="BH14317" s="386"/>
      <c r="BI14317" s="386"/>
      <c r="BJ14317" s="46"/>
    </row>
    <row r="14318" spans="59:62" x14ac:dyDescent="0.3">
      <c r="BG14318" s="387"/>
      <c r="BH14318" s="386"/>
      <c r="BI14318" s="386"/>
      <c r="BJ14318" s="46"/>
    </row>
    <row r="14319" spans="59:62" x14ac:dyDescent="0.3">
      <c r="BG14319" s="387"/>
      <c r="BH14319" s="386"/>
      <c r="BI14319" s="386"/>
      <c r="BJ14319" s="46"/>
    </row>
    <row r="14320" spans="59:62" x14ac:dyDescent="0.3">
      <c r="BG14320" s="387"/>
      <c r="BH14320" s="386"/>
      <c r="BI14320" s="386"/>
      <c r="BJ14320" s="46"/>
    </row>
    <row r="14321" spans="59:62" x14ac:dyDescent="0.3">
      <c r="BG14321" s="387"/>
      <c r="BH14321" s="386"/>
      <c r="BI14321" s="386"/>
      <c r="BJ14321" s="46"/>
    </row>
    <row r="14322" spans="59:62" x14ac:dyDescent="0.3">
      <c r="BG14322" s="387"/>
      <c r="BH14322" s="386"/>
      <c r="BI14322" s="386"/>
      <c r="BJ14322" s="46"/>
    </row>
    <row r="14323" spans="59:62" x14ac:dyDescent="0.3">
      <c r="BG14323" s="387"/>
      <c r="BH14323" s="386"/>
      <c r="BI14323" s="386"/>
      <c r="BJ14323" s="46"/>
    </row>
    <row r="14324" spans="59:62" x14ac:dyDescent="0.3">
      <c r="BG14324" s="387"/>
      <c r="BH14324" s="386"/>
      <c r="BI14324" s="386"/>
      <c r="BJ14324" s="46"/>
    </row>
    <row r="14325" spans="59:62" x14ac:dyDescent="0.3">
      <c r="BG14325" s="387"/>
      <c r="BH14325" s="386"/>
      <c r="BI14325" s="386"/>
      <c r="BJ14325" s="46"/>
    </row>
    <row r="14326" spans="59:62" x14ac:dyDescent="0.3">
      <c r="BG14326" s="387"/>
      <c r="BH14326" s="386"/>
      <c r="BI14326" s="386"/>
      <c r="BJ14326" s="46"/>
    </row>
    <row r="14327" spans="59:62" x14ac:dyDescent="0.3">
      <c r="BG14327" s="387"/>
      <c r="BH14327" s="386"/>
      <c r="BI14327" s="386"/>
      <c r="BJ14327" s="46"/>
    </row>
    <row r="14328" spans="59:62" x14ac:dyDescent="0.3">
      <c r="BG14328" s="387"/>
      <c r="BH14328" s="386"/>
      <c r="BI14328" s="386"/>
      <c r="BJ14328" s="46"/>
    </row>
    <row r="14329" spans="59:62" x14ac:dyDescent="0.3">
      <c r="BG14329" s="387"/>
      <c r="BH14329" s="386"/>
      <c r="BI14329" s="386"/>
      <c r="BJ14329" s="46"/>
    </row>
    <row r="14330" spans="59:62" x14ac:dyDescent="0.3">
      <c r="BG14330" s="387"/>
      <c r="BH14330" s="386"/>
      <c r="BI14330" s="386"/>
      <c r="BJ14330" s="46"/>
    </row>
    <row r="14331" spans="59:62" x14ac:dyDescent="0.3">
      <c r="BG14331" s="387"/>
      <c r="BH14331" s="386"/>
      <c r="BI14331" s="386"/>
      <c r="BJ14331" s="46"/>
    </row>
    <row r="14332" spans="59:62" x14ac:dyDescent="0.3">
      <c r="BG14332" s="387"/>
      <c r="BH14332" s="386"/>
      <c r="BI14332" s="386"/>
      <c r="BJ14332" s="46"/>
    </row>
    <row r="14333" spans="59:62" x14ac:dyDescent="0.3">
      <c r="BG14333" s="387"/>
      <c r="BH14333" s="386"/>
      <c r="BI14333" s="386"/>
      <c r="BJ14333" s="46"/>
    </row>
    <row r="14334" spans="59:62" x14ac:dyDescent="0.3">
      <c r="BG14334" s="387"/>
      <c r="BH14334" s="386"/>
      <c r="BI14334" s="386"/>
      <c r="BJ14334" s="46"/>
    </row>
    <row r="14335" spans="59:62" x14ac:dyDescent="0.3">
      <c r="BG14335" s="387"/>
      <c r="BH14335" s="386"/>
      <c r="BI14335" s="386"/>
      <c r="BJ14335" s="46"/>
    </row>
    <row r="14336" spans="59:62" x14ac:dyDescent="0.3">
      <c r="BG14336" s="387"/>
      <c r="BH14336" s="386"/>
      <c r="BI14336" s="386"/>
      <c r="BJ14336" s="46"/>
    </row>
    <row r="14337" spans="59:62" x14ac:dyDescent="0.3">
      <c r="BG14337" s="387"/>
      <c r="BH14337" s="386"/>
      <c r="BI14337" s="386"/>
      <c r="BJ14337" s="46"/>
    </row>
    <row r="14338" spans="59:62" x14ac:dyDescent="0.3">
      <c r="BG14338" s="387"/>
      <c r="BH14338" s="386"/>
      <c r="BI14338" s="386"/>
      <c r="BJ14338" s="46"/>
    </row>
    <row r="14339" spans="59:62" x14ac:dyDescent="0.3">
      <c r="BG14339" s="387"/>
      <c r="BH14339" s="386"/>
      <c r="BI14339" s="386"/>
      <c r="BJ14339" s="46"/>
    </row>
    <row r="14340" spans="59:62" x14ac:dyDescent="0.3">
      <c r="BG14340" s="387"/>
      <c r="BH14340" s="386"/>
      <c r="BI14340" s="386"/>
      <c r="BJ14340" s="46"/>
    </row>
    <row r="14341" spans="59:62" x14ac:dyDescent="0.3">
      <c r="BG14341" s="387"/>
      <c r="BH14341" s="386"/>
      <c r="BI14341" s="386"/>
      <c r="BJ14341" s="46"/>
    </row>
    <row r="14342" spans="59:62" x14ac:dyDescent="0.3">
      <c r="BG14342" s="387"/>
      <c r="BH14342" s="386"/>
      <c r="BI14342" s="386"/>
      <c r="BJ14342" s="46"/>
    </row>
    <row r="14343" spans="59:62" x14ac:dyDescent="0.3">
      <c r="BG14343" s="387"/>
      <c r="BH14343" s="386"/>
      <c r="BI14343" s="386"/>
      <c r="BJ14343" s="46"/>
    </row>
    <row r="14344" spans="59:62" x14ac:dyDescent="0.3">
      <c r="BG14344" s="387"/>
      <c r="BH14344" s="386"/>
      <c r="BI14344" s="386"/>
      <c r="BJ14344" s="46"/>
    </row>
    <row r="14345" spans="59:62" x14ac:dyDescent="0.3">
      <c r="BG14345" s="387"/>
      <c r="BH14345" s="386"/>
      <c r="BI14345" s="386"/>
      <c r="BJ14345" s="46"/>
    </row>
    <row r="14346" spans="59:62" x14ac:dyDescent="0.3">
      <c r="BG14346" s="387"/>
      <c r="BH14346" s="386"/>
      <c r="BI14346" s="386"/>
      <c r="BJ14346" s="46"/>
    </row>
    <row r="14347" spans="59:62" x14ac:dyDescent="0.3">
      <c r="BG14347" s="387"/>
      <c r="BH14347" s="386"/>
      <c r="BI14347" s="386"/>
      <c r="BJ14347" s="46"/>
    </row>
    <row r="14348" spans="59:62" x14ac:dyDescent="0.3">
      <c r="BG14348" s="387"/>
      <c r="BH14348" s="386"/>
      <c r="BI14348" s="386"/>
      <c r="BJ14348" s="46"/>
    </row>
    <row r="14349" spans="59:62" x14ac:dyDescent="0.3">
      <c r="BG14349" s="387"/>
      <c r="BH14349" s="386"/>
      <c r="BI14349" s="386"/>
      <c r="BJ14349" s="46"/>
    </row>
    <row r="14350" spans="59:62" x14ac:dyDescent="0.3">
      <c r="BG14350" s="387"/>
      <c r="BH14350" s="386"/>
      <c r="BI14350" s="386"/>
      <c r="BJ14350" s="46"/>
    </row>
    <row r="14351" spans="59:62" x14ac:dyDescent="0.3">
      <c r="BG14351" s="387"/>
      <c r="BH14351" s="386"/>
      <c r="BI14351" s="386"/>
      <c r="BJ14351" s="46"/>
    </row>
    <row r="14352" spans="59:62" x14ac:dyDescent="0.3">
      <c r="BG14352" s="387"/>
      <c r="BH14352" s="386"/>
      <c r="BI14352" s="386"/>
      <c r="BJ14352" s="46"/>
    </row>
    <row r="14353" spans="59:62" x14ac:dyDescent="0.3">
      <c r="BG14353" s="387"/>
      <c r="BH14353" s="386"/>
      <c r="BI14353" s="386"/>
      <c r="BJ14353" s="46"/>
    </row>
    <row r="14354" spans="59:62" x14ac:dyDescent="0.3">
      <c r="BG14354" s="387"/>
      <c r="BH14354" s="386"/>
      <c r="BI14354" s="386"/>
      <c r="BJ14354" s="46"/>
    </row>
    <row r="14355" spans="59:62" x14ac:dyDescent="0.3">
      <c r="BG14355" s="387"/>
      <c r="BH14355" s="386"/>
      <c r="BI14355" s="386"/>
      <c r="BJ14355" s="46"/>
    </row>
    <row r="14356" spans="59:62" x14ac:dyDescent="0.3">
      <c r="BG14356" s="387"/>
      <c r="BH14356" s="386"/>
      <c r="BI14356" s="386"/>
      <c r="BJ14356" s="46"/>
    </row>
    <row r="14357" spans="59:62" x14ac:dyDescent="0.3">
      <c r="BG14357" s="387"/>
      <c r="BH14357" s="386"/>
      <c r="BI14357" s="386"/>
      <c r="BJ14357" s="46"/>
    </row>
    <row r="14358" spans="59:62" x14ac:dyDescent="0.3">
      <c r="BG14358" s="387"/>
      <c r="BH14358" s="386"/>
      <c r="BI14358" s="386"/>
      <c r="BJ14358" s="46"/>
    </row>
    <row r="14359" spans="59:62" x14ac:dyDescent="0.3">
      <c r="BG14359" s="387"/>
      <c r="BH14359" s="386"/>
      <c r="BI14359" s="386"/>
      <c r="BJ14359" s="46"/>
    </row>
    <row r="14360" spans="59:62" x14ac:dyDescent="0.3">
      <c r="BG14360" s="387"/>
      <c r="BH14360" s="386"/>
      <c r="BI14360" s="386"/>
      <c r="BJ14360" s="46"/>
    </row>
    <row r="14361" spans="59:62" x14ac:dyDescent="0.3">
      <c r="BG14361" s="387"/>
      <c r="BH14361" s="386"/>
      <c r="BI14361" s="386"/>
      <c r="BJ14361" s="46"/>
    </row>
    <row r="14362" spans="59:62" x14ac:dyDescent="0.3">
      <c r="BG14362" s="387"/>
      <c r="BH14362" s="386"/>
      <c r="BI14362" s="386"/>
      <c r="BJ14362" s="46"/>
    </row>
    <row r="14363" spans="59:62" x14ac:dyDescent="0.3">
      <c r="BG14363" s="387"/>
      <c r="BH14363" s="386"/>
      <c r="BI14363" s="386"/>
      <c r="BJ14363" s="46"/>
    </row>
    <row r="14364" spans="59:62" x14ac:dyDescent="0.3">
      <c r="BG14364" s="387"/>
      <c r="BH14364" s="386"/>
      <c r="BI14364" s="386"/>
      <c r="BJ14364" s="46"/>
    </row>
    <row r="14365" spans="59:62" x14ac:dyDescent="0.3">
      <c r="BG14365" s="387"/>
      <c r="BH14365" s="386"/>
      <c r="BI14365" s="386"/>
      <c r="BJ14365" s="46"/>
    </row>
    <row r="14366" spans="59:62" x14ac:dyDescent="0.3">
      <c r="BG14366" s="387"/>
      <c r="BH14366" s="386"/>
      <c r="BI14366" s="386"/>
      <c r="BJ14366" s="46"/>
    </row>
    <row r="14367" spans="59:62" x14ac:dyDescent="0.3">
      <c r="BG14367" s="387"/>
      <c r="BH14367" s="386"/>
      <c r="BI14367" s="386"/>
      <c r="BJ14367" s="46"/>
    </row>
    <row r="14368" spans="59:62" x14ac:dyDescent="0.3">
      <c r="BG14368" s="387"/>
      <c r="BH14368" s="386"/>
      <c r="BI14368" s="386"/>
      <c r="BJ14368" s="46"/>
    </row>
    <row r="14369" spans="59:62" x14ac:dyDescent="0.3">
      <c r="BG14369" s="387"/>
      <c r="BH14369" s="386"/>
      <c r="BI14369" s="386"/>
      <c r="BJ14369" s="46"/>
    </row>
    <row r="14370" spans="59:62" x14ac:dyDescent="0.3">
      <c r="BG14370" s="387"/>
      <c r="BH14370" s="386"/>
      <c r="BI14370" s="386"/>
      <c r="BJ14370" s="46"/>
    </row>
    <row r="14371" spans="59:62" x14ac:dyDescent="0.3">
      <c r="BG14371" s="387"/>
      <c r="BH14371" s="386"/>
      <c r="BI14371" s="386"/>
      <c r="BJ14371" s="46"/>
    </row>
    <row r="14372" spans="59:62" x14ac:dyDescent="0.3">
      <c r="BG14372" s="387"/>
      <c r="BH14372" s="386"/>
      <c r="BI14372" s="386"/>
      <c r="BJ14372" s="46"/>
    </row>
    <row r="14373" spans="59:62" x14ac:dyDescent="0.3">
      <c r="BG14373" s="387"/>
      <c r="BH14373" s="386"/>
      <c r="BI14373" s="386"/>
      <c r="BJ14373" s="46"/>
    </row>
    <row r="14374" spans="59:62" x14ac:dyDescent="0.3">
      <c r="BG14374" s="387"/>
      <c r="BH14374" s="386"/>
      <c r="BI14374" s="386"/>
      <c r="BJ14374" s="46"/>
    </row>
    <row r="14375" spans="59:62" x14ac:dyDescent="0.3">
      <c r="BG14375" s="387"/>
      <c r="BH14375" s="386"/>
      <c r="BI14375" s="386"/>
      <c r="BJ14375" s="46"/>
    </row>
    <row r="14376" spans="59:62" x14ac:dyDescent="0.3">
      <c r="BG14376" s="387"/>
      <c r="BH14376" s="386"/>
      <c r="BI14376" s="386"/>
      <c r="BJ14376" s="46"/>
    </row>
    <row r="14377" spans="59:62" x14ac:dyDescent="0.3">
      <c r="BG14377" s="387"/>
      <c r="BH14377" s="386"/>
      <c r="BI14377" s="386"/>
      <c r="BJ14377" s="46"/>
    </row>
    <row r="14378" spans="59:62" x14ac:dyDescent="0.3">
      <c r="BG14378" s="387"/>
      <c r="BH14378" s="386"/>
      <c r="BI14378" s="386"/>
      <c r="BJ14378" s="46"/>
    </row>
    <row r="14379" spans="59:62" x14ac:dyDescent="0.3">
      <c r="BG14379" s="387"/>
      <c r="BH14379" s="386"/>
      <c r="BI14379" s="386"/>
      <c r="BJ14379" s="46"/>
    </row>
    <row r="14380" spans="59:62" x14ac:dyDescent="0.3">
      <c r="BG14380" s="387"/>
      <c r="BH14380" s="386"/>
      <c r="BI14380" s="386"/>
      <c r="BJ14380" s="46"/>
    </row>
    <row r="14381" spans="59:62" x14ac:dyDescent="0.3">
      <c r="BG14381" s="387"/>
      <c r="BH14381" s="386"/>
      <c r="BI14381" s="386"/>
      <c r="BJ14381" s="46"/>
    </row>
    <row r="14382" spans="59:62" x14ac:dyDescent="0.3">
      <c r="BG14382" s="387"/>
      <c r="BH14382" s="386"/>
      <c r="BI14382" s="386"/>
      <c r="BJ14382" s="46"/>
    </row>
    <row r="14383" spans="59:62" x14ac:dyDescent="0.3">
      <c r="BG14383" s="387"/>
      <c r="BH14383" s="386"/>
      <c r="BI14383" s="386"/>
      <c r="BJ14383" s="46"/>
    </row>
    <row r="14384" spans="59:62" x14ac:dyDescent="0.3">
      <c r="BG14384" s="387"/>
      <c r="BH14384" s="386"/>
      <c r="BI14384" s="386"/>
      <c r="BJ14384" s="46"/>
    </row>
    <row r="14385" spans="59:62" x14ac:dyDescent="0.3">
      <c r="BG14385" s="387"/>
      <c r="BH14385" s="386"/>
      <c r="BI14385" s="386"/>
      <c r="BJ14385" s="46"/>
    </row>
    <row r="14386" spans="59:62" x14ac:dyDescent="0.3">
      <c r="BG14386" s="387"/>
      <c r="BH14386" s="386"/>
      <c r="BI14386" s="386"/>
      <c r="BJ14386" s="46"/>
    </row>
    <row r="14387" spans="59:62" x14ac:dyDescent="0.3">
      <c r="BG14387" s="387"/>
      <c r="BH14387" s="386"/>
      <c r="BI14387" s="386"/>
      <c r="BJ14387" s="46"/>
    </row>
    <row r="14388" spans="59:62" x14ac:dyDescent="0.3">
      <c r="BG14388" s="387"/>
      <c r="BH14388" s="386"/>
      <c r="BI14388" s="386"/>
      <c r="BJ14388" s="46"/>
    </row>
    <row r="14389" spans="59:62" x14ac:dyDescent="0.3">
      <c r="BG14389" s="387"/>
      <c r="BH14389" s="386"/>
      <c r="BI14389" s="386"/>
      <c r="BJ14389" s="46"/>
    </row>
    <row r="14390" spans="59:62" x14ac:dyDescent="0.3">
      <c r="BG14390" s="387"/>
      <c r="BH14390" s="386"/>
      <c r="BI14390" s="386"/>
      <c r="BJ14390" s="46"/>
    </row>
    <row r="14391" spans="59:62" x14ac:dyDescent="0.3">
      <c r="BG14391" s="387"/>
      <c r="BH14391" s="386"/>
      <c r="BI14391" s="386"/>
      <c r="BJ14391" s="46"/>
    </row>
    <row r="14392" spans="59:62" x14ac:dyDescent="0.3">
      <c r="BG14392" s="387"/>
      <c r="BH14392" s="386"/>
      <c r="BI14392" s="386"/>
      <c r="BJ14392" s="46"/>
    </row>
    <row r="14393" spans="59:62" x14ac:dyDescent="0.3">
      <c r="BG14393" s="387"/>
      <c r="BH14393" s="386"/>
      <c r="BI14393" s="386"/>
      <c r="BJ14393" s="46"/>
    </row>
    <row r="14394" spans="59:62" x14ac:dyDescent="0.3">
      <c r="BG14394" s="387"/>
      <c r="BH14394" s="386"/>
      <c r="BI14394" s="386"/>
      <c r="BJ14394" s="46"/>
    </row>
    <row r="14395" spans="59:62" x14ac:dyDescent="0.3">
      <c r="BG14395" s="387"/>
      <c r="BH14395" s="386"/>
      <c r="BI14395" s="386"/>
      <c r="BJ14395" s="46"/>
    </row>
    <row r="14396" spans="59:62" x14ac:dyDescent="0.3">
      <c r="BG14396" s="387"/>
      <c r="BH14396" s="386"/>
      <c r="BI14396" s="386"/>
      <c r="BJ14396" s="46"/>
    </row>
    <row r="14397" spans="59:62" x14ac:dyDescent="0.3">
      <c r="BG14397" s="387"/>
      <c r="BH14397" s="386"/>
      <c r="BI14397" s="386"/>
      <c r="BJ14397" s="46"/>
    </row>
    <row r="14398" spans="59:62" x14ac:dyDescent="0.3">
      <c r="BG14398" s="387"/>
      <c r="BH14398" s="386"/>
      <c r="BI14398" s="386"/>
      <c r="BJ14398" s="46"/>
    </row>
    <row r="14399" spans="59:62" x14ac:dyDescent="0.3">
      <c r="BG14399" s="387"/>
      <c r="BH14399" s="386"/>
      <c r="BI14399" s="386"/>
      <c r="BJ14399" s="46"/>
    </row>
    <row r="14400" spans="59:62" x14ac:dyDescent="0.3">
      <c r="BG14400" s="387"/>
      <c r="BH14400" s="386"/>
      <c r="BI14400" s="386"/>
      <c r="BJ14400" s="46"/>
    </row>
    <row r="14401" spans="59:62" x14ac:dyDescent="0.3">
      <c r="BG14401" s="387"/>
      <c r="BH14401" s="386"/>
      <c r="BI14401" s="386"/>
      <c r="BJ14401" s="46"/>
    </row>
    <row r="14402" spans="59:62" x14ac:dyDescent="0.3">
      <c r="BG14402" s="387"/>
      <c r="BH14402" s="386"/>
      <c r="BI14402" s="386"/>
      <c r="BJ14402" s="46"/>
    </row>
    <row r="14403" spans="59:62" x14ac:dyDescent="0.3">
      <c r="BG14403" s="387"/>
      <c r="BH14403" s="386"/>
      <c r="BI14403" s="386"/>
      <c r="BJ14403" s="46"/>
    </row>
    <row r="14404" spans="59:62" x14ac:dyDescent="0.3">
      <c r="BG14404" s="387"/>
      <c r="BH14404" s="386"/>
      <c r="BI14404" s="386"/>
      <c r="BJ14404" s="46"/>
    </row>
    <row r="14405" spans="59:62" x14ac:dyDescent="0.3">
      <c r="BG14405" s="387"/>
      <c r="BH14405" s="386"/>
      <c r="BI14405" s="386"/>
      <c r="BJ14405" s="46"/>
    </row>
    <row r="14406" spans="59:62" x14ac:dyDescent="0.3">
      <c r="BG14406" s="387"/>
      <c r="BH14406" s="386"/>
      <c r="BI14406" s="386"/>
      <c r="BJ14406" s="46"/>
    </row>
    <row r="14407" spans="59:62" x14ac:dyDescent="0.3">
      <c r="BG14407" s="387"/>
      <c r="BH14407" s="386"/>
      <c r="BI14407" s="386"/>
      <c r="BJ14407" s="46"/>
    </row>
    <row r="14408" spans="59:62" x14ac:dyDescent="0.3">
      <c r="BG14408" s="387"/>
      <c r="BH14408" s="386"/>
      <c r="BI14408" s="386"/>
      <c r="BJ14408" s="46"/>
    </row>
    <row r="14409" spans="59:62" x14ac:dyDescent="0.3">
      <c r="BG14409" s="387"/>
      <c r="BH14409" s="386"/>
      <c r="BI14409" s="386"/>
      <c r="BJ14409" s="46"/>
    </row>
    <row r="14410" spans="59:62" x14ac:dyDescent="0.3">
      <c r="BG14410" s="387"/>
      <c r="BH14410" s="386"/>
      <c r="BI14410" s="386"/>
      <c r="BJ14410" s="46"/>
    </row>
    <row r="14411" spans="59:62" x14ac:dyDescent="0.3">
      <c r="BG14411" s="387"/>
      <c r="BH14411" s="386"/>
      <c r="BI14411" s="386"/>
      <c r="BJ14411" s="46"/>
    </row>
    <row r="14412" spans="59:62" x14ac:dyDescent="0.3">
      <c r="BG14412" s="387"/>
      <c r="BH14412" s="386"/>
      <c r="BI14412" s="386"/>
      <c r="BJ14412" s="46"/>
    </row>
    <row r="14413" spans="59:62" x14ac:dyDescent="0.3">
      <c r="BG14413" s="387"/>
      <c r="BH14413" s="386"/>
      <c r="BI14413" s="386"/>
      <c r="BJ14413" s="46"/>
    </row>
    <row r="14414" spans="59:62" x14ac:dyDescent="0.3">
      <c r="BG14414" s="387"/>
      <c r="BH14414" s="386"/>
      <c r="BI14414" s="386"/>
      <c r="BJ14414" s="46"/>
    </row>
    <row r="14415" spans="59:62" x14ac:dyDescent="0.3">
      <c r="BG14415" s="387"/>
      <c r="BH14415" s="386"/>
      <c r="BI14415" s="386"/>
      <c r="BJ14415" s="46"/>
    </row>
    <row r="14416" spans="59:62" x14ac:dyDescent="0.3">
      <c r="BG14416" s="387"/>
      <c r="BH14416" s="386"/>
      <c r="BI14416" s="386"/>
      <c r="BJ14416" s="46"/>
    </row>
    <row r="14417" spans="59:62" x14ac:dyDescent="0.3">
      <c r="BG14417" s="387"/>
      <c r="BH14417" s="386"/>
      <c r="BI14417" s="386"/>
      <c r="BJ14417" s="46"/>
    </row>
    <row r="14418" spans="59:62" x14ac:dyDescent="0.3">
      <c r="BG14418" s="387"/>
      <c r="BH14418" s="386"/>
      <c r="BI14418" s="386"/>
      <c r="BJ14418" s="46"/>
    </row>
    <row r="14419" spans="59:62" x14ac:dyDescent="0.3">
      <c r="BG14419" s="387"/>
      <c r="BH14419" s="386"/>
      <c r="BI14419" s="386"/>
      <c r="BJ14419" s="46"/>
    </row>
    <row r="14420" spans="59:62" x14ac:dyDescent="0.3">
      <c r="BG14420" s="387"/>
      <c r="BH14420" s="386"/>
      <c r="BI14420" s="386"/>
      <c r="BJ14420" s="46"/>
    </row>
    <row r="14421" spans="59:62" x14ac:dyDescent="0.3">
      <c r="BG14421" s="387"/>
      <c r="BH14421" s="386"/>
      <c r="BI14421" s="386"/>
      <c r="BJ14421" s="46"/>
    </row>
    <row r="14422" spans="59:62" x14ac:dyDescent="0.3">
      <c r="BG14422" s="387"/>
      <c r="BH14422" s="386"/>
      <c r="BI14422" s="386"/>
      <c r="BJ14422" s="46"/>
    </row>
    <row r="14423" spans="59:62" x14ac:dyDescent="0.3">
      <c r="BG14423" s="387"/>
      <c r="BH14423" s="386"/>
      <c r="BI14423" s="386"/>
      <c r="BJ14423" s="46"/>
    </row>
    <row r="14424" spans="59:62" x14ac:dyDescent="0.3">
      <c r="BG14424" s="387"/>
      <c r="BH14424" s="386"/>
      <c r="BI14424" s="386"/>
      <c r="BJ14424" s="46"/>
    </row>
    <row r="14425" spans="59:62" x14ac:dyDescent="0.3">
      <c r="BG14425" s="387"/>
      <c r="BH14425" s="386"/>
      <c r="BI14425" s="386"/>
      <c r="BJ14425" s="46"/>
    </row>
    <row r="14426" spans="59:62" x14ac:dyDescent="0.3">
      <c r="BG14426" s="387"/>
      <c r="BH14426" s="386"/>
      <c r="BI14426" s="386"/>
      <c r="BJ14426" s="46"/>
    </row>
    <row r="14427" spans="59:62" x14ac:dyDescent="0.3">
      <c r="BG14427" s="387"/>
      <c r="BH14427" s="386"/>
      <c r="BI14427" s="386"/>
      <c r="BJ14427" s="46"/>
    </row>
    <row r="14428" spans="59:62" x14ac:dyDescent="0.3">
      <c r="BG14428" s="387"/>
      <c r="BH14428" s="386"/>
      <c r="BI14428" s="386"/>
      <c r="BJ14428" s="46"/>
    </row>
    <row r="14429" spans="59:62" x14ac:dyDescent="0.3">
      <c r="BG14429" s="387"/>
      <c r="BH14429" s="386"/>
      <c r="BI14429" s="386"/>
      <c r="BJ14429" s="46"/>
    </row>
    <row r="14430" spans="59:62" x14ac:dyDescent="0.3">
      <c r="BG14430" s="387"/>
      <c r="BH14430" s="386"/>
      <c r="BI14430" s="386"/>
      <c r="BJ14430" s="46"/>
    </row>
    <row r="14431" spans="59:62" x14ac:dyDescent="0.3">
      <c r="BG14431" s="387"/>
      <c r="BH14431" s="386"/>
      <c r="BI14431" s="386"/>
      <c r="BJ14431" s="46"/>
    </row>
    <row r="14432" spans="59:62" x14ac:dyDescent="0.3">
      <c r="BG14432" s="387"/>
      <c r="BH14432" s="386"/>
      <c r="BI14432" s="386"/>
      <c r="BJ14432" s="46"/>
    </row>
    <row r="14433" spans="59:62" x14ac:dyDescent="0.3">
      <c r="BG14433" s="387"/>
      <c r="BH14433" s="386"/>
      <c r="BI14433" s="386"/>
      <c r="BJ14433" s="46"/>
    </row>
    <row r="14434" spans="59:62" x14ac:dyDescent="0.3">
      <c r="BG14434" s="387"/>
      <c r="BH14434" s="386"/>
      <c r="BI14434" s="386"/>
      <c r="BJ14434" s="46"/>
    </row>
    <row r="14435" spans="59:62" x14ac:dyDescent="0.3">
      <c r="BG14435" s="387"/>
      <c r="BH14435" s="386"/>
      <c r="BI14435" s="386"/>
      <c r="BJ14435" s="46"/>
    </row>
    <row r="14436" spans="59:62" x14ac:dyDescent="0.3">
      <c r="BG14436" s="387"/>
      <c r="BH14436" s="386"/>
      <c r="BI14436" s="386"/>
      <c r="BJ14436" s="46"/>
    </row>
    <row r="14437" spans="59:62" x14ac:dyDescent="0.3">
      <c r="BG14437" s="387"/>
      <c r="BH14437" s="386"/>
      <c r="BI14437" s="386"/>
      <c r="BJ14437" s="46"/>
    </row>
    <row r="14438" spans="59:62" x14ac:dyDescent="0.3">
      <c r="BG14438" s="387"/>
      <c r="BH14438" s="386"/>
      <c r="BI14438" s="386"/>
      <c r="BJ14438" s="46"/>
    </row>
    <row r="14439" spans="59:62" x14ac:dyDescent="0.3">
      <c r="BG14439" s="387"/>
      <c r="BH14439" s="386"/>
      <c r="BI14439" s="386"/>
      <c r="BJ14439" s="46"/>
    </row>
    <row r="14440" spans="59:62" x14ac:dyDescent="0.3">
      <c r="BG14440" s="387"/>
      <c r="BH14440" s="386"/>
      <c r="BI14440" s="386"/>
      <c r="BJ14440" s="46"/>
    </row>
    <row r="14441" spans="59:62" x14ac:dyDescent="0.3">
      <c r="BG14441" s="387"/>
      <c r="BH14441" s="386"/>
      <c r="BI14441" s="386"/>
      <c r="BJ14441" s="46"/>
    </row>
    <row r="14442" spans="59:62" x14ac:dyDescent="0.3">
      <c r="BG14442" s="387"/>
      <c r="BH14442" s="386"/>
      <c r="BI14442" s="386"/>
      <c r="BJ14442" s="46"/>
    </row>
    <row r="14443" spans="59:62" x14ac:dyDescent="0.3">
      <c r="BG14443" s="387"/>
      <c r="BH14443" s="386"/>
      <c r="BI14443" s="386"/>
      <c r="BJ14443" s="46"/>
    </row>
    <row r="14444" spans="59:62" x14ac:dyDescent="0.3">
      <c r="BG14444" s="387"/>
      <c r="BH14444" s="386"/>
      <c r="BI14444" s="386"/>
      <c r="BJ14444" s="46"/>
    </row>
    <row r="14445" spans="59:62" x14ac:dyDescent="0.3">
      <c r="BG14445" s="387"/>
      <c r="BH14445" s="386"/>
      <c r="BI14445" s="386"/>
      <c r="BJ14445" s="46"/>
    </row>
    <row r="14446" spans="59:62" x14ac:dyDescent="0.3">
      <c r="BG14446" s="387"/>
      <c r="BH14446" s="386"/>
      <c r="BI14446" s="386"/>
      <c r="BJ14446" s="46"/>
    </row>
    <row r="14447" spans="59:62" x14ac:dyDescent="0.3">
      <c r="BG14447" s="387"/>
      <c r="BH14447" s="386"/>
      <c r="BI14447" s="386"/>
      <c r="BJ14447" s="46"/>
    </row>
    <row r="14448" spans="59:62" x14ac:dyDescent="0.3">
      <c r="BG14448" s="387"/>
      <c r="BH14448" s="386"/>
      <c r="BI14448" s="386"/>
      <c r="BJ14448" s="46"/>
    </row>
    <row r="14449" spans="59:62" x14ac:dyDescent="0.3">
      <c r="BG14449" s="387"/>
      <c r="BH14449" s="386"/>
      <c r="BI14449" s="386"/>
      <c r="BJ14449" s="46"/>
    </row>
    <row r="14450" spans="59:62" x14ac:dyDescent="0.3">
      <c r="BG14450" s="387"/>
      <c r="BH14450" s="386"/>
      <c r="BI14450" s="386"/>
      <c r="BJ14450" s="46"/>
    </row>
    <row r="14451" spans="59:62" x14ac:dyDescent="0.3">
      <c r="BG14451" s="387"/>
      <c r="BH14451" s="386"/>
      <c r="BI14451" s="386"/>
      <c r="BJ14451" s="46"/>
    </row>
    <row r="14452" spans="59:62" x14ac:dyDescent="0.3">
      <c r="BG14452" s="387"/>
      <c r="BH14452" s="386"/>
      <c r="BI14452" s="386"/>
      <c r="BJ14452" s="46"/>
    </row>
    <row r="14453" spans="59:62" x14ac:dyDescent="0.3">
      <c r="BG14453" s="387"/>
      <c r="BH14453" s="386"/>
      <c r="BI14453" s="386"/>
      <c r="BJ14453" s="46"/>
    </row>
    <row r="14454" spans="59:62" x14ac:dyDescent="0.3">
      <c r="BG14454" s="387"/>
      <c r="BH14454" s="386"/>
      <c r="BI14454" s="386"/>
      <c r="BJ14454" s="46"/>
    </row>
    <row r="14455" spans="59:62" x14ac:dyDescent="0.3">
      <c r="BG14455" s="387"/>
      <c r="BH14455" s="386"/>
      <c r="BI14455" s="386"/>
      <c r="BJ14455" s="46"/>
    </row>
    <row r="14456" spans="59:62" x14ac:dyDescent="0.3">
      <c r="BG14456" s="387"/>
      <c r="BH14456" s="386"/>
      <c r="BI14456" s="386"/>
      <c r="BJ14456" s="46"/>
    </row>
    <row r="14457" spans="59:62" x14ac:dyDescent="0.3">
      <c r="BG14457" s="387"/>
      <c r="BH14457" s="386"/>
      <c r="BI14457" s="386"/>
      <c r="BJ14457" s="46"/>
    </row>
    <row r="14458" spans="59:62" x14ac:dyDescent="0.3">
      <c r="BG14458" s="387"/>
      <c r="BH14458" s="386"/>
      <c r="BI14458" s="386"/>
      <c r="BJ14458" s="46"/>
    </row>
    <row r="14459" spans="59:62" x14ac:dyDescent="0.3">
      <c r="BG14459" s="387"/>
      <c r="BH14459" s="386"/>
      <c r="BI14459" s="386"/>
      <c r="BJ14459" s="46"/>
    </row>
    <row r="14460" spans="59:62" x14ac:dyDescent="0.3">
      <c r="BG14460" s="387"/>
      <c r="BH14460" s="386"/>
      <c r="BI14460" s="386"/>
      <c r="BJ14460" s="46"/>
    </row>
    <row r="14461" spans="59:62" x14ac:dyDescent="0.3">
      <c r="BG14461" s="387"/>
      <c r="BH14461" s="386"/>
      <c r="BI14461" s="386"/>
      <c r="BJ14461" s="46"/>
    </row>
    <row r="14462" spans="59:62" x14ac:dyDescent="0.3">
      <c r="BG14462" s="387"/>
      <c r="BH14462" s="386"/>
      <c r="BI14462" s="386"/>
      <c r="BJ14462" s="46"/>
    </row>
    <row r="14463" spans="59:62" x14ac:dyDescent="0.3">
      <c r="BG14463" s="387"/>
      <c r="BH14463" s="386"/>
      <c r="BI14463" s="386"/>
      <c r="BJ14463" s="46"/>
    </row>
    <row r="14464" spans="59:62" x14ac:dyDescent="0.3">
      <c r="BG14464" s="387"/>
      <c r="BH14464" s="386"/>
      <c r="BI14464" s="386"/>
      <c r="BJ14464" s="46"/>
    </row>
    <row r="14465" spans="59:62" x14ac:dyDescent="0.3">
      <c r="BG14465" s="387"/>
      <c r="BH14465" s="386"/>
      <c r="BI14465" s="386"/>
      <c r="BJ14465" s="46"/>
    </row>
    <row r="14466" spans="59:62" x14ac:dyDescent="0.3">
      <c r="BG14466" s="387"/>
      <c r="BH14466" s="386"/>
      <c r="BI14466" s="386"/>
      <c r="BJ14466" s="46"/>
    </row>
    <row r="14467" spans="59:62" x14ac:dyDescent="0.3">
      <c r="BG14467" s="387"/>
      <c r="BH14467" s="386"/>
      <c r="BI14467" s="386"/>
      <c r="BJ14467" s="46"/>
    </row>
    <row r="14468" spans="59:62" x14ac:dyDescent="0.3">
      <c r="BG14468" s="387"/>
      <c r="BH14468" s="386"/>
      <c r="BI14468" s="386"/>
      <c r="BJ14468" s="46"/>
    </row>
    <row r="14469" spans="59:62" x14ac:dyDescent="0.3">
      <c r="BG14469" s="387"/>
      <c r="BH14469" s="386"/>
      <c r="BI14469" s="386"/>
      <c r="BJ14469" s="46"/>
    </row>
    <row r="14470" spans="59:62" x14ac:dyDescent="0.3">
      <c r="BG14470" s="387"/>
      <c r="BH14470" s="386"/>
      <c r="BI14470" s="386"/>
      <c r="BJ14470" s="46"/>
    </row>
    <row r="14471" spans="59:62" x14ac:dyDescent="0.3">
      <c r="BG14471" s="387"/>
      <c r="BH14471" s="386"/>
      <c r="BI14471" s="386"/>
      <c r="BJ14471" s="46"/>
    </row>
    <row r="14472" spans="59:62" x14ac:dyDescent="0.3">
      <c r="BG14472" s="387"/>
      <c r="BH14472" s="386"/>
      <c r="BI14472" s="386"/>
      <c r="BJ14472" s="46"/>
    </row>
    <row r="14473" spans="59:62" x14ac:dyDescent="0.3">
      <c r="BG14473" s="387"/>
      <c r="BH14473" s="386"/>
      <c r="BI14473" s="386"/>
      <c r="BJ14473" s="46"/>
    </row>
    <row r="14474" spans="59:62" x14ac:dyDescent="0.3">
      <c r="BG14474" s="387"/>
      <c r="BH14474" s="386"/>
      <c r="BI14474" s="386"/>
      <c r="BJ14474" s="46"/>
    </row>
    <row r="14475" spans="59:62" x14ac:dyDescent="0.3">
      <c r="BG14475" s="387"/>
      <c r="BH14475" s="386"/>
      <c r="BI14475" s="386"/>
      <c r="BJ14475" s="46"/>
    </row>
    <row r="14476" spans="59:62" x14ac:dyDescent="0.3">
      <c r="BG14476" s="387"/>
      <c r="BH14476" s="386"/>
      <c r="BI14476" s="386"/>
      <c r="BJ14476" s="46"/>
    </row>
    <row r="14477" spans="59:62" x14ac:dyDescent="0.3">
      <c r="BG14477" s="387"/>
      <c r="BH14477" s="386"/>
      <c r="BI14477" s="386"/>
      <c r="BJ14477" s="46"/>
    </row>
    <row r="14478" spans="59:62" x14ac:dyDescent="0.3">
      <c r="BG14478" s="387"/>
      <c r="BH14478" s="386"/>
      <c r="BI14478" s="386"/>
      <c r="BJ14478" s="46"/>
    </row>
    <row r="14479" spans="59:62" x14ac:dyDescent="0.3">
      <c r="BG14479" s="387"/>
      <c r="BH14479" s="386"/>
      <c r="BI14479" s="386"/>
      <c r="BJ14479" s="46"/>
    </row>
    <row r="14480" spans="59:62" x14ac:dyDescent="0.3">
      <c r="BG14480" s="387"/>
      <c r="BH14480" s="386"/>
      <c r="BI14480" s="386"/>
      <c r="BJ14480" s="46"/>
    </row>
    <row r="14481" spans="59:62" x14ac:dyDescent="0.3">
      <c r="BG14481" s="387"/>
      <c r="BH14481" s="386"/>
      <c r="BI14481" s="386"/>
      <c r="BJ14481" s="46"/>
    </row>
    <row r="14482" spans="59:62" x14ac:dyDescent="0.3">
      <c r="BG14482" s="387"/>
      <c r="BH14482" s="386"/>
      <c r="BI14482" s="386"/>
      <c r="BJ14482" s="46"/>
    </row>
    <row r="14483" spans="59:62" x14ac:dyDescent="0.3">
      <c r="BG14483" s="387"/>
      <c r="BH14483" s="386"/>
      <c r="BI14483" s="386"/>
      <c r="BJ14483" s="46"/>
    </row>
    <row r="14484" spans="59:62" x14ac:dyDescent="0.3">
      <c r="BG14484" s="387"/>
      <c r="BH14484" s="386"/>
      <c r="BI14484" s="386"/>
      <c r="BJ14484" s="46"/>
    </row>
    <row r="14485" spans="59:62" x14ac:dyDescent="0.3">
      <c r="BG14485" s="387"/>
      <c r="BH14485" s="386"/>
      <c r="BI14485" s="386"/>
      <c r="BJ14485" s="46"/>
    </row>
    <row r="14486" spans="59:62" x14ac:dyDescent="0.3">
      <c r="BG14486" s="387"/>
      <c r="BH14486" s="386"/>
      <c r="BI14486" s="386"/>
      <c r="BJ14486" s="46"/>
    </row>
    <row r="14487" spans="59:62" x14ac:dyDescent="0.3">
      <c r="BG14487" s="387"/>
      <c r="BH14487" s="386"/>
      <c r="BI14487" s="386"/>
      <c r="BJ14487" s="46"/>
    </row>
    <row r="14488" spans="59:62" x14ac:dyDescent="0.3">
      <c r="BG14488" s="387"/>
      <c r="BH14488" s="386"/>
      <c r="BI14488" s="386"/>
      <c r="BJ14488" s="46"/>
    </row>
    <row r="14489" spans="59:62" x14ac:dyDescent="0.3">
      <c r="BG14489" s="387"/>
      <c r="BH14489" s="386"/>
      <c r="BI14489" s="386"/>
      <c r="BJ14489" s="46"/>
    </row>
    <row r="14490" spans="59:62" x14ac:dyDescent="0.3">
      <c r="BG14490" s="387"/>
      <c r="BH14490" s="386"/>
      <c r="BI14490" s="386"/>
      <c r="BJ14490" s="46"/>
    </row>
    <row r="14491" spans="59:62" x14ac:dyDescent="0.3">
      <c r="BG14491" s="387"/>
      <c r="BH14491" s="386"/>
      <c r="BI14491" s="386"/>
      <c r="BJ14491" s="46"/>
    </row>
    <row r="14492" spans="59:62" x14ac:dyDescent="0.3">
      <c r="BG14492" s="387"/>
      <c r="BH14492" s="386"/>
      <c r="BI14492" s="386"/>
      <c r="BJ14492" s="46"/>
    </row>
    <row r="14493" spans="59:62" x14ac:dyDescent="0.3">
      <c r="BG14493" s="387"/>
      <c r="BH14493" s="386"/>
      <c r="BI14493" s="386"/>
      <c r="BJ14493" s="46"/>
    </row>
    <row r="14494" spans="59:62" x14ac:dyDescent="0.3">
      <c r="BG14494" s="387"/>
      <c r="BH14494" s="386"/>
      <c r="BI14494" s="386"/>
      <c r="BJ14494" s="46"/>
    </row>
    <row r="14495" spans="59:62" x14ac:dyDescent="0.3">
      <c r="BG14495" s="387"/>
      <c r="BH14495" s="386"/>
      <c r="BI14495" s="386"/>
      <c r="BJ14495" s="46"/>
    </row>
    <row r="14496" spans="59:62" x14ac:dyDescent="0.3">
      <c r="BG14496" s="387"/>
      <c r="BH14496" s="386"/>
      <c r="BI14496" s="386"/>
      <c r="BJ14496" s="46"/>
    </row>
    <row r="14497" spans="59:62" x14ac:dyDescent="0.3">
      <c r="BG14497" s="387"/>
      <c r="BH14497" s="386"/>
      <c r="BI14497" s="386"/>
      <c r="BJ14497" s="46"/>
    </row>
    <row r="14498" spans="59:62" x14ac:dyDescent="0.3">
      <c r="BG14498" s="387"/>
      <c r="BH14498" s="386"/>
      <c r="BI14498" s="386"/>
      <c r="BJ14498" s="46"/>
    </row>
    <row r="14499" spans="59:62" x14ac:dyDescent="0.3">
      <c r="BG14499" s="387"/>
      <c r="BH14499" s="386"/>
      <c r="BI14499" s="386"/>
      <c r="BJ14499" s="46"/>
    </row>
    <row r="14500" spans="59:62" x14ac:dyDescent="0.3">
      <c r="BG14500" s="387"/>
      <c r="BH14500" s="386"/>
      <c r="BI14500" s="386"/>
      <c r="BJ14500" s="46"/>
    </row>
    <row r="14501" spans="59:62" x14ac:dyDescent="0.3">
      <c r="BG14501" s="387"/>
      <c r="BH14501" s="386"/>
      <c r="BI14501" s="386"/>
      <c r="BJ14501" s="46"/>
    </row>
    <row r="14502" spans="59:62" x14ac:dyDescent="0.3">
      <c r="BG14502" s="387"/>
      <c r="BH14502" s="386"/>
      <c r="BI14502" s="386"/>
      <c r="BJ14502" s="46"/>
    </row>
    <row r="14503" spans="59:62" x14ac:dyDescent="0.3">
      <c r="BG14503" s="387"/>
      <c r="BH14503" s="386"/>
      <c r="BI14503" s="386"/>
      <c r="BJ14503" s="46"/>
    </row>
    <row r="14504" spans="59:62" x14ac:dyDescent="0.3">
      <c r="BG14504" s="387"/>
      <c r="BH14504" s="386"/>
      <c r="BI14504" s="386"/>
      <c r="BJ14504" s="46"/>
    </row>
    <row r="14505" spans="59:62" x14ac:dyDescent="0.3">
      <c r="BG14505" s="387"/>
      <c r="BH14505" s="386"/>
      <c r="BI14505" s="386"/>
      <c r="BJ14505" s="46"/>
    </row>
    <row r="14506" spans="59:62" x14ac:dyDescent="0.3">
      <c r="BG14506" s="387"/>
      <c r="BH14506" s="386"/>
      <c r="BI14506" s="386"/>
      <c r="BJ14506" s="46"/>
    </row>
    <row r="14507" spans="59:62" x14ac:dyDescent="0.3">
      <c r="BG14507" s="387"/>
      <c r="BH14507" s="386"/>
      <c r="BI14507" s="386"/>
      <c r="BJ14507" s="46"/>
    </row>
    <row r="14508" spans="59:62" x14ac:dyDescent="0.3">
      <c r="BG14508" s="387"/>
      <c r="BH14508" s="386"/>
      <c r="BI14508" s="386"/>
      <c r="BJ14508" s="46"/>
    </row>
    <row r="14509" spans="59:62" x14ac:dyDescent="0.3">
      <c r="BG14509" s="387"/>
      <c r="BH14509" s="386"/>
      <c r="BI14509" s="386"/>
      <c r="BJ14509" s="46"/>
    </row>
    <row r="14510" spans="59:62" x14ac:dyDescent="0.3">
      <c r="BG14510" s="387"/>
      <c r="BH14510" s="386"/>
      <c r="BI14510" s="386"/>
      <c r="BJ14510" s="46"/>
    </row>
    <row r="14511" spans="59:62" x14ac:dyDescent="0.3">
      <c r="BG14511" s="387"/>
      <c r="BH14511" s="386"/>
      <c r="BI14511" s="386"/>
      <c r="BJ14511" s="46"/>
    </row>
    <row r="14512" spans="59:62" x14ac:dyDescent="0.3">
      <c r="BG14512" s="387"/>
      <c r="BH14512" s="386"/>
      <c r="BI14512" s="386"/>
      <c r="BJ14512" s="46"/>
    </row>
    <row r="14513" spans="59:62" x14ac:dyDescent="0.3">
      <c r="BG14513" s="387"/>
      <c r="BH14513" s="386"/>
      <c r="BI14513" s="386"/>
      <c r="BJ14513" s="46"/>
    </row>
    <row r="14514" spans="59:62" x14ac:dyDescent="0.3">
      <c r="BG14514" s="387"/>
      <c r="BH14514" s="386"/>
      <c r="BI14514" s="386"/>
      <c r="BJ14514" s="46"/>
    </row>
    <row r="14515" spans="59:62" x14ac:dyDescent="0.3">
      <c r="BG14515" s="387"/>
      <c r="BH14515" s="386"/>
      <c r="BI14515" s="386"/>
      <c r="BJ14515" s="46"/>
    </row>
    <row r="14516" spans="59:62" x14ac:dyDescent="0.3">
      <c r="BG14516" s="387"/>
      <c r="BH14516" s="386"/>
      <c r="BI14516" s="386"/>
      <c r="BJ14516" s="46"/>
    </row>
    <row r="14517" spans="59:62" x14ac:dyDescent="0.3">
      <c r="BG14517" s="387"/>
      <c r="BH14517" s="386"/>
      <c r="BI14517" s="386"/>
      <c r="BJ14517" s="46"/>
    </row>
    <row r="14518" spans="59:62" x14ac:dyDescent="0.3">
      <c r="BG14518" s="387"/>
      <c r="BH14518" s="386"/>
      <c r="BI14518" s="386"/>
      <c r="BJ14518" s="46"/>
    </row>
    <row r="14519" spans="59:62" x14ac:dyDescent="0.3">
      <c r="BG14519" s="387"/>
      <c r="BH14519" s="386"/>
      <c r="BI14519" s="386"/>
      <c r="BJ14519" s="46"/>
    </row>
    <row r="14520" spans="59:62" x14ac:dyDescent="0.3">
      <c r="BG14520" s="387"/>
      <c r="BH14520" s="386"/>
      <c r="BI14520" s="386"/>
      <c r="BJ14520" s="46"/>
    </row>
    <row r="14521" spans="59:62" x14ac:dyDescent="0.3">
      <c r="BG14521" s="387"/>
      <c r="BH14521" s="386"/>
      <c r="BI14521" s="386"/>
      <c r="BJ14521" s="46"/>
    </row>
    <row r="14522" spans="59:62" x14ac:dyDescent="0.3">
      <c r="BG14522" s="387"/>
      <c r="BH14522" s="386"/>
      <c r="BI14522" s="386"/>
      <c r="BJ14522" s="46"/>
    </row>
    <row r="14523" spans="59:62" x14ac:dyDescent="0.3">
      <c r="BG14523" s="387"/>
      <c r="BH14523" s="386"/>
      <c r="BI14523" s="386"/>
      <c r="BJ14523" s="46"/>
    </row>
    <row r="14524" spans="59:62" x14ac:dyDescent="0.3">
      <c r="BG14524" s="387"/>
      <c r="BH14524" s="386"/>
      <c r="BI14524" s="386"/>
      <c r="BJ14524" s="46"/>
    </row>
    <row r="14525" spans="59:62" x14ac:dyDescent="0.3">
      <c r="BG14525" s="387"/>
      <c r="BH14525" s="386"/>
      <c r="BI14525" s="386"/>
      <c r="BJ14525" s="46"/>
    </row>
    <row r="14526" spans="59:62" x14ac:dyDescent="0.3">
      <c r="BG14526" s="387"/>
      <c r="BH14526" s="386"/>
      <c r="BI14526" s="386"/>
      <c r="BJ14526" s="46"/>
    </row>
    <row r="14527" spans="59:62" x14ac:dyDescent="0.3">
      <c r="BG14527" s="387"/>
      <c r="BH14527" s="386"/>
      <c r="BI14527" s="386"/>
      <c r="BJ14527" s="46"/>
    </row>
    <row r="14528" spans="59:62" x14ac:dyDescent="0.3">
      <c r="BG14528" s="387"/>
      <c r="BH14528" s="386"/>
      <c r="BI14528" s="386"/>
      <c r="BJ14528" s="46"/>
    </row>
    <row r="14529" spans="59:62" x14ac:dyDescent="0.3">
      <c r="BG14529" s="387"/>
      <c r="BH14529" s="386"/>
      <c r="BI14529" s="386"/>
      <c r="BJ14529" s="46"/>
    </row>
    <row r="14530" spans="59:62" x14ac:dyDescent="0.3">
      <c r="BG14530" s="387"/>
      <c r="BH14530" s="386"/>
      <c r="BI14530" s="386"/>
      <c r="BJ14530" s="46"/>
    </row>
    <row r="14531" spans="59:62" x14ac:dyDescent="0.3">
      <c r="BG14531" s="387"/>
      <c r="BH14531" s="386"/>
      <c r="BI14531" s="386"/>
      <c r="BJ14531" s="46"/>
    </row>
    <row r="14532" spans="59:62" x14ac:dyDescent="0.3">
      <c r="BG14532" s="387"/>
      <c r="BH14532" s="386"/>
      <c r="BI14532" s="386"/>
      <c r="BJ14532" s="46"/>
    </row>
    <row r="14533" spans="59:62" x14ac:dyDescent="0.3">
      <c r="BG14533" s="387"/>
      <c r="BH14533" s="386"/>
      <c r="BI14533" s="386"/>
      <c r="BJ14533" s="46"/>
    </row>
    <row r="14534" spans="59:62" x14ac:dyDescent="0.3">
      <c r="BG14534" s="387"/>
      <c r="BH14534" s="386"/>
      <c r="BI14534" s="386"/>
      <c r="BJ14534" s="46"/>
    </row>
    <row r="14535" spans="59:62" x14ac:dyDescent="0.3">
      <c r="BG14535" s="387"/>
      <c r="BH14535" s="386"/>
      <c r="BI14535" s="386"/>
      <c r="BJ14535" s="46"/>
    </row>
    <row r="14536" spans="59:62" x14ac:dyDescent="0.3">
      <c r="BG14536" s="387"/>
      <c r="BH14536" s="386"/>
      <c r="BI14536" s="386"/>
      <c r="BJ14536" s="46"/>
    </row>
    <row r="14537" spans="59:62" x14ac:dyDescent="0.3">
      <c r="BG14537" s="387"/>
      <c r="BH14537" s="386"/>
      <c r="BI14537" s="386"/>
      <c r="BJ14537" s="46"/>
    </row>
    <row r="14538" spans="59:62" x14ac:dyDescent="0.3">
      <c r="BG14538" s="387"/>
      <c r="BH14538" s="386"/>
      <c r="BI14538" s="386"/>
      <c r="BJ14538" s="46"/>
    </row>
    <row r="14539" spans="59:62" x14ac:dyDescent="0.3">
      <c r="BG14539" s="387"/>
      <c r="BH14539" s="386"/>
      <c r="BI14539" s="386"/>
      <c r="BJ14539" s="46"/>
    </row>
    <row r="14540" spans="59:62" x14ac:dyDescent="0.3">
      <c r="BG14540" s="387"/>
      <c r="BH14540" s="386"/>
      <c r="BI14540" s="386"/>
      <c r="BJ14540" s="46"/>
    </row>
    <row r="14541" spans="59:62" x14ac:dyDescent="0.3">
      <c r="BG14541" s="387"/>
      <c r="BH14541" s="386"/>
      <c r="BI14541" s="386"/>
      <c r="BJ14541" s="46"/>
    </row>
    <row r="14542" spans="59:62" x14ac:dyDescent="0.3">
      <c r="BG14542" s="387"/>
      <c r="BH14542" s="386"/>
      <c r="BI14542" s="386"/>
      <c r="BJ14542" s="46"/>
    </row>
    <row r="14543" spans="59:62" x14ac:dyDescent="0.3">
      <c r="BG14543" s="387"/>
      <c r="BH14543" s="386"/>
      <c r="BI14543" s="386"/>
      <c r="BJ14543" s="46"/>
    </row>
    <row r="14544" spans="59:62" x14ac:dyDescent="0.3">
      <c r="BG14544" s="387"/>
      <c r="BH14544" s="386"/>
      <c r="BI14544" s="386"/>
      <c r="BJ14544" s="46"/>
    </row>
    <row r="14545" spans="59:62" x14ac:dyDescent="0.3">
      <c r="BG14545" s="387"/>
      <c r="BH14545" s="386"/>
      <c r="BI14545" s="386"/>
      <c r="BJ14545" s="46"/>
    </row>
    <row r="14546" spans="59:62" x14ac:dyDescent="0.3">
      <c r="BG14546" s="387"/>
      <c r="BH14546" s="386"/>
      <c r="BI14546" s="386"/>
      <c r="BJ14546" s="46"/>
    </row>
    <row r="14547" spans="59:62" x14ac:dyDescent="0.3">
      <c r="BG14547" s="387"/>
      <c r="BH14547" s="386"/>
      <c r="BI14547" s="386"/>
      <c r="BJ14547" s="46"/>
    </row>
    <row r="14548" spans="59:62" x14ac:dyDescent="0.3">
      <c r="BG14548" s="387"/>
      <c r="BH14548" s="386"/>
      <c r="BI14548" s="386"/>
      <c r="BJ14548" s="46"/>
    </row>
    <row r="14549" spans="59:62" x14ac:dyDescent="0.3">
      <c r="BG14549" s="387"/>
      <c r="BH14549" s="386"/>
      <c r="BI14549" s="386"/>
      <c r="BJ14549" s="46"/>
    </row>
    <row r="14550" spans="59:62" x14ac:dyDescent="0.3">
      <c r="BG14550" s="387"/>
      <c r="BH14550" s="386"/>
      <c r="BI14550" s="386"/>
      <c r="BJ14550" s="46"/>
    </row>
    <row r="14551" spans="59:62" x14ac:dyDescent="0.3">
      <c r="BG14551" s="387"/>
      <c r="BH14551" s="386"/>
      <c r="BI14551" s="386"/>
      <c r="BJ14551" s="46"/>
    </row>
    <row r="14552" spans="59:62" x14ac:dyDescent="0.3">
      <c r="BG14552" s="387"/>
      <c r="BH14552" s="386"/>
      <c r="BI14552" s="386"/>
      <c r="BJ14552" s="46"/>
    </row>
    <row r="14553" spans="59:62" x14ac:dyDescent="0.3">
      <c r="BG14553" s="387"/>
      <c r="BH14553" s="386"/>
      <c r="BI14553" s="386"/>
      <c r="BJ14553" s="46"/>
    </row>
    <row r="14554" spans="59:62" x14ac:dyDescent="0.3">
      <c r="BG14554" s="387"/>
      <c r="BH14554" s="386"/>
      <c r="BI14554" s="386"/>
      <c r="BJ14554" s="46"/>
    </row>
    <row r="14555" spans="59:62" x14ac:dyDescent="0.3">
      <c r="BG14555" s="387"/>
      <c r="BH14555" s="386"/>
      <c r="BI14555" s="386"/>
      <c r="BJ14555" s="46"/>
    </row>
    <row r="14556" spans="59:62" x14ac:dyDescent="0.3">
      <c r="BG14556" s="387"/>
      <c r="BH14556" s="386"/>
      <c r="BI14556" s="386"/>
      <c r="BJ14556" s="46"/>
    </row>
    <row r="14557" spans="59:62" x14ac:dyDescent="0.3">
      <c r="BG14557" s="387"/>
      <c r="BH14557" s="386"/>
      <c r="BI14557" s="386"/>
      <c r="BJ14557" s="46"/>
    </row>
    <row r="14558" spans="59:62" x14ac:dyDescent="0.3">
      <c r="BG14558" s="387"/>
      <c r="BH14558" s="386"/>
      <c r="BI14558" s="386"/>
      <c r="BJ14558" s="46"/>
    </row>
    <row r="14559" spans="59:62" x14ac:dyDescent="0.3">
      <c r="BG14559" s="387"/>
      <c r="BH14559" s="386"/>
      <c r="BI14559" s="386"/>
      <c r="BJ14559" s="46"/>
    </row>
    <row r="14560" spans="59:62" x14ac:dyDescent="0.3">
      <c r="BG14560" s="387"/>
      <c r="BH14560" s="386"/>
      <c r="BI14560" s="386"/>
      <c r="BJ14560" s="46"/>
    </row>
    <row r="14561" spans="59:62" x14ac:dyDescent="0.3">
      <c r="BG14561" s="387"/>
      <c r="BH14561" s="386"/>
      <c r="BI14561" s="386"/>
      <c r="BJ14561" s="46"/>
    </row>
    <row r="14562" spans="59:62" x14ac:dyDescent="0.3">
      <c r="BG14562" s="387"/>
      <c r="BH14562" s="386"/>
      <c r="BI14562" s="386"/>
      <c r="BJ14562" s="46"/>
    </row>
    <row r="14563" spans="59:62" x14ac:dyDescent="0.3">
      <c r="BG14563" s="387"/>
      <c r="BH14563" s="386"/>
      <c r="BI14563" s="386"/>
      <c r="BJ14563" s="46"/>
    </row>
    <row r="14564" spans="59:62" x14ac:dyDescent="0.3">
      <c r="BG14564" s="387"/>
      <c r="BH14564" s="386"/>
      <c r="BI14564" s="386"/>
      <c r="BJ14564" s="46"/>
    </row>
    <row r="14565" spans="59:62" x14ac:dyDescent="0.3">
      <c r="BG14565" s="387"/>
      <c r="BH14565" s="386"/>
      <c r="BI14565" s="386"/>
      <c r="BJ14565" s="46"/>
    </row>
    <row r="14566" spans="59:62" x14ac:dyDescent="0.3">
      <c r="BG14566" s="387"/>
      <c r="BH14566" s="386"/>
      <c r="BI14566" s="386"/>
      <c r="BJ14566" s="46"/>
    </row>
    <row r="14567" spans="59:62" x14ac:dyDescent="0.3">
      <c r="BG14567" s="387"/>
      <c r="BH14567" s="386"/>
      <c r="BI14567" s="386"/>
      <c r="BJ14567" s="46"/>
    </row>
    <row r="14568" spans="59:62" x14ac:dyDescent="0.3">
      <c r="BG14568" s="387"/>
      <c r="BH14568" s="386"/>
      <c r="BI14568" s="386"/>
      <c r="BJ14568" s="46"/>
    </row>
    <row r="14569" spans="59:62" x14ac:dyDescent="0.3">
      <c r="BG14569" s="387"/>
      <c r="BH14569" s="386"/>
      <c r="BI14569" s="386"/>
      <c r="BJ14569" s="46"/>
    </row>
    <row r="14570" spans="59:62" x14ac:dyDescent="0.3">
      <c r="BG14570" s="387"/>
      <c r="BH14570" s="386"/>
      <c r="BI14570" s="386"/>
      <c r="BJ14570" s="46"/>
    </row>
    <row r="14571" spans="59:62" x14ac:dyDescent="0.3">
      <c r="BG14571" s="387"/>
      <c r="BH14571" s="386"/>
      <c r="BI14571" s="386"/>
      <c r="BJ14571" s="46"/>
    </row>
    <row r="14572" spans="59:62" x14ac:dyDescent="0.3">
      <c r="BG14572" s="387"/>
      <c r="BH14572" s="386"/>
      <c r="BI14572" s="386"/>
      <c r="BJ14572" s="46"/>
    </row>
    <row r="14573" spans="59:62" x14ac:dyDescent="0.3">
      <c r="BG14573" s="387"/>
      <c r="BH14573" s="386"/>
      <c r="BI14573" s="386"/>
      <c r="BJ14573" s="46"/>
    </row>
    <row r="14574" spans="59:62" x14ac:dyDescent="0.3">
      <c r="BG14574" s="387"/>
      <c r="BH14574" s="386"/>
      <c r="BI14574" s="386"/>
      <c r="BJ14574" s="46"/>
    </row>
    <row r="14575" spans="59:62" x14ac:dyDescent="0.3">
      <c r="BG14575" s="387"/>
      <c r="BH14575" s="386"/>
      <c r="BI14575" s="386"/>
      <c r="BJ14575" s="46"/>
    </row>
    <row r="14576" spans="59:62" x14ac:dyDescent="0.3">
      <c r="BG14576" s="387"/>
      <c r="BH14576" s="386"/>
      <c r="BI14576" s="386"/>
      <c r="BJ14576" s="46"/>
    </row>
    <row r="14577" spans="59:62" x14ac:dyDescent="0.3">
      <c r="BG14577" s="387"/>
      <c r="BH14577" s="386"/>
      <c r="BI14577" s="386"/>
      <c r="BJ14577" s="46"/>
    </row>
    <row r="14578" spans="59:62" x14ac:dyDescent="0.3">
      <c r="BG14578" s="387"/>
      <c r="BH14578" s="386"/>
      <c r="BI14578" s="386"/>
      <c r="BJ14578" s="46"/>
    </row>
    <row r="14579" spans="59:62" x14ac:dyDescent="0.3">
      <c r="BG14579" s="387"/>
      <c r="BH14579" s="386"/>
      <c r="BI14579" s="386"/>
      <c r="BJ14579" s="46"/>
    </row>
    <row r="14580" spans="59:62" x14ac:dyDescent="0.3">
      <c r="BG14580" s="387"/>
      <c r="BH14580" s="386"/>
      <c r="BI14580" s="386"/>
      <c r="BJ14580" s="46"/>
    </row>
    <row r="14581" spans="59:62" x14ac:dyDescent="0.3">
      <c r="BG14581" s="387"/>
      <c r="BH14581" s="386"/>
      <c r="BI14581" s="386"/>
      <c r="BJ14581" s="46"/>
    </row>
    <row r="14582" spans="59:62" x14ac:dyDescent="0.3">
      <c r="BG14582" s="387"/>
      <c r="BH14582" s="386"/>
      <c r="BI14582" s="386"/>
      <c r="BJ14582" s="46"/>
    </row>
    <row r="14583" spans="59:62" x14ac:dyDescent="0.3">
      <c r="BG14583" s="387"/>
      <c r="BH14583" s="386"/>
      <c r="BI14583" s="386"/>
      <c r="BJ14583" s="46"/>
    </row>
    <row r="14584" spans="59:62" x14ac:dyDescent="0.3">
      <c r="BG14584" s="387"/>
      <c r="BH14584" s="386"/>
      <c r="BI14584" s="386"/>
      <c r="BJ14584" s="46"/>
    </row>
    <row r="14585" spans="59:62" x14ac:dyDescent="0.3">
      <c r="BG14585" s="387"/>
      <c r="BH14585" s="386"/>
      <c r="BI14585" s="386"/>
      <c r="BJ14585" s="46"/>
    </row>
    <row r="14586" spans="59:62" x14ac:dyDescent="0.3">
      <c r="BG14586" s="387"/>
      <c r="BH14586" s="386"/>
      <c r="BI14586" s="386"/>
      <c r="BJ14586" s="46"/>
    </row>
    <row r="14587" spans="59:62" x14ac:dyDescent="0.3">
      <c r="BG14587" s="387"/>
      <c r="BH14587" s="386"/>
      <c r="BI14587" s="386"/>
      <c r="BJ14587" s="46"/>
    </row>
    <row r="14588" spans="59:62" x14ac:dyDescent="0.3">
      <c r="BG14588" s="387"/>
      <c r="BH14588" s="386"/>
      <c r="BI14588" s="386"/>
      <c r="BJ14588" s="46"/>
    </row>
    <row r="14589" spans="59:62" x14ac:dyDescent="0.3">
      <c r="BG14589" s="387"/>
      <c r="BH14589" s="386"/>
      <c r="BI14589" s="386"/>
      <c r="BJ14589" s="46"/>
    </row>
    <row r="14590" spans="59:62" x14ac:dyDescent="0.3">
      <c r="BG14590" s="387"/>
      <c r="BH14590" s="386"/>
      <c r="BI14590" s="386"/>
      <c r="BJ14590" s="46"/>
    </row>
    <row r="14591" spans="59:62" x14ac:dyDescent="0.3">
      <c r="BG14591" s="387"/>
      <c r="BH14591" s="386"/>
      <c r="BI14591" s="386"/>
      <c r="BJ14591" s="46"/>
    </row>
    <row r="14592" spans="59:62" x14ac:dyDescent="0.3">
      <c r="BG14592" s="387"/>
      <c r="BH14592" s="386"/>
      <c r="BI14592" s="386"/>
      <c r="BJ14592" s="46"/>
    </row>
    <row r="14593" spans="59:62" x14ac:dyDescent="0.3">
      <c r="BG14593" s="387"/>
      <c r="BH14593" s="386"/>
      <c r="BI14593" s="386"/>
      <c r="BJ14593" s="46"/>
    </row>
    <row r="14594" spans="59:62" x14ac:dyDescent="0.3">
      <c r="BG14594" s="387"/>
      <c r="BH14594" s="386"/>
      <c r="BI14594" s="386"/>
      <c r="BJ14594" s="46"/>
    </row>
    <row r="14595" spans="59:62" x14ac:dyDescent="0.3">
      <c r="BG14595" s="387"/>
      <c r="BH14595" s="386"/>
      <c r="BI14595" s="386"/>
      <c r="BJ14595" s="46"/>
    </row>
    <row r="14596" spans="59:62" x14ac:dyDescent="0.3">
      <c r="BG14596" s="387"/>
      <c r="BH14596" s="386"/>
      <c r="BI14596" s="386"/>
      <c r="BJ14596" s="46"/>
    </row>
    <row r="14597" spans="59:62" x14ac:dyDescent="0.3">
      <c r="BG14597" s="387"/>
      <c r="BH14597" s="386"/>
      <c r="BI14597" s="386"/>
      <c r="BJ14597" s="46"/>
    </row>
    <row r="14598" spans="59:62" x14ac:dyDescent="0.3">
      <c r="BG14598" s="387"/>
      <c r="BH14598" s="386"/>
      <c r="BI14598" s="386"/>
      <c r="BJ14598" s="46"/>
    </row>
    <row r="14599" spans="59:62" x14ac:dyDescent="0.3">
      <c r="BG14599" s="387"/>
      <c r="BH14599" s="386"/>
      <c r="BI14599" s="386"/>
      <c r="BJ14599" s="46"/>
    </row>
    <row r="14600" spans="59:62" x14ac:dyDescent="0.3">
      <c r="BG14600" s="387"/>
      <c r="BH14600" s="386"/>
      <c r="BI14600" s="386"/>
      <c r="BJ14600" s="46"/>
    </row>
    <row r="14601" spans="59:62" x14ac:dyDescent="0.3">
      <c r="BG14601" s="387"/>
      <c r="BH14601" s="386"/>
      <c r="BI14601" s="386"/>
      <c r="BJ14601" s="46"/>
    </row>
    <row r="14602" spans="59:62" x14ac:dyDescent="0.3">
      <c r="BG14602" s="387"/>
      <c r="BH14602" s="386"/>
      <c r="BI14602" s="386"/>
      <c r="BJ14602" s="46"/>
    </row>
    <row r="14603" spans="59:62" x14ac:dyDescent="0.3">
      <c r="BG14603" s="387"/>
      <c r="BH14603" s="386"/>
      <c r="BI14603" s="386"/>
      <c r="BJ14603" s="46"/>
    </row>
    <row r="14604" spans="59:62" x14ac:dyDescent="0.3">
      <c r="BG14604" s="387"/>
      <c r="BH14604" s="386"/>
      <c r="BI14604" s="386"/>
      <c r="BJ14604" s="46"/>
    </row>
    <row r="14605" spans="59:62" x14ac:dyDescent="0.3">
      <c r="BG14605" s="387"/>
      <c r="BH14605" s="386"/>
      <c r="BI14605" s="386"/>
      <c r="BJ14605" s="46"/>
    </row>
    <row r="14606" spans="59:62" x14ac:dyDescent="0.3">
      <c r="BG14606" s="387"/>
      <c r="BH14606" s="386"/>
      <c r="BI14606" s="386"/>
      <c r="BJ14606" s="46"/>
    </row>
    <row r="14607" spans="59:62" x14ac:dyDescent="0.3">
      <c r="BG14607" s="387"/>
      <c r="BH14607" s="386"/>
      <c r="BI14607" s="386"/>
      <c r="BJ14607" s="46"/>
    </row>
    <row r="14608" spans="59:62" x14ac:dyDescent="0.3">
      <c r="BG14608" s="387"/>
      <c r="BH14608" s="386"/>
      <c r="BI14608" s="386"/>
      <c r="BJ14608" s="46"/>
    </row>
    <row r="14609" spans="59:62" x14ac:dyDescent="0.3">
      <c r="BG14609" s="387"/>
      <c r="BH14609" s="386"/>
      <c r="BI14609" s="386"/>
      <c r="BJ14609" s="46"/>
    </row>
    <row r="14610" spans="59:62" x14ac:dyDescent="0.3">
      <c r="BG14610" s="387"/>
      <c r="BH14610" s="386"/>
      <c r="BI14610" s="386"/>
      <c r="BJ14610" s="46"/>
    </row>
    <row r="14611" spans="59:62" x14ac:dyDescent="0.3">
      <c r="BG14611" s="387"/>
      <c r="BH14611" s="386"/>
      <c r="BI14611" s="386"/>
      <c r="BJ14611" s="46"/>
    </row>
    <row r="14612" spans="59:62" x14ac:dyDescent="0.3">
      <c r="BG14612" s="387"/>
      <c r="BH14612" s="386"/>
      <c r="BI14612" s="386"/>
      <c r="BJ14612" s="46"/>
    </row>
    <row r="14613" spans="59:62" x14ac:dyDescent="0.3">
      <c r="BG14613" s="387"/>
      <c r="BH14613" s="386"/>
      <c r="BI14613" s="386"/>
      <c r="BJ14613" s="46"/>
    </row>
    <row r="14614" spans="59:62" x14ac:dyDescent="0.3">
      <c r="BG14614" s="387"/>
      <c r="BH14614" s="386"/>
      <c r="BI14614" s="386"/>
      <c r="BJ14614" s="46"/>
    </row>
    <row r="14615" spans="59:62" x14ac:dyDescent="0.3">
      <c r="BG14615" s="387"/>
      <c r="BH14615" s="386"/>
      <c r="BI14615" s="386"/>
      <c r="BJ14615" s="46"/>
    </row>
    <row r="14616" spans="59:62" x14ac:dyDescent="0.3">
      <c r="BG14616" s="387"/>
      <c r="BH14616" s="386"/>
      <c r="BI14616" s="386"/>
      <c r="BJ14616" s="46"/>
    </row>
    <row r="14617" spans="59:62" x14ac:dyDescent="0.3">
      <c r="BG14617" s="387"/>
      <c r="BH14617" s="386"/>
      <c r="BI14617" s="386"/>
      <c r="BJ14617" s="46"/>
    </row>
    <row r="14618" spans="59:62" x14ac:dyDescent="0.3">
      <c r="BG14618" s="387"/>
      <c r="BH14618" s="386"/>
      <c r="BI14618" s="386"/>
      <c r="BJ14618" s="46"/>
    </row>
    <row r="14619" spans="59:62" x14ac:dyDescent="0.3">
      <c r="BG14619" s="387"/>
      <c r="BH14619" s="386"/>
      <c r="BI14619" s="386"/>
      <c r="BJ14619" s="46"/>
    </row>
    <row r="14620" spans="59:62" x14ac:dyDescent="0.3">
      <c r="BG14620" s="387"/>
      <c r="BH14620" s="386"/>
      <c r="BI14620" s="386"/>
      <c r="BJ14620" s="46"/>
    </row>
    <row r="14621" spans="59:62" x14ac:dyDescent="0.3">
      <c r="BG14621" s="387"/>
      <c r="BH14621" s="386"/>
      <c r="BI14621" s="386"/>
      <c r="BJ14621" s="46"/>
    </row>
    <row r="14622" spans="59:62" x14ac:dyDescent="0.3">
      <c r="BG14622" s="387"/>
      <c r="BH14622" s="386"/>
      <c r="BI14622" s="386"/>
      <c r="BJ14622" s="46"/>
    </row>
    <row r="14623" spans="59:62" x14ac:dyDescent="0.3">
      <c r="BG14623" s="387"/>
      <c r="BH14623" s="386"/>
      <c r="BI14623" s="386"/>
      <c r="BJ14623" s="46"/>
    </row>
    <row r="14624" spans="59:62" x14ac:dyDescent="0.3">
      <c r="BG14624" s="387"/>
      <c r="BH14624" s="386"/>
      <c r="BI14624" s="386"/>
      <c r="BJ14624" s="46"/>
    </row>
    <row r="14625" spans="59:62" x14ac:dyDescent="0.3">
      <c r="BG14625" s="387"/>
      <c r="BH14625" s="386"/>
      <c r="BI14625" s="386"/>
      <c r="BJ14625" s="46"/>
    </row>
    <row r="14626" spans="59:62" x14ac:dyDescent="0.3">
      <c r="BG14626" s="387"/>
      <c r="BH14626" s="386"/>
      <c r="BI14626" s="386"/>
      <c r="BJ14626" s="46"/>
    </row>
    <row r="14627" spans="59:62" x14ac:dyDescent="0.3">
      <c r="BG14627" s="387"/>
      <c r="BH14627" s="386"/>
      <c r="BI14627" s="386"/>
      <c r="BJ14627" s="46"/>
    </row>
    <row r="14628" spans="59:62" x14ac:dyDescent="0.3">
      <c r="BG14628" s="387"/>
      <c r="BH14628" s="386"/>
      <c r="BI14628" s="386"/>
      <c r="BJ14628" s="46"/>
    </row>
    <row r="14629" spans="59:62" x14ac:dyDescent="0.3">
      <c r="BG14629" s="387"/>
      <c r="BH14629" s="386"/>
      <c r="BI14629" s="386"/>
      <c r="BJ14629" s="46"/>
    </row>
    <row r="14630" spans="59:62" x14ac:dyDescent="0.3">
      <c r="BG14630" s="387"/>
      <c r="BH14630" s="386"/>
      <c r="BI14630" s="386"/>
      <c r="BJ14630" s="46"/>
    </row>
    <row r="14631" spans="59:62" x14ac:dyDescent="0.3">
      <c r="BG14631" s="387"/>
      <c r="BH14631" s="386"/>
      <c r="BI14631" s="386"/>
      <c r="BJ14631" s="46"/>
    </row>
    <row r="14632" spans="59:62" x14ac:dyDescent="0.3">
      <c r="BG14632" s="387"/>
      <c r="BH14632" s="386"/>
      <c r="BI14632" s="386"/>
      <c r="BJ14632" s="46"/>
    </row>
    <row r="14633" spans="59:62" x14ac:dyDescent="0.3">
      <c r="BG14633" s="387"/>
      <c r="BH14633" s="386"/>
      <c r="BI14633" s="386"/>
      <c r="BJ14633" s="46"/>
    </row>
    <row r="14634" spans="59:62" x14ac:dyDescent="0.3">
      <c r="BG14634" s="387"/>
      <c r="BH14634" s="386"/>
      <c r="BI14634" s="386"/>
      <c r="BJ14634" s="46"/>
    </row>
    <row r="14635" spans="59:62" x14ac:dyDescent="0.3">
      <c r="BG14635" s="387"/>
      <c r="BH14635" s="386"/>
      <c r="BI14635" s="386"/>
      <c r="BJ14635" s="46"/>
    </row>
    <row r="14636" spans="59:62" x14ac:dyDescent="0.3">
      <c r="BG14636" s="387"/>
      <c r="BH14636" s="386"/>
      <c r="BI14636" s="386"/>
      <c r="BJ14636" s="46"/>
    </row>
    <row r="14637" spans="59:62" x14ac:dyDescent="0.3">
      <c r="BG14637" s="387"/>
      <c r="BH14637" s="386"/>
      <c r="BI14637" s="386"/>
      <c r="BJ14637" s="46"/>
    </row>
    <row r="14638" spans="59:62" x14ac:dyDescent="0.3">
      <c r="BG14638" s="387"/>
      <c r="BH14638" s="386"/>
      <c r="BI14638" s="386"/>
      <c r="BJ14638" s="46"/>
    </row>
    <row r="14639" spans="59:62" x14ac:dyDescent="0.3">
      <c r="BG14639" s="387"/>
      <c r="BH14639" s="386"/>
      <c r="BI14639" s="386"/>
      <c r="BJ14639" s="46"/>
    </row>
    <row r="14640" spans="59:62" x14ac:dyDescent="0.3">
      <c r="BG14640" s="387"/>
      <c r="BH14640" s="386"/>
      <c r="BI14640" s="386"/>
      <c r="BJ14640" s="46"/>
    </row>
    <row r="14641" spans="59:62" x14ac:dyDescent="0.3">
      <c r="BG14641" s="387"/>
      <c r="BH14641" s="386"/>
      <c r="BI14641" s="386"/>
      <c r="BJ14641" s="46"/>
    </row>
    <row r="14642" spans="59:62" x14ac:dyDescent="0.3">
      <c r="BG14642" s="387"/>
      <c r="BH14642" s="386"/>
      <c r="BI14642" s="386"/>
      <c r="BJ14642" s="46"/>
    </row>
    <row r="14643" spans="59:62" x14ac:dyDescent="0.3">
      <c r="BG14643" s="387"/>
      <c r="BH14643" s="386"/>
      <c r="BI14643" s="386"/>
      <c r="BJ14643" s="46"/>
    </row>
    <row r="14644" spans="59:62" x14ac:dyDescent="0.3">
      <c r="BG14644" s="387"/>
      <c r="BH14644" s="386"/>
      <c r="BI14644" s="386"/>
      <c r="BJ14644" s="46"/>
    </row>
    <row r="14645" spans="59:62" x14ac:dyDescent="0.3">
      <c r="BG14645" s="387"/>
      <c r="BH14645" s="386"/>
      <c r="BI14645" s="386"/>
      <c r="BJ14645" s="46"/>
    </row>
    <row r="14646" spans="59:62" x14ac:dyDescent="0.3">
      <c r="BG14646" s="387"/>
      <c r="BH14646" s="386"/>
      <c r="BI14646" s="386"/>
      <c r="BJ14646" s="46"/>
    </row>
    <row r="14647" spans="59:62" x14ac:dyDescent="0.3">
      <c r="BG14647" s="387"/>
      <c r="BH14647" s="386"/>
      <c r="BI14647" s="386"/>
      <c r="BJ14647" s="46"/>
    </row>
    <row r="14648" spans="59:62" x14ac:dyDescent="0.3">
      <c r="BG14648" s="387"/>
      <c r="BH14648" s="386"/>
      <c r="BI14648" s="386"/>
      <c r="BJ14648" s="46"/>
    </row>
    <row r="14649" spans="59:62" x14ac:dyDescent="0.3">
      <c r="BG14649" s="387"/>
      <c r="BH14649" s="386"/>
      <c r="BI14649" s="386"/>
      <c r="BJ14649" s="46"/>
    </row>
    <row r="14650" spans="59:62" x14ac:dyDescent="0.3">
      <c r="BG14650" s="387"/>
      <c r="BH14650" s="386"/>
      <c r="BI14650" s="386"/>
      <c r="BJ14650" s="46"/>
    </row>
    <row r="14651" spans="59:62" x14ac:dyDescent="0.3">
      <c r="BG14651" s="387"/>
      <c r="BH14651" s="386"/>
      <c r="BI14651" s="386"/>
      <c r="BJ14651" s="46"/>
    </row>
    <row r="14652" spans="59:62" x14ac:dyDescent="0.3">
      <c r="BG14652" s="387"/>
      <c r="BH14652" s="386"/>
      <c r="BI14652" s="386"/>
      <c r="BJ14652" s="46"/>
    </row>
    <row r="14653" spans="59:62" x14ac:dyDescent="0.3">
      <c r="BG14653" s="387"/>
      <c r="BH14653" s="386"/>
      <c r="BI14653" s="386"/>
      <c r="BJ14653" s="46"/>
    </row>
    <row r="14654" spans="59:62" x14ac:dyDescent="0.3">
      <c r="BG14654" s="387"/>
      <c r="BH14654" s="386"/>
      <c r="BI14654" s="386"/>
      <c r="BJ14654" s="46"/>
    </row>
    <row r="14655" spans="59:62" x14ac:dyDescent="0.3">
      <c r="BG14655" s="387"/>
      <c r="BH14655" s="386"/>
      <c r="BI14655" s="386"/>
      <c r="BJ14655" s="46"/>
    </row>
    <row r="14656" spans="59:62" x14ac:dyDescent="0.3">
      <c r="BG14656" s="387"/>
      <c r="BH14656" s="386"/>
      <c r="BI14656" s="386"/>
      <c r="BJ14656" s="46"/>
    </row>
    <row r="14657" spans="59:62" x14ac:dyDescent="0.3">
      <c r="BG14657" s="387"/>
      <c r="BH14657" s="386"/>
      <c r="BI14657" s="386"/>
      <c r="BJ14657" s="46"/>
    </row>
    <row r="14658" spans="59:62" x14ac:dyDescent="0.3">
      <c r="BG14658" s="387"/>
      <c r="BH14658" s="386"/>
      <c r="BI14658" s="386"/>
      <c r="BJ14658" s="46"/>
    </row>
    <row r="14659" spans="59:62" x14ac:dyDescent="0.3">
      <c r="BG14659" s="387"/>
      <c r="BH14659" s="386"/>
      <c r="BI14659" s="386"/>
      <c r="BJ14659" s="46"/>
    </row>
    <row r="14660" spans="59:62" x14ac:dyDescent="0.3">
      <c r="BG14660" s="387"/>
      <c r="BH14660" s="386"/>
      <c r="BI14660" s="386"/>
      <c r="BJ14660" s="46"/>
    </row>
    <row r="14661" spans="59:62" x14ac:dyDescent="0.3">
      <c r="BG14661" s="387"/>
      <c r="BH14661" s="386"/>
      <c r="BI14661" s="386"/>
      <c r="BJ14661" s="46"/>
    </row>
    <row r="14662" spans="59:62" x14ac:dyDescent="0.3">
      <c r="BG14662" s="387"/>
      <c r="BH14662" s="386"/>
      <c r="BI14662" s="386"/>
      <c r="BJ14662" s="46"/>
    </row>
    <row r="14663" spans="59:62" x14ac:dyDescent="0.3">
      <c r="BG14663" s="387"/>
      <c r="BH14663" s="386"/>
      <c r="BI14663" s="386"/>
      <c r="BJ14663" s="46"/>
    </row>
    <row r="14664" spans="59:62" x14ac:dyDescent="0.3">
      <c r="BG14664" s="387"/>
      <c r="BH14664" s="386"/>
      <c r="BI14664" s="386"/>
      <c r="BJ14664" s="46"/>
    </row>
    <row r="14665" spans="59:62" x14ac:dyDescent="0.3">
      <c r="BG14665" s="387"/>
      <c r="BH14665" s="386"/>
      <c r="BI14665" s="386"/>
      <c r="BJ14665" s="46"/>
    </row>
    <row r="14666" spans="59:62" x14ac:dyDescent="0.3">
      <c r="BG14666" s="387"/>
      <c r="BH14666" s="386"/>
      <c r="BI14666" s="386"/>
      <c r="BJ14666" s="46"/>
    </row>
    <row r="14667" spans="59:62" x14ac:dyDescent="0.3">
      <c r="BG14667" s="387"/>
      <c r="BH14667" s="386"/>
      <c r="BI14667" s="386"/>
      <c r="BJ14667" s="46"/>
    </row>
    <row r="14668" spans="59:62" x14ac:dyDescent="0.3">
      <c r="BG14668" s="387"/>
      <c r="BH14668" s="386"/>
      <c r="BI14668" s="386"/>
      <c r="BJ14668" s="46"/>
    </row>
    <row r="14669" spans="59:62" x14ac:dyDescent="0.3">
      <c r="BG14669" s="387"/>
      <c r="BH14669" s="386"/>
      <c r="BI14669" s="386"/>
      <c r="BJ14669" s="46"/>
    </row>
    <row r="14670" spans="59:62" x14ac:dyDescent="0.3">
      <c r="BG14670" s="387"/>
      <c r="BH14670" s="386"/>
      <c r="BI14670" s="386"/>
      <c r="BJ14670" s="46"/>
    </row>
    <row r="14671" spans="59:62" x14ac:dyDescent="0.3">
      <c r="BG14671" s="387"/>
      <c r="BH14671" s="386"/>
      <c r="BI14671" s="386"/>
      <c r="BJ14671" s="46"/>
    </row>
    <row r="14672" spans="59:62" x14ac:dyDescent="0.3">
      <c r="BG14672" s="387"/>
      <c r="BH14672" s="386"/>
      <c r="BI14672" s="386"/>
      <c r="BJ14672" s="46"/>
    </row>
    <row r="14673" spans="59:62" x14ac:dyDescent="0.3">
      <c r="BG14673" s="387"/>
      <c r="BH14673" s="386"/>
      <c r="BI14673" s="386"/>
      <c r="BJ14673" s="46"/>
    </row>
    <row r="14674" spans="59:62" x14ac:dyDescent="0.3">
      <c r="BG14674" s="387"/>
      <c r="BH14674" s="386"/>
      <c r="BI14674" s="386"/>
      <c r="BJ14674" s="46"/>
    </row>
    <row r="14675" spans="59:62" x14ac:dyDescent="0.3">
      <c r="BG14675" s="387"/>
      <c r="BH14675" s="386"/>
      <c r="BI14675" s="386"/>
      <c r="BJ14675" s="46"/>
    </row>
    <row r="14676" spans="59:62" x14ac:dyDescent="0.3">
      <c r="BG14676" s="387"/>
      <c r="BH14676" s="386"/>
      <c r="BI14676" s="386"/>
      <c r="BJ14676" s="46"/>
    </row>
    <row r="14677" spans="59:62" x14ac:dyDescent="0.3">
      <c r="BG14677" s="387"/>
      <c r="BH14677" s="386"/>
      <c r="BI14677" s="386"/>
      <c r="BJ14677" s="46"/>
    </row>
    <row r="14678" spans="59:62" x14ac:dyDescent="0.3">
      <c r="BG14678" s="387"/>
      <c r="BH14678" s="386"/>
      <c r="BI14678" s="386"/>
      <c r="BJ14678" s="46"/>
    </row>
    <row r="14679" spans="59:62" x14ac:dyDescent="0.3">
      <c r="BG14679" s="387"/>
      <c r="BH14679" s="386"/>
      <c r="BI14679" s="386"/>
      <c r="BJ14679" s="46"/>
    </row>
    <row r="14680" spans="59:62" x14ac:dyDescent="0.3">
      <c r="BG14680" s="387"/>
      <c r="BH14680" s="386"/>
      <c r="BI14680" s="386"/>
      <c r="BJ14680" s="46"/>
    </row>
    <row r="14681" spans="59:62" x14ac:dyDescent="0.3">
      <c r="BG14681" s="387"/>
      <c r="BH14681" s="386"/>
      <c r="BI14681" s="386"/>
      <c r="BJ14681" s="46"/>
    </row>
    <row r="14682" spans="59:62" x14ac:dyDescent="0.3">
      <c r="BG14682" s="387"/>
      <c r="BH14682" s="386"/>
      <c r="BI14682" s="386"/>
      <c r="BJ14682" s="46"/>
    </row>
    <row r="14683" spans="59:62" x14ac:dyDescent="0.3">
      <c r="BG14683" s="387"/>
      <c r="BH14683" s="386"/>
      <c r="BI14683" s="386"/>
      <c r="BJ14683" s="46"/>
    </row>
    <row r="14684" spans="59:62" x14ac:dyDescent="0.3">
      <c r="BG14684" s="387"/>
      <c r="BH14684" s="386"/>
      <c r="BI14684" s="386"/>
      <c r="BJ14684" s="46"/>
    </row>
    <row r="14685" spans="59:62" x14ac:dyDescent="0.3">
      <c r="BG14685" s="387"/>
      <c r="BH14685" s="386"/>
      <c r="BI14685" s="386"/>
      <c r="BJ14685" s="46"/>
    </row>
    <row r="14686" spans="59:62" x14ac:dyDescent="0.3">
      <c r="BG14686" s="387"/>
      <c r="BH14686" s="386"/>
      <c r="BI14686" s="386"/>
      <c r="BJ14686" s="46"/>
    </row>
    <row r="14687" spans="59:62" x14ac:dyDescent="0.3">
      <c r="BG14687" s="387"/>
      <c r="BH14687" s="386"/>
      <c r="BI14687" s="386"/>
      <c r="BJ14687" s="46"/>
    </row>
    <row r="14688" spans="59:62" x14ac:dyDescent="0.3">
      <c r="BG14688" s="387"/>
      <c r="BH14688" s="386"/>
      <c r="BI14688" s="386"/>
      <c r="BJ14688" s="46"/>
    </row>
    <row r="14689" spans="59:62" x14ac:dyDescent="0.3">
      <c r="BG14689" s="387"/>
      <c r="BH14689" s="386"/>
      <c r="BI14689" s="386"/>
      <c r="BJ14689" s="46"/>
    </row>
    <row r="14690" spans="59:62" x14ac:dyDescent="0.3">
      <c r="BG14690" s="387"/>
      <c r="BH14690" s="386"/>
      <c r="BI14690" s="386"/>
      <c r="BJ14690" s="46"/>
    </row>
    <row r="14691" spans="59:62" x14ac:dyDescent="0.3">
      <c r="BG14691" s="387"/>
      <c r="BH14691" s="386"/>
      <c r="BI14691" s="386"/>
      <c r="BJ14691" s="46"/>
    </row>
    <row r="14692" spans="59:62" x14ac:dyDescent="0.3">
      <c r="BG14692" s="387"/>
      <c r="BH14692" s="386"/>
      <c r="BI14692" s="386"/>
      <c r="BJ14692" s="46"/>
    </row>
    <row r="14693" spans="59:62" x14ac:dyDescent="0.3">
      <c r="BG14693" s="387"/>
      <c r="BH14693" s="386"/>
      <c r="BI14693" s="386"/>
      <c r="BJ14693" s="46"/>
    </row>
    <row r="14694" spans="59:62" x14ac:dyDescent="0.3">
      <c r="BG14694" s="387"/>
      <c r="BH14694" s="386"/>
      <c r="BI14694" s="386"/>
      <c r="BJ14694" s="46"/>
    </row>
    <row r="14695" spans="59:62" x14ac:dyDescent="0.3">
      <c r="BG14695" s="387"/>
      <c r="BH14695" s="386"/>
      <c r="BI14695" s="386"/>
      <c r="BJ14695" s="46"/>
    </row>
    <row r="14696" spans="59:62" x14ac:dyDescent="0.3">
      <c r="BG14696" s="387"/>
      <c r="BH14696" s="386"/>
      <c r="BI14696" s="386"/>
      <c r="BJ14696" s="46"/>
    </row>
    <row r="14697" spans="59:62" x14ac:dyDescent="0.3">
      <c r="BG14697" s="387"/>
      <c r="BH14697" s="386"/>
      <c r="BI14697" s="386"/>
      <c r="BJ14697" s="46"/>
    </row>
    <row r="14698" spans="59:62" x14ac:dyDescent="0.3">
      <c r="BG14698" s="387"/>
      <c r="BH14698" s="386"/>
      <c r="BI14698" s="386"/>
      <c r="BJ14698" s="46"/>
    </row>
    <row r="14699" spans="59:62" x14ac:dyDescent="0.3">
      <c r="BG14699" s="387"/>
      <c r="BH14699" s="386"/>
      <c r="BI14699" s="386"/>
      <c r="BJ14699" s="46"/>
    </row>
    <row r="14700" spans="59:62" x14ac:dyDescent="0.3">
      <c r="BG14700" s="387"/>
      <c r="BH14700" s="386"/>
      <c r="BI14700" s="386"/>
      <c r="BJ14700" s="46"/>
    </row>
    <row r="14701" spans="59:62" x14ac:dyDescent="0.3">
      <c r="BG14701" s="387"/>
      <c r="BH14701" s="386"/>
      <c r="BI14701" s="386"/>
      <c r="BJ14701" s="46"/>
    </row>
    <row r="14702" spans="59:62" x14ac:dyDescent="0.3">
      <c r="BG14702" s="387"/>
      <c r="BH14702" s="386"/>
      <c r="BI14702" s="386"/>
      <c r="BJ14702" s="46"/>
    </row>
    <row r="14703" spans="59:62" x14ac:dyDescent="0.3">
      <c r="BG14703" s="387"/>
      <c r="BH14703" s="386"/>
      <c r="BI14703" s="386"/>
      <c r="BJ14703" s="46"/>
    </row>
    <row r="14704" spans="59:62" x14ac:dyDescent="0.3">
      <c r="BG14704" s="387"/>
      <c r="BH14704" s="386"/>
      <c r="BI14704" s="386"/>
      <c r="BJ14704" s="46"/>
    </row>
    <row r="14705" spans="59:62" x14ac:dyDescent="0.3">
      <c r="BG14705" s="387"/>
      <c r="BH14705" s="386"/>
      <c r="BI14705" s="386"/>
      <c r="BJ14705" s="46"/>
    </row>
    <row r="14706" spans="59:62" x14ac:dyDescent="0.3">
      <c r="BG14706" s="387"/>
      <c r="BH14706" s="386"/>
      <c r="BI14706" s="386"/>
      <c r="BJ14706" s="46"/>
    </row>
    <row r="14707" spans="59:62" x14ac:dyDescent="0.3">
      <c r="BG14707" s="387"/>
      <c r="BH14707" s="386"/>
      <c r="BI14707" s="386"/>
      <c r="BJ14707" s="46"/>
    </row>
    <row r="14708" spans="59:62" x14ac:dyDescent="0.3">
      <c r="BG14708" s="387"/>
      <c r="BH14708" s="386"/>
      <c r="BI14708" s="386"/>
      <c r="BJ14708" s="46"/>
    </row>
    <row r="14709" spans="59:62" x14ac:dyDescent="0.3">
      <c r="BG14709" s="387"/>
      <c r="BH14709" s="386"/>
      <c r="BI14709" s="386"/>
      <c r="BJ14709" s="46"/>
    </row>
    <row r="14710" spans="59:62" x14ac:dyDescent="0.3">
      <c r="BG14710" s="387"/>
      <c r="BH14710" s="386"/>
      <c r="BI14710" s="386"/>
      <c r="BJ14710" s="46"/>
    </row>
    <row r="14711" spans="59:62" x14ac:dyDescent="0.3">
      <c r="BG14711" s="387"/>
      <c r="BH14711" s="386"/>
      <c r="BI14711" s="386"/>
      <c r="BJ14711" s="46"/>
    </row>
    <row r="14712" spans="59:62" x14ac:dyDescent="0.3">
      <c r="BG14712" s="387"/>
      <c r="BH14712" s="386"/>
      <c r="BI14712" s="386"/>
      <c r="BJ14712" s="46"/>
    </row>
    <row r="14713" spans="59:62" x14ac:dyDescent="0.3">
      <c r="BG14713" s="387"/>
      <c r="BH14713" s="386"/>
      <c r="BI14713" s="386"/>
      <c r="BJ14713" s="46"/>
    </row>
    <row r="14714" spans="59:62" x14ac:dyDescent="0.3">
      <c r="BG14714" s="387"/>
      <c r="BH14714" s="386"/>
      <c r="BI14714" s="386"/>
      <c r="BJ14714" s="46"/>
    </row>
    <row r="14715" spans="59:62" x14ac:dyDescent="0.3">
      <c r="BG14715" s="387"/>
      <c r="BH14715" s="386"/>
      <c r="BI14715" s="386"/>
      <c r="BJ14715" s="46"/>
    </row>
    <row r="14716" spans="59:62" x14ac:dyDescent="0.3">
      <c r="BG14716" s="387"/>
      <c r="BH14716" s="386"/>
      <c r="BI14716" s="386"/>
      <c r="BJ14716" s="46"/>
    </row>
    <row r="14717" spans="59:62" x14ac:dyDescent="0.3">
      <c r="BG14717" s="387"/>
      <c r="BH14717" s="386"/>
      <c r="BI14717" s="386"/>
      <c r="BJ14717" s="46"/>
    </row>
    <row r="14718" spans="59:62" x14ac:dyDescent="0.3">
      <c r="BG14718" s="387"/>
      <c r="BH14718" s="386"/>
      <c r="BI14718" s="386"/>
      <c r="BJ14718" s="46"/>
    </row>
    <row r="14719" spans="59:62" x14ac:dyDescent="0.3">
      <c r="BG14719" s="387"/>
      <c r="BH14719" s="386"/>
      <c r="BI14719" s="386"/>
      <c r="BJ14719" s="46"/>
    </row>
    <row r="14720" spans="59:62" x14ac:dyDescent="0.3">
      <c r="BG14720" s="387"/>
      <c r="BH14720" s="386"/>
      <c r="BI14720" s="386"/>
      <c r="BJ14720" s="46"/>
    </row>
    <row r="14721" spans="59:62" x14ac:dyDescent="0.3">
      <c r="BG14721" s="387"/>
      <c r="BH14721" s="386"/>
      <c r="BI14721" s="386"/>
      <c r="BJ14721" s="46"/>
    </row>
    <row r="14722" spans="59:62" x14ac:dyDescent="0.3">
      <c r="BG14722" s="387"/>
      <c r="BH14722" s="386"/>
      <c r="BI14722" s="386"/>
      <c r="BJ14722" s="46"/>
    </row>
    <row r="14723" spans="59:62" x14ac:dyDescent="0.3">
      <c r="BG14723" s="387"/>
      <c r="BH14723" s="386"/>
      <c r="BI14723" s="386"/>
      <c r="BJ14723" s="46"/>
    </row>
    <row r="14724" spans="59:62" x14ac:dyDescent="0.3">
      <c r="BG14724" s="387"/>
      <c r="BH14724" s="386"/>
      <c r="BI14724" s="386"/>
      <c r="BJ14724" s="46"/>
    </row>
    <row r="14725" spans="59:62" x14ac:dyDescent="0.3">
      <c r="BG14725" s="387"/>
      <c r="BH14725" s="386"/>
      <c r="BI14725" s="386"/>
      <c r="BJ14725" s="46"/>
    </row>
    <row r="14726" spans="59:62" x14ac:dyDescent="0.3">
      <c r="BG14726" s="387"/>
      <c r="BH14726" s="386"/>
      <c r="BI14726" s="386"/>
      <c r="BJ14726" s="46"/>
    </row>
    <row r="14727" spans="59:62" x14ac:dyDescent="0.3">
      <c r="BG14727" s="387"/>
      <c r="BH14727" s="386"/>
      <c r="BI14727" s="386"/>
      <c r="BJ14727" s="46"/>
    </row>
    <row r="14728" spans="59:62" x14ac:dyDescent="0.3">
      <c r="BG14728" s="387"/>
      <c r="BH14728" s="386"/>
      <c r="BI14728" s="386"/>
      <c r="BJ14728" s="46"/>
    </row>
    <row r="14729" spans="59:62" x14ac:dyDescent="0.3">
      <c r="BG14729" s="387"/>
      <c r="BH14729" s="386"/>
      <c r="BI14729" s="386"/>
      <c r="BJ14729" s="46"/>
    </row>
    <row r="14730" spans="59:62" x14ac:dyDescent="0.3">
      <c r="BG14730" s="387"/>
      <c r="BH14730" s="386"/>
      <c r="BI14730" s="386"/>
      <c r="BJ14730" s="46"/>
    </row>
    <row r="14731" spans="59:62" x14ac:dyDescent="0.3">
      <c r="BG14731" s="387"/>
      <c r="BH14731" s="386"/>
      <c r="BI14731" s="386"/>
      <c r="BJ14731" s="46"/>
    </row>
    <row r="14732" spans="59:62" x14ac:dyDescent="0.3">
      <c r="BG14732" s="387"/>
      <c r="BH14732" s="386"/>
      <c r="BI14732" s="386"/>
      <c r="BJ14732" s="46"/>
    </row>
    <row r="14733" spans="59:62" x14ac:dyDescent="0.3">
      <c r="BG14733" s="387"/>
      <c r="BH14733" s="386"/>
      <c r="BI14733" s="386"/>
      <c r="BJ14733" s="46"/>
    </row>
    <row r="14734" spans="59:62" x14ac:dyDescent="0.3">
      <c r="BG14734" s="387"/>
      <c r="BH14734" s="386"/>
      <c r="BI14734" s="386"/>
      <c r="BJ14734" s="46"/>
    </row>
    <row r="14735" spans="59:62" x14ac:dyDescent="0.3">
      <c r="BG14735" s="387"/>
      <c r="BH14735" s="386"/>
      <c r="BI14735" s="386"/>
      <c r="BJ14735" s="46"/>
    </row>
    <row r="14736" spans="59:62" x14ac:dyDescent="0.3">
      <c r="BG14736" s="387"/>
      <c r="BH14736" s="386"/>
      <c r="BI14736" s="386"/>
      <c r="BJ14736" s="46"/>
    </row>
    <row r="14737" spans="59:62" x14ac:dyDescent="0.3">
      <c r="BG14737" s="387"/>
      <c r="BH14737" s="386"/>
      <c r="BI14737" s="386"/>
      <c r="BJ14737" s="46"/>
    </row>
    <row r="14738" spans="59:62" x14ac:dyDescent="0.3">
      <c r="BG14738" s="387"/>
      <c r="BH14738" s="386"/>
      <c r="BI14738" s="386"/>
      <c r="BJ14738" s="46"/>
    </row>
    <row r="14739" spans="59:62" x14ac:dyDescent="0.3">
      <c r="BG14739" s="387"/>
      <c r="BH14739" s="386"/>
      <c r="BI14739" s="386"/>
      <c r="BJ14739" s="46"/>
    </row>
    <row r="14740" spans="59:62" x14ac:dyDescent="0.3">
      <c r="BG14740" s="387"/>
      <c r="BH14740" s="386"/>
      <c r="BI14740" s="386"/>
      <c r="BJ14740" s="46"/>
    </row>
    <row r="14741" spans="59:62" x14ac:dyDescent="0.3">
      <c r="BG14741" s="387"/>
      <c r="BH14741" s="386"/>
      <c r="BI14741" s="386"/>
      <c r="BJ14741" s="46"/>
    </row>
    <row r="14742" spans="59:62" x14ac:dyDescent="0.3">
      <c r="BG14742" s="387"/>
      <c r="BH14742" s="386"/>
      <c r="BI14742" s="386"/>
      <c r="BJ14742" s="46"/>
    </row>
    <row r="14743" spans="59:62" x14ac:dyDescent="0.3">
      <c r="BG14743" s="387"/>
      <c r="BH14743" s="386"/>
      <c r="BI14743" s="386"/>
      <c r="BJ14743" s="46"/>
    </row>
    <row r="14744" spans="59:62" x14ac:dyDescent="0.3">
      <c r="BG14744" s="387"/>
      <c r="BH14744" s="386"/>
      <c r="BI14744" s="386"/>
      <c r="BJ14744" s="46"/>
    </row>
    <row r="14745" spans="59:62" x14ac:dyDescent="0.3">
      <c r="BG14745" s="387"/>
      <c r="BH14745" s="386"/>
      <c r="BI14745" s="386"/>
      <c r="BJ14745" s="46"/>
    </row>
    <row r="14746" spans="59:62" x14ac:dyDescent="0.3">
      <c r="BG14746" s="387"/>
      <c r="BH14746" s="386"/>
      <c r="BI14746" s="386"/>
      <c r="BJ14746" s="46"/>
    </row>
    <row r="14747" spans="59:62" x14ac:dyDescent="0.3">
      <c r="BG14747" s="387"/>
      <c r="BH14747" s="386"/>
      <c r="BI14747" s="386"/>
      <c r="BJ14747" s="46"/>
    </row>
    <row r="14748" spans="59:62" x14ac:dyDescent="0.3">
      <c r="BG14748" s="387"/>
      <c r="BH14748" s="386"/>
      <c r="BI14748" s="386"/>
      <c r="BJ14748" s="46"/>
    </row>
    <row r="14749" spans="59:62" x14ac:dyDescent="0.3">
      <c r="BG14749" s="387"/>
      <c r="BH14749" s="386"/>
      <c r="BI14749" s="386"/>
      <c r="BJ14749" s="46"/>
    </row>
    <row r="14750" spans="59:62" x14ac:dyDescent="0.3">
      <c r="BG14750" s="387"/>
      <c r="BH14750" s="386"/>
      <c r="BI14750" s="386"/>
      <c r="BJ14750" s="46"/>
    </row>
    <row r="14751" spans="59:62" x14ac:dyDescent="0.3">
      <c r="BG14751" s="387"/>
      <c r="BH14751" s="386"/>
      <c r="BI14751" s="386"/>
      <c r="BJ14751" s="46"/>
    </row>
    <row r="14752" spans="59:62" x14ac:dyDescent="0.3">
      <c r="BG14752" s="387"/>
      <c r="BH14752" s="386"/>
      <c r="BI14752" s="386"/>
      <c r="BJ14752" s="46"/>
    </row>
    <row r="14753" spans="59:62" x14ac:dyDescent="0.3">
      <c r="BG14753" s="387"/>
      <c r="BH14753" s="386"/>
      <c r="BI14753" s="386"/>
      <c r="BJ14753" s="46"/>
    </row>
    <row r="14754" spans="59:62" x14ac:dyDescent="0.3">
      <c r="BG14754" s="387"/>
      <c r="BH14754" s="386"/>
      <c r="BI14754" s="386"/>
      <c r="BJ14754" s="46"/>
    </row>
    <row r="14755" spans="59:62" x14ac:dyDescent="0.3">
      <c r="BG14755" s="387"/>
      <c r="BH14755" s="386"/>
      <c r="BI14755" s="386"/>
      <c r="BJ14755" s="46"/>
    </row>
    <row r="14756" spans="59:62" x14ac:dyDescent="0.3">
      <c r="BG14756" s="387"/>
      <c r="BH14756" s="386"/>
      <c r="BI14756" s="386"/>
      <c r="BJ14756" s="46"/>
    </row>
    <row r="14757" spans="59:62" x14ac:dyDescent="0.3">
      <c r="BG14757" s="387"/>
      <c r="BH14757" s="386"/>
      <c r="BI14757" s="386"/>
      <c r="BJ14757" s="46"/>
    </row>
    <row r="14758" spans="59:62" x14ac:dyDescent="0.3">
      <c r="BG14758" s="387"/>
      <c r="BH14758" s="386"/>
      <c r="BI14758" s="386"/>
      <c r="BJ14758" s="46"/>
    </row>
    <row r="14759" spans="59:62" x14ac:dyDescent="0.3">
      <c r="BG14759" s="387"/>
      <c r="BH14759" s="386"/>
      <c r="BI14759" s="386"/>
      <c r="BJ14759" s="46"/>
    </row>
    <row r="14760" spans="59:62" x14ac:dyDescent="0.3">
      <c r="BG14760" s="387"/>
      <c r="BH14760" s="386"/>
      <c r="BI14760" s="386"/>
      <c r="BJ14760" s="46"/>
    </row>
    <row r="14761" spans="59:62" x14ac:dyDescent="0.3">
      <c r="BG14761" s="387"/>
      <c r="BH14761" s="386"/>
      <c r="BI14761" s="386"/>
      <c r="BJ14761" s="46"/>
    </row>
    <row r="14762" spans="59:62" x14ac:dyDescent="0.3">
      <c r="BG14762" s="387"/>
      <c r="BH14762" s="386"/>
      <c r="BI14762" s="386"/>
      <c r="BJ14762" s="46"/>
    </row>
    <row r="14763" spans="59:62" x14ac:dyDescent="0.3">
      <c r="BG14763" s="387"/>
      <c r="BH14763" s="386"/>
      <c r="BI14763" s="386"/>
      <c r="BJ14763" s="46"/>
    </row>
    <row r="14764" spans="59:62" x14ac:dyDescent="0.3">
      <c r="BG14764" s="387"/>
      <c r="BH14764" s="386"/>
      <c r="BI14764" s="386"/>
      <c r="BJ14764" s="46"/>
    </row>
    <row r="14765" spans="59:62" x14ac:dyDescent="0.3">
      <c r="BG14765" s="387"/>
      <c r="BH14765" s="386"/>
      <c r="BI14765" s="386"/>
      <c r="BJ14765" s="46"/>
    </row>
    <row r="14766" spans="59:62" x14ac:dyDescent="0.3">
      <c r="BG14766" s="387"/>
      <c r="BH14766" s="386"/>
      <c r="BI14766" s="386"/>
      <c r="BJ14766" s="46"/>
    </row>
    <row r="14767" spans="59:62" x14ac:dyDescent="0.3">
      <c r="BG14767" s="387"/>
      <c r="BH14767" s="386"/>
      <c r="BI14767" s="386"/>
      <c r="BJ14767" s="46"/>
    </row>
    <row r="14768" spans="59:62" x14ac:dyDescent="0.3">
      <c r="BG14768" s="387"/>
      <c r="BH14768" s="386"/>
      <c r="BI14768" s="386"/>
      <c r="BJ14768" s="46"/>
    </row>
    <row r="14769" spans="59:62" x14ac:dyDescent="0.3">
      <c r="BG14769" s="387"/>
      <c r="BH14769" s="386"/>
      <c r="BI14769" s="386"/>
      <c r="BJ14769" s="46"/>
    </row>
    <row r="14770" spans="59:62" x14ac:dyDescent="0.3">
      <c r="BG14770" s="387"/>
      <c r="BH14770" s="386"/>
      <c r="BI14770" s="386"/>
      <c r="BJ14770" s="46"/>
    </row>
    <row r="14771" spans="59:62" x14ac:dyDescent="0.3">
      <c r="BG14771" s="387"/>
      <c r="BH14771" s="386"/>
      <c r="BI14771" s="386"/>
      <c r="BJ14771" s="46"/>
    </row>
    <row r="14772" spans="59:62" x14ac:dyDescent="0.3">
      <c r="BG14772" s="387"/>
      <c r="BH14772" s="386"/>
      <c r="BI14772" s="386"/>
      <c r="BJ14772" s="46"/>
    </row>
    <row r="14773" spans="59:62" x14ac:dyDescent="0.3">
      <c r="BG14773" s="387"/>
      <c r="BH14773" s="386"/>
      <c r="BI14773" s="386"/>
      <c r="BJ14773" s="46"/>
    </row>
    <row r="14774" spans="59:62" x14ac:dyDescent="0.3">
      <c r="BG14774" s="387"/>
      <c r="BH14774" s="386"/>
      <c r="BI14774" s="386"/>
      <c r="BJ14774" s="46"/>
    </row>
    <row r="14775" spans="59:62" x14ac:dyDescent="0.3">
      <c r="BG14775" s="387"/>
      <c r="BH14775" s="386"/>
      <c r="BI14775" s="386"/>
      <c r="BJ14775" s="46"/>
    </row>
    <row r="14776" spans="59:62" x14ac:dyDescent="0.3">
      <c r="BG14776" s="387"/>
      <c r="BH14776" s="386"/>
      <c r="BI14776" s="386"/>
      <c r="BJ14776" s="46"/>
    </row>
    <row r="14777" spans="59:62" x14ac:dyDescent="0.3">
      <c r="BG14777" s="387"/>
      <c r="BH14777" s="386"/>
      <c r="BI14777" s="386"/>
      <c r="BJ14777" s="46"/>
    </row>
    <row r="14778" spans="59:62" x14ac:dyDescent="0.3">
      <c r="BG14778" s="387"/>
      <c r="BH14778" s="386"/>
      <c r="BI14778" s="386"/>
      <c r="BJ14778" s="46"/>
    </row>
    <row r="14779" spans="59:62" x14ac:dyDescent="0.3">
      <c r="BG14779" s="387"/>
      <c r="BH14779" s="386"/>
      <c r="BI14779" s="386"/>
      <c r="BJ14779" s="46"/>
    </row>
    <row r="14780" spans="59:62" x14ac:dyDescent="0.3">
      <c r="BG14780" s="387"/>
      <c r="BH14780" s="386"/>
      <c r="BI14780" s="386"/>
      <c r="BJ14780" s="46"/>
    </row>
    <row r="14781" spans="59:62" x14ac:dyDescent="0.3">
      <c r="BG14781" s="387"/>
      <c r="BH14781" s="386"/>
      <c r="BI14781" s="386"/>
      <c r="BJ14781" s="46"/>
    </row>
    <row r="14782" spans="59:62" x14ac:dyDescent="0.3">
      <c r="BG14782" s="387"/>
      <c r="BH14782" s="386"/>
      <c r="BI14782" s="386"/>
      <c r="BJ14782" s="46"/>
    </row>
    <row r="14783" spans="59:62" x14ac:dyDescent="0.3">
      <c r="BG14783" s="387"/>
      <c r="BH14783" s="386"/>
      <c r="BI14783" s="386"/>
      <c r="BJ14783" s="46"/>
    </row>
    <row r="14784" spans="59:62" x14ac:dyDescent="0.3">
      <c r="BG14784" s="387"/>
      <c r="BH14784" s="386"/>
      <c r="BI14784" s="386"/>
      <c r="BJ14784" s="46"/>
    </row>
    <row r="14785" spans="59:62" x14ac:dyDescent="0.3">
      <c r="BG14785" s="387"/>
      <c r="BH14785" s="386"/>
      <c r="BI14785" s="386"/>
      <c r="BJ14785" s="46"/>
    </row>
    <row r="14786" spans="59:62" x14ac:dyDescent="0.3">
      <c r="BG14786" s="387"/>
      <c r="BH14786" s="386"/>
      <c r="BI14786" s="386"/>
      <c r="BJ14786" s="46"/>
    </row>
    <row r="14787" spans="59:62" x14ac:dyDescent="0.3">
      <c r="BG14787" s="387"/>
      <c r="BH14787" s="386"/>
      <c r="BI14787" s="386"/>
      <c r="BJ14787" s="46"/>
    </row>
    <row r="14788" spans="59:62" x14ac:dyDescent="0.3">
      <c r="BG14788" s="387"/>
      <c r="BH14788" s="386"/>
      <c r="BI14788" s="386"/>
      <c r="BJ14788" s="46"/>
    </row>
    <row r="14789" spans="59:62" x14ac:dyDescent="0.3">
      <c r="BG14789" s="387"/>
      <c r="BH14789" s="386"/>
      <c r="BI14789" s="386"/>
      <c r="BJ14789" s="46"/>
    </row>
    <row r="14790" spans="59:62" x14ac:dyDescent="0.3">
      <c r="BG14790" s="387"/>
      <c r="BH14790" s="386"/>
      <c r="BI14790" s="386"/>
      <c r="BJ14790" s="46"/>
    </row>
    <row r="14791" spans="59:62" x14ac:dyDescent="0.3">
      <c r="BG14791" s="387"/>
      <c r="BH14791" s="386"/>
      <c r="BI14791" s="386"/>
      <c r="BJ14791" s="46"/>
    </row>
    <row r="14792" spans="59:62" x14ac:dyDescent="0.3">
      <c r="BG14792" s="387"/>
      <c r="BH14792" s="386"/>
      <c r="BI14792" s="386"/>
      <c r="BJ14792" s="46"/>
    </row>
    <row r="14793" spans="59:62" x14ac:dyDescent="0.3">
      <c r="BG14793" s="387"/>
      <c r="BH14793" s="386"/>
      <c r="BI14793" s="386"/>
      <c r="BJ14793" s="46"/>
    </row>
    <row r="14794" spans="59:62" x14ac:dyDescent="0.3">
      <c r="BG14794" s="387"/>
      <c r="BH14794" s="386"/>
      <c r="BI14794" s="386"/>
      <c r="BJ14794" s="46"/>
    </row>
    <row r="14795" spans="59:62" x14ac:dyDescent="0.3">
      <c r="BG14795" s="387"/>
      <c r="BH14795" s="386"/>
      <c r="BI14795" s="386"/>
      <c r="BJ14795" s="46"/>
    </row>
    <row r="14796" spans="59:62" x14ac:dyDescent="0.3">
      <c r="BG14796" s="387"/>
      <c r="BH14796" s="386"/>
      <c r="BI14796" s="386"/>
      <c r="BJ14796" s="46"/>
    </row>
    <row r="14797" spans="59:62" x14ac:dyDescent="0.3">
      <c r="BG14797" s="387"/>
      <c r="BH14797" s="386"/>
      <c r="BI14797" s="386"/>
      <c r="BJ14797" s="46"/>
    </row>
    <row r="14798" spans="59:62" x14ac:dyDescent="0.3">
      <c r="BG14798" s="387"/>
      <c r="BH14798" s="386"/>
      <c r="BI14798" s="386"/>
      <c r="BJ14798" s="46"/>
    </row>
    <row r="14799" spans="59:62" x14ac:dyDescent="0.3">
      <c r="BG14799" s="387"/>
      <c r="BH14799" s="386"/>
      <c r="BI14799" s="386"/>
      <c r="BJ14799" s="46"/>
    </row>
    <row r="14800" spans="59:62" x14ac:dyDescent="0.3">
      <c r="BG14800" s="387"/>
      <c r="BH14800" s="386"/>
      <c r="BI14800" s="386"/>
      <c r="BJ14800" s="46"/>
    </row>
    <row r="14801" spans="59:62" x14ac:dyDescent="0.3">
      <c r="BG14801" s="387"/>
      <c r="BH14801" s="386"/>
      <c r="BI14801" s="386"/>
      <c r="BJ14801" s="46"/>
    </row>
    <row r="14802" spans="59:62" x14ac:dyDescent="0.3">
      <c r="BG14802" s="387"/>
      <c r="BH14802" s="386"/>
      <c r="BI14802" s="386"/>
      <c r="BJ14802" s="46"/>
    </row>
    <row r="14803" spans="59:62" x14ac:dyDescent="0.3">
      <c r="BG14803" s="387"/>
      <c r="BH14803" s="386"/>
      <c r="BI14803" s="386"/>
      <c r="BJ14803" s="46"/>
    </row>
    <row r="14804" spans="59:62" x14ac:dyDescent="0.3">
      <c r="BG14804" s="387"/>
      <c r="BH14804" s="386"/>
      <c r="BI14804" s="386"/>
      <c r="BJ14804" s="46"/>
    </row>
    <row r="14805" spans="59:62" x14ac:dyDescent="0.3">
      <c r="BG14805" s="387"/>
      <c r="BH14805" s="386"/>
      <c r="BI14805" s="386"/>
      <c r="BJ14805" s="46"/>
    </row>
    <row r="14806" spans="59:62" x14ac:dyDescent="0.3">
      <c r="BG14806" s="387"/>
      <c r="BH14806" s="386"/>
      <c r="BI14806" s="386"/>
      <c r="BJ14806" s="46"/>
    </row>
    <row r="14807" spans="59:62" x14ac:dyDescent="0.3">
      <c r="BG14807" s="387"/>
      <c r="BH14807" s="386"/>
      <c r="BI14807" s="386"/>
      <c r="BJ14807" s="46"/>
    </row>
    <row r="14808" spans="59:62" x14ac:dyDescent="0.3">
      <c r="BG14808" s="387"/>
      <c r="BH14808" s="386"/>
      <c r="BI14808" s="386"/>
      <c r="BJ14808" s="46"/>
    </row>
    <row r="14809" spans="59:62" x14ac:dyDescent="0.3">
      <c r="BG14809" s="387"/>
      <c r="BH14809" s="386"/>
      <c r="BI14809" s="386"/>
      <c r="BJ14809" s="46"/>
    </row>
    <row r="14810" spans="59:62" x14ac:dyDescent="0.3">
      <c r="BG14810" s="387"/>
      <c r="BH14810" s="386"/>
      <c r="BI14810" s="386"/>
      <c r="BJ14810" s="46"/>
    </row>
    <row r="14811" spans="59:62" x14ac:dyDescent="0.3">
      <c r="BG14811" s="387"/>
      <c r="BH14811" s="386"/>
      <c r="BI14811" s="386"/>
      <c r="BJ14811" s="46"/>
    </row>
    <row r="14812" spans="59:62" x14ac:dyDescent="0.3">
      <c r="BG14812" s="387"/>
      <c r="BH14812" s="386"/>
      <c r="BI14812" s="386"/>
      <c r="BJ14812" s="46"/>
    </row>
    <row r="14813" spans="59:62" x14ac:dyDescent="0.3">
      <c r="BG14813" s="387"/>
      <c r="BH14813" s="386"/>
      <c r="BI14813" s="386"/>
      <c r="BJ14813" s="46"/>
    </row>
    <row r="14814" spans="59:62" x14ac:dyDescent="0.3">
      <c r="BG14814" s="387"/>
      <c r="BH14814" s="386"/>
      <c r="BI14814" s="386"/>
      <c r="BJ14814" s="46"/>
    </row>
    <row r="14815" spans="59:62" x14ac:dyDescent="0.3">
      <c r="BG14815" s="387"/>
      <c r="BH14815" s="386"/>
      <c r="BI14815" s="386"/>
      <c r="BJ14815" s="46"/>
    </row>
    <row r="14816" spans="59:62" x14ac:dyDescent="0.3">
      <c r="BG14816" s="387"/>
      <c r="BH14816" s="386"/>
      <c r="BI14816" s="386"/>
      <c r="BJ14816" s="46"/>
    </row>
    <row r="14817" spans="59:62" x14ac:dyDescent="0.3">
      <c r="BG14817" s="387"/>
      <c r="BH14817" s="386"/>
      <c r="BI14817" s="386"/>
      <c r="BJ14817" s="46"/>
    </row>
    <row r="14818" spans="59:62" x14ac:dyDescent="0.3">
      <c r="BG14818" s="387"/>
      <c r="BH14818" s="386"/>
      <c r="BI14818" s="386"/>
      <c r="BJ14818" s="46"/>
    </row>
    <row r="14819" spans="59:62" x14ac:dyDescent="0.3">
      <c r="BG14819" s="387"/>
      <c r="BH14819" s="386"/>
      <c r="BI14819" s="386"/>
      <c r="BJ14819" s="46"/>
    </row>
    <row r="14820" spans="59:62" x14ac:dyDescent="0.3">
      <c r="BG14820" s="387"/>
      <c r="BH14820" s="386"/>
      <c r="BI14820" s="386"/>
      <c r="BJ14820" s="46"/>
    </row>
    <row r="14821" spans="59:62" x14ac:dyDescent="0.3">
      <c r="BG14821" s="387"/>
      <c r="BH14821" s="386"/>
      <c r="BI14821" s="386"/>
      <c r="BJ14821" s="46"/>
    </row>
    <row r="14822" spans="59:62" x14ac:dyDescent="0.3">
      <c r="BG14822" s="387"/>
      <c r="BH14822" s="386"/>
      <c r="BI14822" s="386"/>
      <c r="BJ14822" s="46"/>
    </row>
    <row r="14823" spans="59:62" x14ac:dyDescent="0.3">
      <c r="BG14823" s="387"/>
      <c r="BH14823" s="386"/>
      <c r="BI14823" s="386"/>
      <c r="BJ14823" s="46"/>
    </row>
    <row r="14824" spans="59:62" x14ac:dyDescent="0.3">
      <c r="BG14824" s="387"/>
      <c r="BH14824" s="386"/>
      <c r="BI14824" s="386"/>
      <c r="BJ14824" s="46"/>
    </row>
    <row r="14825" spans="59:62" x14ac:dyDescent="0.3">
      <c r="BG14825" s="387"/>
      <c r="BH14825" s="386"/>
      <c r="BI14825" s="386"/>
      <c r="BJ14825" s="46"/>
    </row>
    <row r="14826" spans="59:62" x14ac:dyDescent="0.3">
      <c r="BG14826" s="387"/>
      <c r="BH14826" s="386"/>
      <c r="BI14826" s="386"/>
      <c r="BJ14826" s="46"/>
    </row>
    <row r="14827" spans="59:62" x14ac:dyDescent="0.3">
      <c r="BG14827" s="387"/>
      <c r="BH14827" s="386"/>
      <c r="BI14827" s="386"/>
      <c r="BJ14827" s="46"/>
    </row>
    <row r="14828" spans="59:62" x14ac:dyDescent="0.3">
      <c r="BG14828" s="387"/>
      <c r="BH14828" s="386"/>
      <c r="BI14828" s="386"/>
      <c r="BJ14828" s="46"/>
    </row>
    <row r="14829" spans="59:62" x14ac:dyDescent="0.3">
      <c r="BG14829" s="387"/>
      <c r="BH14829" s="386"/>
      <c r="BI14829" s="386"/>
      <c r="BJ14829" s="46"/>
    </row>
    <row r="14830" spans="59:62" x14ac:dyDescent="0.3">
      <c r="BG14830" s="387"/>
      <c r="BH14830" s="386"/>
      <c r="BI14830" s="386"/>
      <c r="BJ14830" s="46"/>
    </row>
    <row r="14831" spans="59:62" x14ac:dyDescent="0.3">
      <c r="BG14831" s="387"/>
      <c r="BH14831" s="386"/>
      <c r="BI14831" s="386"/>
      <c r="BJ14831" s="46"/>
    </row>
    <row r="14832" spans="59:62" x14ac:dyDescent="0.3">
      <c r="BG14832" s="387"/>
      <c r="BH14832" s="386"/>
      <c r="BI14832" s="386"/>
      <c r="BJ14832" s="46"/>
    </row>
    <row r="14833" spans="59:62" x14ac:dyDescent="0.3">
      <c r="BG14833" s="387"/>
      <c r="BH14833" s="386"/>
      <c r="BI14833" s="386"/>
      <c r="BJ14833" s="46"/>
    </row>
    <row r="14834" spans="59:62" x14ac:dyDescent="0.3">
      <c r="BG14834" s="387"/>
      <c r="BH14834" s="386"/>
      <c r="BI14834" s="386"/>
      <c r="BJ14834" s="46"/>
    </row>
    <row r="14835" spans="59:62" x14ac:dyDescent="0.3">
      <c r="BG14835" s="387"/>
      <c r="BH14835" s="386"/>
      <c r="BI14835" s="386"/>
      <c r="BJ14835" s="46"/>
    </row>
    <row r="14836" spans="59:62" x14ac:dyDescent="0.3">
      <c r="BG14836" s="387"/>
      <c r="BH14836" s="386"/>
      <c r="BI14836" s="386"/>
      <c r="BJ14836" s="46"/>
    </row>
    <row r="14837" spans="59:62" x14ac:dyDescent="0.3">
      <c r="BG14837" s="387"/>
      <c r="BH14837" s="386"/>
      <c r="BI14837" s="386"/>
      <c r="BJ14837" s="46"/>
    </row>
    <row r="14838" spans="59:62" x14ac:dyDescent="0.3">
      <c r="BG14838" s="387"/>
      <c r="BH14838" s="386"/>
      <c r="BI14838" s="386"/>
      <c r="BJ14838" s="46"/>
    </row>
    <row r="14839" spans="59:62" x14ac:dyDescent="0.3">
      <c r="BG14839" s="387"/>
      <c r="BH14839" s="386"/>
      <c r="BI14839" s="386"/>
      <c r="BJ14839" s="46"/>
    </row>
    <row r="14840" spans="59:62" x14ac:dyDescent="0.3">
      <c r="BG14840" s="387"/>
      <c r="BH14840" s="386"/>
      <c r="BI14840" s="386"/>
      <c r="BJ14840" s="46"/>
    </row>
    <row r="14841" spans="59:62" x14ac:dyDescent="0.3">
      <c r="BG14841" s="387"/>
      <c r="BH14841" s="386"/>
      <c r="BI14841" s="386"/>
      <c r="BJ14841" s="46"/>
    </row>
    <row r="14842" spans="59:62" x14ac:dyDescent="0.3">
      <c r="BG14842" s="387"/>
      <c r="BH14842" s="386"/>
      <c r="BI14842" s="386"/>
      <c r="BJ14842" s="46"/>
    </row>
    <row r="14843" spans="59:62" x14ac:dyDescent="0.3">
      <c r="BG14843" s="387"/>
      <c r="BH14843" s="386"/>
      <c r="BI14843" s="386"/>
      <c r="BJ14843" s="46"/>
    </row>
    <row r="14844" spans="59:62" x14ac:dyDescent="0.3">
      <c r="BG14844" s="387"/>
      <c r="BH14844" s="386"/>
      <c r="BI14844" s="386"/>
      <c r="BJ14844" s="46"/>
    </row>
    <row r="14845" spans="59:62" x14ac:dyDescent="0.3">
      <c r="BG14845" s="387"/>
      <c r="BH14845" s="386"/>
      <c r="BI14845" s="386"/>
      <c r="BJ14845" s="46"/>
    </row>
    <row r="14846" spans="59:62" x14ac:dyDescent="0.3">
      <c r="BG14846" s="387"/>
      <c r="BH14846" s="386"/>
      <c r="BI14846" s="386"/>
      <c r="BJ14846" s="46"/>
    </row>
    <row r="14847" spans="59:62" x14ac:dyDescent="0.3">
      <c r="BG14847" s="387"/>
      <c r="BH14847" s="386"/>
      <c r="BI14847" s="386"/>
      <c r="BJ14847" s="46"/>
    </row>
    <row r="14848" spans="59:62" x14ac:dyDescent="0.3">
      <c r="BG14848" s="387"/>
      <c r="BH14848" s="386"/>
      <c r="BI14848" s="386"/>
      <c r="BJ14848" s="46"/>
    </row>
    <row r="14849" spans="59:62" x14ac:dyDescent="0.3">
      <c r="BG14849" s="387"/>
      <c r="BH14849" s="386"/>
      <c r="BI14849" s="386"/>
      <c r="BJ14849" s="46"/>
    </row>
    <row r="14850" spans="59:62" x14ac:dyDescent="0.3">
      <c r="BG14850" s="387"/>
      <c r="BH14850" s="386"/>
      <c r="BI14850" s="386"/>
      <c r="BJ14850" s="46"/>
    </row>
    <row r="14851" spans="59:62" x14ac:dyDescent="0.3">
      <c r="BG14851" s="387"/>
      <c r="BH14851" s="386"/>
      <c r="BI14851" s="386"/>
      <c r="BJ14851" s="46"/>
    </row>
    <row r="14852" spans="59:62" x14ac:dyDescent="0.3">
      <c r="BG14852" s="387"/>
      <c r="BH14852" s="386"/>
      <c r="BI14852" s="386"/>
      <c r="BJ14852" s="46"/>
    </row>
    <row r="14853" spans="59:62" x14ac:dyDescent="0.3">
      <c r="BG14853" s="387"/>
      <c r="BH14853" s="386"/>
      <c r="BI14853" s="386"/>
      <c r="BJ14853" s="46"/>
    </row>
    <row r="14854" spans="59:62" x14ac:dyDescent="0.3">
      <c r="BG14854" s="387"/>
      <c r="BH14854" s="386"/>
      <c r="BI14854" s="386"/>
      <c r="BJ14854" s="46"/>
    </row>
    <row r="14855" spans="59:62" x14ac:dyDescent="0.3">
      <c r="BG14855" s="387"/>
      <c r="BH14855" s="386"/>
      <c r="BI14855" s="386"/>
      <c r="BJ14855" s="46"/>
    </row>
    <row r="14856" spans="59:62" x14ac:dyDescent="0.3">
      <c r="BG14856" s="387"/>
      <c r="BH14856" s="386"/>
      <c r="BI14856" s="386"/>
      <c r="BJ14856" s="46"/>
    </row>
    <row r="14857" spans="59:62" x14ac:dyDescent="0.3">
      <c r="BG14857" s="387"/>
      <c r="BH14857" s="386"/>
      <c r="BI14857" s="386"/>
      <c r="BJ14857" s="46"/>
    </row>
    <row r="14858" spans="59:62" x14ac:dyDescent="0.3">
      <c r="BG14858" s="387"/>
      <c r="BH14858" s="386"/>
      <c r="BI14858" s="386"/>
      <c r="BJ14858" s="46"/>
    </row>
    <row r="14859" spans="59:62" x14ac:dyDescent="0.3">
      <c r="BG14859" s="387"/>
      <c r="BH14859" s="386"/>
      <c r="BI14859" s="386"/>
      <c r="BJ14859" s="46"/>
    </row>
    <row r="14860" spans="59:62" x14ac:dyDescent="0.3">
      <c r="BG14860" s="387"/>
      <c r="BH14860" s="386"/>
      <c r="BI14860" s="386"/>
      <c r="BJ14860" s="46"/>
    </row>
    <row r="14861" spans="59:62" x14ac:dyDescent="0.3">
      <c r="BG14861" s="387"/>
      <c r="BH14861" s="386"/>
      <c r="BI14861" s="386"/>
      <c r="BJ14861" s="46"/>
    </row>
    <row r="14862" spans="59:62" x14ac:dyDescent="0.3">
      <c r="BG14862" s="387"/>
      <c r="BH14862" s="386"/>
      <c r="BI14862" s="386"/>
      <c r="BJ14862" s="46"/>
    </row>
    <row r="14863" spans="59:62" x14ac:dyDescent="0.3">
      <c r="BG14863" s="387"/>
      <c r="BH14863" s="386"/>
      <c r="BI14863" s="386"/>
      <c r="BJ14863" s="46"/>
    </row>
    <row r="14864" spans="59:62" x14ac:dyDescent="0.3">
      <c r="BG14864" s="387"/>
      <c r="BH14864" s="386"/>
      <c r="BI14864" s="386"/>
      <c r="BJ14864" s="46"/>
    </row>
    <row r="14865" spans="59:62" x14ac:dyDescent="0.3">
      <c r="BG14865" s="387"/>
      <c r="BH14865" s="386"/>
      <c r="BI14865" s="386"/>
      <c r="BJ14865" s="46"/>
    </row>
    <row r="14866" spans="59:62" x14ac:dyDescent="0.3">
      <c r="BG14866" s="387"/>
      <c r="BH14866" s="386"/>
      <c r="BI14866" s="386"/>
      <c r="BJ14866" s="46"/>
    </row>
    <row r="14867" spans="59:62" x14ac:dyDescent="0.3">
      <c r="BG14867" s="387"/>
      <c r="BH14867" s="386"/>
      <c r="BI14867" s="386"/>
      <c r="BJ14867" s="46"/>
    </row>
    <row r="14868" spans="59:62" x14ac:dyDescent="0.3">
      <c r="BG14868" s="387"/>
      <c r="BH14868" s="386"/>
      <c r="BI14868" s="386"/>
      <c r="BJ14868" s="46"/>
    </row>
    <row r="14869" spans="59:62" x14ac:dyDescent="0.3">
      <c r="BG14869" s="387"/>
      <c r="BH14869" s="386"/>
      <c r="BI14869" s="386"/>
      <c r="BJ14869" s="46"/>
    </row>
    <row r="14870" spans="59:62" x14ac:dyDescent="0.3">
      <c r="BG14870" s="387"/>
      <c r="BH14870" s="386"/>
      <c r="BI14870" s="386"/>
      <c r="BJ14870" s="46"/>
    </row>
    <row r="14871" spans="59:62" x14ac:dyDescent="0.3">
      <c r="BG14871" s="387"/>
      <c r="BH14871" s="386"/>
      <c r="BI14871" s="386"/>
      <c r="BJ14871" s="46"/>
    </row>
    <row r="14872" spans="59:62" x14ac:dyDescent="0.3">
      <c r="BG14872" s="387"/>
      <c r="BH14872" s="386"/>
      <c r="BI14872" s="386"/>
      <c r="BJ14872" s="46"/>
    </row>
    <row r="14873" spans="59:62" x14ac:dyDescent="0.3">
      <c r="BG14873" s="387"/>
      <c r="BH14873" s="386"/>
      <c r="BI14873" s="386"/>
      <c r="BJ14873" s="46"/>
    </row>
    <row r="14874" spans="59:62" x14ac:dyDescent="0.3">
      <c r="BG14874" s="387"/>
      <c r="BH14874" s="386"/>
      <c r="BI14874" s="386"/>
      <c r="BJ14874" s="46"/>
    </row>
    <row r="14875" spans="59:62" x14ac:dyDescent="0.3">
      <c r="BG14875" s="387"/>
      <c r="BH14875" s="386"/>
      <c r="BI14875" s="386"/>
      <c r="BJ14875" s="46"/>
    </row>
    <row r="14876" spans="59:62" x14ac:dyDescent="0.3">
      <c r="BG14876" s="387"/>
      <c r="BH14876" s="386"/>
      <c r="BI14876" s="386"/>
      <c r="BJ14876" s="46"/>
    </row>
    <row r="14877" spans="59:62" x14ac:dyDescent="0.3">
      <c r="BG14877" s="387"/>
      <c r="BH14877" s="386"/>
      <c r="BI14877" s="386"/>
      <c r="BJ14877" s="46"/>
    </row>
    <row r="14878" spans="59:62" x14ac:dyDescent="0.3">
      <c r="BG14878" s="387"/>
      <c r="BH14878" s="386"/>
      <c r="BI14878" s="386"/>
      <c r="BJ14878" s="46"/>
    </row>
    <row r="14879" spans="59:62" x14ac:dyDescent="0.3">
      <c r="BG14879" s="387"/>
      <c r="BH14879" s="386"/>
      <c r="BI14879" s="386"/>
      <c r="BJ14879" s="46"/>
    </row>
    <row r="14880" spans="59:62" x14ac:dyDescent="0.3">
      <c r="BG14880" s="387"/>
      <c r="BH14880" s="386"/>
      <c r="BI14880" s="386"/>
      <c r="BJ14880" s="46"/>
    </row>
    <row r="14881" spans="59:62" x14ac:dyDescent="0.3">
      <c r="BG14881" s="387"/>
      <c r="BH14881" s="386"/>
      <c r="BI14881" s="386"/>
      <c r="BJ14881" s="46"/>
    </row>
    <row r="14882" spans="59:62" x14ac:dyDescent="0.3">
      <c r="BG14882" s="387"/>
      <c r="BH14882" s="386"/>
      <c r="BI14882" s="386"/>
      <c r="BJ14882" s="46"/>
    </row>
    <row r="14883" spans="59:62" x14ac:dyDescent="0.3">
      <c r="BG14883" s="387"/>
      <c r="BH14883" s="386"/>
      <c r="BI14883" s="386"/>
      <c r="BJ14883" s="46"/>
    </row>
    <row r="14884" spans="59:62" x14ac:dyDescent="0.3">
      <c r="BG14884" s="387"/>
      <c r="BH14884" s="386"/>
      <c r="BI14884" s="386"/>
      <c r="BJ14884" s="46"/>
    </row>
    <row r="14885" spans="59:62" x14ac:dyDescent="0.3">
      <c r="BG14885" s="387"/>
      <c r="BH14885" s="386"/>
      <c r="BI14885" s="386"/>
      <c r="BJ14885" s="46"/>
    </row>
    <row r="14886" spans="59:62" x14ac:dyDescent="0.3">
      <c r="BG14886" s="387"/>
      <c r="BH14886" s="386"/>
      <c r="BI14886" s="386"/>
      <c r="BJ14886" s="46"/>
    </row>
    <row r="14887" spans="59:62" x14ac:dyDescent="0.3">
      <c r="BG14887" s="387"/>
      <c r="BH14887" s="386"/>
      <c r="BI14887" s="386"/>
      <c r="BJ14887" s="46"/>
    </row>
    <row r="14888" spans="59:62" x14ac:dyDescent="0.3">
      <c r="BG14888" s="387"/>
      <c r="BH14888" s="386"/>
      <c r="BI14888" s="386"/>
      <c r="BJ14888" s="46"/>
    </row>
    <row r="14889" spans="59:62" x14ac:dyDescent="0.3">
      <c r="BG14889" s="387"/>
      <c r="BH14889" s="386"/>
      <c r="BI14889" s="386"/>
      <c r="BJ14889" s="46"/>
    </row>
    <row r="14890" spans="59:62" x14ac:dyDescent="0.3">
      <c r="BG14890" s="387"/>
      <c r="BH14890" s="386"/>
      <c r="BI14890" s="386"/>
      <c r="BJ14890" s="46"/>
    </row>
    <row r="14891" spans="59:62" x14ac:dyDescent="0.3">
      <c r="BG14891" s="387"/>
      <c r="BH14891" s="386"/>
      <c r="BI14891" s="386"/>
      <c r="BJ14891" s="46"/>
    </row>
    <row r="14892" spans="59:62" x14ac:dyDescent="0.3">
      <c r="BG14892" s="387"/>
      <c r="BH14892" s="386"/>
      <c r="BI14892" s="386"/>
      <c r="BJ14892" s="46"/>
    </row>
    <row r="14893" spans="59:62" x14ac:dyDescent="0.3">
      <c r="BG14893" s="387"/>
      <c r="BH14893" s="386"/>
      <c r="BI14893" s="386"/>
      <c r="BJ14893" s="46"/>
    </row>
    <row r="14894" spans="59:62" x14ac:dyDescent="0.3">
      <c r="BG14894" s="387"/>
      <c r="BH14894" s="386"/>
      <c r="BI14894" s="386"/>
      <c r="BJ14894" s="46"/>
    </row>
    <row r="14895" spans="59:62" x14ac:dyDescent="0.3">
      <c r="BG14895" s="387"/>
      <c r="BH14895" s="386"/>
      <c r="BI14895" s="386"/>
      <c r="BJ14895" s="46"/>
    </row>
    <row r="14896" spans="59:62" x14ac:dyDescent="0.3">
      <c r="BG14896" s="387"/>
      <c r="BH14896" s="386"/>
      <c r="BI14896" s="386"/>
      <c r="BJ14896" s="46"/>
    </row>
    <row r="14897" spans="59:62" x14ac:dyDescent="0.3">
      <c r="BG14897" s="387"/>
      <c r="BH14897" s="386"/>
      <c r="BI14897" s="386"/>
      <c r="BJ14897" s="46"/>
    </row>
    <row r="14898" spans="59:62" x14ac:dyDescent="0.3">
      <c r="BG14898" s="387"/>
      <c r="BH14898" s="386"/>
      <c r="BI14898" s="386"/>
      <c r="BJ14898" s="46"/>
    </row>
    <row r="14899" spans="59:62" x14ac:dyDescent="0.3">
      <c r="BG14899" s="387"/>
      <c r="BH14899" s="386"/>
      <c r="BI14899" s="386"/>
      <c r="BJ14899" s="46"/>
    </row>
    <row r="14900" spans="59:62" x14ac:dyDescent="0.3">
      <c r="BG14900" s="387"/>
      <c r="BH14900" s="386"/>
      <c r="BI14900" s="386"/>
      <c r="BJ14900" s="46"/>
    </row>
    <row r="14901" spans="59:62" x14ac:dyDescent="0.3">
      <c r="BG14901" s="387"/>
      <c r="BH14901" s="386"/>
      <c r="BI14901" s="386"/>
      <c r="BJ14901" s="46"/>
    </row>
    <row r="14902" spans="59:62" x14ac:dyDescent="0.3">
      <c r="BG14902" s="387"/>
      <c r="BH14902" s="386"/>
      <c r="BI14902" s="386"/>
      <c r="BJ14902" s="46"/>
    </row>
    <row r="14903" spans="59:62" x14ac:dyDescent="0.3">
      <c r="BG14903" s="387"/>
      <c r="BH14903" s="386"/>
      <c r="BI14903" s="386"/>
      <c r="BJ14903" s="46"/>
    </row>
    <row r="14904" spans="59:62" x14ac:dyDescent="0.3">
      <c r="BG14904" s="387"/>
      <c r="BH14904" s="386"/>
      <c r="BI14904" s="386"/>
      <c r="BJ14904" s="46"/>
    </row>
    <row r="14905" spans="59:62" x14ac:dyDescent="0.3">
      <c r="BG14905" s="387"/>
      <c r="BH14905" s="386"/>
      <c r="BI14905" s="386"/>
      <c r="BJ14905" s="46"/>
    </row>
    <row r="14906" spans="59:62" x14ac:dyDescent="0.3">
      <c r="BG14906" s="387"/>
      <c r="BH14906" s="386"/>
      <c r="BI14906" s="386"/>
      <c r="BJ14906" s="46"/>
    </row>
    <row r="14907" spans="59:62" x14ac:dyDescent="0.3">
      <c r="BG14907" s="387"/>
      <c r="BH14907" s="386"/>
      <c r="BI14907" s="386"/>
      <c r="BJ14907" s="46"/>
    </row>
    <row r="14908" spans="59:62" x14ac:dyDescent="0.3">
      <c r="BG14908" s="387"/>
      <c r="BH14908" s="386"/>
      <c r="BI14908" s="386"/>
      <c r="BJ14908" s="46"/>
    </row>
    <row r="14909" spans="59:62" x14ac:dyDescent="0.3">
      <c r="BG14909" s="387"/>
      <c r="BH14909" s="386"/>
      <c r="BI14909" s="386"/>
      <c r="BJ14909" s="46"/>
    </row>
    <row r="14910" spans="59:62" x14ac:dyDescent="0.3">
      <c r="BG14910" s="387"/>
      <c r="BH14910" s="386"/>
      <c r="BI14910" s="386"/>
      <c r="BJ14910" s="46"/>
    </row>
    <row r="14911" spans="59:62" x14ac:dyDescent="0.3">
      <c r="BG14911" s="387"/>
      <c r="BH14911" s="386"/>
      <c r="BI14911" s="386"/>
      <c r="BJ14911" s="46"/>
    </row>
    <row r="14912" spans="59:62" x14ac:dyDescent="0.3">
      <c r="BG14912" s="387"/>
      <c r="BH14912" s="386"/>
      <c r="BI14912" s="386"/>
      <c r="BJ14912" s="46"/>
    </row>
    <row r="14913" spans="59:62" x14ac:dyDescent="0.3">
      <c r="BG14913" s="387"/>
      <c r="BH14913" s="386"/>
      <c r="BI14913" s="386"/>
      <c r="BJ14913" s="46"/>
    </row>
    <row r="14914" spans="59:62" x14ac:dyDescent="0.3">
      <c r="BG14914" s="387"/>
      <c r="BH14914" s="386"/>
      <c r="BI14914" s="386"/>
      <c r="BJ14914" s="46"/>
    </row>
    <row r="14915" spans="59:62" x14ac:dyDescent="0.3">
      <c r="BG14915" s="387"/>
      <c r="BH14915" s="386"/>
      <c r="BI14915" s="386"/>
      <c r="BJ14915" s="46"/>
    </row>
    <row r="14916" spans="59:62" x14ac:dyDescent="0.3">
      <c r="BG14916" s="387"/>
      <c r="BH14916" s="386"/>
      <c r="BI14916" s="386"/>
      <c r="BJ14916" s="46"/>
    </row>
    <row r="14917" spans="59:62" x14ac:dyDescent="0.3">
      <c r="BG14917" s="387"/>
      <c r="BH14917" s="386"/>
      <c r="BI14917" s="386"/>
      <c r="BJ14917" s="46"/>
    </row>
    <row r="14918" spans="59:62" x14ac:dyDescent="0.3">
      <c r="BG14918" s="387"/>
      <c r="BH14918" s="386"/>
      <c r="BI14918" s="386"/>
      <c r="BJ14918" s="46"/>
    </row>
    <row r="14919" spans="59:62" x14ac:dyDescent="0.3">
      <c r="BG14919" s="387"/>
      <c r="BH14919" s="386"/>
      <c r="BI14919" s="386"/>
      <c r="BJ14919" s="46"/>
    </row>
    <row r="14920" spans="59:62" x14ac:dyDescent="0.3">
      <c r="BG14920" s="387"/>
      <c r="BH14920" s="386"/>
      <c r="BI14920" s="386"/>
      <c r="BJ14920" s="46"/>
    </row>
    <row r="14921" spans="59:62" x14ac:dyDescent="0.3">
      <c r="BG14921" s="387"/>
      <c r="BH14921" s="386"/>
      <c r="BI14921" s="386"/>
      <c r="BJ14921" s="46"/>
    </row>
    <row r="14922" spans="59:62" x14ac:dyDescent="0.3">
      <c r="BG14922" s="387"/>
      <c r="BH14922" s="386"/>
      <c r="BI14922" s="386"/>
      <c r="BJ14922" s="46"/>
    </row>
    <row r="14923" spans="59:62" x14ac:dyDescent="0.3">
      <c r="BG14923" s="387"/>
      <c r="BH14923" s="386"/>
      <c r="BI14923" s="386"/>
      <c r="BJ14923" s="46"/>
    </row>
    <row r="14924" spans="59:62" x14ac:dyDescent="0.3">
      <c r="BG14924" s="387"/>
      <c r="BH14924" s="386"/>
      <c r="BI14924" s="386"/>
      <c r="BJ14924" s="46"/>
    </row>
    <row r="14925" spans="59:62" x14ac:dyDescent="0.3">
      <c r="BG14925" s="387"/>
      <c r="BH14925" s="386"/>
      <c r="BI14925" s="386"/>
      <c r="BJ14925" s="46"/>
    </row>
    <row r="14926" spans="59:62" x14ac:dyDescent="0.3">
      <c r="BG14926" s="387"/>
      <c r="BH14926" s="386"/>
      <c r="BI14926" s="386"/>
      <c r="BJ14926" s="46"/>
    </row>
    <row r="14927" spans="59:62" x14ac:dyDescent="0.3">
      <c r="BG14927" s="387"/>
      <c r="BH14927" s="386"/>
      <c r="BI14927" s="386"/>
      <c r="BJ14927" s="46"/>
    </row>
    <row r="14928" spans="59:62" x14ac:dyDescent="0.3">
      <c r="BG14928" s="387"/>
      <c r="BH14928" s="386"/>
      <c r="BI14928" s="386"/>
      <c r="BJ14928" s="46"/>
    </row>
    <row r="14929" spans="59:62" x14ac:dyDescent="0.3">
      <c r="BG14929" s="387"/>
      <c r="BH14929" s="386"/>
      <c r="BI14929" s="386"/>
      <c r="BJ14929" s="46"/>
    </row>
    <row r="14930" spans="59:62" x14ac:dyDescent="0.3">
      <c r="BG14930" s="387"/>
      <c r="BH14930" s="386"/>
      <c r="BI14930" s="386"/>
      <c r="BJ14930" s="46"/>
    </row>
    <row r="14931" spans="59:62" x14ac:dyDescent="0.3">
      <c r="BG14931" s="387"/>
      <c r="BH14931" s="386"/>
      <c r="BI14931" s="386"/>
      <c r="BJ14931" s="46"/>
    </row>
    <row r="14932" spans="59:62" x14ac:dyDescent="0.3">
      <c r="BG14932" s="387"/>
      <c r="BH14932" s="386"/>
      <c r="BI14932" s="386"/>
      <c r="BJ14932" s="46"/>
    </row>
    <row r="14933" spans="59:62" x14ac:dyDescent="0.3">
      <c r="BG14933" s="387"/>
      <c r="BH14933" s="386"/>
      <c r="BI14933" s="386"/>
      <c r="BJ14933" s="46"/>
    </row>
    <row r="14934" spans="59:62" x14ac:dyDescent="0.3">
      <c r="BG14934" s="387"/>
      <c r="BH14934" s="386"/>
      <c r="BI14934" s="386"/>
      <c r="BJ14934" s="46"/>
    </row>
    <row r="14935" spans="59:62" x14ac:dyDescent="0.3">
      <c r="BG14935" s="387"/>
      <c r="BH14935" s="386"/>
      <c r="BI14935" s="386"/>
      <c r="BJ14935" s="46"/>
    </row>
    <row r="14936" spans="59:62" x14ac:dyDescent="0.3">
      <c r="BG14936" s="387"/>
      <c r="BH14936" s="386"/>
      <c r="BI14936" s="386"/>
      <c r="BJ14936" s="46"/>
    </row>
    <row r="14937" spans="59:62" x14ac:dyDescent="0.3">
      <c r="BG14937" s="387"/>
      <c r="BH14937" s="386"/>
      <c r="BI14937" s="386"/>
      <c r="BJ14937" s="46"/>
    </row>
    <row r="14938" spans="59:62" x14ac:dyDescent="0.3">
      <c r="BG14938" s="387"/>
      <c r="BH14938" s="386"/>
      <c r="BI14938" s="386"/>
      <c r="BJ14938" s="46"/>
    </row>
    <row r="14939" spans="59:62" x14ac:dyDescent="0.3">
      <c r="BG14939" s="387"/>
      <c r="BH14939" s="386"/>
      <c r="BI14939" s="386"/>
      <c r="BJ14939" s="46"/>
    </row>
    <row r="14940" spans="59:62" x14ac:dyDescent="0.3">
      <c r="BG14940" s="387"/>
      <c r="BH14940" s="386"/>
      <c r="BI14940" s="386"/>
      <c r="BJ14940" s="46"/>
    </row>
    <row r="14941" spans="59:62" x14ac:dyDescent="0.3">
      <c r="BG14941" s="387"/>
      <c r="BH14941" s="386"/>
      <c r="BI14941" s="386"/>
      <c r="BJ14941" s="46"/>
    </row>
    <row r="14942" spans="59:62" x14ac:dyDescent="0.3">
      <c r="BG14942" s="387"/>
      <c r="BH14942" s="386"/>
      <c r="BI14942" s="386"/>
      <c r="BJ14942" s="46"/>
    </row>
    <row r="14943" spans="59:62" x14ac:dyDescent="0.3">
      <c r="BG14943" s="387"/>
      <c r="BH14943" s="386"/>
      <c r="BI14943" s="386"/>
      <c r="BJ14943" s="46"/>
    </row>
    <row r="14944" spans="59:62" x14ac:dyDescent="0.3">
      <c r="BG14944" s="387"/>
      <c r="BH14944" s="386"/>
      <c r="BI14944" s="386"/>
      <c r="BJ14944" s="46"/>
    </row>
    <row r="14945" spans="59:62" x14ac:dyDescent="0.3">
      <c r="BG14945" s="387"/>
      <c r="BH14945" s="386"/>
      <c r="BI14945" s="386"/>
      <c r="BJ14945" s="46"/>
    </row>
    <row r="14946" spans="59:62" x14ac:dyDescent="0.3">
      <c r="BG14946" s="387"/>
      <c r="BH14946" s="386"/>
      <c r="BI14946" s="386"/>
      <c r="BJ14946" s="46"/>
    </row>
    <row r="14947" spans="59:62" x14ac:dyDescent="0.3">
      <c r="BG14947" s="387"/>
      <c r="BH14947" s="386"/>
      <c r="BI14947" s="386"/>
      <c r="BJ14947" s="46"/>
    </row>
    <row r="14948" spans="59:62" x14ac:dyDescent="0.3">
      <c r="BG14948" s="387"/>
      <c r="BH14948" s="386"/>
      <c r="BI14948" s="386"/>
      <c r="BJ14948" s="46"/>
    </row>
    <row r="14949" spans="59:62" x14ac:dyDescent="0.3">
      <c r="BG14949" s="387"/>
      <c r="BH14949" s="386"/>
      <c r="BI14949" s="386"/>
      <c r="BJ14949" s="46"/>
    </row>
    <row r="14950" spans="59:62" x14ac:dyDescent="0.3">
      <c r="BG14950" s="387"/>
      <c r="BH14950" s="386"/>
      <c r="BI14950" s="386"/>
      <c r="BJ14950" s="46"/>
    </row>
    <row r="14951" spans="59:62" x14ac:dyDescent="0.3">
      <c r="BG14951" s="387"/>
      <c r="BH14951" s="386"/>
      <c r="BI14951" s="386"/>
      <c r="BJ14951" s="46"/>
    </row>
    <row r="14952" spans="59:62" x14ac:dyDescent="0.3">
      <c r="BG14952" s="387"/>
      <c r="BH14952" s="386"/>
      <c r="BI14952" s="386"/>
      <c r="BJ14952" s="46"/>
    </row>
    <row r="14953" spans="59:62" x14ac:dyDescent="0.3">
      <c r="BG14953" s="387"/>
      <c r="BH14953" s="386"/>
      <c r="BI14953" s="386"/>
      <c r="BJ14953" s="46"/>
    </row>
    <row r="14954" spans="59:62" x14ac:dyDescent="0.3">
      <c r="BG14954" s="387"/>
      <c r="BH14954" s="386"/>
      <c r="BI14954" s="386"/>
      <c r="BJ14954" s="46"/>
    </row>
    <row r="14955" spans="59:62" x14ac:dyDescent="0.3">
      <c r="BG14955" s="387"/>
      <c r="BH14955" s="386"/>
      <c r="BI14955" s="386"/>
      <c r="BJ14955" s="46"/>
    </row>
    <row r="14956" spans="59:62" x14ac:dyDescent="0.3">
      <c r="BG14956" s="387"/>
      <c r="BH14956" s="386"/>
      <c r="BI14956" s="386"/>
      <c r="BJ14956" s="46"/>
    </row>
    <row r="14957" spans="59:62" x14ac:dyDescent="0.3">
      <c r="BG14957" s="387"/>
      <c r="BH14957" s="386"/>
      <c r="BI14957" s="386"/>
      <c r="BJ14957" s="46"/>
    </row>
    <row r="14958" spans="59:62" x14ac:dyDescent="0.3">
      <c r="BG14958" s="387"/>
      <c r="BH14958" s="386"/>
      <c r="BI14958" s="386"/>
      <c r="BJ14958" s="46"/>
    </row>
    <row r="14959" spans="59:62" x14ac:dyDescent="0.3">
      <c r="BG14959" s="387"/>
      <c r="BH14959" s="386"/>
      <c r="BI14959" s="386"/>
      <c r="BJ14959" s="46"/>
    </row>
    <row r="14960" spans="59:62" x14ac:dyDescent="0.3">
      <c r="BG14960" s="387"/>
      <c r="BH14960" s="386"/>
      <c r="BI14960" s="386"/>
      <c r="BJ14960" s="46"/>
    </row>
    <row r="14961" spans="59:62" x14ac:dyDescent="0.3">
      <c r="BG14961" s="387"/>
      <c r="BH14961" s="386"/>
      <c r="BI14961" s="386"/>
      <c r="BJ14961" s="46"/>
    </row>
    <row r="14962" spans="59:62" x14ac:dyDescent="0.3">
      <c r="BG14962" s="387"/>
      <c r="BH14962" s="386"/>
      <c r="BI14962" s="386"/>
      <c r="BJ14962" s="46"/>
    </row>
    <row r="14963" spans="59:62" x14ac:dyDescent="0.3">
      <c r="BG14963" s="387"/>
      <c r="BH14963" s="386"/>
      <c r="BI14963" s="386"/>
      <c r="BJ14963" s="46"/>
    </row>
    <row r="14964" spans="59:62" x14ac:dyDescent="0.3">
      <c r="BG14964" s="387"/>
      <c r="BH14964" s="386"/>
      <c r="BI14964" s="386"/>
      <c r="BJ14964" s="46"/>
    </row>
    <row r="14965" spans="59:62" x14ac:dyDescent="0.3">
      <c r="BG14965" s="387"/>
      <c r="BH14965" s="386"/>
      <c r="BI14965" s="386"/>
      <c r="BJ14965" s="46"/>
    </row>
    <row r="14966" spans="59:62" x14ac:dyDescent="0.3">
      <c r="BG14966" s="387"/>
      <c r="BH14966" s="386"/>
      <c r="BI14966" s="386"/>
      <c r="BJ14966" s="46"/>
    </row>
    <row r="14967" spans="59:62" x14ac:dyDescent="0.3">
      <c r="BG14967" s="387"/>
      <c r="BH14967" s="386"/>
      <c r="BI14967" s="386"/>
      <c r="BJ14967" s="46"/>
    </row>
    <row r="14968" spans="59:62" x14ac:dyDescent="0.3">
      <c r="BG14968" s="387"/>
      <c r="BH14968" s="386"/>
      <c r="BI14968" s="386"/>
      <c r="BJ14968" s="46"/>
    </row>
    <row r="14969" spans="59:62" x14ac:dyDescent="0.3">
      <c r="BG14969" s="387"/>
      <c r="BH14969" s="386"/>
      <c r="BI14969" s="386"/>
      <c r="BJ14969" s="46"/>
    </row>
    <row r="14970" spans="59:62" x14ac:dyDescent="0.3">
      <c r="BG14970" s="387"/>
      <c r="BH14970" s="386"/>
      <c r="BI14970" s="386"/>
      <c r="BJ14970" s="46"/>
    </row>
    <row r="14971" spans="59:62" x14ac:dyDescent="0.3">
      <c r="BG14971" s="387"/>
      <c r="BH14971" s="386"/>
      <c r="BI14971" s="386"/>
      <c r="BJ14971" s="46"/>
    </row>
    <row r="14972" spans="59:62" x14ac:dyDescent="0.3">
      <c r="BG14972" s="387"/>
      <c r="BH14972" s="386"/>
      <c r="BI14972" s="386"/>
      <c r="BJ14972" s="46"/>
    </row>
    <row r="14973" spans="59:62" x14ac:dyDescent="0.3">
      <c r="BG14973" s="387"/>
      <c r="BH14973" s="386"/>
      <c r="BI14973" s="386"/>
      <c r="BJ14973" s="46"/>
    </row>
    <row r="14974" spans="59:62" x14ac:dyDescent="0.3">
      <c r="BG14974" s="387"/>
      <c r="BH14974" s="386"/>
      <c r="BI14974" s="386"/>
      <c r="BJ14974" s="46"/>
    </row>
    <row r="14975" spans="59:62" x14ac:dyDescent="0.3">
      <c r="BG14975" s="387"/>
      <c r="BH14975" s="386"/>
      <c r="BI14975" s="386"/>
      <c r="BJ14975" s="46"/>
    </row>
    <row r="14976" spans="59:62" x14ac:dyDescent="0.3">
      <c r="BG14976" s="387"/>
      <c r="BH14976" s="386"/>
      <c r="BI14976" s="386"/>
      <c r="BJ14976" s="46"/>
    </row>
    <row r="14977" spans="59:62" x14ac:dyDescent="0.3">
      <c r="BG14977" s="387"/>
      <c r="BH14977" s="386"/>
      <c r="BI14977" s="386"/>
      <c r="BJ14977" s="46"/>
    </row>
    <row r="14978" spans="59:62" x14ac:dyDescent="0.3">
      <c r="BG14978" s="387"/>
      <c r="BH14978" s="386"/>
      <c r="BI14978" s="386"/>
      <c r="BJ14978" s="46"/>
    </row>
    <row r="14979" spans="59:62" x14ac:dyDescent="0.3">
      <c r="BG14979" s="387"/>
      <c r="BH14979" s="386"/>
      <c r="BI14979" s="386"/>
      <c r="BJ14979" s="46"/>
    </row>
    <row r="14980" spans="59:62" x14ac:dyDescent="0.3">
      <c r="BG14980" s="387"/>
      <c r="BH14980" s="386"/>
      <c r="BI14980" s="386"/>
      <c r="BJ14980" s="46"/>
    </row>
    <row r="14981" spans="59:62" x14ac:dyDescent="0.3">
      <c r="BG14981" s="387"/>
      <c r="BH14981" s="386"/>
      <c r="BI14981" s="386"/>
      <c r="BJ14981" s="46"/>
    </row>
    <row r="14982" spans="59:62" x14ac:dyDescent="0.3">
      <c r="BG14982" s="387"/>
      <c r="BH14982" s="386"/>
      <c r="BI14982" s="386"/>
      <c r="BJ14982" s="46"/>
    </row>
    <row r="14983" spans="59:62" x14ac:dyDescent="0.3">
      <c r="BG14983" s="387"/>
      <c r="BH14983" s="386"/>
      <c r="BI14983" s="386"/>
      <c r="BJ14983" s="46"/>
    </row>
    <row r="14984" spans="59:62" x14ac:dyDescent="0.3">
      <c r="BG14984" s="387"/>
      <c r="BH14984" s="386"/>
      <c r="BI14984" s="386"/>
      <c r="BJ14984" s="46"/>
    </row>
    <row r="14985" spans="59:62" x14ac:dyDescent="0.3">
      <c r="BG14985" s="387"/>
      <c r="BH14985" s="386"/>
      <c r="BI14985" s="386"/>
      <c r="BJ14985" s="46"/>
    </row>
    <row r="14986" spans="59:62" x14ac:dyDescent="0.3">
      <c r="BG14986" s="387"/>
      <c r="BH14986" s="386"/>
      <c r="BI14986" s="386"/>
      <c r="BJ14986" s="46"/>
    </row>
    <row r="14987" spans="59:62" x14ac:dyDescent="0.3">
      <c r="BG14987" s="387"/>
      <c r="BH14987" s="386"/>
      <c r="BI14987" s="386"/>
      <c r="BJ14987" s="46"/>
    </row>
    <row r="14988" spans="59:62" x14ac:dyDescent="0.3">
      <c r="BG14988" s="387"/>
      <c r="BH14988" s="386"/>
      <c r="BI14988" s="386"/>
      <c r="BJ14988" s="46"/>
    </row>
    <row r="14989" spans="59:62" x14ac:dyDescent="0.3">
      <c r="BG14989" s="387"/>
      <c r="BH14989" s="386"/>
      <c r="BI14989" s="386"/>
      <c r="BJ14989" s="46"/>
    </row>
    <row r="14990" spans="59:62" x14ac:dyDescent="0.3">
      <c r="BG14990" s="387"/>
      <c r="BH14990" s="386"/>
      <c r="BI14990" s="386"/>
      <c r="BJ14990" s="46"/>
    </row>
    <row r="14991" spans="59:62" x14ac:dyDescent="0.3">
      <c r="BG14991" s="387"/>
      <c r="BH14991" s="386"/>
      <c r="BI14991" s="386"/>
      <c r="BJ14991" s="46"/>
    </row>
    <row r="14992" spans="59:62" x14ac:dyDescent="0.3">
      <c r="BG14992" s="387"/>
      <c r="BH14992" s="386"/>
      <c r="BI14992" s="386"/>
      <c r="BJ14992" s="46"/>
    </row>
    <row r="14993" spans="59:62" x14ac:dyDescent="0.3">
      <c r="BG14993" s="387"/>
      <c r="BH14993" s="386"/>
      <c r="BI14993" s="386"/>
      <c r="BJ14993" s="46"/>
    </row>
    <row r="14994" spans="59:62" x14ac:dyDescent="0.3">
      <c r="BG14994" s="387"/>
      <c r="BH14994" s="386"/>
      <c r="BI14994" s="386"/>
      <c r="BJ14994" s="46"/>
    </row>
    <row r="14995" spans="59:62" x14ac:dyDescent="0.3">
      <c r="BG14995" s="387"/>
      <c r="BH14995" s="386"/>
      <c r="BI14995" s="386"/>
      <c r="BJ14995" s="46"/>
    </row>
    <row r="14996" spans="59:62" x14ac:dyDescent="0.3">
      <c r="BG14996" s="387"/>
      <c r="BH14996" s="386"/>
      <c r="BI14996" s="386"/>
      <c r="BJ14996" s="46"/>
    </row>
    <row r="14997" spans="59:62" x14ac:dyDescent="0.3">
      <c r="BG14997" s="387"/>
      <c r="BH14997" s="386"/>
      <c r="BI14997" s="386"/>
      <c r="BJ14997" s="46"/>
    </row>
    <row r="14998" spans="59:62" x14ac:dyDescent="0.3">
      <c r="BG14998" s="387"/>
      <c r="BH14998" s="386"/>
      <c r="BI14998" s="386"/>
      <c r="BJ14998" s="46"/>
    </row>
    <row r="14999" spans="59:62" x14ac:dyDescent="0.3">
      <c r="BG14999" s="387"/>
      <c r="BH14999" s="386"/>
      <c r="BI14999" s="386"/>
      <c r="BJ14999" s="46"/>
    </row>
    <row r="15000" spans="59:62" x14ac:dyDescent="0.3">
      <c r="BG15000" s="387"/>
      <c r="BH15000" s="386"/>
      <c r="BI15000" s="386"/>
      <c r="BJ15000" s="46"/>
    </row>
    <row r="15001" spans="59:62" x14ac:dyDescent="0.3">
      <c r="BG15001" s="387"/>
      <c r="BH15001" s="386"/>
      <c r="BI15001" s="386"/>
      <c r="BJ15001" s="46"/>
    </row>
    <row r="15002" spans="59:62" x14ac:dyDescent="0.3">
      <c r="BG15002" s="387"/>
      <c r="BH15002" s="386"/>
      <c r="BI15002" s="386"/>
      <c r="BJ15002" s="46"/>
    </row>
    <row r="15003" spans="59:62" x14ac:dyDescent="0.3">
      <c r="BG15003" s="387"/>
      <c r="BH15003" s="386"/>
      <c r="BI15003" s="386"/>
      <c r="BJ15003" s="46"/>
    </row>
    <row r="15004" spans="59:62" x14ac:dyDescent="0.3">
      <c r="BG15004" s="387"/>
      <c r="BH15004" s="386"/>
      <c r="BI15004" s="386"/>
      <c r="BJ15004" s="46"/>
    </row>
    <row r="15005" spans="59:62" x14ac:dyDescent="0.3">
      <c r="BG15005" s="387"/>
      <c r="BH15005" s="386"/>
      <c r="BI15005" s="386"/>
      <c r="BJ15005" s="46"/>
    </row>
    <row r="15006" spans="59:62" x14ac:dyDescent="0.3">
      <c r="BG15006" s="387"/>
      <c r="BH15006" s="386"/>
      <c r="BI15006" s="386"/>
      <c r="BJ15006" s="46"/>
    </row>
    <row r="15007" spans="59:62" x14ac:dyDescent="0.3">
      <c r="BG15007" s="387"/>
      <c r="BH15007" s="386"/>
      <c r="BI15007" s="386"/>
      <c r="BJ15007" s="46"/>
    </row>
    <row r="15008" spans="59:62" x14ac:dyDescent="0.3">
      <c r="BG15008" s="387"/>
      <c r="BH15008" s="386"/>
      <c r="BI15008" s="386"/>
      <c r="BJ15008" s="46"/>
    </row>
    <row r="15009" spans="59:62" x14ac:dyDescent="0.3">
      <c r="BG15009" s="387"/>
      <c r="BH15009" s="386"/>
      <c r="BI15009" s="386"/>
      <c r="BJ15009" s="46"/>
    </row>
    <row r="15010" spans="59:62" x14ac:dyDescent="0.3">
      <c r="BG15010" s="387"/>
      <c r="BH15010" s="386"/>
      <c r="BI15010" s="386"/>
      <c r="BJ15010" s="46"/>
    </row>
    <row r="15011" spans="59:62" x14ac:dyDescent="0.3">
      <c r="BG15011" s="387"/>
      <c r="BH15011" s="386"/>
      <c r="BI15011" s="386"/>
      <c r="BJ15011" s="46"/>
    </row>
    <row r="15012" spans="59:62" x14ac:dyDescent="0.3">
      <c r="BG15012" s="387"/>
      <c r="BH15012" s="386"/>
      <c r="BI15012" s="386"/>
      <c r="BJ15012" s="46"/>
    </row>
    <row r="15013" spans="59:62" x14ac:dyDescent="0.3">
      <c r="BG15013" s="387"/>
      <c r="BH15013" s="386"/>
      <c r="BI15013" s="386"/>
      <c r="BJ15013" s="46"/>
    </row>
    <row r="15014" spans="59:62" x14ac:dyDescent="0.3">
      <c r="BG15014" s="387"/>
      <c r="BH15014" s="386"/>
      <c r="BI15014" s="386"/>
      <c r="BJ15014" s="46"/>
    </row>
    <row r="15015" spans="59:62" x14ac:dyDescent="0.3">
      <c r="BG15015" s="387"/>
      <c r="BH15015" s="386"/>
      <c r="BI15015" s="386"/>
      <c r="BJ15015" s="46"/>
    </row>
    <row r="15016" spans="59:62" x14ac:dyDescent="0.3">
      <c r="BG15016" s="387"/>
      <c r="BH15016" s="386"/>
      <c r="BI15016" s="386"/>
      <c r="BJ15016" s="46"/>
    </row>
    <row r="15017" spans="59:62" x14ac:dyDescent="0.3">
      <c r="BG15017" s="387"/>
      <c r="BH15017" s="386"/>
      <c r="BI15017" s="386"/>
      <c r="BJ15017" s="46"/>
    </row>
    <row r="15018" spans="59:62" x14ac:dyDescent="0.3">
      <c r="BG15018" s="387"/>
      <c r="BH15018" s="386"/>
      <c r="BI15018" s="386"/>
      <c r="BJ15018" s="46"/>
    </row>
    <row r="15019" spans="59:62" x14ac:dyDescent="0.3">
      <c r="BG15019" s="387"/>
      <c r="BH15019" s="386"/>
      <c r="BI15019" s="386"/>
      <c r="BJ15019" s="46"/>
    </row>
    <row r="15020" spans="59:62" x14ac:dyDescent="0.3">
      <c r="BG15020" s="387"/>
      <c r="BH15020" s="386"/>
      <c r="BI15020" s="386"/>
      <c r="BJ15020" s="46"/>
    </row>
    <row r="15021" spans="59:62" x14ac:dyDescent="0.3">
      <c r="BG15021" s="387"/>
      <c r="BH15021" s="386"/>
      <c r="BI15021" s="386"/>
      <c r="BJ15021" s="46"/>
    </row>
    <row r="15022" spans="59:62" x14ac:dyDescent="0.3">
      <c r="BG15022" s="387"/>
      <c r="BH15022" s="386"/>
      <c r="BI15022" s="386"/>
      <c r="BJ15022" s="46"/>
    </row>
    <row r="15023" spans="59:62" x14ac:dyDescent="0.3">
      <c r="BG15023" s="387"/>
      <c r="BH15023" s="386"/>
      <c r="BI15023" s="386"/>
      <c r="BJ15023" s="46"/>
    </row>
    <row r="15024" spans="59:62" x14ac:dyDescent="0.3">
      <c r="BG15024" s="387"/>
      <c r="BH15024" s="386"/>
      <c r="BI15024" s="386"/>
      <c r="BJ15024" s="46"/>
    </row>
    <row r="15025" spans="59:62" x14ac:dyDescent="0.3">
      <c r="BG15025" s="387"/>
      <c r="BH15025" s="386"/>
      <c r="BI15025" s="386"/>
      <c r="BJ15025" s="46"/>
    </row>
    <row r="15026" spans="59:62" x14ac:dyDescent="0.3">
      <c r="BG15026" s="387"/>
      <c r="BH15026" s="386"/>
      <c r="BI15026" s="386"/>
      <c r="BJ15026" s="46"/>
    </row>
    <row r="15027" spans="59:62" x14ac:dyDescent="0.3">
      <c r="BG15027" s="387"/>
      <c r="BH15027" s="386"/>
      <c r="BI15027" s="386"/>
      <c r="BJ15027" s="46"/>
    </row>
    <row r="15028" spans="59:62" x14ac:dyDescent="0.3">
      <c r="BG15028" s="387"/>
      <c r="BH15028" s="386"/>
      <c r="BI15028" s="386"/>
      <c r="BJ15028" s="46"/>
    </row>
    <row r="15029" spans="59:62" x14ac:dyDescent="0.3">
      <c r="BG15029" s="387"/>
      <c r="BH15029" s="386"/>
      <c r="BI15029" s="386"/>
      <c r="BJ15029" s="46"/>
    </row>
    <row r="15030" spans="59:62" x14ac:dyDescent="0.3">
      <c r="BG15030" s="387"/>
      <c r="BH15030" s="386"/>
      <c r="BI15030" s="386"/>
      <c r="BJ15030" s="46"/>
    </row>
    <row r="15031" spans="59:62" x14ac:dyDescent="0.3">
      <c r="BG15031" s="387"/>
      <c r="BH15031" s="386"/>
      <c r="BI15031" s="386"/>
      <c r="BJ15031" s="46"/>
    </row>
    <row r="15032" spans="59:62" x14ac:dyDescent="0.3">
      <c r="BG15032" s="387"/>
      <c r="BH15032" s="386"/>
      <c r="BI15032" s="386"/>
      <c r="BJ15032" s="46"/>
    </row>
    <row r="15033" spans="59:62" x14ac:dyDescent="0.3">
      <c r="BG15033" s="387"/>
      <c r="BH15033" s="386"/>
      <c r="BI15033" s="386"/>
      <c r="BJ15033" s="46"/>
    </row>
    <row r="15034" spans="59:62" x14ac:dyDescent="0.3">
      <c r="BG15034" s="387"/>
      <c r="BH15034" s="386"/>
      <c r="BI15034" s="386"/>
      <c r="BJ15034" s="46"/>
    </row>
    <row r="15035" spans="59:62" x14ac:dyDescent="0.3">
      <c r="BG15035" s="387"/>
      <c r="BH15035" s="386"/>
      <c r="BI15035" s="386"/>
      <c r="BJ15035" s="46"/>
    </row>
    <row r="15036" spans="59:62" x14ac:dyDescent="0.3">
      <c r="BG15036" s="387"/>
      <c r="BH15036" s="386"/>
      <c r="BI15036" s="386"/>
      <c r="BJ15036" s="46"/>
    </row>
    <row r="15037" spans="59:62" x14ac:dyDescent="0.3">
      <c r="BG15037" s="387"/>
      <c r="BH15037" s="386"/>
      <c r="BI15037" s="386"/>
      <c r="BJ15037" s="46"/>
    </row>
    <row r="15038" spans="59:62" x14ac:dyDescent="0.3">
      <c r="BG15038" s="387"/>
      <c r="BH15038" s="386"/>
      <c r="BI15038" s="386"/>
      <c r="BJ15038" s="46"/>
    </row>
    <row r="15039" spans="59:62" x14ac:dyDescent="0.3">
      <c r="BG15039" s="387"/>
      <c r="BH15039" s="386"/>
      <c r="BI15039" s="386"/>
      <c r="BJ15039" s="46"/>
    </row>
    <row r="15040" spans="59:62" x14ac:dyDescent="0.3">
      <c r="BG15040" s="387"/>
      <c r="BH15040" s="386"/>
      <c r="BI15040" s="386"/>
      <c r="BJ15040" s="46"/>
    </row>
    <row r="15041" spans="59:62" x14ac:dyDescent="0.3">
      <c r="BG15041" s="387"/>
      <c r="BH15041" s="386"/>
      <c r="BI15041" s="386"/>
      <c r="BJ15041" s="46"/>
    </row>
    <row r="15042" spans="59:62" x14ac:dyDescent="0.3">
      <c r="BG15042" s="387"/>
      <c r="BH15042" s="386"/>
      <c r="BI15042" s="386"/>
      <c r="BJ15042" s="46"/>
    </row>
    <row r="15043" spans="59:62" x14ac:dyDescent="0.3">
      <c r="BG15043" s="387"/>
      <c r="BH15043" s="386"/>
      <c r="BI15043" s="386"/>
      <c r="BJ15043" s="46"/>
    </row>
    <row r="15044" spans="59:62" x14ac:dyDescent="0.3">
      <c r="BG15044" s="387"/>
      <c r="BH15044" s="386"/>
      <c r="BI15044" s="386"/>
      <c r="BJ15044" s="46"/>
    </row>
    <row r="15045" spans="59:62" x14ac:dyDescent="0.3">
      <c r="BG15045" s="387"/>
      <c r="BH15045" s="386"/>
      <c r="BI15045" s="386"/>
      <c r="BJ15045" s="46"/>
    </row>
    <row r="15046" spans="59:62" x14ac:dyDescent="0.3">
      <c r="BG15046" s="387"/>
      <c r="BH15046" s="386"/>
      <c r="BI15046" s="386"/>
      <c r="BJ15046" s="46"/>
    </row>
    <row r="15047" spans="59:62" x14ac:dyDescent="0.3">
      <c r="BG15047" s="387"/>
      <c r="BH15047" s="386"/>
      <c r="BI15047" s="386"/>
      <c r="BJ15047" s="46"/>
    </row>
    <row r="15048" spans="59:62" x14ac:dyDescent="0.3">
      <c r="BG15048" s="387"/>
      <c r="BH15048" s="386"/>
      <c r="BI15048" s="386"/>
      <c r="BJ15048" s="46"/>
    </row>
    <row r="15049" spans="59:62" x14ac:dyDescent="0.3">
      <c r="BG15049" s="387"/>
      <c r="BH15049" s="386"/>
      <c r="BI15049" s="386"/>
      <c r="BJ15049" s="46"/>
    </row>
    <row r="15050" spans="59:62" x14ac:dyDescent="0.3">
      <c r="BG15050" s="387"/>
      <c r="BH15050" s="386"/>
      <c r="BI15050" s="386"/>
      <c r="BJ15050" s="46"/>
    </row>
    <row r="15051" spans="59:62" x14ac:dyDescent="0.3">
      <c r="BG15051" s="387"/>
      <c r="BH15051" s="386"/>
      <c r="BI15051" s="386"/>
      <c r="BJ15051" s="46"/>
    </row>
    <row r="15052" spans="59:62" x14ac:dyDescent="0.3">
      <c r="BG15052" s="387"/>
      <c r="BH15052" s="386"/>
      <c r="BI15052" s="386"/>
      <c r="BJ15052" s="46"/>
    </row>
    <row r="15053" spans="59:62" x14ac:dyDescent="0.3">
      <c r="BG15053" s="387"/>
      <c r="BH15053" s="386"/>
      <c r="BI15053" s="386"/>
      <c r="BJ15053" s="46"/>
    </row>
    <row r="15054" spans="59:62" x14ac:dyDescent="0.3">
      <c r="BG15054" s="387"/>
      <c r="BH15054" s="386"/>
      <c r="BI15054" s="386"/>
      <c r="BJ15054" s="46"/>
    </row>
    <row r="15055" spans="59:62" x14ac:dyDescent="0.3">
      <c r="BG15055" s="387"/>
      <c r="BH15055" s="386"/>
      <c r="BI15055" s="386"/>
      <c r="BJ15055" s="46"/>
    </row>
    <row r="15056" spans="59:62" x14ac:dyDescent="0.3">
      <c r="BG15056" s="387"/>
      <c r="BH15056" s="386"/>
      <c r="BI15056" s="386"/>
      <c r="BJ15056" s="46"/>
    </row>
    <row r="15057" spans="59:62" x14ac:dyDescent="0.3">
      <c r="BG15057" s="387"/>
      <c r="BH15057" s="386"/>
      <c r="BI15057" s="386"/>
      <c r="BJ15057" s="46"/>
    </row>
    <row r="15058" spans="59:62" x14ac:dyDescent="0.3">
      <c r="BG15058" s="387"/>
      <c r="BH15058" s="386"/>
      <c r="BI15058" s="386"/>
      <c r="BJ15058" s="46"/>
    </row>
    <row r="15059" spans="59:62" x14ac:dyDescent="0.3">
      <c r="BG15059" s="387"/>
      <c r="BH15059" s="386"/>
      <c r="BI15059" s="386"/>
      <c r="BJ15059" s="46"/>
    </row>
    <row r="15060" spans="59:62" x14ac:dyDescent="0.3">
      <c r="BG15060" s="387"/>
      <c r="BH15060" s="386"/>
      <c r="BI15060" s="386"/>
      <c r="BJ15060" s="46"/>
    </row>
    <row r="15061" spans="59:62" x14ac:dyDescent="0.3">
      <c r="BG15061" s="387"/>
      <c r="BH15061" s="386"/>
      <c r="BI15061" s="386"/>
      <c r="BJ15061" s="46"/>
    </row>
    <row r="15062" spans="59:62" x14ac:dyDescent="0.3">
      <c r="BG15062" s="387"/>
      <c r="BH15062" s="386"/>
      <c r="BI15062" s="386"/>
      <c r="BJ15062" s="46"/>
    </row>
    <row r="15063" spans="59:62" x14ac:dyDescent="0.3">
      <c r="BG15063" s="387"/>
      <c r="BH15063" s="386"/>
      <c r="BI15063" s="386"/>
      <c r="BJ15063" s="46"/>
    </row>
    <row r="15064" spans="59:62" x14ac:dyDescent="0.3">
      <c r="BG15064" s="387"/>
      <c r="BH15064" s="386"/>
      <c r="BI15064" s="386"/>
      <c r="BJ15064" s="46"/>
    </row>
    <row r="15065" spans="59:62" x14ac:dyDescent="0.3">
      <c r="BG15065" s="387"/>
      <c r="BH15065" s="386"/>
      <c r="BI15065" s="386"/>
      <c r="BJ15065" s="46"/>
    </row>
    <row r="15066" spans="59:62" x14ac:dyDescent="0.3">
      <c r="BG15066" s="387"/>
      <c r="BH15066" s="386"/>
      <c r="BI15066" s="386"/>
      <c r="BJ15066" s="46"/>
    </row>
    <row r="15067" spans="59:62" x14ac:dyDescent="0.3">
      <c r="BG15067" s="387"/>
      <c r="BH15067" s="386"/>
      <c r="BI15067" s="386"/>
      <c r="BJ15067" s="46"/>
    </row>
    <row r="15068" spans="59:62" x14ac:dyDescent="0.3">
      <c r="BG15068" s="387"/>
      <c r="BH15068" s="386"/>
      <c r="BI15068" s="386"/>
      <c r="BJ15068" s="46"/>
    </row>
    <row r="15069" spans="59:62" x14ac:dyDescent="0.3">
      <c r="BG15069" s="387"/>
      <c r="BH15069" s="386"/>
      <c r="BI15069" s="386"/>
      <c r="BJ15069" s="46"/>
    </row>
    <row r="15070" spans="59:62" x14ac:dyDescent="0.3">
      <c r="BG15070" s="387"/>
      <c r="BH15070" s="386"/>
      <c r="BI15070" s="386"/>
      <c r="BJ15070" s="46"/>
    </row>
    <row r="15071" spans="59:62" x14ac:dyDescent="0.3">
      <c r="BG15071" s="387"/>
      <c r="BH15071" s="386"/>
      <c r="BI15071" s="386"/>
      <c r="BJ15071" s="46"/>
    </row>
    <row r="15072" spans="59:62" x14ac:dyDescent="0.3">
      <c r="BG15072" s="387"/>
      <c r="BH15072" s="386"/>
      <c r="BI15072" s="386"/>
      <c r="BJ15072" s="46"/>
    </row>
    <row r="15073" spans="59:62" x14ac:dyDescent="0.3">
      <c r="BG15073" s="387"/>
      <c r="BH15073" s="386"/>
      <c r="BI15073" s="386"/>
      <c r="BJ15073" s="46"/>
    </row>
    <row r="15074" spans="59:62" x14ac:dyDescent="0.3">
      <c r="BG15074" s="387"/>
      <c r="BH15074" s="386"/>
      <c r="BI15074" s="386"/>
      <c r="BJ15074" s="46"/>
    </row>
    <row r="15075" spans="59:62" x14ac:dyDescent="0.3">
      <c r="BG15075" s="387"/>
      <c r="BH15075" s="386"/>
      <c r="BI15075" s="386"/>
      <c r="BJ15075" s="46"/>
    </row>
    <row r="15076" spans="59:62" x14ac:dyDescent="0.3">
      <c r="BG15076" s="387"/>
      <c r="BH15076" s="386"/>
      <c r="BI15076" s="386"/>
      <c r="BJ15076" s="46"/>
    </row>
    <row r="15077" spans="59:62" x14ac:dyDescent="0.3">
      <c r="BG15077" s="387"/>
      <c r="BH15077" s="386"/>
      <c r="BI15077" s="386"/>
      <c r="BJ15077" s="46"/>
    </row>
    <row r="15078" spans="59:62" x14ac:dyDescent="0.3">
      <c r="BG15078" s="387"/>
      <c r="BH15078" s="386"/>
      <c r="BI15078" s="386"/>
      <c r="BJ15078" s="46"/>
    </row>
    <row r="15079" spans="59:62" x14ac:dyDescent="0.3">
      <c r="BG15079" s="387"/>
      <c r="BH15079" s="386"/>
      <c r="BI15079" s="386"/>
      <c r="BJ15079" s="46"/>
    </row>
    <row r="15080" spans="59:62" x14ac:dyDescent="0.3">
      <c r="BG15080" s="387"/>
      <c r="BH15080" s="386"/>
      <c r="BI15080" s="386"/>
      <c r="BJ15080" s="46"/>
    </row>
    <row r="15081" spans="59:62" x14ac:dyDescent="0.3">
      <c r="BG15081" s="387"/>
      <c r="BH15081" s="386"/>
      <c r="BI15081" s="386"/>
      <c r="BJ15081" s="46"/>
    </row>
    <row r="15082" spans="59:62" x14ac:dyDescent="0.3">
      <c r="BG15082" s="387"/>
      <c r="BH15082" s="386"/>
      <c r="BI15082" s="386"/>
      <c r="BJ15082" s="46"/>
    </row>
    <row r="15083" spans="59:62" x14ac:dyDescent="0.3">
      <c r="BG15083" s="387"/>
      <c r="BH15083" s="386"/>
      <c r="BI15083" s="386"/>
      <c r="BJ15083" s="46"/>
    </row>
    <row r="15084" spans="59:62" x14ac:dyDescent="0.3">
      <c r="BG15084" s="387"/>
      <c r="BH15084" s="386"/>
      <c r="BI15084" s="386"/>
      <c r="BJ15084" s="46"/>
    </row>
    <row r="15085" spans="59:62" x14ac:dyDescent="0.3">
      <c r="BG15085" s="387"/>
      <c r="BH15085" s="386"/>
      <c r="BI15085" s="386"/>
      <c r="BJ15085" s="46"/>
    </row>
    <row r="15086" spans="59:62" x14ac:dyDescent="0.3">
      <c r="BG15086" s="387"/>
      <c r="BH15086" s="386"/>
      <c r="BI15086" s="386"/>
      <c r="BJ15086" s="46"/>
    </row>
    <row r="15087" spans="59:62" x14ac:dyDescent="0.3">
      <c r="BG15087" s="387"/>
      <c r="BH15087" s="386"/>
      <c r="BI15087" s="386"/>
      <c r="BJ15087" s="46"/>
    </row>
    <row r="15088" spans="59:62" x14ac:dyDescent="0.3">
      <c r="BG15088" s="387"/>
      <c r="BH15088" s="386"/>
      <c r="BI15088" s="386"/>
      <c r="BJ15088" s="46"/>
    </row>
    <row r="15089" spans="59:62" x14ac:dyDescent="0.3">
      <c r="BG15089" s="387"/>
      <c r="BH15089" s="386"/>
      <c r="BI15089" s="386"/>
      <c r="BJ15089" s="46"/>
    </row>
    <row r="15090" spans="59:62" x14ac:dyDescent="0.3">
      <c r="BG15090" s="387"/>
      <c r="BH15090" s="386"/>
      <c r="BI15090" s="386"/>
      <c r="BJ15090" s="46"/>
    </row>
    <row r="15091" spans="59:62" x14ac:dyDescent="0.3">
      <c r="BG15091" s="387"/>
      <c r="BH15091" s="386"/>
      <c r="BI15091" s="386"/>
      <c r="BJ15091" s="46"/>
    </row>
    <row r="15092" spans="59:62" x14ac:dyDescent="0.3">
      <c r="BG15092" s="387"/>
      <c r="BH15092" s="386"/>
      <c r="BI15092" s="386"/>
      <c r="BJ15092" s="46"/>
    </row>
    <row r="15093" spans="59:62" x14ac:dyDescent="0.3">
      <c r="BG15093" s="387"/>
      <c r="BH15093" s="386"/>
      <c r="BI15093" s="386"/>
      <c r="BJ15093" s="46"/>
    </row>
    <row r="15094" spans="59:62" x14ac:dyDescent="0.3">
      <c r="BG15094" s="387"/>
      <c r="BH15094" s="386"/>
      <c r="BI15094" s="386"/>
      <c r="BJ15094" s="46"/>
    </row>
    <row r="15095" spans="59:62" x14ac:dyDescent="0.3">
      <c r="BG15095" s="387"/>
      <c r="BH15095" s="386"/>
      <c r="BI15095" s="386"/>
      <c r="BJ15095" s="46"/>
    </row>
    <row r="15096" spans="59:62" x14ac:dyDescent="0.3">
      <c r="BG15096" s="387"/>
      <c r="BH15096" s="386"/>
      <c r="BI15096" s="386"/>
      <c r="BJ15096" s="46"/>
    </row>
    <row r="15097" spans="59:62" x14ac:dyDescent="0.3">
      <c r="BG15097" s="387"/>
      <c r="BH15097" s="386"/>
      <c r="BI15097" s="386"/>
      <c r="BJ15097" s="46"/>
    </row>
    <row r="15098" spans="59:62" x14ac:dyDescent="0.3">
      <c r="BG15098" s="387"/>
      <c r="BH15098" s="386"/>
      <c r="BI15098" s="386"/>
      <c r="BJ15098" s="46"/>
    </row>
    <row r="15099" spans="59:62" x14ac:dyDescent="0.3">
      <c r="BG15099" s="387"/>
      <c r="BH15099" s="386"/>
      <c r="BI15099" s="386"/>
      <c r="BJ15099" s="46"/>
    </row>
    <row r="15100" spans="59:62" x14ac:dyDescent="0.3">
      <c r="BG15100" s="387"/>
      <c r="BH15100" s="386"/>
      <c r="BI15100" s="386"/>
      <c r="BJ15100" s="46"/>
    </row>
    <row r="15101" spans="59:62" x14ac:dyDescent="0.3">
      <c r="BG15101" s="387"/>
      <c r="BH15101" s="386"/>
      <c r="BI15101" s="386"/>
      <c r="BJ15101" s="46"/>
    </row>
    <row r="15102" spans="59:62" x14ac:dyDescent="0.3">
      <c r="BG15102" s="387"/>
      <c r="BH15102" s="386"/>
      <c r="BI15102" s="386"/>
      <c r="BJ15102" s="46"/>
    </row>
    <row r="15103" spans="59:62" x14ac:dyDescent="0.3">
      <c r="BG15103" s="387"/>
      <c r="BH15103" s="386"/>
      <c r="BI15103" s="386"/>
      <c r="BJ15103" s="46"/>
    </row>
    <row r="15104" spans="59:62" x14ac:dyDescent="0.3">
      <c r="BG15104" s="387"/>
      <c r="BH15104" s="386"/>
      <c r="BI15104" s="386"/>
      <c r="BJ15104" s="46"/>
    </row>
    <row r="15105" spans="59:62" x14ac:dyDescent="0.3">
      <c r="BG15105" s="387"/>
      <c r="BH15105" s="386"/>
      <c r="BI15105" s="386"/>
      <c r="BJ15105" s="46"/>
    </row>
    <row r="15106" spans="59:62" x14ac:dyDescent="0.3">
      <c r="BG15106" s="387"/>
      <c r="BH15106" s="386"/>
      <c r="BI15106" s="386"/>
      <c r="BJ15106" s="46"/>
    </row>
    <row r="15107" spans="59:62" x14ac:dyDescent="0.3">
      <c r="BG15107" s="387"/>
      <c r="BH15107" s="386"/>
      <c r="BI15107" s="386"/>
      <c r="BJ15107" s="46"/>
    </row>
    <row r="15108" spans="59:62" x14ac:dyDescent="0.3">
      <c r="BG15108" s="387"/>
      <c r="BH15108" s="386"/>
      <c r="BI15108" s="386"/>
      <c r="BJ15108" s="46"/>
    </row>
    <row r="15109" spans="59:62" x14ac:dyDescent="0.3">
      <c r="BG15109" s="387"/>
      <c r="BH15109" s="386"/>
      <c r="BI15109" s="386"/>
      <c r="BJ15109" s="46"/>
    </row>
    <row r="15110" spans="59:62" x14ac:dyDescent="0.3">
      <c r="BG15110" s="387"/>
      <c r="BH15110" s="386"/>
      <c r="BI15110" s="386"/>
      <c r="BJ15110" s="46"/>
    </row>
    <row r="15111" spans="59:62" x14ac:dyDescent="0.3">
      <c r="BG15111" s="387"/>
      <c r="BH15111" s="386"/>
      <c r="BI15111" s="386"/>
      <c r="BJ15111" s="46"/>
    </row>
    <row r="15112" spans="59:62" x14ac:dyDescent="0.3">
      <c r="BG15112" s="387"/>
      <c r="BH15112" s="386"/>
      <c r="BI15112" s="386"/>
      <c r="BJ15112" s="46"/>
    </row>
    <row r="15113" spans="59:62" x14ac:dyDescent="0.3">
      <c r="BG15113" s="387"/>
      <c r="BH15113" s="386"/>
      <c r="BI15113" s="386"/>
      <c r="BJ15113" s="46"/>
    </row>
    <row r="15114" spans="59:62" x14ac:dyDescent="0.3">
      <c r="BG15114" s="387"/>
      <c r="BH15114" s="386"/>
      <c r="BI15114" s="386"/>
      <c r="BJ15114" s="46"/>
    </row>
    <row r="15115" spans="59:62" x14ac:dyDescent="0.3">
      <c r="BG15115" s="387"/>
      <c r="BH15115" s="386"/>
      <c r="BI15115" s="386"/>
      <c r="BJ15115" s="46"/>
    </row>
    <row r="15116" spans="59:62" x14ac:dyDescent="0.3">
      <c r="BG15116" s="387"/>
      <c r="BH15116" s="386"/>
      <c r="BI15116" s="386"/>
      <c r="BJ15116" s="46"/>
    </row>
    <row r="15117" spans="59:62" x14ac:dyDescent="0.3">
      <c r="BG15117" s="387"/>
      <c r="BH15117" s="386"/>
      <c r="BI15117" s="386"/>
      <c r="BJ15117" s="46"/>
    </row>
    <row r="15118" spans="59:62" x14ac:dyDescent="0.3">
      <c r="BG15118" s="387"/>
      <c r="BH15118" s="386"/>
      <c r="BI15118" s="386"/>
      <c r="BJ15118" s="46"/>
    </row>
    <row r="15119" spans="59:62" x14ac:dyDescent="0.3">
      <c r="BG15119" s="387"/>
      <c r="BH15119" s="386"/>
      <c r="BI15119" s="386"/>
      <c r="BJ15119" s="46"/>
    </row>
    <row r="15120" spans="59:62" x14ac:dyDescent="0.3">
      <c r="BG15120" s="387"/>
      <c r="BH15120" s="386"/>
      <c r="BI15120" s="386"/>
      <c r="BJ15120" s="46"/>
    </row>
    <row r="15121" spans="59:62" x14ac:dyDescent="0.3">
      <c r="BG15121" s="387"/>
      <c r="BH15121" s="386"/>
      <c r="BI15121" s="386"/>
      <c r="BJ15121" s="46"/>
    </row>
    <row r="15122" spans="59:62" x14ac:dyDescent="0.3">
      <c r="BG15122" s="387"/>
      <c r="BH15122" s="386"/>
      <c r="BI15122" s="386"/>
      <c r="BJ15122" s="46"/>
    </row>
    <row r="15123" spans="59:62" x14ac:dyDescent="0.3">
      <c r="BG15123" s="387"/>
      <c r="BH15123" s="386"/>
      <c r="BI15123" s="386"/>
      <c r="BJ15123" s="46"/>
    </row>
    <row r="15124" spans="59:62" x14ac:dyDescent="0.3">
      <c r="BG15124" s="387"/>
      <c r="BH15124" s="386"/>
      <c r="BI15124" s="386"/>
      <c r="BJ15124" s="46"/>
    </row>
    <row r="15125" spans="59:62" x14ac:dyDescent="0.3">
      <c r="BG15125" s="387"/>
      <c r="BH15125" s="386"/>
      <c r="BI15125" s="386"/>
      <c r="BJ15125" s="46"/>
    </row>
    <row r="15126" spans="59:62" x14ac:dyDescent="0.3">
      <c r="BG15126" s="387"/>
      <c r="BH15126" s="386"/>
      <c r="BI15126" s="386"/>
      <c r="BJ15126" s="46"/>
    </row>
    <row r="15127" spans="59:62" x14ac:dyDescent="0.3">
      <c r="BG15127" s="387"/>
      <c r="BH15127" s="386"/>
      <c r="BI15127" s="386"/>
      <c r="BJ15127" s="46"/>
    </row>
    <row r="15128" spans="59:62" x14ac:dyDescent="0.3">
      <c r="BG15128" s="387"/>
      <c r="BH15128" s="386"/>
      <c r="BI15128" s="386"/>
      <c r="BJ15128" s="46"/>
    </row>
    <row r="15129" spans="59:62" x14ac:dyDescent="0.3">
      <c r="BG15129" s="387"/>
      <c r="BH15129" s="386"/>
      <c r="BI15129" s="386"/>
      <c r="BJ15129" s="46"/>
    </row>
    <row r="15130" spans="59:62" x14ac:dyDescent="0.3">
      <c r="BG15130" s="387"/>
      <c r="BH15130" s="386"/>
      <c r="BI15130" s="386"/>
      <c r="BJ15130" s="46"/>
    </row>
    <row r="15131" spans="59:62" x14ac:dyDescent="0.3">
      <c r="BG15131" s="387"/>
      <c r="BH15131" s="386"/>
      <c r="BI15131" s="386"/>
      <c r="BJ15131" s="46"/>
    </row>
    <row r="15132" spans="59:62" x14ac:dyDescent="0.3">
      <c r="BG15132" s="387"/>
      <c r="BH15132" s="386"/>
      <c r="BI15132" s="386"/>
      <c r="BJ15132" s="46"/>
    </row>
    <row r="15133" spans="59:62" x14ac:dyDescent="0.3">
      <c r="BG15133" s="387"/>
      <c r="BH15133" s="386"/>
      <c r="BI15133" s="386"/>
      <c r="BJ15133" s="46"/>
    </row>
    <row r="15134" spans="59:62" x14ac:dyDescent="0.3">
      <c r="BG15134" s="387"/>
      <c r="BH15134" s="386"/>
      <c r="BI15134" s="386"/>
      <c r="BJ15134" s="46"/>
    </row>
    <row r="15135" spans="59:62" x14ac:dyDescent="0.3">
      <c r="BG15135" s="387"/>
      <c r="BH15135" s="386"/>
      <c r="BI15135" s="386"/>
      <c r="BJ15135" s="46"/>
    </row>
    <row r="15136" spans="59:62" x14ac:dyDescent="0.3">
      <c r="BG15136" s="387"/>
      <c r="BH15136" s="386"/>
      <c r="BI15136" s="386"/>
      <c r="BJ15136" s="46"/>
    </row>
    <row r="15137" spans="59:62" x14ac:dyDescent="0.3">
      <c r="BG15137" s="387"/>
      <c r="BH15137" s="386"/>
      <c r="BI15137" s="386"/>
      <c r="BJ15137" s="46"/>
    </row>
    <row r="15138" spans="59:62" x14ac:dyDescent="0.3">
      <c r="BG15138" s="387"/>
      <c r="BH15138" s="386"/>
      <c r="BI15138" s="386"/>
      <c r="BJ15138" s="46"/>
    </row>
    <row r="15139" spans="59:62" x14ac:dyDescent="0.3">
      <c r="BG15139" s="387"/>
      <c r="BH15139" s="386"/>
      <c r="BI15139" s="386"/>
      <c r="BJ15139" s="46"/>
    </row>
    <row r="15140" spans="59:62" x14ac:dyDescent="0.3">
      <c r="BG15140" s="387"/>
      <c r="BH15140" s="386"/>
      <c r="BI15140" s="386"/>
      <c r="BJ15140" s="46"/>
    </row>
    <row r="15141" spans="59:62" x14ac:dyDescent="0.3">
      <c r="BG15141" s="387"/>
      <c r="BH15141" s="386"/>
      <c r="BI15141" s="386"/>
      <c r="BJ15141" s="46"/>
    </row>
    <row r="15142" spans="59:62" x14ac:dyDescent="0.3">
      <c r="BG15142" s="387"/>
      <c r="BH15142" s="386"/>
      <c r="BI15142" s="386"/>
      <c r="BJ15142" s="46"/>
    </row>
    <row r="15143" spans="59:62" x14ac:dyDescent="0.3">
      <c r="BG15143" s="387"/>
      <c r="BH15143" s="386"/>
      <c r="BI15143" s="386"/>
      <c r="BJ15143" s="46"/>
    </row>
    <row r="15144" spans="59:62" x14ac:dyDescent="0.3">
      <c r="BG15144" s="387"/>
      <c r="BH15144" s="386"/>
      <c r="BI15144" s="386"/>
      <c r="BJ15144" s="46"/>
    </row>
    <row r="15145" spans="59:62" x14ac:dyDescent="0.3">
      <c r="BG15145" s="387"/>
      <c r="BH15145" s="386"/>
      <c r="BI15145" s="386"/>
      <c r="BJ15145" s="46"/>
    </row>
    <row r="15146" spans="59:62" x14ac:dyDescent="0.3">
      <c r="BG15146" s="387"/>
      <c r="BH15146" s="386"/>
      <c r="BI15146" s="386"/>
      <c r="BJ15146" s="46"/>
    </row>
    <row r="15147" spans="59:62" x14ac:dyDescent="0.3">
      <c r="BG15147" s="387"/>
      <c r="BH15147" s="386"/>
      <c r="BI15147" s="386"/>
      <c r="BJ15147" s="46"/>
    </row>
    <row r="15148" spans="59:62" x14ac:dyDescent="0.3">
      <c r="BG15148" s="387"/>
      <c r="BH15148" s="386"/>
      <c r="BI15148" s="386"/>
      <c r="BJ15148" s="46"/>
    </row>
    <row r="15149" spans="59:62" x14ac:dyDescent="0.3">
      <c r="BG15149" s="387"/>
      <c r="BH15149" s="386"/>
      <c r="BI15149" s="386"/>
      <c r="BJ15149" s="46"/>
    </row>
    <row r="15150" spans="59:62" x14ac:dyDescent="0.3">
      <c r="BG15150" s="387"/>
      <c r="BH15150" s="386"/>
      <c r="BI15150" s="386"/>
      <c r="BJ15150" s="46"/>
    </row>
    <row r="15151" spans="59:62" x14ac:dyDescent="0.3">
      <c r="BG15151" s="387"/>
      <c r="BH15151" s="386"/>
      <c r="BI15151" s="386"/>
      <c r="BJ15151" s="46"/>
    </row>
    <row r="15152" spans="59:62" x14ac:dyDescent="0.3">
      <c r="BG15152" s="387"/>
      <c r="BH15152" s="386"/>
      <c r="BI15152" s="386"/>
      <c r="BJ15152" s="46"/>
    </row>
    <row r="15153" spans="59:62" x14ac:dyDescent="0.3">
      <c r="BG15153" s="387"/>
      <c r="BH15153" s="386"/>
      <c r="BI15153" s="386"/>
      <c r="BJ15153" s="46"/>
    </row>
    <row r="15154" spans="59:62" x14ac:dyDescent="0.3">
      <c r="BG15154" s="387"/>
      <c r="BH15154" s="386"/>
      <c r="BI15154" s="386"/>
      <c r="BJ15154" s="46"/>
    </row>
    <row r="15155" spans="59:62" x14ac:dyDescent="0.3">
      <c r="BG15155" s="387"/>
      <c r="BH15155" s="386"/>
      <c r="BI15155" s="386"/>
      <c r="BJ15155" s="46"/>
    </row>
    <row r="15156" spans="59:62" x14ac:dyDescent="0.3">
      <c r="BG15156" s="387"/>
      <c r="BH15156" s="386"/>
      <c r="BI15156" s="386"/>
      <c r="BJ15156" s="46"/>
    </row>
    <row r="15157" spans="59:62" x14ac:dyDescent="0.3">
      <c r="BG15157" s="387"/>
      <c r="BH15157" s="386"/>
      <c r="BI15157" s="386"/>
      <c r="BJ15157" s="46"/>
    </row>
    <row r="15158" spans="59:62" x14ac:dyDescent="0.3">
      <c r="BG15158" s="387"/>
      <c r="BH15158" s="386"/>
      <c r="BI15158" s="386"/>
      <c r="BJ15158" s="46"/>
    </row>
    <row r="15159" spans="59:62" x14ac:dyDescent="0.3">
      <c r="BG15159" s="387"/>
      <c r="BH15159" s="386"/>
      <c r="BI15159" s="386"/>
      <c r="BJ15159" s="46"/>
    </row>
    <row r="15160" spans="59:62" x14ac:dyDescent="0.3">
      <c r="BG15160" s="387"/>
      <c r="BH15160" s="386"/>
      <c r="BI15160" s="386"/>
      <c r="BJ15160" s="46"/>
    </row>
    <row r="15161" spans="59:62" x14ac:dyDescent="0.3">
      <c r="BG15161" s="387"/>
      <c r="BH15161" s="386"/>
      <c r="BI15161" s="386"/>
      <c r="BJ15161" s="46"/>
    </row>
    <row r="15162" spans="59:62" x14ac:dyDescent="0.3">
      <c r="BG15162" s="387"/>
      <c r="BH15162" s="386"/>
      <c r="BI15162" s="386"/>
      <c r="BJ15162" s="46"/>
    </row>
    <row r="15163" spans="59:62" x14ac:dyDescent="0.3">
      <c r="BG15163" s="387"/>
      <c r="BH15163" s="386"/>
      <c r="BI15163" s="386"/>
      <c r="BJ15163" s="46"/>
    </row>
    <row r="15164" spans="59:62" x14ac:dyDescent="0.3">
      <c r="BG15164" s="387"/>
      <c r="BH15164" s="386"/>
      <c r="BI15164" s="386"/>
      <c r="BJ15164" s="46"/>
    </row>
    <row r="15165" spans="59:62" x14ac:dyDescent="0.3">
      <c r="BG15165" s="387"/>
      <c r="BH15165" s="386"/>
      <c r="BI15165" s="386"/>
      <c r="BJ15165" s="46"/>
    </row>
    <row r="15166" spans="59:62" x14ac:dyDescent="0.3">
      <c r="BG15166" s="387"/>
      <c r="BH15166" s="386"/>
      <c r="BI15166" s="386"/>
      <c r="BJ15166" s="46"/>
    </row>
    <row r="15167" spans="59:62" x14ac:dyDescent="0.3">
      <c r="BG15167" s="387"/>
      <c r="BH15167" s="386"/>
      <c r="BI15167" s="386"/>
      <c r="BJ15167" s="46"/>
    </row>
    <row r="15168" spans="59:62" x14ac:dyDescent="0.3">
      <c r="BG15168" s="387"/>
      <c r="BH15168" s="386"/>
      <c r="BI15168" s="386"/>
      <c r="BJ15168" s="46"/>
    </row>
    <row r="15169" spans="59:62" x14ac:dyDescent="0.3">
      <c r="BG15169" s="387"/>
      <c r="BH15169" s="386"/>
      <c r="BI15169" s="386"/>
      <c r="BJ15169" s="46"/>
    </row>
    <row r="15170" spans="59:62" x14ac:dyDescent="0.3">
      <c r="BG15170" s="387"/>
      <c r="BH15170" s="386"/>
      <c r="BI15170" s="386"/>
      <c r="BJ15170" s="46"/>
    </row>
    <row r="15171" spans="59:62" x14ac:dyDescent="0.3">
      <c r="BG15171" s="387"/>
      <c r="BH15171" s="386"/>
      <c r="BI15171" s="386"/>
      <c r="BJ15171" s="46"/>
    </row>
    <row r="15172" spans="59:62" x14ac:dyDescent="0.3">
      <c r="BG15172" s="387"/>
      <c r="BH15172" s="386"/>
      <c r="BI15172" s="386"/>
      <c r="BJ15172" s="46"/>
    </row>
    <row r="15173" spans="59:62" x14ac:dyDescent="0.3">
      <c r="BG15173" s="387"/>
      <c r="BH15173" s="386"/>
      <c r="BI15173" s="386"/>
      <c r="BJ15173" s="46"/>
    </row>
    <row r="15174" spans="59:62" x14ac:dyDescent="0.3">
      <c r="BG15174" s="387"/>
      <c r="BH15174" s="386"/>
      <c r="BI15174" s="386"/>
      <c r="BJ15174" s="46"/>
    </row>
    <row r="15175" spans="59:62" x14ac:dyDescent="0.3">
      <c r="BG15175" s="387"/>
      <c r="BH15175" s="386"/>
      <c r="BI15175" s="386"/>
      <c r="BJ15175" s="46"/>
    </row>
    <row r="15176" spans="59:62" x14ac:dyDescent="0.3">
      <c r="BG15176" s="387"/>
      <c r="BH15176" s="386"/>
      <c r="BI15176" s="386"/>
      <c r="BJ15176" s="46"/>
    </row>
    <row r="15177" spans="59:62" x14ac:dyDescent="0.3">
      <c r="BG15177" s="387"/>
      <c r="BH15177" s="386"/>
      <c r="BI15177" s="386"/>
      <c r="BJ15177" s="46"/>
    </row>
    <row r="15178" spans="59:62" x14ac:dyDescent="0.3">
      <c r="BG15178" s="387"/>
      <c r="BH15178" s="386"/>
      <c r="BI15178" s="386"/>
      <c r="BJ15178" s="46"/>
    </row>
    <row r="15179" spans="59:62" x14ac:dyDescent="0.3">
      <c r="BG15179" s="387"/>
      <c r="BH15179" s="386"/>
      <c r="BI15179" s="386"/>
      <c r="BJ15179" s="46"/>
    </row>
    <row r="15180" spans="59:62" x14ac:dyDescent="0.3">
      <c r="BG15180" s="387"/>
      <c r="BH15180" s="386"/>
      <c r="BI15180" s="386"/>
      <c r="BJ15180" s="46"/>
    </row>
    <row r="15181" spans="59:62" x14ac:dyDescent="0.3">
      <c r="BG15181" s="387"/>
      <c r="BH15181" s="386"/>
      <c r="BI15181" s="386"/>
      <c r="BJ15181" s="46"/>
    </row>
    <row r="15182" spans="59:62" x14ac:dyDescent="0.3">
      <c r="BG15182" s="387"/>
      <c r="BH15182" s="386"/>
      <c r="BI15182" s="386"/>
      <c r="BJ15182" s="46"/>
    </row>
    <row r="15183" spans="59:62" x14ac:dyDescent="0.3">
      <c r="BG15183" s="387"/>
      <c r="BH15183" s="386"/>
      <c r="BI15183" s="386"/>
      <c r="BJ15183" s="46"/>
    </row>
    <row r="15184" spans="59:62" x14ac:dyDescent="0.3">
      <c r="BG15184" s="387"/>
      <c r="BH15184" s="386"/>
      <c r="BI15184" s="386"/>
      <c r="BJ15184" s="46"/>
    </row>
    <row r="15185" spans="59:62" x14ac:dyDescent="0.3">
      <c r="BG15185" s="387"/>
      <c r="BH15185" s="386"/>
      <c r="BI15185" s="386"/>
      <c r="BJ15185" s="46"/>
    </row>
    <row r="15186" spans="59:62" x14ac:dyDescent="0.3">
      <c r="BG15186" s="387"/>
      <c r="BH15186" s="386"/>
      <c r="BI15186" s="386"/>
      <c r="BJ15186" s="46"/>
    </row>
    <row r="15187" spans="59:62" x14ac:dyDescent="0.3">
      <c r="BG15187" s="387"/>
      <c r="BH15187" s="386"/>
      <c r="BI15187" s="386"/>
      <c r="BJ15187" s="46"/>
    </row>
    <row r="15188" spans="59:62" x14ac:dyDescent="0.3">
      <c r="BG15188" s="387"/>
      <c r="BH15188" s="386"/>
      <c r="BI15188" s="386"/>
      <c r="BJ15188" s="46"/>
    </row>
    <row r="15189" spans="59:62" x14ac:dyDescent="0.3">
      <c r="BG15189" s="387"/>
      <c r="BH15189" s="386"/>
      <c r="BI15189" s="386"/>
      <c r="BJ15189" s="46"/>
    </row>
    <row r="15190" spans="59:62" x14ac:dyDescent="0.3">
      <c r="BG15190" s="387"/>
      <c r="BH15190" s="386"/>
      <c r="BI15190" s="386"/>
      <c r="BJ15190" s="46"/>
    </row>
    <row r="15191" spans="59:62" x14ac:dyDescent="0.3">
      <c r="BG15191" s="387"/>
      <c r="BH15191" s="386"/>
      <c r="BI15191" s="386"/>
      <c r="BJ15191" s="46"/>
    </row>
    <row r="15192" spans="59:62" x14ac:dyDescent="0.3">
      <c r="BG15192" s="387"/>
      <c r="BH15192" s="386"/>
      <c r="BI15192" s="386"/>
      <c r="BJ15192" s="46"/>
    </row>
    <row r="15193" spans="59:62" x14ac:dyDescent="0.3">
      <c r="BG15193" s="387"/>
      <c r="BH15193" s="386"/>
      <c r="BI15193" s="386"/>
      <c r="BJ15193" s="46"/>
    </row>
    <row r="15194" spans="59:62" x14ac:dyDescent="0.3">
      <c r="BG15194" s="387"/>
      <c r="BH15194" s="386"/>
      <c r="BI15194" s="386"/>
      <c r="BJ15194" s="46"/>
    </row>
    <row r="15195" spans="59:62" x14ac:dyDescent="0.3">
      <c r="BG15195" s="387"/>
      <c r="BH15195" s="386"/>
      <c r="BI15195" s="386"/>
      <c r="BJ15195" s="46"/>
    </row>
    <row r="15196" spans="59:62" x14ac:dyDescent="0.3">
      <c r="BG15196" s="387"/>
      <c r="BH15196" s="386"/>
      <c r="BI15196" s="386"/>
      <c r="BJ15196" s="46"/>
    </row>
    <row r="15197" spans="59:62" x14ac:dyDescent="0.3">
      <c r="BG15197" s="387"/>
      <c r="BH15197" s="386"/>
      <c r="BI15197" s="386"/>
      <c r="BJ15197" s="46"/>
    </row>
    <row r="15198" spans="59:62" x14ac:dyDescent="0.3">
      <c r="BG15198" s="387"/>
      <c r="BH15198" s="386"/>
      <c r="BI15198" s="386"/>
      <c r="BJ15198" s="46"/>
    </row>
    <row r="15199" spans="59:62" x14ac:dyDescent="0.3">
      <c r="BG15199" s="387"/>
      <c r="BH15199" s="386"/>
      <c r="BI15199" s="386"/>
      <c r="BJ15199" s="46"/>
    </row>
    <row r="15200" spans="59:62" x14ac:dyDescent="0.3">
      <c r="BG15200" s="387"/>
      <c r="BH15200" s="386"/>
      <c r="BI15200" s="386"/>
      <c r="BJ15200" s="46"/>
    </row>
    <row r="15201" spans="59:62" x14ac:dyDescent="0.3">
      <c r="BG15201" s="387"/>
      <c r="BH15201" s="386"/>
      <c r="BI15201" s="386"/>
      <c r="BJ15201" s="46"/>
    </row>
    <row r="15202" spans="59:62" x14ac:dyDescent="0.3">
      <c r="BG15202" s="387"/>
      <c r="BH15202" s="386"/>
      <c r="BI15202" s="386"/>
      <c r="BJ15202" s="46"/>
    </row>
    <row r="15203" spans="59:62" x14ac:dyDescent="0.3">
      <c r="BG15203" s="387"/>
      <c r="BH15203" s="386"/>
      <c r="BI15203" s="386"/>
      <c r="BJ15203" s="46"/>
    </row>
    <row r="15204" spans="59:62" x14ac:dyDescent="0.3">
      <c r="BG15204" s="387"/>
      <c r="BH15204" s="386"/>
      <c r="BI15204" s="386"/>
      <c r="BJ15204" s="46"/>
    </row>
    <row r="15205" spans="59:62" x14ac:dyDescent="0.3">
      <c r="BG15205" s="387"/>
      <c r="BH15205" s="386"/>
      <c r="BI15205" s="386"/>
      <c r="BJ15205" s="46"/>
    </row>
    <row r="15206" spans="59:62" x14ac:dyDescent="0.3">
      <c r="BG15206" s="387"/>
      <c r="BH15206" s="386"/>
      <c r="BI15206" s="386"/>
      <c r="BJ15206" s="46"/>
    </row>
    <row r="15207" spans="59:62" x14ac:dyDescent="0.3">
      <c r="BG15207" s="387"/>
      <c r="BH15207" s="386"/>
      <c r="BI15207" s="386"/>
      <c r="BJ15207" s="46"/>
    </row>
    <row r="15208" spans="59:62" x14ac:dyDescent="0.3">
      <c r="BG15208" s="387"/>
      <c r="BH15208" s="386"/>
      <c r="BI15208" s="386"/>
      <c r="BJ15208" s="46"/>
    </row>
    <row r="15209" spans="59:62" x14ac:dyDescent="0.3">
      <c r="BG15209" s="387"/>
      <c r="BH15209" s="386"/>
      <c r="BI15209" s="386"/>
      <c r="BJ15209" s="46"/>
    </row>
    <row r="15210" spans="59:62" x14ac:dyDescent="0.3">
      <c r="BG15210" s="387"/>
      <c r="BH15210" s="386"/>
      <c r="BI15210" s="386"/>
      <c r="BJ15210" s="46"/>
    </row>
    <row r="15211" spans="59:62" x14ac:dyDescent="0.3">
      <c r="BG15211" s="387"/>
      <c r="BH15211" s="386"/>
      <c r="BI15211" s="386"/>
      <c r="BJ15211" s="46"/>
    </row>
    <row r="15212" spans="59:62" x14ac:dyDescent="0.3">
      <c r="BG15212" s="387"/>
      <c r="BH15212" s="386"/>
      <c r="BI15212" s="386"/>
      <c r="BJ15212" s="46"/>
    </row>
    <row r="15213" spans="59:62" x14ac:dyDescent="0.3">
      <c r="BG15213" s="387"/>
      <c r="BH15213" s="386"/>
      <c r="BI15213" s="386"/>
      <c r="BJ15213" s="46"/>
    </row>
    <row r="15214" spans="59:62" x14ac:dyDescent="0.3">
      <c r="BG15214" s="387"/>
      <c r="BH15214" s="386"/>
      <c r="BI15214" s="386"/>
      <c r="BJ15214" s="46"/>
    </row>
    <row r="15215" spans="59:62" x14ac:dyDescent="0.3">
      <c r="BG15215" s="387"/>
      <c r="BH15215" s="386"/>
      <c r="BI15215" s="386"/>
      <c r="BJ15215" s="46"/>
    </row>
    <row r="15216" spans="59:62" x14ac:dyDescent="0.3">
      <c r="BG15216" s="387"/>
      <c r="BH15216" s="386"/>
      <c r="BI15216" s="386"/>
      <c r="BJ15216" s="46"/>
    </row>
    <row r="15217" spans="59:62" x14ac:dyDescent="0.3">
      <c r="BG15217" s="387"/>
      <c r="BH15217" s="386"/>
      <c r="BI15217" s="386"/>
      <c r="BJ15217" s="46"/>
    </row>
    <row r="15218" spans="59:62" x14ac:dyDescent="0.3">
      <c r="BG15218" s="387"/>
      <c r="BH15218" s="386"/>
      <c r="BI15218" s="386"/>
      <c r="BJ15218" s="46"/>
    </row>
    <row r="15219" spans="59:62" x14ac:dyDescent="0.3">
      <c r="BG15219" s="387"/>
      <c r="BH15219" s="386"/>
      <c r="BI15219" s="386"/>
      <c r="BJ15219" s="46"/>
    </row>
    <row r="15220" spans="59:62" x14ac:dyDescent="0.3">
      <c r="BG15220" s="387"/>
      <c r="BH15220" s="386"/>
      <c r="BI15220" s="386"/>
      <c r="BJ15220" s="46"/>
    </row>
    <row r="15221" spans="59:62" x14ac:dyDescent="0.3">
      <c r="BG15221" s="387"/>
      <c r="BH15221" s="386"/>
      <c r="BI15221" s="386"/>
      <c r="BJ15221" s="46"/>
    </row>
    <row r="15222" spans="59:62" x14ac:dyDescent="0.3">
      <c r="BG15222" s="387"/>
      <c r="BH15222" s="386"/>
      <c r="BI15222" s="386"/>
      <c r="BJ15222" s="46"/>
    </row>
    <row r="15223" spans="59:62" x14ac:dyDescent="0.3">
      <c r="BG15223" s="387"/>
      <c r="BH15223" s="386"/>
      <c r="BI15223" s="386"/>
      <c r="BJ15223" s="46"/>
    </row>
    <row r="15224" spans="59:62" x14ac:dyDescent="0.3">
      <c r="BG15224" s="387"/>
      <c r="BH15224" s="386"/>
      <c r="BI15224" s="386"/>
      <c r="BJ15224" s="46"/>
    </row>
    <row r="15225" spans="59:62" x14ac:dyDescent="0.3">
      <c r="BG15225" s="387"/>
      <c r="BH15225" s="386"/>
      <c r="BI15225" s="386"/>
      <c r="BJ15225" s="46"/>
    </row>
    <row r="15226" spans="59:62" x14ac:dyDescent="0.3">
      <c r="BG15226" s="387"/>
      <c r="BH15226" s="386"/>
      <c r="BI15226" s="386"/>
      <c r="BJ15226" s="46"/>
    </row>
    <row r="15227" spans="59:62" x14ac:dyDescent="0.3">
      <c r="BG15227" s="387"/>
      <c r="BH15227" s="386"/>
      <c r="BI15227" s="386"/>
      <c r="BJ15227" s="46"/>
    </row>
    <row r="15228" spans="59:62" x14ac:dyDescent="0.3">
      <c r="BG15228" s="387"/>
      <c r="BH15228" s="386"/>
      <c r="BI15228" s="386"/>
      <c r="BJ15228" s="46"/>
    </row>
    <row r="15229" spans="59:62" x14ac:dyDescent="0.3">
      <c r="BG15229" s="387"/>
      <c r="BH15229" s="386"/>
      <c r="BI15229" s="386"/>
      <c r="BJ15229" s="46"/>
    </row>
    <row r="15230" spans="59:62" x14ac:dyDescent="0.3">
      <c r="BG15230" s="387"/>
      <c r="BH15230" s="386"/>
      <c r="BI15230" s="386"/>
      <c r="BJ15230" s="46"/>
    </row>
    <row r="15231" spans="59:62" x14ac:dyDescent="0.3">
      <c r="BG15231" s="387"/>
      <c r="BH15231" s="386"/>
      <c r="BI15231" s="386"/>
      <c r="BJ15231" s="46"/>
    </row>
    <row r="15232" spans="59:62" x14ac:dyDescent="0.3">
      <c r="BG15232" s="387"/>
      <c r="BH15232" s="386"/>
      <c r="BI15232" s="386"/>
      <c r="BJ15232" s="46"/>
    </row>
    <row r="15233" spans="59:62" x14ac:dyDescent="0.3">
      <c r="BG15233" s="387"/>
      <c r="BH15233" s="386"/>
      <c r="BI15233" s="386"/>
      <c r="BJ15233" s="46"/>
    </row>
    <row r="15234" spans="59:62" x14ac:dyDescent="0.3">
      <c r="BG15234" s="387"/>
      <c r="BH15234" s="386"/>
      <c r="BI15234" s="386"/>
      <c r="BJ15234" s="46"/>
    </row>
    <row r="15235" spans="59:62" x14ac:dyDescent="0.3">
      <c r="BG15235" s="387"/>
      <c r="BH15235" s="386"/>
      <c r="BI15235" s="386"/>
      <c r="BJ15235" s="46"/>
    </row>
    <row r="15236" spans="59:62" x14ac:dyDescent="0.3">
      <c r="BG15236" s="387"/>
      <c r="BH15236" s="386"/>
      <c r="BI15236" s="386"/>
      <c r="BJ15236" s="46"/>
    </row>
    <row r="15237" spans="59:62" x14ac:dyDescent="0.3">
      <c r="BG15237" s="387"/>
      <c r="BH15237" s="386"/>
      <c r="BI15237" s="386"/>
      <c r="BJ15237" s="46"/>
    </row>
    <row r="15238" spans="59:62" x14ac:dyDescent="0.3">
      <c r="BG15238" s="387"/>
      <c r="BH15238" s="386"/>
      <c r="BI15238" s="386"/>
      <c r="BJ15238" s="46"/>
    </row>
    <row r="15239" spans="59:62" x14ac:dyDescent="0.3">
      <c r="BG15239" s="387"/>
      <c r="BH15239" s="386"/>
      <c r="BI15239" s="386"/>
      <c r="BJ15239" s="46"/>
    </row>
    <row r="15240" spans="59:62" x14ac:dyDescent="0.3">
      <c r="BG15240" s="387"/>
      <c r="BH15240" s="386"/>
      <c r="BI15240" s="386"/>
      <c r="BJ15240" s="46"/>
    </row>
    <row r="15241" spans="59:62" x14ac:dyDescent="0.3">
      <c r="BG15241" s="387"/>
      <c r="BH15241" s="386"/>
      <c r="BI15241" s="386"/>
      <c r="BJ15241" s="46"/>
    </row>
    <row r="15242" spans="59:62" x14ac:dyDescent="0.3">
      <c r="BG15242" s="387"/>
      <c r="BH15242" s="386"/>
      <c r="BI15242" s="386"/>
      <c r="BJ15242" s="46"/>
    </row>
    <row r="15243" spans="59:62" x14ac:dyDescent="0.3">
      <c r="BG15243" s="387"/>
      <c r="BH15243" s="386"/>
      <c r="BI15243" s="386"/>
      <c r="BJ15243" s="46"/>
    </row>
    <row r="15244" spans="59:62" x14ac:dyDescent="0.3">
      <c r="BG15244" s="387"/>
      <c r="BH15244" s="386"/>
      <c r="BI15244" s="386"/>
      <c r="BJ15244" s="46"/>
    </row>
    <row r="15245" spans="59:62" x14ac:dyDescent="0.3">
      <c r="BG15245" s="387"/>
      <c r="BH15245" s="386"/>
      <c r="BI15245" s="386"/>
      <c r="BJ15245" s="46"/>
    </row>
    <row r="15246" spans="59:62" x14ac:dyDescent="0.3">
      <c r="BG15246" s="387"/>
      <c r="BH15246" s="386"/>
      <c r="BI15246" s="386"/>
      <c r="BJ15246" s="46"/>
    </row>
    <row r="15247" spans="59:62" x14ac:dyDescent="0.3">
      <c r="BG15247" s="387"/>
      <c r="BH15247" s="386"/>
      <c r="BI15247" s="386"/>
      <c r="BJ15247" s="46"/>
    </row>
    <row r="15248" spans="59:62" x14ac:dyDescent="0.3">
      <c r="BG15248" s="387"/>
      <c r="BH15248" s="386"/>
      <c r="BI15248" s="386"/>
      <c r="BJ15248" s="46"/>
    </row>
    <row r="15249" spans="59:62" x14ac:dyDescent="0.3">
      <c r="BG15249" s="387"/>
      <c r="BH15249" s="386"/>
      <c r="BI15249" s="386"/>
      <c r="BJ15249" s="46"/>
    </row>
    <row r="15250" spans="59:62" x14ac:dyDescent="0.3">
      <c r="BG15250" s="387"/>
      <c r="BH15250" s="386"/>
      <c r="BI15250" s="386"/>
      <c r="BJ15250" s="46"/>
    </row>
    <row r="15251" spans="59:62" x14ac:dyDescent="0.3">
      <c r="BG15251" s="387"/>
      <c r="BH15251" s="386"/>
      <c r="BI15251" s="386"/>
      <c r="BJ15251" s="46"/>
    </row>
    <row r="15252" spans="59:62" x14ac:dyDescent="0.3">
      <c r="BG15252" s="387"/>
      <c r="BH15252" s="386"/>
      <c r="BI15252" s="386"/>
      <c r="BJ15252" s="46"/>
    </row>
    <row r="15253" spans="59:62" x14ac:dyDescent="0.3">
      <c r="BG15253" s="387"/>
      <c r="BH15253" s="386"/>
      <c r="BI15253" s="386"/>
      <c r="BJ15253" s="46"/>
    </row>
    <row r="15254" spans="59:62" x14ac:dyDescent="0.3">
      <c r="BG15254" s="387"/>
      <c r="BH15254" s="386"/>
      <c r="BI15254" s="386"/>
      <c r="BJ15254" s="46"/>
    </row>
    <row r="15255" spans="59:62" x14ac:dyDescent="0.3">
      <c r="BG15255" s="387"/>
      <c r="BH15255" s="386"/>
      <c r="BI15255" s="386"/>
      <c r="BJ15255" s="46"/>
    </row>
    <row r="15256" spans="59:62" x14ac:dyDescent="0.3">
      <c r="BG15256" s="387"/>
      <c r="BH15256" s="386"/>
      <c r="BI15256" s="386"/>
      <c r="BJ15256" s="46"/>
    </row>
    <row r="15257" spans="59:62" x14ac:dyDescent="0.3">
      <c r="BG15257" s="387"/>
      <c r="BH15257" s="386"/>
      <c r="BI15257" s="386"/>
      <c r="BJ15257" s="46"/>
    </row>
    <row r="15258" spans="59:62" x14ac:dyDescent="0.3">
      <c r="BG15258" s="387"/>
      <c r="BH15258" s="386"/>
      <c r="BI15258" s="386"/>
      <c r="BJ15258" s="46"/>
    </row>
    <row r="15259" spans="59:62" x14ac:dyDescent="0.3">
      <c r="BG15259" s="387"/>
      <c r="BH15259" s="386"/>
      <c r="BI15259" s="386"/>
      <c r="BJ15259" s="46"/>
    </row>
    <row r="15260" spans="59:62" x14ac:dyDescent="0.3">
      <c r="BG15260" s="387"/>
      <c r="BH15260" s="386"/>
      <c r="BI15260" s="386"/>
      <c r="BJ15260" s="46"/>
    </row>
    <row r="15261" spans="59:62" x14ac:dyDescent="0.3">
      <c r="BG15261" s="387"/>
      <c r="BH15261" s="386"/>
      <c r="BI15261" s="386"/>
      <c r="BJ15261" s="46"/>
    </row>
    <row r="15262" spans="59:62" x14ac:dyDescent="0.3">
      <c r="BG15262" s="387"/>
      <c r="BH15262" s="386"/>
      <c r="BI15262" s="386"/>
      <c r="BJ15262" s="46"/>
    </row>
    <row r="15263" spans="59:62" x14ac:dyDescent="0.3">
      <c r="BG15263" s="387"/>
      <c r="BH15263" s="386"/>
      <c r="BI15263" s="386"/>
      <c r="BJ15263" s="46"/>
    </row>
    <row r="15264" spans="59:62" x14ac:dyDescent="0.3">
      <c r="BG15264" s="387"/>
      <c r="BH15264" s="386"/>
      <c r="BI15264" s="386"/>
      <c r="BJ15264" s="46"/>
    </row>
    <row r="15265" spans="59:62" x14ac:dyDescent="0.3">
      <c r="BG15265" s="387"/>
      <c r="BH15265" s="386"/>
      <c r="BI15265" s="386"/>
      <c r="BJ15265" s="46"/>
    </row>
    <row r="15266" spans="59:62" x14ac:dyDescent="0.3">
      <c r="BG15266" s="387"/>
      <c r="BH15266" s="386"/>
      <c r="BI15266" s="386"/>
      <c r="BJ15266" s="46"/>
    </row>
    <row r="15267" spans="59:62" x14ac:dyDescent="0.3">
      <c r="BG15267" s="387"/>
      <c r="BH15267" s="386"/>
      <c r="BI15267" s="386"/>
      <c r="BJ15267" s="46"/>
    </row>
    <row r="15268" spans="59:62" x14ac:dyDescent="0.3">
      <c r="BG15268" s="387"/>
      <c r="BH15268" s="386"/>
      <c r="BI15268" s="386"/>
      <c r="BJ15268" s="46"/>
    </row>
    <row r="15269" spans="59:62" x14ac:dyDescent="0.3">
      <c r="BG15269" s="387"/>
      <c r="BH15269" s="386"/>
      <c r="BI15269" s="386"/>
      <c r="BJ15269" s="46"/>
    </row>
    <row r="15270" spans="59:62" x14ac:dyDescent="0.3">
      <c r="BG15270" s="387"/>
      <c r="BH15270" s="386"/>
      <c r="BI15270" s="386"/>
      <c r="BJ15270" s="46"/>
    </row>
    <row r="15271" spans="59:62" x14ac:dyDescent="0.3">
      <c r="BG15271" s="387"/>
      <c r="BH15271" s="386"/>
      <c r="BI15271" s="386"/>
      <c r="BJ15271" s="46"/>
    </row>
    <row r="15272" spans="59:62" x14ac:dyDescent="0.3">
      <c r="BG15272" s="387"/>
      <c r="BH15272" s="386"/>
      <c r="BI15272" s="386"/>
      <c r="BJ15272" s="46"/>
    </row>
    <row r="15273" spans="59:62" x14ac:dyDescent="0.3">
      <c r="BG15273" s="387"/>
      <c r="BH15273" s="386"/>
      <c r="BI15273" s="386"/>
      <c r="BJ15273" s="46"/>
    </row>
    <row r="15274" spans="59:62" x14ac:dyDescent="0.3">
      <c r="BG15274" s="387"/>
      <c r="BH15274" s="386"/>
      <c r="BI15274" s="386"/>
      <c r="BJ15274" s="46"/>
    </row>
    <row r="15275" spans="59:62" x14ac:dyDescent="0.3">
      <c r="BG15275" s="387"/>
      <c r="BH15275" s="386"/>
      <c r="BI15275" s="386"/>
      <c r="BJ15275" s="46"/>
    </row>
    <row r="15276" spans="59:62" x14ac:dyDescent="0.3">
      <c r="BG15276" s="387"/>
      <c r="BH15276" s="386"/>
      <c r="BI15276" s="386"/>
      <c r="BJ15276" s="46"/>
    </row>
    <row r="15277" spans="59:62" x14ac:dyDescent="0.3">
      <c r="BG15277" s="387"/>
      <c r="BH15277" s="386"/>
      <c r="BI15277" s="386"/>
      <c r="BJ15277" s="46"/>
    </row>
    <row r="15278" spans="59:62" x14ac:dyDescent="0.3">
      <c r="BG15278" s="387"/>
      <c r="BH15278" s="386"/>
      <c r="BI15278" s="386"/>
      <c r="BJ15278" s="46"/>
    </row>
    <row r="15279" spans="59:62" x14ac:dyDescent="0.3">
      <c r="BG15279" s="387"/>
      <c r="BH15279" s="386"/>
      <c r="BI15279" s="386"/>
      <c r="BJ15279" s="46"/>
    </row>
    <row r="15280" spans="59:62" x14ac:dyDescent="0.3">
      <c r="BG15280" s="387"/>
      <c r="BH15280" s="386"/>
      <c r="BI15280" s="386"/>
      <c r="BJ15280" s="46"/>
    </row>
    <row r="15281" spans="59:62" x14ac:dyDescent="0.3">
      <c r="BG15281" s="387"/>
      <c r="BH15281" s="386"/>
      <c r="BI15281" s="386"/>
      <c r="BJ15281" s="46"/>
    </row>
    <row r="15282" spans="59:62" x14ac:dyDescent="0.3">
      <c r="BG15282" s="387"/>
      <c r="BH15282" s="386"/>
      <c r="BI15282" s="386"/>
      <c r="BJ15282" s="46"/>
    </row>
    <row r="15283" spans="59:62" x14ac:dyDescent="0.3">
      <c r="BG15283" s="387"/>
      <c r="BH15283" s="386"/>
      <c r="BI15283" s="386"/>
      <c r="BJ15283" s="46"/>
    </row>
    <row r="15284" spans="59:62" x14ac:dyDescent="0.3">
      <c r="BG15284" s="387"/>
      <c r="BH15284" s="386"/>
      <c r="BI15284" s="386"/>
      <c r="BJ15284" s="46"/>
    </row>
    <row r="15285" spans="59:62" x14ac:dyDescent="0.3">
      <c r="BG15285" s="387"/>
      <c r="BH15285" s="386"/>
      <c r="BI15285" s="386"/>
      <c r="BJ15285" s="46"/>
    </row>
    <row r="15286" spans="59:62" x14ac:dyDescent="0.3">
      <c r="BG15286" s="387"/>
      <c r="BH15286" s="386"/>
      <c r="BI15286" s="386"/>
      <c r="BJ15286" s="46"/>
    </row>
    <row r="15287" spans="59:62" x14ac:dyDescent="0.3">
      <c r="BG15287" s="387"/>
      <c r="BH15287" s="386"/>
      <c r="BI15287" s="386"/>
      <c r="BJ15287" s="46"/>
    </row>
    <row r="15288" spans="59:62" x14ac:dyDescent="0.3">
      <c r="BG15288" s="387"/>
      <c r="BH15288" s="386"/>
      <c r="BI15288" s="386"/>
      <c r="BJ15288" s="46"/>
    </row>
    <row r="15289" spans="59:62" x14ac:dyDescent="0.3">
      <c r="BG15289" s="387"/>
      <c r="BH15289" s="386"/>
      <c r="BI15289" s="386"/>
      <c r="BJ15289" s="46"/>
    </row>
    <row r="15290" spans="59:62" x14ac:dyDescent="0.3">
      <c r="BG15290" s="387"/>
      <c r="BH15290" s="386"/>
      <c r="BI15290" s="386"/>
      <c r="BJ15290" s="46"/>
    </row>
    <row r="15291" spans="59:62" x14ac:dyDescent="0.3">
      <c r="BG15291" s="387"/>
      <c r="BH15291" s="386"/>
      <c r="BI15291" s="386"/>
      <c r="BJ15291" s="46"/>
    </row>
    <row r="15292" spans="59:62" x14ac:dyDescent="0.3">
      <c r="BG15292" s="387"/>
      <c r="BH15292" s="386"/>
      <c r="BI15292" s="386"/>
      <c r="BJ15292" s="46"/>
    </row>
    <row r="15293" spans="59:62" x14ac:dyDescent="0.3">
      <c r="BG15293" s="387"/>
      <c r="BH15293" s="386"/>
      <c r="BI15293" s="386"/>
      <c r="BJ15293" s="46"/>
    </row>
    <row r="15294" spans="59:62" x14ac:dyDescent="0.3">
      <c r="BG15294" s="387"/>
      <c r="BH15294" s="386"/>
      <c r="BI15294" s="386"/>
      <c r="BJ15294" s="46"/>
    </row>
    <row r="15295" spans="59:62" x14ac:dyDescent="0.3">
      <c r="BG15295" s="387"/>
      <c r="BH15295" s="386"/>
      <c r="BI15295" s="386"/>
      <c r="BJ15295" s="46"/>
    </row>
    <row r="15296" spans="59:62" x14ac:dyDescent="0.3">
      <c r="BG15296" s="387"/>
      <c r="BH15296" s="386"/>
      <c r="BI15296" s="386"/>
      <c r="BJ15296" s="46"/>
    </row>
    <row r="15297" spans="59:62" x14ac:dyDescent="0.3">
      <c r="BG15297" s="387"/>
      <c r="BH15297" s="386"/>
      <c r="BI15297" s="386"/>
      <c r="BJ15297" s="46"/>
    </row>
    <row r="15298" spans="59:62" x14ac:dyDescent="0.3">
      <c r="BG15298" s="387"/>
      <c r="BH15298" s="386"/>
      <c r="BI15298" s="386"/>
      <c r="BJ15298" s="46"/>
    </row>
    <row r="15299" spans="59:62" x14ac:dyDescent="0.3">
      <c r="BG15299" s="387"/>
      <c r="BH15299" s="386"/>
      <c r="BI15299" s="386"/>
      <c r="BJ15299" s="46"/>
    </row>
    <row r="15300" spans="59:62" x14ac:dyDescent="0.3">
      <c r="BG15300" s="387"/>
      <c r="BH15300" s="386"/>
      <c r="BI15300" s="386"/>
      <c r="BJ15300" s="46"/>
    </row>
    <row r="15301" spans="59:62" x14ac:dyDescent="0.3">
      <c r="BG15301" s="387"/>
      <c r="BH15301" s="386"/>
      <c r="BI15301" s="386"/>
      <c r="BJ15301" s="46"/>
    </row>
    <row r="15302" spans="59:62" x14ac:dyDescent="0.3">
      <c r="BG15302" s="387"/>
      <c r="BH15302" s="386"/>
      <c r="BI15302" s="386"/>
      <c r="BJ15302" s="46"/>
    </row>
    <row r="15303" spans="59:62" x14ac:dyDescent="0.3">
      <c r="BG15303" s="387"/>
      <c r="BH15303" s="386"/>
      <c r="BI15303" s="386"/>
      <c r="BJ15303" s="46"/>
    </row>
    <row r="15304" spans="59:62" x14ac:dyDescent="0.3">
      <c r="BG15304" s="387"/>
      <c r="BH15304" s="386"/>
      <c r="BI15304" s="386"/>
      <c r="BJ15304" s="46"/>
    </row>
    <row r="15305" spans="59:62" x14ac:dyDescent="0.3">
      <c r="BG15305" s="387"/>
      <c r="BH15305" s="386"/>
      <c r="BI15305" s="386"/>
      <c r="BJ15305" s="46"/>
    </row>
    <row r="15306" spans="59:62" x14ac:dyDescent="0.3">
      <c r="BG15306" s="387"/>
      <c r="BH15306" s="386"/>
      <c r="BI15306" s="386"/>
      <c r="BJ15306" s="46"/>
    </row>
    <row r="15307" spans="59:62" x14ac:dyDescent="0.3">
      <c r="BG15307" s="387"/>
      <c r="BH15307" s="386"/>
      <c r="BI15307" s="386"/>
      <c r="BJ15307" s="46"/>
    </row>
    <row r="15308" spans="59:62" x14ac:dyDescent="0.3">
      <c r="BG15308" s="387"/>
      <c r="BH15308" s="386"/>
      <c r="BI15308" s="386"/>
      <c r="BJ15308" s="46"/>
    </row>
    <row r="15309" spans="59:62" x14ac:dyDescent="0.3">
      <c r="BG15309" s="387"/>
      <c r="BH15309" s="386"/>
      <c r="BI15309" s="386"/>
      <c r="BJ15309" s="46"/>
    </row>
    <row r="15310" spans="59:62" x14ac:dyDescent="0.3">
      <c r="BG15310" s="387"/>
      <c r="BH15310" s="386"/>
      <c r="BI15310" s="386"/>
      <c r="BJ15310" s="46"/>
    </row>
    <row r="15311" spans="59:62" x14ac:dyDescent="0.3">
      <c r="BG15311" s="387"/>
      <c r="BH15311" s="386"/>
      <c r="BI15311" s="386"/>
      <c r="BJ15311" s="46"/>
    </row>
    <row r="15312" spans="59:62" x14ac:dyDescent="0.3">
      <c r="BG15312" s="387"/>
      <c r="BH15312" s="386"/>
      <c r="BI15312" s="386"/>
      <c r="BJ15312" s="46"/>
    </row>
    <row r="15313" spans="59:62" x14ac:dyDescent="0.3">
      <c r="BG15313" s="387"/>
      <c r="BH15313" s="386"/>
      <c r="BI15313" s="386"/>
      <c r="BJ15313" s="46"/>
    </row>
    <row r="15314" spans="59:62" x14ac:dyDescent="0.3">
      <c r="BG15314" s="387"/>
      <c r="BH15314" s="386"/>
      <c r="BI15314" s="386"/>
      <c r="BJ15314" s="46"/>
    </row>
    <row r="15315" spans="59:62" x14ac:dyDescent="0.3">
      <c r="BG15315" s="387"/>
      <c r="BH15315" s="386"/>
      <c r="BI15315" s="386"/>
      <c r="BJ15315" s="46"/>
    </row>
    <row r="15316" spans="59:62" x14ac:dyDescent="0.3">
      <c r="BG15316" s="387"/>
      <c r="BH15316" s="386"/>
      <c r="BI15316" s="386"/>
      <c r="BJ15316" s="46"/>
    </row>
    <row r="15317" spans="59:62" x14ac:dyDescent="0.3">
      <c r="BG15317" s="387"/>
      <c r="BH15317" s="386"/>
      <c r="BI15317" s="386"/>
      <c r="BJ15317" s="46"/>
    </row>
    <row r="15318" spans="59:62" x14ac:dyDescent="0.3">
      <c r="BG15318" s="387"/>
      <c r="BH15318" s="386"/>
      <c r="BI15318" s="386"/>
      <c r="BJ15318" s="46"/>
    </row>
    <row r="15319" spans="59:62" x14ac:dyDescent="0.3">
      <c r="BG15319" s="387"/>
      <c r="BH15319" s="386"/>
      <c r="BI15319" s="386"/>
      <c r="BJ15319" s="46"/>
    </row>
    <row r="15320" spans="59:62" x14ac:dyDescent="0.3">
      <c r="BG15320" s="387"/>
      <c r="BH15320" s="386"/>
      <c r="BI15320" s="386"/>
      <c r="BJ15320" s="46"/>
    </row>
    <row r="15321" spans="59:62" x14ac:dyDescent="0.3">
      <c r="BG15321" s="387"/>
      <c r="BH15321" s="386"/>
      <c r="BI15321" s="386"/>
      <c r="BJ15321" s="46"/>
    </row>
    <row r="15322" spans="59:62" x14ac:dyDescent="0.3">
      <c r="BG15322" s="387"/>
      <c r="BH15322" s="386"/>
      <c r="BI15322" s="386"/>
      <c r="BJ15322" s="46"/>
    </row>
    <row r="15323" spans="59:62" x14ac:dyDescent="0.3">
      <c r="BG15323" s="387"/>
      <c r="BH15323" s="386"/>
      <c r="BI15323" s="386"/>
      <c r="BJ15323" s="46"/>
    </row>
    <row r="15324" spans="59:62" x14ac:dyDescent="0.3">
      <c r="BG15324" s="387"/>
      <c r="BH15324" s="386"/>
      <c r="BI15324" s="386"/>
      <c r="BJ15324" s="46"/>
    </row>
    <row r="15325" spans="59:62" x14ac:dyDescent="0.3">
      <c r="BG15325" s="387"/>
      <c r="BH15325" s="386"/>
      <c r="BI15325" s="386"/>
      <c r="BJ15325" s="46"/>
    </row>
    <row r="15326" spans="59:62" x14ac:dyDescent="0.3">
      <c r="BG15326" s="387"/>
      <c r="BH15326" s="386"/>
      <c r="BI15326" s="386"/>
      <c r="BJ15326" s="46"/>
    </row>
    <row r="15327" spans="59:62" x14ac:dyDescent="0.3">
      <c r="BG15327" s="387"/>
      <c r="BH15327" s="386"/>
      <c r="BI15327" s="386"/>
      <c r="BJ15327" s="46"/>
    </row>
    <row r="15328" spans="59:62" x14ac:dyDescent="0.3">
      <c r="BG15328" s="387"/>
      <c r="BH15328" s="386"/>
      <c r="BI15328" s="386"/>
      <c r="BJ15328" s="46"/>
    </row>
    <row r="15329" spans="59:62" x14ac:dyDescent="0.3">
      <c r="BG15329" s="387"/>
      <c r="BH15329" s="386"/>
      <c r="BI15329" s="386"/>
      <c r="BJ15329" s="46"/>
    </row>
    <row r="15330" spans="59:62" x14ac:dyDescent="0.3">
      <c r="BG15330" s="387"/>
      <c r="BH15330" s="386"/>
      <c r="BI15330" s="386"/>
      <c r="BJ15330" s="46"/>
    </row>
    <row r="15331" spans="59:62" x14ac:dyDescent="0.3">
      <c r="BG15331" s="387"/>
      <c r="BH15331" s="386"/>
      <c r="BI15331" s="386"/>
      <c r="BJ15331" s="46"/>
    </row>
    <row r="15332" spans="59:62" x14ac:dyDescent="0.3">
      <c r="BG15332" s="387"/>
      <c r="BH15332" s="386"/>
      <c r="BI15332" s="386"/>
      <c r="BJ15332" s="46"/>
    </row>
    <row r="15333" spans="59:62" x14ac:dyDescent="0.3">
      <c r="BG15333" s="387"/>
      <c r="BH15333" s="386"/>
      <c r="BI15333" s="386"/>
      <c r="BJ15333" s="46"/>
    </row>
    <row r="15334" spans="59:62" x14ac:dyDescent="0.3">
      <c r="BG15334" s="387"/>
      <c r="BH15334" s="386"/>
      <c r="BI15334" s="386"/>
      <c r="BJ15334" s="46"/>
    </row>
    <row r="15335" spans="59:62" x14ac:dyDescent="0.3">
      <c r="BG15335" s="387"/>
      <c r="BH15335" s="386"/>
      <c r="BI15335" s="386"/>
      <c r="BJ15335" s="46"/>
    </row>
    <row r="15336" spans="59:62" x14ac:dyDescent="0.3">
      <c r="BG15336" s="387"/>
      <c r="BH15336" s="386"/>
      <c r="BI15336" s="386"/>
      <c r="BJ15336" s="46"/>
    </row>
    <row r="15337" spans="59:62" x14ac:dyDescent="0.3">
      <c r="BG15337" s="387"/>
      <c r="BH15337" s="386"/>
      <c r="BI15337" s="386"/>
      <c r="BJ15337" s="46"/>
    </row>
    <row r="15338" spans="59:62" x14ac:dyDescent="0.3">
      <c r="BG15338" s="387"/>
      <c r="BH15338" s="386"/>
      <c r="BI15338" s="386"/>
      <c r="BJ15338" s="46"/>
    </row>
    <row r="15339" spans="59:62" x14ac:dyDescent="0.3">
      <c r="BG15339" s="387"/>
      <c r="BH15339" s="386"/>
      <c r="BI15339" s="386"/>
      <c r="BJ15339" s="46"/>
    </row>
    <row r="15340" spans="59:62" x14ac:dyDescent="0.3">
      <c r="BG15340" s="387"/>
      <c r="BH15340" s="386"/>
      <c r="BI15340" s="386"/>
      <c r="BJ15340" s="46"/>
    </row>
    <row r="15341" spans="59:62" x14ac:dyDescent="0.3">
      <c r="BG15341" s="387"/>
      <c r="BH15341" s="386"/>
      <c r="BI15341" s="386"/>
      <c r="BJ15341" s="46"/>
    </row>
    <row r="15342" spans="59:62" x14ac:dyDescent="0.3">
      <c r="BG15342" s="387"/>
      <c r="BH15342" s="386"/>
      <c r="BI15342" s="386"/>
      <c r="BJ15342" s="46"/>
    </row>
    <row r="15343" spans="59:62" x14ac:dyDescent="0.3">
      <c r="BG15343" s="387"/>
      <c r="BH15343" s="386"/>
      <c r="BI15343" s="386"/>
      <c r="BJ15343" s="46"/>
    </row>
    <row r="15344" spans="59:62" x14ac:dyDescent="0.3">
      <c r="BG15344" s="387"/>
      <c r="BH15344" s="386"/>
      <c r="BI15344" s="386"/>
      <c r="BJ15344" s="46"/>
    </row>
    <row r="15345" spans="59:62" x14ac:dyDescent="0.3">
      <c r="BG15345" s="387"/>
      <c r="BH15345" s="386"/>
      <c r="BI15345" s="386"/>
      <c r="BJ15345" s="46"/>
    </row>
    <row r="15346" spans="59:62" x14ac:dyDescent="0.3">
      <c r="BG15346" s="387"/>
      <c r="BH15346" s="386"/>
      <c r="BI15346" s="386"/>
      <c r="BJ15346" s="46"/>
    </row>
    <row r="15347" spans="59:62" x14ac:dyDescent="0.3">
      <c r="BG15347" s="387"/>
      <c r="BH15347" s="386"/>
      <c r="BI15347" s="386"/>
      <c r="BJ15347" s="46"/>
    </row>
    <row r="15348" spans="59:62" x14ac:dyDescent="0.3">
      <c r="BG15348" s="387"/>
      <c r="BH15348" s="386"/>
      <c r="BI15348" s="386"/>
      <c r="BJ15348" s="46"/>
    </row>
    <row r="15349" spans="59:62" x14ac:dyDescent="0.3">
      <c r="BG15349" s="387"/>
      <c r="BH15349" s="386"/>
      <c r="BI15349" s="386"/>
      <c r="BJ15349" s="46"/>
    </row>
    <row r="15350" spans="59:62" x14ac:dyDescent="0.3">
      <c r="BG15350" s="387"/>
      <c r="BH15350" s="386"/>
      <c r="BI15350" s="386"/>
      <c r="BJ15350" s="46"/>
    </row>
    <row r="15351" spans="59:62" x14ac:dyDescent="0.3">
      <c r="BG15351" s="387"/>
      <c r="BH15351" s="386"/>
      <c r="BI15351" s="386"/>
      <c r="BJ15351" s="46"/>
    </row>
    <row r="15352" spans="59:62" x14ac:dyDescent="0.3">
      <c r="BG15352" s="387"/>
      <c r="BH15352" s="386"/>
      <c r="BI15352" s="386"/>
      <c r="BJ15352" s="46"/>
    </row>
    <row r="15353" spans="59:62" x14ac:dyDescent="0.3">
      <c r="BG15353" s="387"/>
      <c r="BH15353" s="386"/>
      <c r="BI15353" s="386"/>
      <c r="BJ15353" s="46"/>
    </row>
    <row r="15354" spans="59:62" x14ac:dyDescent="0.3">
      <c r="BG15354" s="387"/>
      <c r="BH15354" s="386"/>
      <c r="BI15354" s="386"/>
      <c r="BJ15354" s="46"/>
    </row>
    <row r="15355" spans="59:62" x14ac:dyDescent="0.3">
      <c r="BG15355" s="387"/>
      <c r="BH15355" s="386"/>
      <c r="BI15355" s="386"/>
      <c r="BJ15355" s="46"/>
    </row>
    <row r="15356" spans="59:62" x14ac:dyDescent="0.3">
      <c r="BG15356" s="387"/>
      <c r="BH15356" s="386"/>
      <c r="BI15356" s="386"/>
      <c r="BJ15356" s="46"/>
    </row>
    <row r="15357" spans="59:62" x14ac:dyDescent="0.3">
      <c r="BG15357" s="387"/>
      <c r="BH15357" s="386"/>
      <c r="BI15357" s="386"/>
      <c r="BJ15357" s="46"/>
    </row>
    <row r="15358" spans="59:62" x14ac:dyDescent="0.3">
      <c r="BG15358" s="387"/>
      <c r="BH15358" s="386"/>
      <c r="BI15358" s="386"/>
      <c r="BJ15358" s="46"/>
    </row>
    <row r="15359" spans="59:62" x14ac:dyDescent="0.3">
      <c r="BG15359" s="387"/>
      <c r="BH15359" s="386"/>
      <c r="BI15359" s="386"/>
      <c r="BJ15359" s="46"/>
    </row>
    <row r="15360" spans="59:62" x14ac:dyDescent="0.3">
      <c r="BG15360" s="387"/>
      <c r="BH15360" s="386"/>
      <c r="BI15360" s="386"/>
      <c r="BJ15360" s="46"/>
    </row>
    <row r="15361" spans="59:62" x14ac:dyDescent="0.3">
      <c r="BG15361" s="387"/>
      <c r="BH15361" s="386"/>
      <c r="BI15361" s="386"/>
      <c r="BJ15361" s="46"/>
    </row>
    <row r="15362" spans="59:62" x14ac:dyDescent="0.3">
      <c r="BG15362" s="387"/>
      <c r="BH15362" s="386"/>
      <c r="BI15362" s="386"/>
      <c r="BJ15362" s="46"/>
    </row>
    <row r="15363" spans="59:62" x14ac:dyDescent="0.3">
      <c r="BG15363" s="387"/>
      <c r="BH15363" s="386"/>
      <c r="BI15363" s="386"/>
      <c r="BJ15363" s="46"/>
    </row>
    <row r="15364" spans="59:62" x14ac:dyDescent="0.3">
      <c r="BG15364" s="387"/>
      <c r="BH15364" s="386"/>
      <c r="BI15364" s="386"/>
      <c r="BJ15364" s="46"/>
    </row>
    <row r="15365" spans="59:62" x14ac:dyDescent="0.3">
      <c r="BG15365" s="387"/>
      <c r="BH15365" s="386"/>
      <c r="BI15365" s="386"/>
      <c r="BJ15365" s="46"/>
    </row>
    <row r="15366" spans="59:62" x14ac:dyDescent="0.3">
      <c r="BG15366" s="387"/>
      <c r="BH15366" s="386"/>
      <c r="BI15366" s="386"/>
      <c r="BJ15366" s="46"/>
    </row>
    <row r="15367" spans="59:62" x14ac:dyDescent="0.3">
      <c r="BG15367" s="387"/>
      <c r="BH15367" s="386"/>
      <c r="BI15367" s="386"/>
      <c r="BJ15367" s="46"/>
    </row>
    <row r="15368" spans="59:62" x14ac:dyDescent="0.3">
      <c r="BG15368" s="387"/>
      <c r="BH15368" s="386"/>
      <c r="BI15368" s="386"/>
      <c r="BJ15368" s="46"/>
    </row>
    <row r="15369" spans="59:62" x14ac:dyDescent="0.3">
      <c r="BG15369" s="387"/>
      <c r="BH15369" s="386"/>
      <c r="BI15369" s="386"/>
      <c r="BJ15369" s="46"/>
    </row>
    <row r="15370" spans="59:62" x14ac:dyDescent="0.3">
      <c r="BG15370" s="387"/>
      <c r="BH15370" s="386"/>
      <c r="BI15370" s="386"/>
      <c r="BJ15370" s="46"/>
    </row>
    <row r="15371" spans="59:62" x14ac:dyDescent="0.3">
      <c r="BG15371" s="387"/>
      <c r="BH15371" s="386"/>
      <c r="BI15371" s="386"/>
      <c r="BJ15371" s="46"/>
    </row>
    <row r="15372" spans="59:62" x14ac:dyDescent="0.3">
      <c r="BG15372" s="387"/>
      <c r="BH15372" s="386"/>
      <c r="BI15372" s="386"/>
      <c r="BJ15372" s="46"/>
    </row>
    <row r="15373" spans="59:62" x14ac:dyDescent="0.3">
      <c r="BG15373" s="387"/>
      <c r="BH15373" s="386"/>
      <c r="BI15373" s="386"/>
      <c r="BJ15373" s="46"/>
    </row>
    <row r="15374" spans="59:62" x14ac:dyDescent="0.3">
      <c r="BG15374" s="387"/>
      <c r="BH15374" s="386"/>
      <c r="BI15374" s="386"/>
      <c r="BJ15374" s="46"/>
    </row>
    <row r="15375" spans="59:62" x14ac:dyDescent="0.3">
      <c r="BG15375" s="387"/>
      <c r="BH15375" s="386"/>
      <c r="BI15375" s="386"/>
      <c r="BJ15375" s="46"/>
    </row>
    <row r="15376" spans="59:62" x14ac:dyDescent="0.3">
      <c r="BG15376" s="387"/>
      <c r="BH15376" s="386"/>
      <c r="BI15376" s="386"/>
      <c r="BJ15376" s="46"/>
    </row>
    <row r="15377" spans="59:62" x14ac:dyDescent="0.3">
      <c r="BG15377" s="387"/>
      <c r="BH15377" s="386"/>
      <c r="BI15377" s="386"/>
      <c r="BJ15377" s="46"/>
    </row>
    <row r="15378" spans="59:62" x14ac:dyDescent="0.3">
      <c r="BG15378" s="387"/>
      <c r="BH15378" s="386"/>
      <c r="BI15378" s="386"/>
      <c r="BJ15378" s="46"/>
    </row>
    <row r="15379" spans="59:62" x14ac:dyDescent="0.3">
      <c r="BG15379" s="387"/>
      <c r="BH15379" s="386"/>
      <c r="BI15379" s="386"/>
      <c r="BJ15379" s="46"/>
    </row>
    <row r="15380" spans="59:62" x14ac:dyDescent="0.3">
      <c r="BG15380" s="387"/>
      <c r="BH15380" s="386"/>
      <c r="BI15380" s="386"/>
      <c r="BJ15380" s="46"/>
    </row>
    <row r="15381" spans="59:62" x14ac:dyDescent="0.3">
      <c r="BG15381" s="387"/>
      <c r="BH15381" s="386"/>
      <c r="BI15381" s="386"/>
      <c r="BJ15381" s="46"/>
    </row>
    <row r="15382" spans="59:62" x14ac:dyDescent="0.3">
      <c r="BG15382" s="387"/>
      <c r="BH15382" s="386"/>
      <c r="BI15382" s="386"/>
      <c r="BJ15382" s="46"/>
    </row>
    <row r="15383" spans="59:62" x14ac:dyDescent="0.3">
      <c r="BG15383" s="387"/>
      <c r="BH15383" s="386"/>
      <c r="BI15383" s="386"/>
      <c r="BJ15383" s="46"/>
    </row>
    <row r="15384" spans="59:62" x14ac:dyDescent="0.3">
      <c r="BG15384" s="387"/>
      <c r="BH15384" s="386"/>
      <c r="BI15384" s="386"/>
      <c r="BJ15384" s="46"/>
    </row>
    <row r="15385" spans="59:62" x14ac:dyDescent="0.3">
      <c r="BG15385" s="387"/>
      <c r="BH15385" s="386"/>
      <c r="BI15385" s="386"/>
      <c r="BJ15385" s="46"/>
    </row>
    <row r="15386" spans="59:62" x14ac:dyDescent="0.3">
      <c r="BG15386" s="387"/>
      <c r="BH15386" s="386"/>
      <c r="BI15386" s="386"/>
      <c r="BJ15386" s="46"/>
    </row>
    <row r="15387" spans="59:62" x14ac:dyDescent="0.3">
      <c r="BG15387" s="387"/>
      <c r="BH15387" s="386"/>
      <c r="BI15387" s="386"/>
      <c r="BJ15387" s="46"/>
    </row>
    <row r="15388" spans="59:62" x14ac:dyDescent="0.3">
      <c r="BG15388" s="387"/>
      <c r="BH15388" s="386"/>
      <c r="BI15388" s="386"/>
      <c r="BJ15388" s="46"/>
    </row>
    <row r="15389" spans="59:62" x14ac:dyDescent="0.3">
      <c r="BG15389" s="387"/>
      <c r="BH15389" s="386"/>
      <c r="BI15389" s="386"/>
      <c r="BJ15389" s="46"/>
    </row>
    <row r="15390" spans="59:62" x14ac:dyDescent="0.3">
      <c r="BG15390" s="387"/>
      <c r="BH15390" s="386"/>
      <c r="BI15390" s="386"/>
      <c r="BJ15390" s="46"/>
    </row>
    <row r="15391" spans="59:62" x14ac:dyDescent="0.3">
      <c r="BG15391" s="387"/>
      <c r="BH15391" s="386"/>
      <c r="BI15391" s="386"/>
      <c r="BJ15391" s="46"/>
    </row>
    <row r="15392" spans="59:62" x14ac:dyDescent="0.3">
      <c r="BG15392" s="387"/>
      <c r="BH15392" s="386"/>
      <c r="BI15392" s="386"/>
      <c r="BJ15392" s="46"/>
    </row>
    <row r="15393" spans="59:62" x14ac:dyDescent="0.3">
      <c r="BG15393" s="387"/>
      <c r="BH15393" s="386"/>
      <c r="BI15393" s="386"/>
      <c r="BJ15393" s="46"/>
    </row>
    <row r="15394" spans="59:62" x14ac:dyDescent="0.3">
      <c r="BG15394" s="387"/>
      <c r="BH15394" s="386"/>
      <c r="BI15394" s="386"/>
      <c r="BJ15394" s="46"/>
    </row>
    <row r="15395" spans="59:62" x14ac:dyDescent="0.3">
      <c r="BG15395" s="387"/>
      <c r="BH15395" s="386"/>
      <c r="BI15395" s="386"/>
      <c r="BJ15395" s="46"/>
    </row>
    <row r="15396" spans="59:62" x14ac:dyDescent="0.3">
      <c r="BG15396" s="387"/>
      <c r="BH15396" s="386"/>
      <c r="BI15396" s="386"/>
      <c r="BJ15396" s="46"/>
    </row>
    <row r="15397" spans="59:62" x14ac:dyDescent="0.3">
      <c r="BG15397" s="387"/>
      <c r="BH15397" s="386"/>
      <c r="BI15397" s="386"/>
      <c r="BJ15397" s="46"/>
    </row>
    <row r="15398" spans="59:62" x14ac:dyDescent="0.3">
      <c r="BG15398" s="387"/>
      <c r="BH15398" s="386"/>
      <c r="BI15398" s="386"/>
      <c r="BJ15398" s="46"/>
    </row>
    <row r="15399" spans="59:62" x14ac:dyDescent="0.3">
      <c r="BG15399" s="387"/>
      <c r="BH15399" s="386"/>
      <c r="BI15399" s="386"/>
      <c r="BJ15399" s="46"/>
    </row>
    <row r="15400" spans="59:62" x14ac:dyDescent="0.3">
      <c r="BG15400" s="387"/>
      <c r="BH15400" s="386"/>
      <c r="BI15400" s="386"/>
      <c r="BJ15400" s="46"/>
    </row>
    <row r="15401" spans="59:62" x14ac:dyDescent="0.3">
      <c r="BG15401" s="387"/>
      <c r="BH15401" s="386"/>
      <c r="BI15401" s="386"/>
      <c r="BJ15401" s="46"/>
    </row>
    <row r="15402" spans="59:62" x14ac:dyDescent="0.3">
      <c r="BG15402" s="387"/>
      <c r="BH15402" s="386"/>
      <c r="BI15402" s="386"/>
      <c r="BJ15402" s="46"/>
    </row>
    <row r="15403" spans="59:62" x14ac:dyDescent="0.3">
      <c r="BG15403" s="387"/>
      <c r="BH15403" s="386"/>
      <c r="BI15403" s="386"/>
      <c r="BJ15403" s="46"/>
    </row>
    <row r="15404" spans="59:62" x14ac:dyDescent="0.3">
      <c r="BG15404" s="387"/>
      <c r="BH15404" s="386"/>
      <c r="BI15404" s="386"/>
      <c r="BJ15404" s="46"/>
    </row>
    <row r="15405" spans="59:62" x14ac:dyDescent="0.3">
      <c r="BG15405" s="387"/>
      <c r="BH15405" s="386"/>
      <c r="BI15405" s="386"/>
      <c r="BJ15405" s="46"/>
    </row>
    <row r="15406" spans="59:62" x14ac:dyDescent="0.3">
      <c r="BG15406" s="387"/>
      <c r="BH15406" s="386"/>
      <c r="BI15406" s="386"/>
      <c r="BJ15406" s="46"/>
    </row>
    <row r="15407" spans="59:62" x14ac:dyDescent="0.3">
      <c r="BG15407" s="387"/>
      <c r="BH15407" s="386"/>
      <c r="BI15407" s="386"/>
      <c r="BJ15407" s="46"/>
    </row>
    <row r="15408" spans="59:62" x14ac:dyDescent="0.3">
      <c r="BG15408" s="387"/>
      <c r="BH15408" s="386"/>
      <c r="BI15408" s="386"/>
      <c r="BJ15408" s="46"/>
    </row>
    <row r="15409" spans="59:62" x14ac:dyDescent="0.3">
      <c r="BG15409" s="387"/>
      <c r="BH15409" s="386"/>
      <c r="BI15409" s="386"/>
      <c r="BJ15409" s="46"/>
    </row>
    <row r="15410" spans="59:62" x14ac:dyDescent="0.3">
      <c r="BG15410" s="387"/>
      <c r="BH15410" s="386"/>
      <c r="BI15410" s="386"/>
      <c r="BJ15410" s="46"/>
    </row>
    <row r="15411" spans="59:62" x14ac:dyDescent="0.3">
      <c r="BG15411" s="387"/>
      <c r="BH15411" s="386"/>
      <c r="BI15411" s="386"/>
      <c r="BJ15411" s="46"/>
    </row>
    <row r="15412" spans="59:62" x14ac:dyDescent="0.3">
      <c r="BG15412" s="387"/>
      <c r="BH15412" s="386"/>
      <c r="BI15412" s="386"/>
      <c r="BJ15412" s="46"/>
    </row>
    <row r="15413" spans="59:62" x14ac:dyDescent="0.3">
      <c r="BG15413" s="387"/>
      <c r="BH15413" s="386"/>
      <c r="BI15413" s="386"/>
      <c r="BJ15413" s="46"/>
    </row>
    <row r="15414" spans="59:62" x14ac:dyDescent="0.3">
      <c r="BG15414" s="387"/>
      <c r="BH15414" s="386"/>
      <c r="BI15414" s="386"/>
      <c r="BJ15414" s="46"/>
    </row>
    <row r="15415" spans="59:62" x14ac:dyDescent="0.3">
      <c r="BG15415" s="387"/>
      <c r="BH15415" s="386"/>
      <c r="BI15415" s="386"/>
      <c r="BJ15415" s="46"/>
    </row>
    <row r="15416" spans="59:62" x14ac:dyDescent="0.3">
      <c r="BG15416" s="387"/>
      <c r="BH15416" s="386"/>
      <c r="BI15416" s="386"/>
      <c r="BJ15416" s="46"/>
    </row>
    <row r="15417" spans="59:62" x14ac:dyDescent="0.3">
      <c r="BG15417" s="387"/>
      <c r="BH15417" s="386"/>
      <c r="BI15417" s="386"/>
      <c r="BJ15417" s="46"/>
    </row>
    <row r="15418" spans="59:62" x14ac:dyDescent="0.3">
      <c r="BG15418" s="387"/>
      <c r="BH15418" s="386"/>
      <c r="BI15418" s="386"/>
      <c r="BJ15418" s="46"/>
    </row>
    <row r="15419" spans="59:62" x14ac:dyDescent="0.3">
      <c r="BG15419" s="387"/>
      <c r="BH15419" s="386"/>
      <c r="BI15419" s="386"/>
      <c r="BJ15419" s="46"/>
    </row>
    <row r="15420" spans="59:62" x14ac:dyDescent="0.3">
      <c r="BG15420" s="387"/>
      <c r="BH15420" s="386"/>
      <c r="BI15420" s="386"/>
      <c r="BJ15420" s="46"/>
    </row>
    <row r="15421" spans="59:62" x14ac:dyDescent="0.3">
      <c r="BG15421" s="387"/>
      <c r="BH15421" s="386"/>
      <c r="BI15421" s="386"/>
      <c r="BJ15421" s="46"/>
    </row>
    <row r="15422" spans="59:62" x14ac:dyDescent="0.3">
      <c r="BG15422" s="387"/>
      <c r="BH15422" s="386"/>
      <c r="BI15422" s="386"/>
      <c r="BJ15422" s="46"/>
    </row>
    <row r="15423" spans="59:62" x14ac:dyDescent="0.3">
      <c r="BG15423" s="387"/>
      <c r="BH15423" s="386"/>
      <c r="BI15423" s="386"/>
      <c r="BJ15423" s="46"/>
    </row>
    <row r="15424" spans="59:62" x14ac:dyDescent="0.3">
      <c r="BG15424" s="387"/>
      <c r="BH15424" s="386"/>
      <c r="BI15424" s="386"/>
      <c r="BJ15424" s="46"/>
    </row>
    <row r="15425" spans="59:62" x14ac:dyDescent="0.3">
      <c r="BG15425" s="387"/>
      <c r="BH15425" s="386"/>
      <c r="BI15425" s="386"/>
      <c r="BJ15425" s="46"/>
    </row>
    <row r="15426" spans="59:62" x14ac:dyDescent="0.3">
      <c r="BG15426" s="387"/>
      <c r="BH15426" s="386"/>
      <c r="BI15426" s="386"/>
      <c r="BJ15426" s="46"/>
    </row>
    <row r="15427" spans="59:62" x14ac:dyDescent="0.3">
      <c r="BG15427" s="387"/>
      <c r="BH15427" s="386"/>
      <c r="BI15427" s="386"/>
      <c r="BJ15427" s="46"/>
    </row>
    <row r="15428" spans="59:62" x14ac:dyDescent="0.3">
      <c r="BG15428" s="387"/>
      <c r="BH15428" s="386"/>
      <c r="BI15428" s="386"/>
      <c r="BJ15428" s="46"/>
    </row>
    <row r="15429" spans="59:62" x14ac:dyDescent="0.3">
      <c r="BG15429" s="387"/>
      <c r="BH15429" s="386"/>
      <c r="BI15429" s="386"/>
      <c r="BJ15429" s="46"/>
    </row>
    <row r="15430" spans="59:62" x14ac:dyDescent="0.3">
      <c r="BG15430" s="387"/>
      <c r="BH15430" s="386"/>
      <c r="BI15430" s="386"/>
      <c r="BJ15430" s="46"/>
    </row>
    <row r="15431" spans="59:62" x14ac:dyDescent="0.3">
      <c r="BG15431" s="387"/>
      <c r="BH15431" s="386"/>
      <c r="BI15431" s="386"/>
      <c r="BJ15431" s="46"/>
    </row>
    <row r="15432" spans="59:62" x14ac:dyDescent="0.3">
      <c r="BG15432" s="387"/>
      <c r="BH15432" s="386"/>
      <c r="BI15432" s="386"/>
      <c r="BJ15432" s="46"/>
    </row>
    <row r="15433" spans="59:62" x14ac:dyDescent="0.3">
      <c r="BG15433" s="387"/>
      <c r="BH15433" s="386"/>
      <c r="BI15433" s="386"/>
      <c r="BJ15433" s="46"/>
    </row>
    <row r="15434" spans="59:62" x14ac:dyDescent="0.3">
      <c r="BG15434" s="387"/>
      <c r="BH15434" s="386"/>
      <c r="BI15434" s="386"/>
      <c r="BJ15434" s="46"/>
    </row>
    <row r="15435" spans="59:62" x14ac:dyDescent="0.3">
      <c r="BG15435" s="387"/>
      <c r="BH15435" s="386"/>
      <c r="BI15435" s="386"/>
      <c r="BJ15435" s="46"/>
    </row>
    <row r="15436" spans="59:62" x14ac:dyDescent="0.3">
      <c r="BG15436" s="387"/>
      <c r="BH15436" s="386"/>
      <c r="BI15436" s="386"/>
      <c r="BJ15436" s="46"/>
    </row>
    <row r="15437" spans="59:62" x14ac:dyDescent="0.3">
      <c r="BG15437" s="387"/>
      <c r="BH15437" s="386"/>
      <c r="BI15437" s="386"/>
      <c r="BJ15437" s="46"/>
    </row>
    <row r="15438" spans="59:62" x14ac:dyDescent="0.3">
      <c r="BG15438" s="387"/>
      <c r="BH15438" s="386"/>
      <c r="BI15438" s="386"/>
      <c r="BJ15438" s="46"/>
    </row>
    <row r="15439" spans="59:62" x14ac:dyDescent="0.3">
      <c r="BG15439" s="387"/>
      <c r="BH15439" s="386"/>
      <c r="BI15439" s="386"/>
      <c r="BJ15439" s="46"/>
    </row>
    <row r="15440" spans="59:62" x14ac:dyDescent="0.3">
      <c r="BG15440" s="387"/>
      <c r="BH15440" s="386"/>
      <c r="BI15440" s="386"/>
      <c r="BJ15440" s="46"/>
    </row>
    <row r="15441" spans="59:62" x14ac:dyDescent="0.3">
      <c r="BG15441" s="387"/>
      <c r="BH15441" s="386"/>
      <c r="BI15441" s="386"/>
      <c r="BJ15441" s="46"/>
    </row>
    <row r="15442" spans="59:62" x14ac:dyDescent="0.3">
      <c r="BG15442" s="387"/>
      <c r="BH15442" s="386"/>
      <c r="BI15442" s="386"/>
      <c r="BJ15442" s="46"/>
    </row>
    <row r="15443" spans="59:62" x14ac:dyDescent="0.3">
      <c r="BG15443" s="387"/>
      <c r="BH15443" s="386"/>
      <c r="BI15443" s="386"/>
      <c r="BJ15443" s="46"/>
    </row>
    <row r="15444" spans="59:62" x14ac:dyDescent="0.3">
      <c r="BG15444" s="387"/>
      <c r="BH15444" s="386"/>
      <c r="BI15444" s="386"/>
      <c r="BJ15444" s="46"/>
    </row>
    <row r="15445" spans="59:62" x14ac:dyDescent="0.3">
      <c r="BG15445" s="387"/>
      <c r="BH15445" s="386"/>
      <c r="BI15445" s="386"/>
      <c r="BJ15445" s="46"/>
    </row>
    <row r="15446" spans="59:62" x14ac:dyDescent="0.3">
      <c r="BG15446" s="387"/>
      <c r="BH15446" s="386"/>
      <c r="BI15446" s="386"/>
      <c r="BJ15446" s="46"/>
    </row>
    <row r="15447" spans="59:62" x14ac:dyDescent="0.3">
      <c r="BG15447" s="387"/>
      <c r="BH15447" s="386"/>
      <c r="BI15447" s="386"/>
      <c r="BJ15447" s="46"/>
    </row>
    <row r="15448" spans="59:62" x14ac:dyDescent="0.3">
      <c r="BG15448" s="387"/>
      <c r="BH15448" s="386"/>
      <c r="BI15448" s="386"/>
      <c r="BJ15448" s="46"/>
    </row>
    <row r="15449" spans="59:62" x14ac:dyDescent="0.3">
      <c r="BG15449" s="387"/>
      <c r="BH15449" s="386"/>
      <c r="BI15449" s="386"/>
      <c r="BJ15449" s="46"/>
    </row>
    <row r="15450" spans="59:62" x14ac:dyDescent="0.3">
      <c r="BG15450" s="387"/>
      <c r="BH15450" s="386"/>
      <c r="BI15450" s="386"/>
      <c r="BJ15450" s="46"/>
    </row>
    <row r="15451" spans="59:62" x14ac:dyDescent="0.3">
      <c r="BG15451" s="387"/>
      <c r="BH15451" s="386"/>
      <c r="BI15451" s="386"/>
      <c r="BJ15451" s="46"/>
    </row>
    <row r="15452" spans="59:62" x14ac:dyDescent="0.3">
      <c r="BG15452" s="387"/>
      <c r="BH15452" s="386"/>
      <c r="BI15452" s="386"/>
      <c r="BJ15452" s="46"/>
    </row>
    <row r="15453" spans="59:62" x14ac:dyDescent="0.3">
      <c r="BG15453" s="387"/>
      <c r="BH15453" s="386"/>
      <c r="BI15453" s="386"/>
      <c r="BJ15453" s="46"/>
    </row>
    <row r="15454" spans="59:62" x14ac:dyDescent="0.3">
      <c r="BG15454" s="387"/>
      <c r="BH15454" s="386"/>
      <c r="BI15454" s="386"/>
      <c r="BJ15454" s="46"/>
    </row>
    <row r="15455" spans="59:62" x14ac:dyDescent="0.3">
      <c r="BG15455" s="387"/>
      <c r="BH15455" s="386"/>
      <c r="BI15455" s="386"/>
      <c r="BJ15455" s="46"/>
    </row>
    <row r="15456" spans="59:62" x14ac:dyDescent="0.3">
      <c r="BG15456" s="387"/>
      <c r="BH15456" s="386"/>
      <c r="BI15456" s="386"/>
      <c r="BJ15456" s="46"/>
    </row>
    <row r="15457" spans="59:62" x14ac:dyDescent="0.3">
      <c r="BG15457" s="387"/>
      <c r="BH15457" s="386"/>
      <c r="BI15457" s="386"/>
      <c r="BJ15457" s="46"/>
    </row>
    <row r="15458" spans="59:62" x14ac:dyDescent="0.3">
      <c r="BG15458" s="387"/>
      <c r="BH15458" s="386"/>
      <c r="BI15458" s="386"/>
      <c r="BJ15458" s="46"/>
    </row>
    <row r="15459" spans="59:62" x14ac:dyDescent="0.3">
      <c r="BG15459" s="387"/>
      <c r="BH15459" s="386"/>
      <c r="BI15459" s="386"/>
      <c r="BJ15459" s="46"/>
    </row>
    <row r="15460" spans="59:62" x14ac:dyDescent="0.3">
      <c r="BG15460" s="387"/>
      <c r="BH15460" s="386"/>
      <c r="BI15460" s="386"/>
      <c r="BJ15460" s="46"/>
    </row>
    <row r="15461" spans="59:62" x14ac:dyDescent="0.3">
      <c r="BG15461" s="387"/>
      <c r="BH15461" s="386"/>
      <c r="BI15461" s="386"/>
      <c r="BJ15461" s="46"/>
    </row>
    <row r="15462" spans="59:62" x14ac:dyDescent="0.3">
      <c r="BG15462" s="387"/>
      <c r="BH15462" s="386"/>
      <c r="BI15462" s="386"/>
      <c r="BJ15462" s="46"/>
    </row>
    <row r="15463" spans="59:62" x14ac:dyDescent="0.3">
      <c r="BG15463" s="387"/>
      <c r="BH15463" s="386"/>
      <c r="BI15463" s="386"/>
      <c r="BJ15463" s="46"/>
    </row>
    <row r="15464" spans="59:62" x14ac:dyDescent="0.3">
      <c r="BG15464" s="387"/>
      <c r="BH15464" s="386"/>
      <c r="BI15464" s="386"/>
      <c r="BJ15464" s="46"/>
    </row>
    <row r="15465" spans="59:62" x14ac:dyDescent="0.3">
      <c r="BG15465" s="387"/>
      <c r="BH15465" s="386"/>
      <c r="BI15465" s="386"/>
      <c r="BJ15465" s="46"/>
    </row>
    <row r="15466" spans="59:62" x14ac:dyDescent="0.3">
      <c r="BG15466" s="387"/>
      <c r="BH15466" s="386"/>
      <c r="BI15466" s="386"/>
      <c r="BJ15466" s="46"/>
    </row>
    <row r="15467" spans="59:62" x14ac:dyDescent="0.3">
      <c r="BG15467" s="387"/>
      <c r="BH15467" s="386"/>
      <c r="BI15467" s="386"/>
      <c r="BJ15467" s="46"/>
    </row>
    <row r="15468" spans="59:62" x14ac:dyDescent="0.3">
      <c r="BG15468" s="387"/>
      <c r="BH15468" s="386"/>
      <c r="BI15468" s="386"/>
      <c r="BJ15468" s="46"/>
    </row>
    <row r="15469" spans="59:62" x14ac:dyDescent="0.3">
      <c r="BG15469" s="387"/>
      <c r="BH15469" s="386"/>
      <c r="BI15469" s="386"/>
      <c r="BJ15469" s="46"/>
    </row>
    <row r="15470" spans="59:62" x14ac:dyDescent="0.3">
      <c r="BG15470" s="387"/>
      <c r="BH15470" s="386"/>
      <c r="BI15470" s="386"/>
      <c r="BJ15470" s="46"/>
    </row>
    <row r="15471" spans="59:62" x14ac:dyDescent="0.3">
      <c r="BG15471" s="387"/>
      <c r="BH15471" s="386"/>
      <c r="BI15471" s="386"/>
      <c r="BJ15471" s="46"/>
    </row>
    <row r="15472" spans="59:62" x14ac:dyDescent="0.3">
      <c r="BG15472" s="387"/>
      <c r="BH15472" s="386"/>
      <c r="BI15472" s="386"/>
      <c r="BJ15472" s="46"/>
    </row>
    <row r="15473" spans="59:62" x14ac:dyDescent="0.3">
      <c r="BG15473" s="387"/>
      <c r="BH15473" s="386"/>
      <c r="BI15473" s="386"/>
      <c r="BJ15473" s="46"/>
    </row>
    <row r="15474" spans="59:62" x14ac:dyDescent="0.3">
      <c r="BG15474" s="387"/>
      <c r="BH15474" s="386"/>
      <c r="BI15474" s="386"/>
      <c r="BJ15474" s="46"/>
    </row>
    <row r="15475" spans="59:62" x14ac:dyDescent="0.3">
      <c r="BG15475" s="387"/>
      <c r="BH15475" s="386"/>
      <c r="BI15475" s="386"/>
      <c r="BJ15475" s="46"/>
    </row>
    <row r="15476" spans="59:62" x14ac:dyDescent="0.3">
      <c r="BG15476" s="387"/>
      <c r="BH15476" s="386"/>
      <c r="BI15476" s="386"/>
      <c r="BJ15476" s="46"/>
    </row>
    <row r="15477" spans="59:62" x14ac:dyDescent="0.3">
      <c r="BG15477" s="387"/>
      <c r="BH15477" s="386"/>
      <c r="BI15477" s="386"/>
      <c r="BJ15477" s="46"/>
    </row>
    <row r="15478" spans="59:62" x14ac:dyDescent="0.3">
      <c r="BG15478" s="387"/>
      <c r="BH15478" s="386"/>
      <c r="BI15478" s="386"/>
      <c r="BJ15478" s="46"/>
    </row>
    <row r="15479" spans="59:62" x14ac:dyDescent="0.3">
      <c r="BG15479" s="387"/>
      <c r="BH15479" s="386"/>
      <c r="BI15479" s="386"/>
      <c r="BJ15479" s="46"/>
    </row>
    <row r="15480" spans="59:62" x14ac:dyDescent="0.3">
      <c r="BG15480" s="387"/>
      <c r="BH15480" s="386"/>
      <c r="BI15480" s="386"/>
      <c r="BJ15480" s="46"/>
    </row>
    <row r="15481" spans="59:62" x14ac:dyDescent="0.3">
      <c r="BG15481" s="387"/>
      <c r="BH15481" s="386"/>
      <c r="BI15481" s="386"/>
      <c r="BJ15481" s="46"/>
    </row>
    <row r="15482" spans="59:62" x14ac:dyDescent="0.3">
      <c r="BG15482" s="387"/>
      <c r="BH15482" s="386"/>
      <c r="BI15482" s="386"/>
      <c r="BJ15482" s="46"/>
    </row>
    <row r="15483" spans="59:62" x14ac:dyDescent="0.3">
      <c r="BG15483" s="387"/>
      <c r="BH15483" s="386"/>
      <c r="BI15483" s="386"/>
      <c r="BJ15483" s="46"/>
    </row>
    <row r="15484" spans="59:62" x14ac:dyDescent="0.3">
      <c r="BG15484" s="387"/>
      <c r="BH15484" s="386"/>
      <c r="BI15484" s="386"/>
      <c r="BJ15484" s="46"/>
    </row>
    <row r="15485" spans="59:62" x14ac:dyDescent="0.3">
      <c r="BG15485" s="387"/>
      <c r="BH15485" s="386"/>
      <c r="BI15485" s="386"/>
      <c r="BJ15485" s="46"/>
    </row>
    <row r="15486" spans="59:62" x14ac:dyDescent="0.3">
      <c r="BG15486" s="387"/>
      <c r="BH15486" s="386"/>
      <c r="BI15486" s="386"/>
      <c r="BJ15486" s="46"/>
    </row>
    <row r="15487" spans="59:62" x14ac:dyDescent="0.3">
      <c r="BG15487" s="387"/>
      <c r="BH15487" s="386"/>
      <c r="BI15487" s="386"/>
      <c r="BJ15487" s="46"/>
    </row>
    <row r="15488" spans="59:62" x14ac:dyDescent="0.3">
      <c r="BG15488" s="387"/>
      <c r="BH15488" s="386"/>
      <c r="BI15488" s="386"/>
      <c r="BJ15488" s="46"/>
    </row>
    <row r="15489" spans="59:62" x14ac:dyDescent="0.3">
      <c r="BG15489" s="387"/>
      <c r="BH15489" s="386"/>
      <c r="BI15489" s="386"/>
      <c r="BJ15489" s="46"/>
    </row>
    <row r="15490" spans="59:62" x14ac:dyDescent="0.3">
      <c r="BG15490" s="387"/>
      <c r="BH15490" s="386"/>
      <c r="BI15490" s="386"/>
      <c r="BJ15490" s="46"/>
    </row>
    <row r="15491" spans="59:62" x14ac:dyDescent="0.3">
      <c r="BG15491" s="387"/>
      <c r="BH15491" s="386"/>
      <c r="BI15491" s="386"/>
      <c r="BJ15491" s="46"/>
    </row>
    <row r="15492" spans="59:62" x14ac:dyDescent="0.3">
      <c r="BG15492" s="387"/>
      <c r="BH15492" s="386"/>
      <c r="BI15492" s="386"/>
      <c r="BJ15492" s="46"/>
    </row>
    <row r="15493" spans="59:62" x14ac:dyDescent="0.3">
      <c r="BG15493" s="387"/>
      <c r="BH15493" s="386"/>
      <c r="BI15493" s="386"/>
      <c r="BJ15493" s="46"/>
    </row>
    <row r="15494" spans="59:62" x14ac:dyDescent="0.3">
      <c r="BG15494" s="387"/>
      <c r="BH15494" s="386"/>
      <c r="BI15494" s="386"/>
      <c r="BJ15494" s="46"/>
    </row>
    <row r="15495" spans="59:62" x14ac:dyDescent="0.3">
      <c r="BG15495" s="387"/>
      <c r="BH15495" s="386"/>
      <c r="BI15495" s="386"/>
      <c r="BJ15495" s="46"/>
    </row>
    <row r="15496" spans="59:62" x14ac:dyDescent="0.3">
      <c r="BG15496" s="387"/>
      <c r="BH15496" s="386"/>
      <c r="BI15496" s="386"/>
      <c r="BJ15496" s="46"/>
    </row>
    <row r="15497" spans="59:62" x14ac:dyDescent="0.3">
      <c r="BG15497" s="387"/>
      <c r="BH15497" s="386"/>
      <c r="BI15497" s="386"/>
      <c r="BJ15497" s="46"/>
    </row>
    <row r="15498" spans="59:62" x14ac:dyDescent="0.3">
      <c r="BG15498" s="387"/>
      <c r="BH15498" s="386"/>
      <c r="BI15498" s="386"/>
      <c r="BJ15498" s="46"/>
    </row>
    <row r="15499" spans="59:62" x14ac:dyDescent="0.3">
      <c r="BG15499" s="387"/>
      <c r="BH15499" s="386"/>
      <c r="BI15499" s="386"/>
      <c r="BJ15499" s="46"/>
    </row>
    <row r="15500" spans="59:62" x14ac:dyDescent="0.3">
      <c r="BG15500" s="387"/>
      <c r="BH15500" s="386"/>
      <c r="BI15500" s="386"/>
      <c r="BJ15500" s="46"/>
    </row>
    <row r="15501" spans="59:62" x14ac:dyDescent="0.3">
      <c r="BG15501" s="387"/>
      <c r="BH15501" s="386"/>
      <c r="BI15501" s="386"/>
      <c r="BJ15501" s="46"/>
    </row>
    <row r="15502" spans="59:62" x14ac:dyDescent="0.3">
      <c r="BG15502" s="387"/>
      <c r="BH15502" s="386"/>
      <c r="BI15502" s="386"/>
      <c r="BJ15502" s="46"/>
    </row>
    <row r="15503" spans="59:62" x14ac:dyDescent="0.3">
      <c r="BG15503" s="387"/>
      <c r="BH15503" s="386"/>
      <c r="BI15503" s="386"/>
      <c r="BJ15503" s="46"/>
    </row>
    <row r="15504" spans="59:62" x14ac:dyDescent="0.3">
      <c r="BG15504" s="387"/>
      <c r="BH15504" s="386"/>
      <c r="BI15504" s="386"/>
      <c r="BJ15504" s="46"/>
    </row>
    <row r="15505" spans="59:62" x14ac:dyDescent="0.3">
      <c r="BG15505" s="387"/>
      <c r="BH15505" s="386"/>
      <c r="BI15505" s="386"/>
      <c r="BJ15505" s="46"/>
    </row>
    <row r="15506" spans="59:62" x14ac:dyDescent="0.3">
      <c r="BG15506" s="387"/>
      <c r="BH15506" s="386"/>
      <c r="BI15506" s="386"/>
      <c r="BJ15506" s="46"/>
    </row>
    <row r="15507" spans="59:62" x14ac:dyDescent="0.3">
      <c r="BG15507" s="387"/>
      <c r="BH15507" s="386"/>
      <c r="BI15507" s="386"/>
      <c r="BJ15507" s="46"/>
    </row>
    <row r="15508" spans="59:62" x14ac:dyDescent="0.3">
      <c r="BG15508" s="387"/>
      <c r="BH15508" s="386"/>
      <c r="BI15508" s="386"/>
      <c r="BJ15508" s="46"/>
    </row>
    <row r="15509" spans="59:62" x14ac:dyDescent="0.3">
      <c r="BG15509" s="387"/>
      <c r="BH15509" s="386"/>
      <c r="BI15509" s="386"/>
      <c r="BJ15509" s="46"/>
    </row>
    <row r="15510" spans="59:62" x14ac:dyDescent="0.3">
      <c r="BG15510" s="387"/>
      <c r="BH15510" s="386"/>
      <c r="BI15510" s="386"/>
      <c r="BJ15510" s="46"/>
    </row>
    <row r="15511" spans="59:62" x14ac:dyDescent="0.3">
      <c r="BG15511" s="387"/>
      <c r="BH15511" s="386"/>
      <c r="BI15511" s="386"/>
      <c r="BJ15511" s="46"/>
    </row>
    <row r="15512" spans="59:62" x14ac:dyDescent="0.3">
      <c r="BG15512" s="387"/>
      <c r="BH15512" s="386"/>
      <c r="BI15512" s="386"/>
      <c r="BJ15512" s="46"/>
    </row>
    <row r="15513" spans="59:62" x14ac:dyDescent="0.3">
      <c r="BG15513" s="387"/>
      <c r="BH15513" s="386"/>
      <c r="BI15513" s="386"/>
      <c r="BJ15513" s="46"/>
    </row>
    <row r="15514" spans="59:62" x14ac:dyDescent="0.3">
      <c r="BG15514" s="387"/>
      <c r="BH15514" s="386"/>
      <c r="BI15514" s="386"/>
      <c r="BJ15514" s="46"/>
    </row>
    <row r="15515" spans="59:62" x14ac:dyDescent="0.3">
      <c r="BG15515" s="387"/>
      <c r="BH15515" s="386"/>
      <c r="BI15515" s="386"/>
      <c r="BJ15515" s="46"/>
    </row>
    <row r="15516" spans="59:62" x14ac:dyDescent="0.3">
      <c r="BG15516" s="387"/>
      <c r="BH15516" s="386"/>
      <c r="BI15516" s="386"/>
      <c r="BJ15516" s="46"/>
    </row>
    <row r="15517" spans="59:62" x14ac:dyDescent="0.3">
      <c r="BG15517" s="387"/>
      <c r="BH15517" s="386"/>
      <c r="BI15517" s="386"/>
      <c r="BJ15517" s="46"/>
    </row>
    <row r="15518" spans="59:62" x14ac:dyDescent="0.3">
      <c r="BG15518" s="387"/>
      <c r="BH15518" s="386"/>
      <c r="BI15518" s="386"/>
      <c r="BJ15518" s="46"/>
    </row>
    <row r="15519" spans="59:62" x14ac:dyDescent="0.3">
      <c r="BG15519" s="387"/>
      <c r="BH15519" s="386"/>
      <c r="BI15519" s="386"/>
      <c r="BJ15519" s="46"/>
    </row>
    <row r="15520" spans="59:62" x14ac:dyDescent="0.3">
      <c r="BG15520" s="387"/>
      <c r="BH15520" s="386"/>
      <c r="BI15520" s="386"/>
      <c r="BJ15520" s="46"/>
    </row>
    <row r="15521" spans="59:62" x14ac:dyDescent="0.3">
      <c r="BG15521" s="387"/>
      <c r="BH15521" s="386"/>
      <c r="BI15521" s="386"/>
      <c r="BJ15521" s="46"/>
    </row>
    <row r="15522" spans="59:62" x14ac:dyDescent="0.3">
      <c r="BG15522" s="387"/>
      <c r="BH15522" s="386"/>
      <c r="BI15522" s="386"/>
      <c r="BJ15522" s="46"/>
    </row>
    <row r="15523" spans="59:62" x14ac:dyDescent="0.3">
      <c r="BG15523" s="387"/>
      <c r="BH15523" s="386"/>
      <c r="BI15523" s="386"/>
      <c r="BJ15523" s="46"/>
    </row>
    <row r="15524" spans="59:62" x14ac:dyDescent="0.3">
      <c r="BG15524" s="387"/>
      <c r="BH15524" s="386"/>
      <c r="BI15524" s="386"/>
      <c r="BJ15524" s="46"/>
    </row>
    <row r="15525" spans="59:62" x14ac:dyDescent="0.3">
      <c r="BG15525" s="387"/>
      <c r="BH15525" s="386"/>
      <c r="BI15525" s="386"/>
      <c r="BJ15525" s="46"/>
    </row>
    <row r="15526" spans="59:62" x14ac:dyDescent="0.3">
      <c r="BG15526" s="387"/>
      <c r="BH15526" s="386"/>
      <c r="BI15526" s="386"/>
      <c r="BJ15526" s="46"/>
    </row>
    <row r="15527" spans="59:62" x14ac:dyDescent="0.3">
      <c r="BG15527" s="387"/>
      <c r="BH15527" s="386"/>
      <c r="BI15527" s="386"/>
      <c r="BJ15527" s="46"/>
    </row>
    <row r="15528" spans="59:62" x14ac:dyDescent="0.3">
      <c r="BG15528" s="387"/>
      <c r="BH15528" s="386"/>
      <c r="BI15528" s="386"/>
      <c r="BJ15528" s="46"/>
    </row>
    <row r="15529" spans="59:62" x14ac:dyDescent="0.3">
      <c r="BG15529" s="387"/>
      <c r="BH15529" s="386"/>
      <c r="BI15529" s="386"/>
      <c r="BJ15529" s="46"/>
    </row>
    <row r="15530" spans="59:62" x14ac:dyDescent="0.3">
      <c r="BG15530" s="387"/>
      <c r="BH15530" s="386"/>
      <c r="BI15530" s="386"/>
      <c r="BJ15530" s="46"/>
    </row>
    <row r="15531" spans="59:62" x14ac:dyDescent="0.3">
      <c r="BG15531" s="387"/>
      <c r="BH15531" s="386"/>
      <c r="BI15531" s="386"/>
      <c r="BJ15531" s="46"/>
    </row>
    <row r="15532" spans="59:62" x14ac:dyDescent="0.3">
      <c r="BG15532" s="387"/>
      <c r="BH15532" s="386"/>
      <c r="BI15532" s="386"/>
      <c r="BJ15532" s="46"/>
    </row>
    <row r="15533" spans="59:62" x14ac:dyDescent="0.3">
      <c r="BG15533" s="387"/>
      <c r="BH15533" s="386"/>
      <c r="BI15533" s="386"/>
      <c r="BJ15533" s="46"/>
    </row>
    <row r="15534" spans="59:62" x14ac:dyDescent="0.3">
      <c r="BG15534" s="387"/>
      <c r="BH15534" s="386"/>
      <c r="BI15534" s="386"/>
      <c r="BJ15534" s="46"/>
    </row>
    <row r="15535" spans="59:62" x14ac:dyDescent="0.3">
      <c r="BG15535" s="387"/>
      <c r="BH15535" s="386"/>
      <c r="BI15535" s="386"/>
      <c r="BJ15535" s="46"/>
    </row>
    <row r="15536" spans="59:62" x14ac:dyDescent="0.3">
      <c r="BG15536" s="387"/>
      <c r="BH15536" s="386"/>
      <c r="BI15536" s="386"/>
      <c r="BJ15536" s="46"/>
    </row>
    <row r="15537" spans="59:62" x14ac:dyDescent="0.3">
      <c r="BG15537" s="387"/>
      <c r="BH15537" s="386"/>
      <c r="BI15537" s="386"/>
      <c r="BJ15537" s="46"/>
    </row>
    <row r="15538" spans="59:62" x14ac:dyDescent="0.3">
      <c r="BG15538" s="387"/>
      <c r="BH15538" s="386"/>
      <c r="BI15538" s="386"/>
      <c r="BJ15538" s="46"/>
    </row>
    <row r="15539" spans="59:62" x14ac:dyDescent="0.3">
      <c r="BG15539" s="387"/>
      <c r="BH15539" s="386"/>
      <c r="BI15539" s="386"/>
      <c r="BJ15539" s="46"/>
    </row>
    <row r="15540" spans="59:62" x14ac:dyDescent="0.3">
      <c r="BG15540" s="387"/>
      <c r="BH15540" s="386"/>
      <c r="BI15540" s="386"/>
      <c r="BJ15540" s="46"/>
    </row>
    <row r="15541" spans="59:62" x14ac:dyDescent="0.3">
      <c r="BG15541" s="387"/>
      <c r="BH15541" s="386"/>
      <c r="BI15541" s="386"/>
      <c r="BJ15541" s="46"/>
    </row>
    <row r="15542" spans="59:62" x14ac:dyDescent="0.3">
      <c r="BG15542" s="387"/>
      <c r="BH15542" s="386"/>
      <c r="BI15542" s="386"/>
      <c r="BJ15542" s="46"/>
    </row>
    <row r="15543" spans="59:62" x14ac:dyDescent="0.3">
      <c r="BG15543" s="387"/>
      <c r="BH15543" s="386"/>
      <c r="BI15543" s="386"/>
      <c r="BJ15543" s="46"/>
    </row>
    <row r="15544" spans="59:62" x14ac:dyDescent="0.3">
      <c r="BG15544" s="387"/>
      <c r="BH15544" s="386"/>
      <c r="BI15544" s="386"/>
      <c r="BJ15544" s="46"/>
    </row>
    <row r="15545" spans="59:62" x14ac:dyDescent="0.3">
      <c r="BG15545" s="387"/>
      <c r="BH15545" s="386"/>
      <c r="BI15545" s="386"/>
      <c r="BJ15545" s="46"/>
    </row>
    <row r="15546" spans="59:62" x14ac:dyDescent="0.3">
      <c r="BG15546" s="387"/>
      <c r="BH15546" s="386"/>
      <c r="BI15546" s="386"/>
      <c r="BJ15546" s="46"/>
    </row>
    <row r="15547" spans="59:62" x14ac:dyDescent="0.3">
      <c r="BG15547" s="387"/>
      <c r="BH15547" s="386"/>
      <c r="BI15547" s="386"/>
      <c r="BJ15547" s="46"/>
    </row>
    <row r="15548" spans="59:62" x14ac:dyDescent="0.3">
      <c r="BG15548" s="387"/>
      <c r="BH15548" s="386"/>
      <c r="BI15548" s="386"/>
      <c r="BJ15548" s="46"/>
    </row>
    <row r="15549" spans="59:62" x14ac:dyDescent="0.3">
      <c r="BG15549" s="387"/>
      <c r="BH15549" s="386"/>
      <c r="BI15549" s="386"/>
      <c r="BJ15549" s="46"/>
    </row>
    <row r="15550" spans="59:62" x14ac:dyDescent="0.3">
      <c r="BG15550" s="387"/>
      <c r="BH15550" s="386"/>
      <c r="BI15550" s="386"/>
      <c r="BJ15550" s="46"/>
    </row>
    <row r="15551" spans="59:62" x14ac:dyDescent="0.3">
      <c r="BG15551" s="387"/>
      <c r="BH15551" s="386"/>
      <c r="BI15551" s="386"/>
      <c r="BJ15551" s="46"/>
    </row>
    <row r="15552" spans="59:62" x14ac:dyDescent="0.3">
      <c r="BG15552" s="387"/>
      <c r="BH15552" s="386"/>
      <c r="BI15552" s="386"/>
      <c r="BJ15552" s="46"/>
    </row>
    <row r="15553" spans="59:62" x14ac:dyDescent="0.3">
      <c r="BG15553" s="387"/>
      <c r="BH15553" s="386"/>
      <c r="BI15553" s="386"/>
      <c r="BJ15553" s="46"/>
    </row>
    <row r="15554" spans="59:62" x14ac:dyDescent="0.3">
      <c r="BG15554" s="387"/>
      <c r="BH15554" s="386"/>
      <c r="BI15554" s="386"/>
      <c r="BJ15554" s="46"/>
    </row>
    <row r="15555" spans="59:62" x14ac:dyDescent="0.3">
      <c r="BG15555" s="387"/>
      <c r="BH15555" s="386"/>
      <c r="BI15555" s="386"/>
      <c r="BJ15555" s="46"/>
    </row>
    <row r="15556" spans="59:62" x14ac:dyDescent="0.3">
      <c r="BG15556" s="387"/>
      <c r="BH15556" s="386"/>
      <c r="BI15556" s="386"/>
      <c r="BJ15556" s="46"/>
    </row>
    <row r="15557" spans="59:62" x14ac:dyDescent="0.3">
      <c r="BG15557" s="387"/>
      <c r="BH15557" s="386"/>
      <c r="BI15557" s="386"/>
      <c r="BJ15557" s="46"/>
    </row>
    <row r="15558" spans="59:62" x14ac:dyDescent="0.3">
      <c r="BG15558" s="387"/>
      <c r="BH15558" s="386"/>
      <c r="BI15558" s="386"/>
      <c r="BJ15558" s="46"/>
    </row>
    <row r="15559" spans="59:62" x14ac:dyDescent="0.3">
      <c r="BG15559" s="387"/>
      <c r="BH15559" s="386"/>
      <c r="BI15559" s="386"/>
      <c r="BJ15559" s="46"/>
    </row>
    <row r="15560" spans="59:62" x14ac:dyDescent="0.3">
      <c r="BG15560" s="387"/>
      <c r="BH15560" s="386"/>
      <c r="BI15560" s="386"/>
      <c r="BJ15560" s="46"/>
    </row>
    <row r="15561" spans="59:62" x14ac:dyDescent="0.3">
      <c r="BG15561" s="387"/>
      <c r="BH15561" s="386"/>
      <c r="BI15561" s="386"/>
      <c r="BJ15561" s="46"/>
    </row>
    <row r="15562" spans="59:62" x14ac:dyDescent="0.3">
      <c r="BG15562" s="387"/>
      <c r="BH15562" s="386"/>
      <c r="BI15562" s="386"/>
      <c r="BJ15562" s="46"/>
    </row>
    <row r="15563" spans="59:62" x14ac:dyDescent="0.3">
      <c r="BG15563" s="387"/>
      <c r="BH15563" s="386"/>
      <c r="BI15563" s="386"/>
      <c r="BJ15563" s="46"/>
    </row>
    <row r="15564" spans="59:62" x14ac:dyDescent="0.3">
      <c r="BG15564" s="387"/>
      <c r="BH15564" s="386"/>
      <c r="BI15564" s="386"/>
      <c r="BJ15564" s="46"/>
    </row>
    <row r="15565" spans="59:62" x14ac:dyDescent="0.3">
      <c r="BG15565" s="387"/>
      <c r="BH15565" s="386"/>
      <c r="BI15565" s="386"/>
      <c r="BJ15565" s="46"/>
    </row>
    <row r="15566" spans="59:62" x14ac:dyDescent="0.3">
      <c r="BG15566" s="387"/>
      <c r="BH15566" s="386"/>
      <c r="BI15566" s="386"/>
      <c r="BJ15566" s="46"/>
    </row>
    <row r="15567" spans="59:62" x14ac:dyDescent="0.3">
      <c r="BG15567" s="387"/>
      <c r="BH15567" s="386"/>
      <c r="BI15567" s="386"/>
      <c r="BJ15567" s="46"/>
    </row>
    <row r="15568" spans="59:62" x14ac:dyDescent="0.3">
      <c r="BG15568" s="387"/>
      <c r="BH15568" s="386"/>
      <c r="BI15568" s="386"/>
      <c r="BJ15568" s="46"/>
    </row>
    <row r="15569" spans="59:62" x14ac:dyDescent="0.3">
      <c r="BG15569" s="387"/>
      <c r="BH15569" s="386"/>
      <c r="BI15569" s="386"/>
      <c r="BJ15569" s="46"/>
    </row>
    <row r="15570" spans="59:62" x14ac:dyDescent="0.3">
      <c r="BG15570" s="387"/>
      <c r="BH15570" s="386"/>
      <c r="BI15570" s="386"/>
      <c r="BJ15570" s="46"/>
    </row>
    <row r="15571" spans="59:62" x14ac:dyDescent="0.3">
      <c r="BG15571" s="387"/>
      <c r="BH15571" s="386"/>
      <c r="BI15571" s="386"/>
      <c r="BJ15571" s="46"/>
    </row>
    <row r="15572" spans="59:62" x14ac:dyDescent="0.3">
      <c r="BG15572" s="387"/>
      <c r="BH15572" s="386"/>
      <c r="BI15572" s="386"/>
      <c r="BJ15572" s="46"/>
    </row>
    <row r="15573" spans="59:62" x14ac:dyDescent="0.3">
      <c r="BG15573" s="387"/>
      <c r="BH15573" s="386"/>
      <c r="BI15573" s="386"/>
      <c r="BJ15573" s="46"/>
    </row>
    <row r="15574" spans="59:62" x14ac:dyDescent="0.3">
      <c r="BG15574" s="387"/>
      <c r="BH15574" s="386"/>
      <c r="BI15574" s="386"/>
      <c r="BJ15574" s="46"/>
    </row>
    <row r="15575" spans="59:62" x14ac:dyDescent="0.3">
      <c r="BG15575" s="387"/>
      <c r="BH15575" s="386"/>
      <c r="BI15575" s="386"/>
      <c r="BJ15575" s="46"/>
    </row>
    <row r="15576" spans="59:62" x14ac:dyDescent="0.3">
      <c r="BG15576" s="387"/>
      <c r="BH15576" s="386"/>
      <c r="BI15576" s="386"/>
      <c r="BJ15576" s="46"/>
    </row>
    <row r="15577" spans="59:62" x14ac:dyDescent="0.3">
      <c r="BG15577" s="387"/>
      <c r="BH15577" s="386"/>
      <c r="BI15577" s="386"/>
      <c r="BJ15577" s="46"/>
    </row>
    <row r="15578" spans="59:62" x14ac:dyDescent="0.3">
      <c r="BG15578" s="387"/>
      <c r="BH15578" s="386"/>
      <c r="BI15578" s="386"/>
      <c r="BJ15578" s="46"/>
    </row>
    <row r="15579" spans="59:62" x14ac:dyDescent="0.3">
      <c r="BG15579" s="387"/>
      <c r="BH15579" s="386"/>
      <c r="BI15579" s="386"/>
      <c r="BJ15579" s="46"/>
    </row>
    <row r="15580" spans="59:62" x14ac:dyDescent="0.3">
      <c r="BG15580" s="387"/>
      <c r="BH15580" s="386"/>
      <c r="BI15580" s="386"/>
      <c r="BJ15580" s="46"/>
    </row>
    <row r="15581" spans="59:62" x14ac:dyDescent="0.3">
      <c r="BG15581" s="387"/>
      <c r="BH15581" s="386"/>
      <c r="BI15581" s="386"/>
      <c r="BJ15581" s="46"/>
    </row>
    <row r="15582" spans="59:62" x14ac:dyDescent="0.3">
      <c r="BG15582" s="387"/>
      <c r="BH15582" s="386"/>
      <c r="BI15582" s="386"/>
      <c r="BJ15582" s="46"/>
    </row>
    <row r="15583" spans="59:62" x14ac:dyDescent="0.3">
      <c r="BG15583" s="387"/>
      <c r="BH15583" s="386"/>
      <c r="BI15583" s="386"/>
      <c r="BJ15583" s="46"/>
    </row>
    <row r="15584" spans="59:62" x14ac:dyDescent="0.3">
      <c r="BG15584" s="387"/>
      <c r="BH15584" s="386"/>
      <c r="BI15584" s="386"/>
      <c r="BJ15584" s="46"/>
    </row>
    <row r="15585" spans="59:62" x14ac:dyDescent="0.3">
      <c r="BG15585" s="387"/>
      <c r="BH15585" s="386"/>
      <c r="BI15585" s="386"/>
      <c r="BJ15585" s="46"/>
    </row>
    <row r="15586" spans="59:62" x14ac:dyDescent="0.3">
      <c r="BG15586" s="387"/>
      <c r="BH15586" s="386"/>
      <c r="BI15586" s="386"/>
      <c r="BJ15586" s="46"/>
    </row>
    <row r="15587" spans="59:62" x14ac:dyDescent="0.3">
      <c r="BG15587" s="387"/>
      <c r="BH15587" s="386"/>
      <c r="BI15587" s="386"/>
      <c r="BJ15587" s="46"/>
    </row>
    <row r="15588" spans="59:62" x14ac:dyDescent="0.3">
      <c r="BG15588" s="387"/>
      <c r="BH15588" s="386"/>
      <c r="BI15588" s="386"/>
      <c r="BJ15588" s="46"/>
    </row>
    <row r="15589" spans="59:62" x14ac:dyDescent="0.3">
      <c r="BG15589" s="387"/>
      <c r="BH15589" s="386"/>
      <c r="BI15589" s="386"/>
      <c r="BJ15589" s="46"/>
    </row>
    <row r="15590" spans="59:62" x14ac:dyDescent="0.3">
      <c r="BG15590" s="387"/>
      <c r="BH15590" s="386"/>
      <c r="BI15590" s="386"/>
      <c r="BJ15590" s="46"/>
    </row>
    <row r="15591" spans="59:62" x14ac:dyDescent="0.3">
      <c r="BG15591" s="387"/>
      <c r="BH15591" s="386"/>
      <c r="BI15591" s="386"/>
      <c r="BJ15591" s="46"/>
    </row>
    <row r="15592" spans="59:62" x14ac:dyDescent="0.3">
      <c r="BG15592" s="387"/>
      <c r="BH15592" s="386"/>
      <c r="BI15592" s="386"/>
      <c r="BJ15592" s="46"/>
    </row>
    <row r="15593" spans="59:62" x14ac:dyDescent="0.3">
      <c r="BG15593" s="387"/>
      <c r="BH15593" s="386"/>
      <c r="BI15593" s="386"/>
      <c r="BJ15593" s="46"/>
    </row>
    <row r="15594" spans="59:62" x14ac:dyDescent="0.3">
      <c r="BG15594" s="387"/>
      <c r="BH15594" s="386"/>
      <c r="BI15594" s="386"/>
      <c r="BJ15594" s="46"/>
    </row>
    <row r="15595" spans="59:62" x14ac:dyDescent="0.3">
      <c r="BG15595" s="387"/>
      <c r="BH15595" s="386"/>
      <c r="BI15595" s="386"/>
      <c r="BJ15595" s="46"/>
    </row>
    <row r="15596" spans="59:62" x14ac:dyDescent="0.3">
      <c r="BG15596" s="387"/>
      <c r="BH15596" s="386"/>
      <c r="BI15596" s="386"/>
      <c r="BJ15596" s="46"/>
    </row>
    <row r="15597" spans="59:62" x14ac:dyDescent="0.3">
      <c r="BG15597" s="387"/>
      <c r="BH15597" s="386"/>
      <c r="BI15597" s="386"/>
      <c r="BJ15597" s="46"/>
    </row>
    <row r="15598" spans="59:62" x14ac:dyDescent="0.3">
      <c r="BG15598" s="387"/>
      <c r="BH15598" s="386"/>
      <c r="BI15598" s="386"/>
      <c r="BJ15598" s="46"/>
    </row>
    <row r="15599" spans="59:62" x14ac:dyDescent="0.3">
      <c r="BG15599" s="387"/>
      <c r="BH15599" s="386"/>
      <c r="BI15599" s="386"/>
      <c r="BJ15599" s="46"/>
    </row>
    <row r="15600" spans="59:62" x14ac:dyDescent="0.3">
      <c r="BG15600" s="387"/>
      <c r="BH15600" s="386"/>
      <c r="BI15600" s="386"/>
      <c r="BJ15600" s="46"/>
    </row>
    <row r="15601" spans="59:62" x14ac:dyDescent="0.3">
      <c r="BG15601" s="387"/>
      <c r="BH15601" s="386"/>
      <c r="BI15601" s="386"/>
      <c r="BJ15601" s="46"/>
    </row>
    <row r="15602" spans="59:62" x14ac:dyDescent="0.3">
      <c r="BG15602" s="387"/>
      <c r="BH15602" s="386"/>
      <c r="BI15602" s="386"/>
      <c r="BJ15602" s="46"/>
    </row>
    <row r="15603" spans="59:62" x14ac:dyDescent="0.3">
      <c r="BG15603" s="387"/>
      <c r="BH15603" s="386"/>
      <c r="BI15603" s="386"/>
      <c r="BJ15603" s="46"/>
    </row>
    <row r="15604" spans="59:62" x14ac:dyDescent="0.3">
      <c r="BG15604" s="387"/>
      <c r="BH15604" s="386"/>
      <c r="BI15604" s="386"/>
      <c r="BJ15604" s="46"/>
    </row>
    <row r="15605" spans="59:62" x14ac:dyDescent="0.3">
      <c r="BG15605" s="387"/>
      <c r="BH15605" s="386"/>
      <c r="BI15605" s="386"/>
      <c r="BJ15605" s="46"/>
    </row>
    <row r="15606" spans="59:62" x14ac:dyDescent="0.3">
      <c r="BG15606" s="387"/>
      <c r="BH15606" s="386"/>
      <c r="BI15606" s="386"/>
      <c r="BJ15606" s="46"/>
    </row>
    <row r="15607" spans="59:62" x14ac:dyDescent="0.3">
      <c r="BG15607" s="387"/>
      <c r="BH15607" s="386"/>
      <c r="BI15607" s="386"/>
      <c r="BJ15607" s="46"/>
    </row>
    <row r="15608" spans="59:62" x14ac:dyDescent="0.3">
      <c r="BG15608" s="387"/>
      <c r="BH15608" s="386"/>
      <c r="BI15608" s="386"/>
      <c r="BJ15608" s="46"/>
    </row>
    <row r="15609" spans="59:62" x14ac:dyDescent="0.3">
      <c r="BG15609" s="387"/>
      <c r="BH15609" s="386"/>
      <c r="BI15609" s="386"/>
      <c r="BJ15609" s="46"/>
    </row>
    <row r="15610" spans="59:62" x14ac:dyDescent="0.3">
      <c r="BG15610" s="387"/>
      <c r="BH15610" s="386"/>
      <c r="BI15610" s="386"/>
      <c r="BJ15610" s="46"/>
    </row>
    <row r="15611" spans="59:62" x14ac:dyDescent="0.3">
      <c r="BG15611" s="387"/>
      <c r="BH15611" s="386"/>
      <c r="BI15611" s="386"/>
      <c r="BJ15611" s="46"/>
    </row>
    <row r="15612" spans="59:62" x14ac:dyDescent="0.3">
      <c r="BG15612" s="387"/>
      <c r="BH15612" s="386"/>
      <c r="BI15612" s="386"/>
      <c r="BJ15612" s="46"/>
    </row>
    <row r="15613" spans="59:62" x14ac:dyDescent="0.3">
      <c r="BG15613" s="387"/>
      <c r="BH15613" s="386"/>
      <c r="BI15613" s="386"/>
      <c r="BJ15613" s="46"/>
    </row>
    <row r="15614" spans="59:62" x14ac:dyDescent="0.3">
      <c r="BG15614" s="387"/>
      <c r="BH15614" s="386"/>
      <c r="BI15614" s="386"/>
      <c r="BJ15614" s="46"/>
    </row>
    <row r="15615" spans="59:62" x14ac:dyDescent="0.3">
      <c r="BG15615" s="387"/>
      <c r="BH15615" s="386"/>
      <c r="BI15615" s="386"/>
      <c r="BJ15615" s="46"/>
    </row>
    <row r="15616" spans="59:62" x14ac:dyDescent="0.3">
      <c r="BG15616" s="387"/>
      <c r="BH15616" s="386"/>
      <c r="BI15616" s="386"/>
      <c r="BJ15616" s="46"/>
    </row>
    <row r="15617" spans="59:62" x14ac:dyDescent="0.3">
      <c r="BG15617" s="387"/>
      <c r="BH15617" s="386"/>
      <c r="BI15617" s="386"/>
      <c r="BJ15617" s="46"/>
    </row>
    <row r="15618" spans="59:62" x14ac:dyDescent="0.3">
      <c r="BG15618" s="387"/>
      <c r="BH15618" s="386"/>
      <c r="BI15618" s="386"/>
      <c r="BJ15618" s="46"/>
    </row>
    <row r="15619" spans="59:62" x14ac:dyDescent="0.3">
      <c r="BG15619" s="387"/>
      <c r="BH15619" s="386"/>
      <c r="BI15619" s="386"/>
      <c r="BJ15619" s="46"/>
    </row>
    <row r="15620" spans="59:62" x14ac:dyDescent="0.3">
      <c r="BG15620" s="387"/>
      <c r="BH15620" s="386"/>
      <c r="BI15620" s="386"/>
      <c r="BJ15620" s="46"/>
    </row>
    <row r="15621" spans="59:62" x14ac:dyDescent="0.3">
      <c r="BG15621" s="387"/>
      <c r="BH15621" s="386"/>
      <c r="BI15621" s="386"/>
      <c r="BJ15621" s="46"/>
    </row>
    <row r="15622" spans="59:62" x14ac:dyDescent="0.3">
      <c r="BG15622" s="387"/>
      <c r="BH15622" s="386"/>
      <c r="BI15622" s="386"/>
      <c r="BJ15622" s="46"/>
    </row>
    <row r="15623" spans="59:62" x14ac:dyDescent="0.3">
      <c r="BG15623" s="387"/>
      <c r="BH15623" s="386"/>
      <c r="BI15623" s="386"/>
      <c r="BJ15623" s="46"/>
    </row>
    <row r="15624" spans="59:62" x14ac:dyDescent="0.3">
      <c r="BG15624" s="387"/>
      <c r="BH15624" s="386"/>
      <c r="BI15624" s="386"/>
      <c r="BJ15624" s="46"/>
    </row>
    <row r="15625" spans="59:62" x14ac:dyDescent="0.3">
      <c r="BG15625" s="387"/>
      <c r="BH15625" s="386"/>
      <c r="BI15625" s="386"/>
      <c r="BJ15625" s="46"/>
    </row>
    <row r="15626" spans="59:62" x14ac:dyDescent="0.3">
      <c r="BG15626" s="387"/>
      <c r="BH15626" s="386"/>
      <c r="BI15626" s="386"/>
      <c r="BJ15626" s="46"/>
    </row>
    <row r="15627" spans="59:62" x14ac:dyDescent="0.3">
      <c r="BG15627" s="387"/>
      <c r="BH15627" s="386"/>
      <c r="BI15627" s="386"/>
      <c r="BJ15627" s="46"/>
    </row>
    <row r="15628" spans="59:62" x14ac:dyDescent="0.3">
      <c r="BG15628" s="387"/>
      <c r="BH15628" s="386"/>
      <c r="BI15628" s="386"/>
      <c r="BJ15628" s="46"/>
    </row>
    <row r="15629" spans="59:62" x14ac:dyDescent="0.3">
      <c r="BG15629" s="387"/>
      <c r="BH15629" s="386"/>
      <c r="BI15629" s="386"/>
      <c r="BJ15629" s="46"/>
    </row>
    <row r="15630" spans="59:62" x14ac:dyDescent="0.3">
      <c r="BG15630" s="387"/>
      <c r="BH15630" s="386"/>
      <c r="BI15630" s="386"/>
      <c r="BJ15630" s="46"/>
    </row>
    <row r="15631" spans="59:62" x14ac:dyDescent="0.3">
      <c r="BG15631" s="387"/>
      <c r="BH15631" s="386"/>
      <c r="BI15631" s="386"/>
      <c r="BJ15631" s="46"/>
    </row>
    <row r="15632" spans="59:62" x14ac:dyDescent="0.3">
      <c r="BG15632" s="387"/>
      <c r="BH15632" s="386"/>
      <c r="BI15632" s="386"/>
      <c r="BJ15632" s="46"/>
    </row>
    <row r="15633" spans="59:62" x14ac:dyDescent="0.3">
      <c r="BG15633" s="387"/>
      <c r="BH15633" s="386"/>
      <c r="BI15633" s="386"/>
      <c r="BJ15633" s="46"/>
    </row>
    <row r="15634" spans="59:62" x14ac:dyDescent="0.3">
      <c r="BG15634" s="387"/>
      <c r="BH15634" s="386"/>
      <c r="BI15634" s="386"/>
      <c r="BJ15634" s="46"/>
    </row>
    <row r="15635" spans="59:62" x14ac:dyDescent="0.3">
      <c r="BG15635" s="387"/>
      <c r="BH15635" s="386"/>
      <c r="BI15635" s="386"/>
      <c r="BJ15635" s="46"/>
    </row>
    <row r="15636" spans="59:62" x14ac:dyDescent="0.3">
      <c r="BG15636" s="387"/>
      <c r="BH15636" s="386"/>
      <c r="BI15636" s="386"/>
      <c r="BJ15636" s="46"/>
    </row>
    <row r="15637" spans="59:62" x14ac:dyDescent="0.3">
      <c r="BG15637" s="387"/>
      <c r="BH15637" s="386"/>
      <c r="BI15637" s="386"/>
      <c r="BJ15637" s="46"/>
    </row>
    <row r="15638" spans="59:62" x14ac:dyDescent="0.3">
      <c r="BG15638" s="387"/>
      <c r="BH15638" s="386"/>
      <c r="BI15638" s="386"/>
      <c r="BJ15638" s="46"/>
    </row>
    <row r="15639" spans="59:62" x14ac:dyDescent="0.3">
      <c r="BG15639" s="387"/>
      <c r="BH15639" s="386"/>
      <c r="BI15639" s="386"/>
      <c r="BJ15639" s="46"/>
    </row>
    <row r="15640" spans="59:62" x14ac:dyDescent="0.3">
      <c r="BG15640" s="387"/>
      <c r="BH15640" s="386"/>
      <c r="BI15640" s="386"/>
      <c r="BJ15640" s="46"/>
    </row>
    <row r="15641" spans="59:62" x14ac:dyDescent="0.3">
      <c r="BG15641" s="387"/>
      <c r="BH15641" s="386"/>
      <c r="BI15641" s="386"/>
      <c r="BJ15641" s="46"/>
    </row>
    <row r="15642" spans="59:62" x14ac:dyDescent="0.3">
      <c r="BG15642" s="387"/>
      <c r="BH15642" s="386"/>
      <c r="BI15642" s="386"/>
      <c r="BJ15642" s="46"/>
    </row>
    <row r="15643" spans="59:62" x14ac:dyDescent="0.3">
      <c r="BG15643" s="387"/>
      <c r="BH15643" s="386"/>
      <c r="BI15643" s="386"/>
      <c r="BJ15643" s="46"/>
    </row>
    <row r="15644" spans="59:62" x14ac:dyDescent="0.3">
      <c r="BG15644" s="387"/>
      <c r="BH15644" s="386"/>
      <c r="BI15644" s="386"/>
      <c r="BJ15644" s="46"/>
    </row>
    <row r="15645" spans="59:62" x14ac:dyDescent="0.3">
      <c r="BG15645" s="387"/>
      <c r="BH15645" s="386"/>
      <c r="BI15645" s="386"/>
      <c r="BJ15645" s="46"/>
    </row>
    <row r="15646" spans="59:62" x14ac:dyDescent="0.3">
      <c r="BG15646" s="387"/>
      <c r="BH15646" s="386"/>
      <c r="BI15646" s="386"/>
      <c r="BJ15646" s="46"/>
    </row>
    <row r="15647" spans="59:62" x14ac:dyDescent="0.3">
      <c r="BG15647" s="387"/>
      <c r="BH15647" s="386"/>
      <c r="BI15647" s="386"/>
      <c r="BJ15647" s="46"/>
    </row>
    <row r="15648" spans="59:62" x14ac:dyDescent="0.3">
      <c r="BG15648" s="387"/>
      <c r="BH15648" s="386"/>
      <c r="BI15648" s="386"/>
      <c r="BJ15648" s="46"/>
    </row>
    <row r="15649" spans="59:62" x14ac:dyDescent="0.3">
      <c r="BG15649" s="387"/>
      <c r="BH15649" s="386"/>
      <c r="BI15649" s="386"/>
      <c r="BJ15649" s="46"/>
    </row>
    <row r="15650" spans="59:62" x14ac:dyDescent="0.3">
      <c r="BG15650" s="387"/>
      <c r="BH15650" s="386"/>
      <c r="BI15650" s="386"/>
      <c r="BJ15650" s="46"/>
    </row>
    <row r="15651" spans="59:62" x14ac:dyDescent="0.3">
      <c r="BG15651" s="387"/>
      <c r="BH15651" s="386"/>
      <c r="BI15651" s="386"/>
      <c r="BJ15651" s="46"/>
    </row>
    <row r="15652" spans="59:62" x14ac:dyDescent="0.3">
      <c r="BG15652" s="387"/>
      <c r="BH15652" s="386"/>
      <c r="BI15652" s="386"/>
      <c r="BJ15652" s="46"/>
    </row>
    <row r="15653" spans="59:62" x14ac:dyDescent="0.3">
      <c r="BG15653" s="387"/>
      <c r="BH15653" s="386"/>
      <c r="BI15653" s="386"/>
      <c r="BJ15653" s="46"/>
    </row>
    <row r="15654" spans="59:62" x14ac:dyDescent="0.3">
      <c r="BG15654" s="387"/>
      <c r="BH15654" s="386"/>
      <c r="BI15654" s="386"/>
      <c r="BJ15654" s="46"/>
    </row>
    <row r="15655" spans="59:62" x14ac:dyDescent="0.3">
      <c r="BG15655" s="387"/>
      <c r="BH15655" s="386"/>
      <c r="BI15655" s="386"/>
      <c r="BJ15655" s="46"/>
    </row>
    <row r="15656" spans="59:62" x14ac:dyDescent="0.3">
      <c r="BG15656" s="387"/>
      <c r="BH15656" s="386"/>
      <c r="BI15656" s="386"/>
      <c r="BJ15656" s="46"/>
    </row>
    <row r="15657" spans="59:62" x14ac:dyDescent="0.3">
      <c r="BG15657" s="387"/>
      <c r="BH15657" s="386"/>
      <c r="BI15657" s="386"/>
      <c r="BJ15657" s="46"/>
    </row>
    <row r="15658" spans="59:62" x14ac:dyDescent="0.3">
      <c r="BG15658" s="387"/>
      <c r="BH15658" s="386"/>
      <c r="BI15658" s="386"/>
      <c r="BJ15658" s="46"/>
    </row>
    <row r="15659" spans="59:62" x14ac:dyDescent="0.3">
      <c r="BG15659" s="387"/>
      <c r="BH15659" s="386"/>
      <c r="BI15659" s="386"/>
      <c r="BJ15659" s="46"/>
    </row>
    <row r="15660" spans="59:62" x14ac:dyDescent="0.3">
      <c r="BG15660" s="387"/>
      <c r="BH15660" s="386"/>
      <c r="BI15660" s="386"/>
      <c r="BJ15660" s="46"/>
    </row>
    <row r="15661" spans="59:62" x14ac:dyDescent="0.3">
      <c r="BG15661" s="387"/>
      <c r="BH15661" s="386"/>
      <c r="BI15661" s="386"/>
      <c r="BJ15661" s="46"/>
    </row>
    <row r="15662" spans="59:62" x14ac:dyDescent="0.3">
      <c r="BG15662" s="387"/>
      <c r="BH15662" s="386"/>
      <c r="BI15662" s="386"/>
      <c r="BJ15662" s="46"/>
    </row>
    <row r="15663" spans="59:62" x14ac:dyDescent="0.3">
      <c r="BG15663" s="387"/>
      <c r="BH15663" s="386"/>
      <c r="BI15663" s="386"/>
      <c r="BJ15663" s="46"/>
    </row>
    <row r="15664" spans="59:62" x14ac:dyDescent="0.3">
      <c r="BG15664" s="387"/>
      <c r="BH15664" s="386"/>
      <c r="BI15664" s="386"/>
      <c r="BJ15664" s="46"/>
    </row>
    <row r="15665" spans="59:62" x14ac:dyDescent="0.3">
      <c r="BG15665" s="387"/>
      <c r="BH15665" s="386"/>
      <c r="BI15665" s="386"/>
      <c r="BJ15665" s="46"/>
    </row>
    <row r="15666" spans="59:62" x14ac:dyDescent="0.3">
      <c r="BG15666" s="387"/>
      <c r="BH15666" s="386"/>
      <c r="BI15666" s="386"/>
      <c r="BJ15666" s="46"/>
    </row>
    <row r="15667" spans="59:62" x14ac:dyDescent="0.3">
      <c r="BG15667" s="387"/>
      <c r="BH15667" s="386"/>
      <c r="BI15667" s="386"/>
      <c r="BJ15667" s="46"/>
    </row>
    <row r="15668" spans="59:62" x14ac:dyDescent="0.3">
      <c r="BG15668" s="387"/>
      <c r="BH15668" s="386"/>
      <c r="BI15668" s="386"/>
      <c r="BJ15668" s="46"/>
    </row>
    <row r="15669" spans="59:62" x14ac:dyDescent="0.3">
      <c r="BG15669" s="387"/>
      <c r="BH15669" s="386"/>
      <c r="BI15669" s="386"/>
      <c r="BJ15669" s="46"/>
    </row>
    <row r="15670" spans="59:62" x14ac:dyDescent="0.3">
      <c r="BG15670" s="387"/>
      <c r="BH15670" s="386"/>
      <c r="BI15670" s="386"/>
      <c r="BJ15670" s="46"/>
    </row>
    <row r="15671" spans="59:62" x14ac:dyDescent="0.3">
      <c r="BG15671" s="387"/>
      <c r="BH15671" s="386"/>
      <c r="BI15671" s="386"/>
      <c r="BJ15671" s="46"/>
    </row>
    <row r="15672" spans="59:62" x14ac:dyDescent="0.3">
      <c r="BG15672" s="387"/>
      <c r="BH15672" s="386"/>
      <c r="BI15672" s="386"/>
      <c r="BJ15672" s="46"/>
    </row>
    <row r="15673" spans="59:62" x14ac:dyDescent="0.3">
      <c r="BG15673" s="387"/>
      <c r="BH15673" s="386"/>
      <c r="BI15673" s="386"/>
      <c r="BJ15673" s="46"/>
    </row>
    <row r="15674" spans="59:62" x14ac:dyDescent="0.3">
      <c r="BG15674" s="387"/>
      <c r="BH15674" s="386"/>
      <c r="BI15674" s="386"/>
      <c r="BJ15674" s="46"/>
    </row>
    <row r="15675" spans="59:62" x14ac:dyDescent="0.3">
      <c r="BG15675" s="387"/>
      <c r="BH15675" s="386"/>
      <c r="BI15675" s="386"/>
      <c r="BJ15675" s="46"/>
    </row>
    <row r="15676" spans="59:62" x14ac:dyDescent="0.3">
      <c r="BG15676" s="387"/>
      <c r="BH15676" s="386"/>
      <c r="BI15676" s="386"/>
      <c r="BJ15676" s="46"/>
    </row>
    <row r="15677" spans="59:62" x14ac:dyDescent="0.3">
      <c r="BG15677" s="387"/>
      <c r="BH15677" s="386"/>
      <c r="BI15677" s="386"/>
      <c r="BJ15677" s="46"/>
    </row>
    <row r="15678" spans="59:62" x14ac:dyDescent="0.3">
      <c r="BG15678" s="387"/>
      <c r="BH15678" s="386"/>
      <c r="BI15678" s="386"/>
      <c r="BJ15678" s="46"/>
    </row>
    <row r="15679" spans="59:62" x14ac:dyDescent="0.3">
      <c r="BG15679" s="387"/>
      <c r="BH15679" s="386"/>
      <c r="BI15679" s="386"/>
      <c r="BJ15679" s="46"/>
    </row>
    <row r="15680" spans="59:62" x14ac:dyDescent="0.3">
      <c r="BG15680" s="387"/>
      <c r="BH15680" s="386"/>
      <c r="BI15680" s="386"/>
      <c r="BJ15680" s="46"/>
    </row>
    <row r="15681" spans="59:62" x14ac:dyDescent="0.3">
      <c r="BG15681" s="387"/>
      <c r="BH15681" s="386"/>
      <c r="BI15681" s="386"/>
      <c r="BJ15681" s="46"/>
    </row>
    <row r="15682" spans="59:62" x14ac:dyDescent="0.3">
      <c r="BG15682" s="387"/>
      <c r="BH15682" s="386"/>
      <c r="BI15682" s="386"/>
      <c r="BJ15682" s="46"/>
    </row>
    <row r="15683" spans="59:62" x14ac:dyDescent="0.3">
      <c r="BG15683" s="387"/>
      <c r="BH15683" s="386"/>
      <c r="BI15683" s="386"/>
      <c r="BJ15683" s="46"/>
    </row>
    <row r="15684" spans="59:62" x14ac:dyDescent="0.3">
      <c r="BG15684" s="387"/>
      <c r="BH15684" s="386"/>
      <c r="BI15684" s="386"/>
      <c r="BJ15684" s="46"/>
    </row>
    <row r="15685" spans="59:62" x14ac:dyDescent="0.3">
      <c r="BG15685" s="387"/>
      <c r="BH15685" s="386"/>
      <c r="BI15685" s="386"/>
      <c r="BJ15685" s="46"/>
    </row>
    <row r="15686" spans="59:62" x14ac:dyDescent="0.3">
      <c r="BG15686" s="387"/>
      <c r="BH15686" s="386"/>
      <c r="BI15686" s="386"/>
      <c r="BJ15686" s="46"/>
    </row>
    <row r="15687" spans="59:62" x14ac:dyDescent="0.3">
      <c r="BG15687" s="387"/>
      <c r="BH15687" s="386"/>
      <c r="BI15687" s="386"/>
      <c r="BJ15687" s="46"/>
    </row>
    <row r="15688" spans="59:62" x14ac:dyDescent="0.3">
      <c r="BG15688" s="387"/>
      <c r="BH15688" s="386"/>
      <c r="BI15688" s="386"/>
      <c r="BJ15688" s="46"/>
    </row>
    <row r="15689" spans="59:62" x14ac:dyDescent="0.3">
      <c r="BG15689" s="387"/>
      <c r="BH15689" s="386"/>
      <c r="BI15689" s="386"/>
      <c r="BJ15689" s="46"/>
    </row>
    <row r="15690" spans="59:62" x14ac:dyDescent="0.3">
      <c r="BG15690" s="387"/>
      <c r="BH15690" s="386"/>
      <c r="BI15690" s="386"/>
      <c r="BJ15690" s="46"/>
    </row>
    <row r="15691" spans="59:62" x14ac:dyDescent="0.3">
      <c r="BG15691" s="387"/>
      <c r="BH15691" s="386"/>
      <c r="BI15691" s="386"/>
      <c r="BJ15691" s="46"/>
    </row>
    <row r="15692" spans="59:62" x14ac:dyDescent="0.3">
      <c r="BG15692" s="387"/>
      <c r="BH15692" s="386"/>
      <c r="BI15692" s="386"/>
      <c r="BJ15692" s="46"/>
    </row>
    <row r="15693" spans="59:62" x14ac:dyDescent="0.3">
      <c r="BG15693" s="387"/>
      <c r="BH15693" s="386"/>
      <c r="BI15693" s="386"/>
      <c r="BJ15693" s="46"/>
    </row>
    <row r="15694" spans="59:62" x14ac:dyDescent="0.3">
      <c r="BG15694" s="387"/>
      <c r="BH15694" s="386"/>
      <c r="BI15694" s="386"/>
      <c r="BJ15694" s="46"/>
    </row>
    <row r="15695" spans="59:62" x14ac:dyDescent="0.3">
      <c r="BG15695" s="387"/>
      <c r="BH15695" s="386"/>
      <c r="BI15695" s="386"/>
      <c r="BJ15695" s="46"/>
    </row>
    <row r="15696" spans="59:62" x14ac:dyDescent="0.3">
      <c r="BG15696" s="387"/>
      <c r="BH15696" s="386"/>
      <c r="BI15696" s="386"/>
      <c r="BJ15696" s="46"/>
    </row>
    <row r="15697" spans="59:62" x14ac:dyDescent="0.3">
      <c r="BG15697" s="387"/>
      <c r="BH15697" s="386"/>
      <c r="BI15697" s="386"/>
      <c r="BJ15697" s="46"/>
    </row>
    <row r="15698" spans="59:62" x14ac:dyDescent="0.3">
      <c r="BG15698" s="387"/>
      <c r="BH15698" s="386"/>
      <c r="BI15698" s="386"/>
      <c r="BJ15698" s="46"/>
    </row>
    <row r="15699" spans="59:62" x14ac:dyDescent="0.3">
      <c r="BG15699" s="387"/>
      <c r="BH15699" s="386"/>
      <c r="BI15699" s="386"/>
      <c r="BJ15699" s="46"/>
    </row>
    <row r="15700" spans="59:62" x14ac:dyDescent="0.3">
      <c r="BG15700" s="387"/>
      <c r="BH15700" s="386"/>
      <c r="BI15700" s="386"/>
      <c r="BJ15700" s="46"/>
    </row>
    <row r="15701" spans="59:62" x14ac:dyDescent="0.3">
      <c r="BG15701" s="387"/>
      <c r="BH15701" s="386"/>
      <c r="BI15701" s="386"/>
      <c r="BJ15701" s="46"/>
    </row>
    <row r="15702" spans="59:62" x14ac:dyDescent="0.3">
      <c r="BG15702" s="387"/>
      <c r="BH15702" s="386"/>
      <c r="BI15702" s="386"/>
      <c r="BJ15702" s="46"/>
    </row>
    <row r="15703" spans="59:62" x14ac:dyDescent="0.3">
      <c r="BG15703" s="387"/>
      <c r="BH15703" s="386"/>
      <c r="BI15703" s="386"/>
      <c r="BJ15703" s="46"/>
    </row>
    <row r="15704" spans="59:62" x14ac:dyDescent="0.3">
      <c r="BG15704" s="387"/>
      <c r="BH15704" s="386"/>
      <c r="BI15704" s="386"/>
      <c r="BJ15704" s="46"/>
    </row>
    <row r="15705" spans="59:62" x14ac:dyDescent="0.3">
      <c r="BG15705" s="387"/>
      <c r="BH15705" s="386"/>
      <c r="BI15705" s="386"/>
      <c r="BJ15705" s="46"/>
    </row>
    <row r="15706" spans="59:62" x14ac:dyDescent="0.3">
      <c r="BG15706" s="387"/>
      <c r="BH15706" s="386"/>
      <c r="BI15706" s="386"/>
      <c r="BJ15706" s="46"/>
    </row>
    <row r="15707" spans="59:62" x14ac:dyDescent="0.3">
      <c r="BG15707" s="387"/>
      <c r="BH15707" s="386"/>
      <c r="BI15707" s="386"/>
      <c r="BJ15707" s="46"/>
    </row>
    <row r="15708" spans="59:62" x14ac:dyDescent="0.3">
      <c r="BG15708" s="387"/>
      <c r="BH15708" s="386"/>
      <c r="BI15708" s="386"/>
      <c r="BJ15708" s="46"/>
    </row>
    <row r="15709" spans="59:62" x14ac:dyDescent="0.3">
      <c r="BG15709" s="387"/>
      <c r="BH15709" s="386"/>
      <c r="BI15709" s="386"/>
      <c r="BJ15709" s="46"/>
    </row>
    <row r="15710" spans="59:62" x14ac:dyDescent="0.3">
      <c r="BG15710" s="387"/>
      <c r="BH15710" s="386"/>
      <c r="BI15710" s="386"/>
      <c r="BJ15710" s="46"/>
    </row>
    <row r="15711" spans="59:62" x14ac:dyDescent="0.3">
      <c r="BG15711" s="387"/>
      <c r="BH15711" s="386"/>
      <c r="BI15711" s="386"/>
      <c r="BJ15711" s="46"/>
    </row>
    <row r="15712" spans="59:62" x14ac:dyDescent="0.3">
      <c r="BG15712" s="387"/>
      <c r="BH15712" s="386"/>
      <c r="BI15712" s="386"/>
      <c r="BJ15712" s="46"/>
    </row>
    <row r="15713" spans="59:62" x14ac:dyDescent="0.3">
      <c r="BG15713" s="387"/>
      <c r="BH15713" s="386"/>
      <c r="BI15713" s="386"/>
      <c r="BJ15713" s="46"/>
    </row>
    <row r="15714" spans="59:62" x14ac:dyDescent="0.3">
      <c r="BG15714" s="387"/>
      <c r="BH15714" s="386"/>
      <c r="BI15714" s="386"/>
      <c r="BJ15714" s="46"/>
    </row>
    <row r="15715" spans="59:62" x14ac:dyDescent="0.3">
      <c r="BG15715" s="387"/>
      <c r="BH15715" s="386"/>
      <c r="BI15715" s="386"/>
      <c r="BJ15715" s="46"/>
    </row>
    <row r="15716" spans="59:62" x14ac:dyDescent="0.3">
      <c r="BG15716" s="387"/>
      <c r="BH15716" s="386"/>
      <c r="BI15716" s="386"/>
      <c r="BJ15716" s="46"/>
    </row>
    <row r="15717" spans="59:62" x14ac:dyDescent="0.3">
      <c r="BG15717" s="387"/>
      <c r="BH15717" s="386"/>
      <c r="BI15717" s="386"/>
      <c r="BJ15717" s="46"/>
    </row>
    <row r="15718" spans="59:62" x14ac:dyDescent="0.3">
      <c r="BG15718" s="387"/>
      <c r="BH15718" s="386"/>
      <c r="BI15718" s="386"/>
      <c r="BJ15718" s="46"/>
    </row>
    <row r="15719" spans="59:62" x14ac:dyDescent="0.3">
      <c r="BG15719" s="387"/>
      <c r="BH15719" s="386"/>
      <c r="BI15719" s="386"/>
      <c r="BJ15719" s="46"/>
    </row>
    <row r="15720" spans="59:62" x14ac:dyDescent="0.3">
      <c r="BG15720" s="387"/>
      <c r="BH15720" s="386"/>
      <c r="BI15720" s="386"/>
      <c r="BJ15720" s="46"/>
    </row>
    <row r="15721" spans="59:62" x14ac:dyDescent="0.3">
      <c r="BG15721" s="387"/>
      <c r="BH15721" s="386"/>
      <c r="BI15721" s="386"/>
      <c r="BJ15721" s="46"/>
    </row>
    <row r="15722" spans="59:62" x14ac:dyDescent="0.3">
      <c r="BG15722" s="387"/>
      <c r="BH15722" s="386"/>
      <c r="BI15722" s="386"/>
      <c r="BJ15722" s="46"/>
    </row>
    <row r="15723" spans="59:62" x14ac:dyDescent="0.3">
      <c r="BG15723" s="387"/>
      <c r="BH15723" s="386"/>
      <c r="BI15723" s="386"/>
      <c r="BJ15723" s="46"/>
    </row>
    <row r="15724" spans="59:62" x14ac:dyDescent="0.3">
      <c r="BG15724" s="387"/>
      <c r="BH15724" s="386"/>
      <c r="BI15724" s="386"/>
      <c r="BJ15724" s="46"/>
    </row>
    <row r="15725" spans="59:62" x14ac:dyDescent="0.3">
      <c r="BG15725" s="387"/>
      <c r="BH15725" s="386"/>
      <c r="BI15725" s="386"/>
      <c r="BJ15725" s="46"/>
    </row>
    <row r="15726" spans="59:62" x14ac:dyDescent="0.3">
      <c r="BG15726" s="387"/>
      <c r="BH15726" s="386"/>
      <c r="BI15726" s="386"/>
      <c r="BJ15726" s="46"/>
    </row>
    <row r="15727" spans="59:62" x14ac:dyDescent="0.3">
      <c r="BG15727" s="387"/>
      <c r="BH15727" s="386"/>
      <c r="BI15727" s="386"/>
      <c r="BJ15727" s="46"/>
    </row>
    <row r="15728" spans="59:62" x14ac:dyDescent="0.3">
      <c r="BG15728" s="387"/>
      <c r="BH15728" s="386"/>
      <c r="BI15728" s="386"/>
      <c r="BJ15728" s="46"/>
    </row>
    <row r="15729" spans="59:62" x14ac:dyDescent="0.3">
      <c r="BG15729" s="387"/>
      <c r="BH15729" s="386"/>
      <c r="BI15729" s="386"/>
      <c r="BJ15729" s="46"/>
    </row>
    <row r="15730" spans="59:62" x14ac:dyDescent="0.3">
      <c r="BG15730" s="387"/>
      <c r="BH15730" s="386"/>
      <c r="BI15730" s="386"/>
      <c r="BJ15730" s="46"/>
    </row>
    <row r="15731" spans="59:62" x14ac:dyDescent="0.3">
      <c r="BG15731" s="387"/>
      <c r="BH15731" s="386"/>
      <c r="BI15731" s="386"/>
      <c r="BJ15731" s="46"/>
    </row>
    <row r="15732" spans="59:62" x14ac:dyDescent="0.3">
      <c r="BG15732" s="387"/>
      <c r="BH15732" s="386"/>
      <c r="BI15732" s="386"/>
      <c r="BJ15732" s="46"/>
    </row>
    <row r="15733" spans="59:62" x14ac:dyDescent="0.3">
      <c r="BG15733" s="387"/>
      <c r="BH15733" s="386"/>
      <c r="BI15733" s="386"/>
      <c r="BJ15733" s="46"/>
    </row>
    <row r="15734" spans="59:62" x14ac:dyDescent="0.3">
      <c r="BG15734" s="387"/>
      <c r="BH15734" s="386"/>
      <c r="BI15734" s="386"/>
      <c r="BJ15734" s="46"/>
    </row>
    <row r="15735" spans="59:62" x14ac:dyDescent="0.3">
      <c r="BG15735" s="387"/>
      <c r="BH15735" s="386"/>
      <c r="BI15735" s="386"/>
      <c r="BJ15735" s="46"/>
    </row>
    <row r="15736" spans="59:62" x14ac:dyDescent="0.3">
      <c r="BG15736" s="387"/>
      <c r="BH15736" s="386"/>
      <c r="BI15736" s="386"/>
      <c r="BJ15736" s="46"/>
    </row>
    <row r="15737" spans="59:62" x14ac:dyDescent="0.3">
      <c r="BG15737" s="387"/>
      <c r="BH15737" s="386"/>
      <c r="BI15737" s="386"/>
      <c r="BJ15737" s="46"/>
    </row>
    <row r="15738" spans="59:62" x14ac:dyDescent="0.3">
      <c r="BG15738" s="387"/>
      <c r="BH15738" s="386"/>
      <c r="BI15738" s="386"/>
      <c r="BJ15738" s="46"/>
    </row>
    <row r="15739" spans="59:62" x14ac:dyDescent="0.3">
      <c r="BG15739" s="387"/>
      <c r="BH15739" s="386"/>
      <c r="BI15739" s="386"/>
      <c r="BJ15739" s="46"/>
    </row>
    <row r="15740" spans="59:62" x14ac:dyDescent="0.3">
      <c r="BG15740" s="387"/>
      <c r="BH15740" s="386"/>
      <c r="BI15740" s="386"/>
      <c r="BJ15740" s="46"/>
    </row>
    <row r="15741" spans="59:62" x14ac:dyDescent="0.3">
      <c r="BG15741" s="387"/>
      <c r="BH15741" s="386"/>
      <c r="BI15741" s="386"/>
      <c r="BJ15741" s="46"/>
    </row>
    <row r="15742" spans="59:62" x14ac:dyDescent="0.3">
      <c r="BG15742" s="387"/>
      <c r="BH15742" s="386"/>
      <c r="BI15742" s="386"/>
      <c r="BJ15742" s="46"/>
    </row>
    <row r="15743" spans="59:62" x14ac:dyDescent="0.3">
      <c r="BG15743" s="387"/>
      <c r="BH15743" s="386"/>
      <c r="BI15743" s="386"/>
      <c r="BJ15743" s="46"/>
    </row>
    <row r="15744" spans="59:62" x14ac:dyDescent="0.3">
      <c r="BG15744" s="387"/>
      <c r="BH15744" s="386"/>
      <c r="BI15744" s="386"/>
      <c r="BJ15744" s="46"/>
    </row>
    <row r="15745" spans="59:62" x14ac:dyDescent="0.3">
      <c r="BG15745" s="387"/>
      <c r="BH15745" s="386"/>
      <c r="BI15745" s="386"/>
      <c r="BJ15745" s="46"/>
    </row>
    <row r="15746" spans="59:62" x14ac:dyDescent="0.3">
      <c r="BG15746" s="387"/>
      <c r="BH15746" s="386"/>
      <c r="BI15746" s="386"/>
      <c r="BJ15746" s="46"/>
    </row>
    <row r="15747" spans="59:62" x14ac:dyDescent="0.3">
      <c r="BG15747" s="387"/>
      <c r="BH15747" s="386"/>
      <c r="BI15747" s="386"/>
      <c r="BJ15747" s="46"/>
    </row>
    <row r="15748" spans="59:62" x14ac:dyDescent="0.3">
      <c r="BG15748" s="387"/>
      <c r="BH15748" s="386"/>
      <c r="BI15748" s="386"/>
      <c r="BJ15748" s="46"/>
    </row>
    <row r="15749" spans="59:62" x14ac:dyDescent="0.3">
      <c r="BG15749" s="387"/>
      <c r="BH15749" s="386"/>
      <c r="BI15749" s="386"/>
      <c r="BJ15749" s="46"/>
    </row>
    <row r="15750" spans="59:62" x14ac:dyDescent="0.3">
      <c r="BG15750" s="387"/>
      <c r="BH15750" s="386"/>
      <c r="BI15750" s="386"/>
      <c r="BJ15750" s="46"/>
    </row>
    <row r="15751" spans="59:62" x14ac:dyDescent="0.3">
      <c r="BG15751" s="387"/>
      <c r="BH15751" s="386"/>
      <c r="BI15751" s="386"/>
      <c r="BJ15751" s="46"/>
    </row>
    <row r="15752" spans="59:62" x14ac:dyDescent="0.3">
      <c r="BG15752" s="387"/>
      <c r="BH15752" s="386"/>
      <c r="BI15752" s="386"/>
      <c r="BJ15752" s="46"/>
    </row>
    <row r="15753" spans="59:62" x14ac:dyDescent="0.3">
      <c r="BG15753" s="387"/>
      <c r="BH15753" s="386"/>
      <c r="BI15753" s="386"/>
      <c r="BJ15753" s="46"/>
    </row>
    <row r="15754" spans="59:62" x14ac:dyDescent="0.3">
      <c r="BG15754" s="387"/>
      <c r="BH15754" s="386"/>
      <c r="BI15754" s="386"/>
      <c r="BJ15754" s="46"/>
    </row>
    <row r="15755" spans="59:62" x14ac:dyDescent="0.3">
      <c r="BG15755" s="387"/>
      <c r="BH15755" s="386"/>
      <c r="BI15755" s="386"/>
      <c r="BJ15755" s="46"/>
    </row>
    <row r="15756" spans="59:62" x14ac:dyDescent="0.3">
      <c r="BG15756" s="387"/>
      <c r="BH15756" s="386"/>
      <c r="BI15756" s="386"/>
      <c r="BJ15756" s="46"/>
    </row>
    <row r="15757" spans="59:62" x14ac:dyDescent="0.3">
      <c r="BG15757" s="387"/>
      <c r="BH15757" s="386"/>
      <c r="BI15757" s="386"/>
      <c r="BJ15757" s="46"/>
    </row>
    <row r="15758" spans="59:62" x14ac:dyDescent="0.3">
      <c r="BG15758" s="387"/>
      <c r="BH15758" s="386"/>
      <c r="BI15758" s="386"/>
      <c r="BJ15758" s="46"/>
    </row>
    <row r="15759" spans="59:62" x14ac:dyDescent="0.3">
      <c r="BG15759" s="387"/>
      <c r="BH15759" s="386"/>
      <c r="BI15759" s="386"/>
      <c r="BJ15759" s="46"/>
    </row>
    <row r="15760" spans="59:62" x14ac:dyDescent="0.3">
      <c r="BG15760" s="387"/>
      <c r="BH15760" s="386"/>
      <c r="BI15760" s="386"/>
      <c r="BJ15760" s="46"/>
    </row>
    <row r="15761" spans="59:62" x14ac:dyDescent="0.3">
      <c r="BG15761" s="387"/>
      <c r="BH15761" s="386"/>
      <c r="BI15761" s="386"/>
      <c r="BJ15761" s="46"/>
    </row>
    <row r="15762" spans="59:62" x14ac:dyDescent="0.3">
      <c r="BG15762" s="387"/>
      <c r="BH15762" s="386"/>
      <c r="BI15762" s="386"/>
      <c r="BJ15762" s="46"/>
    </row>
    <row r="15763" spans="59:62" x14ac:dyDescent="0.3">
      <c r="BG15763" s="387"/>
      <c r="BH15763" s="386"/>
      <c r="BI15763" s="386"/>
      <c r="BJ15763" s="46"/>
    </row>
    <row r="15764" spans="59:62" x14ac:dyDescent="0.3">
      <c r="BG15764" s="387"/>
      <c r="BH15764" s="386"/>
      <c r="BI15764" s="386"/>
      <c r="BJ15764" s="46"/>
    </row>
    <row r="15765" spans="59:62" x14ac:dyDescent="0.3">
      <c r="BG15765" s="387"/>
      <c r="BH15765" s="386"/>
      <c r="BI15765" s="386"/>
      <c r="BJ15765" s="46"/>
    </row>
    <row r="15766" spans="59:62" x14ac:dyDescent="0.3">
      <c r="BG15766" s="387"/>
      <c r="BH15766" s="386"/>
      <c r="BI15766" s="386"/>
      <c r="BJ15766" s="46"/>
    </row>
    <row r="15767" spans="59:62" x14ac:dyDescent="0.3">
      <c r="BG15767" s="387"/>
      <c r="BH15767" s="386"/>
      <c r="BI15767" s="386"/>
      <c r="BJ15767" s="46"/>
    </row>
    <row r="15768" spans="59:62" x14ac:dyDescent="0.3">
      <c r="BG15768" s="387"/>
      <c r="BH15768" s="386"/>
      <c r="BI15768" s="386"/>
      <c r="BJ15768" s="46"/>
    </row>
    <row r="15769" spans="59:62" x14ac:dyDescent="0.3">
      <c r="BG15769" s="387"/>
      <c r="BH15769" s="386"/>
      <c r="BI15769" s="386"/>
      <c r="BJ15769" s="46"/>
    </row>
    <row r="15770" spans="59:62" x14ac:dyDescent="0.3">
      <c r="BG15770" s="387"/>
      <c r="BH15770" s="386"/>
      <c r="BI15770" s="386"/>
      <c r="BJ15770" s="46"/>
    </row>
    <row r="15771" spans="59:62" x14ac:dyDescent="0.3">
      <c r="BG15771" s="387"/>
      <c r="BH15771" s="386"/>
      <c r="BI15771" s="386"/>
      <c r="BJ15771" s="46"/>
    </row>
    <row r="15772" spans="59:62" x14ac:dyDescent="0.3">
      <c r="BG15772" s="387"/>
      <c r="BH15772" s="386"/>
      <c r="BI15772" s="386"/>
      <c r="BJ15772" s="46"/>
    </row>
    <row r="15773" spans="59:62" x14ac:dyDescent="0.3">
      <c r="BG15773" s="387"/>
      <c r="BH15773" s="386"/>
      <c r="BI15773" s="386"/>
      <c r="BJ15773" s="46"/>
    </row>
    <row r="15774" spans="59:62" x14ac:dyDescent="0.3">
      <c r="BG15774" s="387"/>
      <c r="BH15774" s="386"/>
      <c r="BI15774" s="386"/>
      <c r="BJ15774" s="46"/>
    </row>
    <row r="15775" spans="59:62" x14ac:dyDescent="0.3">
      <c r="BG15775" s="387"/>
      <c r="BH15775" s="386"/>
      <c r="BI15775" s="386"/>
      <c r="BJ15775" s="46"/>
    </row>
    <row r="15776" spans="59:62" x14ac:dyDescent="0.3">
      <c r="BG15776" s="387"/>
      <c r="BH15776" s="386"/>
      <c r="BI15776" s="386"/>
      <c r="BJ15776" s="46"/>
    </row>
    <row r="15777" spans="59:62" x14ac:dyDescent="0.3">
      <c r="BG15777" s="387"/>
      <c r="BH15777" s="386"/>
      <c r="BI15777" s="386"/>
      <c r="BJ15777" s="46"/>
    </row>
    <row r="15778" spans="59:62" x14ac:dyDescent="0.3">
      <c r="BG15778" s="387"/>
      <c r="BH15778" s="386"/>
      <c r="BI15778" s="386"/>
      <c r="BJ15778" s="46"/>
    </row>
    <row r="15779" spans="59:62" x14ac:dyDescent="0.3">
      <c r="BG15779" s="387"/>
      <c r="BH15779" s="386"/>
      <c r="BI15779" s="386"/>
      <c r="BJ15779" s="46"/>
    </row>
    <row r="15780" spans="59:62" x14ac:dyDescent="0.3">
      <c r="BG15780" s="387"/>
      <c r="BH15780" s="386"/>
      <c r="BI15780" s="386"/>
      <c r="BJ15780" s="46"/>
    </row>
    <row r="15781" spans="59:62" x14ac:dyDescent="0.3">
      <c r="BG15781" s="387"/>
      <c r="BH15781" s="386"/>
      <c r="BI15781" s="386"/>
      <c r="BJ15781" s="46"/>
    </row>
    <row r="15782" spans="59:62" x14ac:dyDescent="0.3">
      <c r="BG15782" s="387"/>
      <c r="BH15782" s="386"/>
      <c r="BI15782" s="386"/>
      <c r="BJ15782" s="46"/>
    </row>
    <row r="15783" spans="59:62" x14ac:dyDescent="0.3">
      <c r="BG15783" s="387"/>
      <c r="BH15783" s="386"/>
      <c r="BI15783" s="386"/>
      <c r="BJ15783" s="46"/>
    </row>
    <row r="15784" spans="59:62" x14ac:dyDescent="0.3">
      <c r="BG15784" s="387"/>
      <c r="BH15784" s="386"/>
      <c r="BI15784" s="386"/>
      <c r="BJ15784" s="46"/>
    </row>
    <row r="15785" spans="59:62" x14ac:dyDescent="0.3">
      <c r="BG15785" s="387"/>
      <c r="BH15785" s="386"/>
      <c r="BI15785" s="386"/>
      <c r="BJ15785" s="46"/>
    </row>
    <row r="15786" spans="59:62" x14ac:dyDescent="0.3">
      <c r="BG15786" s="387"/>
      <c r="BH15786" s="386"/>
      <c r="BI15786" s="386"/>
      <c r="BJ15786" s="46"/>
    </row>
    <row r="15787" spans="59:62" x14ac:dyDescent="0.3">
      <c r="BG15787" s="387"/>
      <c r="BH15787" s="386"/>
      <c r="BI15787" s="386"/>
      <c r="BJ15787" s="46"/>
    </row>
    <row r="15788" spans="59:62" x14ac:dyDescent="0.3">
      <c r="BG15788" s="387"/>
      <c r="BH15788" s="386"/>
      <c r="BI15788" s="386"/>
      <c r="BJ15788" s="46"/>
    </row>
    <row r="15789" spans="59:62" x14ac:dyDescent="0.3">
      <c r="BG15789" s="387"/>
      <c r="BH15789" s="386"/>
      <c r="BI15789" s="386"/>
      <c r="BJ15789" s="46"/>
    </row>
    <row r="15790" spans="59:62" x14ac:dyDescent="0.3">
      <c r="BG15790" s="387"/>
      <c r="BH15790" s="386"/>
      <c r="BI15790" s="386"/>
      <c r="BJ15790" s="46"/>
    </row>
    <row r="15791" spans="59:62" x14ac:dyDescent="0.3">
      <c r="BG15791" s="387"/>
      <c r="BH15791" s="386"/>
      <c r="BI15791" s="386"/>
      <c r="BJ15791" s="46"/>
    </row>
    <row r="15792" spans="59:62" x14ac:dyDescent="0.3">
      <c r="BG15792" s="387"/>
      <c r="BH15792" s="386"/>
      <c r="BI15792" s="386"/>
      <c r="BJ15792" s="46"/>
    </row>
    <row r="15793" spans="59:62" x14ac:dyDescent="0.3">
      <c r="BG15793" s="387"/>
      <c r="BH15793" s="386"/>
      <c r="BI15793" s="386"/>
      <c r="BJ15793" s="46"/>
    </row>
    <row r="15794" spans="59:62" x14ac:dyDescent="0.3">
      <c r="BG15794" s="387"/>
      <c r="BH15794" s="386"/>
      <c r="BI15794" s="386"/>
      <c r="BJ15794" s="46"/>
    </row>
    <row r="15795" spans="59:62" x14ac:dyDescent="0.3">
      <c r="BG15795" s="387"/>
      <c r="BH15795" s="386"/>
      <c r="BI15795" s="386"/>
      <c r="BJ15795" s="46"/>
    </row>
    <row r="15796" spans="59:62" x14ac:dyDescent="0.3">
      <c r="BG15796" s="387"/>
      <c r="BH15796" s="386"/>
      <c r="BI15796" s="386"/>
      <c r="BJ15796" s="46"/>
    </row>
    <row r="15797" spans="59:62" x14ac:dyDescent="0.3">
      <c r="BG15797" s="387"/>
      <c r="BH15797" s="386"/>
      <c r="BI15797" s="386"/>
      <c r="BJ15797" s="46"/>
    </row>
    <row r="15798" spans="59:62" x14ac:dyDescent="0.3">
      <c r="BG15798" s="387"/>
      <c r="BH15798" s="386"/>
      <c r="BI15798" s="386"/>
      <c r="BJ15798" s="46"/>
    </row>
    <row r="15799" spans="59:62" x14ac:dyDescent="0.3">
      <c r="BG15799" s="387"/>
      <c r="BH15799" s="386"/>
      <c r="BI15799" s="386"/>
      <c r="BJ15799" s="46"/>
    </row>
    <row r="15800" spans="59:62" x14ac:dyDescent="0.3">
      <c r="BG15800" s="387"/>
      <c r="BH15800" s="386"/>
      <c r="BI15800" s="386"/>
      <c r="BJ15800" s="46"/>
    </row>
    <row r="15801" spans="59:62" x14ac:dyDescent="0.3">
      <c r="BG15801" s="387"/>
      <c r="BH15801" s="386"/>
      <c r="BI15801" s="386"/>
      <c r="BJ15801" s="46"/>
    </row>
    <row r="15802" spans="59:62" x14ac:dyDescent="0.3">
      <c r="BG15802" s="387"/>
      <c r="BH15802" s="386"/>
      <c r="BI15802" s="386"/>
      <c r="BJ15802" s="46"/>
    </row>
    <row r="15803" spans="59:62" x14ac:dyDescent="0.3">
      <c r="BG15803" s="387"/>
      <c r="BH15803" s="386"/>
      <c r="BI15803" s="386"/>
      <c r="BJ15803" s="46"/>
    </row>
    <row r="15804" spans="59:62" x14ac:dyDescent="0.3">
      <c r="BG15804" s="387"/>
      <c r="BH15804" s="386"/>
      <c r="BI15804" s="386"/>
      <c r="BJ15804" s="46"/>
    </row>
    <row r="15805" spans="59:62" x14ac:dyDescent="0.3">
      <c r="BG15805" s="387"/>
      <c r="BH15805" s="386"/>
      <c r="BI15805" s="386"/>
      <c r="BJ15805" s="46"/>
    </row>
    <row r="15806" spans="59:62" x14ac:dyDescent="0.3">
      <c r="BG15806" s="387"/>
      <c r="BH15806" s="386"/>
      <c r="BI15806" s="386"/>
      <c r="BJ15806" s="46"/>
    </row>
    <row r="15807" spans="59:62" x14ac:dyDescent="0.3">
      <c r="BG15807" s="387"/>
      <c r="BH15807" s="386"/>
      <c r="BI15807" s="386"/>
      <c r="BJ15807" s="46"/>
    </row>
    <row r="15808" spans="59:62" x14ac:dyDescent="0.3">
      <c r="BG15808" s="387"/>
      <c r="BH15808" s="386"/>
      <c r="BI15808" s="386"/>
      <c r="BJ15808" s="46"/>
    </row>
    <row r="15809" spans="59:62" x14ac:dyDescent="0.3">
      <c r="BG15809" s="387"/>
      <c r="BH15809" s="386"/>
      <c r="BI15809" s="386"/>
      <c r="BJ15809" s="46"/>
    </row>
    <row r="15810" spans="59:62" x14ac:dyDescent="0.3">
      <c r="BG15810" s="387"/>
      <c r="BH15810" s="386"/>
      <c r="BI15810" s="386"/>
      <c r="BJ15810" s="46"/>
    </row>
    <row r="15811" spans="59:62" x14ac:dyDescent="0.3">
      <c r="BG15811" s="387"/>
      <c r="BH15811" s="386"/>
      <c r="BI15811" s="386"/>
      <c r="BJ15811" s="46"/>
    </row>
    <row r="15812" spans="59:62" x14ac:dyDescent="0.3">
      <c r="BG15812" s="387"/>
      <c r="BH15812" s="386"/>
      <c r="BI15812" s="386"/>
      <c r="BJ15812" s="46"/>
    </row>
    <row r="15813" spans="59:62" x14ac:dyDescent="0.3">
      <c r="BG15813" s="387"/>
      <c r="BH15813" s="386"/>
      <c r="BI15813" s="386"/>
      <c r="BJ15813" s="46"/>
    </row>
    <row r="15814" spans="59:62" x14ac:dyDescent="0.3">
      <c r="BG15814" s="387"/>
      <c r="BH15814" s="386"/>
      <c r="BI15814" s="386"/>
      <c r="BJ15814" s="46"/>
    </row>
    <row r="15815" spans="59:62" x14ac:dyDescent="0.3">
      <c r="BG15815" s="387"/>
      <c r="BH15815" s="386"/>
      <c r="BI15815" s="386"/>
      <c r="BJ15815" s="46"/>
    </row>
    <row r="15816" spans="59:62" x14ac:dyDescent="0.3">
      <c r="BG15816" s="387"/>
      <c r="BH15816" s="386"/>
      <c r="BI15816" s="386"/>
      <c r="BJ15816" s="46"/>
    </row>
    <row r="15817" spans="59:62" x14ac:dyDescent="0.3">
      <c r="BG15817" s="387"/>
      <c r="BH15817" s="386"/>
      <c r="BI15817" s="386"/>
      <c r="BJ15817" s="46"/>
    </row>
    <row r="15818" spans="59:62" x14ac:dyDescent="0.3">
      <c r="BG15818" s="387"/>
      <c r="BH15818" s="386"/>
      <c r="BI15818" s="386"/>
      <c r="BJ15818" s="46"/>
    </row>
    <row r="15819" spans="59:62" x14ac:dyDescent="0.3">
      <c r="BG15819" s="387"/>
      <c r="BH15819" s="386"/>
      <c r="BI15819" s="386"/>
      <c r="BJ15819" s="46"/>
    </row>
    <row r="15820" spans="59:62" x14ac:dyDescent="0.3">
      <c r="BG15820" s="387"/>
      <c r="BH15820" s="386"/>
      <c r="BI15820" s="386"/>
      <c r="BJ15820" s="46"/>
    </row>
    <row r="15821" spans="59:62" x14ac:dyDescent="0.3">
      <c r="BG15821" s="387"/>
      <c r="BH15821" s="386"/>
      <c r="BI15821" s="386"/>
      <c r="BJ15821" s="46"/>
    </row>
    <row r="15822" spans="59:62" x14ac:dyDescent="0.3">
      <c r="BG15822" s="387"/>
      <c r="BH15822" s="386"/>
      <c r="BI15822" s="386"/>
      <c r="BJ15822" s="46"/>
    </row>
    <row r="15823" spans="59:62" x14ac:dyDescent="0.3">
      <c r="BG15823" s="387"/>
      <c r="BH15823" s="386"/>
      <c r="BI15823" s="386"/>
      <c r="BJ15823" s="46"/>
    </row>
    <row r="15824" spans="59:62" x14ac:dyDescent="0.3">
      <c r="BG15824" s="387"/>
      <c r="BH15824" s="386"/>
      <c r="BI15824" s="386"/>
      <c r="BJ15824" s="46"/>
    </row>
    <row r="15825" spans="59:62" x14ac:dyDescent="0.3">
      <c r="BG15825" s="387"/>
      <c r="BH15825" s="386"/>
      <c r="BI15825" s="386"/>
      <c r="BJ15825" s="46"/>
    </row>
    <row r="15826" spans="59:62" x14ac:dyDescent="0.3">
      <c r="BG15826" s="387"/>
      <c r="BH15826" s="386"/>
      <c r="BI15826" s="386"/>
      <c r="BJ15826" s="46"/>
    </row>
    <row r="15827" spans="59:62" x14ac:dyDescent="0.3">
      <c r="BG15827" s="387"/>
      <c r="BH15827" s="386"/>
      <c r="BI15827" s="386"/>
      <c r="BJ15827" s="46"/>
    </row>
    <row r="15828" spans="59:62" x14ac:dyDescent="0.3">
      <c r="BG15828" s="387"/>
      <c r="BH15828" s="386"/>
      <c r="BI15828" s="386"/>
      <c r="BJ15828" s="46"/>
    </row>
    <row r="15829" spans="59:62" x14ac:dyDescent="0.3">
      <c r="BG15829" s="387"/>
      <c r="BH15829" s="386"/>
      <c r="BI15829" s="386"/>
      <c r="BJ15829" s="46"/>
    </row>
    <row r="15830" spans="59:62" x14ac:dyDescent="0.3">
      <c r="BG15830" s="387"/>
      <c r="BH15830" s="386"/>
      <c r="BI15830" s="386"/>
      <c r="BJ15830" s="46"/>
    </row>
    <row r="15831" spans="59:62" x14ac:dyDescent="0.3">
      <c r="BG15831" s="387"/>
      <c r="BH15831" s="386"/>
      <c r="BI15831" s="386"/>
      <c r="BJ15831" s="46"/>
    </row>
    <row r="15832" spans="59:62" x14ac:dyDescent="0.3">
      <c r="BG15832" s="387"/>
      <c r="BH15832" s="386"/>
      <c r="BI15832" s="386"/>
      <c r="BJ15832" s="46"/>
    </row>
    <row r="15833" spans="59:62" x14ac:dyDescent="0.3">
      <c r="BG15833" s="387"/>
      <c r="BH15833" s="386"/>
      <c r="BI15833" s="386"/>
      <c r="BJ15833" s="46"/>
    </row>
    <row r="15834" spans="59:62" x14ac:dyDescent="0.3">
      <c r="BG15834" s="387"/>
      <c r="BH15834" s="386"/>
      <c r="BI15834" s="386"/>
      <c r="BJ15834" s="46"/>
    </row>
    <row r="15835" spans="59:62" x14ac:dyDescent="0.3">
      <c r="BG15835" s="387"/>
      <c r="BH15835" s="386"/>
      <c r="BI15835" s="386"/>
      <c r="BJ15835" s="46"/>
    </row>
    <row r="15836" spans="59:62" x14ac:dyDescent="0.3">
      <c r="BG15836" s="387"/>
      <c r="BH15836" s="386"/>
      <c r="BI15836" s="386"/>
      <c r="BJ15836" s="46"/>
    </row>
    <row r="15837" spans="59:62" x14ac:dyDescent="0.3">
      <c r="BG15837" s="387"/>
      <c r="BH15837" s="386"/>
      <c r="BI15837" s="386"/>
      <c r="BJ15837" s="46"/>
    </row>
    <row r="15838" spans="59:62" x14ac:dyDescent="0.3">
      <c r="BG15838" s="387"/>
      <c r="BH15838" s="386"/>
      <c r="BI15838" s="386"/>
      <c r="BJ15838" s="46"/>
    </row>
    <row r="15839" spans="59:62" x14ac:dyDescent="0.3">
      <c r="BG15839" s="387"/>
      <c r="BH15839" s="386"/>
      <c r="BI15839" s="386"/>
      <c r="BJ15839" s="46"/>
    </row>
    <row r="15840" spans="59:62" x14ac:dyDescent="0.3">
      <c r="BG15840" s="387"/>
      <c r="BH15840" s="386"/>
      <c r="BI15840" s="386"/>
      <c r="BJ15840" s="46"/>
    </row>
    <row r="15841" spans="59:62" x14ac:dyDescent="0.3">
      <c r="BG15841" s="387"/>
      <c r="BH15841" s="386"/>
      <c r="BI15841" s="386"/>
      <c r="BJ15841" s="46"/>
    </row>
    <row r="15842" spans="59:62" x14ac:dyDescent="0.3">
      <c r="BG15842" s="387"/>
      <c r="BH15842" s="386"/>
      <c r="BI15842" s="386"/>
      <c r="BJ15842" s="46"/>
    </row>
    <row r="15843" spans="59:62" x14ac:dyDescent="0.3">
      <c r="BG15843" s="387"/>
      <c r="BH15843" s="386"/>
      <c r="BI15843" s="386"/>
      <c r="BJ15843" s="46"/>
    </row>
    <row r="15844" spans="59:62" x14ac:dyDescent="0.3">
      <c r="BG15844" s="387"/>
      <c r="BH15844" s="386"/>
      <c r="BI15844" s="386"/>
      <c r="BJ15844" s="46"/>
    </row>
    <row r="15845" spans="59:62" x14ac:dyDescent="0.3">
      <c r="BG15845" s="387"/>
      <c r="BH15845" s="386"/>
      <c r="BI15845" s="386"/>
      <c r="BJ15845" s="46"/>
    </row>
    <row r="15846" spans="59:62" x14ac:dyDescent="0.3">
      <c r="BG15846" s="387"/>
      <c r="BH15846" s="386"/>
      <c r="BI15846" s="386"/>
      <c r="BJ15846" s="46"/>
    </row>
    <row r="15847" spans="59:62" x14ac:dyDescent="0.3">
      <c r="BG15847" s="387"/>
      <c r="BH15847" s="386"/>
      <c r="BI15847" s="386"/>
      <c r="BJ15847" s="46"/>
    </row>
    <row r="15848" spans="59:62" x14ac:dyDescent="0.3">
      <c r="BG15848" s="387"/>
      <c r="BH15848" s="386"/>
      <c r="BI15848" s="386"/>
      <c r="BJ15848" s="46"/>
    </row>
    <row r="15849" spans="59:62" x14ac:dyDescent="0.3">
      <c r="BG15849" s="387"/>
      <c r="BH15849" s="386"/>
      <c r="BI15849" s="386"/>
      <c r="BJ15849" s="46"/>
    </row>
    <row r="15850" spans="59:62" x14ac:dyDescent="0.3">
      <c r="BG15850" s="387"/>
      <c r="BH15850" s="386"/>
      <c r="BI15850" s="386"/>
      <c r="BJ15850" s="46"/>
    </row>
    <row r="15851" spans="59:62" x14ac:dyDescent="0.3">
      <c r="BG15851" s="387"/>
      <c r="BH15851" s="386"/>
      <c r="BI15851" s="386"/>
      <c r="BJ15851" s="46"/>
    </row>
    <row r="15852" spans="59:62" x14ac:dyDescent="0.3">
      <c r="BG15852" s="387"/>
      <c r="BH15852" s="386"/>
      <c r="BI15852" s="386"/>
      <c r="BJ15852" s="46"/>
    </row>
    <row r="15853" spans="59:62" x14ac:dyDescent="0.3">
      <c r="BG15853" s="387"/>
      <c r="BH15853" s="386"/>
      <c r="BI15853" s="386"/>
      <c r="BJ15853" s="46"/>
    </row>
    <row r="15854" spans="59:62" x14ac:dyDescent="0.3">
      <c r="BG15854" s="387"/>
      <c r="BH15854" s="386"/>
      <c r="BI15854" s="386"/>
      <c r="BJ15854" s="46"/>
    </row>
    <row r="15855" spans="59:62" x14ac:dyDescent="0.3">
      <c r="BG15855" s="387"/>
      <c r="BH15855" s="386"/>
      <c r="BI15855" s="386"/>
      <c r="BJ15855" s="46"/>
    </row>
    <row r="15856" spans="59:62" x14ac:dyDescent="0.3">
      <c r="BG15856" s="387"/>
      <c r="BH15856" s="386"/>
      <c r="BI15856" s="386"/>
      <c r="BJ15856" s="46"/>
    </row>
    <row r="15857" spans="59:62" x14ac:dyDescent="0.3">
      <c r="BG15857" s="387"/>
      <c r="BH15857" s="386"/>
      <c r="BI15857" s="386"/>
      <c r="BJ15857" s="46"/>
    </row>
    <row r="15858" spans="59:62" x14ac:dyDescent="0.3">
      <c r="BG15858" s="387"/>
      <c r="BH15858" s="386"/>
      <c r="BI15858" s="386"/>
      <c r="BJ15858" s="46"/>
    </row>
    <row r="15859" spans="59:62" x14ac:dyDescent="0.3">
      <c r="BG15859" s="387"/>
      <c r="BH15859" s="386"/>
      <c r="BI15859" s="386"/>
      <c r="BJ15859" s="46"/>
    </row>
    <row r="15860" spans="59:62" x14ac:dyDescent="0.3">
      <c r="BG15860" s="387"/>
      <c r="BH15860" s="386"/>
      <c r="BI15860" s="386"/>
      <c r="BJ15860" s="46"/>
    </row>
    <row r="15861" spans="59:62" x14ac:dyDescent="0.3">
      <c r="BG15861" s="387"/>
      <c r="BH15861" s="386"/>
      <c r="BI15861" s="386"/>
      <c r="BJ15861" s="46"/>
    </row>
    <row r="15862" spans="59:62" x14ac:dyDescent="0.3">
      <c r="BG15862" s="387"/>
      <c r="BH15862" s="386"/>
      <c r="BI15862" s="386"/>
      <c r="BJ15862" s="46"/>
    </row>
    <row r="15863" spans="59:62" x14ac:dyDescent="0.3">
      <c r="BG15863" s="387"/>
      <c r="BH15863" s="386"/>
      <c r="BI15863" s="386"/>
      <c r="BJ15863" s="46"/>
    </row>
    <row r="15864" spans="59:62" x14ac:dyDescent="0.3">
      <c r="BG15864" s="387"/>
      <c r="BH15864" s="386"/>
      <c r="BI15864" s="386"/>
      <c r="BJ15864" s="46"/>
    </row>
    <row r="15865" spans="59:62" x14ac:dyDescent="0.3">
      <c r="BG15865" s="387"/>
      <c r="BH15865" s="386"/>
      <c r="BI15865" s="386"/>
      <c r="BJ15865" s="46"/>
    </row>
    <row r="15866" spans="59:62" x14ac:dyDescent="0.3">
      <c r="BG15866" s="387"/>
      <c r="BH15866" s="386"/>
      <c r="BI15866" s="386"/>
      <c r="BJ15866" s="46"/>
    </row>
    <row r="15867" spans="59:62" x14ac:dyDescent="0.3">
      <c r="BG15867" s="387"/>
      <c r="BH15867" s="386"/>
      <c r="BI15867" s="386"/>
      <c r="BJ15867" s="46"/>
    </row>
    <row r="15868" spans="59:62" x14ac:dyDescent="0.3">
      <c r="BG15868" s="387"/>
      <c r="BH15868" s="386"/>
      <c r="BI15868" s="386"/>
      <c r="BJ15868" s="46"/>
    </row>
    <row r="15869" spans="59:62" x14ac:dyDescent="0.3">
      <c r="BG15869" s="387"/>
      <c r="BH15869" s="386"/>
      <c r="BI15869" s="386"/>
      <c r="BJ15869" s="46"/>
    </row>
    <row r="15870" spans="59:62" x14ac:dyDescent="0.3">
      <c r="BG15870" s="387"/>
      <c r="BH15870" s="386"/>
      <c r="BI15870" s="386"/>
      <c r="BJ15870" s="46"/>
    </row>
    <row r="15871" spans="59:62" x14ac:dyDescent="0.3">
      <c r="BG15871" s="387"/>
      <c r="BH15871" s="386"/>
      <c r="BI15871" s="386"/>
      <c r="BJ15871" s="46"/>
    </row>
    <row r="15872" spans="59:62" x14ac:dyDescent="0.3">
      <c r="BG15872" s="387"/>
      <c r="BH15872" s="386"/>
      <c r="BI15872" s="386"/>
      <c r="BJ15872" s="46"/>
    </row>
    <row r="15873" spans="59:62" x14ac:dyDescent="0.3">
      <c r="BG15873" s="387"/>
      <c r="BH15873" s="386"/>
      <c r="BI15873" s="386"/>
      <c r="BJ15873" s="46"/>
    </row>
    <row r="15874" spans="59:62" x14ac:dyDescent="0.3">
      <c r="BG15874" s="387"/>
      <c r="BH15874" s="386"/>
      <c r="BI15874" s="386"/>
      <c r="BJ15874" s="46"/>
    </row>
    <row r="15875" spans="59:62" x14ac:dyDescent="0.3">
      <c r="BG15875" s="387"/>
      <c r="BH15875" s="386"/>
      <c r="BI15875" s="386"/>
      <c r="BJ15875" s="46"/>
    </row>
    <row r="15876" spans="59:62" x14ac:dyDescent="0.3">
      <c r="BG15876" s="387"/>
      <c r="BH15876" s="386"/>
      <c r="BI15876" s="386"/>
      <c r="BJ15876" s="46"/>
    </row>
    <row r="15877" spans="59:62" x14ac:dyDescent="0.3">
      <c r="BG15877" s="387"/>
      <c r="BH15877" s="386"/>
      <c r="BI15877" s="386"/>
      <c r="BJ15877" s="46"/>
    </row>
    <row r="15878" spans="59:62" x14ac:dyDescent="0.3">
      <c r="BG15878" s="387"/>
      <c r="BH15878" s="386"/>
      <c r="BI15878" s="386"/>
      <c r="BJ15878" s="46"/>
    </row>
    <row r="15879" spans="59:62" x14ac:dyDescent="0.3">
      <c r="BG15879" s="387"/>
      <c r="BH15879" s="386"/>
      <c r="BI15879" s="386"/>
      <c r="BJ15879" s="46"/>
    </row>
    <row r="15880" spans="59:62" x14ac:dyDescent="0.3">
      <c r="BG15880" s="387"/>
      <c r="BH15880" s="386"/>
      <c r="BI15880" s="386"/>
      <c r="BJ15880" s="46"/>
    </row>
    <row r="15881" spans="59:62" x14ac:dyDescent="0.3">
      <c r="BG15881" s="387"/>
      <c r="BH15881" s="386"/>
      <c r="BI15881" s="386"/>
      <c r="BJ15881" s="46"/>
    </row>
    <row r="15882" spans="59:62" x14ac:dyDescent="0.3">
      <c r="BG15882" s="387"/>
      <c r="BH15882" s="386"/>
      <c r="BI15882" s="386"/>
      <c r="BJ15882" s="46"/>
    </row>
    <row r="15883" spans="59:62" x14ac:dyDescent="0.3">
      <c r="BG15883" s="387"/>
      <c r="BH15883" s="386"/>
      <c r="BI15883" s="386"/>
      <c r="BJ15883" s="46"/>
    </row>
    <row r="15884" spans="59:62" x14ac:dyDescent="0.3">
      <c r="BG15884" s="387"/>
      <c r="BH15884" s="386"/>
      <c r="BI15884" s="386"/>
      <c r="BJ15884" s="46"/>
    </row>
    <row r="15885" spans="59:62" x14ac:dyDescent="0.3">
      <c r="BG15885" s="387"/>
      <c r="BH15885" s="386"/>
      <c r="BI15885" s="386"/>
      <c r="BJ15885" s="46"/>
    </row>
    <row r="15886" spans="59:62" x14ac:dyDescent="0.3">
      <c r="BG15886" s="387"/>
      <c r="BH15886" s="386"/>
      <c r="BI15886" s="386"/>
      <c r="BJ15886" s="46"/>
    </row>
    <row r="15887" spans="59:62" x14ac:dyDescent="0.3">
      <c r="BG15887" s="387"/>
      <c r="BH15887" s="386"/>
      <c r="BI15887" s="386"/>
      <c r="BJ15887" s="46"/>
    </row>
    <row r="15888" spans="59:62" x14ac:dyDescent="0.3">
      <c r="BG15888" s="387"/>
      <c r="BH15888" s="386"/>
      <c r="BI15888" s="386"/>
      <c r="BJ15888" s="46"/>
    </row>
    <row r="15889" spans="59:62" x14ac:dyDescent="0.3">
      <c r="BG15889" s="387"/>
      <c r="BH15889" s="386"/>
      <c r="BI15889" s="386"/>
      <c r="BJ15889" s="46"/>
    </row>
    <row r="15890" spans="59:62" x14ac:dyDescent="0.3">
      <c r="BG15890" s="387"/>
      <c r="BH15890" s="386"/>
      <c r="BI15890" s="386"/>
      <c r="BJ15890" s="46"/>
    </row>
    <row r="15891" spans="59:62" x14ac:dyDescent="0.3">
      <c r="BG15891" s="387"/>
      <c r="BH15891" s="386"/>
      <c r="BI15891" s="386"/>
      <c r="BJ15891" s="46"/>
    </row>
    <row r="15892" spans="59:62" x14ac:dyDescent="0.3">
      <c r="BG15892" s="387"/>
      <c r="BH15892" s="386"/>
      <c r="BI15892" s="386"/>
      <c r="BJ15892" s="46"/>
    </row>
    <row r="15893" spans="59:62" x14ac:dyDescent="0.3">
      <c r="BG15893" s="387"/>
      <c r="BH15893" s="386"/>
      <c r="BI15893" s="386"/>
      <c r="BJ15893" s="46"/>
    </row>
    <row r="15894" spans="59:62" x14ac:dyDescent="0.3">
      <c r="BG15894" s="387"/>
      <c r="BH15894" s="386"/>
      <c r="BI15894" s="386"/>
      <c r="BJ15894" s="46"/>
    </row>
    <row r="15895" spans="59:62" x14ac:dyDescent="0.3">
      <c r="BG15895" s="387"/>
      <c r="BH15895" s="386"/>
      <c r="BI15895" s="386"/>
      <c r="BJ15895" s="46"/>
    </row>
    <row r="15896" spans="59:62" x14ac:dyDescent="0.3">
      <c r="BG15896" s="387"/>
      <c r="BH15896" s="386"/>
      <c r="BI15896" s="386"/>
      <c r="BJ15896" s="46"/>
    </row>
    <row r="15897" spans="59:62" x14ac:dyDescent="0.3">
      <c r="BG15897" s="387"/>
      <c r="BH15897" s="386"/>
      <c r="BI15897" s="386"/>
      <c r="BJ15897" s="46"/>
    </row>
    <row r="15898" spans="59:62" x14ac:dyDescent="0.3">
      <c r="BG15898" s="387"/>
      <c r="BH15898" s="386"/>
      <c r="BI15898" s="386"/>
      <c r="BJ15898" s="46"/>
    </row>
    <row r="15899" spans="59:62" x14ac:dyDescent="0.3">
      <c r="BG15899" s="387"/>
      <c r="BH15899" s="386"/>
      <c r="BI15899" s="386"/>
      <c r="BJ15899" s="46"/>
    </row>
    <row r="15900" spans="59:62" x14ac:dyDescent="0.3">
      <c r="BG15900" s="387"/>
      <c r="BH15900" s="386"/>
      <c r="BI15900" s="386"/>
      <c r="BJ15900" s="46"/>
    </row>
    <row r="15901" spans="59:62" x14ac:dyDescent="0.3">
      <c r="BG15901" s="387"/>
      <c r="BH15901" s="386"/>
      <c r="BI15901" s="386"/>
      <c r="BJ15901" s="46"/>
    </row>
    <row r="15902" spans="59:62" x14ac:dyDescent="0.3">
      <c r="BG15902" s="387"/>
      <c r="BH15902" s="386"/>
      <c r="BI15902" s="386"/>
      <c r="BJ15902" s="46"/>
    </row>
    <row r="15903" spans="59:62" x14ac:dyDescent="0.3">
      <c r="BG15903" s="387"/>
      <c r="BH15903" s="386"/>
      <c r="BI15903" s="386"/>
      <c r="BJ15903" s="46"/>
    </row>
    <row r="15904" spans="59:62" x14ac:dyDescent="0.3">
      <c r="BG15904" s="387"/>
      <c r="BH15904" s="386"/>
      <c r="BI15904" s="386"/>
      <c r="BJ15904" s="46"/>
    </row>
    <row r="15905" spans="59:62" x14ac:dyDescent="0.3">
      <c r="BG15905" s="387"/>
      <c r="BH15905" s="386"/>
      <c r="BI15905" s="386"/>
      <c r="BJ15905" s="46"/>
    </row>
    <row r="15906" spans="59:62" x14ac:dyDescent="0.3">
      <c r="BG15906" s="387"/>
      <c r="BH15906" s="386"/>
      <c r="BI15906" s="386"/>
      <c r="BJ15906" s="46"/>
    </row>
    <row r="15907" spans="59:62" x14ac:dyDescent="0.3">
      <c r="BG15907" s="387"/>
      <c r="BH15907" s="386"/>
      <c r="BI15907" s="386"/>
      <c r="BJ15907" s="46"/>
    </row>
    <row r="15908" spans="59:62" x14ac:dyDescent="0.3">
      <c r="BG15908" s="387"/>
      <c r="BH15908" s="386"/>
      <c r="BI15908" s="386"/>
      <c r="BJ15908" s="46"/>
    </row>
    <row r="15909" spans="59:62" x14ac:dyDescent="0.3">
      <c r="BG15909" s="387"/>
      <c r="BH15909" s="386"/>
      <c r="BI15909" s="386"/>
      <c r="BJ15909" s="46"/>
    </row>
    <row r="15910" spans="59:62" x14ac:dyDescent="0.3">
      <c r="BG15910" s="387"/>
      <c r="BH15910" s="386"/>
      <c r="BI15910" s="386"/>
      <c r="BJ15910" s="46"/>
    </row>
    <row r="15911" spans="59:62" x14ac:dyDescent="0.3">
      <c r="BG15911" s="387"/>
      <c r="BH15911" s="386"/>
      <c r="BI15911" s="386"/>
      <c r="BJ15911" s="46"/>
    </row>
    <row r="15912" spans="59:62" x14ac:dyDescent="0.3">
      <c r="BG15912" s="387"/>
      <c r="BH15912" s="386"/>
      <c r="BI15912" s="386"/>
      <c r="BJ15912" s="46"/>
    </row>
    <row r="15913" spans="59:62" x14ac:dyDescent="0.3">
      <c r="BG15913" s="387"/>
      <c r="BH15913" s="386"/>
      <c r="BI15913" s="386"/>
      <c r="BJ15913" s="46"/>
    </row>
    <row r="15914" spans="59:62" x14ac:dyDescent="0.3">
      <c r="BG15914" s="387"/>
      <c r="BH15914" s="386"/>
      <c r="BI15914" s="386"/>
      <c r="BJ15914" s="46"/>
    </row>
    <row r="15915" spans="59:62" x14ac:dyDescent="0.3">
      <c r="BG15915" s="387"/>
      <c r="BH15915" s="386"/>
      <c r="BI15915" s="386"/>
      <c r="BJ15915" s="46"/>
    </row>
    <row r="15916" spans="59:62" x14ac:dyDescent="0.3">
      <c r="BG15916" s="387"/>
      <c r="BH15916" s="386"/>
      <c r="BI15916" s="386"/>
      <c r="BJ15916" s="46"/>
    </row>
    <row r="15917" spans="59:62" x14ac:dyDescent="0.3">
      <c r="BG15917" s="387"/>
      <c r="BH15917" s="386"/>
      <c r="BI15917" s="386"/>
      <c r="BJ15917" s="46"/>
    </row>
    <row r="15918" spans="59:62" x14ac:dyDescent="0.3">
      <c r="BG15918" s="387"/>
      <c r="BH15918" s="386"/>
      <c r="BI15918" s="386"/>
      <c r="BJ15918" s="46"/>
    </row>
    <row r="15919" spans="59:62" x14ac:dyDescent="0.3">
      <c r="BG15919" s="387"/>
      <c r="BH15919" s="386"/>
      <c r="BI15919" s="386"/>
      <c r="BJ15919" s="46"/>
    </row>
    <row r="15920" spans="59:62" x14ac:dyDescent="0.3">
      <c r="BG15920" s="387"/>
      <c r="BH15920" s="386"/>
      <c r="BI15920" s="386"/>
      <c r="BJ15920" s="46"/>
    </row>
    <row r="15921" spans="59:62" x14ac:dyDescent="0.3">
      <c r="BG15921" s="387"/>
      <c r="BH15921" s="386"/>
      <c r="BI15921" s="386"/>
      <c r="BJ15921" s="46"/>
    </row>
    <row r="15922" spans="59:62" x14ac:dyDescent="0.3">
      <c r="BG15922" s="387"/>
      <c r="BH15922" s="386"/>
      <c r="BI15922" s="386"/>
      <c r="BJ15922" s="46"/>
    </row>
    <row r="15923" spans="59:62" x14ac:dyDescent="0.3">
      <c r="BG15923" s="387"/>
      <c r="BH15923" s="386"/>
      <c r="BI15923" s="386"/>
      <c r="BJ15923" s="46"/>
    </row>
    <row r="15924" spans="59:62" x14ac:dyDescent="0.3">
      <c r="BG15924" s="387"/>
      <c r="BH15924" s="386"/>
      <c r="BI15924" s="386"/>
      <c r="BJ15924" s="46"/>
    </row>
    <row r="15925" spans="59:62" x14ac:dyDescent="0.3">
      <c r="BG15925" s="387"/>
      <c r="BH15925" s="386"/>
      <c r="BI15925" s="386"/>
      <c r="BJ15925" s="46"/>
    </row>
    <row r="15926" spans="59:62" x14ac:dyDescent="0.3">
      <c r="BG15926" s="387"/>
      <c r="BH15926" s="386"/>
      <c r="BI15926" s="386"/>
      <c r="BJ15926" s="46"/>
    </row>
    <row r="15927" spans="59:62" x14ac:dyDescent="0.3">
      <c r="BG15927" s="387"/>
      <c r="BH15927" s="386"/>
      <c r="BI15927" s="386"/>
      <c r="BJ15927" s="46"/>
    </row>
    <row r="15928" spans="59:62" x14ac:dyDescent="0.3">
      <c r="BG15928" s="387"/>
      <c r="BH15928" s="386"/>
      <c r="BI15928" s="386"/>
      <c r="BJ15928" s="46"/>
    </row>
    <row r="15929" spans="59:62" x14ac:dyDescent="0.3">
      <c r="BG15929" s="387"/>
      <c r="BH15929" s="386"/>
      <c r="BI15929" s="386"/>
      <c r="BJ15929" s="46"/>
    </row>
    <row r="15930" spans="59:62" x14ac:dyDescent="0.3">
      <c r="BG15930" s="387"/>
      <c r="BH15930" s="386"/>
      <c r="BI15930" s="386"/>
      <c r="BJ15930" s="46"/>
    </row>
    <row r="15931" spans="59:62" x14ac:dyDescent="0.3">
      <c r="BG15931" s="387"/>
      <c r="BH15931" s="386"/>
      <c r="BI15931" s="386"/>
      <c r="BJ15931" s="46"/>
    </row>
    <row r="15932" spans="59:62" x14ac:dyDescent="0.3">
      <c r="BG15932" s="387"/>
      <c r="BH15932" s="386"/>
      <c r="BI15932" s="386"/>
      <c r="BJ15932" s="46"/>
    </row>
    <row r="15933" spans="59:62" x14ac:dyDescent="0.3">
      <c r="BG15933" s="387"/>
      <c r="BH15933" s="386"/>
      <c r="BI15933" s="386"/>
      <c r="BJ15933" s="46"/>
    </row>
    <row r="15934" spans="59:62" x14ac:dyDescent="0.3">
      <c r="BG15934" s="387"/>
      <c r="BH15934" s="386"/>
      <c r="BI15934" s="386"/>
      <c r="BJ15934" s="46"/>
    </row>
    <row r="15935" spans="59:62" x14ac:dyDescent="0.3">
      <c r="BG15935" s="387"/>
      <c r="BH15935" s="386"/>
      <c r="BI15935" s="386"/>
      <c r="BJ15935" s="46"/>
    </row>
    <row r="15936" spans="59:62" x14ac:dyDescent="0.3">
      <c r="BG15936" s="387"/>
      <c r="BH15936" s="386"/>
      <c r="BI15936" s="386"/>
      <c r="BJ15936" s="46"/>
    </row>
    <row r="15937" spans="59:62" x14ac:dyDescent="0.3">
      <c r="BG15937" s="387"/>
      <c r="BH15937" s="386"/>
      <c r="BI15937" s="386"/>
      <c r="BJ15937" s="46"/>
    </row>
    <row r="15938" spans="59:62" x14ac:dyDescent="0.3">
      <c r="BG15938" s="387"/>
      <c r="BH15938" s="386"/>
      <c r="BI15938" s="386"/>
      <c r="BJ15938" s="46"/>
    </row>
    <row r="15939" spans="59:62" x14ac:dyDescent="0.3">
      <c r="BG15939" s="387"/>
      <c r="BH15939" s="386"/>
      <c r="BI15939" s="386"/>
      <c r="BJ15939" s="46"/>
    </row>
    <row r="15940" spans="59:62" x14ac:dyDescent="0.3">
      <c r="BG15940" s="387"/>
      <c r="BH15940" s="386"/>
      <c r="BI15940" s="386"/>
      <c r="BJ15940" s="46"/>
    </row>
    <row r="15941" spans="59:62" x14ac:dyDescent="0.3">
      <c r="BG15941" s="387"/>
      <c r="BH15941" s="386"/>
      <c r="BI15941" s="386"/>
      <c r="BJ15941" s="46"/>
    </row>
    <row r="15942" spans="59:62" x14ac:dyDescent="0.3">
      <c r="BG15942" s="387"/>
      <c r="BH15942" s="386"/>
      <c r="BI15942" s="386"/>
      <c r="BJ15942" s="46"/>
    </row>
    <row r="15943" spans="59:62" x14ac:dyDescent="0.3">
      <c r="BG15943" s="387"/>
      <c r="BH15943" s="386"/>
      <c r="BI15943" s="386"/>
      <c r="BJ15943" s="46"/>
    </row>
    <row r="15944" spans="59:62" x14ac:dyDescent="0.3">
      <c r="BG15944" s="387"/>
      <c r="BH15944" s="386"/>
      <c r="BI15944" s="386"/>
      <c r="BJ15944" s="46"/>
    </row>
    <row r="15945" spans="59:62" x14ac:dyDescent="0.3">
      <c r="BG15945" s="387"/>
      <c r="BH15945" s="386"/>
      <c r="BI15945" s="386"/>
      <c r="BJ15945" s="46"/>
    </row>
    <row r="15946" spans="59:62" x14ac:dyDescent="0.3">
      <c r="BG15946" s="387"/>
      <c r="BH15946" s="386"/>
      <c r="BI15946" s="386"/>
      <c r="BJ15946" s="46"/>
    </row>
    <row r="15947" spans="59:62" x14ac:dyDescent="0.3">
      <c r="BG15947" s="387"/>
      <c r="BH15947" s="386"/>
      <c r="BI15947" s="386"/>
      <c r="BJ15947" s="46"/>
    </row>
    <row r="15948" spans="59:62" x14ac:dyDescent="0.3">
      <c r="BG15948" s="387"/>
      <c r="BH15948" s="386"/>
      <c r="BI15948" s="386"/>
      <c r="BJ15948" s="46"/>
    </row>
    <row r="15949" spans="59:62" x14ac:dyDescent="0.3">
      <c r="BG15949" s="387"/>
      <c r="BH15949" s="386"/>
      <c r="BI15949" s="386"/>
      <c r="BJ15949" s="46"/>
    </row>
  </sheetData>
  <mergeCells count="4">
    <mergeCell ref="E6:W6"/>
    <mergeCell ref="X6:AP6"/>
    <mergeCell ref="AQ6:BI6"/>
    <mergeCell ref="B2:BI4"/>
  </mergeCells>
  <conditionalFormatting sqref="C450">
    <cfRule type="duplicateValues" dxfId="1197" priority="1563"/>
  </conditionalFormatting>
  <conditionalFormatting sqref="C471">
    <cfRule type="duplicateValues" dxfId="1196" priority="1559"/>
  </conditionalFormatting>
  <conditionalFormatting sqref="C474:C475">
    <cfRule type="duplicateValues" dxfId="1195" priority="1557"/>
  </conditionalFormatting>
  <conditionalFormatting sqref="C615">
    <cfRule type="duplicateValues" dxfId="1194" priority="1527"/>
  </conditionalFormatting>
  <conditionalFormatting sqref="C678">
    <cfRule type="duplicateValues" dxfId="1193" priority="1519"/>
  </conditionalFormatting>
  <conditionalFormatting sqref="C752">
    <cfRule type="duplicateValues" dxfId="1192" priority="1517"/>
  </conditionalFormatting>
  <conditionalFormatting sqref="C611">
    <cfRule type="duplicateValues" dxfId="1191" priority="1487"/>
  </conditionalFormatting>
  <conditionalFormatting sqref="C729 C698 C704">
    <cfRule type="duplicateValues" dxfId="1190" priority="1637"/>
  </conditionalFormatting>
  <conditionalFormatting sqref="C686">
    <cfRule type="duplicateValues" dxfId="1189" priority="1433"/>
  </conditionalFormatting>
  <conditionalFormatting sqref="C213">
    <cfRule type="duplicateValues" dxfId="1188" priority="1792"/>
  </conditionalFormatting>
  <conditionalFormatting sqref="C354">
    <cfRule type="duplicateValues" dxfId="1187" priority="1814"/>
  </conditionalFormatting>
  <conditionalFormatting sqref="C401">
    <cfRule type="duplicateValues" dxfId="1186" priority="1815"/>
  </conditionalFormatting>
  <conditionalFormatting sqref="C455">
    <cfRule type="duplicateValues" dxfId="1185" priority="1822"/>
  </conditionalFormatting>
  <conditionalFormatting sqref="C590">
    <cfRule type="duplicateValues" dxfId="1184" priority="1864"/>
  </conditionalFormatting>
  <conditionalFormatting sqref="C607 C590">
    <cfRule type="duplicateValues" dxfId="1183" priority="1879"/>
  </conditionalFormatting>
  <conditionalFormatting sqref="C609">
    <cfRule type="duplicateValues" dxfId="1182" priority="1882"/>
  </conditionalFormatting>
  <conditionalFormatting sqref="C662 C618">
    <cfRule type="duplicateValues" dxfId="1181" priority="1905"/>
  </conditionalFormatting>
  <conditionalFormatting sqref="C673">
    <cfRule type="duplicateValues" dxfId="1180" priority="1917"/>
  </conditionalFormatting>
  <conditionalFormatting sqref="C692 C687 C684">
    <cfRule type="duplicateValues" dxfId="1179" priority="1921"/>
  </conditionalFormatting>
  <conditionalFormatting sqref="C716 C707:C709 C711">
    <cfRule type="duplicateValues" dxfId="1178" priority="1927"/>
  </conditionalFormatting>
  <conditionalFormatting sqref="C734 C692 C687 C684">
    <cfRule type="duplicateValues" dxfId="1177" priority="1936"/>
  </conditionalFormatting>
  <conditionalFormatting sqref="C756">
    <cfRule type="duplicateValues" dxfId="1176" priority="1939"/>
  </conditionalFormatting>
  <conditionalFormatting sqref="C647">
    <cfRule type="duplicateValues" dxfId="1175" priority="1387"/>
  </conditionalFormatting>
  <conditionalFormatting sqref="C299">
    <cfRule type="duplicateValues" dxfId="1174" priority="1967"/>
  </conditionalFormatting>
  <conditionalFormatting sqref="C1622">
    <cfRule type="duplicateValues" dxfId="1173" priority="1237"/>
  </conditionalFormatting>
  <conditionalFormatting sqref="C3327">
    <cfRule type="duplicateValues" dxfId="1172" priority="1240"/>
  </conditionalFormatting>
  <conditionalFormatting sqref="C3459">
    <cfRule type="duplicateValues" dxfId="1171" priority="1241"/>
  </conditionalFormatting>
  <conditionalFormatting sqref="C3466">
    <cfRule type="duplicateValues" dxfId="1170" priority="1231"/>
  </conditionalFormatting>
  <conditionalFormatting sqref="C498">
    <cfRule type="duplicateValues" dxfId="1169" priority="1971"/>
  </conditionalFormatting>
  <conditionalFormatting sqref="C628 C539">
    <cfRule type="duplicateValues" dxfId="1168" priority="1974"/>
  </conditionalFormatting>
  <conditionalFormatting sqref="C628">
    <cfRule type="duplicateValues" dxfId="1167" priority="1989"/>
  </conditionalFormatting>
  <conditionalFormatting sqref="C739">
    <cfRule type="duplicateValues" dxfId="1166" priority="1991"/>
  </conditionalFormatting>
  <conditionalFormatting sqref="C758">
    <cfRule type="duplicateValues" dxfId="1165" priority="1992"/>
  </conditionalFormatting>
  <conditionalFormatting sqref="C659 C649">
    <cfRule type="duplicateValues" dxfId="1164" priority="2007"/>
  </conditionalFormatting>
  <conditionalFormatting sqref="C716">
    <cfRule type="duplicateValues" dxfId="1163" priority="2022"/>
  </conditionalFormatting>
  <conditionalFormatting sqref="C668">
    <cfRule type="duplicateValues" dxfId="1162" priority="1214"/>
  </conditionalFormatting>
  <conditionalFormatting sqref="C614">
    <cfRule type="duplicateValues" dxfId="1161" priority="2148"/>
  </conditionalFormatting>
  <conditionalFormatting sqref="C551">
    <cfRule type="duplicateValues" dxfId="1160" priority="1212"/>
  </conditionalFormatting>
  <conditionalFormatting sqref="C551">
    <cfRule type="duplicateValues" dxfId="1159" priority="1213"/>
  </conditionalFormatting>
  <conditionalFormatting sqref="C170">
    <cfRule type="duplicateValues" dxfId="1158" priority="1208"/>
  </conditionalFormatting>
  <conditionalFormatting sqref="C219:C221">
    <cfRule type="duplicateValues" dxfId="1157" priority="1205"/>
  </conditionalFormatting>
  <conditionalFormatting sqref="C361:C363">
    <cfRule type="duplicateValues" dxfId="1156" priority="1197"/>
  </conditionalFormatting>
  <conditionalFormatting sqref="C242:C246">
    <cfRule type="duplicateValues" dxfId="1155" priority="1190"/>
  </conditionalFormatting>
  <conditionalFormatting sqref="C761">
    <cfRule type="duplicateValues" dxfId="1154" priority="1189"/>
  </conditionalFormatting>
  <conditionalFormatting sqref="C217:C218">
    <cfRule type="duplicateValues" dxfId="1153" priority="2332"/>
  </conditionalFormatting>
  <conditionalFormatting sqref="C222">
    <cfRule type="duplicateValues" dxfId="1152" priority="2388"/>
  </conditionalFormatting>
  <conditionalFormatting sqref="C655">
    <cfRule type="duplicateValues" dxfId="1151" priority="2670"/>
  </conditionalFormatting>
  <conditionalFormatting sqref="C3366 C3347:C3357 C3345 C1624:C2530 C3362 C3368 C2532:C2807">
    <cfRule type="duplicateValues" dxfId="1150" priority="2768"/>
  </conditionalFormatting>
  <conditionalFormatting sqref="C653">
    <cfRule type="duplicateValues" dxfId="1149" priority="2792"/>
  </conditionalFormatting>
  <conditionalFormatting sqref="C766">
    <cfRule type="duplicateValues" dxfId="1148" priority="2793"/>
  </conditionalFormatting>
  <conditionalFormatting sqref="C737">
    <cfRule type="duplicateValues" dxfId="1147" priority="1185"/>
  </conditionalFormatting>
  <conditionalFormatting sqref="C171:C173 C167:C169">
    <cfRule type="duplicateValues" dxfId="1146" priority="3004"/>
  </conditionalFormatting>
  <conditionalFormatting sqref="C754:C755">
    <cfRule type="duplicateValues" dxfId="1145" priority="3238"/>
  </conditionalFormatting>
  <conditionalFormatting sqref="C92:C96">
    <cfRule type="duplicateValues" dxfId="1144" priority="1184"/>
  </conditionalFormatting>
  <conditionalFormatting sqref="C507">
    <cfRule type="duplicateValues" dxfId="1143" priority="1183"/>
  </conditionalFormatting>
  <conditionalFormatting sqref="C544">
    <cfRule type="duplicateValues" dxfId="1142" priority="1182"/>
  </conditionalFormatting>
  <conditionalFormatting sqref="C746">
    <cfRule type="duplicateValues" dxfId="1141" priority="1180"/>
  </conditionalFormatting>
  <conditionalFormatting sqref="C745">
    <cfRule type="duplicateValues" dxfId="1140" priority="1179"/>
  </conditionalFormatting>
  <conditionalFormatting sqref="C727">
    <cfRule type="duplicateValues" dxfId="1139" priority="1178"/>
  </conditionalFormatting>
  <conditionalFormatting sqref="C726">
    <cfRule type="duplicateValues" dxfId="1138" priority="1177"/>
  </conditionalFormatting>
  <conditionalFormatting sqref="C732:C733">
    <cfRule type="duplicateValues" dxfId="1137" priority="3819"/>
  </conditionalFormatting>
  <conditionalFormatting sqref="C713:C714">
    <cfRule type="duplicateValues" dxfId="1136" priority="3861"/>
  </conditionalFormatting>
  <conditionalFormatting sqref="C2531">
    <cfRule type="duplicateValues" dxfId="1135" priority="1176"/>
  </conditionalFormatting>
  <conditionalFormatting sqref="C3365">
    <cfRule type="duplicateValues" dxfId="1134" priority="1175"/>
  </conditionalFormatting>
  <conditionalFormatting sqref="C3371">
    <cfRule type="duplicateValues" dxfId="1133" priority="1174"/>
  </conditionalFormatting>
  <conditionalFormatting sqref="C603">
    <cfRule type="duplicateValues" dxfId="1132" priority="1173"/>
  </conditionalFormatting>
  <conditionalFormatting sqref="C635">
    <cfRule type="duplicateValues" dxfId="1131" priority="1170"/>
  </conditionalFormatting>
  <conditionalFormatting sqref="C650:C651">
    <cfRule type="duplicateValues" dxfId="1130" priority="4098"/>
  </conditionalFormatting>
  <conditionalFormatting sqref="C656:C657">
    <cfRule type="duplicateValues" dxfId="1129" priority="4111"/>
  </conditionalFormatting>
  <conditionalFormatting sqref="C3363">
    <cfRule type="duplicateValues" dxfId="1128" priority="1168"/>
  </conditionalFormatting>
  <conditionalFormatting sqref="C3361">
    <cfRule type="duplicateValues" dxfId="1127" priority="4138"/>
  </conditionalFormatting>
  <conditionalFormatting sqref="C3364">
    <cfRule type="duplicateValues" dxfId="1126" priority="4147"/>
  </conditionalFormatting>
  <conditionalFormatting sqref="C364:C383">
    <cfRule type="duplicateValues" dxfId="1125" priority="4254"/>
  </conditionalFormatting>
  <conditionalFormatting sqref="C604:C605 C592:C595 C602">
    <cfRule type="duplicateValues" dxfId="1124" priority="4371"/>
  </conditionalFormatting>
  <conditionalFormatting sqref="C621:C622 C624:C626">
    <cfRule type="duplicateValues" dxfId="1123" priority="4393"/>
  </conditionalFormatting>
  <conditionalFormatting sqref="C637 C630">
    <cfRule type="duplicateValues" dxfId="1122" priority="4414"/>
  </conditionalFormatting>
  <conditionalFormatting sqref="C645">
    <cfRule type="duplicateValues" dxfId="1121" priority="4435"/>
  </conditionalFormatting>
  <conditionalFormatting sqref="C661">
    <cfRule type="duplicateValues" dxfId="1120" priority="4454"/>
  </conditionalFormatting>
  <conditionalFormatting sqref="C681:C682">
    <cfRule type="duplicateValues" dxfId="1119" priority="4490"/>
  </conditionalFormatting>
  <conditionalFormatting sqref="C724 C718:C722">
    <cfRule type="duplicateValues" dxfId="1118" priority="4537"/>
  </conditionalFormatting>
  <conditionalFormatting sqref="C743:C744 C747:C748">
    <cfRule type="duplicateValues" dxfId="1117" priority="4538"/>
  </conditionalFormatting>
  <conditionalFormatting sqref="C762:C763">
    <cfRule type="duplicateValues" dxfId="1116" priority="4539"/>
  </conditionalFormatting>
  <conditionalFormatting sqref="C452:C453">
    <cfRule type="duplicateValues" dxfId="1115" priority="4560"/>
  </conditionalFormatting>
  <conditionalFormatting sqref="C503 C500:C501">
    <cfRule type="duplicateValues" dxfId="1114" priority="4581"/>
  </conditionalFormatting>
  <conditionalFormatting sqref="C617">
    <cfRule type="duplicateValues" dxfId="1113" priority="4601"/>
  </conditionalFormatting>
  <conditionalFormatting sqref="C3372:C3402 C3367 C3358:C3360 C3329:C3344 C3346 C3369:C3370">
    <cfRule type="duplicateValues" dxfId="1112" priority="4610"/>
  </conditionalFormatting>
  <conditionalFormatting sqref="C3465 C3461:C3463">
    <cfRule type="duplicateValues" dxfId="1111" priority="4611"/>
  </conditionalFormatting>
  <conditionalFormatting sqref="C537 C532:C533 C524:C527 C508">
    <cfRule type="duplicateValues" dxfId="1110" priority="4640"/>
  </conditionalFormatting>
  <conditionalFormatting sqref="C587:C588 C581:C582">
    <cfRule type="duplicateValues" dxfId="1109" priority="4660"/>
  </conditionalFormatting>
  <conditionalFormatting sqref="C22:C32">
    <cfRule type="duplicateValues" dxfId="1108" priority="4680"/>
  </conditionalFormatting>
  <conditionalFormatting sqref="C215:C216">
    <cfRule type="duplicateValues" dxfId="1107" priority="4699"/>
  </conditionalFormatting>
  <conditionalFormatting sqref="C301:C338">
    <cfRule type="duplicateValues" dxfId="1106" priority="4755"/>
  </conditionalFormatting>
  <conditionalFormatting sqref="C357:C360">
    <cfRule type="duplicateValues" dxfId="1105" priority="4774"/>
  </conditionalFormatting>
  <conditionalFormatting sqref="C403:C434">
    <cfRule type="duplicateValues" dxfId="1104" priority="4793"/>
  </conditionalFormatting>
  <conditionalFormatting sqref="C467">
    <cfRule type="duplicateValues" dxfId="1103" priority="1159"/>
  </conditionalFormatting>
  <conditionalFormatting sqref="C457:C464">
    <cfRule type="duplicateValues" dxfId="1102" priority="4812"/>
  </conditionalFormatting>
  <conditionalFormatting sqref="C522">
    <cfRule type="duplicateValues" dxfId="1101" priority="1153"/>
  </conditionalFormatting>
  <conditionalFormatting sqref="C530">
    <cfRule type="duplicateValues" dxfId="1100" priority="1151"/>
  </conditionalFormatting>
  <conditionalFormatting sqref="C535">
    <cfRule type="duplicateValues" dxfId="1099" priority="1149"/>
  </conditionalFormatting>
  <conditionalFormatting sqref="C542">
    <cfRule type="duplicateValues" dxfId="1098" priority="1145"/>
  </conditionalFormatting>
  <conditionalFormatting sqref="C547">
    <cfRule type="duplicateValues" dxfId="1097" priority="1143"/>
  </conditionalFormatting>
  <conditionalFormatting sqref="C454">
    <cfRule type="duplicateValues" dxfId="1096" priority="1141"/>
  </conditionalFormatting>
  <conditionalFormatting sqref="C563">
    <cfRule type="duplicateValues" dxfId="1095" priority="1137"/>
  </conditionalFormatting>
  <conditionalFormatting sqref="C563">
    <cfRule type="duplicateValues" dxfId="1094" priority="1138"/>
  </conditionalFormatting>
  <conditionalFormatting sqref="C567">
    <cfRule type="duplicateValues" dxfId="1093" priority="1134"/>
  </conditionalFormatting>
  <conditionalFormatting sqref="C567">
    <cfRule type="duplicateValues" dxfId="1092" priority="1135"/>
  </conditionalFormatting>
  <conditionalFormatting sqref="C571">
    <cfRule type="duplicateValues" dxfId="1091" priority="1131"/>
  </conditionalFormatting>
  <conditionalFormatting sqref="C571">
    <cfRule type="duplicateValues" dxfId="1090" priority="1132"/>
  </conditionalFormatting>
  <conditionalFormatting sqref="C600">
    <cfRule type="duplicateValues" dxfId="1089" priority="1120"/>
  </conditionalFormatting>
  <conditionalFormatting sqref="C600">
    <cfRule type="duplicateValues" dxfId="1088" priority="1121"/>
  </conditionalFormatting>
  <conditionalFormatting sqref="C769:C1351">
    <cfRule type="duplicateValues" dxfId="1087" priority="4819"/>
  </conditionalFormatting>
  <conditionalFormatting sqref="C116">
    <cfRule type="duplicateValues" dxfId="1086" priority="1094"/>
  </conditionalFormatting>
  <conditionalFormatting sqref="C111:C112 C114:C115">
    <cfRule type="duplicateValues" dxfId="1085" priority="1092"/>
  </conditionalFormatting>
  <conditionalFormatting sqref="C110">
    <cfRule type="duplicateValues" dxfId="1084" priority="1091"/>
  </conditionalFormatting>
  <conditionalFormatting sqref="C106:C109">
    <cfRule type="duplicateValues" dxfId="1083" priority="4863"/>
  </conditionalFormatting>
  <conditionalFormatting sqref="C694:C696">
    <cfRule type="duplicateValues" dxfId="1082" priority="1090"/>
  </conditionalFormatting>
  <conditionalFormatting sqref="C465">
    <cfRule type="duplicateValues" dxfId="1081" priority="1087"/>
  </conditionalFormatting>
  <conditionalFormatting sqref="C466">
    <cfRule type="duplicateValues" dxfId="1080" priority="1086"/>
  </conditionalFormatting>
  <conditionalFormatting sqref="C738">
    <cfRule type="duplicateValues" dxfId="1079" priority="1084"/>
  </conditionalFormatting>
  <conditionalFormatting sqref="C346">
    <cfRule type="duplicateValues" dxfId="1078" priority="1080"/>
  </conditionalFormatting>
  <conditionalFormatting sqref="C388">
    <cfRule type="duplicateValues" dxfId="1077" priority="1079"/>
  </conditionalFormatting>
  <conditionalFormatting sqref="C284">
    <cfRule type="duplicateValues" dxfId="1076" priority="1078"/>
  </conditionalFormatting>
  <conditionalFormatting sqref="C275">
    <cfRule type="duplicateValues" dxfId="1075" priority="1076"/>
  </conditionalFormatting>
  <conditionalFormatting sqref="C440">
    <cfRule type="duplicateValues" dxfId="1074" priority="1072"/>
  </conditionalFormatting>
  <conditionalFormatting sqref="C439">
    <cfRule type="duplicateValues" dxfId="1073" priority="1071"/>
  </conditionalFormatting>
  <conditionalFormatting sqref="C441">
    <cfRule type="duplicateValues" dxfId="1072" priority="1070"/>
  </conditionalFormatting>
  <conditionalFormatting sqref="C345">
    <cfRule type="duplicateValues" dxfId="1071" priority="1069"/>
  </conditionalFormatting>
  <conditionalFormatting sqref="C344">
    <cfRule type="duplicateValues" dxfId="1070" priority="1067"/>
  </conditionalFormatting>
  <conditionalFormatting sqref="C343">
    <cfRule type="duplicateValues" dxfId="1069" priority="1066"/>
  </conditionalFormatting>
  <conditionalFormatting sqref="C342">
    <cfRule type="duplicateValues" dxfId="1068" priority="4908"/>
  </conditionalFormatting>
  <conditionalFormatting sqref="C122">
    <cfRule type="duplicateValues" dxfId="1067" priority="1065"/>
  </conditionalFormatting>
  <conditionalFormatting sqref="C121">
    <cfRule type="duplicateValues" dxfId="1066" priority="1064"/>
  </conditionalFormatting>
  <conditionalFormatting sqref="C120">
    <cfRule type="duplicateValues" dxfId="1065" priority="1063"/>
  </conditionalFormatting>
  <conditionalFormatting sqref="C119">
    <cfRule type="duplicateValues" dxfId="1064" priority="1061"/>
  </conditionalFormatting>
  <conditionalFormatting sqref="C276:C279">
    <cfRule type="duplicateValues" dxfId="1063" priority="4956"/>
  </conditionalFormatting>
  <conditionalFormatting sqref="C127">
    <cfRule type="duplicateValues" dxfId="1062" priority="1059"/>
  </conditionalFormatting>
  <conditionalFormatting sqref="C126">
    <cfRule type="duplicateValues" dxfId="1061" priority="1058"/>
  </conditionalFormatting>
  <conditionalFormatting sqref="C125">
    <cfRule type="duplicateValues" dxfId="1060" priority="1057"/>
  </conditionalFormatting>
  <conditionalFormatting sqref="C124">
    <cfRule type="duplicateValues" dxfId="1059" priority="1056"/>
  </conditionalFormatting>
  <conditionalFormatting sqref="C132">
    <cfRule type="duplicateValues" dxfId="1058" priority="1055"/>
  </conditionalFormatting>
  <conditionalFormatting sqref="C131">
    <cfRule type="duplicateValues" dxfId="1057" priority="1054"/>
  </conditionalFormatting>
  <conditionalFormatting sqref="C130">
    <cfRule type="duplicateValues" dxfId="1056" priority="1053"/>
  </conditionalFormatting>
  <conditionalFormatting sqref="C129">
    <cfRule type="duplicateValues" dxfId="1055" priority="1052"/>
  </conditionalFormatting>
  <conditionalFormatting sqref="C128">
    <cfRule type="duplicateValues" dxfId="1054" priority="1051"/>
  </conditionalFormatting>
  <conditionalFormatting sqref="C393">
    <cfRule type="duplicateValues" dxfId="1053" priority="1049"/>
  </conditionalFormatting>
  <conditionalFormatting sqref="C389">
    <cfRule type="duplicateValues" dxfId="1052" priority="1048"/>
  </conditionalFormatting>
  <conditionalFormatting sqref="C640">
    <cfRule type="duplicateValues" dxfId="1051" priority="1045"/>
  </conditionalFormatting>
  <conditionalFormatting sqref="C643">
    <cfRule type="duplicateValues" dxfId="1050" priority="1042"/>
  </conditionalFormatting>
  <conditionalFormatting sqref="C141">
    <cfRule type="duplicateValues" dxfId="1049" priority="1039"/>
  </conditionalFormatting>
  <conditionalFormatting sqref="C137">
    <cfRule type="duplicateValues" dxfId="1048" priority="1038"/>
  </conditionalFormatting>
  <conditionalFormatting sqref="C136">
    <cfRule type="duplicateValues" dxfId="1047" priority="1037"/>
  </conditionalFormatting>
  <conditionalFormatting sqref="C135">
    <cfRule type="duplicateValues" dxfId="1046" priority="1036"/>
  </conditionalFormatting>
  <conditionalFormatting sqref="C134">
    <cfRule type="duplicateValues" dxfId="1045" priority="1035"/>
  </conditionalFormatting>
  <conditionalFormatting sqref="C133">
    <cfRule type="duplicateValues" dxfId="1044" priority="1034"/>
  </conditionalFormatting>
  <conditionalFormatting sqref="C391">
    <cfRule type="duplicateValues" dxfId="1043" priority="1029"/>
  </conditionalFormatting>
  <conditionalFormatting sqref="C390">
    <cfRule type="duplicateValues" dxfId="1042" priority="1028"/>
  </conditionalFormatting>
  <conditionalFormatting sqref="C560">
    <cfRule type="duplicateValues" dxfId="1041" priority="1023"/>
  </conditionalFormatting>
  <conditionalFormatting sqref="C559">
    <cfRule type="duplicateValues" dxfId="1040" priority="1022"/>
  </conditionalFormatting>
  <conditionalFormatting sqref="C558">
    <cfRule type="duplicateValues" dxfId="1039" priority="1021"/>
  </conditionalFormatting>
  <conditionalFormatting sqref="C697">
    <cfRule type="duplicateValues" dxfId="1038" priority="1018"/>
  </conditionalFormatting>
  <conditionalFormatting sqref="C470">
    <cfRule type="duplicateValues" dxfId="1037" priority="1017"/>
  </conditionalFormatting>
  <conditionalFormatting sqref="C469">
    <cfRule type="duplicateValues" dxfId="1036" priority="1016"/>
  </conditionalFormatting>
  <conditionalFormatting sqref="C468">
    <cfRule type="duplicateValues" dxfId="1035" priority="1015"/>
  </conditionalFormatting>
  <conditionalFormatting sqref="C642">
    <cfRule type="duplicateValues" dxfId="1034" priority="1013"/>
  </conditionalFormatting>
  <conditionalFormatting sqref="C641">
    <cfRule type="duplicateValues" dxfId="1033" priority="1012"/>
  </conditionalFormatting>
  <conditionalFormatting sqref="C287">
    <cfRule type="duplicateValues" dxfId="1032" priority="1011"/>
  </conditionalFormatting>
  <conditionalFormatting sqref="C286">
    <cfRule type="duplicateValues" dxfId="1031" priority="1010"/>
  </conditionalFormatting>
  <conditionalFormatting sqref="C285">
    <cfRule type="duplicateValues" dxfId="1030" priority="1009"/>
  </conditionalFormatting>
  <conditionalFormatting sqref="C351">
    <cfRule type="duplicateValues" dxfId="1029" priority="1007"/>
  </conditionalFormatting>
  <conditionalFormatting sqref="C347">
    <cfRule type="duplicateValues" dxfId="1028" priority="1006"/>
  </conditionalFormatting>
  <conditionalFormatting sqref="C447">
    <cfRule type="duplicateValues" dxfId="1027" priority="1005"/>
  </conditionalFormatting>
  <conditionalFormatting sqref="C446">
    <cfRule type="duplicateValues" dxfId="1026" priority="1004"/>
  </conditionalFormatting>
  <conditionalFormatting sqref="C442">
    <cfRule type="duplicateValues" dxfId="1025" priority="1003"/>
  </conditionalFormatting>
  <conditionalFormatting sqref="C350">
    <cfRule type="duplicateValues" dxfId="1024" priority="1002"/>
  </conditionalFormatting>
  <conditionalFormatting sqref="C349">
    <cfRule type="duplicateValues" dxfId="1023" priority="1001"/>
  </conditionalFormatting>
  <conditionalFormatting sqref="C348">
    <cfRule type="duplicateValues" dxfId="1022" priority="1000"/>
  </conditionalFormatting>
  <conditionalFormatting sqref="C140">
    <cfRule type="duplicateValues" dxfId="1021" priority="999"/>
  </conditionalFormatting>
  <conditionalFormatting sqref="C139">
    <cfRule type="duplicateValues" dxfId="1020" priority="998"/>
  </conditionalFormatting>
  <conditionalFormatting sqref="C138">
    <cfRule type="duplicateValues" dxfId="1019" priority="997"/>
  </conditionalFormatting>
  <conditionalFormatting sqref="C289">
    <cfRule type="duplicateValues" dxfId="1018" priority="989"/>
  </conditionalFormatting>
  <conditionalFormatting sqref="C288">
    <cfRule type="duplicateValues" dxfId="1017" priority="988"/>
  </conditionalFormatting>
  <conditionalFormatting sqref="C147">
    <cfRule type="duplicateValues" dxfId="1016" priority="987"/>
  </conditionalFormatting>
  <conditionalFormatting sqref="C146">
    <cfRule type="duplicateValues" dxfId="1015" priority="986"/>
  </conditionalFormatting>
  <conditionalFormatting sqref="C145">
    <cfRule type="duplicateValues" dxfId="1014" priority="985"/>
  </conditionalFormatting>
  <conditionalFormatting sqref="C144">
    <cfRule type="duplicateValues" dxfId="1013" priority="984"/>
  </conditionalFormatting>
  <conditionalFormatting sqref="C143">
    <cfRule type="duplicateValues" dxfId="1012" priority="983"/>
  </conditionalFormatting>
  <conditionalFormatting sqref="C142">
    <cfRule type="duplicateValues" dxfId="1011" priority="982"/>
  </conditionalFormatting>
  <conditionalFormatting sqref="C445">
    <cfRule type="duplicateValues" dxfId="1010" priority="981"/>
  </conditionalFormatting>
  <conditionalFormatting sqref="C444">
    <cfRule type="duplicateValues" dxfId="1009" priority="980"/>
  </conditionalFormatting>
  <conditionalFormatting sqref="C443">
    <cfRule type="duplicateValues" dxfId="1008" priority="979"/>
  </conditionalFormatting>
  <conditionalFormatting sqref="C291">
    <cfRule type="duplicateValues" dxfId="1007" priority="977"/>
  </conditionalFormatting>
  <conditionalFormatting sqref="C290">
    <cfRule type="duplicateValues" dxfId="1006" priority="976"/>
  </conditionalFormatting>
  <conditionalFormatting sqref="C294">
    <cfRule type="duplicateValues" dxfId="1005" priority="975"/>
  </conditionalFormatting>
  <conditionalFormatting sqref="C293">
    <cfRule type="duplicateValues" dxfId="1004" priority="974"/>
  </conditionalFormatting>
  <conditionalFormatting sqref="C292">
    <cfRule type="duplicateValues" dxfId="1003" priority="972"/>
  </conditionalFormatting>
  <conditionalFormatting sqref="C750">
    <cfRule type="duplicateValues" dxfId="1002" priority="971"/>
  </conditionalFormatting>
  <conditionalFormatting sqref="C751">
    <cfRule type="duplicateValues" dxfId="1001" priority="965"/>
  </conditionalFormatting>
  <conditionalFormatting sqref="C583">
    <cfRule type="duplicateValues" dxfId="1000" priority="961"/>
  </conditionalFormatting>
  <conditionalFormatting sqref="C392">
    <cfRule type="duplicateValues" dxfId="999" priority="957"/>
  </conditionalFormatting>
  <conditionalFormatting sqref="C512">
    <cfRule type="duplicateValues" dxfId="998" priority="956"/>
  </conditionalFormatting>
  <conditionalFormatting sqref="C510:C511">
    <cfRule type="duplicateValues" dxfId="997" priority="954"/>
  </conditionalFormatting>
  <conditionalFormatting sqref="C395">
    <cfRule type="duplicateValues" dxfId="996" priority="952"/>
  </conditionalFormatting>
  <conditionalFormatting sqref="C448">
    <cfRule type="duplicateValues" dxfId="995" priority="948"/>
  </conditionalFormatting>
  <conditionalFormatting sqref="C159">
    <cfRule type="duplicateValues" dxfId="994" priority="947"/>
  </conditionalFormatting>
  <conditionalFormatting sqref="C150">
    <cfRule type="duplicateValues" dxfId="993" priority="946"/>
  </conditionalFormatting>
  <conditionalFormatting sqref="C149">
    <cfRule type="duplicateValues" dxfId="992" priority="945"/>
  </conditionalFormatting>
  <conditionalFormatting sqref="C148">
    <cfRule type="duplicateValues" dxfId="991" priority="944"/>
  </conditionalFormatting>
  <conditionalFormatting sqref="C394">
    <cfRule type="duplicateValues" dxfId="990" priority="942"/>
  </conditionalFormatting>
  <conditionalFormatting sqref="C158">
    <cfRule type="duplicateValues" dxfId="989" priority="941"/>
  </conditionalFormatting>
  <conditionalFormatting sqref="C152">
    <cfRule type="duplicateValues" dxfId="988" priority="940"/>
  </conditionalFormatting>
  <conditionalFormatting sqref="C151">
    <cfRule type="duplicateValues" dxfId="987" priority="939"/>
  </conditionalFormatting>
  <conditionalFormatting sqref="C397">
    <cfRule type="duplicateValues" dxfId="986" priority="937"/>
  </conditionalFormatting>
  <conditionalFormatting sqref="C396">
    <cfRule type="duplicateValues" dxfId="985" priority="936"/>
  </conditionalFormatting>
  <conditionalFormatting sqref="C353">
    <cfRule type="duplicateValues" dxfId="984" priority="932"/>
  </conditionalFormatting>
  <conditionalFormatting sqref="C352">
    <cfRule type="duplicateValues" dxfId="983" priority="931"/>
  </conditionalFormatting>
  <conditionalFormatting sqref="C297">
    <cfRule type="duplicateValues" dxfId="982" priority="930"/>
  </conditionalFormatting>
  <conditionalFormatting sqref="C296">
    <cfRule type="duplicateValues" dxfId="981" priority="929"/>
  </conditionalFormatting>
  <conditionalFormatting sqref="C295">
    <cfRule type="duplicateValues" dxfId="980" priority="928"/>
  </conditionalFormatting>
  <conditionalFormatting sqref="C632">
    <cfRule type="duplicateValues" dxfId="979" priority="926"/>
  </conditionalFormatting>
  <conditionalFormatting sqref="C631">
    <cfRule type="duplicateValues" dxfId="978" priority="925"/>
  </conditionalFormatting>
  <conditionalFormatting sqref="C400">
    <cfRule type="duplicateValues" dxfId="977" priority="922"/>
  </conditionalFormatting>
  <conditionalFormatting sqref="C399">
    <cfRule type="duplicateValues" dxfId="976" priority="921"/>
  </conditionalFormatting>
  <conditionalFormatting sqref="C398">
    <cfRule type="duplicateValues" dxfId="975" priority="920"/>
  </conditionalFormatting>
  <conditionalFormatting sqref="C157">
    <cfRule type="duplicateValues" dxfId="974" priority="919"/>
  </conditionalFormatting>
  <conditionalFormatting sqref="C156">
    <cfRule type="duplicateValues" dxfId="973" priority="918"/>
  </conditionalFormatting>
  <conditionalFormatting sqref="C155">
    <cfRule type="duplicateValues" dxfId="972" priority="917"/>
  </conditionalFormatting>
  <conditionalFormatting sqref="C154">
    <cfRule type="duplicateValues" dxfId="971" priority="916"/>
  </conditionalFormatting>
  <conditionalFormatting sqref="C153">
    <cfRule type="duplicateValues" dxfId="970" priority="915"/>
  </conditionalFormatting>
  <conditionalFormatting sqref="C298">
    <cfRule type="duplicateValues" dxfId="969" priority="910"/>
  </conditionalFormatting>
  <conditionalFormatting sqref="C449">
    <cfRule type="duplicateValues" dxfId="968" priority="907"/>
  </conditionalFormatting>
  <conditionalFormatting sqref="C164">
    <cfRule type="duplicateValues" dxfId="967" priority="903"/>
  </conditionalFormatting>
  <conditionalFormatting sqref="C163">
    <cfRule type="duplicateValues" dxfId="966" priority="902"/>
  </conditionalFormatting>
  <conditionalFormatting sqref="C162">
    <cfRule type="duplicateValues" dxfId="965" priority="901"/>
  </conditionalFormatting>
  <conditionalFormatting sqref="C161">
    <cfRule type="duplicateValues" dxfId="964" priority="900"/>
  </conditionalFormatting>
  <conditionalFormatting sqref="C160">
    <cfRule type="duplicateValues" dxfId="963" priority="899"/>
  </conditionalFormatting>
  <conditionalFormatting sqref="C515">
    <cfRule type="duplicateValues" dxfId="962" priority="895"/>
  </conditionalFormatting>
  <conditionalFormatting sqref="C514">
    <cfRule type="duplicateValues" dxfId="961" priority="894"/>
  </conditionalFormatting>
  <conditionalFormatting sqref="C165 C117:C118 C33:C91 C97:C105 C123">
    <cfRule type="duplicateValues" dxfId="960" priority="5069"/>
  </conditionalFormatting>
  <conditionalFormatting sqref="C599">
    <cfRule type="duplicateValues" dxfId="959" priority="892"/>
  </conditionalFormatting>
  <conditionalFormatting sqref="C520">
    <cfRule type="duplicateValues" dxfId="958" priority="891"/>
  </conditionalFormatting>
  <conditionalFormatting sqref="C516">
    <cfRule type="duplicateValues" dxfId="957" priority="890"/>
  </conditionalFormatting>
  <conditionalFormatting sqref="C517">
    <cfRule type="duplicateValues" dxfId="956" priority="889"/>
  </conditionalFormatting>
  <conditionalFormatting sqref="C519">
    <cfRule type="duplicateValues" dxfId="955" priority="888"/>
  </conditionalFormatting>
  <conditionalFormatting sqref="C518">
    <cfRule type="duplicateValues" dxfId="954" priority="887"/>
  </conditionalFormatting>
  <conditionalFormatting sqref="C562">
    <cfRule type="duplicateValues" dxfId="953" priority="885"/>
  </conditionalFormatting>
  <conditionalFormatting sqref="C561">
    <cfRule type="duplicateValues" dxfId="952" priority="884"/>
  </conditionalFormatting>
  <conditionalFormatting sqref="C521">
    <cfRule type="duplicateValues" dxfId="951" priority="882"/>
  </conditionalFormatting>
  <conditionalFormatting sqref="C596">
    <cfRule type="duplicateValues" dxfId="950" priority="5101"/>
  </conditionalFormatting>
  <conditionalFormatting sqref="C174:C212">
    <cfRule type="duplicateValues" dxfId="949" priority="5121"/>
  </conditionalFormatting>
  <conditionalFormatting sqref="C223:C241 C247:C274 C280:C283">
    <cfRule type="duplicateValues" dxfId="948" priority="5141"/>
  </conditionalFormatting>
  <conditionalFormatting sqref="C339:C341">
    <cfRule type="duplicateValues" dxfId="947" priority="5180"/>
  </conditionalFormatting>
  <conditionalFormatting sqref="C384:C387">
    <cfRule type="duplicateValues" dxfId="946" priority="5219"/>
  </conditionalFormatting>
  <conditionalFormatting sqref="C493">
    <cfRule type="duplicateValues" dxfId="945" priority="5336"/>
  </conditionalFormatting>
  <conditionalFormatting sqref="C502">
    <cfRule type="duplicateValues" dxfId="944" priority="5375"/>
  </conditionalFormatting>
  <conditionalFormatting sqref="C534">
    <cfRule type="duplicateValues" dxfId="943" priority="5451"/>
  </conditionalFormatting>
  <conditionalFormatting sqref="C538">
    <cfRule type="duplicateValues" dxfId="942" priority="5485"/>
  </conditionalFormatting>
  <conditionalFormatting sqref="C541">
    <cfRule type="duplicateValues" dxfId="941" priority="5519"/>
  </conditionalFormatting>
  <conditionalFormatting sqref="C546">
    <cfRule type="duplicateValues" dxfId="940" priority="5553"/>
  </conditionalFormatting>
  <conditionalFormatting sqref="C550">
    <cfRule type="duplicateValues" dxfId="939" priority="5587"/>
  </conditionalFormatting>
  <conditionalFormatting sqref="C566 C556:C557">
    <cfRule type="duplicateValues" dxfId="938" priority="5621"/>
  </conditionalFormatting>
  <conditionalFormatting sqref="C570">
    <cfRule type="duplicateValues" dxfId="937" priority="5655"/>
  </conditionalFormatting>
  <conditionalFormatting sqref="C574">
    <cfRule type="duplicateValues" dxfId="936" priority="5689"/>
  </conditionalFormatting>
  <conditionalFormatting sqref="C578">
    <cfRule type="duplicateValues" dxfId="935" priority="5723"/>
  </conditionalFormatting>
  <conditionalFormatting sqref="C589">
    <cfRule type="duplicateValues" dxfId="934" priority="5755"/>
  </conditionalFormatting>
  <conditionalFormatting sqref="C606">
    <cfRule type="duplicateValues" dxfId="933" priority="5785"/>
  </conditionalFormatting>
  <conditionalFormatting sqref="C610">
    <cfRule type="duplicateValues" dxfId="932" priority="5814"/>
  </conditionalFormatting>
  <conditionalFormatting sqref="C636">
    <cfRule type="duplicateValues" dxfId="931" priority="5842"/>
  </conditionalFormatting>
  <conditionalFormatting sqref="C627">
    <cfRule type="duplicateValues" dxfId="930" priority="5871"/>
  </conditionalFormatting>
  <conditionalFormatting sqref="C646">
    <cfRule type="duplicateValues" dxfId="929" priority="5897"/>
  </conditionalFormatting>
  <conditionalFormatting sqref="C652">
    <cfRule type="duplicateValues" dxfId="928" priority="5923"/>
  </conditionalFormatting>
  <conditionalFormatting sqref="C658">
    <cfRule type="duplicateValues" dxfId="927" priority="5949"/>
  </conditionalFormatting>
  <conditionalFormatting sqref="C665:C666">
    <cfRule type="duplicateValues" dxfId="926" priority="5965"/>
  </conditionalFormatting>
  <conditionalFormatting sqref="C667">
    <cfRule type="duplicateValues" dxfId="925" priority="5989"/>
  </conditionalFormatting>
  <conditionalFormatting sqref="C672">
    <cfRule type="duplicateValues" dxfId="924" priority="6013"/>
  </conditionalFormatting>
  <conditionalFormatting sqref="C670:C671">
    <cfRule type="duplicateValues" dxfId="923" priority="6029"/>
  </conditionalFormatting>
  <conditionalFormatting sqref="C675:C676">
    <cfRule type="duplicateValues" dxfId="922" priority="6045"/>
  </conditionalFormatting>
  <conditionalFormatting sqref="C677">
    <cfRule type="duplicateValues" dxfId="921" priority="6069"/>
  </conditionalFormatting>
  <conditionalFormatting sqref="C683">
    <cfRule type="duplicateValues" dxfId="920" priority="6093"/>
  </conditionalFormatting>
  <conditionalFormatting sqref="C689:C690">
    <cfRule type="duplicateValues" dxfId="919" priority="6109"/>
  </conditionalFormatting>
  <conditionalFormatting sqref="C700:C702">
    <cfRule type="duplicateValues" dxfId="918" priority="6147"/>
  </conditionalFormatting>
  <conditionalFormatting sqref="C703">
    <cfRule type="duplicateValues" dxfId="917" priority="6169"/>
  </conditionalFormatting>
  <conditionalFormatting sqref="C715">
    <cfRule type="duplicateValues" dxfId="916" priority="6213"/>
  </conditionalFormatting>
  <conditionalFormatting sqref="C742">
    <cfRule type="duplicateValues" dxfId="915" priority="6239"/>
  </conditionalFormatting>
  <conditionalFormatting sqref="C1383">
    <cfRule type="duplicateValues" dxfId="914" priority="879"/>
  </conditionalFormatting>
  <conditionalFormatting sqref="C1382">
    <cfRule type="duplicateValues" dxfId="913" priority="878"/>
  </conditionalFormatting>
  <conditionalFormatting sqref="C1381">
    <cfRule type="duplicateValues" dxfId="912" priority="877"/>
  </conditionalFormatting>
  <conditionalFormatting sqref="C1380">
    <cfRule type="duplicateValues" dxfId="911" priority="876"/>
  </conditionalFormatting>
  <conditionalFormatting sqref="C1379">
    <cfRule type="duplicateValues" dxfId="910" priority="875"/>
  </conditionalFormatting>
  <conditionalFormatting sqref="C1375">
    <cfRule type="duplicateValues" dxfId="909" priority="874"/>
  </conditionalFormatting>
  <conditionalFormatting sqref="C1374">
    <cfRule type="duplicateValues" dxfId="908" priority="873"/>
  </conditionalFormatting>
  <conditionalFormatting sqref="C1373">
    <cfRule type="duplicateValues" dxfId="907" priority="872"/>
  </conditionalFormatting>
  <conditionalFormatting sqref="C1372">
    <cfRule type="duplicateValues" dxfId="906" priority="871"/>
  </conditionalFormatting>
  <conditionalFormatting sqref="C1371">
    <cfRule type="duplicateValues" dxfId="905" priority="870"/>
  </conditionalFormatting>
  <conditionalFormatting sqref="C1370">
    <cfRule type="duplicateValues" dxfId="904" priority="869"/>
  </conditionalFormatting>
  <conditionalFormatting sqref="C1369">
    <cfRule type="duplicateValues" dxfId="903" priority="868"/>
  </conditionalFormatting>
  <conditionalFormatting sqref="C1368">
    <cfRule type="duplicateValues" dxfId="902" priority="867"/>
  </conditionalFormatting>
  <conditionalFormatting sqref="C1367">
    <cfRule type="duplicateValues" dxfId="901" priority="866"/>
  </conditionalFormatting>
  <conditionalFormatting sqref="C1366">
    <cfRule type="duplicateValues" dxfId="900" priority="865"/>
  </conditionalFormatting>
  <conditionalFormatting sqref="C1365">
    <cfRule type="duplicateValues" dxfId="899" priority="864"/>
  </conditionalFormatting>
  <conditionalFormatting sqref="C1364">
    <cfRule type="duplicateValues" dxfId="898" priority="863"/>
  </conditionalFormatting>
  <conditionalFormatting sqref="C1363">
    <cfRule type="duplicateValues" dxfId="897" priority="862"/>
  </conditionalFormatting>
  <conditionalFormatting sqref="C1362">
    <cfRule type="duplicateValues" dxfId="896" priority="861"/>
  </conditionalFormatting>
  <conditionalFormatting sqref="C1361">
    <cfRule type="duplicateValues" dxfId="895" priority="860"/>
  </conditionalFormatting>
  <conditionalFormatting sqref="C1360">
    <cfRule type="duplicateValues" dxfId="894" priority="859"/>
  </conditionalFormatting>
  <conditionalFormatting sqref="C1359">
    <cfRule type="duplicateValues" dxfId="893" priority="858"/>
  </conditionalFormatting>
  <conditionalFormatting sqref="C1358">
    <cfRule type="duplicateValues" dxfId="892" priority="857"/>
  </conditionalFormatting>
  <conditionalFormatting sqref="C1357">
    <cfRule type="duplicateValues" dxfId="891" priority="856"/>
  </conditionalFormatting>
  <conditionalFormatting sqref="C1356">
    <cfRule type="duplicateValues" dxfId="890" priority="855"/>
  </conditionalFormatting>
  <conditionalFormatting sqref="C1355">
    <cfRule type="duplicateValues" dxfId="889" priority="854"/>
  </conditionalFormatting>
  <conditionalFormatting sqref="C1354">
    <cfRule type="duplicateValues" dxfId="888" priority="853"/>
  </conditionalFormatting>
  <conditionalFormatting sqref="C1353">
    <cfRule type="duplicateValues" dxfId="887" priority="852"/>
  </conditionalFormatting>
  <conditionalFormatting sqref="C1391">
    <cfRule type="duplicateValues" dxfId="886" priority="851"/>
  </conditionalFormatting>
  <conditionalFormatting sqref="C1390">
    <cfRule type="duplicateValues" dxfId="885" priority="850"/>
  </conditionalFormatting>
  <conditionalFormatting sqref="C1389">
    <cfRule type="duplicateValues" dxfId="884" priority="849"/>
  </conditionalFormatting>
  <conditionalFormatting sqref="C1388">
    <cfRule type="duplicateValues" dxfId="883" priority="848"/>
  </conditionalFormatting>
  <conditionalFormatting sqref="C1387">
    <cfRule type="duplicateValues" dxfId="882" priority="847"/>
  </conditionalFormatting>
  <conditionalFormatting sqref="C1386">
    <cfRule type="duplicateValues" dxfId="881" priority="846"/>
  </conditionalFormatting>
  <conditionalFormatting sqref="C1385">
    <cfRule type="duplicateValues" dxfId="880" priority="845"/>
  </conditionalFormatting>
  <conditionalFormatting sqref="C1384">
    <cfRule type="duplicateValues" dxfId="879" priority="844"/>
  </conditionalFormatting>
  <conditionalFormatting sqref="C2831">
    <cfRule type="duplicateValues" dxfId="878" priority="843"/>
  </conditionalFormatting>
  <conditionalFormatting sqref="C2830">
    <cfRule type="duplicateValues" dxfId="877" priority="842"/>
  </conditionalFormatting>
  <conditionalFormatting sqref="C2829">
    <cfRule type="duplicateValues" dxfId="876" priority="841"/>
  </conditionalFormatting>
  <conditionalFormatting sqref="C2828">
    <cfRule type="duplicateValues" dxfId="875" priority="840"/>
  </conditionalFormatting>
  <conditionalFormatting sqref="C2827">
    <cfRule type="duplicateValues" dxfId="874" priority="839"/>
  </conditionalFormatting>
  <conditionalFormatting sqref="C2826">
    <cfRule type="duplicateValues" dxfId="873" priority="838"/>
  </conditionalFormatting>
  <conditionalFormatting sqref="C2825">
    <cfRule type="duplicateValues" dxfId="872" priority="837"/>
  </conditionalFormatting>
  <conditionalFormatting sqref="C2824">
    <cfRule type="duplicateValues" dxfId="871" priority="836"/>
  </conditionalFormatting>
  <conditionalFormatting sqref="C2823">
    <cfRule type="duplicateValues" dxfId="870" priority="835"/>
  </conditionalFormatting>
  <conditionalFormatting sqref="C2822">
    <cfRule type="duplicateValues" dxfId="869" priority="834"/>
  </conditionalFormatting>
  <conditionalFormatting sqref="C2821">
    <cfRule type="duplicateValues" dxfId="868" priority="833"/>
  </conditionalFormatting>
  <conditionalFormatting sqref="C2820">
    <cfRule type="duplicateValues" dxfId="867" priority="832"/>
  </conditionalFormatting>
  <conditionalFormatting sqref="C2819">
    <cfRule type="duplicateValues" dxfId="866" priority="831"/>
  </conditionalFormatting>
  <conditionalFormatting sqref="C2818">
    <cfRule type="duplicateValues" dxfId="865" priority="830"/>
  </conditionalFormatting>
  <conditionalFormatting sqref="C2817">
    <cfRule type="duplicateValues" dxfId="864" priority="829"/>
  </conditionalFormatting>
  <conditionalFormatting sqref="C2816">
    <cfRule type="duplicateValues" dxfId="863" priority="828"/>
  </conditionalFormatting>
  <conditionalFormatting sqref="C2815">
    <cfRule type="duplicateValues" dxfId="862" priority="827"/>
  </conditionalFormatting>
  <conditionalFormatting sqref="C2814">
    <cfRule type="duplicateValues" dxfId="861" priority="826"/>
  </conditionalFormatting>
  <conditionalFormatting sqref="C2813">
    <cfRule type="duplicateValues" dxfId="860" priority="825"/>
  </conditionalFormatting>
  <conditionalFormatting sqref="C2812">
    <cfRule type="duplicateValues" dxfId="859" priority="824"/>
  </conditionalFormatting>
  <conditionalFormatting sqref="C2811">
    <cfRule type="duplicateValues" dxfId="858" priority="823"/>
  </conditionalFormatting>
  <conditionalFormatting sqref="C2810">
    <cfRule type="duplicateValues" dxfId="857" priority="822"/>
  </conditionalFormatting>
  <conditionalFormatting sqref="C2809">
    <cfRule type="duplicateValues" dxfId="856" priority="821"/>
  </conditionalFormatting>
  <conditionalFormatting sqref="C3150">
    <cfRule type="duplicateValues" dxfId="855" priority="820"/>
  </conditionalFormatting>
  <conditionalFormatting sqref="C2873">
    <cfRule type="duplicateValues" dxfId="854" priority="819"/>
  </conditionalFormatting>
  <conditionalFormatting sqref="C2872">
    <cfRule type="duplicateValues" dxfId="853" priority="818"/>
  </conditionalFormatting>
  <conditionalFormatting sqref="C2871">
    <cfRule type="duplicateValues" dxfId="852" priority="817"/>
  </conditionalFormatting>
  <conditionalFormatting sqref="C2870">
    <cfRule type="duplicateValues" dxfId="851" priority="816"/>
  </conditionalFormatting>
  <conditionalFormatting sqref="C2869">
    <cfRule type="duplicateValues" dxfId="850" priority="815"/>
  </conditionalFormatting>
  <conditionalFormatting sqref="C2868">
    <cfRule type="duplicateValues" dxfId="849" priority="814"/>
  </conditionalFormatting>
  <conditionalFormatting sqref="C2867">
    <cfRule type="duplicateValues" dxfId="848" priority="813"/>
  </conditionalFormatting>
  <conditionalFormatting sqref="C2866">
    <cfRule type="duplicateValues" dxfId="847" priority="812"/>
  </conditionalFormatting>
  <conditionalFormatting sqref="C2865">
    <cfRule type="duplicateValues" dxfId="846" priority="811"/>
  </conditionalFormatting>
  <conditionalFormatting sqref="C2864">
    <cfRule type="duplicateValues" dxfId="845" priority="810"/>
  </conditionalFormatting>
  <conditionalFormatting sqref="C2863">
    <cfRule type="duplicateValues" dxfId="844" priority="809"/>
  </conditionalFormatting>
  <conditionalFormatting sqref="C2862">
    <cfRule type="duplicateValues" dxfId="843" priority="808"/>
  </conditionalFormatting>
  <conditionalFormatting sqref="C2861">
    <cfRule type="duplicateValues" dxfId="842" priority="807"/>
  </conditionalFormatting>
  <conditionalFormatting sqref="C2833">
    <cfRule type="duplicateValues" dxfId="841" priority="806"/>
  </conditionalFormatting>
  <conditionalFormatting sqref="C2860">
    <cfRule type="duplicateValues" dxfId="840" priority="805"/>
  </conditionalFormatting>
  <conditionalFormatting sqref="C2859">
    <cfRule type="duplicateValues" dxfId="839" priority="804"/>
  </conditionalFormatting>
  <conditionalFormatting sqref="C2858">
    <cfRule type="duplicateValues" dxfId="838" priority="803"/>
  </conditionalFormatting>
  <conditionalFormatting sqref="C2857">
    <cfRule type="duplicateValues" dxfId="837" priority="802"/>
  </conditionalFormatting>
  <conditionalFormatting sqref="C2856">
    <cfRule type="duplicateValues" dxfId="836" priority="801"/>
  </conditionalFormatting>
  <conditionalFormatting sqref="C2855">
    <cfRule type="duplicateValues" dxfId="835" priority="800"/>
  </conditionalFormatting>
  <conditionalFormatting sqref="C2854">
    <cfRule type="duplicateValues" dxfId="834" priority="799"/>
  </conditionalFormatting>
  <conditionalFormatting sqref="C2853">
    <cfRule type="duplicateValues" dxfId="833" priority="798"/>
  </conditionalFormatting>
  <conditionalFormatting sqref="C2843">
    <cfRule type="duplicateValues" dxfId="832" priority="797"/>
  </conditionalFormatting>
  <conditionalFormatting sqref="C2842">
    <cfRule type="duplicateValues" dxfId="831" priority="796"/>
  </conditionalFormatting>
  <conditionalFormatting sqref="C2841">
    <cfRule type="duplicateValues" dxfId="830" priority="795"/>
  </conditionalFormatting>
  <conditionalFormatting sqref="C2840">
    <cfRule type="duplicateValues" dxfId="829" priority="794"/>
  </conditionalFormatting>
  <conditionalFormatting sqref="C2839">
    <cfRule type="duplicateValues" dxfId="828" priority="793"/>
  </conditionalFormatting>
  <conditionalFormatting sqref="C2838">
    <cfRule type="duplicateValues" dxfId="827" priority="792"/>
  </conditionalFormatting>
  <conditionalFormatting sqref="C2837">
    <cfRule type="duplicateValues" dxfId="826" priority="791"/>
  </conditionalFormatting>
  <conditionalFormatting sqref="C2836">
    <cfRule type="duplicateValues" dxfId="825" priority="790"/>
  </conditionalFormatting>
  <conditionalFormatting sqref="C2835">
    <cfRule type="duplicateValues" dxfId="824" priority="789"/>
  </conditionalFormatting>
  <conditionalFormatting sqref="C2834">
    <cfRule type="duplicateValues" dxfId="823" priority="788"/>
  </conditionalFormatting>
  <conditionalFormatting sqref="C2852">
    <cfRule type="duplicateValues" dxfId="822" priority="787"/>
  </conditionalFormatting>
  <conditionalFormatting sqref="C2851">
    <cfRule type="duplicateValues" dxfId="821" priority="786"/>
  </conditionalFormatting>
  <conditionalFormatting sqref="C2850">
    <cfRule type="duplicateValues" dxfId="820" priority="785"/>
  </conditionalFormatting>
  <conditionalFormatting sqref="C2849">
    <cfRule type="duplicateValues" dxfId="819" priority="784"/>
  </conditionalFormatting>
  <conditionalFormatting sqref="C2848">
    <cfRule type="duplicateValues" dxfId="818" priority="783"/>
  </conditionalFormatting>
  <conditionalFormatting sqref="C2847">
    <cfRule type="duplicateValues" dxfId="817" priority="782"/>
  </conditionalFormatting>
  <conditionalFormatting sqref="C2846">
    <cfRule type="duplicateValues" dxfId="816" priority="781"/>
  </conditionalFormatting>
  <conditionalFormatting sqref="C2845">
    <cfRule type="duplicateValues" dxfId="815" priority="780"/>
  </conditionalFormatting>
  <conditionalFormatting sqref="C2844">
    <cfRule type="duplicateValues" dxfId="814" priority="779"/>
  </conditionalFormatting>
  <conditionalFormatting sqref="C2926">
    <cfRule type="duplicateValues" dxfId="813" priority="778"/>
  </conditionalFormatting>
  <conditionalFormatting sqref="C2890">
    <cfRule type="duplicateValues" dxfId="812" priority="777"/>
  </conditionalFormatting>
  <conditionalFormatting sqref="C2889">
    <cfRule type="duplicateValues" dxfId="811" priority="776"/>
  </conditionalFormatting>
  <conditionalFormatting sqref="C2888">
    <cfRule type="duplicateValues" dxfId="810" priority="775"/>
  </conditionalFormatting>
  <conditionalFormatting sqref="C2887">
    <cfRule type="duplicateValues" dxfId="809" priority="774"/>
  </conditionalFormatting>
  <conditionalFormatting sqref="C2886">
    <cfRule type="duplicateValues" dxfId="808" priority="773"/>
  </conditionalFormatting>
  <conditionalFormatting sqref="C2885">
    <cfRule type="duplicateValues" dxfId="807" priority="772"/>
  </conditionalFormatting>
  <conditionalFormatting sqref="C2884">
    <cfRule type="duplicateValues" dxfId="806" priority="771"/>
  </conditionalFormatting>
  <conditionalFormatting sqref="C2883">
    <cfRule type="duplicateValues" dxfId="805" priority="770"/>
  </conditionalFormatting>
  <conditionalFormatting sqref="C2882">
    <cfRule type="duplicateValues" dxfId="804" priority="769"/>
  </conditionalFormatting>
  <conditionalFormatting sqref="C2881">
    <cfRule type="duplicateValues" dxfId="803" priority="768"/>
  </conditionalFormatting>
  <conditionalFormatting sqref="C2880">
    <cfRule type="duplicateValues" dxfId="802" priority="767"/>
  </conditionalFormatting>
  <conditionalFormatting sqref="C2879">
    <cfRule type="duplicateValues" dxfId="801" priority="766"/>
  </conditionalFormatting>
  <conditionalFormatting sqref="C2878">
    <cfRule type="duplicateValues" dxfId="800" priority="765"/>
  </conditionalFormatting>
  <conditionalFormatting sqref="C2877">
    <cfRule type="duplicateValues" dxfId="799" priority="764"/>
  </conditionalFormatting>
  <conditionalFormatting sqref="C2876">
    <cfRule type="duplicateValues" dxfId="798" priority="763"/>
  </conditionalFormatting>
  <conditionalFormatting sqref="C2875">
    <cfRule type="duplicateValues" dxfId="797" priority="762"/>
  </conditionalFormatting>
  <conditionalFormatting sqref="C2874">
    <cfRule type="duplicateValues" dxfId="796" priority="761"/>
  </conditionalFormatting>
  <conditionalFormatting sqref="C1378">
    <cfRule type="duplicateValues" dxfId="795" priority="760"/>
  </conditionalFormatting>
  <conditionalFormatting sqref="C1377">
    <cfRule type="duplicateValues" dxfId="794" priority="759"/>
  </conditionalFormatting>
  <conditionalFormatting sqref="C1376">
    <cfRule type="duplicateValues" dxfId="793" priority="758"/>
  </conditionalFormatting>
  <conditionalFormatting sqref="C1546">
    <cfRule type="duplicateValues" dxfId="792" priority="757"/>
  </conditionalFormatting>
  <conditionalFormatting sqref="C1545">
    <cfRule type="duplicateValues" dxfId="791" priority="756"/>
  </conditionalFormatting>
  <conditionalFormatting sqref="C1544">
    <cfRule type="duplicateValues" dxfId="790" priority="755"/>
  </conditionalFormatting>
  <conditionalFormatting sqref="C1464">
    <cfRule type="duplicateValues" dxfId="789" priority="754"/>
  </conditionalFormatting>
  <conditionalFormatting sqref="C1418">
    <cfRule type="duplicateValues" dxfId="788" priority="753"/>
  </conditionalFormatting>
  <conditionalFormatting sqref="C1417">
    <cfRule type="duplicateValues" dxfId="787" priority="752"/>
  </conditionalFormatting>
  <conditionalFormatting sqref="C1393">
    <cfRule type="duplicateValues" dxfId="786" priority="751"/>
  </conditionalFormatting>
  <conditionalFormatting sqref="C1392">
    <cfRule type="duplicateValues" dxfId="785" priority="750"/>
  </conditionalFormatting>
  <conditionalFormatting sqref="C1463">
    <cfRule type="duplicateValues" dxfId="784" priority="749"/>
  </conditionalFormatting>
  <conditionalFormatting sqref="C1462">
    <cfRule type="duplicateValues" dxfId="783" priority="748"/>
  </conditionalFormatting>
  <conditionalFormatting sqref="C1442">
    <cfRule type="duplicateValues" dxfId="782" priority="747"/>
  </conditionalFormatting>
  <conditionalFormatting sqref="C1441">
    <cfRule type="duplicateValues" dxfId="781" priority="746"/>
  </conditionalFormatting>
  <conditionalFormatting sqref="C1440">
    <cfRule type="duplicateValues" dxfId="780" priority="745"/>
  </conditionalFormatting>
  <conditionalFormatting sqref="C1439">
    <cfRule type="duplicateValues" dxfId="779" priority="744"/>
  </conditionalFormatting>
  <conditionalFormatting sqref="C1438">
    <cfRule type="duplicateValues" dxfId="778" priority="743"/>
  </conditionalFormatting>
  <conditionalFormatting sqref="C1427 C1431">
    <cfRule type="duplicateValues" dxfId="777" priority="742"/>
  </conditionalFormatting>
  <conditionalFormatting sqref="C1426">
    <cfRule type="duplicateValues" dxfId="776" priority="741"/>
  </conditionalFormatting>
  <conditionalFormatting sqref="C1425">
    <cfRule type="duplicateValues" dxfId="775" priority="740"/>
  </conditionalFormatting>
  <conditionalFormatting sqref="C1424">
    <cfRule type="duplicateValues" dxfId="774" priority="739"/>
  </conditionalFormatting>
  <conditionalFormatting sqref="C1423">
    <cfRule type="duplicateValues" dxfId="773" priority="738"/>
  </conditionalFormatting>
  <conditionalFormatting sqref="C1422">
    <cfRule type="duplicateValues" dxfId="772" priority="737"/>
  </conditionalFormatting>
  <conditionalFormatting sqref="C1421">
    <cfRule type="duplicateValues" dxfId="771" priority="736"/>
  </conditionalFormatting>
  <conditionalFormatting sqref="C1420">
    <cfRule type="duplicateValues" dxfId="770" priority="735"/>
  </conditionalFormatting>
  <conditionalFormatting sqref="C1419">
    <cfRule type="duplicateValues" dxfId="769" priority="734"/>
  </conditionalFormatting>
  <conditionalFormatting sqref="C1403">
    <cfRule type="duplicateValues" dxfId="768" priority="733"/>
  </conditionalFormatting>
  <conditionalFormatting sqref="C1402">
    <cfRule type="duplicateValues" dxfId="767" priority="732"/>
  </conditionalFormatting>
  <conditionalFormatting sqref="C1401">
    <cfRule type="duplicateValues" dxfId="766" priority="731"/>
  </conditionalFormatting>
  <conditionalFormatting sqref="C1400">
    <cfRule type="duplicateValues" dxfId="765" priority="730"/>
  </conditionalFormatting>
  <conditionalFormatting sqref="C1399">
    <cfRule type="duplicateValues" dxfId="764" priority="729"/>
  </conditionalFormatting>
  <conditionalFormatting sqref="C1398">
    <cfRule type="duplicateValues" dxfId="763" priority="728"/>
  </conditionalFormatting>
  <conditionalFormatting sqref="C1397">
    <cfRule type="duplicateValues" dxfId="762" priority="727"/>
  </conditionalFormatting>
  <conditionalFormatting sqref="C1396">
    <cfRule type="duplicateValues" dxfId="761" priority="726"/>
  </conditionalFormatting>
  <conditionalFormatting sqref="C1395">
    <cfRule type="duplicateValues" dxfId="760" priority="725"/>
  </conditionalFormatting>
  <conditionalFormatting sqref="C1394">
    <cfRule type="duplicateValues" dxfId="759" priority="724"/>
  </conditionalFormatting>
  <conditionalFormatting sqref="C1416">
    <cfRule type="duplicateValues" dxfId="758" priority="723"/>
  </conditionalFormatting>
  <conditionalFormatting sqref="C1415">
    <cfRule type="duplicateValues" dxfId="757" priority="722"/>
  </conditionalFormatting>
  <conditionalFormatting sqref="C1414">
    <cfRule type="duplicateValues" dxfId="756" priority="721"/>
  </conditionalFormatting>
  <conditionalFormatting sqref="C1413">
    <cfRule type="duplicateValues" dxfId="755" priority="720"/>
  </conditionalFormatting>
  <conditionalFormatting sqref="C1412">
    <cfRule type="duplicateValues" dxfId="754" priority="719"/>
  </conditionalFormatting>
  <conditionalFormatting sqref="C1411">
    <cfRule type="duplicateValues" dxfId="753" priority="718"/>
  </conditionalFormatting>
  <conditionalFormatting sqref="C1410">
    <cfRule type="duplicateValues" dxfId="752" priority="717"/>
  </conditionalFormatting>
  <conditionalFormatting sqref="C1409">
    <cfRule type="duplicateValues" dxfId="751" priority="716"/>
  </conditionalFormatting>
  <conditionalFormatting sqref="C1408">
    <cfRule type="duplicateValues" dxfId="750" priority="715"/>
  </conditionalFormatting>
  <conditionalFormatting sqref="C1407">
    <cfRule type="duplicateValues" dxfId="749" priority="714"/>
  </conditionalFormatting>
  <conditionalFormatting sqref="C1406">
    <cfRule type="duplicateValues" dxfId="748" priority="713"/>
  </conditionalFormatting>
  <conditionalFormatting sqref="C1405">
    <cfRule type="duplicateValues" dxfId="747" priority="712"/>
  </conditionalFormatting>
  <conditionalFormatting sqref="C1404">
    <cfRule type="duplicateValues" dxfId="746" priority="711"/>
  </conditionalFormatting>
  <conditionalFormatting sqref="C2925">
    <cfRule type="duplicateValues" dxfId="745" priority="710"/>
  </conditionalFormatting>
  <conditionalFormatting sqref="C2924">
    <cfRule type="duplicateValues" dxfId="744" priority="709"/>
  </conditionalFormatting>
  <conditionalFormatting sqref="C2923">
    <cfRule type="duplicateValues" dxfId="743" priority="708"/>
  </conditionalFormatting>
  <conditionalFormatting sqref="C2922">
    <cfRule type="duplicateValues" dxfId="742" priority="707"/>
  </conditionalFormatting>
  <conditionalFormatting sqref="C2921">
    <cfRule type="duplicateValues" dxfId="741" priority="706"/>
  </conditionalFormatting>
  <conditionalFormatting sqref="C2920">
    <cfRule type="duplicateValues" dxfId="740" priority="705"/>
  </conditionalFormatting>
  <conditionalFormatting sqref="C2919">
    <cfRule type="duplicateValues" dxfId="739" priority="704"/>
  </conditionalFormatting>
  <conditionalFormatting sqref="C2906:C2907">
    <cfRule type="duplicateValues" dxfId="738" priority="703"/>
  </conditionalFormatting>
  <conditionalFormatting sqref="C2905">
    <cfRule type="duplicateValues" dxfId="737" priority="702"/>
  </conditionalFormatting>
  <conditionalFormatting sqref="C2904">
    <cfRule type="duplicateValues" dxfId="736" priority="701"/>
  </conditionalFormatting>
  <conditionalFormatting sqref="C2903">
    <cfRule type="duplicateValues" dxfId="735" priority="700"/>
  </conditionalFormatting>
  <conditionalFormatting sqref="C2902">
    <cfRule type="duplicateValues" dxfId="734" priority="699"/>
  </conditionalFormatting>
  <conditionalFormatting sqref="C2901">
    <cfRule type="duplicateValues" dxfId="733" priority="698"/>
  </conditionalFormatting>
  <conditionalFormatting sqref="C2900">
    <cfRule type="duplicateValues" dxfId="732" priority="697"/>
  </conditionalFormatting>
  <conditionalFormatting sqref="C2899">
    <cfRule type="duplicateValues" dxfId="731" priority="696"/>
  </conditionalFormatting>
  <conditionalFormatting sqref="C2898">
    <cfRule type="duplicateValues" dxfId="730" priority="695"/>
  </conditionalFormatting>
  <conditionalFormatting sqref="C2897">
    <cfRule type="duplicateValues" dxfId="729" priority="694"/>
  </conditionalFormatting>
  <conditionalFormatting sqref="C2896">
    <cfRule type="duplicateValues" dxfId="728" priority="693"/>
  </conditionalFormatting>
  <conditionalFormatting sqref="C2895">
    <cfRule type="duplicateValues" dxfId="727" priority="692"/>
  </conditionalFormatting>
  <conditionalFormatting sqref="C2894">
    <cfRule type="duplicateValues" dxfId="726" priority="691"/>
  </conditionalFormatting>
  <conditionalFormatting sqref="C2893">
    <cfRule type="duplicateValues" dxfId="725" priority="690"/>
  </conditionalFormatting>
  <conditionalFormatting sqref="C2892">
    <cfRule type="duplicateValues" dxfId="724" priority="689"/>
  </conditionalFormatting>
  <conditionalFormatting sqref="C2891">
    <cfRule type="duplicateValues" dxfId="723" priority="688"/>
  </conditionalFormatting>
  <conditionalFormatting sqref="C1461">
    <cfRule type="duplicateValues" dxfId="722" priority="687"/>
  </conditionalFormatting>
  <conditionalFormatting sqref="C1460">
    <cfRule type="duplicateValues" dxfId="721" priority="686"/>
  </conditionalFormatting>
  <conditionalFormatting sqref="C1459">
    <cfRule type="duplicateValues" dxfId="720" priority="685"/>
  </conditionalFormatting>
  <conditionalFormatting sqref="C1458">
    <cfRule type="duplicateValues" dxfId="719" priority="684"/>
  </conditionalFormatting>
  <conditionalFormatting sqref="C1457">
    <cfRule type="duplicateValues" dxfId="718" priority="683"/>
  </conditionalFormatting>
  <conditionalFormatting sqref="C1456">
    <cfRule type="duplicateValues" dxfId="717" priority="682"/>
  </conditionalFormatting>
  <conditionalFormatting sqref="C1455">
    <cfRule type="duplicateValues" dxfId="716" priority="681"/>
  </conditionalFormatting>
  <conditionalFormatting sqref="C1454">
    <cfRule type="duplicateValues" dxfId="715" priority="680"/>
  </conditionalFormatting>
  <conditionalFormatting sqref="C1453">
    <cfRule type="duplicateValues" dxfId="714" priority="679"/>
  </conditionalFormatting>
  <conditionalFormatting sqref="C1452">
    <cfRule type="duplicateValues" dxfId="713" priority="678"/>
  </conditionalFormatting>
  <conditionalFormatting sqref="C1451">
    <cfRule type="duplicateValues" dxfId="712" priority="677"/>
  </conditionalFormatting>
  <conditionalFormatting sqref="C1450">
    <cfRule type="duplicateValues" dxfId="711" priority="676"/>
  </conditionalFormatting>
  <conditionalFormatting sqref="C1449">
    <cfRule type="duplicateValues" dxfId="710" priority="675"/>
  </conditionalFormatting>
  <conditionalFormatting sqref="C1448">
    <cfRule type="duplicateValues" dxfId="709" priority="674"/>
  </conditionalFormatting>
  <conditionalFormatting sqref="C1447">
    <cfRule type="duplicateValues" dxfId="708" priority="673"/>
  </conditionalFormatting>
  <conditionalFormatting sqref="C1446">
    <cfRule type="duplicateValues" dxfId="707" priority="672"/>
  </conditionalFormatting>
  <conditionalFormatting sqref="C1445">
    <cfRule type="duplicateValues" dxfId="706" priority="671"/>
  </conditionalFormatting>
  <conditionalFormatting sqref="C1444">
    <cfRule type="duplicateValues" dxfId="705" priority="670"/>
  </conditionalFormatting>
  <conditionalFormatting sqref="C1443">
    <cfRule type="duplicateValues" dxfId="704" priority="669"/>
  </conditionalFormatting>
  <conditionalFormatting sqref="C1437">
    <cfRule type="duplicateValues" dxfId="703" priority="667"/>
  </conditionalFormatting>
  <conditionalFormatting sqref="C1436">
    <cfRule type="duplicateValues" dxfId="702" priority="666"/>
  </conditionalFormatting>
  <conditionalFormatting sqref="C1435">
    <cfRule type="duplicateValues" dxfId="701" priority="665"/>
  </conditionalFormatting>
  <conditionalFormatting sqref="C1434">
    <cfRule type="duplicateValues" dxfId="700" priority="664"/>
  </conditionalFormatting>
  <conditionalFormatting sqref="C1433">
    <cfRule type="duplicateValues" dxfId="699" priority="663"/>
  </conditionalFormatting>
  <conditionalFormatting sqref="C1432">
    <cfRule type="duplicateValues" dxfId="698" priority="662"/>
  </conditionalFormatting>
  <conditionalFormatting sqref="C1430">
    <cfRule type="duplicateValues" dxfId="697" priority="661"/>
  </conditionalFormatting>
  <conditionalFormatting sqref="C1428:C1429">
    <cfRule type="duplicateValues" dxfId="696" priority="659"/>
  </conditionalFormatting>
  <conditionalFormatting sqref="C2918">
    <cfRule type="duplicateValues" dxfId="695" priority="658"/>
  </conditionalFormatting>
  <conditionalFormatting sqref="C2917">
    <cfRule type="duplicateValues" dxfId="694" priority="657"/>
  </conditionalFormatting>
  <conditionalFormatting sqref="C2916">
    <cfRule type="duplicateValues" dxfId="693" priority="656"/>
  </conditionalFormatting>
  <conditionalFormatting sqref="C2915">
    <cfRule type="duplicateValues" dxfId="692" priority="655"/>
  </conditionalFormatting>
  <conditionalFormatting sqref="C2914">
    <cfRule type="duplicateValues" dxfId="691" priority="654"/>
  </conditionalFormatting>
  <conditionalFormatting sqref="C2913">
    <cfRule type="duplicateValues" dxfId="690" priority="653"/>
  </conditionalFormatting>
  <conditionalFormatting sqref="C2912">
    <cfRule type="duplicateValues" dxfId="689" priority="652"/>
  </conditionalFormatting>
  <conditionalFormatting sqref="C2911">
    <cfRule type="duplicateValues" dxfId="688" priority="651"/>
  </conditionalFormatting>
  <conditionalFormatting sqref="C2910">
    <cfRule type="duplicateValues" dxfId="687" priority="650"/>
  </conditionalFormatting>
  <conditionalFormatting sqref="C2909">
    <cfRule type="duplicateValues" dxfId="686" priority="649"/>
  </conditionalFormatting>
  <conditionalFormatting sqref="C2908">
    <cfRule type="duplicateValues" dxfId="685" priority="648"/>
  </conditionalFormatting>
  <conditionalFormatting sqref="C2971">
    <cfRule type="duplicateValues" dxfId="684" priority="646"/>
  </conditionalFormatting>
  <conditionalFormatting sqref="C2940">
    <cfRule type="duplicateValues" dxfId="683" priority="644"/>
  </conditionalFormatting>
  <conditionalFormatting sqref="C2939">
    <cfRule type="duplicateValues" dxfId="682" priority="643"/>
  </conditionalFormatting>
  <conditionalFormatting sqref="C2938">
    <cfRule type="duplicateValues" dxfId="681" priority="642"/>
  </conditionalFormatting>
  <conditionalFormatting sqref="C2937">
    <cfRule type="duplicateValues" dxfId="680" priority="641"/>
  </conditionalFormatting>
  <conditionalFormatting sqref="C2936">
    <cfRule type="duplicateValues" dxfId="679" priority="640"/>
  </conditionalFormatting>
  <conditionalFormatting sqref="C2935">
    <cfRule type="duplicateValues" dxfId="678" priority="639"/>
  </conditionalFormatting>
  <conditionalFormatting sqref="C2934">
    <cfRule type="duplicateValues" dxfId="677" priority="638"/>
  </conditionalFormatting>
  <conditionalFormatting sqref="C2933">
    <cfRule type="duplicateValues" dxfId="676" priority="637"/>
  </conditionalFormatting>
  <conditionalFormatting sqref="C2932">
    <cfRule type="duplicateValues" dxfId="675" priority="636"/>
  </conditionalFormatting>
  <conditionalFormatting sqref="C2931">
    <cfRule type="duplicateValues" dxfId="674" priority="635"/>
  </conditionalFormatting>
  <conditionalFormatting sqref="C2930">
    <cfRule type="duplicateValues" dxfId="673" priority="634"/>
  </conditionalFormatting>
  <conditionalFormatting sqref="C2929">
    <cfRule type="duplicateValues" dxfId="672" priority="633"/>
  </conditionalFormatting>
  <conditionalFormatting sqref="C2928">
    <cfRule type="duplicateValues" dxfId="671" priority="632"/>
  </conditionalFormatting>
  <conditionalFormatting sqref="C2927">
    <cfRule type="duplicateValues" dxfId="670" priority="631"/>
  </conditionalFormatting>
  <conditionalFormatting sqref="C2970">
    <cfRule type="duplicateValues" dxfId="669" priority="630"/>
  </conditionalFormatting>
  <conditionalFormatting sqref="C2969">
    <cfRule type="duplicateValues" dxfId="668" priority="629"/>
  </conditionalFormatting>
  <conditionalFormatting sqref="C2954">
    <cfRule type="duplicateValues" dxfId="667" priority="628"/>
  </conditionalFormatting>
  <conditionalFormatting sqref="C2953">
    <cfRule type="duplicateValues" dxfId="666" priority="627"/>
  </conditionalFormatting>
  <conditionalFormatting sqref="C2952">
    <cfRule type="duplicateValues" dxfId="665" priority="626"/>
  </conditionalFormatting>
  <conditionalFormatting sqref="C2951">
    <cfRule type="duplicateValues" dxfId="664" priority="625"/>
  </conditionalFormatting>
  <conditionalFormatting sqref="C2950">
    <cfRule type="duplicateValues" dxfId="663" priority="624"/>
  </conditionalFormatting>
  <conditionalFormatting sqref="C2949">
    <cfRule type="duplicateValues" dxfId="662" priority="623"/>
  </conditionalFormatting>
  <conditionalFormatting sqref="C2948">
    <cfRule type="duplicateValues" dxfId="661" priority="622"/>
  </conditionalFormatting>
  <conditionalFormatting sqref="C2947">
    <cfRule type="duplicateValues" dxfId="660" priority="621"/>
  </conditionalFormatting>
  <conditionalFormatting sqref="C2946">
    <cfRule type="duplicateValues" dxfId="659" priority="620"/>
  </conditionalFormatting>
  <conditionalFormatting sqref="C2945">
    <cfRule type="duplicateValues" dxfId="658" priority="619"/>
  </conditionalFormatting>
  <conditionalFormatting sqref="C2944">
    <cfRule type="duplicateValues" dxfId="657" priority="618"/>
  </conditionalFormatting>
  <conditionalFormatting sqref="C2943">
    <cfRule type="duplicateValues" dxfId="656" priority="617"/>
  </conditionalFormatting>
  <conditionalFormatting sqref="C2942">
    <cfRule type="duplicateValues" dxfId="655" priority="616"/>
  </conditionalFormatting>
  <conditionalFormatting sqref="C2941">
    <cfRule type="duplicateValues" dxfId="654" priority="615"/>
  </conditionalFormatting>
  <conditionalFormatting sqref="C2968">
    <cfRule type="duplicateValues" dxfId="653" priority="614"/>
  </conditionalFormatting>
  <conditionalFormatting sqref="C2967">
    <cfRule type="duplicateValues" dxfId="652" priority="613"/>
  </conditionalFormatting>
  <conditionalFormatting sqref="C2966">
    <cfRule type="duplicateValues" dxfId="651" priority="612"/>
  </conditionalFormatting>
  <conditionalFormatting sqref="C2965">
    <cfRule type="duplicateValues" dxfId="650" priority="611"/>
  </conditionalFormatting>
  <conditionalFormatting sqref="C2964">
    <cfRule type="duplicateValues" dxfId="649" priority="610"/>
  </conditionalFormatting>
  <conditionalFormatting sqref="C2963">
    <cfRule type="duplicateValues" dxfId="648" priority="609"/>
  </conditionalFormatting>
  <conditionalFormatting sqref="C1543">
    <cfRule type="duplicateValues" dxfId="647" priority="608"/>
  </conditionalFormatting>
  <conditionalFormatting sqref="C1542">
    <cfRule type="duplicateValues" dxfId="646" priority="607"/>
  </conditionalFormatting>
  <conditionalFormatting sqref="C1541">
    <cfRule type="duplicateValues" dxfId="645" priority="606"/>
  </conditionalFormatting>
  <conditionalFormatting sqref="C1540">
    <cfRule type="duplicateValues" dxfId="644" priority="605"/>
  </conditionalFormatting>
  <conditionalFormatting sqref="C1539">
    <cfRule type="duplicateValues" dxfId="643" priority="604"/>
  </conditionalFormatting>
  <conditionalFormatting sqref="C1538">
    <cfRule type="duplicateValues" dxfId="642" priority="603"/>
  </conditionalFormatting>
  <conditionalFormatting sqref="C1537">
    <cfRule type="duplicateValues" dxfId="641" priority="602"/>
  </conditionalFormatting>
  <conditionalFormatting sqref="C1536">
    <cfRule type="duplicateValues" dxfId="640" priority="601"/>
  </conditionalFormatting>
  <conditionalFormatting sqref="C1535">
    <cfRule type="duplicateValues" dxfId="639" priority="600"/>
  </conditionalFormatting>
  <conditionalFormatting sqref="C1534">
    <cfRule type="duplicateValues" dxfId="638" priority="599"/>
  </conditionalFormatting>
  <conditionalFormatting sqref="C1533">
    <cfRule type="duplicateValues" dxfId="637" priority="598"/>
  </conditionalFormatting>
  <conditionalFormatting sqref="C1503">
    <cfRule type="duplicateValues" dxfId="636" priority="597"/>
  </conditionalFormatting>
  <conditionalFormatting sqref="C1502">
    <cfRule type="duplicateValues" dxfId="635" priority="596"/>
  </conditionalFormatting>
  <conditionalFormatting sqref="C1501">
    <cfRule type="duplicateValues" dxfId="634" priority="595"/>
  </conditionalFormatting>
  <conditionalFormatting sqref="C1473">
    <cfRule type="duplicateValues" dxfId="633" priority="594"/>
  </conditionalFormatting>
  <conditionalFormatting sqref="C1472">
    <cfRule type="duplicateValues" dxfId="632" priority="593"/>
  </conditionalFormatting>
  <conditionalFormatting sqref="C1471">
    <cfRule type="duplicateValues" dxfId="631" priority="592"/>
  </conditionalFormatting>
  <conditionalFormatting sqref="C1470">
    <cfRule type="duplicateValues" dxfId="630" priority="591"/>
  </conditionalFormatting>
  <conditionalFormatting sqref="C1469">
    <cfRule type="duplicateValues" dxfId="629" priority="590"/>
  </conditionalFormatting>
  <conditionalFormatting sqref="C1468">
    <cfRule type="duplicateValues" dxfId="628" priority="589"/>
  </conditionalFormatting>
  <conditionalFormatting sqref="C1467">
    <cfRule type="duplicateValues" dxfId="627" priority="588"/>
  </conditionalFormatting>
  <conditionalFormatting sqref="C1466">
    <cfRule type="duplicateValues" dxfId="626" priority="587"/>
  </conditionalFormatting>
  <conditionalFormatting sqref="C1465">
    <cfRule type="duplicateValues" dxfId="625" priority="586"/>
  </conditionalFormatting>
  <conditionalFormatting sqref="C2962">
    <cfRule type="duplicateValues" dxfId="624" priority="585"/>
  </conditionalFormatting>
  <conditionalFormatting sqref="C2961">
    <cfRule type="duplicateValues" dxfId="623" priority="584"/>
  </conditionalFormatting>
  <conditionalFormatting sqref="C2960">
    <cfRule type="duplicateValues" dxfId="622" priority="583"/>
  </conditionalFormatting>
  <conditionalFormatting sqref="C2959">
    <cfRule type="duplicateValues" dxfId="621" priority="582"/>
  </conditionalFormatting>
  <conditionalFormatting sqref="C2958">
    <cfRule type="duplicateValues" dxfId="620" priority="581"/>
  </conditionalFormatting>
  <conditionalFormatting sqref="C2957">
    <cfRule type="duplicateValues" dxfId="619" priority="580"/>
  </conditionalFormatting>
  <conditionalFormatting sqref="C2956">
    <cfRule type="duplicateValues" dxfId="618" priority="579"/>
  </conditionalFormatting>
  <conditionalFormatting sqref="C2955">
    <cfRule type="duplicateValues" dxfId="617" priority="578"/>
  </conditionalFormatting>
  <conditionalFormatting sqref="C3051">
    <cfRule type="duplicateValues" dxfId="616" priority="577"/>
  </conditionalFormatting>
  <conditionalFormatting sqref="C2982">
    <cfRule type="duplicateValues" dxfId="615" priority="576"/>
  </conditionalFormatting>
  <conditionalFormatting sqref="C2981">
    <cfRule type="duplicateValues" dxfId="614" priority="575"/>
  </conditionalFormatting>
  <conditionalFormatting sqref="C2980">
    <cfRule type="duplicateValues" dxfId="613" priority="574"/>
  </conditionalFormatting>
  <conditionalFormatting sqref="C2979">
    <cfRule type="duplicateValues" dxfId="612" priority="573"/>
  </conditionalFormatting>
  <conditionalFormatting sqref="C2978">
    <cfRule type="duplicateValues" dxfId="611" priority="572"/>
  </conditionalFormatting>
  <conditionalFormatting sqref="C2977">
    <cfRule type="duplicateValues" dxfId="610" priority="571"/>
  </conditionalFormatting>
  <conditionalFormatting sqref="C2976">
    <cfRule type="duplicateValues" dxfId="609" priority="570"/>
  </conditionalFormatting>
  <conditionalFormatting sqref="C2975">
    <cfRule type="duplicateValues" dxfId="608" priority="569"/>
  </conditionalFormatting>
  <conditionalFormatting sqref="C2974">
    <cfRule type="duplicateValues" dxfId="607" priority="568"/>
  </conditionalFormatting>
  <conditionalFormatting sqref="C2973">
    <cfRule type="duplicateValues" dxfId="606" priority="567"/>
  </conditionalFormatting>
  <conditionalFormatting sqref="C2972">
    <cfRule type="duplicateValues" dxfId="605" priority="566"/>
  </conditionalFormatting>
  <conditionalFormatting sqref="C3050">
    <cfRule type="duplicateValues" dxfId="604" priority="565"/>
  </conditionalFormatting>
  <conditionalFormatting sqref="C3040">
    <cfRule type="duplicateValues" dxfId="603" priority="564"/>
  </conditionalFormatting>
  <conditionalFormatting sqref="C3039">
    <cfRule type="duplicateValues" dxfId="602" priority="563"/>
  </conditionalFormatting>
  <conditionalFormatting sqref="C3038">
    <cfRule type="duplicateValues" dxfId="601" priority="562"/>
  </conditionalFormatting>
  <conditionalFormatting sqref="C3037">
    <cfRule type="duplicateValues" dxfId="600" priority="561"/>
  </conditionalFormatting>
  <conditionalFormatting sqref="C3036">
    <cfRule type="duplicateValues" dxfId="599" priority="560"/>
  </conditionalFormatting>
  <conditionalFormatting sqref="C3035">
    <cfRule type="duplicateValues" dxfId="598" priority="559"/>
  </conditionalFormatting>
  <conditionalFormatting sqref="C2991">
    <cfRule type="duplicateValues" dxfId="597" priority="558"/>
  </conditionalFormatting>
  <conditionalFormatting sqref="C2990">
    <cfRule type="duplicateValues" dxfId="596" priority="557"/>
  </conditionalFormatting>
  <conditionalFormatting sqref="C2989">
    <cfRule type="duplicateValues" dxfId="595" priority="556"/>
  </conditionalFormatting>
  <conditionalFormatting sqref="C2988">
    <cfRule type="duplicateValues" dxfId="594" priority="555"/>
  </conditionalFormatting>
  <conditionalFormatting sqref="C2987">
    <cfRule type="duplicateValues" dxfId="593" priority="554"/>
  </conditionalFormatting>
  <conditionalFormatting sqref="C2986">
    <cfRule type="duplicateValues" dxfId="592" priority="553"/>
  </conditionalFormatting>
  <conditionalFormatting sqref="C2985">
    <cfRule type="duplicateValues" dxfId="591" priority="552"/>
  </conditionalFormatting>
  <conditionalFormatting sqref="C2984">
    <cfRule type="duplicateValues" dxfId="590" priority="551"/>
  </conditionalFormatting>
  <conditionalFormatting sqref="C2983">
    <cfRule type="duplicateValues" dxfId="589" priority="550"/>
  </conditionalFormatting>
  <conditionalFormatting sqref="C3034">
    <cfRule type="duplicateValues" dxfId="588" priority="549"/>
  </conditionalFormatting>
  <conditionalFormatting sqref="C3033">
    <cfRule type="duplicateValues" dxfId="587" priority="548"/>
  </conditionalFormatting>
  <conditionalFormatting sqref="C3032">
    <cfRule type="duplicateValues" dxfId="586" priority="547"/>
  </conditionalFormatting>
  <conditionalFormatting sqref="C3031">
    <cfRule type="duplicateValues" dxfId="585" priority="546"/>
  </conditionalFormatting>
  <conditionalFormatting sqref="C3030">
    <cfRule type="duplicateValues" dxfId="584" priority="545"/>
  </conditionalFormatting>
  <conditionalFormatting sqref="C3029">
    <cfRule type="duplicateValues" dxfId="583" priority="544"/>
  </conditionalFormatting>
  <conditionalFormatting sqref="C3028">
    <cfRule type="duplicateValues" dxfId="582" priority="543"/>
  </conditionalFormatting>
  <conditionalFormatting sqref="C3027">
    <cfRule type="duplicateValues" dxfId="581" priority="542"/>
  </conditionalFormatting>
  <conditionalFormatting sqref="C3026">
    <cfRule type="duplicateValues" dxfId="580" priority="541"/>
  </conditionalFormatting>
  <conditionalFormatting sqref="C3025">
    <cfRule type="duplicateValues" dxfId="579" priority="540"/>
  </conditionalFormatting>
  <conditionalFormatting sqref="C3024">
    <cfRule type="duplicateValues" dxfId="578" priority="539"/>
  </conditionalFormatting>
  <conditionalFormatting sqref="C3023">
    <cfRule type="duplicateValues" dxfId="577" priority="538"/>
  </conditionalFormatting>
  <conditionalFormatting sqref="C1500">
    <cfRule type="duplicateValues" dxfId="576" priority="537"/>
  </conditionalFormatting>
  <conditionalFormatting sqref="C1499">
    <cfRule type="duplicateValues" dxfId="575" priority="536"/>
  </conditionalFormatting>
  <conditionalFormatting sqref="C1498">
    <cfRule type="duplicateValues" dxfId="574" priority="535"/>
  </conditionalFormatting>
  <conditionalFormatting sqref="C1497">
    <cfRule type="duplicateValues" dxfId="573" priority="534"/>
  </conditionalFormatting>
  <conditionalFormatting sqref="C1496">
    <cfRule type="duplicateValues" dxfId="572" priority="533"/>
  </conditionalFormatting>
  <conditionalFormatting sqref="C1495">
    <cfRule type="duplicateValues" dxfId="571" priority="532"/>
  </conditionalFormatting>
  <conditionalFormatting sqref="C1494">
    <cfRule type="duplicateValues" dxfId="570" priority="531"/>
  </conditionalFormatting>
  <conditionalFormatting sqref="C1493">
    <cfRule type="duplicateValues" dxfId="569" priority="530"/>
  </conditionalFormatting>
  <conditionalFormatting sqref="C1492">
    <cfRule type="duplicateValues" dxfId="568" priority="529"/>
  </conditionalFormatting>
  <conditionalFormatting sqref="C1491">
    <cfRule type="duplicateValues" dxfId="567" priority="528"/>
  </conditionalFormatting>
  <conditionalFormatting sqref="C1490">
    <cfRule type="duplicateValues" dxfId="566" priority="527"/>
  </conditionalFormatting>
  <conditionalFormatting sqref="C1489">
    <cfRule type="duplicateValues" dxfId="565" priority="526"/>
  </conditionalFormatting>
  <conditionalFormatting sqref="C1488">
    <cfRule type="duplicateValues" dxfId="564" priority="525"/>
  </conditionalFormatting>
  <conditionalFormatting sqref="C1487">
    <cfRule type="duplicateValues" dxfId="563" priority="524"/>
  </conditionalFormatting>
  <conditionalFormatting sqref="C1486">
    <cfRule type="duplicateValues" dxfId="562" priority="523"/>
  </conditionalFormatting>
  <conditionalFormatting sqref="C1485">
    <cfRule type="duplicateValues" dxfId="561" priority="522"/>
  </conditionalFormatting>
  <conditionalFormatting sqref="C1484">
    <cfRule type="duplicateValues" dxfId="560" priority="521"/>
  </conditionalFormatting>
  <conditionalFormatting sqref="C1483">
    <cfRule type="duplicateValues" dxfId="559" priority="520"/>
  </conditionalFormatting>
  <conditionalFormatting sqref="C1482">
    <cfRule type="duplicateValues" dxfId="558" priority="519"/>
  </conditionalFormatting>
  <conditionalFormatting sqref="C1481">
    <cfRule type="duplicateValues" dxfId="557" priority="518"/>
  </conditionalFormatting>
  <conditionalFormatting sqref="C1480">
    <cfRule type="duplicateValues" dxfId="556" priority="517"/>
  </conditionalFormatting>
  <conditionalFormatting sqref="C1479">
    <cfRule type="duplicateValues" dxfId="555" priority="516"/>
  </conditionalFormatting>
  <conditionalFormatting sqref="C1478">
    <cfRule type="duplicateValues" dxfId="554" priority="515"/>
  </conditionalFormatting>
  <conditionalFormatting sqref="C1477">
    <cfRule type="duplicateValues" dxfId="553" priority="514"/>
  </conditionalFormatting>
  <conditionalFormatting sqref="C1476">
    <cfRule type="duplicateValues" dxfId="552" priority="513"/>
  </conditionalFormatting>
  <conditionalFormatting sqref="C1475">
    <cfRule type="duplicateValues" dxfId="551" priority="512"/>
  </conditionalFormatting>
  <conditionalFormatting sqref="C1474">
    <cfRule type="duplicateValues" dxfId="550" priority="511"/>
  </conditionalFormatting>
  <conditionalFormatting sqref="C1532">
    <cfRule type="duplicateValues" dxfId="549" priority="510"/>
  </conditionalFormatting>
  <conditionalFormatting sqref="C1531">
    <cfRule type="duplicateValues" dxfId="548" priority="509"/>
  </conditionalFormatting>
  <conditionalFormatting sqref="C1530">
    <cfRule type="duplicateValues" dxfId="547" priority="508"/>
  </conditionalFormatting>
  <conditionalFormatting sqref="C1529">
    <cfRule type="duplicateValues" dxfId="546" priority="507"/>
  </conditionalFormatting>
  <conditionalFormatting sqref="C1528">
    <cfRule type="duplicateValues" dxfId="545" priority="506"/>
  </conditionalFormatting>
  <conditionalFormatting sqref="C1527">
    <cfRule type="duplicateValues" dxfId="544" priority="505"/>
  </conditionalFormatting>
  <conditionalFormatting sqref="C1526">
    <cfRule type="duplicateValues" dxfId="543" priority="504"/>
  </conditionalFormatting>
  <conditionalFormatting sqref="C1525">
    <cfRule type="duplicateValues" dxfId="542" priority="503"/>
  </conditionalFormatting>
  <conditionalFormatting sqref="C1524">
    <cfRule type="duplicateValues" dxfId="541" priority="502"/>
  </conditionalFormatting>
  <conditionalFormatting sqref="C3007">
    <cfRule type="duplicateValues" dxfId="540" priority="501"/>
  </conditionalFormatting>
  <conditionalFormatting sqref="C3006">
    <cfRule type="duplicateValues" dxfId="539" priority="500"/>
  </conditionalFormatting>
  <conditionalFormatting sqref="C3005">
    <cfRule type="duplicateValues" dxfId="538" priority="499"/>
  </conditionalFormatting>
  <conditionalFormatting sqref="C3003:C3004">
    <cfRule type="duplicateValues" dxfId="537" priority="497"/>
  </conditionalFormatting>
  <conditionalFormatting sqref="C3002">
    <cfRule type="duplicateValues" dxfId="536" priority="496"/>
  </conditionalFormatting>
  <conditionalFormatting sqref="C3001">
    <cfRule type="duplicateValues" dxfId="535" priority="495"/>
  </conditionalFormatting>
  <conditionalFormatting sqref="C3000">
    <cfRule type="duplicateValues" dxfId="534" priority="494"/>
  </conditionalFormatting>
  <conditionalFormatting sqref="C2999">
    <cfRule type="duplicateValues" dxfId="533" priority="493"/>
  </conditionalFormatting>
  <conditionalFormatting sqref="C2998">
    <cfRule type="duplicateValues" dxfId="532" priority="492"/>
  </conditionalFormatting>
  <conditionalFormatting sqref="C2997">
    <cfRule type="duplicateValues" dxfId="531" priority="491"/>
  </conditionalFormatting>
  <conditionalFormatting sqref="C2996">
    <cfRule type="duplicateValues" dxfId="530" priority="490"/>
  </conditionalFormatting>
  <conditionalFormatting sqref="C2995">
    <cfRule type="duplicateValues" dxfId="529" priority="489"/>
  </conditionalFormatting>
  <conditionalFormatting sqref="C2994">
    <cfRule type="duplicateValues" dxfId="528" priority="488"/>
  </conditionalFormatting>
  <conditionalFormatting sqref="C2993">
    <cfRule type="duplicateValues" dxfId="527" priority="487"/>
  </conditionalFormatting>
  <conditionalFormatting sqref="C2992">
    <cfRule type="duplicateValues" dxfId="526" priority="486"/>
  </conditionalFormatting>
  <conditionalFormatting sqref="C3022">
    <cfRule type="duplicateValues" dxfId="525" priority="485"/>
  </conditionalFormatting>
  <conditionalFormatting sqref="C3021">
    <cfRule type="duplicateValues" dxfId="524" priority="484"/>
  </conditionalFormatting>
  <conditionalFormatting sqref="C3020">
    <cfRule type="duplicateValues" dxfId="523" priority="483"/>
  </conditionalFormatting>
  <conditionalFormatting sqref="C3019">
    <cfRule type="duplicateValues" dxfId="522" priority="482"/>
  </conditionalFormatting>
  <conditionalFormatting sqref="C3018">
    <cfRule type="duplicateValues" dxfId="521" priority="481"/>
  </conditionalFormatting>
  <conditionalFormatting sqref="C3017">
    <cfRule type="duplicateValues" dxfId="520" priority="480"/>
  </conditionalFormatting>
  <conditionalFormatting sqref="C3016">
    <cfRule type="duplicateValues" dxfId="519" priority="479"/>
  </conditionalFormatting>
  <conditionalFormatting sqref="C3015">
    <cfRule type="duplicateValues" dxfId="518" priority="478"/>
  </conditionalFormatting>
  <conditionalFormatting sqref="C3014">
    <cfRule type="duplicateValues" dxfId="517" priority="477"/>
  </conditionalFormatting>
  <conditionalFormatting sqref="C3013">
    <cfRule type="duplicateValues" dxfId="516" priority="476"/>
  </conditionalFormatting>
  <conditionalFormatting sqref="C3012">
    <cfRule type="duplicateValues" dxfId="515" priority="475"/>
  </conditionalFormatting>
  <conditionalFormatting sqref="C3011">
    <cfRule type="duplicateValues" dxfId="514" priority="474"/>
  </conditionalFormatting>
  <conditionalFormatting sqref="C3010">
    <cfRule type="duplicateValues" dxfId="513" priority="473"/>
  </conditionalFormatting>
  <conditionalFormatting sqref="C3009">
    <cfRule type="duplicateValues" dxfId="512" priority="472"/>
  </conditionalFormatting>
  <conditionalFormatting sqref="C3008">
    <cfRule type="duplicateValues" dxfId="511" priority="471"/>
  </conditionalFormatting>
  <conditionalFormatting sqref="C3049">
    <cfRule type="duplicateValues" dxfId="510" priority="470"/>
  </conditionalFormatting>
  <conditionalFormatting sqref="C3048">
    <cfRule type="duplicateValues" dxfId="509" priority="469"/>
  </conditionalFormatting>
  <conditionalFormatting sqref="C3047">
    <cfRule type="duplicateValues" dxfId="508" priority="468"/>
  </conditionalFormatting>
  <conditionalFormatting sqref="C3046">
    <cfRule type="duplicateValues" dxfId="507" priority="467"/>
  </conditionalFormatting>
  <conditionalFormatting sqref="C3045">
    <cfRule type="duplicateValues" dxfId="506" priority="466"/>
  </conditionalFormatting>
  <conditionalFormatting sqref="C3044">
    <cfRule type="duplicateValues" dxfId="505" priority="465"/>
  </conditionalFormatting>
  <conditionalFormatting sqref="C3043">
    <cfRule type="duplicateValues" dxfId="504" priority="464"/>
  </conditionalFormatting>
  <conditionalFormatting sqref="C3042">
    <cfRule type="duplicateValues" dxfId="503" priority="463"/>
  </conditionalFormatting>
  <conditionalFormatting sqref="C3041">
    <cfRule type="duplicateValues" dxfId="502" priority="462"/>
  </conditionalFormatting>
  <conditionalFormatting sqref="C1523">
    <cfRule type="duplicateValues" dxfId="501" priority="461"/>
  </conditionalFormatting>
  <conditionalFormatting sqref="C1522">
    <cfRule type="duplicateValues" dxfId="500" priority="460"/>
  </conditionalFormatting>
  <conditionalFormatting sqref="C1521">
    <cfRule type="duplicateValues" dxfId="499" priority="459"/>
  </conditionalFormatting>
  <conditionalFormatting sqref="C1520">
    <cfRule type="duplicateValues" dxfId="498" priority="458"/>
  </conditionalFormatting>
  <conditionalFormatting sqref="C1519">
    <cfRule type="duplicateValues" dxfId="497" priority="457"/>
  </conditionalFormatting>
  <conditionalFormatting sqref="C1518">
    <cfRule type="duplicateValues" dxfId="496" priority="456"/>
  </conditionalFormatting>
  <conditionalFormatting sqref="C1517">
    <cfRule type="duplicateValues" dxfId="495" priority="455"/>
  </conditionalFormatting>
  <conditionalFormatting sqref="C1516">
    <cfRule type="duplicateValues" dxfId="494" priority="454"/>
  </conditionalFormatting>
  <conditionalFormatting sqref="C1515">
    <cfRule type="duplicateValues" dxfId="493" priority="453"/>
  </conditionalFormatting>
  <conditionalFormatting sqref="C1514">
    <cfRule type="duplicateValues" dxfId="492" priority="452"/>
  </conditionalFormatting>
  <conditionalFormatting sqref="C1513">
    <cfRule type="duplicateValues" dxfId="491" priority="451"/>
  </conditionalFormatting>
  <conditionalFormatting sqref="C1512">
    <cfRule type="duplicateValues" dxfId="490" priority="450"/>
  </conditionalFormatting>
  <conditionalFormatting sqref="C1511">
    <cfRule type="duplicateValues" dxfId="489" priority="449"/>
  </conditionalFormatting>
  <conditionalFormatting sqref="C1510">
    <cfRule type="duplicateValues" dxfId="488" priority="448"/>
  </conditionalFormatting>
  <conditionalFormatting sqref="C1509">
    <cfRule type="duplicateValues" dxfId="487" priority="447"/>
  </conditionalFormatting>
  <conditionalFormatting sqref="C1508">
    <cfRule type="duplicateValues" dxfId="486" priority="446"/>
  </conditionalFormatting>
  <conditionalFormatting sqref="C1507">
    <cfRule type="duplicateValues" dxfId="485" priority="445"/>
  </conditionalFormatting>
  <conditionalFormatting sqref="C1506">
    <cfRule type="duplicateValues" dxfId="484" priority="444"/>
  </conditionalFormatting>
  <conditionalFormatting sqref="C1505">
    <cfRule type="duplicateValues" dxfId="483" priority="443"/>
  </conditionalFormatting>
  <conditionalFormatting sqref="C1504">
    <cfRule type="duplicateValues" dxfId="482" priority="442"/>
  </conditionalFormatting>
  <conditionalFormatting sqref="C1569">
    <cfRule type="duplicateValues" dxfId="481" priority="441"/>
  </conditionalFormatting>
  <conditionalFormatting sqref="C1568">
    <cfRule type="duplicateValues" dxfId="480" priority="440"/>
  </conditionalFormatting>
  <conditionalFormatting sqref="C1567">
    <cfRule type="duplicateValues" dxfId="479" priority="439"/>
  </conditionalFormatting>
  <conditionalFormatting sqref="C1566">
    <cfRule type="duplicateValues" dxfId="478" priority="438"/>
  </conditionalFormatting>
  <conditionalFormatting sqref="C1565">
    <cfRule type="duplicateValues" dxfId="477" priority="437"/>
  </conditionalFormatting>
  <conditionalFormatting sqref="C1564">
    <cfRule type="duplicateValues" dxfId="476" priority="436"/>
  </conditionalFormatting>
  <conditionalFormatting sqref="C1563">
    <cfRule type="duplicateValues" dxfId="475" priority="435"/>
  </conditionalFormatting>
  <conditionalFormatting sqref="C1562">
    <cfRule type="duplicateValues" dxfId="474" priority="434"/>
  </conditionalFormatting>
  <conditionalFormatting sqref="C1561">
    <cfRule type="duplicateValues" dxfId="473" priority="433"/>
  </conditionalFormatting>
  <conditionalFormatting sqref="C1560">
    <cfRule type="duplicateValues" dxfId="472" priority="432"/>
  </conditionalFormatting>
  <conditionalFormatting sqref="C1559">
    <cfRule type="duplicateValues" dxfId="471" priority="431"/>
  </conditionalFormatting>
  <conditionalFormatting sqref="C1558">
    <cfRule type="duplicateValues" dxfId="470" priority="430"/>
  </conditionalFormatting>
  <conditionalFormatting sqref="C1550">
    <cfRule type="duplicateValues" dxfId="469" priority="429"/>
  </conditionalFormatting>
  <conditionalFormatting sqref="C1549">
    <cfRule type="duplicateValues" dxfId="468" priority="428"/>
  </conditionalFormatting>
  <conditionalFormatting sqref="C1548">
    <cfRule type="duplicateValues" dxfId="467" priority="427"/>
  </conditionalFormatting>
  <conditionalFormatting sqref="C1547">
    <cfRule type="duplicateValues" dxfId="466" priority="426"/>
  </conditionalFormatting>
  <conditionalFormatting sqref="C3087:C3088">
    <cfRule type="duplicateValues" dxfId="465" priority="425"/>
  </conditionalFormatting>
  <conditionalFormatting sqref="C3069">
    <cfRule type="duplicateValues" dxfId="464" priority="424"/>
  </conditionalFormatting>
  <conditionalFormatting sqref="C3068">
    <cfRule type="duplicateValues" dxfId="463" priority="423"/>
  </conditionalFormatting>
  <conditionalFormatting sqref="C3067">
    <cfRule type="duplicateValues" dxfId="462" priority="422"/>
  </conditionalFormatting>
  <conditionalFormatting sqref="C3066">
    <cfRule type="duplicateValues" dxfId="461" priority="421"/>
  </conditionalFormatting>
  <conditionalFormatting sqref="C3065">
    <cfRule type="duplicateValues" dxfId="460" priority="420"/>
  </conditionalFormatting>
  <conditionalFormatting sqref="C3064">
    <cfRule type="duplicateValues" dxfId="459" priority="419"/>
  </conditionalFormatting>
  <conditionalFormatting sqref="C3063">
    <cfRule type="duplicateValues" dxfId="458" priority="418"/>
  </conditionalFormatting>
  <conditionalFormatting sqref="C3062">
    <cfRule type="duplicateValues" dxfId="457" priority="417"/>
  </conditionalFormatting>
  <conditionalFormatting sqref="C3061">
    <cfRule type="duplicateValues" dxfId="456" priority="416"/>
  </conditionalFormatting>
  <conditionalFormatting sqref="C3060">
    <cfRule type="duplicateValues" dxfId="455" priority="415"/>
  </conditionalFormatting>
  <conditionalFormatting sqref="C3059">
    <cfRule type="duplicateValues" dxfId="454" priority="414"/>
  </conditionalFormatting>
  <conditionalFormatting sqref="C3058">
    <cfRule type="duplicateValues" dxfId="453" priority="413"/>
  </conditionalFormatting>
  <conditionalFormatting sqref="C3057">
    <cfRule type="duplicateValues" dxfId="452" priority="412"/>
  </conditionalFormatting>
  <conditionalFormatting sqref="C3056">
    <cfRule type="duplicateValues" dxfId="451" priority="411"/>
  </conditionalFormatting>
  <conditionalFormatting sqref="C3055">
    <cfRule type="duplicateValues" dxfId="450" priority="410"/>
  </conditionalFormatting>
  <conditionalFormatting sqref="C3054">
    <cfRule type="duplicateValues" dxfId="449" priority="409"/>
  </conditionalFormatting>
  <conditionalFormatting sqref="C3053">
    <cfRule type="duplicateValues" dxfId="448" priority="408"/>
  </conditionalFormatting>
  <conditionalFormatting sqref="C3052">
    <cfRule type="duplicateValues" dxfId="447" priority="407"/>
  </conditionalFormatting>
  <conditionalFormatting sqref="C3086">
    <cfRule type="duplicateValues" dxfId="446" priority="406"/>
  </conditionalFormatting>
  <conditionalFormatting sqref="C3085">
    <cfRule type="duplicateValues" dxfId="445" priority="405"/>
  </conditionalFormatting>
  <conditionalFormatting sqref="C3084">
    <cfRule type="duplicateValues" dxfId="444" priority="404"/>
  </conditionalFormatting>
  <conditionalFormatting sqref="C3083">
    <cfRule type="duplicateValues" dxfId="443" priority="403"/>
  </conditionalFormatting>
  <conditionalFormatting sqref="C3082">
    <cfRule type="duplicateValues" dxfId="442" priority="402"/>
  </conditionalFormatting>
  <conditionalFormatting sqref="C3081">
    <cfRule type="duplicateValues" dxfId="441" priority="401"/>
  </conditionalFormatting>
  <conditionalFormatting sqref="C3080">
    <cfRule type="duplicateValues" dxfId="440" priority="400"/>
  </conditionalFormatting>
  <conditionalFormatting sqref="C3079">
    <cfRule type="duplicateValues" dxfId="439" priority="399"/>
  </conditionalFormatting>
  <conditionalFormatting sqref="C3078">
    <cfRule type="duplicateValues" dxfId="438" priority="398"/>
  </conditionalFormatting>
  <conditionalFormatting sqref="C3077">
    <cfRule type="duplicateValues" dxfId="437" priority="397"/>
  </conditionalFormatting>
  <conditionalFormatting sqref="C3076">
    <cfRule type="duplicateValues" dxfId="436" priority="396"/>
  </conditionalFormatting>
  <conditionalFormatting sqref="C3075">
    <cfRule type="duplicateValues" dxfId="435" priority="395"/>
  </conditionalFormatting>
  <conditionalFormatting sqref="C3074">
    <cfRule type="duplicateValues" dxfId="434" priority="394"/>
  </conditionalFormatting>
  <conditionalFormatting sqref="C3073">
    <cfRule type="duplicateValues" dxfId="433" priority="393"/>
  </conditionalFormatting>
  <conditionalFormatting sqref="C3072">
    <cfRule type="duplicateValues" dxfId="432" priority="392"/>
  </conditionalFormatting>
  <conditionalFormatting sqref="C3071">
    <cfRule type="duplicateValues" dxfId="431" priority="391"/>
  </conditionalFormatting>
  <conditionalFormatting sqref="C3070">
    <cfRule type="duplicateValues" dxfId="430" priority="390"/>
  </conditionalFormatting>
  <conditionalFormatting sqref="C3149">
    <cfRule type="duplicateValues" dxfId="429" priority="389"/>
  </conditionalFormatting>
  <conditionalFormatting sqref="C3119">
    <cfRule type="duplicateValues" dxfId="428" priority="388"/>
  </conditionalFormatting>
  <conditionalFormatting sqref="C3118">
    <cfRule type="duplicateValues" dxfId="427" priority="387"/>
  </conditionalFormatting>
  <conditionalFormatting sqref="C3117">
    <cfRule type="duplicateValues" dxfId="426" priority="386"/>
  </conditionalFormatting>
  <conditionalFormatting sqref="C3116">
    <cfRule type="duplicateValues" dxfId="425" priority="385"/>
  </conditionalFormatting>
  <conditionalFormatting sqref="C3115">
    <cfRule type="duplicateValues" dxfId="424" priority="384"/>
  </conditionalFormatting>
  <conditionalFormatting sqref="C3114">
    <cfRule type="duplicateValues" dxfId="423" priority="383"/>
  </conditionalFormatting>
  <conditionalFormatting sqref="C3113">
    <cfRule type="duplicateValues" dxfId="422" priority="382"/>
  </conditionalFormatting>
  <conditionalFormatting sqref="C3112">
    <cfRule type="duplicateValues" dxfId="421" priority="381"/>
  </conditionalFormatting>
  <conditionalFormatting sqref="C3111">
    <cfRule type="duplicateValues" dxfId="420" priority="380"/>
  </conditionalFormatting>
  <conditionalFormatting sqref="C3110">
    <cfRule type="duplicateValues" dxfId="419" priority="379"/>
  </conditionalFormatting>
  <conditionalFormatting sqref="C3109">
    <cfRule type="duplicateValues" dxfId="418" priority="378"/>
  </conditionalFormatting>
  <conditionalFormatting sqref="C3108">
    <cfRule type="duplicateValues" dxfId="417" priority="377"/>
  </conditionalFormatting>
  <conditionalFormatting sqref="C3107">
    <cfRule type="duplicateValues" dxfId="416" priority="376"/>
  </conditionalFormatting>
  <conditionalFormatting sqref="C3092">
    <cfRule type="duplicateValues" dxfId="415" priority="375"/>
  </conditionalFormatting>
  <conditionalFormatting sqref="C3091">
    <cfRule type="duplicateValues" dxfId="414" priority="374"/>
  </conditionalFormatting>
  <conditionalFormatting sqref="C3090">
    <cfRule type="duplicateValues" dxfId="413" priority="373"/>
  </conditionalFormatting>
  <conditionalFormatting sqref="C3089">
    <cfRule type="duplicateValues" dxfId="412" priority="372"/>
  </conditionalFormatting>
  <conditionalFormatting sqref="C3106">
    <cfRule type="duplicateValues" dxfId="411" priority="370"/>
  </conditionalFormatting>
  <conditionalFormatting sqref="C3105">
    <cfRule type="duplicateValues" dxfId="410" priority="369"/>
  </conditionalFormatting>
  <conditionalFormatting sqref="C3104">
    <cfRule type="duplicateValues" dxfId="409" priority="368"/>
  </conditionalFormatting>
  <conditionalFormatting sqref="C3103">
    <cfRule type="duplicateValues" dxfId="408" priority="367"/>
  </conditionalFormatting>
  <conditionalFormatting sqref="C3102">
    <cfRule type="duplicateValues" dxfId="407" priority="366"/>
  </conditionalFormatting>
  <conditionalFormatting sqref="C3101">
    <cfRule type="duplicateValues" dxfId="406" priority="365"/>
  </conditionalFormatting>
  <conditionalFormatting sqref="C3100">
    <cfRule type="duplicateValues" dxfId="405" priority="364"/>
  </conditionalFormatting>
  <conditionalFormatting sqref="C3099">
    <cfRule type="duplicateValues" dxfId="404" priority="363"/>
  </conditionalFormatting>
  <conditionalFormatting sqref="C3098">
    <cfRule type="duplicateValues" dxfId="403" priority="362"/>
  </conditionalFormatting>
  <conditionalFormatting sqref="C3097">
    <cfRule type="duplicateValues" dxfId="402" priority="361"/>
  </conditionalFormatting>
  <conditionalFormatting sqref="C3096">
    <cfRule type="duplicateValues" dxfId="401" priority="360"/>
  </conditionalFormatting>
  <conditionalFormatting sqref="C3095">
    <cfRule type="duplicateValues" dxfId="400" priority="359"/>
  </conditionalFormatting>
  <conditionalFormatting sqref="C3094">
    <cfRule type="duplicateValues" dxfId="399" priority="358"/>
  </conditionalFormatting>
  <conditionalFormatting sqref="C3093">
    <cfRule type="duplicateValues" dxfId="398" priority="357"/>
  </conditionalFormatting>
  <conditionalFormatting sqref="C3148">
    <cfRule type="duplicateValues" dxfId="397" priority="356"/>
  </conditionalFormatting>
  <conditionalFormatting sqref="C3147">
    <cfRule type="duplicateValues" dxfId="396" priority="355"/>
  </conditionalFormatting>
  <conditionalFormatting sqref="C3146">
    <cfRule type="duplicateValues" dxfId="395" priority="354"/>
  </conditionalFormatting>
  <conditionalFormatting sqref="C3145">
    <cfRule type="duplicateValues" dxfId="394" priority="353"/>
  </conditionalFormatting>
  <conditionalFormatting sqref="C3144">
    <cfRule type="duplicateValues" dxfId="393" priority="352"/>
  </conditionalFormatting>
  <conditionalFormatting sqref="C3143">
    <cfRule type="duplicateValues" dxfId="392" priority="351"/>
  </conditionalFormatting>
  <conditionalFormatting sqref="C3142">
    <cfRule type="duplicateValues" dxfId="391" priority="350"/>
  </conditionalFormatting>
  <conditionalFormatting sqref="C3141">
    <cfRule type="duplicateValues" dxfId="390" priority="349"/>
  </conditionalFormatting>
  <conditionalFormatting sqref="C3140">
    <cfRule type="duplicateValues" dxfId="389" priority="348"/>
  </conditionalFormatting>
  <conditionalFormatting sqref="C3139">
    <cfRule type="duplicateValues" dxfId="388" priority="347"/>
  </conditionalFormatting>
  <conditionalFormatting sqref="C3138">
    <cfRule type="duplicateValues" dxfId="387" priority="346"/>
  </conditionalFormatting>
  <conditionalFormatting sqref="C3137">
    <cfRule type="duplicateValues" dxfId="386" priority="345"/>
  </conditionalFormatting>
  <conditionalFormatting sqref="C3136">
    <cfRule type="duplicateValues" dxfId="385" priority="344"/>
  </conditionalFormatting>
  <conditionalFormatting sqref="C3135">
    <cfRule type="duplicateValues" dxfId="384" priority="343"/>
  </conditionalFormatting>
  <conditionalFormatting sqref="C3134">
    <cfRule type="duplicateValues" dxfId="383" priority="342"/>
  </conditionalFormatting>
  <conditionalFormatting sqref="C3133">
    <cfRule type="duplicateValues" dxfId="382" priority="341"/>
  </conditionalFormatting>
  <conditionalFormatting sqref="C3132">
    <cfRule type="duplicateValues" dxfId="381" priority="340"/>
  </conditionalFormatting>
  <conditionalFormatting sqref="C3131">
    <cfRule type="duplicateValues" dxfId="380" priority="339"/>
  </conditionalFormatting>
  <conditionalFormatting sqref="C3130">
    <cfRule type="duplicateValues" dxfId="379" priority="338"/>
  </conditionalFormatting>
  <conditionalFormatting sqref="C3129">
    <cfRule type="duplicateValues" dxfId="378" priority="337"/>
  </conditionalFormatting>
  <conditionalFormatting sqref="C3128">
    <cfRule type="duplicateValues" dxfId="377" priority="336"/>
  </conditionalFormatting>
  <conditionalFormatting sqref="C3127">
    <cfRule type="duplicateValues" dxfId="376" priority="335"/>
  </conditionalFormatting>
  <conditionalFormatting sqref="C1557">
    <cfRule type="duplicateValues" dxfId="375" priority="334"/>
  </conditionalFormatting>
  <conditionalFormatting sqref="C1556">
    <cfRule type="duplicateValues" dxfId="374" priority="333"/>
  </conditionalFormatting>
  <conditionalFormatting sqref="C1555">
    <cfRule type="duplicateValues" dxfId="373" priority="332"/>
  </conditionalFormatting>
  <conditionalFormatting sqref="C1554">
    <cfRule type="duplicateValues" dxfId="372" priority="331"/>
  </conditionalFormatting>
  <conditionalFormatting sqref="C1553">
    <cfRule type="duplicateValues" dxfId="371" priority="330"/>
  </conditionalFormatting>
  <conditionalFormatting sqref="C1552">
    <cfRule type="duplicateValues" dxfId="370" priority="329"/>
  </conditionalFormatting>
  <conditionalFormatting sqref="C1551">
    <cfRule type="duplicateValues" dxfId="369" priority="328"/>
  </conditionalFormatting>
  <conditionalFormatting sqref="C3126">
    <cfRule type="duplicateValues" dxfId="368" priority="327"/>
  </conditionalFormatting>
  <conditionalFormatting sqref="C3125">
    <cfRule type="duplicateValues" dxfId="367" priority="326"/>
  </conditionalFormatting>
  <conditionalFormatting sqref="C3124">
    <cfRule type="duplicateValues" dxfId="366" priority="325"/>
  </conditionalFormatting>
  <conditionalFormatting sqref="C3123">
    <cfRule type="duplicateValues" dxfId="365" priority="324"/>
  </conditionalFormatting>
  <conditionalFormatting sqref="C3122">
    <cfRule type="duplicateValues" dxfId="364" priority="323"/>
  </conditionalFormatting>
  <conditionalFormatting sqref="C3121">
    <cfRule type="duplicateValues" dxfId="363" priority="322"/>
  </conditionalFormatting>
  <conditionalFormatting sqref="C3120">
    <cfRule type="duplicateValues" dxfId="362" priority="321"/>
  </conditionalFormatting>
  <conditionalFormatting sqref="C3243">
    <cfRule type="duplicateValues" dxfId="361" priority="319"/>
  </conditionalFormatting>
  <conditionalFormatting sqref="C3242">
    <cfRule type="duplicateValues" dxfId="360" priority="318"/>
  </conditionalFormatting>
  <conditionalFormatting sqref="C3241">
    <cfRule type="duplicateValues" dxfId="359" priority="317"/>
  </conditionalFormatting>
  <conditionalFormatting sqref="C3203">
    <cfRule type="duplicateValues" dxfId="358" priority="316"/>
  </conditionalFormatting>
  <conditionalFormatting sqref="C3202">
    <cfRule type="duplicateValues" dxfId="357" priority="315"/>
  </conditionalFormatting>
  <conditionalFormatting sqref="C3201">
    <cfRule type="duplicateValues" dxfId="356" priority="314"/>
  </conditionalFormatting>
  <conditionalFormatting sqref="C3200">
    <cfRule type="duplicateValues" dxfId="355" priority="313"/>
  </conditionalFormatting>
  <conditionalFormatting sqref="C3199">
    <cfRule type="duplicateValues" dxfId="354" priority="312"/>
  </conditionalFormatting>
  <conditionalFormatting sqref="C3198">
    <cfRule type="duplicateValues" dxfId="353" priority="311"/>
  </conditionalFormatting>
  <conditionalFormatting sqref="C3197">
    <cfRule type="duplicateValues" dxfId="352" priority="310"/>
  </conditionalFormatting>
  <conditionalFormatting sqref="C3162">
    <cfRule type="duplicateValues" dxfId="351" priority="309"/>
  </conditionalFormatting>
  <conditionalFormatting sqref="C3161">
    <cfRule type="duplicateValues" dxfId="350" priority="308"/>
  </conditionalFormatting>
  <conditionalFormatting sqref="C3160">
    <cfRule type="duplicateValues" dxfId="349" priority="307"/>
  </conditionalFormatting>
  <conditionalFormatting sqref="C3159">
    <cfRule type="duplicateValues" dxfId="348" priority="306"/>
  </conditionalFormatting>
  <conditionalFormatting sqref="C3158">
    <cfRule type="duplicateValues" dxfId="347" priority="305"/>
  </conditionalFormatting>
  <conditionalFormatting sqref="C3157">
    <cfRule type="duplicateValues" dxfId="346" priority="304"/>
  </conditionalFormatting>
  <conditionalFormatting sqref="C3156">
    <cfRule type="duplicateValues" dxfId="345" priority="303"/>
  </conditionalFormatting>
  <conditionalFormatting sqref="C3155">
    <cfRule type="duplicateValues" dxfId="344" priority="302"/>
  </conditionalFormatting>
  <conditionalFormatting sqref="C3154">
    <cfRule type="duplicateValues" dxfId="343" priority="301"/>
  </conditionalFormatting>
  <conditionalFormatting sqref="C3153">
    <cfRule type="duplicateValues" dxfId="342" priority="300"/>
  </conditionalFormatting>
  <conditionalFormatting sqref="C3152">
    <cfRule type="duplicateValues" dxfId="341" priority="299"/>
  </conditionalFormatting>
  <conditionalFormatting sqref="C3151">
    <cfRule type="duplicateValues" dxfId="340" priority="298"/>
  </conditionalFormatting>
  <conditionalFormatting sqref="C1587:C1590">
    <cfRule type="duplicateValues" dxfId="339" priority="291"/>
  </conditionalFormatting>
  <conditionalFormatting sqref="C1586">
    <cfRule type="duplicateValues" dxfId="338" priority="290"/>
  </conditionalFormatting>
  <conditionalFormatting sqref="C1585">
    <cfRule type="duplicateValues" dxfId="337" priority="289"/>
  </conditionalFormatting>
  <conditionalFormatting sqref="C1584">
    <cfRule type="duplicateValues" dxfId="336" priority="288"/>
  </conditionalFormatting>
  <conditionalFormatting sqref="C1583">
    <cfRule type="duplicateValues" dxfId="335" priority="287"/>
  </conditionalFormatting>
  <conditionalFormatting sqref="C1582">
    <cfRule type="duplicateValues" dxfId="334" priority="286"/>
  </conditionalFormatting>
  <conditionalFormatting sqref="C1581">
    <cfRule type="duplicateValues" dxfId="333" priority="285"/>
  </conditionalFormatting>
  <conditionalFormatting sqref="C1580">
    <cfRule type="duplicateValues" dxfId="332" priority="284"/>
  </conditionalFormatting>
  <conditionalFormatting sqref="C1579">
    <cfRule type="duplicateValues" dxfId="331" priority="283"/>
  </conditionalFormatting>
  <conditionalFormatting sqref="C1578">
    <cfRule type="duplicateValues" dxfId="330" priority="282"/>
  </conditionalFormatting>
  <conditionalFormatting sqref="C1577">
    <cfRule type="duplicateValues" dxfId="329" priority="281"/>
  </conditionalFormatting>
  <conditionalFormatting sqref="C1576">
    <cfRule type="duplicateValues" dxfId="328" priority="280"/>
  </conditionalFormatting>
  <conditionalFormatting sqref="C1575">
    <cfRule type="duplicateValues" dxfId="327" priority="279"/>
  </conditionalFormatting>
  <conditionalFormatting sqref="C1574">
    <cfRule type="duplicateValues" dxfId="326" priority="278"/>
  </conditionalFormatting>
  <conditionalFormatting sqref="C1573">
    <cfRule type="duplicateValues" dxfId="325" priority="277"/>
  </conditionalFormatting>
  <conditionalFormatting sqref="C1572">
    <cfRule type="duplicateValues" dxfId="324" priority="276"/>
  </conditionalFormatting>
  <conditionalFormatting sqref="C1571">
    <cfRule type="duplicateValues" dxfId="323" priority="275"/>
  </conditionalFormatting>
  <conditionalFormatting sqref="C1570">
    <cfRule type="duplicateValues" dxfId="322" priority="274"/>
  </conditionalFormatting>
  <conditionalFormatting sqref="C1611">
    <cfRule type="duplicateValues" dxfId="321" priority="270"/>
  </conditionalFormatting>
  <conditionalFormatting sqref="C1610">
    <cfRule type="duplicateValues" dxfId="320" priority="269"/>
  </conditionalFormatting>
  <conditionalFormatting sqref="C1609">
    <cfRule type="duplicateValues" dxfId="319" priority="268"/>
  </conditionalFormatting>
  <conditionalFormatting sqref="C1608">
    <cfRule type="duplicateValues" dxfId="318" priority="267"/>
  </conditionalFormatting>
  <conditionalFormatting sqref="C1593">
    <cfRule type="duplicateValues" dxfId="317" priority="266"/>
  </conditionalFormatting>
  <conditionalFormatting sqref="C1592">
    <cfRule type="duplicateValues" dxfId="316" priority="265"/>
  </conditionalFormatting>
  <conditionalFormatting sqref="C1591">
    <cfRule type="duplicateValues" dxfId="315" priority="264"/>
  </conditionalFormatting>
  <conditionalFormatting sqref="C3196">
    <cfRule type="duplicateValues" dxfId="314" priority="261"/>
  </conditionalFormatting>
  <conditionalFormatting sqref="C3195">
    <cfRule type="duplicateValues" dxfId="313" priority="260"/>
  </conditionalFormatting>
  <conditionalFormatting sqref="C3194">
    <cfRule type="duplicateValues" dxfId="312" priority="259"/>
  </conditionalFormatting>
  <conditionalFormatting sqref="C3193">
    <cfRule type="duplicateValues" dxfId="311" priority="258"/>
  </conditionalFormatting>
  <conditionalFormatting sqref="C3182">
    <cfRule type="duplicateValues" dxfId="310" priority="257"/>
  </conditionalFormatting>
  <conditionalFormatting sqref="C3181">
    <cfRule type="duplicateValues" dxfId="309" priority="256"/>
  </conditionalFormatting>
  <conditionalFormatting sqref="C3180">
    <cfRule type="duplicateValues" dxfId="308" priority="255"/>
  </conditionalFormatting>
  <conditionalFormatting sqref="C3179">
    <cfRule type="duplicateValues" dxfId="307" priority="254"/>
  </conditionalFormatting>
  <conditionalFormatting sqref="C3178">
    <cfRule type="duplicateValues" dxfId="306" priority="253"/>
  </conditionalFormatting>
  <conditionalFormatting sqref="C3177">
    <cfRule type="duplicateValues" dxfId="305" priority="252"/>
  </conditionalFormatting>
  <conditionalFormatting sqref="C3176">
    <cfRule type="duplicateValues" dxfId="304" priority="251"/>
  </conditionalFormatting>
  <conditionalFormatting sqref="C3175">
    <cfRule type="duplicateValues" dxfId="303" priority="250"/>
  </conditionalFormatting>
  <conditionalFormatting sqref="C3174">
    <cfRule type="duplicateValues" dxfId="302" priority="249"/>
  </conditionalFormatting>
  <conditionalFormatting sqref="C3173">
    <cfRule type="duplicateValues" dxfId="301" priority="248"/>
  </conditionalFormatting>
  <conditionalFormatting sqref="C3172">
    <cfRule type="duplicateValues" dxfId="300" priority="247"/>
  </conditionalFormatting>
  <conditionalFormatting sqref="C3171">
    <cfRule type="duplicateValues" dxfId="299" priority="246"/>
  </conditionalFormatting>
  <conditionalFormatting sqref="C3170">
    <cfRule type="duplicateValues" dxfId="298" priority="245"/>
  </conditionalFormatting>
  <conditionalFormatting sqref="C3169">
    <cfRule type="duplicateValues" dxfId="297" priority="244"/>
  </conditionalFormatting>
  <conditionalFormatting sqref="C3168">
    <cfRule type="duplicateValues" dxfId="296" priority="243"/>
  </conditionalFormatting>
  <conditionalFormatting sqref="C3167">
    <cfRule type="duplicateValues" dxfId="295" priority="242"/>
  </conditionalFormatting>
  <conditionalFormatting sqref="C3166">
    <cfRule type="duplicateValues" dxfId="294" priority="241"/>
  </conditionalFormatting>
  <conditionalFormatting sqref="C3165">
    <cfRule type="duplicateValues" dxfId="293" priority="240"/>
  </conditionalFormatting>
  <conditionalFormatting sqref="C3164">
    <cfRule type="duplicateValues" dxfId="292" priority="239"/>
  </conditionalFormatting>
  <conditionalFormatting sqref="C3163">
    <cfRule type="duplicateValues" dxfId="291" priority="238"/>
  </conditionalFormatting>
  <conditionalFormatting sqref="C3192">
    <cfRule type="duplicateValues" dxfId="290" priority="237"/>
  </conditionalFormatting>
  <conditionalFormatting sqref="C3191">
    <cfRule type="duplicateValues" dxfId="289" priority="236"/>
  </conditionalFormatting>
  <conditionalFormatting sqref="C3190">
    <cfRule type="duplicateValues" dxfId="288" priority="235"/>
  </conditionalFormatting>
  <conditionalFormatting sqref="C3189">
    <cfRule type="duplicateValues" dxfId="287" priority="234"/>
  </conditionalFormatting>
  <conditionalFormatting sqref="C3188">
    <cfRule type="duplicateValues" dxfId="286" priority="233"/>
  </conditionalFormatting>
  <conditionalFormatting sqref="C3187">
    <cfRule type="duplicateValues" dxfId="285" priority="232"/>
  </conditionalFormatting>
  <conditionalFormatting sqref="C3186">
    <cfRule type="duplicateValues" dxfId="284" priority="231"/>
  </conditionalFormatting>
  <conditionalFormatting sqref="C3185">
    <cfRule type="duplicateValues" dxfId="283" priority="230"/>
  </conditionalFormatting>
  <conditionalFormatting sqref="C3184">
    <cfRule type="duplicateValues" dxfId="282" priority="229"/>
  </conditionalFormatting>
  <conditionalFormatting sqref="C3183">
    <cfRule type="duplicateValues" dxfId="281" priority="228"/>
  </conditionalFormatting>
  <conditionalFormatting sqref="C3240">
    <cfRule type="duplicateValues" dxfId="280" priority="227"/>
  </conditionalFormatting>
  <conditionalFormatting sqref="C3239">
    <cfRule type="duplicateValues" dxfId="279" priority="226"/>
  </conditionalFormatting>
  <conditionalFormatting sqref="C3238">
    <cfRule type="duplicateValues" dxfId="278" priority="225"/>
  </conditionalFormatting>
  <conditionalFormatting sqref="C3237">
    <cfRule type="duplicateValues" dxfId="277" priority="224"/>
  </conditionalFormatting>
  <conditionalFormatting sqref="C3211">
    <cfRule type="duplicateValues" dxfId="276" priority="223"/>
  </conditionalFormatting>
  <conditionalFormatting sqref="C3210">
    <cfRule type="duplicateValues" dxfId="275" priority="222"/>
  </conditionalFormatting>
  <conditionalFormatting sqref="C3209">
    <cfRule type="duplicateValues" dxfId="274" priority="221"/>
  </conditionalFormatting>
  <conditionalFormatting sqref="C3208">
    <cfRule type="duplicateValues" dxfId="273" priority="220"/>
  </conditionalFormatting>
  <conditionalFormatting sqref="C3207">
    <cfRule type="duplicateValues" dxfId="272" priority="219"/>
  </conditionalFormatting>
  <conditionalFormatting sqref="C3206">
    <cfRule type="duplicateValues" dxfId="271" priority="218"/>
  </conditionalFormatting>
  <conditionalFormatting sqref="C3205">
    <cfRule type="duplicateValues" dxfId="270" priority="217"/>
  </conditionalFormatting>
  <conditionalFormatting sqref="C3204">
    <cfRule type="duplicateValues" dxfId="269" priority="216"/>
  </conditionalFormatting>
  <conditionalFormatting sqref="C3236">
    <cfRule type="duplicateValues" dxfId="268" priority="215"/>
  </conditionalFormatting>
  <conditionalFormatting sqref="C3235">
    <cfRule type="duplicateValues" dxfId="267" priority="214"/>
  </conditionalFormatting>
  <conditionalFormatting sqref="C3229">
    <cfRule type="duplicateValues" dxfId="266" priority="208"/>
  </conditionalFormatting>
  <conditionalFormatting sqref="C3228">
    <cfRule type="duplicateValues" dxfId="265" priority="207"/>
  </conditionalFormatting>
  <conditionalFormatting sqref="C3227">
    <cfRule type="duplicateValues" dxfId="264" priority="206"/>
  </conditionalFormatting>
  <conditionalFormatting sqref="C3226">
    <cfRule type="duplicateValues" dxfId="263" priority="205"/>
  </conditionalFormatting>
  <conditionalFormatting sqref="C3219">
    <cfRule type="duplicateValues" dxfId="262" priority="198"/>
  </conditionalFormatting>
  <conditionalFormatting sqref="C3218">
    <cfRule type="duplicateValues" dxfId="261" priority="197"/>
  </conditionalFormatting>
  <conditionalFormatting sqref="C3217">
    <cfRule type="duplicateValues" dxfId="260" priority="196"/>
  </conditionalFormatting>
  <conditionalFormatting sqref="C3216">
    <cfRule type="duplicateValues" dxfId="259" priority="195"/>
  </conditionalFormatting>
  <conditionalFormatting sqref="C3215">
    <cfRule type="duplicateValues" dxfId="258" priority="194"/>
  </conditionalFormatting>
  <conditionalFormatting sqref="C1607">
    <cfRule type="duplicateValues" dxfId="257" priority="193"/>
  </conditionalFormatting>
  <conditionalFormatting sqref="C1606">
    <cfRule type="duplicateValues" dxfId="256" priority="192"/>
  </conditionalFormatting>
  <conditionalFormatting sqref="C1605">
    <cfRule type="duplicateValues" dxfId="255" priority="191"/>
  </conditionalFormatting>
  <conditionalFormatting sqref="C1604">
    <cfRule type="duplicateValues" dxfId="254" priority="190"/>
  </conditionalFormatting>
  <conditionalFormatting sqref="C1603">
    <cfRule type="duplicateValues" dxfId="253" priority="189"/>
  </conditionalFormatting>
  <conditionalFormatting sqref="C1602">
    <cfRule type="duplicateValues" dxfId="252" priority="188"/>
  </conditionalFormatting>
  <conditionalFormatting sqref="C1601">
    <cfRule type="duplicateValues" dxfId="251" priority="187"/>
  </conditionalFormatting>
  <conditionalFormatting sqref="C1600">
    <cfRule type="duplicateValues" dxfId="250" priority="186"/>
  </conditionalFormatting>
  <conditionalFormatting sqref="C1599">
    <cfRule type="duplicateValues" dxfId="249" priority="185"/>
  </conditionalFormatting>
  <conditionalFormatting sqref="C1598">
    <cfRule type="duplicateValues" dxfId="248" priority="184"/>
  </conditionalFormatting>
  <conditionalFormatting sqref="C1597">
    <cfRule type="duplicateValues" dxfId="247" priority="183"/>
  </conditionalFormatting>
  <conditionalFormatting sqref="C1596">
    <cfRule type="duplicateValues" dxfId="246" priority="182"/>
  </conditionalFormatting>
  <conditionalFormatting sqref="C1595">
    <cfRule type="duplicateValues" dxfId="245" priority="181"/>
  </conditionalFormatting>
  <conditionalFormatting sqref="C1594">
    <cfRule type="duplicateValues" dxfId="244" priority="180"/>
  </conditionalFormatting>
  <conditionalFormatting sqref="C1621">
    <cfRule type="duplicateValues" dxfId="243" priority="179"/>
  </conditionalFormatting>
  <conditionalFormatting sqref="C1620">
    <cfRule type="duplicateValues" dxfId="242" priority="178"/>
  </conditionalFormatting>
  <conditionalFormatting sqref="C1619">
    <cfRule type="duplicateValues" dxfId="241" priority="177"/>
  </conditionalFormatting>
  <conditionalFormatting sqref="C1618">
    <cfRule type="duplicateValues" dxfId="240" priority="176"/>
  </conditionalFormatting>
  <conditionalFormatting sqref="C1617">
    <cfRule type="duplicateValues" dxfId="239" priority="175"/>
  </conditionalFormatting>
  <conditionalFormatting sqref="C1616">
    <cfRule type="duplicateValues" dxfId="238" priority="174"/>
  </conditionalFormatting>
  <conditionalFormatting sqref="C1612:C1615">
    <cfRule type="duplicateValues" dxfId="237" priority="170"/>
  </conditionalFormatting>
  <conditionalFormatting sqref="C3214">
    <cfRule type="duplicateValues" dxfId="236" priority="168"/>
  </conditionalFormatting>
  <conditionalFormatting sqref="C3212:C3213">
    <cfRule type="duplicateValues" dxfId="235" priority="166"/>
  </conditionalFormatting>
  <conditionalFormatting sqref="C3234">
    <cfRule type="duplicateValues" dxfId="234" priority="165"/>
  </conditionalFormatting>
  <conditionalFormatting sqref="C3233">
    <cfRule type="duplicateValues" dxfId="233" priority="164"/>
  </conditionalFormatting>
  <conditionalFormatting sqref="C3232">
    <cfRule type="duplicateValues" dxfId="232" priority="163"/>
  </conditionalFormatting>
  <conditionalFormatting sqref="C3230:C3231">
    <cfRule type="duplicateValues" dxfId="231" priority="162"/>
  </conditionalFormatting>
  <conditionalFormatting sqref="C3225">
    <cfRule type="duplicateValues" dxfId="230" priority="161"/>
  </conditionalFormatting>
  <conditionalFormatting sqref="C3224">
    <cfRule type="duplicateValues" dxfId="229" priority="160"/>
  </conditionalFormatting>
  <conditionalFormatting sqref="C3223">
    <cfRule type="duplicateValues" dxfId="228" priority="159"/>
  </conditionalFormatting>
  <conditionalFormatting sqref="C3222">
    <cfRule type="duplicateValues" dxfId="227" priority="158"/>
  </conditionalFormatting>
  <conditionalFormatting sqref="C3220:C3221">
    <cfRule type="duplicateValues" dxfId="226" priority="157"/>
  </conditionalFormatting>
  <conditionalFormatting sqref="C3263">
    <cfRule type="duplicateValues" dxfId="225" priority="156"/>
  </conditionalFormatting>
  <conditionalFormatting sqref="C3262">
    <cfRule type="duplicateValues" dxfId="224" priority="155"/>
  </conditionalFormatting>
  <conditionalFormatting sqref="C3261">
    <cfRule type="duplicateValues" dxfId="223" priority="154"/>
  </conditionalFormatting>
  <conditionalFormatting sqref="C3260">
    <cfRule type="duplicateValues" dxfId="222" priority="153"/>
  </conditionalFormatting>
  <conditionalFormatting sqref="C3259">
    <cfRule type="duplicateValues" dxfId="221" priority="152"/>
  </conditionalFormatting>
  <conditionalFormatting sqref="C3258">
    <cfRule type="duplicateValues" dxfId="220" priority="151"/>
  </conditionalFormatting>
  <conditionalFormatting sqref="C3257">
    <cfRule type="duplicateValues" dxfId="219" priority="150"/>
  </conditionalFormatting>
  <conditionalFormatting sqref="C3256">
    <cfRule type="duplicateValues" dxfId="218" priority="149"/>
  </conditionalFormatting>
  <conditionalFormatting sqref="C3255">
    <cfRule type="duplicateValues" dxfId="217" priority="148"/>
  </conditionalFormatting>
  <conditionalFormatting sqref="C3254">
    <cfRule type="duplicateValues" dxfId="216" priority="147"/>
  </conditionalFormatting>
  <conditionalFormatting sqref="C3253">
    <cfRule type="duplicateValues" dxfId="215" priority="146"/>
  </conditionalFormatting>
  <conditionalFormatting sqref="C3252">
    <cfRule type="duplicateValues" dxfId="214" priority="145"/>
  </conditionalFormatting>
  <conditionalFormatting sqref="C3251">
    <cfRule type="duplicateValues" dxfId="213" priority="144"/>
  </conditionalFormatting>
  <conditionalFormatting sqref="C3250">
    <cfRule type="duplicateValues" dxfId="212" priority="143"/>
  </conditionalFormatting>
  <conditionalFormatting sqref="C3249">
    <cfRule type="duplicateValues" dxfId="211" priority="142"/>
  </conditionalFormatting>
  <conditionalFormatting sqref="C3248">
    <cfRule type="duplicateValues" dxfId="210" priority="141"/>
  </conditionalFormatting>
  <conditionalFormatting sqref="C3247">
    <cfRule type="duplicateValues" dxfId="209" priority="140"/>
  </conditionalFormatting>
  <conditionalFormatting sqref="C3246">
    <cfRule type="duplicateValues" dxfId="208" priority="139"/>
  </conditionalFormatting>
  <conditionalFormatting sqref="C3245">
    <cfRule type="duplicateValues" dxfId="207" priority="138"/>
  </conditionalFormatting>
  <conditionalFormatting sqref="C3244">
    <cfRule type="duplicateValues" dxfId="206" priority="137"/>
  </conditionalFormatting>
  <conditionalFormatting sqref="C3326">
    <cfRule type="duplicateValues" dxfId="205" priority="136"/>
  </conditionalFormatting>
  <conditionalFormatting sqref="C3325">
    <cfRule type="duplicateValues" dxfId="204" priority="135"/>
  </conditionalFormatting>
  <conditionalFormatting sqref="C3324">
    <cfRule type="duplicateValues" dxfId="203" priority="134"/>
  </conditionalFormatting>
  <conditionalFormatting sqref="C3323">
    <cfRule type="duplicateValues" dxfId="202" priority="133"/>
  </conditionalFormatting>
  <conditionalFormatting sqref="C3322">
    <cfRule type="duplicateValues" dxfId="201" priority="132"/>
  </conditionalFormatting>
  <conditionalFormatting sqref="C3321">
    <cfRule type="duplicateValues" dxfId="200" priority="131"/>
  </conditionalFormatting>
  <conditionalFormatting sqref="C3320">
    <cfRule type="duplicateValues" dxfId="199" priority="130"/>
  </conditionalFormatting>
  <conditionalFormatting sqref="C3319">
    <cfRule type="duplicateValues" dxfId="198" priority="129"/>
  </conditionalFormatting>
  <conditionalFormatting sqref="C3278">
    <cfRule type="duplicateValues" dxfId="197" priority="128"/>
  </conditionalFormatting>
  <conditionalFormatting sqref="C3277">
    <cfRule type="duplicateValues" dxfId="196" priority="127"/>
  </conditionalFormatting>
  <conditionalFormatting sqref="C3276">
    <cfRule type="duplicateValues" dxfId="195" priority="126"/>
  </conditionalFormatting>
  <conditionalFormatting sqref="C3275">
    <cfRule type="duplicateValues" dxfId="194" priority="125"/>
  </conditionalFormatting>
  <conditionalFormatting sqref="C3274">
    <cfRule type="duplicateValues" dxfId="193" priority="124"/>
  </conditionalFormatting>
  <conditionalFormatting sqref="C3273">
    <cfRule type="duplicateValues" dxfId="192" priority="123"/>
  </conditionalFormatting>
  <conditionalFormatting sqref="C3272">
    <cfRule type="duplicateValues" dxfId="191" priority="122"/>
  </conditionalFormatting>
  <conditionalFormatting sqref="C3271">
    <cfRule type="duplicateValues" dxfId="190" priority="121"/>
  </conditionalFormatting>
  <conditionalFormatting sqref="C3270">
    <cfRule type="duplicateValues" dxfId="189" priority="120"/>
  </conditionalFormatting>
  <conditionalFormatting sqref="C3269">
    <cfRule type="duplicateValues" dxfId="188" priority="119"/>
  </conditionalFormatting>
  <conditionalFormatting sqref="C3268">
    <cfRule type="duplicateValues" dxfId="187" priority="118"/>
  </conditionalFormatting>
  <conditionalFormatting sqref="C3267">
    <cfRule type="duplicateValues" dxfId="186" priority="117"/>
  </conditionalFormatting>
  <conditionalFormatting sqref="C3266">
    <cfRule type="duplicateValues" dxfId="185" priority="116"/>
  </conditionalFormatting>
  <conditionalFormatting sqref="C3265">
    <cfRule type="duplicateValues" dxfId="184" priority="115"/>
  </conditionalFormatting>
  <conditionalFormatting sqref="C3264">
    <cfRule type="duplicateValues" dxfId="183" priority="114"/>
  </conditionalFormatting>
  <conditionalFormatting sqref="C3318">
    <cfRule type="duplicateValues" dxfId="182" priority="113"/>
  </conditionalFormatting>
  <conditionalFormatting sqref="C3317">
    <cfRule type="duplicateValues" dxfId="181" priority="112"/>
  </conditionalFormatting>
  <conditionalFormatting sqref="C3316">
    <cfRule type="duplicateValues" dxfId="180" priority="111"/>
  </conditionalFormatting>
  <conditionalFormatting sqref="C3315">
    <cfRule type="duplicateValues" dxfId="179" priority="110"/>
  </conditionalFormatting>
  <conditionalFormatting sqref="C3314">
    <cfRule type="duplicateValues" dxfId="178" priority="109"/>
  </conditionalFormatting>
  <conditionalFormatting sqref="C3313">
    <cfRule type="duplicateValues" dxfId="177" priority="108"/>
  </conditionalFormatting>
  <conditionalFormatting sqref="C3312">
    <cfRule type="duplicateValues" dxfId="176" priority="107"/>
  </conditionalFormatting>
  <conditionalFormatting sqref="C3311">
    <cfRule type="duplicateValues" dxfId="175" priority="106"/>
  </conditionalFormatting>
  <conditionalFormatting sqref="C3310">
    <cfRule type="duplicateValues" dxfId="174" priority="105"/>
  </conditionalFormatting>
  <conditionalFormatting sqref="C3309">
    <cfRule type="duplicateValues" dxfId="173" priority="104"/>
  </conditionalFormatting>
  <conditionalFormatting sqref="C3308">
    <cfRule type="duplicateValues" dxfId="172" priority="103"/>
  </conditionalFormatting>
  <conditionalFormatting sqref="C3298">
    <cfRule type="duplicateValues" dxfId="171" priority="102"/>
  </conditionalFormatting>
  <conditionalFormatting sqref="C3297">
    <cfRule type="duplicateValues" dxfId="170" priority="101"/>
  </conditionalFormatting>
  <conditionalFormatting sqref="C3296">
    <cfRule type="duplicateValues" dxfId="169" priority="100"/>
  </conditionalFormatting>
  <conditionalFormatting sqref="C1352">
    <cfRule type="duplicateValues" dxfId="168" priority="6252"/>
  </conditionalFormatting>
  <conditionalFormatting sqref="C3295">
    <cfRule type="duplicateValues" dxfId="167" priority="99"/>
  </conditionalFormatting>
  <conditionalFormatting sqref="C3294">
    <cfRule type="duplicateValues" dxfId="166" priority="98"/>
  </conditionalFormatting>
  <conditionalFormatting sqref="C3293">
    <cfRule type="duplicateValues" dxfId="165" priority="97"/>
  </conditionalFormatting>
  <conditionalFormatting sqref="C3292">
    <cfRule type="duplicateValues" dxfId="164" priority="96"/>
  </conditionalFormatting>
  <conditionalFormatting sqref="C3291">
    <cfRule type="duplicateValues" dxfId="163" priority="95"/>
  </conditionalFormatting>
  <conditionalFormatting sqref="C3290">
    <cfRule type="duplicateValues" dxfId="162" priority="94"/>
  </conditionalFormatting>
  <conditionalFormatting sqref="C3289">
    <cfRule type="duplicateValues" dxfId="161" priority="93"/>
  </conditionalFormatting>
  <conditionalFormatting sqref="C3288">
    <cfRule type="duplicateValues" dxfId="160" priority="92"/>
  </conditionalFormatting>
  <conditionalFormatting sqref="C3287">
    <cfRule type="duplicateValues" dxfId="159" priority="91"/>
  </conditionalFormatting>
  <conditionalFormatting sqref="C3286">
    <cfRule type="duplicateValues" dxfId="158" priority="90"/>
  </conditionalFormatting>
  <conditionalFormatting sqref="C3285">
    <cfRule type="duplicateValues" dxfId="157" priority="89"/>
  </conditionalFormatting>
  <conditionalFormatting sqref="C3284">
    <cfRule type="duplicateValues" dxfId="156" priority="88"/>
  </conditionalFormatting>
  <conditionalFormatting sqref="C3283">
    <cfRule type="duplicateValues" dxfId="155" priority="87"/>
  </conditionalFormatting>
  <conditionalFormatting sqref="C3282">
    <cfRule type="duplicateValues" dxfId="154" priority="86"/>
  </conditionalFormatting>
  <conditionalFormatting sqref="C3281">
    <cfRule type="duplicateValues" dxfId="153" priority="85"/>
  </conditionalFormatting>
  <conditionalFormatting sqref="C3280">
    <cfRule type="duplicateValues" dxfId="152" priority="84"/>
  </conditionalFormatting>
  <conditionalFormatting sqref="C3279">
    <cfRule type="duplicateValues" dxfId="151" priority="83"/>
  </conditionalFormatting>
  <conditionalFormatting sqref="C3307">
    <cfRule type="duplicateValues" dxfId="150" priority="82"/>
  </conditionalFormatting>
  <conditionalFormatting sqref="C3306">
    <cfRule type="duplicateValues" dxfId="149" priority="81"/>
  </conditionalFormatting>
  <conditionalFormatting sqref="C3305">
    <cfRule type="duplicateValues" dxfId="148" priority="80"/>
  </conditionalFormatting>
  <conditionalFormatting sqref="C3304">
    <cfRule type="duplicateValues" dxfId="147" priority="79"/>
  </conditionalFormatting>
  <conditionalFormatting sqref="C3303">
    <cfRule type="duplicateValues" dxfId="146" priority="78"/>
  </conditionalFormatting>
  <conditionalFormatting sqref="C3302">
    <cfRule type="duplicateValues" dxfId="145" priority="77"/>
  </conditionalFormatting>
  <conditionalFormatting sqref="C3301">
    <cfRule type="duplicateValues" dxfId="144" priority="76"/>
  </conditionalFormatting>
  <conditionalFormatting sqref="C3300">
    <cfRule type="duplicateValues" dxfId="143" priority="75"/>
  </conditionalFormatting>
  <conditionalFormatting sqref="C3299">
    <cfRule type="duplicateValues" dxfId="142" priority="74"/>
  </conditionalFormatting>
  <conditionalFormatting sqref="C3430">
    <cfRule type="duplicateValues" dxfId="141" priority="73"/>
  </conditionalFormatting>
  <conditionalFormatting sqref="C3429">
    <cfRule type="duplicateValues" dxfId="140" priority="72"/>
  </conditionalFormatting>
  <conditionalFormatting sqref="C3428">
    <cfRule type="duplicateValues" dxfId="139" priority="71"/>
  </conditionalFormatting>
  <conditionalFormatting sqref="C3427">
    <cfRule type="duplicateValues" dxfId="138" priority="70"/>
  </conditionalFormatting>
  <conditionalFormatting sqref="C3426">
    <cfRule type="duplicateValues" dxfId="137" priority="69"/>
  </conditionalFormatting>
  <conditionalFormatting sqref="C3425">
    <cfRule type="duplicateValues" dxfId="136" priority="68"/>
  </conditionalFormatting>
  <conditionalFormatting sqref="C3424">
    <cfRule type="duplicateValues" dxfId="135" priority="67"/>
  </conditionalFormatting>
  <conditionalFormatting sqref="C3423">
    <cfRule type="duplicateValues" dxfId="134" priority="66"/>
  </conditionalFormatting>
  <conditionalFormatting sqref="C3422">
    <cfRule type="duplicateValues" dxfId="133" priority="65"/>
  </conditionalFormatting>
  <conditionalFormatting sqref="C3421">
    <cfRule type="duplicateValues" dxfId="132" priority="64"/>
  </conditionalFormatting>
  <conditionalFormatting sqref="C3420">
    <cfRule type="duplicateValues" dxfId="131" priority="63"/>
  </conditionalFormatting>
  <conditionalFormatting sqref="C3419">
    <cfRule type="duplicateValues" dxfId="130" priority="62"/>
  </conditionalFormatting>
  <conditionalFormatting sqref="C3418">
    <cfRule type="duplicateValues" dxfId="129" priority="61"/>
  </conditionalFormatting>
  <conditionalFormatting sqref="C3417">
    <cfRule type="duplicateValues" dxfId="128" priority="60"/>
  </conditionalFormatting>
  <conditionalFormatting sqref="C3416">
    <cfRule type="duplicateValues" dxfId="127" priority="59"/>
  </conditionalFormatting>
  <conditionalFormatting sqref="C3415">
    <cfRule type="duplicateValues" dxfId="126" priority="58"/>
  </conditionalFormatting>
  <conditionalFormatting sqref="C3414">
    <cfRule type="duplicateValues" dxfId="125" priority="57"/>
  </conditionalFormatting>
  <conditionalFormatting sqref="C3413">
    <cfRule type="duplicateValues" dxfId="124" priority="56"/>
  </conditionalFormatting>
  <conditionalFormatting sqref="C3412">
    <cfRule type="duplicateValues" dxfId="123" priority="55"/>
  </conditionalFormatting>
  <conditionalFormatting sqref="C3411">
    <cfRule type="duplicateValues" dxfId="122" priority="54"/>
  </conditionalFormatting>
  <conditionalFormatting sqref="C3410">
    <cfRule type="duplicateValues" dxfId="121" priority="53"/>
  </conditionalFormatting>
  <conditionalFormatting sqref="C3409">
    <cfRule type="duplicateValues" dxfId="120" priority="52"/>
  </conditionalFormatting>
  <conditionalFormatting sqref="C3408">
    <cfRule type="duplicateValues" dxfId="119" priority="50"/>
  </conditionalFormatting>
  <conditionalFormatting sqref="C3407">
    <cfRule type="duplicateValues" dxfId="118" priority="49"/>
  </conditionalFormatting>
  <conditionalFormatting sqref="C3406">
    <cfRule type="duplicateValues" dxfId="117" priority="48"/>
  </conditionalFormatting>
  <conditionalFormatting sqref="C3405">
    <cfRule type="duplicateValues" dxfId="116" priority="47"/>
  </conditionalFormatting>
  <conditionalFormatting sqref="C3404">
    <cfRule type="duplicateValues" dxfId="115" priority="46"/>
  </conditionalFormatting>
  <conditionalFormatting sqref="C3455">
    <cfRule type="duplicateValues" dxfId="114" priority="45"/>
  </conditionalFormatting>
  <conditionalFormatting sqref="C3454">
    <cfRule type="duplicateValues" dxfId="113" priority="44"/>
  </conditionalFormatting>
  <conditionalFormatting sqref="C3453">
    <cfRule type="duplicateValues" dxfId="112" priority="43"/>
  </conditionalFormatting>
  <conditionalFormatting sqref="C3451">
    <cfRule type="duplicateValues" dxfId="111" priority="42"/>
  </conditionalFormatting>
  <conditionalFormatting sqref="C3450">
    <cfRule type="duplicateValues" dxfId="110" priority="41"/>
  </conditionalFormatting>
  <conditionalFormatting sqref="C3449">
    <cfRule type="duplicateValues" dxfId="109" priority="40"/>
  </conditionalFormatting>
  <conditionalFormatting sqref="C3439">
    <cfRule type="duplicateValues" dxfId="108" priority="39"/>
  </conditionalFormatting>
  <conditionalFormatting sqref="C3438">
    <cfRule type="duplicateValues" dxfId="107" priority="38"/>
  </conditionalFormatting>
  <conditionalFormatting sqref="C3437">
    <cfRule type="duplicateValues" dxfId="106" priority="37"/>
  </conditionalFormatting>
  <conditionalFormatting sqref="C3436">
    <cfRule type="duplicateValues" dxfId="105" priority="36"/>
  </conditionalFormatting>
  <conditionalFormatting sqref="C3435">
    <cfRule type="duplicateValues" dxfId="104" priority="35"/>
  </conditionalFormatting>
  <conditionalFormatting sqref="C3434">
    <cfRule type="duplicateValues" dxfId="103" priority="34"/>
  </conditionalFormatting>
  <conditionalFormatting sqref="C3433">
    <cfRule type="duplicateValues" dxfId="102" priority="33"/>
  </conditionalFormatting>
  <conditionalFormatting sqref="C3432">
    <cfRule type="duplicateValues" dxfId="101" priority="32"/>
  </conditionalFormatting>
  <conditionalFormatting sqref="C3448">
    <cfRule type="duplicateValues" dxfId="100" priority="31"/>
  </conditionalFormatting>
  <conditionalFormatting sqref="C3447">
    <cfRule type="duplicateValues" dxfId="99" priority="30"/>
  </conditionalFormatting>
  <conditionalFormatting sqref="C3446">
    <cfRule type="duplicateValues" dxfId="98" priority="29"/>
  </conditionalFormatting>
  <conditionalFormatting sqref="C3445">
    <cfRule type="duplicateValues" dxfId="97" priority="28"/>
  </conditionalFormatting>
  <conditionalFormatting sqref="C3443:C3444">
    <cfRule type="duplicateValues" dxfId="96" priority="26"/>
  </conditionalFormatting>
  <conditionalFormatting sqref="C3442">
    <cfRule type="duplicateValues" dxfId="95" priority="25"/>
  </conditionalFormatting>
  <conditionalFormatting sqref="C3441">
    <cfRule type="duplicateValues" dxfId="94" priority="24"/>
  </conditionalFormatting>
  <conditionalFormatting sqref="C3440">
    <cfRule type="duplicateValues" dxfId="93" priority="23"/>
  </conditionalFormatting>
  <conditionalFormatting sqref="C3458">
    <cfRule type="duplicateValues" dxfId="92" priority="20"/>
  </conditionalFormatting>
  <conditionalFormatting sqref="C3457">
    <cfRule type="duplicateValues" dxfId="91" priority="19"/>
  </conditionalFormatting>
  <conditionalFormatting sqref="C3456">
    <cfRule type="duplicateValues" dxfId="90" priority="18"/>
  </conditionalFormatting>
  <conditionalFormatting sqref="C509 C513">
    <cfRule type="duplicateValues" dxfId="89" priority="6292"/>
  </conditionalFormatting>
  <conditionalFormatting sqref="C528:C529">
    <cfRule type="duplicateValues" dxfId="88" priority="6330"/>
  </conditionalFormatting>
  <conditionalFormatting sqref="C506">
    <cfRule type="duplicateValues" dxfId="87" priority="17"/>
  </conditionalFormatting>
  <conditionalFormatting sqref="C497">
    <cfRule type="duplicateValues" dxfId="86" priority="15"/>
  </conditionalFormatting>
  <conditionalFormatting sqref="C623">
    <cfRule type="duplicateValues" dxfId="85" priority="13"/>
  </conditionalFormatting>
  <conditionalFormatting sqref="C623">
    <cfRule type="duplicateValues" dxfId="84" priority="14"/>
  </conditionalFormatting>
  <conditionalFormatting sqref="C633">
    <cfRule type="duplicateValues" dxfId="83" priority="11"/>
  </conditionalFormatting>
  <conditionalFormatting sqref="C633">
    <cfRule type="duplicateValues" dxfId="82" priority="12"/>
  </conditionalFormatting>
  <conditionalFormatting sqref="C639">
    <cfRule type="duplicateValues" dxfId="81" priority="10"/>
  </conditionalFormatting>
  <conditionalFormatting sqref="C584">
    <cfRule type="duplicateValues" dxfId="80" priority="6363"/>
  </conditionalFormatting>
  <conditionalFormatting sqref="C597:C598">
    <cfRule type="duplicateValues" dxfId="79" priority="6395"/>
  </conditionalFormatting>
  <conditionalFormatting sqref="C691">
    <cfRule type="duplicateValues" dxfId="78" priority="6425"/>
  </conditionalFormatting>
  <conditionalFormatting sqref="C710">
    <cfRule type="duplicateValues" dxfId="77" priority="6453"/>
  </conditionalFormatting>
  <conditionalFormatting sqref="C723">
    <cfRule type="duplicateValues" dxfId="76" priority="6479"/>
  </conditionalFormatting>
  <conditionalFormatting sqref="C728">
    <cfRule type="duplicateValues" dxfId="75" priority="6504"/>
  </conditionalFormatting>
  <conditionalFormatting sqref="C749">
    <cfRule type="duplicateValues" dxfId="74" priority="6517"/>
  </conditionalFormatting>
  <conditionalFormatting sqref="C2808 C2832">
    <cfRule type="duplicateValues" dxfId="73" priority="6530"/>
  </conditionalFormatting>
  <conditionalFormatting sqref="C3431 C3403 C3452">
    <cfRule type="duplicateValues" dxfId="72" priority="6532"/>
  </conditionalFormatting>
  <conditionalFormatting sqref="C484">
    <cfRule type="duplicateValues" dxfId="71" priority="3"/>
  </conditionalFormatting>
  <conditionalFormatting sqref="C487">
    <cfRule type="duplicateValues" dxfId="70" priority="2"/>
  </conditionalFormatting>
  <conditionalFormatting sqref="C486">
    <cfRule type="duplicateValues" dxfId="69" priority="1"/>
  </conditionalFormatting>
  <conditionalFormatting sqref="C485">
    <cfRule type="duplicateValues" dxfId="68" priority="4"/>
  </conditionalFormatting>
  <conditionalFormatting sqref="C435:C438">
    <cfRule type="duplicateValues" dxfId="67" priority="6569"/>
  </conditionalFormatting>
  <conditionalFormatting sqref="C764:C765">
    <cfRule type="duplicateValues" dxfId="66" priority="6582"/>
  </conditionalFormatting>
  <conditionalFormatting sqref="C3464">
    <cfRule type="duplicateValues" dxfId="65" priority="6584"/>
  </conditionalFormatting>
  <dataValidations count="1">
    <dataValidation type="list" allowBlank="1" showInputMessage="1" showErrorMessage="1" sqref="AK452:AL454 BD452:BE454 AK617:AL617 R617:S617 AK754:AL755 R754:S755 R732:S733 AK732:AL733 R490:S493 BD490:BE493 R661:S661 AK661:AL661 R655:S658 BD655:BE658 AK532:AL534 BD532:BE534 AK544:AL546 BD544:BE546 AK22:AL164 R544:S546 BD617:BE617 BD754:BE755 AK655:AL658 BD732:BE733 AK490:AL493 BD661:BE661 R452:S454 R532:S534 R500:S502 R457:S470 AK738:AL738 AK500:AL502 BD500:BE502 BD738:BE738 R1624:S3326 BD403:BE449 R738:S738 AK742:AL751 BD11:BE19 R11:S19 AK11:AL19 BD457:BE470 AK457:AL470 R301:S353 BD215:BE298 BD357:BE400 AK301:AL353 BD301:BE353 R357:S400 AK357:AL400 R167:S212 R215:S298 AK215:AL298 R403:S449 AK403:AL449 BD167:BE212 AK167:AL212 R22:S164 BD22:BE164 AK761:AL765 R549:S550 BD718:BE724 AK506:AL521 BD506:BE521 R506:S521 AK524:AL529 BD524:BE529 R524:S529 BD537:BE538 R537:S538 AK537:AL538 R541:S541 BD541:BE541 AK541:AL541 AK549:AL550 BD549:BE550 R553:S562 AK553:AL562 BD553:BE562 AK565:AL566 R565:S566 BD565:BE566 AK569:AL570 BD569:BE570 R569:S570 AK573:AL575 BD573:BE575 R573:S575 AK577:AL578 BD577:BE578 R577:S578 AK587:AL589 BD587:BE589 R587:S589 R602:S606 BD602:BE606 AK602:AL606 AK609:AL610 R610:S610 BD609:BE610 BD624:BE627 R624:S627 BD497:BE497 BD635:BE637 AK665:AL667 BD665:BE667 R665:S667 AK670:AL672 BD670:BE672 R670:S672 AK675:AL677 BD675:BE677 R675:S677 AK681:AL683 BD681:BE683 R681:S683 R689:S691 AK689:AL691 BD689:BE691 AK694:AL697 BD694:BE697 R694:S697 AK700:AL703 BD700:BE703 R700:S703 AK707:AL710 R707:S710 BD707:BE710 AK713:AL715 BD713:BE715 R713:S715 AK726:AL728 BD726:BE728 R726:S728 BD761:BE765 R761:S765 R592:S599 BD592:BE599 AK592:AL599 BD742:BE751 R742:S751 BD769:BE1621 R769:S1621 AK769:AL1621 BD1624:BE3326 AK1624:AL3326 BD3329:BE3458 R3329:S3458 AK3329:AL3458 BD581:BE584 AK581:AL584 R581:S584 R497:S497 AK497:AL497 R621:S622 BD621:BE622 AK621:AL622 AK624:AL627 AK635:AL637 R635:S637 AK630:AL632 BD630:BE632 R630:S632 BD645:BE646 AK645:AL646 R645:S646 R649:S653 BD649:BE653 AK649:AL653 R639:S643 BD639:BE643 AK639:AL643 AK718:AL724 R718:S724 BD477:BE488 AK477:AL488 R477:S488 AK3461:AL3465 R3461:S3465 BD3461:BE3465">
      <formula1>способ</formula1>
    </dataValidation>
  </dataValidations>
  <pageMargins left="0.19685039370078741" right="0.15748031496062992" top="0.59055118110236227" bottom="0.59055118110236227" header="0" footer="0"/>
  <pageSetup paperSize="9" scale="50" fitToHeight="0" orientation="landscape" horizontalDpi="4294967294" verticalDpi="4294967294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B271"/>
  <sheetViews>
    <sheetView tabSelected="1" topLeftCell="B1" zoomScale="75" zoomScaleNormal="75" workbookViewId="0">
      <pane ySplit="9" topLeftCell="A49" activePane="bottomLeft" state="frozen"/>
      <selection pane="bottomLeft" activeCell="B6" sqref="B6"/>
    </sheetView>
  </sheetViews>
  <sheetFormatPr defaultColWidth="9.109375" defaultRowHeight="14.4" outlineLevelCol="2" x14ac:dyDescent="0.3"/>
  <cols>
    <col min="1" max="1" width="9.33203125" style="317" customWidth="1"/>
    <col min="2" max="2" width="35.77734375" style="312" customWidth="1"/>
    <col min="3" max="3" width="9.5546875" style="312" customWidth="1"/>
    <col min="4" max="4" width="8.109375" style="370" customWidth="1"/>
    <col min="5" max="5" width="9.109375" style="471" hidden="1" customWidth="1" outlineLevel="2"/>
    <col min="6" max="7" width="9.109375" style="6" hidden="1" customWidth="1" outlineLevel="2"/>
    <col min="8" max="8" width="14.77734375" style="6" hidden="1" customWidth="1" outlineLevel="2"/>
    <col min="9" max="17" width="13.77734375" style="6" hidden="1" customWidth="1" outlineLevel="2"/>
    <col min="18" max="20" width="9.77734375" style="6" hidden="1" customWidth="1" outlineLevel="2"/>
    <col min="21" max="21" width="9.77734375" style="3" hidden="1" customWidth="1" outlineLevel="2"/>
    <col min="22" max="22" width="10.77734375" style="314" hidden="1" customWidth="1" outlineLevel="2"/>
    <col min="23" max="23" width="9.77734375" style="314" hidden="1" customWidth="1" outlineLevel="2"/>
    <col min="24" max="24" width="8.6640625" style="471" hidden="1" customWidth="1" outlineLevel="1" collapsed="1"/>
    <col min="25" max="26" width="9.109375" style="6" hidden="1" customWidth="1" outlineLevel="1"/>
    <col min="27" max="27" width="14.77734375" style="6" hidden="1" customWidth="1" outlineLevel="1"/>
    <col min="28" max="36" width="13.77734375" style="6" hidden="1" customWidth="1" outlineLevel="1"/>
    <col min="37" max="39" width="9.77734375" style="6" hidden="1" customWidth="1" outlineLevel="1"/>
    <col min="40" max="40" width="9.77734375" style="3" hidden="1" customWidth="1" outlineLevel="1"/>
    <col min="41" max="41" width="10.77734375" style="314" hidden="1" customWidth="1" outlineLevel="1"/>
    <col min="42" max="42" width="9.77734375" style="314" hidden="1" customWidth="1" outlineLevel="1"/>
    <col min="43" max="43" width="8.6640625" style="471" customWidth="1" collapsed="1"/>
    <col min="44" max="45" width="9.109375" style="6" customWidth="1"/>
    <col min="46" max="46" width="14.77734375" style="6" customWidth="1"/>
    <col min="47" max="55" width="13.77734375" style="6" customWidth="1"/>
    <col min="56" max="58" width="9.77734375" style="6" customWidth="1"/>
    <col min="59" max="59" width="9.77734375" style="3" customWidth="1"/>
    <col min="60" max="60" width="10.77734375" style="314" customWidth="1"/>
    <col min="61" max="61" width="9.77734375" style="314" customWidth="1"/>
    <col min="62" max="16384" width="9.109375" style="6"/>
  </cols>
  <sheetData>
    <row r="1" spans="1:61" s="46" customFormat="1" x14ac:dyDescent="0.3">
      <c r="A1" s="317"/>
      <c r="B1" s="312"/>
      <c r="C1" s="312"/>
      <c r="D1" s="370"/>
      <c r="E1" s="458"/>
      <c r="U1" s="315"/>
      <c r="X1" s="458"/>
      <c r="AN1" s="315"/>
      <c r="AQ1" s="458"/>
      <c r="BG1" s="315"/>
    </row>
    <row r="2" spans="1:61" s="46" customFormat="1" ht="21" x14ac:dyDescent="0.3">
      <c r="A2" s="317"/>
      <c r="B2" s="312"/>
      <c r="C2" s="312"/>
      <c r="D2" s="370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6"/>
      <c r="Q2" s="496"/>
      <c r="R2" s="496"/>
      <c r="S2" s="496"/>
      <c r="T2" s="496"/>
      <c r="U2" s="496"/>
      <c r="V2" s="496"/>
      <c r="W2" s="496"/>
      <c r="X2" s="496"/>
      <c r="Y2" s="496"/>
      <c r="Z2" s="496"/>
      <c r="AA2" s="496"/>
      <c r="AB2" s="496"/>
      <c r="AC2" s="496"/>
      <c r="AD2" s="496"/>
      <c r="AE2" s="496"/>
      <c r="AF2" s="496"/>
      <c r="AG2" s="496"/>
      <c r="AH2" s="496"/>
      <c r="AI2" s="496"/>
      <c r="AJ2" s="496"/>
      <c r="AK2" s="496"/>
      <c r="AL2" s="496"/>
      <c r="AM2" s="496"/>
      <c r="AN2" s="496"/>
      <c r="AO2" s="496"/>
      <c r="AP2" s="496"/>
      <c r="AQ2" s="496"/>
      <c r="AR2" s="496"/>
      <c r="AS2" s="496"/>
      <c r="AT2" s="496"/>
      <c r="AU2" s="496"/>
      <c r="AV2" s="496"/>
      <c r="AW2" s="496"/>
      <c r="AX2" s="496"/>
      <c r="AY2" s="496"/>
      <c r="AZ2" s="496"/>
      <c r="BA2" s="496"/>
      <c r="BB2" s="496"/>
      <c r="BC2" s="496"/>
      <c r="BD2" s="496"/>
      <c r="BE2" s="496"/>
      <c r="BF2" s="496"/>
      <c r="BG2" s="496"/>
      <c r="BH2" s="496"/>
      <c r="BI2" s="496"/>
    </row>
    <row r="3" spans="1:61" s="46" customFormat="1" ht="12.45" customHeight="1" x14ac:dyDescent="0.3">
      <c r="A3" s="317"/>
      <c r="B3" s="621" t="s">
        <v>6341</v>
      </c>
      <c r="C3" s="621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621"/>
      <c r="X3" s="621"/>
      <c r="Y3" s="621"/>
      <c r="Z3" s="621"/>
      <c r="AA3" s="621"/>
      <c r="AB3" s="621"/>
      <c r="AC3" s="621"/>
      <c r="AD3" s="621"/>
      <c r="AE3" s="621"/>
      <c r="AF3" s="621"/>
      <c r="AG3" s="621"/>
      <c r="AH3" s="621"/>
      <c r="AI3" s="621"/>
      <c r="AJ3" s="621"/>
      <c r="AK3" s="621"/>
      <c r="AL3" s="621"/>
      <c r="AM3" s="621"/>
      <c r="AN3" s="621"/>
      <c r="AO3" s="621"/>
      <c r="AP3" s="621"/>
      <c r="AQ3" s="621"/>
      <c r="AR3" s="621"/>
      <c r="AS3" s="621"/>
      <c r="AT3" s="621"/>
      <c r="AU3" s="621"/>
      <c r="AV3" s="621"/>
      <c r="AW3" s="621"/>
      <c r="AX3" s="621"/>
      <c r="AY3" s="621"/>
      <c r="AZ3" s="621"/>
      <c r="BA3" s="621"/>
      <c r="BB3" s="621"/>
      <c r="BC3" s="621"/>
      <c r="BD3" s="621"/>
      <c r="BE3" s="621"/>
      <c r="BF3" s="621"/>
      <c r="BG3" s="621"/>
      <c r="BH3" s="621"/>
      <c r="BI3" s="621"/>
    </row>
    <row r="4" spans="1:61" s="46" customFormat="1" ht="12.45" customHeight="1" x14ac:dyDescent="0.3">
      <c r="A4" s="317"/>
      <c r="B4" s="621"/>
      <c r="C4" s="621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621"/>
      <c r="X4" s="621"/>
      <c r="Y4" s="621"/>
      <c r="Z4" s="621"/>
      <c r="AA4" s="621"/>
      <c r="AB4" s="621"/>
      <c r="AC4" s="621"/>
      <c r="AD4" s="621"/>
      <c r="AE4" s="621"/>
      <c r="AF4" s="621"/>
      <c r="AG4" s="621"/>
      <c r="AH4" s="621"/>
      <c r="AI4" s="621"/>
      <c r="AJ4" s="621"/>
      <c r="AK4" s="621"/>
      <c r="AL4" s="621"/>
      <c r="AM4" s="621"/>
      <c r="AN4" s="621"/>
      <c r="AO4" s="621"/>
      <c r="AP4" s="621"/>
      <c r="AQ4" s="621"/>
      <c r="AR4" s="621"/>
      <c r="AS4" s="621"/>
      <c r="AT4" s="621"/>
      <c r="AU4" s="621"/>
      <c r="AV4" s="621"/>
      <c r="AW4" s="621"/>
      <c r="AX4" s="621"/>
      <c r="AY4" s="621"/>
      <c r="AZ4" s="621"/>
      <c r="BA4" s="621"/>
      <c r="BB4" s="621"/>
      <c r="BC4" s="621"/>
      <c r="BD4" s="621"/>
      <c r="BE4" s="621"/>
      <c r="BF4" s="621"/>
      <c r="BG4" s="621"/>
      <c r="BH4" s="621"/>
      <c r="BI4" s="621"/>
    </row>
    <row r="5" spans="1:61" s="46" customFormat="1" ht="12.45" customHeight="1" x14ac:dyDescent="0.3">
      <c r="A5" s="317"/>
      <c r="B5" s="621"/>
      <c r="C5" s="621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  <c r="AB5" s="621"/>
      <c r="AC5" s="621"/>
      <c r="AD5" s="621"/>
      <c r="AE5" s="621"/>
      <c r="AF5" s="621"/>
      <c r="AG5" s="621"/>
      <c r="AH5" s="621"/>
      <c r="AI5" s="621"/>
      <c r="AJ5" s="621"/>
      <c r="AK5" s="621"/>
      <c r="AL5" s="621"/>
      <c r="AM5" s="621"/>
      <c r="AN5" s="621"/>
      <c r="AO5" s="621"/>
      <c r="AP5" s="621"/>
      <c r="AQ5" s="621"/>
      <c r="AR5" s="621"/>
      <c r="AS5" s="621"/>
      <c r="AT5" s="621"/>
      <c r="AU5" s="621"/>
      <c r="AV5" s="621"/>
      <c r="AW5" s="621"/>
      <c r="AX5" s="621"/>
      <c r="AY5" s="621"/>
      <c r="AZ5" s="621"/>
      <c r="BA5" s="621"/>
      <c r="BB5" s="621"/>
      <c r="BC5" s="621"/>
      <c r="BD5" s="621"/>
      <c r="BE5" s="621"/>
      <c r="BF5" s="621"/>
      <c r="BG5" s="621"/>
      <c r="BH5" s="621"/>
      <c r="BI5" s="621"/>
    </row>
    <row r="6" spans="1:61" s="46" customFormat="1" x14ac:dyDescent="0.3">
      <c r="A6" s="317"/>
      <c r="B6" s="312"/>
      <c r="C6" s="312"/>
      <c r="D6" s="370"/>
      <c r="E6" s="458"/>
      <c r="U6" s="315"/>
      <c r="X6" s="458"/>
      <c r="AN6" s="315"/>
      <c r="AQ6" s="458"/>
      <c r="BG6" s="315"/>
    </row>
    <row r="7" spans="1:61" s="232" customFormat="1" ht="24" customHeight="1" thickBot="1" x14ac:dyDescent="0.35">
      <c r="A7" s="317"/>
      <c r="B7" s="312"/>
      <c r="C7" s="312"/>
      <c r="D7" s="370"/>
      <c r="E7" s="1">
        <v>2021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619">
        <v>2022</v>
      </c>
      <c r="Y7" s="619"/>
      <c r="Z7" s="619"/>
      <c r="AA7" s="619"/>
      <c r="AB7" s="619"/>
      <c r="AC7" s="619"/>
      <c r="AD7" s="619"/>
      <c r="AE7" s="619"/>
      <c r="AF7" s="619"/>
      <c r="AG7" s="619"/>
      <c r="AH7" s="619"/>
      <c r="AI7" s="619"/>
      <c r="AJ7" s="619"/>
      <c r="AK7" s="619"/>
      <c r="AL7" s="619"/>
      <c r="AM7" s="619"/>
      <c r="AN7" s="619"/>
      <c r="AO7" s="619"/>
      <c r="AP7" s="619"/>
      <c r="AQ7" s="701">
        <v>2023</v>
      </c>
      <c r="AR7" s="701"/>
      <c r="AS7" s="701"/>
      <c r="AT7" s="701"/>
      <c r="AU7" s="701"/>
      <c r="AV7" s="701"/>
      <c r="AW7" s="701"/>
      <c r="AX7" s="701"/>
      <c r="AY7" s="701"/>
      <c r="AZ7" s="701"/>
      <c r="BA7" s="701"/>
      <c r="BB7" s="701"/>
      <c r="BC7" s="701"/>
      <c r="BD7" s="701"/>
      <c r="BE7" s="701"/>
      <c r="BF7" s="701"/>
      <c r="BG7" s="701"/>
      <c r="BH7" s="701"/>
      <c r="BI7" s="701"/>
    </row>
    <row r="8" spans="1:61" s="46" customFormat="1" ht="144" x14ac:dyDescent="0.3">
      <c r="A8" s="318" t="s">
        <v>0</v>
      </c>
      <c r="B8" s="313" t="s">
        <v>1</v>
      </c>
      <c r="C8" s="337" t="s">
        <v>237</v>
      </c>
      <c r="D8" s="337" t="s">
        <v>163</v>
      </c>
      <c r="E8" s="459" t="s">
        <v>2</v>
      </c>
      <c r="F8" s="339" t="s">
        <v>140</v>
      </c>
      <c r="G8" s="339" t="s">
        <v>138</v>
      </c>
      <c r="H8" s="339" t="s">
        <v>139</v>
      </c>
      <c r="I8" s="316" t="s">
        <v>168</v>
      </c>
      <c r="J8" s="339" t="s">
        <v>172</v>
      </c>
      <c r="K8" s="339" t="s">
        <v>171</v>
      </c>
      <c r="L8" s="316" t="s">
        <v>141</v>
      </c>
      <c r="M8" s="316" t="s">
        <v>164</v>
      </c>
      <c r="N8" s="316" t="s">
        <v>165</v>
      </c>
      <c r="O8" s="316" t="s">
        <v>166</v>
      </c>
      <c r="P8" s="339" t="s">
        <v>170</v>
      </c>
      <c r="Q8" s="339" t="s">
        <v>169</v>
      </c>
      <c r="R8" s="339" t="s">
        <v>142</v>
      </c>
      <c r="S8" s="339" t="s">
        <v>177</v>
      </c>
      <c r="T8" s="339" t="s">
        <v>176</v>
      </c>
      <c r="U8" s="339" t="s">
        <v>173</v>
      </c>
      <c r="V8" s="434" t="s">
        <v>85</v>
      </c>
      <c r="W8" s="434" t="s">
        <v>86</v>
      </c>
      <c r="X8" s="459" t="s">
        <v>2</v>
      </c>
      <c r="Y8" s="339" t="s">
        <v>140</v>
      </c>
      <c r="Z8" s="339" t="s">
        <v>138</v>
      </c>
      <c r="AA8" s="339" t="s">
        <v>139</v>
      </c>
      <c r="AB8" s="316" t="s">
        <v>168</v>
      </c>
      <c r="AC8" s="339" t="s">
        <v>172</v>
      </c>
      <c r="AD8" s="339" t="s">
        <v>171</v>
      </c>
      <c r="AE8" s="316" t="s">
        <v>141</v>
      </c>
      <c r="AF8" s="316" t="s">
        <v>164</v>
      </c>
      <c r="AG8" s="316" t="s">
        <v>165</v>
      </c>
      <c r="AH8" s="316" t="s">
        <v>166</v>
      </c>
      <c r="AI8" s="339" t="s">
        <v>170</v>
      </c>
      <c r="AJ8" s="339" t="s">
        <v>169</v>
      </c>
      <c r="AK8" s="339" t="s">
        <v>142</v>
      </c>
      <c r="AL8" s="339" t="s">
        <v>177</v>
      </c>
      <c r="AM8" s="339" t="s">
        <v>176</v>
      </c>
      <c r="AN8" s="339" t="s">
        <v>173</v>
      </c>
      <c r="AO8" s="434" t="s">
        <v>85</v>
      </c>
      <c r="AP8" s="434" t="s">
        <v>86</v>
      </c>
      <c r="AQ8" s="459" t="s">
        <v>2</v>
      </c>
      <c r="AR8" s="339" t="s">
        <v>140</v>
      </c>
      <c r="AS8" s="339" t="s">
        <v>138</v>
      </c>
      <c r="AT8" s="339" t="s">
        <v>139</v>
      </c>
      <c r="AU8" s="316" t="s">
        <v>168</v>
      </c>
      <c r="AV8" s="339" t="s">
        <v>172</v>
      </c>
      <c r="AW8" s="339" t="s">
        <v>171</v>
      </c>
      <c r="AX8" s="316" t="s">
        <v>141</v>
      </c>
      <c r="AY8" s="316" t="s">
        <v>164</v>
      </c>
      <c r="AZ8" s="316" t="s">
        <v>165</v>
      </c>
      <c r="BA8" s="316" t="s">
        <v>166</v>
      </c>
      <c r="BB8" s="339" t="s">
        <v>170</v>
      </c>
      <c r="BC8" s="339" t="s">
        <v>169</v>
      </c>
      <c r="BD8" s="339" t="s">
        <v>142</v>
      </c>
      <c r="BE8" s="339" t="s">
        <v>177</v>
      </c>
      <c r="BF8" s="339" t="s">
        <v>176</v>
      </c>
      <c r="BG8" s="339" t="s">
        <v>173</v>
      </c>
      <c r="BH8" s="434" t="s">
        <v>85</v>
      </c>
      <c r="BI8" s="434" t="s">
        <v>86</v>
      </c>
    </row>
    <row r="9" spans="1:61" s="383" customFormat="1" x14ac:dyDescent="0.3">
      <c r="A9" s="368">
        <v>1</v>
      </c>
      <c r="B9" s="369">
        <v>2</v>
      </c>
      <c r="C9" s="409"/>
      <c r="D9" s="368">
        <v>3</v>
      </c>
      <c r="E9" s="460">
        <v>42</v>
      </c>
      <c r="F9" s="368">
        <v>43</v>
      </c>
      <c r="G9" s="369">
        <v>44</v>
      </c>
      <c r="H9" s="368">
        <v>45</v>
      </c>
      <c r="I9" s="368">
        <v>46</v>
      </c>
      <c r="J9" s="369">
        <v>47</v>
      </c>
      <c r="K9" s="368">
        <v>48</v>
      </c>
      <c r="L9" s="368">
        <v>49</v>
      </c>
      <c r="M9" s="369">
        <v>50</v>
      </c>
      <c r="N9" s="368">
        <v>51</v>
      </c>
      <c r="O9" s="368">
        <v>52</v>
      </c>
      <c r="P9" s="369">
        <v>53</v>
      </c>
      <c r="Q9" s="368">
        <v>54</v>
      </c>
      <c r="R9" s="368">
        <v>55</v>
      </c>
      <c r="S9" s="369">
        <v>56</v>
      </c>
      <c r="T9" s="368">
        <v>57</v>
      </c>
      <c r="U9" s="368">
        <v>58</v>
      </c>
      <c r="V9" s="369">
        <v>59</v>
      </c>
      <c r="W9" s="368">
        <v>60</v>
      </c>
      <c r="X9" s="460">
        <v>42</v>
      </c>
      <c r="Y9" s="368">
        <v>43</v>
      </c>
      <c r="Z9" s="369">
        <v>44</v>
      </c>
      <c r="AA9" s="368">
        <v>45</v>
      </c>
      <c r="AB9" s="368">
        <v>46</v>
      </c>
      <c r="AC9" s="369">
        <v>47</v>
      </c>
      <c r="AD9" s="368">
        <v>48</v>
      </c>
      <c r="AE9" s="368">
        <v>49</v>
      </c>
      <c r="AF9" s="369">
        <v>50</v>
      </c>
      <c r="AG9" s="368">
        <v>51</v>
      </c>
      <c r="AH9" s="368">
        <v>52</v>
      </c>
      <c r="AI9" s="369">
        <v>53</v>
      </c>
      <c r="AJ9" s="368">
        <v>54</v>
      </c>
      <c r="AK9" s="368">
        <v>55</v>
      </c>
      <c r="AL9" s="369">
        <v>56</v>
      </c>
      <c r="AM9" s="368">
        <v>57</v>
      </c>
      <c r="AN9" s="368">
        <v>58</v>
      </c>
      <c r="AO9" s="369">
        <v>59</v>
      </c>
      <c r="AP9" s="368">
        <v>60</v>
      </c>
      <c r="AQ9" s="460">
        <v>42</v>
      </c>
      <c r="AR9" s="368">
        <v>43</v>
      </c>
      <c r="AS9" s="369">
        <v>44</v>
      </c>
      <c r="AT9" s="368">
        <v>45</v>
      </c>
      <c r="AU9" s="368">
        <v>46</v>
      </c>
      <c r="AV9" s="369">
        <v>47</v>
      </c>
      <c r="AW9" s="368">
        <v>48</v>
      </c>
      <c r="AX9" s="368">
        <v>49</v>
      </c>
      <c r="AY9" s="369">
        <v>50</v>
      </c>
      <c r="AZ9" s="368">
        <v>51</v>
      </c>
      <c r="BA9" s="368">
        <v>52</v>
      </c>
      <c r="BB9" s="369">
        <v>53</v>
      </c>
      <c r="BC9" s="368">
        <v>54</v>
      </c>
      <c r="BD9" s="368">
        <v>55</v>
      </c>
      <c r="BE9" s="369">
        <v>56</v>
      </c>
      <c r="BF9" s="368">
        <v>57</v>
      </c>
      <c r="BG9" s="368">
        <v>58</v>
      </c>
      <c r="BH9" s="369">
        <v>59</v>
      </c>
      <c r="BI9" s="368">
        <v>60</v>
      </c>
    </row>
    <row r="10" spans="1:61" s="358" customFormat="1" ht="76.2" customHeight="1" x14ac:dyDescent="0.3">
      <c r="A10" s="410" t="s">
        <v>180</v>
      </c>
      <c r="B10" s="429" t="s">
        <v>181</v>
      </c>
      <c r="C10" s="429"/>
      <c r="D10" s="412"/>
      <c r="E10" s="461">
        <f t="shared" ref="E10:Q10" si="0">E11+E14+E22+E26</f>
        <v>0</v>
      </c>
      <c r="F10" s="430">
        <f t="shared" si="0"/>
        <v>0</v>
      </c>
      <c r="G10" s="430">
        <f t="shared" si="0"/>
        <v>0</v>
      </c>
      <c r="H10" s="431">
        <f t="shared" si="0"/>
        <v>0</v>
      </c>
      <c r="I10" s="431">
        <f t="shared" si="0"/>
        <v>0</v>
      </c>
      <c r="J10" s="431">
        <f t="shared" si="0"/>
        <v>0</v>
      </c>
      <c r="K10" s="431">
        <f t="shared" si="0"/>
        <v>0</v>
      </c>
      <c r="L10" s="431">
        <f t="shared" si="0"/>
        <v>0</v>
      </c>
      <c r="M10" s="431">
        <f t="shared" si="0"/>
        <v>0</v>
      </c>
      <c r="N10" s="431">
        <f t="shared" si="0"/>
        <v>0</v>
      </c>
      <c r="O10" s="431">
        <f t="shared" si="0"/>
        <v>0</v>
      </c>
      <c r="P10" s="431">
        <f t="shared" si="0"/>
        <v>0</v>
      </c>
      <c r="Q10" s="431">
        <f t="shared" si="0"/>
        <v>0</v>
      </c>
      <c r="R10" s="432"/>
      <c r="S10" s="432"/>
      <c r="T10" s="432"/>
      <c r="U10" s="479"/>
      <c r="V10" s="433" t="e">
        <f t="shared" ref="V10:V11" si="1">H10/E10*1000</f>
        <v>#DIV/0!</v>
      </c>
      <c r="W10" s="433" t="e">
        <f t="shared" ref="W10:W11" si="2">H10/F10</f>
        <v>#DIV/0!</v>
      </c>
      <c r="X10" s="461">
        <f t="shared" ref="X10:AJ10" si="3">X11+X14+X22+X26</f>
        <v>0</v>
      </c>
      <c r="Y10" s="430">
        <f t="shared" si="3"/>
        <v>0</v>
      </c>
      <c r="Z10" s="430">
        <f t="shared" si="3"/>
        <v>0</v>
      </c>
      <c r="AA10" s="431">
        <f t="shared" si="3"/>
        <v>0</v>
      </c>
      <c r="AB10" s="431">
        <f t="shared" si="3"/>
        <v>0</v>
      </c>
      <c r="AC10" s="431">
        <f t="shared" si="3"/>
        <v>0</v>
      </c>
      <c r="AD10" s="431">
        <f t="shared" si="3"/>
        <v>0</v>
      </c>
      <c r="AE10" s="431">
        <f t="shared" si="3"/>
        <v>0</v>
      </c>
      <c r="AF10" s="431">
        <f t="shared" si="3"/>
        <v>0</v>
      </c>
      <c r="AG10" s="431">
        <f t="shared" si="3"/>
        <v>0</v>
      </c>
      <c r="AH10" s="431">
        <f t="shared" si="3"/>
        <v>0</v>
      </c>
      <c r="AI10" s="431">
        <f t="shared" si="3"/>
        <v>0</v>
      </c>
      <c r="AJ10" s="431">
        <f t="shared" si="3"/>
        <v>0</v>
      </c>
      <c r="AK10" s="432"/>
      <c r="AL10" s="432"/>
      <c r="AM10" s="432"/>
      <c r="AN10" s="479"/>
      <c r="AO10" s="433" t="e">
        <f t="shared" ref="AO10:AO11" si="4">AA10/X10*1000</f>
        <v>#DIV/0!</v>
      </c>
      <c r="AP10" s="433" t="e">
        <f t="shared" ref="AP10:AP11" si="5">AA10/Y10</f>
        <v>#DIV/0!</v>
      </c>
      <c r="AQ10" s="461">
        <f t="shared" ref="AQ10:BC10" si="6">AQ11+AQ14+AQ22+AQ26</f>
        <v>0</v>
      </c>
      <c r="AR10" s="430">
        <f t="shared" si="6"/>
        <v>0</v>
      </c>
      <c r="AS10" s="430">
        <f t="shared" si="6"/>
        <v>0</v>
      </c>
      <c r="AT10" s="431">
        <f t="shared" si="6"/>
        <v>0</v>
      </c>
      <c r="AU10" s="431">
        <f t="shared" si="6"/>
        <v>0</v>
      </c>
      <c r="AV10" s="431">
        <f t="shared" si="6"/>
        <v>0</v>
      </c>
      <c r="AW10" s="431">
        <f t="shared" si="6"/>
        <v>0</v>
      </c>
      <c r="AX10" s="431">
        <f t="shared" si="6"/>
        <v>0</v>
      </c>
      <c r="AY10" s="431">
        <f t="shared" si="6"/>
        <v>0</v>
      </c>
      <c r="AZ10" s="431">
        <f t="shared" si="6"/>
        <v>0</v>
      </c>
      <c r="BA10" s="431">
        <f t="shared" si="6"/>
        <v>0</v>
      </c>
      <c r="BB10" s="431">
        <f t="shared" si="6"/>
        <v>0</v>
      </c>
      <c r="BC10" s="431">
        <f t="shared" si="6"/>
        <v>0</v>
      </c>
      <c r="BD10" s="432"/>
      <c r="BE10" s="432"/>
      <c r="BF10" s="432"/>
      <c r="BG10" s="479"/>
      <c r="BH10" s="433" t="e">
        <f t="shared" ref="BH10:BH11" si="7">AT10/AQ10*1000</f>
        <v>#DIV/0!</v>
      </c>
      <c r="BI10" s="433" t="e">
        <f t="shared" ref="BI10:BI11" si="8">AT10/AR10</f>
        <v>#DIV/0!</v>
      </c>
    </row>
    <row r="11" spans="1:61" s="358" customFormat="1" ht="24.75" customHeight="1" x14ac:dyDescent="0.3">
      <c r="A11" s="354" t="s">
        <v>178</v>
      </c>
      <c r="B11" s="355" t="s">
        <v>211</v>
      </c>
      <c r="C11" s="355"/>
      <c r="D11" s="356">
        <v>0.4</v>
      </c>
      <c r="E11" s="462">
        <f t="shared" ref="E11:Q11" si="9">SUM(E12:E13)</f>
        <v>0</v>
      </c>
      <c r="F11" s="346">
        <f t="shared" si="9"/>
        <v>0</v>
      </c>
      <c r="G11" s="346">
        <f t="shared" si="9"/>
        <v>0</v>
      </c>
      <c r="H11" s="371">
        <f t="shared" si="9"/>
        <v>0</v>
      </c>
      <c r="I11" s="371">
        <f t="shared" si="9"/>
        <v>0</v>
      </c>
      <c r="J11" s="371">
        <f t="shared" si="9"/>
        <v>0</v>
      </c>
      <c r="K11" s="371">
        <f t="shared" si="9"/>
        <v>0</v>
      </c>
      <c r="L11" s="371">
        <f t="shared" si="9"/>
        <v>0</v>
      </c>
      <c r="M11" s="371">
        <f t="shared" si="9"/>
        <v>0</v>
      </c>
      <c r="N11" s="371">
        <f t="shared" si="9"/>
        <v>0</v>
      </c>
      <c r="O11" s="371">
        <f t="shared" si="9"/>
        <v>0</v>
      </c>
      <c r="P11" s="371">
        <f t="shared" si="9"/>
        <v>0</v>
      </c>
      <c r="Q11" s="371">
        <f t="shared" si="9"/>
        <v>0</v>
      </c>
      <c r="R11" s="357"/>
      <c r="S11" s="357"/>
      <c r="T11" s="357"/>
      <c r="U11" s="480"/>
      <c r="V11" s="380" t="e">
        <f t="shared" si="1"/>
        <v>#DIV/0!</v>
      </c>
      <c r="W11" s="380" t="e">
        <f t="shared" si="2"/>
        <v>#DIV/0!</v>
      </c>
      <c r="X11" s="462">
        <f t="shared" ref="X11:AJ11" si="10">SUM(X12:X13)</f>
        <v>0</v>
      </c>
      <c r="Y11" s="346">
        <f t="shared" si="10"/>
        <v>0</v>
      </c>
      <c r="Z11" s="346">
        <f t="shared" si="10"/>
        <v>0</v>
      </c>
      <c r="AA11" s="371">
        <f t="shared" si="10"/>
        <v>0</v>
      </c>
      <c r="AB11" s="371">
        <f t="shared" si="10"/>
        <v>0</v>
      </c>
      <c r="AC11" s="371">
        <f t="shared" si="10"/>
        <v>0</v>
      </c>
      <c r="AD11" s="371">
        <f t="shared" si="10"/>
        <v>0</v>
      </c>
      <c r="AE11" s="371">
        <f t="shared" si="10"/>
        <v>0</v>
      </c>
      <c r="AF11" s="371">
        <f t="shared" si="10"/>
        <v>0</v>
      </c>
      <c r="AG11" s="371">
        <f t="shared" si="10"/>
        <v>0</v>
      </c>
      <c r="AH11" s="371">
        <f t="shared" si="10"/>
        <v>0</v>
      </c>
      <c r="AI11" s="371">
        <f t="shared" si="10"/>
        <v>0</v>
      </c>
      <c r="AJ11" s="371">
        <f t="shared" si="10"/>
        <v>0</v>
      </c>
      <c r="AK11" s="357"/>
      <c r="AL11" s="357"/>
      <c r="AM11" s="357"/>
      <c r="AN11" s="480"/>
      <c r="AO11" s="380" t="e">
        <f t="shared" si="4"/>
        <v>#DIV/0!</v>
      </c>
      <c r="AP11" s="380" t="e">
        <f t="shared" si="5"/>
        <v>#DIV/0!</v>
      </c>
      <c r="AQ11" s="462">
        <f t="shared" ref="AQ11:BC11" si="11">SUM(AQ12:AQ13)</f>
        <v>0</v>
      </c>
      <c r="AR11" s="346">
        <f t="shared" si="11"/>
        <v>0</v>
      </c>
      <c r="AS11" s="346">
        <f t="shared" si="11"/>
        <v>0</v>
      </c>
      <c r="AT11" s="371">
        <f t="shared" si="11"/>
        <v>0</v>
      </c>
      <c r="AU11" s="371">
        <f t="shared" si="11"/>
        <v>0</v>
      </c>
      <c r="AV11" s="371">
        <f t="shared" si="11"/>
        <v>0</v>
      </c>
      <c r="AW11" s="371">
        <f t="shared" si="11"/>
        <v>0</v>
      </c>
      <c r="AX11" s="371">
        <f t="shared" si="11"/>
        <v>0</v>
      </c>
      <c r="AY11" s="371">
        <f t="shared" si="11"/>
        <v>0</v>
      </c>
      <c r="AZ11" s="371">
        <f t="shared" si="11"/>
        <v>0</v>
      </c>
      <c r="BA11" s="371">
        <f t="shared" si="11"/>
        <v>0</v>
      </c>
      <c r="BB11" s="371">
        <f t="shared" si="11"/>
        <v>0</v>
      </c>
      <c r="BC11" s="371">
        <f t="shared" si="11"/>
        <v>0</v>
      </c>
      <c r="BD11" s="357"/>
      <c r="BE11" s="357"/>
      <c r="BF11" s="357"/>
      <c r="BG11" s="480"/>
      <c r="BH11" s="380" t="e">
        <f t="shared" si="7"/>
        <v>#DIV/0!</v>
      </c>
      <c r="BI11" s="380" t="e">
        <f t="shared" si="8"/>
        <v>#DIV/0!</v>
      </c>
    </row>
    <row r="12" spans="1:61" s="358" customFormat="1" x14ac:dyDescent="0.3">
      <c r="A12" s="359" t="s">
        <v>143</v>
      </c>
      <c r="B12" s="382"/>
      <c r="C12" s="382"/>
      <c r="D12" s="360"/>
      <c r="E12" s="367"/>
      <c r="F12" s="340"/>
      <c r="G12" s="361"/>
      <c r="H12" s="377"/>
      <c r="I12" s="372"/>
      <c r="J12" s="372"/>
      <c r="K12" s="372"/>
      <c r="L12" s="372"/>
      <c r="M12" s="372"/>
      <c r="N12" s="372"/>
      <c r="O12" s="372"/>
      <c r="P12" s="372"/>
      <c r="Q12" s="372"/>
      <c r="R12" s="361"/>
      <c r="S12" s="361"/>
      <c r="T12" s="361"/>
      <c r="U12" s="362"/>
      <c r="V12" s="372"/>
      <c r="W12" s="372"/>
      <c r="X12" s="367"/>
      <c r="Y12" s="340"/>
      <c r="Z12" s="361"/>
      <c r="AA12" s="377"/>
      <c r="AB12" s="372"/>
      <c r="AC12" s="372"/>
      <c r="AD12" s="372"/>
      <c r="AE12" s="372"/>
      <c r="AF12" s="372"/>
      <c r="AG12" s="372"/>
      <c r="AH12" s="372"/>
      <c r="AI12" s="372"/>
      <c r="AJ12" s="372"/>
      <c r="AK12" s="361"/>
      <c r="AL12" s="361"/>
      <c r="AM12" s="361"/>
      <c r="AN12" s="362"/>
      <c r="AO12" s="372"/>
      <c r="AP12" s="372"/>
      <c r="AQ12" s="367"/>
      <c r="AR12" s="340"/>
      <c r="AS12" s="361"/>
      <c r="AT12" s="377"/>
      <c r="AU12" s="372"/>
      <c r="AV12" s="372"/>
      <c r="AW12" s="372"/>
      <c r="AX12" s="372"/>
      <c r="AY12" s="372"/>
      <c r="AZ12" s="372"/>
      <c r="BA12" s="372"/>
      <c r="BB12" s="372"/>
      <c r="BC12" s="372"/>
      <c r="BD12" s="361"/>
      <c r="BE12" s="361"/>
      <c r="BF12" s="361"/>
      <c r="BG12" s="362"/>
      <c r="BH12" s="372"/>
      <c r="BI12" s="372"/>
    </row>
    <row r="13" spans="1:61" s="358" customFormat="1" x14ac:dyDescent="0.3">
      <c r="A13" s="359"/>
      <c r="B13" s="382"/>
      <c r="C13" s="382"/>
      <c r="D13" s="360"/>
      <c r="E13" s="367"/>
      <c r="F13" s="340"/>
      <c r="G13" s="361"/>
      <c r="H13" s="377"/>
      <c r="I13" s="372"/>
      <c r="J13" s="372"/>
      <c r="K13" s="372"/>
      <c r="L13" s="372"/>
      <c r="M13" s="372"/>
      <c r="N13" s="372"/>
      <c r="O13" s="372"/>
      <c r="P13" s="372"/>
      <c r="Q13" s="372"/>
      <c r="R13" s="361"/>
      <c r="S13" s="361"/>
      <c r="T13" s="361"/>
      <c r="U13" s="362"/>
      <c r="V13" s="372"/>
      <c r="W13" s="372"/>
      <c r="X13" s="367"/>
      <c r="Y13" s="340"/>
      <c r="Z13" s="361"/>
      <c r="AA13" s="377"/>
      <c r="AB13" s="372"/>
      <c r="AC13" s="372"/>
      <c r="AD13" s="372"/>
      <c r="AE13" s="372"/>
      <c r="AF13" s="372"/>
      <c r="AG13" s="372"/>
      <c r="AH13" s="372"/>
      <c r="AI13" s="372"/>
      <c r="AJ13" s="372"/>
      <c r="AK13" s="361"/>
      <c r="AL13" s="361"/>
      <c r="AM13" s="361"/>
      <c r="AN13" s="362"/>
      <c r="AO13" s="372"/>
      <c r="AP13" s="372"/>
      <c r="AQ13" s="367"/>
      <c r="AR13" s="340"/>
      <c r="AS13" s="361"/>
      <c r="AT13" s="377"/>
      <c r="AU13" s="372"/>
      <c r="AV13" s="372"/>
      <c r="AW13" s="372"/>
      <c r="AX13" s="372"/>
      <c r="AY13" s="372"/>
      <c r="AZ13" s="372"/>
      <c r="BA13" s="372"/>
      <c r="BB13" s="372"/>
      <c r="BC13" s="372"/>
      <c r="BD13" s="361"/>
      <c r="BE13" s="361"/>
      <c r="BF13" s="361"/>
      <c r="BG13" s="362"/>
      <c r="BH13" s="372"/>
      <c r="BI13" s="372"/>
    </row>
    <row r="14" spans="1:61" s="358" customFormat="1" ht="24.75" customHeight="1" x14ac:dyDescent="0.3">
      <c r="A14" s="354" t="s">
        <v>182</v>
      </c>
      <c r="B14" s="355" t="s">
        <v>188</v>
      </c>
      <c r="C14" s="355"/>
      <c r="D14" s="356">
        <v>0.4</v>
      </c>
      <c r="E14" s="462">
        <f t="shared" ref="E14:Q14" si="12">SUM(E15:E21)</f>
        <v>0</v>
      </c>
      <c r="F14" s="346">
        <f t="shared" si="12"/>
        <v>0</v>
      </c>
      <c r="G14" s="346">
        <f t="shared" si="12"/>
        <v>0</v>
      </c>
      <c r="H14" s="371">
        <f t="shared" si="12"/>
        <v>0</v>
      </c>
      <c r="I14" s="371">
        <f t="shared" si="12"/>
        <v>0</v>
      </c>
      <c r="J14" s="371">
        <f t="shared" si="12"/>
        <v>0</v>
      </c>
      <c r="K14" s="371">
        <f t="shared" si="12"/>
        <v>0</v>
      </c>
      <c r="L14" s="371">
        <f t="shared" si="12"/>
        <v>0</v>
      </c>
      <c r="M14" s="371">
        <f t="shared" si="12"/>
        <v>0</v>
      </c>
      <c r="N14" s="371">
        <f t="shared" si="12"/>
        <v>0</v>
      </c>
      <c r="O14" s="371">
        <f t="shared" si="12"/>
        <v>0</v>
      </c>
      <c r="P14" s="371">
        <f t="shared" si="12"/>
        <v>0</v>
      </c>
      <c r="Q14" s="371">
        <f t="shared" si="12"/>
        <v>0</v>
      </c>
      <c r="R14" s="357"/>
      <c r="S14" s="357"/>
      <c r="T14" s="357"/>
      <c r="U14" s="480"/>
      <c r="V14" s="380" t="e">
        <f t="shared" ref="V14:V79" si="13">H14/E14*1000</f>
        <v>#DIV/0!</v>
      </c>
      <c r="W14" s="380" t="e">
        <f t="shared" ref="W14:W79" si="14">H14/F14</f>
        <v>#DIV/0!</v>
      </c>
      <c r="X14" s="462">
        <f t="shared" ref="X14:AJ14" si="15">SUM(X15:X21)</f>
        <v>0</v>
      </c>
      <c r="Y14" s="346">
        <f t="shared" si="15"/>
        <v>0</v>
      </c>
      <c r="Z14" s="346">
        <f t="shared" si="15"/>
        <v>0</v>
      </c>
      <c r="AA14" s="371">
        <f t="shared" si="15"/>
        <v>0</v>
      </c>
      <c r="AB14" s="371">
        <f t="shared" si="15"/>
        <v>0</v>
      </c>
      <c r="AC14" s="371">
        <f t="shared" si="15"/>
        <v>0</v>
      </c>
      <c r="AD14" s="371">
        <f t="shared" si="15"/>
        <v>0</v>
      </c>
      <c r="AE14" s="371">
        <f t="shared" si="15"/>
        <v>0</v>
      </c>
      <c r="AF14" s="371">
        <f t="shared" si="15"/>
        <v>0</v>
      </c>
      <c r="AG14" s="371">
        <f t="shared" si="15"/>
        <v>0</v>
      </c>
      <c r="AH14" s="371">
        <f t="shared" si="15"/>
        <v>0</v>
      </c>
      <c r="AI14" s="371">
        <f t="shared" si="15"/>
        <v>0</v>
      </c>
      <c r="AJ14" s="371">
        <f t="shared" si="15"/>
        <v>0</v>
      </c>
      <c r="AK14" s="357"/>
      <c r="AL14" s="357"/>
      <c r="AM14" s="357"/>
      <c r="AN14" s="480"/>
      <c r="AO14" s="380" t="e">
        <f t="shared" ref="AO14:AO79" si="16">AA14/X14*1000</f>
        <v>#DIV/0!</v>
      </c>
      <c r="AP14" s="380" t="e">
        <f t="shared" ref="AP14:AP79" si="17">AA14/Y14</f>
        <v>#DIV/0!</v>
      </c>
      <c r="AQ14" s="462">
        <f t="shared" ref="AQ14:BC14" si="18">SUM(AQ15:AQ21)</f>
        <v>0</v>
      </c>
      <c r="AR14" s="346">
        <f t="shared" si="18"/>
        <v>0</v>
      </c>
      <c r="AS14" s="346">
        <f t="shared" si="18"/>
        <v>0</v>
      </c>
      <c r="AT14" s="371">
        <f t="shared" si="18"/>
        <v>0</v>
      </c>
      <c r="AU14" s="371">
        <f t="shared" si="18"/>
        <v>0</v>
      </c>
      <c r="AV14" s="371">
        <f t="shared" si="18"/>
        <v>0</v>
      </c>
      <c r="AW14" s="371">
        <f t="shared" si="18"/>
        <v>0</v>
      </c>
      <c r="AX14" s="371">
        <f t="shared" si="18"/>
        <v>0</v>
      </c>
      <c r="AY14" s="371">
        <f t="shared" si="18"/>
        <v>0</v>
      </c>
      <c r="AZ14" s="371">
        <f t="shared" si="18"/>
        <v>0</v>
      </c>
      <c r="BA14" s="371">
        <f t="shared" si="18"/>
        <v>0</v>
      </c>
      <c r="BB14" s="371">
        <f t="shared" si="18"/>
        <v>0</v>
      </c>
      <c r="BC14" s="371">
        <f t="shared" si="18"/>
        <v>0</v>
      </c>
      <c r="BD14" s="357"/>
      <c r="BE14" s="357"/>
      <c r="BF14" s="357"/>
      <c r="BG14" s="480"/>
      <c r="BH14" s="380" t="e">
        <f t="shared" ref="BH14:BH79" si="19">AT14/AQ14*1000</f>
        <v>#DIV/0!</v>
      </c>
      <c r="BI14" s="380" t="e">
        <f t="shared" ref="BI14:BI79" si="20">AT14/AR14</f>
        <v>#DIV/0!</v>
      </c>
    </row>
    <row r="15" spans="1:61" s="358" customFormat="1" x14ac:dyDescent="0.3">
      <c r="A15" s="359" t="s">
        <v>178</v>
      </c>
      <c r="B15" s="520" t="s">
        <v>305</v>
      </c>
      <c r="C15" s="407" t="s">
        <v>279</v>
      </c>
      <c r="D15" s="360">
        <v>0.4</v>
      </c>
      <c r="E15" s="396"/>
      <c r="F15" s="397"/>
      <c r="G15" s="393"/>
      <c r="H15" s="519"/>
      <c r="I15" s="394"/>
      <c r="J15" s="394"/>
      <c r="K15" s="394"/>
      <c r="L15" s="394"/>
      <c r="M15" s="394"/>
      <c r="N15" s="394"/>
      <c r="O15" s="394"/>
      <c r="P15" s="394"/>
      <c r="Q15" s="394"/>
      <c r="R15" s="381"/>
      <c r="S15" s="408"/>
      <c r="T15" s="385"/>
      <c r="U15" s="475"/>
      <c r="V15" s="395" t="e">
        <f t="shared" si="13"/>
        <v>#DIV/0!</v>
      </c>
      <c r="W15" s="395" t="e">
        <f t="shared" si="14"/>
        <v>#DIV/0!</v>
      </c>
      <c r="X15" s="396"/>
      <c r="Y15" s="397"/>
      <c r="Z15" s="393"/>
      <c r="AA15" s="519"/>
      <c r="AB15" s="394"/>
      <c r="AC15" s="394"/>
      <c r="AD15" s="394"/>
      <c r="AE15" s="394"/>
      <c r="AF15" s="394"/>
      <c r="AG15" s="394"/>
      <c r="AH15" s="394"/>
      <c r="AI15" s="394"/>
      <c r="AJ15" s="394"/>
      <c r="AK15" s="381"/>
      <c r="AL15" s="408"/>
      <c r="AM15" s="385"/>
      <c r="AN15" s="475"/>
      <c r="AO15" s="395" t="e">
        <f t="shared" si="16"/>
        <v>#DIV/0!</v>
      </c>
      <c r="AP15" s="395" t="e">
        <f t="shared" si="17"/>
        <v>#DIV/0!</v>
      </c>
      <c r="AQ15" s="396"/>
      <c r="AR15" s="397"/>
      <c r="AS15" s="393"/>
      <c r="AT15" s="519"/>
      <c r="AU15" s="394"/>
      <c r="AV15" s="394"/>
      <c r="AW15" s="394"/>
      <c r="AX15" s="394"/>
      <c r="AY15" s="394"/>
      <c r="AZ15" s="394"/>
      <c r="BA15" s="394"/>
      <c r="BB15" s="394"/>
      <c r="BC15" s="394"/>
      <c r="BD15" s="381"/>
      <c r="BE15" s="408"/>
      <c r="BF15" s="385"/>
      <c r="BG15" s="475"/>
      <c r="BH15" s="395" t="e">
        <f t="shared" si="19"/>
        <v>#DIV/0!</v>
      </c>
      <c r="BI15" s="395" t="e">
        <f t="shared" si="20"/>
        <v>#DIV/0!</v>
      </c>
    </row>
    <row r="16" spans="1:61" s="358" customFormat="1" x14ac:dyDescent="0.3">
      <c r="A16" s="359" t="s">
        <v>182</v>
      </c>
      <c r="B16" s="520" t="s">
        <v>306</v>
      </c>
      <c r="C16" s="407" t="s">
        <v>284</v>
      </c>
      <c r="D16" s="360">
        <v>0.4</v>
      </c>
      <c r="E16" s="396"/>
      <c r="F16" s="397"/>
      <c r="G16" s="393"/>
      <c r="H16" s="519"/>
      <c r="I16" s="394"/>
      <c r="J16" s="394"/>
      <c r="K16" s="394"/>
      <c r="L16" s="394"/>
      <c r="M16" s="394"/>
      <c r="N16" s="394"/>
      <c r="O16" s="394"/>
      <c r="P16" s="394"/>
      <c r="Q16" s="394"/>
      <c r="R16" s="381"/>
      <c r="S16" s="408"/>
      <c r="T16" s="385"/>
      <c r="U16" s="475"/>
      <c r="V16" s="395" t="e">
        <f t="shared" si="13"/>
        <v>#DIV/0!</v>
      </c>
      <c r="W16" s="395" t="e">
        <f t="shared" si="14"/>
        <v>#DIV/0!</v>
      </c>
      <c r="X16" s="396"/>
      <c r="Y16" s="397"/>
      <c r="Z16" s="393"/>
      <c r="AA16" s="519"/>
      <c r="AB16" s="394"/>
      <c r="AC16" s="394"/>
      <c r="AD16" s="394"/>
      <c r="AE16" s="394"/>
      <c r="AF16" s="394"/>
      <c r="AG16" s="394"/>
      <c r="AH16" s="394"/>
      <c r="AI16" s="394"/>
      <c r="AJ16" s="394"/>
      <c r="AK16" s="381"/>
      <c r="AL16" s="408"/>
      <c r="AM16" s="385"/>
      <c r="AN16" s="475"/>
      <c r="AO16" s="395" t="e">
        <f t="shared" si="16"/>
        <v>#DIV/0!</v>
      </c>
      <c r="AP16" s="395" t="e">
        <f t="shared" si="17"/>
        <v>#DIV/0!</v>
      </c>
      <c r="AQ16" s="396"/>
      <c r="AR16" s="397"/>
      <c r="AS16" s="393"/>
      <c r="AT16" s="519"/>
      <c r="AU16" s="394"/>
      <c r="AV16" s="394"/>
      <c r="AW16" s="394"/>
      <c r="AX16" s="394"/>
      <c r="AY16" s="394"/>
      <c r="AZ16" s="394"/>
      <c r="BA16" s="394"/>
      <c r="BB16" s="394"/>
      <c r="BC16" s="394"/>
      <c r="BD16" s="381"/>
      <c r="BE16" s="408"/>
      <c r="BF16" s="385"/>
      <c r="BG16" s="475"/>
      <c r="BH16" s="395" t="e">
        <f t="shared" si="19"/>
        <v>#DIV/0!</v>
      </c>
      <c r="BI16" s="395" t="e">
        <f t="shared" si="20"/>
        <v>#DIV/0!</v>
      </c>
    </row>
    <row r="17" spans="1:61" s="358" customFormat="1" ht="19.2" x14ac:dyDescent="0.3">
      <c r="A17" s="359"/>
      <c r="B17" s="537"/>
      <c r="C17" s="407"/>
      <c r="D17" s="360">
        <v>0.4</v>
      </c>
      <c r="E17" s="396"/>
      <c r="F17" s="397"/>
      <c r="G17" s="393"/>
      <c r="H17" s="542"/>
      <c r="I17" s="394"/>
      <c r="J17" s="394"/>
      <c r="K17" s="394"/>
      <c r="L17" s="394"/>
      <c r="M17" s="394"/>
      <c r="N17" s="394"/>
      <c r="O17" s="394"/>
      <c r="P17" s="394"/>
      <c r="Q17" s="394"/>
      <c r="R17" s="381" t="s">
        <v>167</v>
      </c>
      <c r="S17" s="408" t="s">
        <v>175</v>
      </c>
      <c r="T17" s="385"/>
      <c r="U17" s="475"/>
      <c r="V17" s="395" t="e">
        <f t="shared" ref="V17" si="21">H17/E17*1000</f>
        <v>#DIV/0!</v>
      </c>
      <c r="W17" s="395" t="e">
        <f t="shared" ref="W17" si="22">H17/F17</f>
        <v>#DIV/0!</v>
      </c>
      <c r="X17" s="396"/>
      <c r="Y17" s="397"/>
      <c r="Z17" s="393"/>
      <c r="AA17" s="542"/>
      <c r="AB17" s="394"/>
      <c r="AC17" s="394"/>
      <c r="AD17" s="394"/>
      <c r="AE17" s="394"/>
      <c r="AF17" s="394"/>
      <c r="AG17" s="394"/>
      <c r="AH17" s="394"/>
      <c r="AI17" s="394"/>
      <c r="AJ17" s="394"/>
      <c r="AK17" s="381"/>
      <c r="AL17" s="408"/>
      <c r="AM17" s="385"/>
      <c r="AN17" s="475"/>
      <c r="AO17" s="395" t="e">
        <f t="shared" si="16"/>
        <v>#DIV/0!</v>
      </c>
      <c r="AP17" s="395" t="e">
        <f t="shared" si="17"/>
        <v>#DIV/0!</v>
      </c>
      <c r="AQ17" s="396"/>
      <c r="AR17" s="397"/>
      <c r="AS17" s="393"/>
      <c r="AT17" s="542"/>
      <c r="AU17" s="394"/>
      <c r="AV17" s="394"/>
      <c r="AW17" s="394"/>
      <c r="AX17" s="394"/>
      <c r="AY17" s="394"/>
      <c r="AZ17" s="394"/>
      <c r="BA17" s="394"/>
      <c r="BB17" s="394"/>
      <c r="BC17" s="394"/>
      <c r="BD17" s="381"/>
      <c r="BE17" s="408"/>
      <c r="BF17" s="385"/>
      <c r="BG17" s="475"/>
      <c r="BH17" s="395" t="e">
        <f t="shared" si="19"/>
        <v>#DIV/0!</v>
      </c>
      <c r="BI17" s="395" t="e">
        <f t="shared" si="20"/>
        <v>#DIV/0!</v>
      </c>
    </row>
    <row r="18" spans="1:61" s="358" customFormat="1" ht="19.2" x14ac:dyDescent="0.3">
      <c r="A18" s="359"/>
      <c r="B18" s="572"/>
      <c r="C18" s="407"/>
      <c r="D18" s="360">
        <v>0.4</v>
      </c>
      <c r="E18" s="396"/>
      <c r="F18" s="397"/>
      <c r="G18" s="393"/>
      <c r="H18" s="571"/>
      <c r="I18" s="394"/>
      <c r="J18" s="394"/>
      <c r="K18" s="394"/>
      <c r="L18" s="394"/>
      <c r="M18" s="394"/>
      <c r="N18" s="394"/>
      <c r="O18" s="394"/>
      <c r="P18" s="394"/>
      <c r="Q18" s="394"/>
      <c r="R18" s="381"/>
      <c r="S18" s="408"/>
      <c r="T18" s="385"/>
      <c r="U18" s="475"/>
      <c r="V18" s="395"/>
      <c r="W18" s="395"/>
      <c r="X18" s="396"/>
      <c r="Y18" s="397"/>
      <c r="Z18" s="393"/>
      <c r="AA18" s="571"/>
      <c r="AB18" s="394"/>
      <c r="AC18" s="394"/>
      <c r="AD18" s="394"/>
      <c r="AE18" s="394"/>
      <c r="AF18" s="394"/>
      <c r="AG18" s="394"/>
      <c r="AH18" s="394"/>
      <c r="AI18" s="394"/>
      <c r="AJ18" s="394"/>
      <c r="AK18" s="381" t="s">
        <v>167</v>
      </c>
      <c r="AL18" s="408" t="s">
        <v>175</v>
      </c>
      <c r="AM18" s="385"/>
      <c r="AN18" s="475"/>
      <c r="AO18" s="395" t="e">
        <f t="shared" si="16"/>
        <v>#DIV/0!</v>
      </c>
      <c r="AP18" s="395" t="e">
        <f t="shared" si="17"/>
        <v>#DIV/0!</v>
      </c>
      <c r="AQ18" s="396"/>
      <c r="AR18" s="397"/>
      <c r="AS18" s="393"/>
      <c r="AT18" s="571"/>
      <c r="AU18" s="394"/>
      <c r="AV18" s="394"/>
      <c r="AW18" s="394"/>
      <c r="AX18" s="394"/>
      <c r="AY18" s="394"/>
      <c r="AZ18" s="394"/>
      <c r="BA18" s="394"/>
      <c r="BB18" s="394"/>
      <c r="BC18" s="394"/>
      <c r="BD18" s="381" t="s">
        <v>167</v>
      </c>
      <c r="BE18" s="408" t="s">
        <v>175</v>
      </c>
      <c r="BF18" s="385"/>
      <c r="BG18" s="475"/>
      <c r="BH18" s="395" t="e">
        <f t="shared" si="19"/>
        <v>#DIV/0!</v>
      </c>
      <c r="BI18" s="395" t="e">
        <f t="shared" si="20"/>
        <v>#DIV/0!</v>
      </c>
    </row>
    <row r="19" spans="1:61" s="358" customFormat="1" ht="19.2" x14ac:dyDescent="0.3">
      <c r="A19" s="359"/>
      <c r="B19" s="572"/>
      <c r="C19" s="407"/>
      <c r="D19" s="360">
        <v>0.4</v>
      </c>
      <c r="E19" s="396"/>
      <c r="F19" s="397"/>
      <c r="G19" s="393"/>
      <c r="H19" s="571"/>
      <c r="I19" s="394"/>
      <c r="J19" s="394"/>
      <c r="K19" s="394"/>
      <c r="L19" s="394"/>
      <c r="M19" s="394"/>
      <c r="N19" s="394"/>
      <c r="O19" s="394"/>
      <c r="P19" s="394"/>
      <c r="Q19" s="394"/>
      <c r="R19" s="381"/>
      <c r="S19" s="408"/>
      <c r="T19" s="385"/>
      <c r="U19" s="475"/>
      <c r="V19" s="395"/>
      <c r="W19" s="395"/>
      <c r="X19" s="396"/>
      <c r="Y19" s="397"/>
      <c r="Z19" s="393"/>
      <c r="AA19" s="571"/>
      <c r="AB19" s="394"/>
      <c r="AC19" s="394"/>
      <c r="AD19" s="394"/>
      <c r="AE19" s="394"/>
      <c r="AF19" s="394"/>
      <c r="AG19" s="394"/>
      <c r="AH19" s="394"/>
      <c r="AI19" s="394"/>
      <c r="AJ19" s="394"/>
      <c r="AK19" s="381" t="s">
        <v>167</v>
      </c>
      <c r="AL19" s="408" t="s">
        <v>175</v>
      </c>
      <c r="AM19" s="385"/>
      <c r="AN19" s="475"/>
      <c r="AO19" s="395" t="e">
        <f t="shared" si="16"/>
        <v>#DIV/0!</v>
      </c>
      <c r="AP19" s="395" t="e">
        <f t="shared" si="17"/>
        <v>#DIV/0!</v>
      </c>
      <c r="AQ19" s="396"/>
      <c r="AR19" s="397"/>
      <c r="AS19" s="393"/>
      <c r="AT19" s="571"/>
      <c r="AU19" s="394"/>
      <c r="AV19" s="394"/>
      <c r="AW19" s="394"/>
      <c r="AX19" s="394"/>
      <c r="AY19" s="394"/>
      <c r="AZ19" s="394"/>
      <c r="BA19" s="394"/>
      <c r="BB19" s="394"/>
      <c r="BC19" s="394"/>
      <c r="BD19" s="381" t="s">
        <v>167</v>
      </c>
      <c r="BE19" s="408" t="s">
        <v>175</v>
      </c>
      <c r="BF19" s="385"/>
      <c r="BG19" s="475"/>
      <c r="BH19" s="395" t="e">
        <f t="shared" si="19"/>
        <v>#DIV/0!</v>
      </c>
      <c r="BI19" s="395" t="e">
        <f t="shared" si="20"/>
        <v>#DIV/0!</v>
      </c>
    </row>
    <row r="20" spans="1:61" s="358" customFormat="1" x14ac:dyDescent="0.3">
      <c r="A20" s="359"/>
      <c r="B20" s="378"/>
      <c r="C20" s="407"/>
      <c r="D20" s="360">
        <v>0.4</v>
      </c>
      <c r="E20" s="396"/>
      <c r="F20" s="397"/>
      <c r="G20" s="393"/>
      <c r="H20" s="394"/>
      <c r="I20" s="394"/>
      <c r="J20" s="394"/>
      <c r="K20" s="394"/>
      <c r="L20" s="394"/>
      <c r="M20" s="394"/>
      <c r="N20" s="394"/>
      <c r="O20" s="394"/>
      <c r="P20" s="394"/>
      <c r="Q20" s="394"/>
      <c r="R20" s="381"/>
      <c r="S20" s="408"/>
      <c r="T20" s="385"/>
      <c r="U20" s="475"/>
      <c r="V20" s="395" t="e">
        <f t="shared" si="13"/>
        <v>#DIV/0!</v>
      </c>
      <c r="W20" s="395" t="e">
        <f t="shared" si="14"/>
        <v>#DIV/0!</v>
      </c>
      <c r="X20" s="396"/>
      <c r="Y20" s="397"/>
      <c r="Z20" s="393"/>
      <c r="AA20" s="394"/>
      <c r="AB20" s="394"/>
      <c r="AC20" s="394"/>
      <c r="AD20" s="394"/>
      <c r="AE20" s="394"/>
      <c r="AF20" s="394"/>
      <c r="AG20" s="394"/>
      <c r="AH20" s="394"/>
      <c r="AI20" s="394"/>
      <c r="AJ20" s="394"/>
      <c r="AK20" s="381"/>
      <c r="AL20" s="408"/>
      <c r="AM20" s="385"/>
      <c r="AN20" s="475"/>
      <c r="AO20" s="395" t="e">
        <f t="shared" si="16"/>
        <v>#DIV/0!</v>
      </c>
      <c r="AP20" s="395" t="e">
        <f t="shared" si="17"/>
        <v>#DIV/0!</v>
      </c>
      <c r="AQ20" s="396"/>
      <c r="AR20" s="397"/>
      <c r="AS20" s="393"/>
      <c r="AT20" s="394"/>
      <c r="AU20" s="394"/>
      <c r="AV20" s="394"/>
      <c r="AW20" s="394"/>
      <c r="AX20" s="394"/>
      <c r="AY20" s="394"/>
      <c r="AZ20" s="394"/>
      <c r="BA20" s="394"/>
      <c r="BB20" s="394"/>
      <c r="BC20" s="394"/>
      <c r="BD20" s="381"/>
      <c r="BE20" s="408"/>
      <c r="BF20" s="385"/>
      <c r="BG20" s="475"/>
      <c r="BH20" s="395" t="e">
        <f t="shared" si="19"/>
        <v>#DIV/0!</v>
      </c>
      <c r="BI20" s="395" t="e">
        <f t="shared" si="20"/>
        <v>#DIV/0!</v>
      </c>
    </row>
    <row r="21" spans="1:61" s="358" customFormat="1" x14ac:dyDescent="0.3">
      <c r="A21" s="359"/>
      <c r="B21" s="341"/>
      <c r="C21" s="342"/>
      <c r="D21" s="360"/>
      <c r="E21" s="367"/>
      <c r="F21" s="340"/>
      <c r="G21" s="361"/>
      <c r="H21" s="377"/>
      <c r="I21" s="372"/>
      <c r="J21" s="372"/>
      <c r="K21" s="372"/>
      <c r="L21" s="372"/>
      <c r="M21" s="372"/>
      <c r="N21" s="372"/>
      <c r="O21" s="372"/>
      <c r="P21" s="372"/>
      <c r="Q21" s="372"/>
      <c r="R21" s="361"/>
      <c r="S21" s="361"/>
      <c r="T21" s="361"/>
      <c r="U21" s="362"/>
      <c r="V21" s="372" t="e">
        <f t="shared" si="13"/>
        <v>#DIV/0!</v>
      </c>
      <c r="W21" s="372" t="e">
        <f t="shared" si="14"/>
        <v>#DIV/0!</v>
      </c>
      <c r="X21" s="367"/>
      <c r="Y21" s="340"/>
      <c r="Z21" s="361"/>
      <c r="AA21" s="377"/>
      <c r="AB21" s="372"/>
      <c r="AC21" s="372"/>
      <c r="AD21" s="372"/>
      <c r="AE21" s="372"/>
      <c r="AF21" s="372"/>
      <c r="AG21" s="372"/>
      <c r="AH21" s="372"/>
      <c r="AI21" s="372"/>
      <c r="AJ21" s="372"/>
      <c r="AK21" s="361"/>
      <c r="AL21" s="361"/>
      <c r="AM21" s="361"/>
      <c r="AN21" s="362"/>
      <c r="AO21" s="372" t="e">
        <f t="shared" si="16"/>
        <v>#DIV/0!</v>
      </c>
      <c r="AP21" s="372" t="e">
        <f t="shared" si="17"/>
        <v>#DIV/0!</v>
      </c>
      <c r="AQ21" s="367"/>
      <c r="AR21" s="340"/>
      <c r="AS21" s="361"/>
      <c r="AT21" s="377"/>
      <c r="AU21" s="372"/>
      <c r="AV21" s="372"/>
      <c r="AW21" s="372"/>
      <c r="AX21" s="372"/>
      <c r="AY21" s="372"/>
      <c r="AZ21" s="372"/>
      <c r="BA21" s="372"/>
      <c r="BB21" s="372"/>
      <c r="BC21" s="372"/>
      <c r="BD21" s="361"/>
      <c r="BE21" s="361"/>
      <c r="BF21" s="361"/>
      <c r="BG21" s="362"/>
      <c r="BH21" s="372" t="e">
        <f t="shared" si="19"/>
        <v>#DIV/0!</v>
      </c>
      <c r="BI21" s="372" t="e">
        <f t="shared" si="20"/>
        <v>#DIV/0!</v>
      </c>
    </row>
    <row r="22" spans="1:61" s="358" customFormat="1" ht="24.75" customHeight="1" x14ac:dyDescent="0.3">
      <c r="A22" s="354" t="s">
        <v>184</v>
      </c>
      <c r="B22" s="355" t="s">
        <v>226</v>
      </c>
      <c r="C22" s="355"/>
      <c r="D22" s="356">
        <v>0.4</v>
      </c>
      <c r="E22" s="462">
        <f t="shared" ref="E22:Q22" si="23">SUM(E23:E25)</f>
        <v>0</v>
      </c>
      <c r="F22" s="346">
        <f t="shared" si="23"/>
        <v>0</v>
      </c>
      <c r="G22" s="346">
        <f t="shared" si="23"/>
        <v>0</v>
      </c>
      <c r="H22" s="371">
        <f t="shared" si="23"/>
        <v>0</v>
      </c>
      <c r="I22" s="371">
        <f t="shared" si="23"/>
        <v>0</v>
      </c>
      <c r="J22" s="371">
        <f t="shared" si="23"/>
        <v>0</v>
      </c>
      <c r="K22" s="371">
        <f t="shared" si="23"/>
        <v>0</v>
      </c>
      <c r="L22" s="371">
        <f t="shared" si="23"/>
        <v>0</v>
      </c>
      <c r="M22" s="371">
        <f t="shared" si="23"/>
        <v>0</v>
      </c>
      <c r="N22" s="371">
        <f t="shared" si="23"/>
        <v>0</v>
      </c>
      <c r="O22" s="371">
        <f t="shared" si="23"/>
        <v>0</v>
      </c>
      <c r="P22" s="371">
        <f t="shared" si="23"/>
        <v>0</v>
      </c>
      <c r="Q22" s="371">
        <f t="shared" si="23"/>
        <v>0</v>
      </c>
      <c r="R22" s="357"/>
      <c r="S22" s="357"/>
      <c r="T22" s="357"/>
      <c r="U22" s="480"/>
      <c r="V22" s="380" t="e">
        <f t="shared" si="13"/>
        <v>#DIV/0!</v>
      </c>
      <c r="W22" s="380" t="e">
        <f t="shared" si="14"/>
        <v>#DIV/0!</v>
      </c>
      <c r="X22" s="462">
        <f t="shared" ref="X22:AJ22" si="24">SUM(X23:X25)</f>
        <v>0</v>
      </c>
      <c r="Y22" s="346">
        <f t="shared" si="24"/>
        <v>0</v>
      </c>
      <c r="Z22" s="346">
        <f t="shared" si="24"/>
        <v>0</v>
      </c>
      <c r="AA22" s="371">
        <f t="shared" si="24"/>
        <v>0</v>
      </c>
      <c r="AB22" s="371">
        <f t="shared" si="24"/>
        <v>0</v>
      </c>
      <c r="AC22" s="371">
        <f t="shared" si="24"/>
        <v>0</v>
      </c>
      <c r="AD22" s="371">
        <f t="shared" si="24"/>
        <v>0</v>
      </c>
      <c r="AE22" s="371">
        <f t="shared" si="24"/>
        <v>0</v>
      </c>
      <c r="AF22" s="371">
        <f t="shared" si="24"/>
        <v>0</v>
      </c>
      <c r="AG22" s="371">
        <f t="shared" si="24"/>
        <v>0</v>
      </c>
      <c r="AH22" s="371">
        <f t="shared" si="24"/>
        <v>0</v>
      </c>
      <c r="AI22" s="371">
        <f t="shared" si="24"/>
        <v>0</v>
      </c>
      <c r="AJ22" s="371">
        <f t="shared" si="24"/>
        <v>0</v>
      </c>
      <c r="AK22" s="357"/>
      <c r="AL22" s="357"/>
      <c r="AM22" s="357"/>
      <c r="AN22" s="480"/>
      <c r="AO22" s="380" t="e">
        <f t="shared" si="16"/>
        <v>#DIV/0!</v>
      </c>
      <c r="AP22" s="380" t="e">
        <f t="shared" si="17"/>
        <v>#DIV/0!</v>
      </c>
      <c r="AQ22" s="462">
        <f t="shared" ref="AQ22:BC22" si="25">SUM(AQ23:AQ25)</f>
        <v>0</v>
      </c>
      <c r="AR22" s="346">
        <f t="shared" si="25"/>
        <v>0</v>
      </c>
      <c r="AS22" s="346">
        <f t="shared" si="25"/>
        <v>0</v>
      </c>
      <c r="AT22" s="371">
        <f t="shared" si="25"/>
        <v>0</v>
      </c>
      <c r="AU22" s="371">
        <f t="shared" si="25"/>
        <v>0</v>
      </c>
      <c r="AV22" s="371">
        <f t="shared" si="25"/>
        <v>0</v>
      </c>
      <c r="AW22" s="371">
        <f t="shared" si="25"/>
        <v>0</v>
      </c>
      <c r="AX22" s="371">
        <f t="shared" si="25"/>
        <v>0</v>
      </c>
      <c r="AY22" s="371">
        <f t="shared" si="25"/>
        <v>0</v>
      </c>
      <c r="AZ22" s="371">
        <f t="shared" si="25"/>
        <v>0</v>
      </c>
      <c r="BA22" s="371">
        <f t="shared" si="25"/>
        <v>0</v>
      </c>
      <c r="BB22" s="371">
        <f t="shared" si="25"/>
        <v>0</v>
      </c>
      <c r="BC22" s="371">
        <f t="shared" si="25"/>
        <v>0</v>
      </c>
      <c r="BD22" s="357"/>
      <c r="BE22" s="357"/>
      <c r="BF22" s="357"/>
      <c r="BG22" s="480"/>
      <c r="BH22" s="380" t="e">
        <f t="shared" si="19"/>
        <v>#DIV/0!</v>
      </c>
      <c r="BI22" s="380" t="e">
        <f t="shared" si="20"/>
        <v>#DIV/0!</v>
      </c>
    </row>
    <row r="23" spans="1:61" s="358" customFormat="1" x14ac:dyDescent="0.3">
      <c r="A23" s="359"/>
      <c r="B23" s="537"/>
      <c r="C23" s="407"/>
      <c r="D23" s="360"/>
      <c r="E23" s="396"/>
      <c r="F23" s="397"/>
      <c r="G23" s="393"/>
      <c r="H23" s="542"/>
      <c r="I23" s="394"/>
      <c r="J23" s="394"/>
      <c r="K23" s="394"/>
      <c r="L23" s="394"/>
      <c r="M23" s="394"/>
      <c r="N23" s="394"/>
      <c r="O23" s="394"/>
      <c r="P23" s="394"/>
      <c r="Q23" s="394"/>
      <c r="R23" s="381"/>
      <c r="S23" s="408"/>
      <c r="T23" s="385"/>
      <c r="U23" s="475"/>
      <c r="V23" s="395"/>
      <c r="W23" s="395"/>
      <c r="X23" s="396"/>
      <c r="Y23" s="397"/>
      <c r="Z23" s="393"/>
      <c r="AA23" s="542"/>
      <c r="AB23" s="394"/>
      <c r="AC23" s="394"/>
      <c r="AD23" s="394"/>
      <c r="AE23" s="394"/>
      <c r="AF23" s="394"/>
      <c r="AG23" s="394"/>
      <c r="AH23" s="394"/>
      <c r="AI23" s="394"/>
      <c r="AJ23" s="394"/>
      <c r="AK23" s="381"/>
      <c r="AL23" s="408"/>
      <c r="AM23" s="385"/>
      <c r="AN23" s="475"/>
      <c r="AO23" s="395"/>
      <c r="AP23" s="395"/>
      <c r="AQ23" s="396"/>
      <c r="AR23" s="397"/>
      <c r="AS23" s="393"/>
      <c r="AT23" s="542"/>
      <c r="AU23" s="394"/>
      <c r="AV23" s="394"/>
      <c r="AW23" s="394"/>
      <c r="AX23" s="394"/>
      <c r="AY23" s="394"/>
      <c r="AZ23" s="394"/>
      <c r="BA23" s="394"/>
      <c r="BB23" s="394"/>
      <c r="BC23" s="394"/>
      <c r="BD23" s="381"/>
      <c r="BE23" s="408"/>
      <c r="BF23" s="385"/>
      <c r="BG23" s="475"/>
      <c r="BH23" s="395"/>
      <c r="BI23" s="395"/>
    </row>
    <row r="24" spans="1:61" s="358" customFormat="1" x14ac:dyDescent="0.3">
      <c r="A24" s="359"/>
      <c r="B24" s="572"/>
      <c r="C24" s="407"/>
      <c r="D24" s="360">
        <v>0.4</v>
      </c>
      <c r="E24" s="396"/>
      <c r="F24" s="397"/>
      <c r="G24" s="393"/>
      <c r="H24" s="571"/>
      <c r="I24" s="394"/>
      <c r="J24" s="394"/>
      <c r="K24" s="394"/>
      <c r="L24" s="394"/>
      <c r="M24" s="394"/>
      <c r="N24" s="394"/>
      <c r="O24" s="394"/>
      <c r="P24" s="394"/>
      <c r="Q24" s="394"/>
      <c r="R24" s="381"/>
      <c r="S24" s="408"/>
      <c r="T24" s="385"/>
      <c r="U24" s="475"/>
      <c r="V24" s="395" t="e">
        <f t="shared" si="13"/>
        <v>#DIV/0!</v>
      </c>
      <c r="W24" s="395" t="e">
        <f t="shared" si="14"/>
        <v>#DIV/0!</v>
      </c>
      <c r="X24" s="396"/>
      <c r="Y24" s="397"/>
      <c r="Z24" s="393"/>
      <c r="AA24" s="571"/>
      <c r="AB24" s="394"/>
      <c r="AC24" s="394"/>
      <c r="AD24" s="394"/>
      <c r="AE24" s="394"/>
      <c r="AF24" s="394"/>
      <c r="AG24" s="394"/>
      <c r="AH24" s="394"/>
      <c r="AI24" s="394"/>
      <c r="AJ24" s="394"/>
      <c r="AK24" s="381"/>
      <c r="AL24" s="408"/>
      <c r="AM24" s="385"/>
      <c r="AN24" s="475"/>
      <c r="AO24" s="395" t="e">
        <f t="shared" si="16"/>
        <v>#DIV/0!</v>
      </c>
      <c r="AP24" s="395" t="e">
        <f t="shared" si="17"/>
        <v>#DIV/0!</v>
      </c>
      <c r="AQ24" s="396"/>
      <c r="AR24" s="397"/>
      <c r="AS24" s="393"/>
      <c r="AT24" s="571"/>
      <c r="AU24" s="394"/>
      <c r="AV24" s="394"/>
      <c r="AW24" s="394"/>
      <c r="AX24" s="394"/>
      <c r="AY24" s="394"/>
      <c r="AZ24" s="394"/>
      <c r="BA24" s="394"/>
      <c r="BB24" s="394"/>
      <c r="BC24" s="394"/>
      <c r="BD24" s="381"/>
      <c r="BE24" s="408"/>
      <c r="BF24" s="385"/>
      <c r="BG24" s="475"/>
      <c r="BH24" s="395" t="e">
        <f t="shared" ref="BH24:BH89" si="26">AT24/AQ24*1000</f>
        <v>#DIV/0!</v>
      </c>
      <c r="BI24" s="395" t="e">
        <f t="shared" ref="BI24:BI89" si="27">AT24/AR24</f>
        <v>#DIV/0!</v>
      </c>
    </row>
    <row r="25" spans="1:61" s="358" customFormat="1" x14ac:dyDescent="0.3">
      <c r="A25" s="359"/>
      <c r="B25" s="341"/>
      <c r="C25" s="361"/>
      <c r="D25" s="360"/>
      <c r="E25" s="367"/>
      <c r="F25" s="340"/>
      <c r="G25" s="361"/>
      <c r="H25" s="377"/>
      <c r="I25" s="372"/>
      <c r="J25" s="372"/>
      <c r="K25" s="372"/>
      <c r="L25" s="372"/>
      <c r="M25" s="372"/>
      <c r="N25" s="372"/>
      <c r="O25" s="372"/>
      <c r="P25" s="372"/>
      <c r="Q25" s="372"/>
      <c r="R25" s="361"/>
      <c r="S25" s="361"/>
      <c r="T25" s="361"/>
      <c r="U25" s="362"/>
      <c r="V25" s="372" t="e">
        <f t="shared" si="13"/>
        <v>#DIV/0!</v>
      </c>
      <c r="W25" s="372" t="e">
        <f t="shared" si="14"/>
        <v>#DIV/0!</v>
      </c>
      <c r="X25" s="367"/>
      <c r="Y25" s="340"/>
      <c r="Z25" s="361"/>
      <c r="AA25" s="377"/>
      <c r="AB25" s="372"/>
      <c r="AC25" s="372"/>
      <c r="AD25" s="372"/>
      <c r="AE25" s="372"/>
      <c r="AF25" s="372"/>
      <c r="AG25" s="372"/>
      <c r="AH25" s="372"/>
      <c r="AI25" s="372"/>
      <c r="AJ25" s="372"/>
      <c r="AK25" s="361"/>
      <c r="AL25" s="361"/>
      <c r="AM25" s="361"/>
      <c r="AN25" s="362"/>
      <c r="AO25" s="372" t="e">
        <f t="shared" si="16"/>
        <v>#DIV/0!</v>
      </c>
      <c r="AP25" s="372" t="e">
        <f t="shared" si="17"/>
        <v>#DIV/0!</v>
      </c>
      <c r="AQ25" s="367"/>
      <c r="AR25" s="340"/>
      <c r="AS25" s="361"/>
      <c r="AT25" s="377"/>
      <c r="AU25" s="372"/>
      <c r="AV25" s="372"/>
      <c r="AW25" s="372"/>
      <c r="AX25" s="372"/>
      <c r="AY25" s="372"/>
      <c r="AZ25" s="372"/>
      <c r="BA25" s="372"/>
      <c r="BB25" s="372"/>
      <c r="BC25" s="372"/>
      <c r="BD25" s="361"/>
      <c r="BE25" s="361"/>
      <c r="BF25" s="361"/>
      <c r="BG25" s="362"/>
      <c r="BH25" s="372" t="e">
        <f t="shared" si="26"/>
        <v>#DIV/0!</v>
      </c>
      <c r="BI25" s="372" t="e">
        <f t="shared" si="27"/>
        <v>#DIV/0!</v>
      </c>
    </row>
    <row r="26" spans="1:61" s="358" customFormat="1" ht="24.75" customHeight="1" x14ac:dyDescent="0.3">
      <c r="A26" s="354" t="s">
        <v>186</v>
      </c>
      <c r="B26" s="355" t="s">
        <v>192</v>
      </c>
      <c r="C26" s="355"/>
      <c r="D26" s="356">
        <v>0.4</v>
      </c>
      <c r="E26" s="462">
        <f t="shared" ref="E26:Q26" si="28">SUM(E27:E28)</f>
        <v>0</v>
      </c>
      <c r="F26" s="346">
        <f t="shared" si="28"/>
        <v>0</v>
      </c>
      <c r="G26" s="346">
        <f t="shared" si="28"/>
        <v>0</v>
      </c>
      <c r="H26" s="371">
        <f t="shared" si="28"/>
        <v>0</v>
      </c>
      <c r="I26" s="371">
        <f t="shared" si="28"/>
        <v>0</v>
      </c>
      <c r="J26" s="371">
        <f t="shared" si="28"/>
        <v>0</v>
      </c>
      <c r="K26" s="371">
        <f t="shared" si="28"/>
        <v>0</v>
      </c>
      <c r="L26" s="371">
        <f t="shared" si="28"/>
        <v>0</v>
      </c>
      <c r="M26" s="371">
        <f t="shared" si="28"/>
        <v>0</v>
      </c>
      <c r="N26" s="371">
        <f t="shared" si="28"/>
        <v>0</v>
      </c>
      <c r="O26" s="371">
        <f t="shared" si="28"/>
        <v>0</v>
      </c>
      <c r="P26" s="371">
        <f t="shared" si="28"/>
        <v>0</v>
      </c>
      <c r="Q26" s="371">
        <f t="shared" si="28"/>
        <v>0</v>
      </c>
      <c r="R26" s="357"/>
      <c r="S26" s="357"/>
      <c r="T26" s="357"/>
      <c r="U26" s="480"/>
      <c r="V26" s="380" t="e">
        <f t="shared" si="13"/>
        <v>#DIV/0!</v>
      </c>
      <c r="W26" s="380" t="e">
        <f t="shared" si="14"/>
        <v>#DIV/0!</v>
      </c>
      <c r="X26" s="462">
        <f t="shared" ref="X26:AJ26" si="29">SUM(X27:X28)</f>
        <v>0</v>
      </c>
      <c r="Y26" s="346">
        <f t="shared" si="29"/>
        <v>0</v>
      </c>
      <c r="Z26" s="346">
        <f t="shared" si="29"/>
        <v>0</v>
      </c>
      <c r="AA26" s="371">
        <f t="shared" si="29"/>
        <v>0</v>
      </c>
      <c r="AB26" s="371">
        <f t="shared" si="29"/>
        <v>0</v>
      </c>
      <c r="AC26" s="371">
        <f t="shared" si="29"/>
        <v>0</v>
      </c>
      <c r="AD26" s="371">
        <f t="shared" si="29"/>
        <v>0</v>
      </c>
      <c r="AE26" s="371">
        <f t="shared" si="29"/>
        <v>0</v>
      </c>
      <c r="AF26" s="371">
        <f t="shared" si="29"/>
        <v>0</v>
      </c>
      <c r="AG26" s="371">
        <f t="shared" si="29"/>
        <v>0</v>
      </c>
      <c r="AH26" s="371">
        <f t="shared" si="29"/>
        <v>0</v>
      </c>
      <c r="AI26" s="371">
        <f t="shared" si="29"/>
        <v>0</v>
      </c>
      <c r="AJ26" s="371">
        <f t="shared" si="29"/>
        <v>0</v>
      </c>
      <c r="AK26" s="357"/>
      <c r="AL26" s="357"/>
      <c r="AM26" s="357"/>
      <c r="AN26" s="480"/>
      <c r="AO26" s="380" t="e">
        <f t="shared" si="16"/>
        <v>#DIV/0!</v>
      </c>
      <c r="AP26" s="380" t="e">
        <f t="shared" si="17"/>
        <v>#DIV/0!</v>
      </c>
      <c r="AQ26" s="462">
        <f t="shared" ref="AQ26:BC26" si="30">SUM(AQ27:AQ28)</f>
        <v>0</v>
      </c>
      <c r="AR26" s="346">
        <f t="shared" si="30"/>
        <v>0</v>
      </c>
      <c r="AS26" s="346">
        <f t="shared" si="30"/>
        <v>0</v>
      </c>
      <c r="AT26" s="371">
        <f t="shared" si="30"/>
        <v>0</v>
      </c>
      <c r="AU26" s="371">
        <f t="shared" si="30"/>
        <v>0</v>
      </c>
      <c r="AV26" s="371">
        <f t="shared" si="30"/>
        <v>0</v>
      </c>
      <c r="AW26" s="371">
        <f t="shared" si="30"/>
        <v>0</v>
      </c>
      <c r="AX26" s="371">
        <f t="shared" si="30"/>
        <v>0</v>
      </c>
      <c r="AY26" s="371">
        <f t="shared" si="30"/>
        <v>0</v>
      </c>
      <c r="AZ26" s="371">
        <f t="shared" si="30"/>
        <v>0</v>
      </c>
      <c r="BA26" s="371">
        <f t="shared" si="30"/>
        <v>0</v>
      </c>
      <c r="BB26" s="371">
        <f t="shared" si="30"/>
        <v>0</v>
      </c>
      <c r="BC26" s="371">
        <f t="shared" si="30"/>
        <v>0</v>
      </c>
      <c r="BD26" s="357"/>
      <c r="BE26" s="357"/>
      <c r="BF26" s="357"/>
      <c r="BG26" s="480"/>
      <c r="BH26" s="380" t="e">
        <f t="shared" si="26"/>
        <v>#DIV/0!</v>
      </c>
      <c r="BI26" s="380" t="e">
        <f t="shared" si="27"/>
        <v>#DIV/0!</v>
      </c>
    </row>
    <row r="27" spans="1:61" s="358" customFormat="1" x14ac:dyDescent="0.3">
      <c r="A27" s="359"/>
      <c r="B27" s="517"/>
      <c r="C27" s="342"/>
      <c r="D27" s="360"/>
      <c r="E27" s="463"/>
      <c r="F27" s="366"/>
      <c r="G27" s="366"/>
      <c r="H27" s="377"/>
      <c r="I27" s="372"/>
      <c r="J27" s="372"/>
      <c r="K27" s="372"/>
      <c r="L27" s="372"/>
      <c r="M27" s="372"/>
      <c r="N27" s="372"/>
      <c r="O27" s="372"/>
      <c r="P27" s="372"/>
      <c r="Q27" s="372"/>
      <c r="R27" s="361"/>
      <c r="S27" s="361"/>
      <c r="T27" s="361"/>
      <c r="U27" s="362"/>
      <c r="V27" s="372" t="e">
        <f t="shared" si="13"/>
        <v>#DIV/0!</v>
      </c>
      <c r="W27" s="372" t="e">
        <f t="shared" si="14"/>
        <v>#DIV/0!</v>
      </c>
      <c r="X27" s="463"/>
      <c r="Y27" s="366"/>
      <c r="Z27" s="366"/>
      <c r="AA27" s="377"/>
      <c r="AB27" s="372"/>
      <c r="AC27" s="372"/>
      <c r="AD27" s="372"/>
      <c r="AE27" s="372"/>
      <c r="AF27" s="372"/>
      <c r="AG27" s="372"/>
      <c r="AH27" s="372"/>
      <c r="AI27" s="372"/>
      <c r="AJ27" s="372"/>
      <c r="AK27" s="361"/>
      <c r="AL27" s="361"/>
      <c r="AM27" s="361"/>
      <c r="AN27" s="362"/>
      <c r="AO27" s="372" t="e">
        <f t="shared" si="16"/>
        <v>#DIV/0!</v>
      </c>
      <c r="AP27" s="372" t="e">
        <f t="shared" si="17"/>
        <v>#DIV/0!</v>
      </c>
      <c r="AQ27" s="463"/>
      <c r="AR27" s="366"/>
      <c r="AS27" s="366"/>
      <c r="AT27" s="377"/>
      <c r="AU27" s="372"/>
      <c r="AV27" s="372"/>
      <c r="AW27" s="372"/>
      <c r="AX27" s="372"/>
      <c r="AY27" s="372"/>
      <c r="AZ27" s="372"/>
      <c r="BA27" s="372"/>
      <c r="BB27" s="372"/>
      <c r="BC27" s="372"/>
      <c r="BD27" s="361"/>
      <c r="BE27" s="361"/>
      <c r="BF27" s="361"/>
      <c r="BG27" s="362"/>
      <c r="BH27" s="372" t="e">
        <f t="shared" si="26"/>
        <v>#DIV/0!</v>
      </c>
      <c r="BI27" s="372" t="e">
        <f t="shared" si="27"/>
        <v>#DIV/0!</v>
      </c>
    </row>
    <row r="28" spans="1:61" s="358" customFormat="1" x14ac:dyDescent="0.3">
      <c r="A28" s="359"/>
      <c r="B28" s="341"/>
      <c r="C28" s="342"/>
      <c r="D28" s="360"/>
      <c r="E28" s="367"/>
      <c r="F28" s="340"/>
      <c r="G28" s="361"/>
      <c r="H28" s="377"/>
      <c r="I28" s="372"/>
      <c r="J28" s="372"/>
      <c r="K28" s="372"/>
      <c r="L28" s="372"/>
      <c r="M28" s="372"/>
      <c r="N28" s="372"/>
      <c r="O28" s="372"/>
      <c r="P28" s="372"/>
      <c r="Q28" s="372"/>
      <c r="R28" s="361"/>
      <c r="S28" s="361"/>
      <c r="T28" s="361"/>
      <c r="U28" s="362"/>
      <c r="V28" s="372" t="e">
        <f t="shared" si="13"/>
        <v>#DIV/0!</v>
      </c>
      <c r="W28" s="372" t="e">
        <f t="shared" si="14"/>
        <v>#DIV/0!</v>
      </c>
      <c r="X28" s="367"/>
      <c r="Y28" s="340"/>
      <c r="Z28" s="361"/>
      <c r="AA28" s="377"/>
      <c r="AB28" s="372"/>
      <c r="AC28" s="372"/>
      <c r="AD28" s="372"/>
      <c r="AE28" s="372"/>
      <c r="AF28" s="372"/>
      <c r="AG28" s="372"/>
      <c r="AH28" s="372"/>
      <c r="AI28" s="372"/>
      <c r="AJ28" s="372"/>
      <c r="AK28" s="361"/>
      <c r="AL28" s="361"/>
      <c r="AM28" s="361"/>
      <c r="AN28" s="362"/>
      <c r="AO28" s="372" t="e">
        <f t="shared" si="16"/>
        <v>#DIV/0!</v>
      </c>
      <c r="AP28" s="372" t="e">
        <f t="shared" si="17"/>
        <v>#DIV/0!</v>
      </c>
      <c r="AQ28" s="367"/>
      <c r="AR28" s="340"/>
      <c r="AS28" s="361"/>
      <c r="AT28" s="377"/>
      <c r="AU28" s="372"/>
      <c r="AV28" s="372"/>
      <c r="AW28" s="372"/>
      <c r="AX28" s="372"/>
      <c r="AY28" s="372"/>
      <c r="AZ28" s="372"/>
      <c r="BA28" s="372"/>
      <c r="BB28" s="372"/>
      <c r="BC28" s="372"/>
      <c r="BD28" s="361"/>
      <c r="BE28" s="361"/>
      <c r="BF28" s="361"/>
      <c r="BG28" s="362"/>
      <c r="BH28" s="372" t="e">
        <f t="shared" si="26"/>
        <v>#DIV/0!</v>
      </c>
      <c r="BI28" s="372" t="e">
        <f t="shared" si="27"/>
        <v>#DIV/0!</v>
      </c>
    </row>
    <row r="29" spans="1:61" s="358" customFormat="1" ht="91.2" customHeight="1" x14ac:dyDescent="0.3">
      <c r="A29" s="410" t="s">
        <v>194</v>
      </c>
      <c r="B29" s="429" t="s">
        <v>193</v>
      </c>
      <c r="C29" s="429"/>
      <c r="D29" s="412" t="s">
        <v>210</v>
      </c>
      <c r="E29" s="461">
        <f t="shared" ref="E29:Q29" si="31">E30+E34+E39+E43</f>
        <v>0</v>
      </c>
      <c r="F29" s="430">
        <f t="shared" si="31"/>
        <v>0</v>
      </c>
      <c r="G29" s="430">
        <f t="shared" si="31"/>
        <v>0</v>
      </c>
      <c r="H29" s="431">
        <f t="shared" si="31"/>
        <v>0</v>
      </c>
      <c r="I29" s="431">
        <f t="shared" si="31"/>
        <v>0</v>
      </c>
      <c r="J29" s="431">
        <f t="shared" si="31"/>
        <v>0</v>
      </c>
      <c r="K29" s="431">
        <f t="shared" si="31"/>
        <v>0</v>
      </c>
      <c r="L29" s="431">
        <f t="shared" si="31"/>
        <v>0</v>
      </c>
      <c r="M29" s="431">
        <f t="shared" si="31"/>
        <v>0</v>
      </c>
      <c r="N29" s="431">
        <f t="shared" si="31"/>
        <v>0</v>
      </c>
      <c r="O29" s="431">
        <f t="shared" si="31"/>
        <v>0</v>
      </c>
      <c r="P29" s="431">
        <f t="shared" si="31"/>
        <v>0</v>
      </c>
      <c r="Q29" s="431">
        <f t="shared" si="31"/>
        <v>0</v>
      </c>
      <c r="R29" s="432"/>
      <c r="S29" s="432"/>
      <c r="T29" s="432"/>
      <c r="U29" s="479"/>
      <c r="V29" s="433" t="e">
        <f t="shared" si="13"/>
        <v>#DIV/0!</v>
      </c>
      <c r="W29" s="433" t="e">
        <f t="shared" si="14"/>
        <v>#DIV/0!</v>
      </c>
      <c r="X29" s="461">
        <f t="shared" ref="X29:AJ29" si="32">X30+X34+X39+X43</f>
        <v>0</v>
      </c>
      <c r="Y29" s="430">
        <f t="shared" si="32"/>
        <v>0</v>
      </c>
      <c r="Z29" s="430">
        <f t="shared" si="32"/>
        <v>0</v>
      </c>
      <c r="AA29" s="431">
        <f t="shared" si="32"/>
        <v>0</v>
      </c>
      <c r="AB29" s="431">
        <f t="shared" si="32"/>
        <v>0</v>
      </c>
      <c r="AC29" s="431">
        <f t="shared" si="32"/>
        <v>0</v>
      </c>
      <c r="AD29" s="431">
        <f t="shared" si="32"/>
        <v>0</v>
      </c>
      <c r="AE29" s="431">
        <f t="shared" si="32"/>
        <v>0</v>
      </c>
      <c r="AF29" s="431">
        <f t="shared" si="32"/>
        <v>0</v>
      </c>
      <c r="AG29" s="431">
        <f t="shared" si="32"/>
        <v>0</v>
      </c>
      <c r="AH29" s="431">
        <f t="shared" si="32"/>
        <v>0</v>
      </c>
      <c r="AI29" s="431">
        <f t="shared" si="32"/>
        <v>0</v>
      </c>
      <c r="AJ29" s="431">
        <f t="shared" si="32"/>
        <v>0</v>
      </c>
      <c r="AK29" s="432"/>
      <c r="AL29" s="432"/>
      <c r="AM29" s="432"/>
      <c r="AN29" s="479"/>
      <c r="AO29" s="433" t="e">
        <f t="shared" si="16"/>
        <v>#DIV/0!</v>
      </c>
      <c r="AP29" s="433" t="e">
        <f t="shared" si="17"/>
        <v>#DIV/0!</v>
      </c>
      <c r="AQ29" s="461">
        <f t="shared" ref="AQ29:BC29" si="33">AQ30+AQ34+AQ39+AQ43</f>
        <v>0</v>
      </c>
      <c r="AR29" s="430">
        <f t="shared" si="33"/>
        <v>0</v>
      </c>
      <c r="AS29" s="430">
        <f t="shared" si="33"/>
        <v>0</v>
      </c>
      <c r="AT29" s="431">
        <f t="shared" si="33"/>
        <v>0</v>
      </c>
      <c r="AU29" s="431">
        <f t="shared" si="33"/>
        <v>0</v>
      </c>
      <c r="AV29" s="431">
        <f t="shared" si="33"/>
        <v>0</v>
      </c>
      <c r="AW29" s="431">
        <f t="shared" si="33"/>
        <v>0</v>
      </c>
      <c r="AX29" s="431">
        <f t="shared" si="33"/>
        <v>0</v>
      </c>
      <c r="AY29" s="431">
        <f t="shared" si="33"/>
        <v>0</v>
      </c>
      <c r="AZ29" s="431">
        <f t="shared" si="33"/>
        <v>0</v>
      </c>
      <c r="BA29" s="431">
        <f t="shared" si="33"/>
        <v>0</v>
      </c>
      <c r="BB29" s="431">
        <f t="shared" si="33"/>
        <v>0</v>
      </c>
      <c r="BC29" s="431">
        <f t="shared" si="33"/>
        <v>0</v>
      </c>
      <c r="BD29" s="432"/>
      <c r="BE29" s="432"/>
      <c r="BF29" s="432"/>
      <c r="BG29" s="479"/>
      <c r="BH29" s="433" t="e">
        <f t="shared" si="26"/>
        <v>#DIV/0!</v>
      </c>
      <c r="BI29" s="433" t="e">
        <f t="shared" si="27"/>
        <v>#DIV/0!</v>
      </c>
    </row>
    <row r="30" spans="1:61" s="358" customFormat="1" ht="24.75" customHeight="1" x14ac:dyDescent="0.3">
      <c r="A30" s="354" t="s">
        <v>178</v>
      </c>
      <c r="B30" s="355" t="s">
        <v>212</v>
      </c>
      <c r="C30" s="355"/>
      <c r="D30" s="356">
        <v>0.4</v>
      </c>
      <c r="E30" s="462">
        <f t="shared" ref="E30:Q30" si="34">SUM(E31:E33)</f>
        <v>0</v>
      </c>
      <c r="F30" s="346">
        <f t="shared" si="34"/>
        <v>0</v>
      </c>
      <c r="G30" s="346">
        <f t="shared" si="34"/>
        <v>0</v>
      </c>
      <c r="H30" s="371">
        <f t="shared" si="34"/>
        <v>0</v>
      </c>
      <c r="I30" s="371">
        <f t="shared" si="34"/>
        <v>0</v>
      </c>
      <c r="J30" s="371">
        <f t="shared" si="34"/>
        <v>0</v>
      </c>
      <c r="K30" s="371">
        <f t="shared" si="34"/>
        <v>0</v>
      </c>
      <c r="L30" s="371">
        <f t="shared" si="34"/>
        <v>0</v>
      </c>
      <c r="M30" s="371">
        <f t="shared" si="34"/>
        <v>0</v>
      </c>
      <c r="N30" s="371">
        <f t="shared" si="34"/>
        <v>0</v>
      </c>
      <c r="O30" s="371">
        <f t="shared" si="34"/>
        <v>0</v>
      </c>
      <c r="P30" s="371">
        <f t="shared" si="34"/>
        <v>0</v>
      </c>
      <c r="Q30" s="371">
        <f t="shared" si="34"/>
        <v>0</v>
      </c>
      <c r="R30" s="357"/>
      <c r="S30" s="357"/>
      <c r="T30" s="357"/>
      <c r="U30" s="480"/>
      <c r="V30" s="380" t="e">
        <f t="shared" si="13"/>
        <v>#DIV/0!</v>
      </c>
      <c r="W30" s="380" t="e">
        <f t="shared" si="14"/>
        <v>#DIV/0!</v>
      </c>
      <c r="X30" s="462">
        <f t="shared" ref="X30:AJ30" si="35">SUM(X31:X33)</f>
        <v>0</v>
      </c>
      <c r="Y30" s="346">
        <f t="shared" si="35"/>
        <v>0</v>
      </c>
      <c r="Z30" s="346">
        <f t="shared" si="35"/>
        <v>0</v>
      </c>
      <c r="AA30" s="371">
        <f t="shared" si="35"/>
        <v>0</v>
      </c>
      <c r="AB30" s="371">
        <f t="shared" si="35"/>
        <v>0</v>
      </c>
      <c r="AC30" s="371">
        <f t="shared" si="35"/>
        <v>0</v>
      </c>
      <c r="AD30" s="371">
        <f t="shared" si="35"/>
        <v>0</v>
      </c>
      <c r="AE30" s="371">
        <f t="shared" si="35"/>
        <v>0</v>
      </c>
      <c r="AF30" s="371">
        <f t="shared" si="35"/>
        <v>0</v>
      </c>
      <c r="AG30" s="371">
        <f t="shared" si="35"/>
        <v>0</v>
      </c>
      <c r="AH30" s="371">
        <f t="shared" si="35"/>
        <v>0</v>
      </c>
      <c r="AI30" s="371">
        <f t="shared" si="35"/>
        <v>0</v>
      </c>
      <c r="AJ30" s="371">
        <f t="shared" si="35"/>
        <v>0</v>
      </c>
      <c r="AK30" s="357"/>
      <c r="AL30" s="357"/>
      <c r="AM30" s="357"/>
      <c r="AN30" s="480"/>
      <c r="AO30" s="380" t="e">
        <f t="shared" si="16"/>
        <v>#DIV/0!</v>
      </c>
      <c r="AP30" s="380" t="e">
        <f t="shared" si="17"/>
        <v>#DIV/0!</v>
      </c>
      <c r="AQ30" s="462">
        <f t="shared" ref="AQ30:BC30" si="36">SUM(AQ31:AQ33)</f>
        <v>0</v>
      </c>
      <c r="AR30" s="346">
        <f t="shared" si="36"/>
        <v>0</v>
      </c>
      <c r="AS30" s="346">
        <f t="shared" si="36"/>
        <v>0</v>
      </c>
      <c r="AT30" s="371">
        <f t="shared" si="36"/>
        <v>0</v>
      </c>
      <c r="AU30" s="371">
        <f t="shared" si="36"/>
        <v>0</v>
      </c>
      <c r="AV30" s="371">
        <f t="shared" si="36"/>
        <v>0</v>
      </c>
      <c r="AW30" s="371">
        <f t="shared" si="36"/>
        <v>0</v>
      </c>
      <c r="AX30" s="371">
        <f t="shared" si="36"/>
        <v>0</v>
      </c>
      <c r="AY30" s="371">
        <f t="shared" si="36"/>
        <v>0</v>
      </c>
      <c r="AZ30" s="371">
        <f t="shared" si="36"/>
        <v>0</v>
      </c>
      <c r="BA30" s="371">
        <f t="shared" si="36"/>
        <v>0</v>
      </c>
      <c r="BB30" s="371">
        <f t="shared" si="36"/>
        <v>0</v>
      </c>
      <c r="BC30" s="371">
        <f t="shared" si="36"/>
        <v>0</v>
      </c>
      <c r="BD30" s="357"/>
      <c r="BE30" s="357"/>
      <c r="BF30" s="357"/>
      <c r="BG30" s="480"/>
      <c r="BH30" s="380" t="e">
        <f t="shared" si="26"/>
        <v>#DIV/0!</v>
      </c>
      <c r="BI30" s="380" t="e">
        <f t="shared" si="27"/>
        <v>#DIV/0!</v>
      </c>
    </row>
    <row r="31" spans="1:61" s="358" customFormat="1" x14ac:dyDescent="0.3">
      <c r="A31" s="359"/>
      <c r="B31" s="537"/>
      <c r="C31" s="483"/>
      <c r="D31" s="360">
        <v>0.4</v>
      </c>
      <c r="E31" s="464"/>
      <c r="F31" s="343"/>
      <c r="G31" s="362"/>
      <c r="H31" s="545"/>
      <c r="I31" s="372"/>
      <c r="J31" s="372"/>
      <c r="K31" s="372"/>
      <c r="L31" s="372"/>
      <c r="M31" s="372"/>
      <c r="N31" s="372"/>
      <c r="O31" s="372"/>
      <c r="P31" s="372"/>
      <c r="Q31" s="372"/>
      <c r="R31" s="381"/>
      <c r="S31" s="408"/>
      <c r="T31" s="361"/>
      <c r="U31" s="362"/>
      <c r="V31" s="372" t="e">
        <f t="shared" ref="V31:V32" si="37">H31/E31*1000</f>
        <v>#DIV/0!</v>
      </c>
      <c r="W31" s="372" t="e">
        <f t="shared" ref="W31:W32" si="38">H31/F31</f>
        <v>#DIV/0!</v>
      </c>
      <c r="X31" s="464"/>
      <c r="Y31" s="343"/>
      <c r="Z31" s="362"/>
      <c r="AA31" s="545"/>
      <c r="AB31" s="372"/>
      <c r="AC31" s="372"/>
      <c r="AD31" s="372"/>
      <c r="AE31" s="372"/>
      <c r="AF31" s="372"/>
      <c r="AG31" s="372"/>
      <c r="AH31" s="372"/>
      <c r="AI31" s="372"/>
      <c r="AJ31" s="372"/>
      <c r="AK31" s="381"/>
      <c r="AL31" s="408"/>
      <c r="AM31" s="361"/>
      <c r="AN31" s="362"/>
      <c r="AO31" s="372" t="e">
        <f t="shared" si="16"/>
        <v>#DIV/0!</v>
      </c>
      <c r="AP31" s="372" t="e">
        <f t="shared" si="17"/>
        <v>#DIV/0!</v>
      </c>
      <c r="AQ31" s="464"/>
      <c r="AR31" s="343"/>
      <c r="AS31" s="362"/>
      <c r="AT31" s="545"/>
      <c r="AU31" s="372"/>
      <c r="AV31" s="372"/>
      <c r="AW31" s="372"/>
      <c r="AX31" s="372"/>
      <c r="AY31" s="372"/>
      <c r="AZ31" s="372"/>
      <c r="BA31" s="372"/>
      <c r="BB31" s="372"/>
      <c r="BC31" s="372"/>
      <c r="BD31" s="381"/>
      <c r="BE31" s="408"/>
      <c r="BF31" s="361"/>
      <c r="BG31" s="362"/>
      <c r="BH31" s="372" t="e">
        <f t="shared" si="26"/>
        <v>#DIV/0!</v>
      </c>
      <c r="BI31" s="372" t="e">
        <f t="shared" si="27"/>
        <v>#DIV/0!</v>
      </c>
    </row>
    <row r="32" spans="1:61" s="358" customFormat="1" x14ac:dyDescent="0.3">
      <c r="A32" s="359"/>
      <c r="B32" s="572"/>
      <c r="C32" s="483"/>
      <c r="D32" s="360">
        <v>0.4</v>
      </c>
      <c r="E32" s="464"/>
      <c r="F32" s="343"/>
      <c r="G32" s="362"/>
      <c r="H32" s="582"/>
      <c r="I32" s="372"/>
      <c r="J32" s="372"/>
      <c r="K32" s="372"/>
      <c r="L32" s="372"/>
      <c r="M32" s="372"/>
      <c r="N32" s="372"/>
      <c r="O32" s="372"/>
      <c r="P32" s="372"/>
      <c r="Q32" s="372"/>
      <c r="R32" s="381"/>
      <c r="S32" s="408"/>
      <c r="T32" s="361"/>
      <c r="U32" s="362"/>
      <c r="V32" s="372" t="e">
        <f t="shared" si="37"/>
        <v>#DIV/0!</v>
      </c>
      <c r="W32" s="372" t="e">
        <f t="shared" si="38"/>
        <v>#DIV/0!</v>
      </c>
      <c r="X32" s="464"/>
      <c r="Y32" s="343"/>
      <c r="Z32" s="362"/>
      <c r="AA32" s="582"/>
      <c r="AB32" s="372"/>
      <c r="AC32" s="372"/>
      <c r="AD32" s="372"/>
      <c r="AE32" s="372"/>
      <c r="AF32" s="372"/>
      <c r="AG32" s="372"/>
      <c r="AH32" s="372"/>
      <c r="AI32" s="372"/>
      <c r="AJ32" s="372"/>
      <c r="AK32" s="381"/>
      <c r="AL32" s="408"/>
      <c r="AM32" s="361"/>
      <c r="AN32" s="362"/>
      <c r="AO32" s="372" t="e">
        <f t="shared" si="16"/>
        <v>#DIV/0!</v>
      </c>
      <c r="AP32" s="372" t="e">
        <f t="shared" si="17"/>
        <v>#DIV/0!</v>
      </c>
      <c r="AQ32" s="464"/>
      <c r="AR32" s="343"/>
      <c r="AS32" s="362"/>
      <c r="AT32" s="582"/>
      <c r="AU32" s="372"/>
      <c r="AV32" s="372"/>
      <c r="AW32" s="372"/>
      <c r="AX32" s="372"/>
      <c r="AY32" s="372"/>
      <c r="AZ32" s="372"/>
      <c r="BA32" s="372"/>
      <c r="BB32" s="372"/>
      <c r="BC32" s="372"/>
      <c r="BD32" s="381"/>
      <c r="BE32" s="408"/>
      <c r="BF32" s="361"/>
      <c r="BG32" s="362"/>
      <c r="BH32" s="372" t="e">
        <f t="shared" si="26"/>
        <v>#DIV/0!</v>
      </c>
      <c r="BI32" s="372" t="e">
        <f t="shared" si="27"/>
        <v>#DIV/0!</v>
      </c>
    </row>
    <row r="33" spans="1:61" s="358" customFormat="1" x14ac:dyDescent="0.3">
      <c r="A33" s="359"/>
      <c r="B33" s="341"/>
      <c r="C33" s="347"/>
      <c r="D33" s="360">
        <v>0.4</v>
      </c>
      <c r="E33" s="367"/>
      <c r="F33" s="340"/>
      <c r="G33" s="361"/>
      <c r="H33" s="377"/>
      <c r="I33" s="372"/>
      <c r="J33" s="372"/>
      <c r="K33" s="372"/>
      <c r="L33" s="372"/>
      <c r="M33" s="372"/>
      <c r="N33" s="372"/>
      <c r="O33" s="372"/>
      <c r="P33" s="372"/>
      <c r="Q33" s="372"/>
      <c r="R33" s="361"/>
      <c r="S33" s="361"/>
      <c r="T33" s="361"/>
      <c r="U33" s="362"/>
      <c r="V33" s="372" t="e">
        <f t="shared" si="13"/>
        <v>#DIV/0!</v>
      </c>
      <c r="W33" s="372" t="e">
        <f t="shared" si="14"/>
        <v>#DIV/0!</v>
      </c>
      <c r="X33" s="367"/>
      <c r="Y33" s="340"/>
      <c r="Z33" s="361"/>
      <c r="AA33" s="377"/>
      <c r="AB33" s="372"/>
      <c r="AC33" s="372"/>
      <c r="AD33" s="372"/>
      <c r="AE33" s="372"/>
      <c r="AF33" s="372"/>
      <c r="AG33" s="372"/>
      <c r="AH33" s="372"/>
      <c r="AI33" s="372"/>
      <c r="AJ33" s="372"/>
      <c r="AK33" s="361"/>
      <c r="AL33" s="361"/>
      <c r="AM33" s="361"/>
      <c r="AN33" s="362"/>
      <c r="AO33" s="372" t="e">
        <f t="shared" si="16"/>
        <v>#DIV/0!</v>
      </c>
      <c r="AP33" s="372" t="e">
        <f t="shared" si="17"/>
        <v>#DIV/0!</v>
      </c>
      <c r="AQ33" s="367"/>
      <c r="AR33" s="340"/>
      <c r="AS33" s="361"/>
      <c r="AT33" s="377"/>
      <c r="AU33" s="372"/>
      <c r="AV33" s="372"/>
      <c r="AW33" s="372"/>
      <c r="AX33" s="372"/>
      <c r="AY33" s="372"/>
      <c r="AZ33" s="372"/>
      <c r="BA33" s="372"/>
      <c r="BB33" s="372"/>
      <c r="BC33" s="372"/>
      <c r="BD33" s="361"/>
      <c r="BE33" s="361"/>
      <c r="BF33" s="361"/>
      <c r="BG33" s="362"/>
      <c r="BH33" s="372" t="e">
        <f t="shared" si="26"/>
        <v>#DIV/0!</v>
      </c>
      <c r="BI33" s="372" t="e">
        <f t="shared" si="27"/>
        <v>#DIV/0!</v>
      </c>
    </row>
    <row r="34" spans="1:61" s="358" customFormat="1" ht="24.75" customHeight="1" x14ac:dyDescent="0.3">
      <c r="A34" s="354" t="s">
        <v>182</v>
      </c>
      <c r="B34" s="355" t="s">
        <v>213</v>
      </c>
      <c r="C34" s="355"/>
      <c r="D34" s="356">
        <v>0.4</v>
      </c>
      <c r="E34" s="462">
        <f t="shared" ref="E34:Q34" si="39">SUM(E35:E38)</f>
        <v>0</v>
      </c>
      <c r="F34" s="346">
        <f t="shared" si="39"/>
        <v>0</v>
      </c>
      <c r="G34" s="346">
        <f t="shared" si="39"/>
        <v>0</v>
      </c>
      <c r="H34" s="371">
        <f t="shared" si="39"/>
        <v>0</v>
      </c>
      <c r="I34" s="371">
        <f t="shared" si="39"/>
        <v>0</v>
      </c>
      <c r="J34" s="371">
        <f t="shared" si="39"/>
        <v>0</v>
      </c>
      <c r="K34" s="371">
        <f t="shared" si="39"/>
        <v>0</v>
      </c>
      <c r="L34" s="371">
        <f t="shared" si="39"/>
        <v>0</v>
      </c>
      <c r="M34" s="371">
        <f t="shared" si="39"/>
        <v>0</v>
      </c>
      <c r="N34" s="371">
        <f t="shared" si="39"/>
        <v>0</v>
      </c>
      <c r="O34" s="371">
        <f t="shared" si="39"/>
        <v>0</v>
      </c>
      <c r="P34" s="371">
        <f t="shared" si="39"/>
        <v>0</v>
      </c>
      <c r="Q34" s="371">
        <f t="shared" si="39"/>
        <v>0</v>
      </c>
      <c r="R34" s="357"/>
      <c r="S34" s="357"/>
      <c r="T34" s="357"/>
      <c r="U34" s="480"/>
      <c r="V34" s="380" t="e">
        <f t="shared" si="13"/>
        <v>#DIV/0!</v>
      </c>
      <c r="W34" s="380" t="e">
        <f t="shared" si="14"/>
        <v>#DIV/0!</v>
      </c>
      <c r="X34" s="462">
        <f t="shared" ref="X34:AJ34" si="40">SUM(X35:X38)</f>
        <v>0</v>
      </c>
      <c r="Y34" s="346">
        <f t="shared" si="40"/>
        <v>0</v>
      </c>
      <c r="Z34" s="346">
        <f t="shared" si="40"/>
        <v>0</v>
      </c>
      <c r="AA34" s="371">
        <f t="shared" si="40"/>
        <v>0</v>
      </c>
      <c r="AB34" s="371">
        <f t="shared" si="40"/>
        <v>0</v>
      </c>
      <c r="AC34" s="371">
        <f t="shared" si="40"/>
        <v>0</v>
      </c>
      <c r="AD34" s="371">
        <f t="shared" si="40"/>
        <v>0</v>
      </c>
      <c r="AE34" s="371">
        <f t="shared" si="40"/>
        <v>0</v>
      </c>
      <c r="AF34" s="371">
        <f t="shared" si="40"/>
        <v>0</v>
      </c>
      <c r="AG34" s="371">
        <f t="shared" si="40"/>
        <v>0</v>
      </c>
      <c r="AH34" s="371">
        <f t="shared" si="40"/>
        <v>0</v>
      </c>
      <c r="AI34" s="371">
        <f t="shared" si="40"/>
        <v>0</v>
      </c>
      <c r="AJ34" s="371">
        <f t="shared" si="40"/>
        <v>0</v>
      </c>
      <c r="AK34" s="357"/>
      <c r="AL34" s="357"/>
      <c r="AM34" s="357"/>
      <c r="AN34" s="480"/>
      <c r="AO34" s="380" t="e">
        <f t="shared" si="16"/>
        <v>#DIV/0!</v>
      </c>
      <c r="AP34" s="380" t="e">
        <f t="shared" si="17"/>
        <v>#DIV/0!</v>
      </c>
      <c r="AQ34" s="462">
        <f t="shared" ref="AQ34:BC34" si="41">SUM(AQ35:AQ38)</f>
        <v>0</v>
      </c>
      <c r="AR34" s="346">
        <f t="shared" si="41"/>
        <v>0</v>
      </c>
      <c r="AS34" s="346">
        <f t="shared" si="41"/>
        <v>0</v>
      </c>
      <c r="AT34" s="371">
        <f t="shared" si="41"/>
        <v>0</v>
      </c>
      <c r="AU34" s="371">
        <f t="shared" si="41"/>
        <v>0</v>
      </c>
      <c r="AV34" s="371">
        <f t="shared" si="41"/>
        <v>0</v>
      </c>
      <c r="AW34" s="371">
        <f t="shared" si="41"/>
        <v>0</v>
      </c>
      <c r="AX34" s="371">
        <f t="shared" si="41"/>
        <v>0</v>
      </c>
      <c r="AY34" s="371">
        <f t="shared" si="41"/>
        <v>0</v>
      </c>
      <c r="AZ34" s="371">
        <f t="shared" si="41"/>
        <v>0</v>
      </c>
      <c r="BA34" s="371">
        <f t="shared" si="41"/>
        <v>0</v>
      </c>
      <c r="BB34" s="371">
        <f t="shared" si="41"/>
        <v>0</v>
      </c>
      <c r="BC34" s="371">
        <f t="shared" si="41"/>
        <v>0</v>
      </c>
      <c r="BD34" s="357"/>
      <c r="BE34" s="357"/>
      <c r="BF34" s="357"/>
      <c r="BG34" s="480"/>
      <c r="BH34" s="380" t="e">
        <f t="shared" si="26"/>
        <v>#DIV/0!</v>
      </c>
      <c r="BI34" s="380" t="e">
        <f t="shared" si="27"/>
        <v>#DIV/0!</v>
      </c>
    </row>
    <row r="35" spans="1:61" s="358" customFormat="1" x14ac:dyDescent="0.3">
      <c r="A35" s="359"/>
      <c r="B35" s="537"/>
      <c r="C35" s="385"/>
      <c r="D35" s="360">
        <v>0.4</v>
      </c>
      <c r="E35" s="396"/>
      <c r="F35" s="397"/>
      <c r="G35" s="393"/>
      <c r="H35" s="542"/>
      <c r="I35" s="394"/>
      <c r="J35" s="394"/>
      <c r="K35" s="394"/>
      <c r="L35" s="394"/>
      <c r="M35" s="394"/>
      <c r="N35" s="394"/>
      <c r="O35" s="394"/>
      <c r="P35" s="394"/>
      <c r="Q35" s="394"/>
      <c r="R35" s="381"/>
      <c r="S35" s="408"/>
      <c r="T35" s="361"/>
      <c r="U35" s="362"/>
      <c r="V35" s="372" t="e">
        <f t="shared" ref="V35:V36" si="42">H35/E35*1000</f>
        <v>#DIV/0!</v>
      </c>
      <c r="W35" s="372" t="e">
        <f t="shared" ref="W35:W36" si="43">H35/F35</f>
        <v>#DIV/0!</v>
      </c>
      <c r="X35" s="396"/>
      <c r="Y35" s="397"/>
      <c r="Z35" s="393"/>
      <c r="AA35" s="542"/>
      <c r="AB35" s="394"/>
      <c r="AC35" s="394"/>
      <c r="AD35" s="394"/>
      <c r="AE35" s="394"/>
      <c r="AF35" s="394"/>
      <c r="AG35" s="394"/>
      <c r="AH35" s="394"/>
      <c r="AI35" s="394"/>
      <c r="AJ35" s="394"/>
      <c r="AK35" s="381"/>
      <c r="AL35" s="408"/>
      <c r="AM35" s="361"/>
      <c r="AN35" s="362"/>
      <c r="AO35" s="372" t="e">
        <f t="shared" si="16"/>
        <v>#DIV/0!</v>
      </c>
      <c r="AP35" s="372" t="e">
        <f t="shared" si="17"/>
        <v>#DIV/0!</v>
      </c>
      <c r="AQ35" s="396"/>
      <c r="AR35" s="397"/>
      <c r="AS35" s="393"/>
      <c r="AT35" s="542"/>
      <c r="AU35" s="394"/>
      <c r="AV35" s="394"/>
      <c r="AW35" s="394"/>
      <c r="AX35" s="394"/>
      <c r="AY35" s="394"/>
      <c r="AZ35" s="394"/>
      <c r="BA35" s="394"/>
      <c r="BB35" s="394"/>
      <c r="BC35" s="394"/>
      <c r="BD35" s="381"/>
      <c r="BE35" s="408"/>
      <c r="BF35" s="361"/>
      <c r="BG35" s="362"/>
      <c r="BH35" s="372" t="e">
        <f t="shared" si="26"/>
        <v>#DIV/0!</v>
      </c>
      <c r="BI35" s="372" t="e">
        <f t="shared" si="27"/>
        <v>#DIV/0!</v>
      </c>
    </row>
    <row r="36" spans="1:61" s="358" customFormat="1" x14ac:dyDescent="0.3">
      <c r="A36" s="359"/>
      <c r="B36" s="572"/>
      <c r="C36" s="385"/>
      <c r="D36" s="360">
        <v>0.4</v>
      </c>
      <c r="E36" s="396"/>
      <c r="F36" s="397"/>
      <c r="G36" s="393"/>
      <c r="H36" s="571"/>
      <c r="I36" s="394"/>
      <c r="J36" s="394"/>
      <c r="K36" s="394"/>
      <c r="L36" s="394"/>
      <c r="M36" s="394"/>
      <c r="N36" s="394"/>
      <c r="O36" s="394"/>
      <c r="P36" s="394"/>
      <c r="Q36" s="394"/>
      <c r="R36" s="381"/>
      <c r="S36" s="408"/>
      <c r="T36" s="361"/>
      <c r="U36" s="362"/>
      <c r="V36" s="372" t="e">
        <f t="shared" si="42"/>
        <v>#DIV/0!</v>
      </c>
      <c r="W36" s="372" t="e">
        <f t="shared" si="43"/>
        <v>#DIV/0!</v>
      </c>
      <c r="X36" s="396"/>
      <c r="Y36" s="397"/>
      <c r="Z36" s="393"/>
      <c r="AA36" s="571"/>
      <c r="AB36" s="394"/>
      <c r="AC36" s="394"/>
      <c r="AD36" s="394"/>
      <c r="AE36" s="394"/>
      <c r="AF36" s="394"/>
      <c r="AG36" s="394"/>
      <c r="AH36" s="394"/>
      <c r="AI36" s="394"/>
      <c r="AJ36" s="394"/>
      <c r="AK36" s="381"/>
      <c r="AL36" s="408"/>
      <c r="AM36" s="361"/>
      <c r="AN36" s="362"/>
      <c r="AO36" s="372" t="e">
        <f t="shared" si="16"/>
        <v>#DIV/0!</v>
      </c>
      <c r="AP36" s="372" t="e">
        <f t="shared" si="17"/>
        <v>#DIV/0!</v>
      </c>
      <c r="AQ36" s="396"/>
      <c r="AR36" s="397"/>
      <c r="AS36" s="393"/>
      <c r="AT36" s="571"/>
      <c r="AU36" s="394"/>
      <c r="AV36" s="394"/>
      <c r="AW36" s="394"/>
      <c r="AX36" s="394"/>
      <c r="AY36" s="394"/>
      <c r="AZ36" s="394"/>
      <c r="BA36" s="394"/>
      <c r="BB36" s="394"/>
      <c r="BC36" s="394"/>
      <c r="BD36" s="381"/>
      <c r="BE36" s="408"/>
      <c r="BF36" s="361"/>
      <c r="BG36" s="362"/>
      <c r="BH36" s="372" t="e">
        <f t="shared" si="26"/>
        <v>#DIV/0!</v>
      </c>
      <c r="BI36" s="372" t="e">
        <f t="shared" si="27"/>
        <v>#DIV/0!</v>
      </c>
    </row>
    <row r="37" spans="1:61" s="358" customFormat="1" x14ac:dyDescent="0.3">
      <c r="A37" s="359"/>
      <c r="B37" s="378"/>
      <c r="C37" s="385"/>
      <c r="D37" s="360">
        <v>0.4</v>
      </c>
      <c r="E37" s="396"/>
      <c r="F37" s="397"/>
      <c r="G37" s="393"/>
      <c r="H37" s="394"/>
      <c r="I37" s="394"/>
      <c r="J37" s="394"/>
      <c r="K37" s="394"/>
      <c r="L37" s="394"/>
      <c r="M37" s="394"/>
      <c r="N37" s="394"/>
      <c r="O37" s="394"/>
      <c r="P37" s="394"/>
      <c r="Q37" s="394"/>
      <c r="R37" s="381"/>
      <c r="S37" s="408"/>
      <c r="T37" s="361"/>
      <c r="U37" s="362"/>
      <c r="V37" s="372" t="e">
        <f t="shared" si="13"/>
        <v>#DIV/0!</v>
      </c>
      <c r="W37" s="372" t="e">
        <f t="shared" si="14"/>
        <v>#DIV/0!</v>
      </c>
      <c r="X37" s="396"/>
      <c r="Y37" s="397"/>
      <c r="Z37" s="393"/>
      <c r="AA37" s="394"/>
      <c r="AB37" s="394"/>
      <c r="AC37" s="394"/>
      <c r="AD37" s="394"/>
      <c r="AE37" s="394"/>
      <c r="AF37" s="394"/>
      <c r="AG37" s="394"/>
      <c r="AH37" s="394"/>
      <c r="AI37" s="394"/>
      <c r="AJ37" s="394"/>
      <c r="AK37" s="381"/>
      <c r="AL37" s="408"/>
      <c r="AM37" s="361"/>
      <c r="AN37" s="362"/>
      <c r="AO37" s="372" t="e">
        <f t="shared" si="16"/>
        <v>#DIV/0!</v>
      </c>
      <c r="AP37" s="372" t="e">
        <f t="shared" si="17"/>
        <v>#DIV/0!</v>
      </c>
      <c r="AQ37" s="396"/>
      <c r="AR37" s="397"/>
      <c r="AS37" s="393"/>
      <c r="AT37" s="394"/>
      <c r="AU37" s="394"/>
      <c r="AV37" s="394"/>
      <c r="AW37" s="394"/>
      <c r="AX37" s="394"/>
      <c r="AY37" s="394"/>
      <c r="AZ37" s="394"/>
      <c r="BA37" s="394"/>
      <c r="BB37" s="394"/>
      <c r="BC37" s="394"/>
      <c r="BD37" s="381"/>
      <c r="BE37" s="408"/>
      <c r="BF37" s="361"/>
      <c r="BG37" s="362"/>
      <c r="BH37" s="372" t="e">
        <f t="shared" si="26"/>
        <v>#DIV/0!</v>
      </c>
      <c r="BI37" s="372" t="e">
        <f t="shared" si="27"/>
        <v>#DIV/0!</v>
      </c>
    </row>
    <row r="38" spans="1:61" s="358" customFormat="1" x14ac:dyDescent="0.3">
      <c r="A38" s="359"/>
      <c r="B38" s="341"/>
      <c r="C38" s="348"/>
      <c r="D38" s="360"/>
      <c r="E38" s="367"/>
      <c r="F38" s="340"/>
      <c r="G38" s="361"/>
      <c r="H38" s="377"/>
      <c r="I38" s="372"/>
      <c r="J38" s="372"/>
      <c r="K38" s="372"/>
      <c r="L38" s="372"/>
      <c r="M38" s="372"/>
      <c r="N38" s="372"/>
      <c r="O38" s="372"/>
      <c r="P38" s="372"/>
      <c r="Q38" s="372"/>
      <c r="R38" s="361"/>
      <c r="S38" s="361"/>
      <c r="T38" s="361"/>
      <c r="U38" s="362"/>
      <c r="V38" s="372" t="e">
        <f t="shared" si="13"/>
        <v>#DIV/0!</v>
      </c>
      <c r="W38" s="372" t="e">
        <f t="shared" si="14"/>
        <v>#DIV/0!</v>
      </c>
      <c r="X38" s="367"/>
      <c r="Y38" s="340"/>
      <c r="Z38" s="361"/>
      <c r="AA38" s="377"/>
      <c r="AB38" s="372"/>
      <c r="AC38" s="372"/>
      <c r="AD38" s="372"/>
      <c r="AE38" s="372"/>
      <c r="AF38" s="372"/>
      <c r="AG38" s="372"/>
      <c r="AH38" s="372"/>
      <c r="AI38" s="372"/>
      <c r="AJ38" s="372"/>
      <c r="AK38" s="361"/>
      <c r="AL38" s="361"/>
      <c r="AM38" s="361"/>
      <c r="AN38" s="362"/>
      <c r="AO38" s="372" t="e">
        <f t="shared" si="16"/>
        <v>#DIV/0!</v>
      </c>
      <c r="AP38" s="372" t="e">
        <f t="shared" si="17"/>
        <v>#DIV/0!</v>
      </c>
      <c r="AQ38" s="367"/>
      <c r="AR38" s="340"/>
      <c r="AS38" s="361"/>
      <c r="AT38" s="377"/>
      <c r="AU38" s="372"/>
      <c r="AV38" s="372"/>
      <c r="AW38" s="372"/>
      <c r="AX38" s="372"/>
      <c r="AY38" s="372"/>
      <c r="AZ38" s="372"/>
      <c r="BA38" s="372"/>
      <c r="BB38" s="372"/>
      <c r="BC38" s="372"/>
      <c r="BD38" s="361"/>
      <c r="BE38" s="361"/>
      <c r="BF38" s="361"/>
      <c r="BG38" s="362"/>
      <c r="BH38" s="372" t="e">
        <f t="shared" si="26"/>
        <v>#DIV/0!</v>
      </c>
      <c r="BI38" s="372" t="e">
        <f t="shared" si="27"/>
        <v>#DIV/0!</v>
      </c>
    </row>
    <row r="39" spans="1:61" s="358" customFormat="1" ht="24.75" customHeight="1" x14ac:dyDescent="0.3">
      <c r="A39" s="354" t="s">
        <v>184</v>
      </c>
      <c r="B39" s="355" t="s">
        <v>214</v>
      </c>
      <c r="C39" s="355"/>
      <c r="D39" s="356">
        <v>6</v>
      </c>
      <c r="E39" s="462">
        <f t="shared" ref="E39:Q39" si="44">SUM(E40:E42)</f>
        <v>0</v>
      </c>
      <c r="F39" s="346">
        <f t="shared" si="44"/>
        <v>0</v>
      </c>
      <c r="G39" s="346">
        <f t="shared" si="44"/>
        <v>0</v>
      </c>
      <c r="H39" s="371">
        <f t="shared" si="44"/>
        <v>0</v>
      </c>
      <c r="I39" s="371">
        <f t="shared" si="44"/>
        <v>0</v>
      </c>
      <c r="J39" s="371">
        <f t="shared" si="44"/>
        <v>0</v>
      </c>
      <c r="K39" s="371">
        <f t="shared" si="44"/>
        <v>0</v>
      </c>
      <c r="L39" s="371">
        <f t="shared" si="44"/>
        <v>0</v>
      </c>
      <c r="M39" s="371">
        <f t="shared" si="44"/>
        <v>0</v>
      </c>
      <c r="N39" s="371">
        <f t="shared" si="44"/>
        <v>0</v>
      </c>
      <c r="O39" s="371">
        <f t="shared" si="44"/>
        <v>0</v>
      </c>
      <c r="P39" s="371">
        <f t="shared" si="44"/>
        <v>0</v>
      </c>
      <c r="Q39" s="371">
        <f t="shared" si="44"/>
        <v>0</v>
      </c>
      <c r="R39" s="357"/>
      <c r="S39" s="357"/>
      <c r="T39" s="357"/>
      <c r="U39" s="480"/>
      <c r="V39" s="380" t="e">
        <f t="shared" si="13"/>
        <v>#DIV/0!</v>
      </c>
      <c r="W39" s="380" t="e">
        <f t="shared" si="14"/>
        <v>#DIV/0!</v>
      </c>
      <c r="X39" s="462">
        <f t="shared" ref="X39:AJ39" si="45">SUM(X40:X42)</f>
        <v>0</v>
      </c>
      <c r="Y39" s="346">
        <f t="shared" si="45"/>
        <v>0</v>
      </c>
      <c r="Z39" s="346">
        <f t="shared" si="45"/>
        <v>0</v>
      </c>
      <c r="AA39" s="371">
        <f t="shared" si="45"/>
        <v>0</v>
      </c>
      <c r="AB39" s="371">
        <f t="shared" si="45"/>
        <v>0</v>
      </c>
      <c r="AC39" s="371">
        <f t="shared" si="45"/>
        <v>0</v>
      </c>
      <c r="AD39" s="371">
        <f t="shared" si="45"/>
        <v>0</v>
      </c>
      <c r="AE39" s="371">
        <f t="shared" si="45"/>
        <v>0</v>
      </c>
      <c r="AF39" s="371">
        <f t="shared" si="45"/>
        <v>0</v>
      </c>
      <c r="AG39" s="371">
        <f t="shared" si="45"/>
        <v>0</v>
      </c>
      <c r="AH39" s="371">
        <f t="shared" si="45"/>
        <v>0</v>
      </c>
      <c r="AI39" s="371">
        <f t="shared" si="45"/>
        <v>0</v>
      </c>
      <c r="AJ39" s="371">
        <f t="shared" si="45"/>
        <v>0</v>
      </c>
      <c r="AK39" s="357"/>
      <c r="AL39" s="357"/>
      <c r="AM39" s="357"/>
      <c r="AN39" s="480"/>
      <c r="AO39" s="380" t="e">
        <f t="shared" si="16"/>
        <v>#DIV/0!</v>
      </c>
      <c r="AP39" s="380" t="e">
        <f t="shared" si="17"/>
        <v>#DIV/0!</v>
      </c>
      <c r="AQ39" s="462">
        <f t="shared" ref="AQ39:BC39" si="46">SUM(AQ40:AQ42)</f>
        <v>0</v>
      </c>
      <c r="AR39" s="346">
        <f t="shared" si="46"/>
        <v>0</v>
      </c>
      <c r="AS39" s="346">
        <f t="shared" si="46"/>
        <v>0</v>
      </c>
      <c r="AT39" s="371">
        <f t="shared" si="46"/>
        <v>0</v>
      </c>
      <c r="AU39" s="371">
        <f t="shared" si="46"/>
        <v>0</v>
      </c>
      <c r="AV39" s="371">
        <f t="shared" si="46"/>
        <v>0</v>
      </c>
      <c r="AW39" s="371">
        <f t="shared" si="46"/>
        <v>0</v>
      </c>
      <c r="AX39" s="371">
        <f t="shared" si="46"/>
        <v>0</v>
      </c>
      <c r="AY39" s="371">
        <f t="shared" si="46"/>
        <v>0</v>
      </c>
      <c r="AZ39" s="371">
        <f t="shared" si="46"/>
        <v>0</v>
      </c>
      <c r="BA39" s="371">
        <f t="shared" si="46"/>
        <v>0</v>
      </c>
      <c r="BB39" s="371">
        <f t="shared" si="46"/>
        <v>0</v>
      </c>
      <c r="BC39" s="371">
        <f t="shared" si="46"/>
        <v>0</v>
      </c>
      <c r="BD39" s="357"/>
      <c r="BE39" s="357"/>
      <c r="BF39" s="357"/>
      <c r="BG39" s="480"/>
      <c r="BH39" s="380" t="e">
        <f t="shared" si="26"/>
        <v>#DIV/0!</v>
      </c>
      <c r="BI39" s="380" t="e">
        <f t="shared" si="27"/>
        <v>#DIV/0!</v>
      </c>
    </row>
    <row r="40" spans="1:61" s="358" customFormat="1" x14ac:dyDescent="0.3">
      <c r="A40" s="359"/>
      <c r="B40" s="537"/>
      <c r="C40" s="385"/>
      <c r="D40" s="360">
        <v>0.4</v>
      </c>
      <c r="E40" s="396"/>
      <c r="F40" s="397"/>
      <c r="G40" s="393"/>
      <c r="H40" s="542"/>
      <c r="I40" s="394"/>
      <c r="J40" s="394"/>
      <c r="K40" s="394"/>
      <c r="L40" s="394"/>
      <c r="M40" s="394"/>
      <c r="N40" s="394"/>
      <c r="O40" s="394"/>
      <c r="P40" s="394"/>
      <c r="Q40" s="394"/>
      <c r="R40" s="381"/>
      <c r="S40" s="408"/>
      <c r="T40" s="361"/>
      <c r="U40" s="362"/>
      <c r="V40" s="372" t="e">
        <f t="shared" si="13"/>
        <v>#DIV/0!</v>
      </c>
      <c r="W40" s="372" t="e">
        <f t="shared" si="14"/>
        <v>#DIV/0!</v>
      </c>
      <c r="X40" s="396"/>
      <c r="Y40" s="397"/>
      <c r="Z40" s="393"/>
      <c r="AA40" s="542"/>
      <c r="AB40" s="394"/>
      <c r="AC40" s="394"/>
      <c r="AD40" s="394"/>
      <c r="AE40" s="394"/>
      <c r="AF40" s="394"/>
      <c r="AG40" s="394"/>
      <c r="AH40" s="394"/>
      <c r="AI40" s="394"/>
      <c r="AJ40" s="394"/>
      <c r="AK40" s="381"/>
      <c r="AL40" s="408"/>
      <c r="AM40" s="361"/>
      <c r="AN40" s="362"/>
      <c r="AO40" s="372" t="e">
        <f t="shared" ref="AO40:AO41" si="47">AA40/X40*1000</f>
        <v>#DIV/0!</v>
      </c>
      <c r="AP40" s="372" t="e">
        <f t="shared" ref="AP40:AP41" si="48">AA40/Y40</f>
        <v>#DIV/0!</v>
      </c>
      <c r="AQ40" s="396"/>
      <c r="AR40" s="397"/>
      <c r="AS40" s="393"/>
      <c r="AT40" s="542"/>
      <c r="AU40" s="394"/>
      <c r="AV40" s="394"/>
      <c r="AW40" s="394"/>
      <c r="AX40" s="394"/>
      <c r="AY40" s="394"/>
      <c r="AZ40" s="394"/>
      <c r="BA40" s="394"/>
      <c r="BB40" s="394"/>
      <c r="BC40" s="394"/>
      <c r="BD40" s="381"/>
      <c r="BE40" s="408"/>
      <c r="BF40" s="361"/>
      <c r="BG40" s="362"/>
      <c r="BH40" s="372" t="e">
        <f t="shared" si="26"/>
        <v>#DIV/0!</v>
      </c>
      <c r="BI40" s="372" t="e">
        <f t="shared" si="27"/>
        <v>#DIV/0!</v>
      </c>
    </row>
    <row r="41" spans="1:61" s="358" customFormat="1" x14ac:dyDescent="0.3">
      <c r="A41" s="359"/>
      <c r="B41" s="572"/>
      <c r="C41" s="385"/>
      <c r="D41" s="360">
        <v>0.4</v>
      </c>
      <c r="E41" s="396"/>
      <c r="F41" s="397"/>
      <c r="G41" s="393"/>
      <c r="H41" s="571"/>
      <c r="I41" s="394"/>
      <c r="J41" s="394"/>
      <c r="K41" s="394"/>
      <c r="L41" s="394"/>
      <c r="M41" s="394"/>
      <c r="N41" s="394"/>
      <c r="O41" s="394"/>
      <c r="P41" s="394"/>
      <c r="Q41" s="394"/>
      <c r="R41" s="381"/>
      <c r="S41" s="408"/>
      <c r="T41" s="361"/>
      <c r="U41" s="362"/>
      <c r="V41" s="372" t="e">
        <f t="shared" si="13"/>
        <v>#DIV/0!</v>
      </c>
      <c r="W41" s="372" t="e">
        <f t="shared" si="14"/>
        <v>#DIV/0!</v>
      </c>
      <c r="X41" s="396"/>
      <c r="Y41" s="397"/>
      <c r="Z41" s="393"/>
      <c r="AA41" s="571"/>
      <c r="AB41" s="394"/>
      <c r="AC41" s="394"/>
      <c r="AD41" s="394"/>
      <c r="AE41" s="394"/>
      <c r="AF41" s="394"/>
      <c r="AG41" s="394"/>
      <c r="AH41" s="394"/>
      <c r="AI41" s="394"/>
      <c r="AJ41" s="394"/>
      <c r="AK41" s="381"/>
      <c r="AL41" s="408"/>
      <c r="AM41" s="361"/>
      <c r="AN41" s="362"/>
      <c r="AO41" s="372" t="e">
        <f t="shared" si="47"/>
        <v>#DIV/0!</v>
      </c>
      <c r="AP41" s="372" t="e">
        <f t="shared" si="48"/>
        <v>#DIV/0!</v>
      </c>
      <c r="AQ41" s="396"/>
      <c r="AR41" s="397"/>
      <c r="AS41" s="393"/>
      <c r="AT41" s="571"/>
      <c r="AU41" s="394"/>
      <c r="AV41" s="394"/>
      <c r="AW41" s="394"/>
      <c r="AX41" s="394"/>
      <c r="AY41" s="394"/>
      <c r="AZ41" s="394"/>
      <c r="BA41" s="394"/>
      <c r="BB41" s="394"/>
      <c r="BC41" s="394"/>
      <c r="BD41" s="381"/>
      <c r="BE41" s="408"/>
      <c r="BF41" s="361"/>
      <c r="BG41" s="362"/>
      <c r="BH41" s="372" t="e">
        <f t="shared" si="26"/>
        <v>#DIV/0!</v>
      </c>
      <c r="BI41" s="372" t="e">
        <f t="shared" si="27"/>
        <v>#DIV/0!</v>
      </c>
    </row>
    <row r="42" spans="1:61" s="358" customFormat="1" x14ac:dyDescent="0.3">
      <c r="A42" s="359"/>
      <c r="B42" s="341"/>
      <c r="C42" s="342"/>
      <c r="D42" s="360"/>
      <c r="E42" s="367"/>
      <c r="F42" s="340"/>
      <c r="G42" s="361"/>
      <c r="H42" s="377"/>
      <c r="I42" s="372"/>
      <c r="J42" s="372"/>
      <c r="K42" s="372"/>
      <c r="L42" s="372"/>
      <c r="M42" s="372"/>
      <c r="N42" s="372"/>
      <c r="O42" s="372"/>
      <c r="P42" s="372"/>
      <c r="Q42" s="372"/>
      <c r="R42" s="361"/>
      <c r="S42" s="361"/>
      <c r="T42" s="361"/>
      <c r="U42" s="362"/>
      <c r="V42" s="372" t="e">
        <f t="shared" si="13"/>
        <v>#DIV/0!</v>
      </c>
      <c r="W42" s="372" t="e">
        <f t="shared" si="14"/>
        <v>#DIV/0!</v>
      </c>
      <c r="X42" s="367"/>
      <c r="Y42" s="340"/>
      <c r="Z42" s="361"/>
      <c r="AA42" s="377"/>
      <c r="AB42" s="372"/>
      <c r="AC42" s="372"/>
      <c r="AD42" s="372"/>
      <c r="AE42" s="372"/>
      <c r="AF42" s="372"/>
      <c r="AG42" s="372"/>
      <c r="AH42" s="372"/>
      <c r="AI42" s="372"/>
      <c r="AJ42" s="372"/>
      <c r="AK42" s="361"/>
      <c r="AL42" s="361"/>
      <c r="AM42" s="361"/>
      <c r="AN42" s="362"/>
      <c r="AO42" s="372" t="e">
        <f t="shared" si="16"/>
        <v>#DIV/0!</v>
      </c>
      <c r="AP42" s="372" t="e">
        <f t="shared" si="17"/>
        <v>#DIV/0!</v>
      </c>
      <c r="AQ42" s="367"/>
      <c r="AR42" s="340"/>
      <c r="AS42" s="361"/>
      <c r="AT42" s="377"/>
      <c r="AU42" s="372"/>
      <c r="AV42" s="372"/>
      <c r="AW42" s="372"/>
      <c r="AX42" s="372"/>
      <c r="AY42" s="372"/>
      <c r="AZ42" s="372"/>
      <c r="BA42" s="372"/>
      <c r="BB42" s="372"/>
      <c r="BC42" s="372"/>
      <c r="BD42" s="361"/>
      <c r="BE42" s="361"/>
      <c r="BF42" s="361"/>
      <c r="BG42" s="362"/>
      <c r="BH42" s="372" t="e">
        <f t="shared" si="26"/>
        <v>#DIV/0!</v>
      </c>
      <c r="BI42" s="372" t="e">
        <f t="shared" si="27"/>
        <v>#DIV/0!</v>
      </c>
    </row>
    <row r="43" spans="1:61" s="358" customFormat="1" ht="24.75" customHeight="1" x14ac:dyDescent="0.3">
      <c r="A43" s="354" t="s">
        <v>186</v>
      </c>
      <c r="B43" s="355" t="s">
        <v>215</v>
      </c>
      <c r="C43" s="355"/>
      <c r="D43" s="356">
        <v>6</v>
      </c>
      <c r="E43" s="462">
        <f t="shared" ref="E43:Q43" si="49">SUM(E44:E45)</f>
        <v>0</v>
      </c>
      <c r="F43" s="346">
        <f t="shared" si="49"/>
        <v>0</v>
      </c>
      <c r="G43" s="346">
        <f t="shared" si="49"/>
        <v>0</v>
      </c>
      <c r="H43" s="371">
        <f t="shared" si="49"/>
        <v>0</v>
      </c>
      <c r="I43" s="371">
        <f t="shared" si="49"/>
        <v>0</v>
      </c>
      <c r="J43" s="371">
        <f t="shared" si="49"/>
        <v>0</v>
      </c>
      <c r="K43" s="371">
        <f t="shared" si="49"/>
        <v>0</v>
      </c>
      <c r="L43" s="371">
        <f t="shared" si="49"/>
        <v>0</v>
      </c>
      <c r="M43" s="371">
        <f t="shared" si="49"/>
        <v>0</v>
      </c>
      <c r="N43" s="371">
        <f t="shared" si="49"/>
        <v>0</v>
      </c>
      <c r="O43" s="371">
        <f t="shared" si="49"/>
        <v>0</v>
      </c>
      <c r="P43" s="371">
        <f t="shared" si="49"/>
        <v>0</v>
      </c>
      <c r="Q43" s="371">
        <f t="shared" si="49"/>
        <v>0</v>
      </c>
      <c r="R43" s="357"/>
      <c r="S43" s="357"/>
      <c r="T43" s="357"/>
      <c r="U43" s="480"/>
      <c r="V43" s="380" t="e">
        <f t="shared" si="13"/>
        <v>#DIV/0!</v>
      </c>
      <c r="W43" s="380" t="e">
        <f t="shared" si="14"/>
        <v>#DIV/0!</v>
      </c>
      <c r="X43" s="462">
        <f t="shared" ref="X43:AJ43" si="50">SUM(X44:X45)</f>
        <v>0</v>
      </c>
      <c r="Y43" s="346">
        <f t="shared" si="50"/>
        <v>0</v>
      </c>
      <c r="Z43" s="346">
        <f t="shared" si="50"/>
        <v>0</v>
      </c>
      <c r="AA43" s="371">
        <f t="shared" si="50"/>
        <v>0</v>
      </c>
      <c r="AB43" s="371">
        <f t="shared" si="50"/>
        <v>0</v>
      </c>
      <c r="AC43" s="371">
        <f t="shared" si="50"/>
        <v>0</v>
      </c>
      <c r="AD43" s="371">
        <f t="shared" si="50"/>
        <v>0</v>
      </c>
      <c r="AE43" s="371">
        <f t="shared" si="50"/>
        <v>0</v>
      </c>
      <c r="AF43" s="371">
        <f t="shared" si="50"/>
        <v>0</v>
      </c>
      <c r="AG43" s="371">
        <f t="shared" si="50"/>
        <v>0</v>
      </c>
      <c r="AH43" s="371">
        <f t="shared" si="50"/>
        <v>0</v>
      </c>
      <c r="AI43" s="371">
        <f t="shared" si="50"/>
        <v>0</v>
      </c>
      <c r="AJ43" s="371">
        <f t="shared" si="50"/>
        <v>0</v>
      </c>
      <c r="AK43" s="357"/>
      <c r="AL43" s="357"/>
      <c r="AM43" s="357"/>
      <c r="AN43" s="480"/>
      <c r="AO43" s="380" t="e">
        <f t="shared" si="16"/>
        <v>#DIV/0!</v>
      </c>
      <c r="AP43" s="380" t="e">
        <f t="shared" si="17"/>
        <v>#DIV/0!</v>
      </c>
      <c r="AQ43" s="462">
        <f t="shared" ref="AQ43:BC43" si="51">SUM(AQ44:AQ45)</f>
        <v>0</v>
      </c>
      <c r="AR43" s="346">
        <f t="shared" si="51"/>
        <v>0</v>
      </c>
      <c r="AS43" s="346">
        <f t="shared" si="51"/>
        <v>0</v>
      </c>
      <c r="AT43" s="371">
        <f t="shared" si="51"/>
        <v>0</v>
      </c>
      <c r="AU43" s="371">
        <f t="shared" si="51"/>
        <v>0</v>
      </c>
      <c r="AV43" s="371">
        <f t="shared" si="51"/>
        <v>0</v>
      </c>
      <c r="AW43" s="371">
        <f t="shared" si="51"/>
        <v>0</v>
      </c>
      <c r="AX43" s="371">
        <f t="shared" si="51"/>
        <v>0</v>
      </c>
      <c r="AY43" s="371">
        <f t="shared" si="51"/>
        <v>0</v>
      </c>
      <c r="AZ43" s="371">
        <f t="shared" si="51"/>
        <v>0</v>
      </c>
      <c r="BA43" s="371">
        <f t="shared" si="51"/>
        <v>0</v>
      </c>
      <c r="BB43" s="371">
        <f t="shared" si="51"/>
        <v>0</v>
      </c>
      <c r="BC43" s="371">
        <f t="shared" si="51"/>
        <v>0</v>
      </c>
      <c r="BD43" s="357"/>
      <c r="BE43" s="357"/>
      <c r="BF43" s="357"/>
      <c r="BG43" s="480"/>
      <c r="BH43" s="380" t="e">
        <f t="shared" si="26"/>
        <v>#DIV/0!</v>
      </c>
      <c r="BI43" s="380" t="e">
        <f t="shared" si="27"/>
        <v>#DIV/0!</v>
      </c>
    </row>
    <row r="44" spans="1:61" s="358" customFormat="1" x14ac:dyDescent="0.3">
      <c r="A44" s="359" t="s">
        <v>187</v>
      </c>
      <c r="B44" s="341"/>
      <c r="C44" s="342"/>
      <c r="D44" s="360">
        <v>6</v>
      </c>
      <c r="E44" s="367"/>
      <c r="F44" s="340"/>
      <c r="G44" s="340"/>
      <c r="H44" s="377"/>
      <c r="I44" s="372"/>
      <c r="J44" s="372"/>
      <c r="K44" s="372"/>
      <c r="L44" s="372"/>
      <c r="M44" s="372"/>
      <c r="N44" s="372"/>
      <c r="O44" s="372"/>
      <c r="P44" s="372"/>
      <c r="Q44" s="372"/>
      <c r="R44" s="361"/>
      <c r="S44" s="361"/>
      <c r="T44" s="361"/>
      <c r="U44" s="362"/>
      <c r="V44" s="372" t="e">
        <f t="shared" si="13"/>
        <v>#DIV/0!</v>
      </c>
      <c r="W44" s="372" t="e">
        <f t="shared" si="14"/>
        <v>#DIV/0!</v>
      </c>
      <c r="X44" s="367"/>
      <c r="Y44" s="340"/>
      <c r="Z44" s="340"/>
      <c r="AA44" s="377"/>
      <c r="AB44" s="372"/>
      <c r="AC44" s="372"/>
      <c r="AD44" s="372"/>
      <c r="AE44" s="372"/>
      <c r="AF44" s="372"/>
      <c r="AG44" s="372"/>
      <c r="AH44" s="372"/>
      <c r="AI44" s="372"/>
      <c r="AJ44" s="372"/>
      <c r="AK44" s="361"/>
      <c r="AL44" s="361"/>
      <c r="AM44" s="361"/>
      <c r="AN44" s="362"/>
      <c r="AO44" s="372" t="e">
        <f t="shared" si="16"/>
        <v>#DIV/0!</v>
      </c>
      <c r="AP44" s="372" t="e">
        <f t="shared" si="17"/>
        <v>#DIV/0!</v>
      </c>
      <c r="AQ44" s="367"/>
      <c r="AR44" s="340"/>
      <c r="AS44" s="340"/>
      <c r="AT44" s="377"/>
      <c r="AU44" s="372"/>
      <c r="AV44" s="372"/>
      <c r="AW44" s="372"/>
      <c r="AX44" s="372"/>
      <c r="AY44" s="372"/>
      <c r="AZ44" s="372"/>
      <c r="BA44" s="372"/>
      <c r="BB44" s="372"/>
      <c r="BC44" s="372"/>
      <c r="BD44" s="361"/>
      <c r="BE44" s="361"/>
      <c r="BF44" s="361"/>
      <c r="BG44" s="362"/>
      <c r="BH44" s="372" t="e">
        <f t="shared" si="26"/>
        <v>#DIV/0!</v>
      </c>
      <c r="BI44" s="372" t="e">
        <f t="shared" si="27"/>
        <v>#DIV/0!</v>
      </c>
    </row>
    <row r="45" spans="1:61" s="358" customFormat="1" x14ac:dyDescent="0.3">
      <c r="A45" s="359"/>
      <c r="B45" s="341"/>
      <c r="C45" s="349"/>
      <c r="D45" s="360"/>
      <c r="E45" s="465"/>
      <c r="F45" s="361"/>
      <c r="G45" s="361"/>
      <c r="H45" s="377"/>
      <c r="I45" s="372"/>
      <c r="J45" s="372"/>
      <c r="K45" s="372"/>
      <c r="L45" s="372"/>
      <c r="M45" s="372"/>
      <c r="N45" s="372"/>
      <c r="O45" s="372"/>
      <c r="P45" s="372"/>
      <c r="Q45" s="372"/>
      <c r="R45" s="361"/>
      <c r="S45" s="361"/>
      <c r="T45" s="361"/>
      <c r="U45" s="362"/>
      <c r="V45" s="372" t="e">
        <f t="shared" si="13"/>
        <v>#DIV/0!</v>
      </c>
      <c r="W45" s="372" t="e">
        <f t="shared" si="14"/>
        <v>#DIV/0!</v>
      </c>
      <c r="X45" s="465"/>
      <c r="Y45" s="361"/>
      <c r="Z45" s="361"/>
      <c r="AA45" s="377"/>
      <c r="AB45" s="372"/>
      <c r="AC45" s="372"/>
      <c r="AD45" s="372"/>
      <c r="AE45" s="372"/>
      <c r="AF45" s="372"/>
      <c r="AG45" s="372"/>
      <c r="AH45" s="372"/>
      <c r="AI45" s="372"/>
      <c r="AJ45" s="372"/>
      <c r="AK45" s="361"/>
      <c r="AL45" s="361"/>
      <c r="AM45" s="361"/>
      <c r="AN45" s="362"/>
      <c r="AO45" s="372" t="e">
        <f t="shared" si="16"/>
        <v>#DIV/0!</v>
      </c>
      <c r="AP45" s="372" t="e">
        <f t="shared" si="17"/>
        <v>#DIV/0!</v>
      </c>
      <c r="AQ45" s="465"/>
      <c r="AR45" s="361"/>
      <c r="AS45" s="361"/>
      <c r="AT45" s="377"/>
      <c r="AU45" s="372"/>
      <c r="AV45" s="372"/>
      <c r="AW45" s="372"/>
      <c r="AX45" s="372"/>
      <c r="AY45" s="372"/>
      <c r="AZ45" s="372"/>
      <c r="BA45" s="372"/>
      <c r="BB45" s="372"/>
      <c r="BC45" s="372"/>
      <c r="BD45" s="361"/>
      <c r="BE45" s="361"/>
      <c r="BF45" s="361"/>
      <c r="BG45" s="362"/>
      <c r="BH45" s="372" t="e">
        <f t="shared" si="26"/>
        <v>#DIV/0!</v>
      </c>
      <c r="BI45" s="372" t="e">
        <f t="shared" si="27"/>
        <v>#DIV/0!</v>
      </c>
    </row>
    <row r="46" spans="1:61" s="358" customFormat="1" ht="91.2" customHeight="1" x14ac:dyDescent="0.3">
      <c r="A46" s="410" t="s">
        <v>196</v>
      </c>
      <c r="B46" s="429" t="s">
        <v>195</v>
      </c>
      <c r="C46" s="429"/>
      <c r="D46" s="412"/>
      <c r="E46" s="461">
        <f t="shared" ref="E46:Q46" si="52">E47+E50</f>
        <v>0</v>
      </c>
      <c r="F46" s="430">
        <f t="shared" si="52"/>
        <v>0</v>
      </c>
      <c r="G46" s="430">
        <f t="shared" si="52"/>
        <v>0</v>
      </c>
      <c r="H46" s="431">
        <f t="shared" si="52"/>
        <v>0</v>
      </c>
      <c r="I46" s="431">
        <f t="shared" si="52"/>
        <v>0</v>
      </c>
      <c r="J46" s="431">
        <f t="shared" si="52"/>
        <v>0</v>
      </c>
      <c r="K46" s="431">
        <f t="shared" si="52"/>
        <v>0</v>
      </c>
      <c r="L46" s="431">
        <f t="shared" si="52"/>
        <v>0</v>
      </c>
      <c r="M46" s="431">
        <f t="shared" si="52"/>
        <v>0</v>
      </c>
      <c r="N46" s="431">
        <f t="shared" si="52"/>
        <v>0</v>
      </c>
      <c r="O46" s="431">
        <f t="shared" si="52"/>
        <v>0</v>
      </c>
      <c r="P46" s="431">
        <f t="shared" si="52"/>
        <v>0</v>
      </c>
      <c r="Q46" s="431">
        <f t="shared" si="52"/>
        <v>0</v>
      </c>
      <c r="R46" s="432"/>
      <c r="S46" s="432"/>
      <c r="T46" s="432"/>
      <c r="U46" s="479"/>
      <c r="V46" s="433" t="e">
        <f t="shared" si="13"/>
        <v>#DIV/0!</v>
      </c>
      <c r="W46" s="433" t="e">
        <f t="shared" si="14"/>
        <v>#DIV/0!</v>
      </c>
      <c r="X46" s="461">
        <f t="shared" ref="X46:AJ46" si="53">X47+X50</f>
        <v>0</v>
      </c>
      <c r="Y46" s="430">
        <f t="shared" si="53"/>
        <v>0</v>
      </c>
      <c r="Z46" s="430">
        <f t="shared" si="53"/>
        <v>0</v>
      </c>
      <c r="AA46" s="431">
        <f t="shared" si="53"/>
        <v>0</v>
      </c>
      <c r="AB46" s="431">
        <f t="shared" si="53"/>
        <v>0</v>
      </c>
      <c r="AC46" s="431">
        <f t="shared" si="53"/>
        <v>0</v>
      </c>
      <c r="AD46" s="431">
        <f t="shared" si="53"/>
        <v>0</v>
      </c>
      <c r="AE46" s="431">
        <f t="shared" si="53"/>
        <v>0</v>
      </c>
      <c r="AF46" s="431">
        <f t="shared" si="53"/>
        <v>0</v>
      </c>
      <c r="AG46" s="431">
        <f t="shared" si="53"/>
        <v>0</v>
      </c>
      <c r="AH46" s="431">
        <f t="shared" si="53"/>
        <v>0</v>
      </c>
      <c r="AI46" s="431">
        <f t="shared" si="53"/>
        <v>0</v>
      </c>
      <c r="AJ46" s="431">
        <f t="shared" si="53"/>
        <v>0</v>
      </c>
      <c r="AK46" s="432"/>
      <c r="AL46" s="432"/>
      <c r="AM46" s="432"/>
      <c r="AN46" s="479"/>
      <c r="AO46" s="433" t="e">
        <f t="shared" si="16"/>
        <v>#DIV/0!</v>
      </c>
      <c r="AP46" s="433" t="e">
        <f t="shared" si="17"/>
        <v>#DIV/0!</v>
      </c>
      <c r="AQ46" s="461">
        <f t="shared" ref="AQ46:BC46" si="54">AQ47+AQ50</f>
        <v>0</v>
      </c>
      <c r="AR46" s="430">
        <f t="shared" si="54"/>
        <v>0</v>
      </c>
      <c r="AS46" s="430">
        <f t="shared" si="54"/>
        <v>0</v>
      </c>
      <c r="AT46" s="431">
        <f t="shared" si="54"/>
        <v>0</v>
      </c>
      <c r="AU46" s="431">
        <f t="shared" si="54"/>
        <v>0</v>
      </c>
      <c r="AV46" s="431">
        <f t="shared" si="54"/>
        <v>0</v>
      </c>
      <c r="AW46" s="431">
        <f t="shared" si="54"/>
        <v>0</v>
      </c>
      <c r="AX46" s="431">
        <f t="shared" si="54"/>
        <v>0</v>
      </c>
      <c r="AY46" s="431">
        <f t="shared" si="54"/>
        <v>0</v>
      </c>
      <c r="AZ46" s="431">
        <f t="shared" si="54"/>
        <v>0</v>
      </c>
      <c r="BA46" s="431">
        <f t="shared" si="54"/>
        <v>0</v>
      </c>
      <c r="BB46" s="431">
        <f t="shared" si="54"/>
        <v>0</v>
      </c>
      <c r="BC46" s="431">
        <f t="shared" si="54"/>
        <v>0</v>
      </c>
      <c r="BD46" s="432"/>
      <c r="BE46" s="432"/>
      <c r="BF46" s="432"/>
      <c r="BG46" s="479"/>
      <c r="BH46" s="433" t="e">
        <f t="shared" si="26"/>
        <v>#DIV/0!</v>
      </c>
      <c r="BI46" s="433" t="e">
        <f t="shared" si="27"/>
        <v>#DIV/0!</v>
      </c>
    </row>
    <row r="47" spans="1:61" s="358" customFormat="1" ht="24.75" customHeight="1" x14ac:dyDescent="0.3">
      <c r="A47" s="354" t="s">
        <v>178</v>
      </c>
      <c r="B47" s="355" t="s">
        <v>179</v>
      </c>
      <c r="C47" s="355"/>
      <c r="D47" s="356">
        <v>0.4</v>
      </c>
      <c r="E47" s="462">
        <f t="shared" ref="E47:Q47" si="55">SUM(E48:E49)</f>
        <v>0</v>
      </c>
      <c r="F47" s="346">
        <f t="shared" si="55"/>
        <v>0</v>
      </c>
      <c r="G47" s="346">
        <f t="shared" si="55"/>
        <v>0</v>
      </c>
      <c r="H47" s="371">
        <f t="shared" si="55"/>
        <v>0</v>
      </c>
      <c r="I47" s="371">
        <f t="shared" si="55"/>
        <v>0</v>
      </c>
      <c r="J47" s="371">
        <f t="shared" si="55"/>
        <v>0</v>
      </c>
      <c r="K47" s="371">
        <f t="shared" si="55"/>
        <v>0</v>
      </c>
      <c r="L47" s="371">
        <f t="shared" si="55"/>
        <v>0</v>
      </c>
      <c r="M47" s="371">
        <f t="shared" si="55"/>
        <v>0</v>
      </c>
      <c r="N47" s="371">
        <f t="shared" si="55"/>
        <v>0</v>
      </c>
      <c r="O47" s="371">
        <f t="shared" si="55"/>
        <v>0</v>
      </c>
      <c r="P47" s="371">
        <f t="shared" si="55"/>
        <v>0</v>
      </c>
      <c r="Q47" s="371">
        <f t="shared" si="55"/>
        <v>0</v>
      </c>
      <c r="R47" s="357"/>
      <c r="S47" s="357"/>
      <c r="T47" s="357"/>
      <c r="U47" s="480"/>
      <c r="V47" s="380" t="e">
        <f t="shared" si="13"/>
        <v>#DIV/0!</v>
      </c>
      <c r="W47" s="380" t="e">
        <f t="shared" si="14"/>
        <v>#DIV/0!</v>
      </c>
      <c r="X47" s="462">
        <f t="shared" ref="X47:AJ47" si="56">SUM(X48:X49)</f>
        <v>0</v>
      </c>
      <c r="Y47" s="346">
        <f t="shared" si="56"/>
        <v>0</v>
      </c>
      <c r="Z47" s="346">
        <f t="shared" si="56"/>
        <v>0</v>
      </c>
      <c r="AA47" s="371">
        <f t="shared" si="56"/>
        <v>0</v>
      </c>
      <c r="AB47" s="371">
        <f t="shared" si="56"/>
        <v>0</v>
      </c>
      <c r="AC47" s="371">
        <f t="shared" si="56"/>
        <v>0</v>
      </c>
      <c r="AD47" s="371">
        <f t="shared" si="56"/>
        <v>0</v>
      </c>
      <c r="AE47" s="371">
        <f t="shared" si="56"/>
        <v>0</v>
      </c>
      <c r="AF47" s="371">
        <f t="shared" si="56"/>
        <v>0</v>
      </c>
      <c r="AG47" s="371">
        <f t="shared" si="56"/>
        <v>0</v>
      </c>
      <c r="AH47" s="371">
        <f t="shared" si="56"/>
        <v>0</v>
      </c>
      <c r="AI47" s="371">
        <f t="shared" si="56"/>
        <v>0</v>
      </c>
      <c r="AJ47" s="371">
        <f t="shared" si="56"/>
        <v>0</v>
      </c>
      <c r="AK47" s="357"/>
      <c r="AL47" s="357"/>
      <c r="AM47" s="357"/>
      <c r="AN47" s="480"/>
      <c r="AO47" s="380" t="e">
        <f t="shared" si="16"/>
        <v>#DIV/0!</v>
      </c>
      <c r="AP47" s="380" t="e">
        <f t="shared" si="17"/>
        <v>#DIV/0!</v>
      </c>
      <c r="AQ47" s="462">
        <f t="shared" ref="AQ47:BC47" si="57">SUM(AQ48:AQ49)</f>
        <v>0</v>
      </c>
      <c r="AR47" s="346">
        <f t="shared" si="57"/>
        <v>0</v>
      </c>
      <c r="AS47" s="346">
        <f t="shared" si="57"/>
        <v>0</v>
      </c>
      <c r="AT47" s="371">
        <f t="shared" si="57"/>
        <v>0</v>
      </c>
      <c r="AU47" s="371">
        <f t="shared" si="57"/>
        <v>0</v>
      </c>
      <c r="AV47" s="371">
        <f t="shared" si="57"/>
        <v>0</v>
      </c>
      <c r="AW47" s="371">
        <f t="shared" si="57"/>
        <v>0</v>
      </c>
      <c r="AX47" s="371">
        <f t="shared" si="57"/>
        <v>0</v>
      </c>
      <c r="AY47" s="371">
        <f t="shared" si="57"/>
        <v>0</v>
      </c>
      <c r="AZ47" s="371">
        <f t="shared" si="57"/>
        <v>0</v>
      </c>
      <c r="BA47" s="371">
        <f t="shared" si="57"/>
        <v>0</v>
      </c>
      <c r="BB47" s="371">
        <f t="shared" si="57"/>
        <v>0</v>
      </c>
      <c r="BC47" s="371">
        <f t="shared" si="57"/>
        <v>0</v>
      </c>
      <c r="BD47" s="357"/>
      <c r="BE47" s="357"/>
      <c r="BF47" s="357"/>
      <c r="BG47" s="480"/>
      <c r="BH47" s="380" t="e">
        <f t="shared" si="26"/>
        <v>#DIV/0!</v>
      </c>
      <c r="BI47" s="380" t="e">
        <f t="shared" si="27"/>
        <v>#DIV/0!</v>
      </c>
    </row>
    <row r="48" spans="1:61" s="358" customFormat="1" x14ac:dyDescent="0.3">
      <c r="A48" s="359" t="s">
        <v>143</v>
      </c>
      <c r="B48" s="341"/>
      <c r="C48" s="350"/>
      <c r="D48" s="360">
        <v>0.4</v>
      </c>
      <c r="E48" s="344"/>
      <c r="F48" s="344"/>
      <c r="G48" s="361"/>
      <c r="H48" s="377"/>
      <c r="I48" s="372"/>
      <c r="J48" s="372"/>
      <c r="K48" s="372"/>
      <c r="L48" s="372"/>
      <c r="M48" s="372"/>
      <c r="N48" s="372"/>
      <c r="O48" s="372"/>
      <c r="P48" s="372"/>
      <c r="Q48" s="372"/>
      <c r="R48" s="361"/>
      <c r="S48" s="361"/>
      <c r="T48" s="361"/>
      <c r="U48" s="362"/>
      <c r="V48" s="372" t="e">
        <f t="shared" si="13"/>
        <v>#DIV/0!</v>
      </c>
      <c r="W48" s="372" t="e">
        <f t="shared" si="14"/>
        <v>#DIV/0!</v>
      </c>
      <c r="X48" s="344"/>
      <c r="Y48" s="344"/>
      <c r="Z48" s="361"/>
      <c r="AA48" s="377"/>
      <c r="AB48" s="372"/>
      <c r="AC48" s="372"/>
      <c r="AD48" s="372"/>
      <c r="AE48" s="372"/>
      <c r="AF48" s="372"/>
      <c r="AG48" s="372"/>
      <c r="AH48" s="372"/>
      <c r="AI48" s="372"/>
      <c r="AJ48" s="372"/>
      <c r="AK48" s="361"/>
      <c r="AL48" s="361"/>
      <c r="AM48" s="361"/>
      <c r="AN48" s="362"/>
      <c r="AO48" s="372" t="e">
        <f t="shared" si="16"/>
        <v>#DIV/0!</v>
      </c>
      <c r="AP48" s="372" t="e">
        <f t="shared" si="17"/>
        <v>#DIV/0!</v>
      </c>
      <c r="AQ48" s="344"/>
      <c r="AR48" s="344"/>
      <c r="AS48" s="361"/>
      <c r="AT48" s="377"/>
      <c r="AU48" s="372"/>
      <c r="AV48" s="372"/>
      <c r="AW48" s="372"/>
      <c r="AX48" s="372"/>
      <c r="AY48" s="372"/>
      <c r="AZ48" s="372"/>
      <c r="BA48" s="372"/>
      <c r="BB48" s="372"/>
      <c r="BC48" s="372"/>
      <c r="BD48" s="361"/>
      <c r="BE48" s="361"/>
      <c r="BF48" s="361"/>
      <c r="BG48" s="362"/>
      <c r="BH48" s="372" t="e">
        <f t="shared" si="26"/>
        <v>#DIV/0!</v>
      </c>
      <c r="BI48" s="372" t="e">
        <f t="shared" si="27"/>
        <v>#DIV/0!</v>
      </c>
    </row>
    <row r="49" spans="1:61" s="358" customFormat="1" x14ac:dyDescent="0.3">
      <c r="A49" s="359"/>
      <c r="B49" s="341"/>
      <c r="C49" s="342"/>
      <c r="D49" s="360"/>
      <c r="E49" s="367"/>
      <c r="F49" s="340"/>
      <c r="G49" s="361"/>
      <c r="H49" s="377"/>
      <c r="I49" s="372"/>
      <c r="J49" s="372"/>
      <c r="K49" s="372"/>
      <c r="L49" s="372"/>
      <c r="M49" s="372"/>
      <c r="N49" s="372"/>
      <c r="O49" s="372"/>
      <c r="P49" s="372"/>
      <c r="Q49" s="372"/>
      <c r="R49" s="361"/>
      <c r="S49" s="361"/>
      <c r="T49" s="361"/>
      <c r="U49" s="362"/>
      <c r="V49" s="372" t="e">
        <f t="shared" si="13"/>
        <v>#DIV/0!</v>
      </c>
      <c r="W49" s="372" t="e">
        <f t="shared" si="14"/>
        <v>#DIV/0!</v>
      </c>
      <c r="X49" s="367"/>
      <c r="Y49" s="340"/>
      <c r="Z49" s="361"/>
      <c r="AA49" s="377"/>
      <c r="AB49" s="372"/>
      <c r="AC49" s="372"/>
      <c r="AD49" s="372"/>
      <c r="AE49" s="372"/>
      <c r="AF49" s="372"/>
      <c r="AG49" s="372"/>
      <c r="AH49" s="372"/>
      <c r="AI49" s="372"/>
      <c r="AJ49" s="372"/>
      <c r="AK49" s="361"/>
      <c r="AL49" s="361"/>
      <c r="AM49" s="361"/>
      <c r="AN49" s="362"/>
      <c r="AO49" s="372" t="e">
        <f t="shared" si="16"/>
        <v>#DIV/0!</v>
      </c>
      <c r="AP49" s="372" t="e">
        <f t="shared" si="17"/>
        <v>#DIV/0!</v>
      </c>
      <c r="AQ49" s="367"/>
      <c r="AR49" s="340"/>
      <c r="AS49" s="361"/>
      <c r="AT49" s="377"/>
      <c r="AU49" s="372"/>
      <c r="AV49" s="372"/>
      <c r="AW49" s="372"/>
      <c r="AX49" s="372"/>
      <c r="AY49" s="372"/>
      <c r="AZ49" s="372"/>
      <c r="BA49" s="372"/>
      <c r="BB49" s="372"/>
      <c r="BC49" s="372"/>
      <c r="BD49" s="361"/>
      <c r="BE49" s="361"/>
      <c r="BF49" s="361"/>
      <c r="BG49" s="362"/>
      <c r="BH49" s="372" t="e">
        <f t="shared" si="26"/>
        <v>#DIV/0!</v>
      </c>
      <c r="BI49" s="372" t="e">
        <f t="shared" si="27"/>
        <v>#DIV/0!</v>
      </c>
    </row>
    <row r="50" spans="1:61" s="358" customFormat="1" ht="24.75" customHeight="1" x14ac:dyDescent="0.3">
      <c r="A50" s="354" t="s">
        <v>182</v>
      </c>
      <c r="B50" s="355" t="s">
        <v>197</v>
      </c>
      <c r="C50" s="355"/>
      <c r="D50" s="356">
        <v>0.4</v>
      </c>
      <c r="E50" s="462">
        <f>SUM(E52)</f>
        <v>0</v>
      </c>
      <c r="F50" s="346">
        <f t="shared" ref="F50:Q50" si="58">SUM(F52)</f>
        <v>0</v>
      </c>
      <c r="G50" s="346">
        <f t="shared" si="58"/>
        <v>0</v>
      </c>
      <c r="H50" s="371">
        <f t="shared" si="58"/>
        <v>0</v>
      </c>
      <c r="I50" s="371">
        <f t="shared" si="58"/>
        <v>0</v>
      </c>
      <c r="J50" s="371">
        <f t="shared" si="58"/>
        <v>0</v>
      </c>
      <c r="K50" s="371">
        <f t="shared" si="58"/>
        <v>0</v>
      </c>
      <c r="L50" s="371">
        <f t="shared" si="58"/>
        <v>0</v>
      </c>
      <c r="M50" s="371">
        <f t="shared" si="58"/>
        <v>0</v>
      </c>
      <c r="N50" s="371">
        <f t="shared" si="58"/>
        <v>0</v>
      </c>
      <c r="O50" s="371">
        <f t="shared" si="58"/>
        <v>0</v>
      </c>
      <c r="P50" s="371">
        <f t="shared" si="58"/>
        <v>0</v>
      </c>
      <c r="Q50" s="371">
        <f t="shared" si="58"/>
        <v>0</v>
      </c>
      <c r="R50" s="357"/>
      <c r="S50" s="357"/>
      <c r="T50" s="357"/>
      <c r="U50" s="480"/>
      <c r="V50" s="380" t="e">
        <f t="shared" si="13"/>
        <v>#DIV/0!</v>
      </c>
      <c r="W50" s="380" t="e">
        <f t="shared" si="14"/>
        <v>#DIV/0!</v>
      </c>
      <c r="X50" s="462">
        <f>SUM(X52)</f>
        <v>0</v>
      </c>
      <c r="Y50" s="346">
        <f t="shared" ref="Y50:AJ50" si="59">SUM(Y52)</f>
        <v>0</v>
      </c>
      <c r="Z50" s="346">
        <f t="shared" si="59"/>
        <v>0</v>
      </c>
      <c r="AA50" s="371">
        <f t="shared" si="59"/>
        <v>0</v>
      </c>
      <c r="AB50" s="371">
        <f t="shared" si="59"/>
        <v>0</v>
      </c>
      <c r="AC50" s="371">
        <f t="shared" si="59"/>
        <v>0</v>
      </c>
      <c r="AD50" s="371">
        <f t="shared" si="59"/>
        <v>0</v>
      </c>
      <c r="AE50" s="371">
        <f t="shared" si="59"/>
        <v>0</v>
      </c>
      <c r="AF50" s="371">
        <f t="shared" si="59"/>
        <v>0</v>
      </c>
      <c r="AG50" s="371">
        <f t="shared" si="59"/>
        <v>0</v>
      </c>
      <c r="AH50" s="371">
        <f t="shared" si="59"/>
        <v>0</v>
      </c>
      <c r="AI50" s="371">
        <f t="shared" si="59"/>
        <v>0</v>
      </c>
      <c r="AJ50" s="371">
        <f t="shared" si="59"/>
        <v>0</v>
      </c>
      <c r="AK50" s="357"/>
      <c r="AL50" s="357"/>
      <c r="AM50" s="357"/>
      <c r="AN50" s="480"/>
      <c r="AO50" s="380" t="e">
        <f t="shared" si="16"/>
        <v>#DIV/0!</v>
      </c>
      <c r="AP50" s="380" t="e">
        <f t="shared" si="17"/>
        <v>#DIV/0!</v>
      </c>
      <c r="AQ50" s="462">
        <f>SUM(AQ52)</f>
        <v>0</v>
      </c>
      <c r="AR50" s="346">
        <f t="shared" ref="AR50:BC50" si="60">SUM(AR52)</f>
        <v>0</v>
      </c>
      <c r="AS50" s="346">
        <f t="shared" si="60"/>
        <v>0</v>
      </c>
      <c r="AT50" s="371">
        <f t="shared" si="60"/>
        <v>0</v>
      </c>
      <c r="AU50" s="371">
        <f t="shared" si="60"/>
        <v>0</v>
      </c>
      <c r="AV50" s="371">
        <f t="shared" si="60"/>
        <v>0</v>
      </c>
      <c r="AW50" s="371">
        <f t="shared" si="60"/>
        <v>0</v>
      </c>
      <c r="AX50" s="371">
        <f t="shared" si="60"/>
        <v>0</v>
      </c>
      <c r="AY50" s="371">
        <f t="shared" si="60"/>
        <v>0</v>
      </c>
      <c r="AZ50" s="371">
        <f t="shared" si="60"/>
        <v>0</v>
      </c>
      <c r="BA50" s="371">
        <f t="shared" si="60"/>
        <v>0</v>
      </c>
      <c r="BB50" s="371">
        <f t="shared" si="60"/>
        <v>0</v>
      </c>
      <c r="BC50" s="371">
        <f t="shared" si="60"/>
        <v>0</v>
      </c>
      <c r="BD50" s="357"/>
      <c r="BE50" s="357"/>
      <c r="BF50" s="357"/>
      <c r="BG50" s="480"/>
      <c r="BH50" s="380" t="e">
        <f t="shared" si="26"/>
        <v>#DIV/0!</v>
      </c>
      <c r="BI50" s="380" t="e">
        <f t="shared" si="27"/>
        <v>#DIV/0!</v>
      </c>
    </row>
    <row r="51" spans="1:61" s="358" customFormat="1" x14ac:dyDescent="0.3">
      <c r="A51" s="359"/>
      <c r="B51" s="341"/>
      <c r="C51" s="342"/>
      <c r="D51" s="360">
        <v>0.4</v>
      </c>
      <c r="E51" s="367"/>
      <c r="F51" s="340"/>
      <c r="G51" s="361"/>
      <c r="H51" s="377"/>
      <c r="I51" s="372"/>
      <c r="J51" s="372"/>
      <c r="K51" s="372"/>
      <c r="L51" s="372"/>
      <c r="M51" s="372"/>
      <c r="N51" s="372"/>
      <c r="O51" s="372"/>
      <c r="P51" s="372"/>
      <c r="Q51" s="372"/>
      <c r="R51" s="361"/>
      <c r="S51" s="361"/>
      <c r="T51" s="361"/>
      <c r="U51" s="362"/>
      <c r="V51" s="372" t="e">
        <f t="shared" si="13"/>
        <v>#DIV/0!</v>
      </c>
      <c r="W51" s="372" t="e">
        <f t="shared" si="14"/>
        <v>#DIV/0!</v>
      </c>
      <c r="X51" s="367"/>
      <c r="Y51" s="340"/>
      <c r="Z51" s="361"/>
      <c r="AA51" s="377"/>
      <c r="AB51" s="372"/>
      <c r="AC51" s="372"/>
      <c r="AD51" s="372"/>
      <c r="AE51" s="372"/>
      <c r="AF51" s="372"/>
      <c r="AG51" s="372"/>
      <c r="AH51" s="372"/>
      <c r="AI51" s="372"/>
      <c r="AJ51" s="372"/>
      <c r="AK51" s="361"/>
      <c r="AL51" s="361"/>
      <c r="AM51" s="361"/>
      <c r="AN51" s="362"/>
      <c r="AO51" s="372" t="e">
        <f t="shared" si="16"/>
        <v>#DIV/0!</v>
      </c>
      <c r="AP51" s="372" t="e">
        <f t="shared" si="17"/>
        <v>#DIV/0!</v>
      </c>
      <c r="AQ51" s="367"/>
      <c r="AR51" s="340"/>
      <c r="AS51" s="361"/>
      <c r="AT51" s="377"/>
      <c r="AU51" s="372"/>
      <c r="AV51" s="372"/>
      <c r="AW51" s="372"/>
      <c r="AX51" s="372"/>
      <c r="AY51" s="372"/>
      <c r="AZ51" s="372"/>
      <c r="BA51" s="372"/>
      <c r="BB51" s="372"/>
      <c r="BC51" s="372"/>
      <c r="BD51" s="361"/>
      <c r="BE51" s="361"/>
      <c r="BF51" s="361"/>
      <c r="BG51" s="362"/>
      <c r="BH51" s="372" t="e">
        <f t="shared" si="26"/>
        <v>#DIV/0!</v>
      </c>
      <c r="BI51" s="372" t="e">
        <f t="shared" si="27"/>
        <v>#DIV/0!</v>
      </c>
    </row>
    <row r="52" spans="1:61" s="358" customFormat="1" x14ac:dyDescent="0.3">
      <c r="A52" s="359"/>
      <c r="B52" s="341"/>
      <c r="C52" s="342"/>
      <c r="D52" s="360"/>
      <c r="E52" s="367"/>
      <c r="F52" s="340"/>
      <c r="G52" s="361"/>
      <c r="H52" s="377"/>
      <c r="I52" s="372"/>
      <c r="J52" s="372"/>
      <c r="K52" s="372"/>
      <c r="L52" s="372"/>
      <c r="M52" s="372"/>
      <c r="N52" s="372"/>
      <c r="O52" s="372"/>
      <c r="P52" s="372"/>
      <c r="Q52" s="372"/>
      <c r="R52" s="361"/>
      <c r="S52" s="361"/>
      <c r="T52" s="361"/>
      <c r="U52" s="362"/>
      <c r="V52" s="372" t="e">
        <f t="shared" si="13"/>
        <v>#DIV/0!</v>
      </c>
      <c r="W52" s="372" t="e">
        <f t="shared" si="14"/>
        <v>#DIV/0!</v>
      </c>
      <c r="X52" s="367"/>
      <c r="Y52" s="340"/>
      <c r="Z52" s="361"/>
      <c r="AA52" s="377"/>
      <c r="AB52" s="372"/>
      <c r="AC52" s="372"/>
      <c r="AD52" s="372"/>
      <c r="AE52" s="372"/>
      <c r="AF52" s="372"/>
      <c r="AG52" s="372"/>
      <c r="AH52" s="372"/>
      <c r="AI52" s="372"/>
      <c r="AJ52" s="372"/>
      <c r="AK52" s="361"/>
      <c r="AL52" s="361"/>
      <c r="AM52" s="361"/>
      <c r="AN52" s="362"/>
      <c r="AO52" s="372" t="e">
        <f t="shared" si="16"/>
        <v>#DIV/0!</v>
      </c>
      <c r="AP52" s="372" t="e">
        <f t="shared" si="17"/>
        <v>#DIV/0!</v>
      </c>
      <c r="AQ52" s="367"/>
      <c r="AR52" s="340"/>
      <c r="AS52" s="361"/>
      <c r="AT52" s="377"/>
      <c r="AU52" s="372"/>
      <c r="AV52" s="372"/>
      <c r="AW52" s="372"/>
      <c r="AX52" s="372"/>
      <c r="AY52" s="372"/>
      <c r="AZ52" s="372"/>
      <c r="BA52" s="372"/>
      <c r="BB52" s="372"/>
      <c r="BC52" s="372"/>
      <c r="BD52" s="361"/>
      <c r="BE52" s="361"/>
      <c r="BF52" s="361"/>
      <c r="BG52" s="362"/>
      <c r="BH52" s="372" t="e">
        <f t="shared" si="26"/>
        <v>#DIV/0!</v>
      </c>
      <c r="BI52" s="372" t="e">
        <f t="shared" si="27"/>
        <v>#DIV/0!</v>
      </c>
    </row>
    <row r="53" spans="1:61" s="358" customFormat="1" ht="69" x14ac:dyDescent="0.3">
      <c r="A53" s="417" t="s">
        <v>198</v>
      </c>
      <c r="B53" s="424" t="s">
        <v>199</v>
      </c>
      <c r="C53" s="424"/>
      <c r="D53" s="419"/>
      <c r="E53" s="466">
        <f>E54</f>
        <v>0</v>
      </c>
      <c r="F53" s="425">
        <f t="shared" ref="F53:G53" si="61">F54</f>
        <v>0</v>
      </c>
      <c r="G53" s="425">
        <f t="shared" si="61"/>
        <v>0</v>
      </c>
      <c r="H53" s="426">
        <f>H54</f>
        <v>0</v>
      </c>
      <c r="I53" s="426">
        <f t="shared" ref="I53:Q53" si="62">I54</f>
        <v>0</v>
      </c>
      <c r="J53" s="426">
        <f t="shared" si="62"/>
        <v>0</v>
      </c>
      <c r="K53" s="426">
        <f t="shared" si="62"/>
        <v>0</v>
      </c>
      <c r="L53" s="426">
        <f t="shared" si="62"/>
        <v>0</v>
      </c>
      <c r="M53" s="426">
        <f t="shared" si="62"/>
        <v>0</v>
      </c>
      <c r="N53" s="426">
        <f t="shared" si="62"/>
        <v>0</v>
      </c>
      <c r="O53" s="426">
        <f t="shared" si="62"/>
        <v>0</v>
      </c>
      <c r="P53" s="426">
        <f t="shared" si="62"/>
        <v>0</v>
      </c>
      <c r="Q53" s="426">
        <f t="shared" si="62"/>
        <v>0</v>
      </c>
      <c r="R53" s="427"/>
      <c r="S53" s="427"/>
      <c r="T53" s="427"/>
      <c r="U53" s="481"/>
      <c r="V53" s="428" t="e">
        <f t="shared" si="13"/>
        <v>#DIV/0!</v>
      </c>
      <c r="W53" s="428" t="e">
        <f t="shared" si="14"/>
        <v>#DIV/0!</v>
      </c>
      <c r="X53" s="466">
        <f>X54</f>
        <v>0</v>
      </c>
      <c r="Y53" s="425">
        <f t="shared" ref="Y53:Z53" si="63">Y54</f>
        <v>0</v>
      </c>
      <c r="Z53" s="425">
        <f t="shared" si="63"/>
        <v>0</v>
      </c>
      <c r="AA53" s="426">
        <f>AA54</f>
        <v>0</v>
      </c>
      <c r="AB53" s="426">
        <f t="shared" ref="AB53:AJ53" si="64">AB54</f>
        <v>0</v>
      </c>
      <c r="AC53" s="426">
        <f t="shared" si="64"/>
        <v>0</v>
      </c>
      <c r="AD53" s="426">
        <f t="shared" si="64"/>
        <v>0</v>
      </c>
      <c r="AE53" s="426">
        <f t="shared" si="64"/>
        <v>0</v>
      </c>
      <c r="AF53" s="426">
        <f t="shared" si="64"/>
        <v>0</v>
      </c>
      <c r="AG53" s="426">
        <f t="shared" si="64"/>
        <v>0</v>
      </c>
      <c r="AH53" s="426">
        <f t="shared" si="64"/>
        <v>0</v>
      </c>
      <c r="AI53" s="426">
        <f t="shared" si="64"/>
        <v>0</v>
      </c>
      <c r="AJ53" s="426">
        <f t="shared" si="64"/>
        <v>0</v>
      </c>
      <c r="AK53" s="427"/>
      <c r="AL53" s="427"/>
      <c r="AM53" s="427"/>
      <c r="AN53" s="481"/>
      <c r="AO53" s="428" t="e">
        <f t="shared" si="16"/>
        <v>#DIV/0!</v>
      </c>
      <c r="AP53" s="428" t="e">
        <f t="shared" si="17"/>
        <v>#DIV/0!</v>
      </c>
      <c r="AQ53" s="466">
        <f>AQ54</f>
        <v>0</v>
      </c>
      <c r="AR53" s="425">
        <f t="shared" ref="AR53:AS53" si="65">AR54</f>
        <v>0</v>
      </c>
      <c r="AS53" s="425">
        <f t="shared" si="65"/>
        <v>0</v>
      </c>
      <c r="AT53" s="426">
        <f>AT54</f>
        <v>0</v>
      </c>
      <c r="AU53" s="426">
        <f t="shared" ref="AU53:BC53" si="66">AU54</f>
        <v>0</v>
      </c>
      <c r="AV53" s="426">
        <f t="shared" si="66"/>
        <v>0</v>
      </c>
      <c r="AW53" s="426">
        <f t="shared" si="66"/>
        <v>0</v>
      </c>
      <c r="AX53" s="426">
        <f t="shared" si="66"/>
        <v>0</v>
      </c>
      <c r="AY53" s="426">
        <f t="shared" si="66"/>
        <v>0</v>
      </c>
      <c r="AZ53" s="426">
        <f t="shared" si="66"/>
        <v>0</v>
      </c>
      <c r="BA53" s="426">
        <f t="shared" si="66"/>
        <v>0</v>
      </c>
      <c r="BB53" s="426">
        <f t="shared" si="66"/>
        <v>0</v>
      </c>
      <c r="BC53" s="426">
        <f t="shared" si="66"/>
        <v>0</v>
      </c>
      <c r="BD53" s="427"/>
      <c r="BE53" s="427"/>
      <c r="BF53" s="427"/>
      <c r="BG53" s="481"/>
      <c r="BH53" s="428" t="e">
        <f t="shared" si="26"/>
        <v>#DIV/0!</v>
      </c>
      <c r="BI53" s="428" t="e">
        <f t="shared" si="27"/>
        <v>#DIV/0!</v>
      </c>
    </row>
    <row r="54" spans="1:61" s="358" customFormat="1" ht="24.75" customHeight="1" x14ac:dyDescent="0.3">
      <c r="A54" s="354" t="s">
        <v>178</v>
      </c>
      <c r="B54" s="355" t="s">
        <v>216</v>
      </c>
      <c r="C54" s="355"/>
      <c r="D54" s="356">
        <v>0.4</v>
      </c>
      <c r="E54" s="462">
        <f>SUM(E56)</f>
        <v>0</v>
      </c>
      <c r="F54" s="346">
        <f t="shared" ref="F54:Q54" si="67">SUM(F56)</f>
        <v>0</v>
      </c>
      <c r="G54" s="346">
        <f t="shared" si="67"/>
        <v>0</v>
      </c>
      <c r="H54" s="371">
        <f t="shared" si="67"/>
        <v>0</v>
      </c>
      <c r="I54" s="371">
        <f t="shared" si="67"/>
        <v>0</v>
      </c>
      <c r="J54" s="371">
        <f t="shared" si="67"/>
        <v>0</v>
      </c>
      <c r="K54" s="371">
        <f t="shared" si="67"/>
        <v>0</v>
      </c>
      <c r="L54" s="371">
        <f t="shared" si="67"/>
        <v>0</v>
      </c>
      <c r="M54" s="371">
        <f t="shared" si="67"/>
        <v>0</v>
      </c>
      <c r="N54" s="371">
        <f t="shared" si="67"/>
        <v>0</v>
      </c>
      <c r="O54" s="371">
        <f t="shared" si="67"/>
        <v>0</v>
      </c>
      <c r="P54" s="371">
        <f t="shared" si="67"/>
        <v>0</v>
      </c>
      <c r="Q54" s="371">
        <f t="shared" si="67"/>
        <v>0</v>
      </c>
      <c r="R54" s="357"/>
      <c r="S54" s="357"/>
      <c r="T54" s="357"/>
      <c r="U54" s="480"/>
      <c r="V54" s="380" t="e">
        <f t="shared" si="13"/>
        <v>#DIV/0!</v>
      </c>
      <c r="W54" s="380" t="e">
        <f t="shared" si="14"/>
        <v>#DIV/0!</v>
      </c>
      <c r="X54" s="462">
        <f>SUM(X56)</f>
        <v>0</v>
      </c>
      <c r="Y54" s="346">
        <f t="shared" ref="Y54:AJ54" si="68">SUM(Y56)</f>
        <v>0</v>
      </c>
      <c r="Z54" s="346">
        <f t="shared" si="68"/>
        <v>0</v>
      </c>
      <c r="AA54" s="371">
        <f t="shared" si="68"/>
        <v>0</v>
      </c>
      <c r="AB54" s="371">
        <f t="shared" si="68"/>
        <v>0</v>
      </c>
      <c r="AC54" s="371">
        <f t="shared" si="68"/>
        <v>0</v>
      </c>
      <c r="AD54" s="371">
        <f t="shared" si="68"/>
        <v>0</v>
      </c>
      <c r="AE54" s="371">
        <f t="shared" si="68"/>
        <v>0</v>
      </c>
      <c r="AF54" s="371">
        <f t="shared" si="68"/>
        <v>0</v>
      </c>
      <c r="AG54" s="371">
        <f t="shared" si="68"/>
        <v>0</v>
      </c>
      <c r="AH54" s="371">
        <f t="shared" si="68"/>
        <v>0</v>
      </c>
      <c r="AI54" s="371">
        <f t="shared" si="68"/>
        <v>0</v>
      </c>
      <c r="AJ54" s="371">
        <f t="shared" si="68"/>
        <v>0</v>
      </c>
      <c r="AK54" s="357"/>
      <c r="AL54" s="357"/>
      <c r="AM54" s="357"/>
      <c r="AN54" s="480"/>
      <c r="AO54" s="380" t="e">
        <f t="shared" si="16"/>
        <v>#DIV/0!</v>
      </c>
      <c r="AP54" s="380" t="e">
        <f t="shared" si="17"/>
        <v>#DIV/0!</v>
      </c>
      <c r="AQ54" s="462">
        <f>SUM(AQ56)</f>
        <v>0</v>
      </c>
      <c r="AR54" s="346">
        <f t="shared" ref="AR54:BC54" si="69">SUM(AR56)</f>
        <v>0</v>
      </c>
      <c r="AS54" s="346">
        <f t="shared" si="69"/>
        <v>0</v>
      </c>
      <c r="AT54" s="371">
        <f t="shared" si="69"/>
        <v>0</v>
      </c>
      <c r="AU54" s="371">
        <f t="shared" si="69"/>
        <v>0</v>
      </c>
      <c r="AV54" s="371">
        <f t="shared" si="69"/>
        <v>0</v>
      </c>
      <c r="AW54" s="371">
        <f t="shared" si="69"/>
        <v>0</v>
      </c>
      <c r="AX54" s="371">
        <f t="shared" si="69"/>
        <v>0</v>
      </c>
      <c r="AY54" s="371">
        <f t="shared" si="69"/>
        <v>0</v>
      </c>
      <c r="AZ54" s="371">
        <f t="shared" si="69"/>
        <v>0</v>
      </c>
      <c r="BA54" s="371">
        <f t="shared" si="69"/>
        <v>0</v>
      </c>
      <c r="BB54" s="371">
        <f t="shared" si="69"/>
        <v>0</v>
      </c>
      <c r="BC54" s="371">
        <f t="shared" si="69"/>
        <v>0</v>
      </c>
      <c r="BD54" s="357"/>
      <c r="BE54" s="357"/>
      <c r="BF54" s="357"/>
      <c r="BG54" s="480"/>
      <c r="BH54" s="380" t="e">
        <f t="shared" si="26"/>
        <v>#DIV/0!</v>
      </c>
      <c r="BI54" s="380" t="e">
        <f t="shared" si="27"/>
        <v>#DIV/0!</v>
      </c>
    </row>
    <row r="55" spans="1:61" s="358" customFormat="1" x14ac:dyDescent="0.3">
      <c r="A55" s="359" t="s">
        <v>143</v>
      </c>
      <c r="B55" s="341"/>
      <c r="C55" s="342"/>
      <c r="D55" s="360">
        <v>0.4</v>
      </c>
      <c r="E55" s="367"/>
      <c r="F55" s="340"/>
      <c r="G55" s="340"/>
      <c r="H55" s="377"/>
      <c r="I55" s="372"/>
      <c r="J55" s="372"/>
      <c r="K55" s="372"/>
      <c r="L55" s="372"/>
      <c r="M55" s="372"/>
      <c r="N55" s="372"/>
      <c r="O55" s="372"/>
      <c r="P55" s="372"/>
      <c r="Q55" s="372"/>
      <c r="R55" s="361"/>
      <c r="S55" s="361"/>
      <c r="T55" s="361"/>
      <c r="U55" s="362"/>
      <c r="V55" s="372" t="e">
        <f t="shared" si="13"/>
        <v>#DIV/0!</v>
      </c>
      <c r="W55" s="372" t="e">
        <f t="shared" si="14"/>
        <v>#DIV/0!</v>
      </c>
      <c r="X55" s="367"/>
      <c r="Y55" s="340"/>
      <c r="Z55" s="340"/>
      <c r="AA55" s="377"/>
      <c r="AB55" s="372"/>
      <c r="AC55" s="372"/>
      <c r="AD55" s="372"/>
      <c r="AE55" s="372"/>
      <c r="AF55" s="372"/>
      <c r="AG55" s="372"/>
      <c r="AH55" s="372"/>
      <c r="AI55" s="372"/>
      <c r="AJ55" s="372"/>
      <c r="AK55" s="361"/>
      <c r="AL55" s="361"/>
      <c r="AM55" s="361"/>
      <c r="AN55" s="362"/>
      <c r="AO55" s="372" t="e">
        <f t="shared" si="16"/>
        <v>#DIV/0!</v>
      </c>
      <c r="AP55" s="372" t="e">
        <f t="shared" si="17"/>
        <v>#DIV/0!</v>
      </c>
      <c r="AQ55" s="367"/>
      <c r="AR55" s="340"/>
      <c r="AS55" s="340"/>
      <c r="AT55" s="377"/>
      <c r="AU55" s="372"/>
      <c r="AV55" s="372"/>
      <c r="AW55" s="372"/>
      <c r="AX55" s="372"/>
      <c r="AY55" s="372"/>
      <c r="AZ55" s="372"/>
      <c r="BA55" s="372"/>
      <c r="BB55" s="372"/>
      <c r="BC55" s="372"/>
      <c r="BD55" s="361"/>
      <c r="BE55" s="361"/>
      <c r="BF55" s="361"/>
      <c r="BG55" s="362"/>
      <c r="BH55" s="372" t="e">
        <f t="shared" si="26"/>
        <v>#DIV/0!</v>
      </c>
      <c r="BI55" s="372" t="e">
        <f t="shared" si="27"/>
        <v>#DIV/0!</v>
      </c>
    </row>
    <row r="56" spans="1:61" s="358" customFormat="1" x14ac:dyDescent="0.3">
      <c r="A56" s="359"/>
      <c r="B56" s="341"/>
      <c r="C56" s="342"/>
      <c r="D56" s="360"/>
      <c r="E56" s="367"/>
      <c r="F56" s="340"/>
      <c r="G56" s="340"/>
      <c r="H56" s="377"/>
      <c r="I56" s="372"/>
      <c r="J56" s="372"/>
      <c r="K56" s="372"/>
      <c r="L56" s="372"/>
      <c r="M56" s="372"/>
      <c r="N56" s="372"/>
      <c r="O56" s="372"/>
      <c r="P56" s="372"/>
      <c r="Q56" s="372"/>
      <c r="R56" s="361"/>
      <c r="S56" s="361"/>
      <c r="T56" s="361"/>
      <c r="U56" s="362"/>
      <c r="V56" s="372" t="e">
        <f t="shared" si="13"/>
        <v>#DIV/0!</v>
      </c>
      <c r="W56" s="372" t="e">
        <f t="shared" si="14"/>
        <v>#DIV/0!</v>
      </c>
      <c r="X56" s="367"/>
      <c r="Y56" s="340"/>
      <c r="Z56" s="340"/>
      <c r="AA56" s="377"/>
      <c r="AB56" s="372"/>
      <c r="AC56" s="372"/>
      <c r="AD56" s="372"/>
      <c r="AE56" s="372"/>
      <c r="AF56" s="372"/>
      <c r="AG56" s="372"/>
      <c r="AH56" s="372"/>
      <c r="AI56" s="372"/>
      <c r="AJ56" s="372"/>
      <c r="AK56" s="361"/>
      <c r="AL56" s="361"/>
      <c r="AM56" s="361"/>
      <c r="AN56" s="362"/>
      <c r="AO56" s="372" t="e">
        <f t="shared" si="16"/>
        <v>#DIV/0!</v>
      </c>
      <c r="AP56" s="372" t="e">
        <f t="shared" si="17"/>
        <v>#DIV/0!</v>
      </c>
      <c r="AQ56" s="367"/>
      <c r="AR56" s="340"/>
      <c r="AS56" s="340"/>
      <c r="AT56" s="377"/>
      <c r="AU56" s="372"/>
      <c r="AV56" s="372"/>
      <c r="AW56" s="372"/>
      <c r="AX56" s="372"/>
      <c r="AY56" s="372"/>
      <c r="AZ56" s="372"/>
      <c r="BA56" s="372"/>
      <c r="BB56" s="372"/>
      <c r="BC56" s="372"/>
      <c r="BD56" s="361"/>
      <c r="BE56" s="361"/>
      <c r="BF56" s="361"/>
      <c r="BG56" s="362"/>
      <c r="BH56" s="372" t="e">
        <f t="shared" si="26"/>
        <v>#DIV/0!</v>
      </c>
      <c r="BI56" s="372" t="e">
        <f t="shared" si="27"/>
        <v>#DIV/0!</v>
      </c>
    </row>
    <row r="57" spans="1:61" s="358" customFormat="1" ht="69" x14ac:dyDescent="0.3">
      <c r="A57" s="417" t="s">
        <v>200</v>
      </c>
      <c r="B57" s="424" t="s">
        <v>206</v>
      </c>
      <c r="C57" s="424"/>
      <c r="D57" s="419"/>
      <c r="E57" s="466">
        <f t="shared" ref="E57:Q57" si="70">E58+E61+E64+E68+E71</f>
        <v>0</v>
      </c>
      <c r="F57" s="425">
        <f t="shared" si="70"/>
        <v>0</v>
      </c>
      <c r="G57" s="425">
        <f t="shared" si="70"/>
        <v>0</v>
      </c>
      <c r="H57" s="426">
        <f t="shared" si="70"/>
        <v>0</v>
      </c>
      <c r="I57" s="426">
        <f t="shared" si="70"/>
        <v>0</v>
      </c>
      <c r="J57" s="426">
        <f t="shared" si="70"/>
        <v>0</v>
      </c>
      <c r="K57" s="426">
        <f t="shared" si="70"/>
        <v>0</v>
      </c>
      <c r="L57" s="426">
        <f t="shared" si="70"/>
        <v>0</v>
      </c>
      <c r="M57" s="426">
        <f t="shared" si="70"/>
        <v>0</v>
      </c>
      <c r="N57" s="426">
        <f t="shared" si="70"/>
        <v>0</v>
      </c>
      <c r="O57" s="426">
        <f t="shared" si="70"/>
        <v>0</v>
      </c>
      <c r="P57" s="426">
        <f t="shared" si="70"/>
        <v>0</v>
      </c>
      <c r="Q57" s="426">
        <f t="shared" si="70"/>
        <v>0</v>
      </c>
      <c r="R57" s="427"/>
      <c r="S57" s="427"/>
      <c r="T57" s="427"/>
      <c r="U57" s="481"/>
      <c r="V57" s="428" t="e">
        <f t="shared" si="13"/>
        <v>#DIV/0!</v>
      </c>
      <c r="W57" s="428" t="e">
        <f t="shared" si="14"/>
        <v>#DIV/0!</v>
      </c>
      <c r="X57" s="466">
        <f t="shared" ref="X57:AJ57" si="71">X58+X61+X64+X68+X71</f>
        <v>0</v>
      </c>
      <c r="Y57" s="425">
        <f t="shared" si="71"/>
        <v>0</v>
      </c>
      <c r="Z57" s="425">
        <f t="shared" si="71"/>
        <v>0</v>
      </c>
      <c r="AA57" s="426">
        <f t="shared" si="71"/>
        <v>0</v>
      </c>
      <c r="AB57" s="426">
        <f t="shared" si="71"/>
        <v>0</v>
      </c>
      <c r="AC57" s="426">
        <f t="shared" si="71"/>
        <v>0</v>
      </c>
      <c r="AD57" s="426">
        <f t="shared" si="71"/>
        <v>0</v>
      </c>
      <c r="AE57" s="426">
        <f t="shared" si="71"/>
        <v>0</v>
      </c>
      <c r="AF57" s="426">
        <f t="shared" si="71"/>
        <v>0</v>
      </c>
      <c r="AG57" s="426">
        <f t="shared" si="71"/>
        <v>0</v>
      </c>
      <c r="AH57" s="426">
        <f t="shared" si="71"/>
        <v>0</v>
      </c>
      <c r="AI57" s="426">
        <f t="shared" si="71"/>
        <v>0</v>
      </c>
      <c r="AJ57" s="426">
        <f t="shared" si="71"/>
        <v>0</v>
      </c>
      <c r="AK57" s="427"/>
      <c r="AL57" s="427"/>
      <c r="AM57" s="427"/>
      <c r="AN57" s="481"/>
      <c r="AO57" s="428" t="e">
        <f t="shared" si="16"/>
        <v>#DIV/0!</v>
      </c>
      <c r="AP57" s="428" t="e">
        <f t="shared" si="17"/>
        <v>#DIV/0!</v>
      </c>
      <c r="AQ57" s="466">
        <f t="shared" ref="AQ57:BC57" si="72">AQ58+AQ61+AQ64+AQ68+AQ71</f>
        <v>0</v>
      </c>
      <c r="AR57" s="425">
        <f t="shared" si="72"/>
        <v>0</v>
      </c>
      <c r="AS57" s="425">
        <f t="shared" si="72"/>
        <v>0</v>
      </c>
      <c r="AT57" s="426">
        <f t="shared" si="72"/>
        <v>0</v>
      </c>
      <c r="AU57" s="426">
        <f t="shared" si="72"/>
        <v>0</v>
      </c>
      <c r="AV57" s="426">
        <f t="shared" si="72"/>
        <v>0</v>
      </c>
      <c r="AW57" s="426">
        <f t="shared" si="72"/>
        <v>0</v>
      </c>
      <c r="AX57" s="426">
        <f t="shared" si="72"/>
        <v>0</v>
      </c>
      <c r="AY57" s="426">
        <f t="shared" si="72"/>
        <v>0</v>
      </c>
      <c r="AZ57" s="426">
        <f t="shared" si="72"/>
        <v>0</v>
      </c>
      <c r="BA57" s="426">
        <f t="shared" si="72"/>
        <v>0</v>
      </c>
      <c r="BB57" s="426">
        <f t="shared" si="72"/>
        <v>0</v>
      </c>
      <c r="BC57" s="426">
        <f t="shared" si="72"/>
        <v>0</v>
      </c>
      <c r="BD57" s="427"/>
      <c r="BE57" s="427"/>
      <c r="BF57" s="427"/>
      <c r="BG57" s="481"/>
      <c r="BH57" s="428" t="e">
        <f t="shared" si="26"/>
        <v>#DIV/0!</v>
      </c>
      <c r="BI57" s="428" t="e">
        <f t="shared" si="27"/>
        <v>#DIV/0!</v>
      </c>
    </row>
    <row r="58" spans="1:61" s="358" customFormat="1" ht="24.75" customHeight="1" x14ac:dyDescent="0.3">
      <c r="A58" s="354" t="s">
        <v>178</v>
      </c>
      <c r="B58" s="355" t="s">
        <v>217</v>
      </c>
      <c r="C58" s="355"/>
      <c r="D58" s="356">
        <v>0.4</v>
      </c>
      <c r="E58" s="462">
        <f t="shared" ref="E58:Q58" si="73">SUM(E59:E60)</f>
        <v>0</v>
      </c>
      <c r="F58" s="346">
        <f t="shared" si="73"/>
        <v>0</v>
      </c>
      <c r="G58" s="346">
        <f t="shared" si="73"/>
        <v>0</v>
      </c>
      <c r="H58" s="371">
        <f t="shared" si="73"/>
        <v>0</v>
      </c>
      <c r="I58" s="371">
        <f t="shared" si="73"/>
        <v>0</v>
      </c>
      <c r="J58" s="371">
        <f t="shared" si="73"/>
        <v>0</v>
      </c>
      <c r="K58" s="371">
        <f t="shared" si="73"/>
        <v>0</v>
      </c>
      <c r="L58" s="371">
        <f t="shared" si="73"/>
        <v>0</v>
      </c>
      <c r="M58" s="371">
        <f t="shared" si="73"/>
        <v>0</v>
      </c>
      <c r="N58" s="371">
        <f t="shared" si="73"/>
        <v>0</v>
      </c>
      <c r="O58" s="371">
        <f t="shared" si="73"/>
        <v>0</v>
      </c>
      <c r="P58" s="371">
        <f t="shared" si="73"/>
        <v>0</v>
      </c>
      <c r="Q58" s="371">
        <f t="shared" si="73"/>
        <v>0</v>
      </c>
      <c r="R58" s="357"/>
      <c r="S58" s="357"/>
      <c r="T58" s="357"/>
      <c r="U58" s="480"/>
      <c r="V58" s="380" t="e">
        <f t="shared" si="13"/>
        <v>#DIV/0!</v>
      </c>
      <c r="W58" s="380" t="e">
        <f t="shared" si="14"/>
        <v>#DIV/0!</v>
      </c>
      <c r="X58" s="462">
        <f t="shared" ref="X58:AJ58" si="74">SUM(X59:X60)</f>
        <v>0</v>
      </c>
      <c r="Y58" s="346">
        <f t="shared" si="74"/>
        <v>0</v>
      </c>
      <c r="Z58" s="346">
        <f t="shared" si="74"/>
        <v>0</v>
      </c>
      <c r="AA58" s="371">
        <f t="shared" si="74"/>
        <v>0</v>
      </c>
      <c r="AB58" s="371">
        <f t="shared" si="74"/>
        <v>0</v>
      </c>
      <c r="AC58" s="371">
        <f t="shared" si="74"/>
        <v>0</v>
      </c>
      <c r="AD58" s="371">
        <f t="shared" si="74"/>
        <v>0</v>
      </c>
      <c r="AE58" s="371">
        <f t="shared" si="74"/>
        <v>0</v>
      </c>
      <c r="AF58" s="371">
        <f t="shared" si="74"/>
        <v>0</v>
      </c>
      <c r="AG58" s="371">
        <f t="shared" si="74"/>
        <v>0</v>
      </c>
      <c r="AH58" s="371">
        <f t="shared" si="74"/>
        <v>0</v>
      </c>
      <c r="AI58" s="371">
        <f t="shared" si="74"/>
        <v>0</v>
      </c>
      <c r="AJ58" s="371">
        <f t="shared" si="74"/>
        <v>0</v>
      </c>
      <c r="AK58" s="357"/>
      <c r="AL58" s="357"/>
      <c r="AM58" s="357"/>
      <c r="AN58" s="480"/>
      <c r="AO58" s="380" t="e">
        <f t="shared" si="16"/>
        <v>#DIV/0!</v>
      </c>
      <c r="AP58" s="380" t="e">
        <f t="shared" si="17"/>
        <v>#DIV/0!</v>
      </c>
      <c r="AQ58" s="462">
        <f t="shared" ref="AQ58:BC58" si="75">SUM(AQ59:AQ60)</f>
        <v>0</v>
      </c>
      <c r="AR58" s="346">
        <f t="shared" si="75"/>
        <v>0</v>
      </c>
      <c r="AS58" s="346">
        <f t="shared" si="75"/>
        <v>0</v>
      </c>
      <c r="AT58" s="371">
        <f t="shared" si="75"/>
        <v>0</v>
      </c>
      <c r="AU58" s="371">
        <f t="shared" si="75"/>
        <v>0</v>
      </c>
      <c r="AV58" s="371">
        <f t="shared" si="75"/>
        <v>0</v>
      </c>
      <c r="AW58" s="371">
        <f t="shared" si="75"/>
        <v>0</v>
      </c>
      <c r="AX58" s="371">
        <f t="shared" si="75"/>
        <v>0</v>
      </c>
      <c r="AY58" s="371">
        <f t="shared" si="75"/>
        <v>0</v>
      </c>
      <c r="AZ58" s="371">
        <f t="shared" si="75"/>
        <v>0</v>
      </c>
      <c r="BA58" s="371">
        <f t="shared" si="75"/>
        <v>0</v>
      </c>
      <c r="BB58" s="371">
        <f t="shared" si="75"/>
        <v>0</v>
      </c>
      <c r="BC58" s="371">
        <f t="shared" si="75"/>
        <v>0</v>
      </c>
      <c r="BD58" s="357"/>
      <c r="BE58" s="357"/>
      <c r="BF58" s="357"/>
      <c r="BG58" s="480"/>
      <c r="BH58" s="380" t="e">
        <f t="shared" si="26"/>
        <v>#DIV/0!</v>
      </c>
      <c r="BI58" s="380" t="e">
        <f t="shared" si="27"/>
        <v>#DIV/0!</v>
      </c>
    </row>
    <row r="59" spans="1:61" s="358" customFormat="1" ht="21.75" customHeight="1" x14ac:dyDescent="0.3">
      <c r="A59" s="359" t="s">
        <v>143</v>
      </c>
      <c r="B59" s="341"/>
      <c r="C59" s="376"/>
      <c r="D59" s="360">
        <v>0.4</v>
      </c>
      <c r="E59" s="467"/>
      <c r="F59" s="343"/>
      <c r="G59" s="343"/>
      <c r="H59" s="372"/>
      <c r="I59" s="372"/>
      <c r="J59" s="372"/>
      <c r="K59" s="372"/>
      <c r="L59" s="372"/>
      <c r="M59" s="372"/>
      <c r="N59" s="372"/>
      <c r="O59" s="372"/>
      <c r="P59" s="372"/>
      <c r="Q59" s="372"/>
      <c r="R59" s="361"/>
      <c r="S59" s="361"/>
      <c r="T59" s="361"/>
      <c r="U59" s="362"/>
      <c r="V59" s="372" t="e">
        <f t="shared" si="13"/>
        <v>#DIV/0!</v>
      </c>
      <c r="W59" s="372" t="e">
        <f t="shared" si="14"/>
        <v>#DIV/0!</v>
      </c>
      <c r="X59" s="467"/>
      <c r="Y59" s="343"/>
      <c r="Z59" s="343"/>
      <c r="AA59" s="372"/>
      <c r="AB59" s="372"/>
      <c r="AC59" s="372"/>
      <c r="AD59" s="372"/>
      <c r="AE59" s="372"/>
      <c r="AF59" s="372"/>
      <c r="AG59" s="372"/>
      <c r="AH59" s="372"/>
      <c r="AI59" s="372"/>
      <c r="AJ59" s="372"/>
      <c r="AK59" s="361"/>
      <c r="AL59" s="361"/>
      <c r="AM59" s="361"/>
      <c r="AN59" s="362"/>
      <c r="AO59" s="372" t="e">
        <f t="shared" si="16"/>
        <v>#DIV/0!</v>
      </c>
      <c r="AP59" s="372" t="e">
        <f t="shared" si="17"/>
        <v>#DIV/0!</v>
      </c>
      <c r="AQ59" s="467"/>
      <c r="AR59" s="343"/>
      <c r="AS59" s="343"/>
      <c r="AT59" s="372"/>
      <c r="AU59" s="372"/>
      <c r="AV59" s="372"/>
      <c r="AW59" s="372"/>
      <c r="AX59" s="372"/>
      <c r="AY59" s="372"/>
      <c r="AZ59" s="372"/>
      <c r="BA59" s="372"/>
      <c r="BB59" s="372"/>
      <c r="BC59" s="372"/>
      <c r="BD59" s="361"/>
      <c r="BE59" s="361"/>
      <c r="BF59" s="361"/>
      <c r="BG59" s="362"/>
      <c r="BH59" s="372" t="e">
        <f t="shared" si="26"/>
        <v>#DIV/0!</v>
      </c>
      <c r="BI59" s="372" t="e">
        <f t="shared" si="27"/>
        <v>#DIV/0!</v>
      </c>
    </row>
    <row r="60" spans="1:61" s="358" customFormat="1" x14ac:dyDescent="0.3">
      <c r="A60" s="359"/>
      <c r="B60" s="341"/>
      <c r="C60" s="342"/>
      <c r="D60" s="360"/>
      <c r="E60" s="367"/>
      <c r="F60" s="345"/>
      <c r="G60" s="361"/>
      <c r="H60" s="374"/>
      <c r="I60" s="372"/>
      <c r="J60" s="372"/>
      <c r="K60" s="372"/>
      <c r="L60" s="372"/>
      <c r="M60" s="372"/>
      <c r="N60" s="372"/>
      <c r="O60" s="372"/>
      <c r="P60" s="372"/>
      <c r="Q60" s="372"/>
      <c r="R60" s="361"/>
      <c r="S60" s="361"/>
      <c r="T60" s="361"/>
      <c r="U60" s="362"/>
      <c r="V60" s="372" t="e">
        <f t="shared" si="13"/>
        <v>#DIV/0!</v>
      </c>
      <c r="W60" s="372" t="e">
        <f t="shared" si="14"/>
        <v>#DIV/0!</v>
      </c>
      <c r="X60" s="367"/>
      <c r="Y60" s="345"/>
      <c r="Z60" s="361"/>
      <c r="AA60" s="374"/>
      <c r="AB60" s="372"/>
      <c r="AC60" s="372"/>
      <c r="AD60" s="372"/>
      <c r="AE60" s="372"/>
      <c r="AF60" s="372"/>
      <c r="AG60" s="372"/>
      <c r="AH60" s="372"/>
      <c r="AI60" s="372"/>
      <c r="AJ60" s="372"/>
      <c r="AK60" s="361"/>
      <c r="AL60" s="361"/>
      <c r="AM60" s="361"/>
      <c r="AN60" s="362"/>
      <c r="AO60" s="372" t="e">
        <f t="shared" si="16"/>
        <v>#DIV/0!</v>
      </c>
      <c r="AP60" s="372" t="e">
        <f t="shared" si="17"/>
        <v>#DIV/0!</v>
      </c>
      <c r="AQ60" s="367"/>
      <c r="AR60" s="345"/>
      <c r="AS60" s="361"/>
      <c r="AT60" s="374"/>
      <c r="AU60" s="372"/>
      <c r="AV60" s="372"/>
      <c r="AW60" s="372"/>
      <c r="AX60" s="372"/>
      <c r="AY60" s="372"/>
      <c r="AZ60" s="372"/>
      <c r="BA60" s="372"/>
      <c r="BB60" s="372"/>
      <c r="BC60" s="372"/>
      <c r="BD60" s="361"/>
      <c r="BE60" s="361"/>
      <c r="BF60" s="361"/>
      <c r="BG60" s="362"/>
      <c r="BH60" s="372" t="e">
        <f t="shared" si="26"/>
        <v>#DIV/0!</v>
      </c>
      <c r="BI60" s="372" t="e">
        <f t="shared" si="27"/>
        <v>#DIV/0!</v>
      </c>
    </row>
    <row r="61" spans="1:61" s="358" customFormat="1" ht="24.75" customHeight="1" x14ac:dyDescent="0.3">
      <c r="A61" s="354" t="s">
        <v>182</v>
      </c>
      <c r="B61" s="355" t="s">
        <v>201</v>
      </c>
      <c r="C61" s="355"/>
      <c r="D61" s="356">
        <v>0.4</v>
      </c>
      <c r="E61" s="462">
        <f t="shared" ref="E61:Q61" si="76">SUM(E62:E63)</f>
        <v>0</v>
      </c>
      <c r="F61" s="346">
        <f t="shared" si="76"/>
        <v>0</v>
      </c>
      <c r="G61" s="346">
        <f t="shared" si="76"/>
        <v>0</v>
      </c>
      <c r="H61" s="371">
        <f t="shared" si="76"/>
        <v>0</v>
      </c>
      <c r="I61" s="371">
        <f t="shared" si="76"/>
        <v>0</v>
      </c>
      <c r="J61" s="371">
        <f t="shared" si="76"/>
        <v>0</v>
      </c>
      <c r="K61" s="371">
        <f t="shared" si="76"/>
        <v>0</v>
      </c>
      <c r="L61" s="371">
        <f t="shared" si="76"/>
        <v>0</v>
      </c>
      <c r="M61" s="371">
        <f t="shared" si="76"/>
        <v>0</v>
      </c>
      <c r="N61" s="371">
        <f t="shared" si="76"/>
        <v>0</v>
      </c>
      <c r="O61" s="371">
        <f t="shared" si="76"/>
        <v>0</v>
      </c>
      <c r="P61" s="371">
        <f t="shared" si="76"/>
        <v>0</v>
      </c>
      <c r="Q61" s="371">
        <f t="shared" si="76"/>
        <v>0</v>
      </c>
      <c r="R61" s="357"/>
      <c r="S61" s="357"/>
      <c r="T61" s="357"/>
      <c r="U61" s="480"/>
      <c r="V61" s="380" t="e">
        <f t="shared" si="13"/>
        <v>#DIV/0!</v>
      </c>
      <c r="W61" s="380" t="e">
        <f t="shared" si="14"/>
        <v>#DIV/0!</v>
      </c>
      <c r="X61" s="462">
        <f t="shared" ref="X61:AJ61" si="77">SUM(X62:X63)</f>
        <v>0</v>
      </c>
      <c r="Y61" s="346">
        <f t="shared" si="77"/>
        <v>0</v>
      </c>
      <c r="Z61" s="346">
        <f t="shared" si="77"/>
        <v>0</v>
      </c>
      <c r="AA61" s="371">
        <f t="shared" si="77"/>
        <v>0</v>
      </c>
      <c r="AB61" s="371">
        <f t="shared" si="77"/>
        <v>0</v>
      </c>
      <c r="AC61" s="371">
        <f t="shared" si="77"/>
        <v>0</v>
      </c>
      <c r="AD61" s="371">
        <f t="shared" si="77"/>
        <v>0</v>
      </c>
      <c r="AE61" s="371">
        <f t="shared" si="77"/>
        <v>0</v>
      </c>
      <c r="AF61" s="371">
        <f t="shared" si="77"/>
        <v>0</v>
      </c>
      <c r="AG61" s="371">
        <f t="shared" si="77"/>
        <v>0</v>
      </c>
      <c r="AH61" s="371">
        <f t="shared" si="77"/>
        <v>0</v>
      </c>
      <c r="AI61" s="371">
        <f t="shared" si="77"/>
        <v>0</v>
      </c>
      <c r="AJ61" s="371">
        <f t="shared" si="77"/>
        <v>0</v>
      </c>
      <c r="AK61" s="357"/>
      <c r="AL61" s="357"/>
      <c r="AM61" s="357"/>
      <c r="AN61" s="480"/>
      <c r="AO61" s="380" t="e">
        <f t="shared" si="16"/>
        <v>#DIV/0!</v>
      </c>
      <c r="AP61" s="380" t="e">
        <f t="shared" si="17"/>
        <v>#DIV/0!</v>
      </c>
      <c r="AQ61" s="462">
        <f t="shared" ref="AQ61:BC61" si="78">SUM(AQ62:AQ63)</f>
        <v>0</v>
      </c>
      <c r="AR61" s="346">
        <f t="shared" si="78"/>
        <v>0</v>
      </c>
      <c r="AS61" s="346">
        <f t="shared" si="78"/>
        <v>0</v>
      </c>
      <c r="AT61" s="371">
        <f t="shared" si="78"/>
        <v>0</v>
      </c>
      <c r="AU61" s="371">
        <f t="shared" si="78"/>
        <v>0</v>
      </c>
      <c r="AV61" s="371">
        <f t="shared" si="78"/>
        <v>0</v>
      </c>
      <c r="AW61" s="371">
        <f t="shared" si="78"/>
        <v>0</v>
      </c>
      <c r="AX61" s="371">
        <f t="shared" si="78"/>
        <v>0</v>
      </c>
      <c r="AY61" s="371">
        <f t="shared" si="78"/>
        <v>0</v>
      </c>
      <c r="AZ61" s="371">
        <f t="shared" si="78"/>
        <v>0</v>
      </c>
      <c r="BA61" s="371">
        <f t="shared" si="78"/>
        <v>0</v>
      </c>
      <c r="BB61" s="371">
        <f t="shared" si="78"/>
        <v>0</v>
      </c>
      <c r="BC61" s="371">
        <f t="shared" si="78"/>
        <v>0</v>
      </c>
      <c r="BD61" s="357"/>
      <c r="BE61" s="357"/>
      <c r="BF61" s="357"/>
      <c r="BG61" s="480"/>
      <c r="BH61" s="380" t="e">
        <f t="shared" si="26"/>
        <v>#DIV/0!</v>
      </c>
      <c r="BI61" s="380" t="e">
        <f t="shared" si="27"/>
        <v>#DIV/0!</v>
      </c>
    </row>
    <row r="62" spans="1:61" s="358" customFormat="1" ht="14.4" customHeight="1" x14ac:dyDescent="0.3">
      <c r="A62" s="359" t="s">
        <v>183</v>
      </c>
      <c r="B62" s="341"/>
      <c r="C62" s="376"/>
      <c r="D62" s="360">
        <v>0.4</v>
      </c>
      <c r="E62" s="467"/>
      <c r="F62" s="343"/>
      <c r="G62" s="343"/>
      <c r="H62" s="372"/>
      <c r="I62" s="372"/>
      <c r="J62" s="372"/>
      <c r="K62" s="372"/>
      <c r="L62" s="372"/>
      <c r="M62" s="372"/>
      <c r="N62" s="372"/>
      <c r="O62" s="372"/>
      <c r="P62" s="372"/>
      <c r="Q62" s="372"/>
      <c r="R62" s="361"/>
      <c r="S62" s="361"/>
      <c r="T62" s="361"/>
      <c r="U62" s="362"/>
      <c r="V62" s="372" t="e">
        <f t="shared" si="13"/>
        <v>#DIV/0!</v>
      </c>
      <c r="W62" s="372" t="e">
        <f t="shared" si="14"/>
        <v>#DIV/0!</v>
      </c>
      <c r="X62" s="467"/>
      <c r="Y62" s="343"/>
      <c r="Z62" s="343"/>
      <c r="AA62" s="372"/>
      <c r="AB62" s="372"/>
      <c r="AC62" s="372"/>
      <c r="AD62" s="372"/>
      <c r="AE62" s="372"/>
      <c r="AF62" s="372"/>
      <c r="AG62" s="372"/>
      <c r="AH62" s="372"/>
      <c r="AI62" s="372"/>
      <c r="AJ62" s="372"/>
      <c r="AK62" s="361"/>
      <c r="AL62" s="361"/>
      <c r="AM62" s="361"/>
      <c r="AN62" s="362"/>
      <c r="AO62" s="372" t="e">
        <f t="shared" si="16"/>
        <v>#DIV/0!</v>
      </c>
      <c r="AP62" s="372" t="e">
        <f t="shared" si="17"/>
        <v>#DIV/0!</v>
      </c>
      <c r="AQ62" s="467"/>
      <c r="AR62" s="343"/>
      <c r="AS62" s="343"/>
      <c r="AT62" s="372"/>
      <c r="AU62" s="372"/>
      <c r="AV62" s="372"/>
      <c r="AW62" s="372"/>
      <c r="AX62" s="372"/>
      <c r="AY62" s="372"/>
      <c r="AZ62" s="372"/>
      <c r="BA62" s="372"/>
      <c r="BB62" s="372"/>
      <c r="BC62" s="372"/>
      <c r="BD62" s="361"/>
      <c r="BE62" s="361"/>
      <c r="BF62" s="361"/>
      <c r="BG62" s="362"/>
      <c r="BH62" s="372" t="e">
        <f t="shared" si="26"/>
        <v>#DIV/0!</v>
      </c>
      <c r="BI62" s="372" t="e">
        <f t="shared" si="27"/>
        <v>#DIV/0!</v>
      </c>
    </row>
    <row r="63" spans="1:61" s="358" customFormat="1" x14ac:dyDescent="0.3">
      <c r="A63" s="359"/>
      <c r="B63" s="341"/>
      <c r="C63" s="347"/>
      <c r="D63" s="360"/>
      <c r="E63" s="367"/>
      <c r="F63" s="345"/>
      <c r="G63" s="361"/>
      <c r="H63" s="372"/>
      <c r="I63" s="372"/>
      <c r="J63" s="372"/>
      <c r="K63" s="372"/>
      <c r="L63" s="372"/>
      <c r="M63" s="372"/>
      <c r="N63" s="372"/>
      <c r="O63" s="372"/>
      <c r="P63" s="372"/>
      <c r="Q63" s="372"/>
      <c r="R63" s="361"/>
      <c r="S63" s="361"/>
      <c r="T63" s="361"/>
      <c r="U63" s="362"/>
      <c r="V63" s="372" t="e">
        <f t="shared" si="13"/>
        <v>#DIV/0!</v>
      </c>
      <c r="W63" s="372" t="e">
        <f t="shared" si="14"/>
        <v>#DIV/0!</v>
      </c>
      <c r="X63" s="367"/>
      <c r="Y63" s="345"/>
      <c r="Z63" s="361"/>
      <c r="AA63" s="372"/>
      <c r="AB63" s="372"/>
      <c r="AC63" s="372"/>
      <c r="AD63" s="372"/>
      <c r="AE63" s="372"/>
      <c r="AF63" s="372"/>
      <c r="AG63" s="372"/>
      <c r="AH63" s="372"/>
      <c r="AI63" s="372"/>
      <c r="AJ63" s="372"/>
      <c r="AK63" s="361"/>
      <c r="AL63" s="361"/>
      <c r="AM63" s="361"/>
      <c r="AN63" s="362"/>
      <c r="AO63" s="372" t="e">
        <f t="shared" si="16"/>
        <v>#DIV/0!</v>
      </c>
      <c r="AP63" s="372" t="e">
        <f t="shared" si="17"/>
        <v>#DIV/0!</v>
      </c>
      <c r="AQ63" s="367"/>
      <c r="AR63" s="345"/>
      <c r="AS63" s="361"/>
      <c r="AT63" s="372"/>
      <c r="AU63" s="372"/>
      <c r="AV63" s="372"/>
      <c r="AW63" s="372"/>
      <c r="AX63" s="372"/>
      <c r="AY63" s="372"/>
      <c r="AZ63" s="372"/>
      <c r="BA63" s="372"/>
      <c r="BB63" s="372"/>
      <c r="BC63" s="372"/>
      <c r="BD63" s="361"/>
      <c r="BE63" s="361"/>
      <c r="BF63" s="361"/>
      <c r="BG63" s="362"/>
      <c r="BH63" s="372" t="e">
        <f t="shared" si="26"/>
        <v>#DIV/0!</v>
      </c>
      <c r="BI63" s="372" t="e">
        <f t="shared" si="27"/>
        <v>#DIV/0!</v>
      </c>
    </row>
    <row r="64" spans="1:61" s="358" customFormat="1" ht="24.75" customHeight="1" x14ac:dyDescent="0.3">
      <c r="A64" s="354" t="s">
        <v>184</v>
      </c>
      <c r="B64" s="355" t="s">
        <v>218</v>
      </c>
      <c r="C64" s="355"/>
      <c r="D64" s="356">
        <v>6</v>
      </c>
      <c r="E64" s="462">
        <f t="shared" ref="E64:Q64" si="79">SUM(E65:E67)</f>
        <v>0</v>
      </c>
      <c r="F64" s="346">
        <f t="shared" si="79"/>
        <v>0</v>
      </c>
      <c r="G64" s="346">
        <f t="shared" si="79"/>
        <v>0</v>
      </c>
      <c r="H64" s="371">
        <f t="shared" si="79"/>
        <v>0</v>
      </c>
      <c r="I64" s="371">
        <f t="shared" si="79"/>
        <v>0</v>
      </c>
      <c r="J64" s="371">
        <f t="shared" si="79"/>
        <v>0</v>
      </c>
      <c r="K64" s="371">
        <f t="shared" si="79"/>
        <v>0</v>
      </c>
      <c r="L64" s="371">
        <f t="shared" si="79"/>
        <v>0</v>
      </c>
      <c r="M64" s="371">
        <f t="shared" si="79"/>
        <v>0</v>
      </c>
      <c r="N64" s="371">
        <f t="shared" si="79"/>
        <v>0</v>
      </c>
      <c r="O64" s="371">
        <f t="shared" si="79"/>
        <v>0</v>
      </c>
      <c r="P64" s="371">
        <f t="shared" si="79"/>
        <v>0</v>
      </c>
      <c r="Q64" s="371">
        <f t="shared" si="79"/>
        <v>0</v>
      </c>
      <c r="R64" s="357"/>
      <c r="S64" s="357"/>
      <c r="T64" s="357"/>
      <c r="U64" s="480"/>
      <c r="V64" s="380" t="e">
        <f t="shared" si="13"/>
        <v>#DIV/0!</v>
      </c>
      <c r="W64" s="380" t="e">
        <f t="shared" si="14"/>
        <v>#DIV/0!</v>
      </c>
      <c r="X64" s="462">
        <f t="shared" ref="X64:AJ64" si="80">SUM(X65:X67)</f>
        <v>0</v>
      </c>
      <c r="Y64" s="346">
        <f t="shared" si="80"/>
        <v>0</v>
      </c>
      <c r="Z64" s="346">
        <f t="shared" si="80"/>
        <v>0</v>
      </c>
      <c r="AA64" s="371">
        <f t="shared" si="80"/>
        <v>0</v>
      </c>
      <c r="AB64" s="371">
        <f t="shared" si="80"/>
        <v>0</v>
      </c>
      <c r="AC64" s="371">
        <f t="shared" si="80"/>
        <v>0</v>
      </c>
      <c r="AD64" s="371">
        <f t="shared" si="80"/>
        <v>0</v>
      </c>
      <c r="AE64" s="371">
        <f t="shared" si="80"/>
        <v>0</v>
      </c>
      <c r="AF64" s="371">
        <f t="shared" si="80"/>
        <v>0</v>
      </c>
      <c r="AG64" s="371">
        <f t="shared" si="80"/>
        <v>0</v>
      </c>
      <c r="AH64" s="371">
        <f t="shared" si="80"/>
        <v>0</v>
      </c>
      <c r="AI64" s="371">
        <f t="shared" si="80"/>
        <v>0</v>
      </c>
      <c r="AJ64" s="371">
        <f t="shared" si="80"/>
        <v>0</v>
      </c>
      <c r="AK64" s="357"/>
      <c r="AL64" s="357"/>
      <c r="AM64" s="357"/>
      <c r="AN64" s="480"/>
      <c r="AO64" s="380" t="e">
        <f t="shared" si="16"/>
        <v>#DIV/0!</v>
      </c>
      <c r="AP64" s="380" t="e">
        <f t="shared" si="17"/>
        <v>#DIV/0!</v>
      </c>
      <c r="AQ64" s="462">
        <f t="shared" ref="AQ64:BC64" si="81">SUM(AQ65:AQ67)</f>
        <v>0</v>
      </c>
      <c r="AR64" s="346">
        <f t="shared" si="81"/>
        <v>0</v>
      </c>
      <c r="AS64" s="346">
        <f t="shared" si="81"/>
        <v>0</v>
      </c>
      <c r="AT64" s="371">
        <f t="shared" si="81"/>
        <v>0</v>
      </c>
      <c r="AU64" s="371">
        <f t="shared" si="81"/>
        <v>0</v>
      </c>
      <c r="AV64" s="371">
        <f t="shared" si="81"/>
        <v>0</v>
      </c>
      <c r="AW64" s="371">
        <f t="shared" si="81"/>
        <v>0</v>
      </c>
      <c r="AX64" s="371">
        <f t="shared" si="81"/>
        <v>0</v>
      </c>
      <c r="AY64" s="371">
        <f t="shared" si="81"/>
        <v>0</v>
      </c>
      <c r="AZ64" s="371">
        <f t="shared" si="81"/>
        <v>0</v>
      </c>
      <c r="BA64" s="371">
        <f t="shared" si="81"/>
        <v>0</v>
      </c>
      <c r="BB64" s="371">
        <f t="shared" si="81"/>
        <v>0</v>
      </c>
      <c r="BC64" s="371">
        <f t="shared" si="81"/>
        <v>0</v>
      </c>
      <c r="BD64" s="357"/>
      <c r="BE64" s="357"/>
      <c r="BF64" s="357"/>
      <c r="BG64" s="480"/>
      <c r="BH64" s="380" t="e">
        <f t="shared" si="26"/>
        <v>#DIV/0!</v>
      </c>
      <c r="BI64" s="380" t="e">
        <f t="shared" si="27"/>
        <v>#DIV/0!</v>
      </c>
    </row>
    <row r="65" spans="1:61" s="358" customFormat="1" x14ac:dyDescent="0.3">
      <c r="A65" s="359"/>
      <c r="B65" s="537"/>
      <c r="C65" s="385"/>
      <c r="D65" s="360">
        <v>0.4</v>
      </c>
      <c r="E65" s="396"/>
      <c r="F65" s="397"/>
      <c r="G65" s="393"/>
      <c r="H65" s="542"/>
      <c r="I65" s="394"/>
      <c r="J65" s="394"/>
      <c r="K65" s="394"/>
      <c r="L65" s="394"/>
      <c r="M65" s="394"/>
      <c r="N65" s="394"/>
      <c r="O65" s="394"/>
      <c r="P65" s="394"/>
      <c r="Q65" s="394"/>
      <c r="R65" s="381"/>
      <c r="S65" s="408"/>
      <c r="T65" s="361"/>
      <c r="U65" s="362"/>
      <c r="V65" s="372" t="e">
        <f t="shared" ref="V65:V66" si="82">H65/E65*1000</f>
        <v>#DIV/0!</v>
      </c>
      <c r="W65" s="372" t="e">
        <f t="shared" ref="W65:W66" si="83">H65/F65</f>
        <v>#DIV/0!</v>
      </c>
      <c r="X65" s="396"/>
      <c r="Y65" s="397"/>
      <c r="Z65" s="393"/>
      <c r="AA65" s="542"/>
      <c r="AB65" s="394"/>
      <c r="AC65" s="394"/>
      <c r="AD65" s="394"/>
      <c r="AE65" s="394"/>
      <c r="AF65" s="394"/>
      <c r="AG65" s="394"/>
      <c r="AH65" s="394"/>
      <c r="AI65" s="394"/>
      <c r="AJ65" s="394"/>
      <c r="AK65" s="381"/>
      <c r="AL65" s="408"/>
      <c r="AM65" s="361"/>
      <c r="AN65" s="362"/>
      <c r="AO65" s="372" t="e">
        <f t="shared" si="16"/>
        <v>#DIV/0!</v>
      </c>
      <c r="AP65" s="372" t="e">
        <f t="shared" si="17"/>
        <v>#DIV/0!</v>
      </c>
      <c r="AQ65" s="396"/>
      <c r="AR65" s="397"/>
      <c r="AS65" s="393"/>
      <c r="AT65" s="542"/>
      <c r="AU65" s="394"/>
      <c r="AV65" s="394"/>
      <c r="AW65" s="394"/>
      <c r="AX65" s="394"/>
      <c r="AY65" s="394"/>
      <c r="AZ65" s="394"/>
      <c r="BA65" s="394"/>
      <c r="BB65" s="394"/>
      <c r="BC65" s="394"/>
      <c r="BD65" s="381"/>
      <c r="BE65" s="408"/>
      <c r="BF65" s="361"/>
      <c r="BG65" s="362"/>
      <c r="BH65" s="372" t="e">
        <f t="shared" si="26"/>
        <v>#DIV/0!</v>
      </c>
      <c r="BI65" s="372" t="e">
        <f t="shared" si="27"/>
        <v>#DIV/0!</v>
      </c>
    </row>
    <row r="66" spans="1:61" s="358" customFormat="1" x14ac:dyDescent="0.3">
      <c r="A66" s="359"/>
      <c r="B66" s="572"/>
      <c r="C66" s="385"/>
      <c r="D66" s="360">
        <v>0.4</v>
      </c>
      <c r="E66" s="396"/>
      <c r="F66" s="397"/>
      <c r="G66" s="393"/>
      <c r="H66" s="571"/>
      <c r="I66" s="394"/>
      <c r="J66" s="394"/>
      <c r="K66" s="394"/>
      <c r="L66" s="394"/>
      <c r="M66" s="394"/>
      <c r="N66" s="394"/>
      <c r="O66" s="394"/>
      <c r="P66" s="394"/>
      <c r="Q66" s="394"/>
      <c r="R66" s="381"/>
      <c r="S66" s="408"/>
      <c r="T66" s="361"/>
      <c r="U66" s="362"/>
      <c r="V66" s="372" t="e">
        <f t="shared" si="82"/>
        <v>#DIV/0!</v>
      </c>
      <c r="W66" s="372" t="e">
        <f t="shared" si="83"/>
        <v>#DIV/0!</v>
      </c>
      <c r="X66" s="396"/>
      <c r="Y66" s="397"/>
      <c r="Z66" s="393"/>
      <c r="AA66" s="571"/>
      <c r="AB66" s="394"/>
      <c r="AC66" s="394"/>
      <c r="AD66" s="394"/>
      <c r="AE66" s="394"/>
      <c r="AF66" s="394"/>
      <c r="AG66" s="394"/>
      <c r="AH66" s="394"/>
      <c r="AI66" s="394"/>
      <c r="AJ66" s="394"/>
      <c r="AK66" s="381"/>
      <c r="AL66" s="408"/>
      <c r="AM66" s="361"/>
      <c r="AN66" s="362"/>
      <c r="AO66" s="372" t="e">
        <f t="shared" si="16"/>
        <v>#DIV/0!</v>
      </c>
      <c r="AP66" s="372" t="e">
        <f t="shared" si="17"/>
        <v>#DIV/0!</v>
      </c>
      <c r="AQ66" s="396"/>
      <c r="AR66" s="397"/>
      <c r="AS66" s="393"/>
      <c r="AT66" s="571"/>
      <c r="AU66" s="394"/>
      <c r="AV66" s="394"/>
      <c r="AW66" s="394"/>
      <c r="AX66" s="394"/>
      <c r="AY66" s="394"/>
      <c r="AZ66" s="394"/>
      <c r="BA66" s="394"/>
      <c r="BB66" s="394"/>
      <c r="BC66" s="394"/>
      <c r="BD66" s="381"/>
      <c r="BE66" s="408"/>
      <c r="BF66" s="361"/>
      <c r="BG66" s="362"/>
      <c r="BH66" s="372" t="e">
        <f t="shared" si="26"/>
        <v>#DIV/0!</v>
      </c>
      <c r="BI66" s="372" t="e">
        <f t="shared" si="27"/>
        <v>#DIV/0!</v>
      </c>
    </row>
    <row r="67" spans="1:61" s="358" customFormat="1" x14ac:dyDescent="0.3">
      <c r="A67" s="359"/>
      <c r="B67" s="341"/>
      <c r="C67" s="351"/>
      <c r="D67" s="360"/>
      <c r="E67" s="464"/>
      <c r="F67" s="345"/>
      <c r="G67" s="361"/>
      <c r="H67" s="379"/>
      <c r="I67" s="372"/>
      <c r="J67" s="372"/>
      <c r="K67" s="372"/>
      <c r="L67" s="372"/>
      <c r="M67" s="372"/>
      <c r="N67" s="372"/>
      <c r="O67" s="372"/>
      <c r="P67" s="372"/>
      <c r="Q67" s="372"/>
      <c r="R67" s="361"/>
      <c r="S67" s="361"/>
      <c r="T67" s="361"/>
      <c r="U67" s="362"/>
      <c r="V67" s="372" t="e">
        <f t="shared" si="13"/>
        <v>#DIV/0!</v>
      </c>
      <c r="W67" s="372" t="e">
        <f t="shared" si="14"/>
        <v>#DIV/0!</v>
      </c>
      <c r="X67" s="464"/>
      <c r="Y67" s="345"/>
      <c r="Z67" s="361"/>
      <c r="AA67" s="379"/>
      <c r="AB67" s="372"/>
      <c r="AC67" s="372"/>
      <c r="AD67" s="372"/>
      <c r="AE67" s="372"/>
      <c r="AF67" s="372"/>
      <c r="AG67" s="372"/>
      <c r="AH67" s="372"/>
      <c r="AI67" s="372"/>
      <c r="AJ67" s="372"/>
      <c r="AK67" s="361"/>
      <c r="AL67" s="361"/>
      <c r="AM67" s="361"/>
      <c r="AN67" s="362"/>
      <c r="AO67" s="372" t="e">
        <f t="shared" si="16"/>
        <v>#DIV/0!</v>
      </c>
      <c r="AP67" s="372" t="e">
        <f t="shared" si="17"/>
        <v>#DIV/0!</v>
      </c>
      <c r="AQ67" s="464"/>
      <c r="AR67" s="345"/>
      <c r="AS67" s="361"/>
      <c r="AT67" s="379"/>
      <c r="AU67" s="372"/>
      <c r="AV67" s="372"/>
      <c r="AW67" s="372"/>
      <c r="AX67" s="372"/>
      <c r="AY67" s="372"/>
      <c r="AZ67" s="372"/>
      <c r="BA67" s="372"/>
      <c r="BB67" s="372"/>
      <c r="BC67" s="372"/>
      <c r="BD67" s="361"/>
      <c r="BE67" s="361"/>
      <c r="BF67" s="361"/>
      <c r="BG67" s="362"/>
      <c r="BH67" s="372" t="e">
        <f t="shared" si="26"/>
        <v>#DIV/0!</v>
      </c>
      <c r="BI67" s="372" t="e">
        <f t="shared" si="27"/>
        <v>#DIV/0!</v>
      </c>
    </row>
    <row r="68" spans="1:61" s="358" customFormat="1" ht="24.75" customHeight="1" x14ac:dyDescent="0.3">
      <c r="A68" s="354" t="s">
        <v>186</v>
      </c>
      <c r="B68" s="355" t="s">
        <v>202</v>
      </c>
      <c r="C68" s="355"/>
      <c r="D68" s="356">
        <v>6</v>
      </c>
      <c r="E68" s="462">
        <f t="shared" ref="E68:Q68" si="84">SUM(E69:E70)</f>
        <v>0</v>
      </c>
      <c r="F68" s="346">
        <f t="shared" si="84"/>
        <v>0</v>
      </c>
      <c r="G68" s="346">
        <f t="shared" si="84"/>
        <v>0</v>
      </c>
      <c r="H68" s="371">
        <f t="shared" si="84"/>
        <v>0</v>
      </c>
      <c r="I68" s="371">
        <f t="shared" si="84"/>
        <v>0</v>
      </c>
      <c r="J68" s="371">
        <f t="shared" si="84"/>
        <v>0</v>
      </c>
      <c r="K68" s="371">
        <f t="shared" si="84"/>
        <v>0</v>
      </c>
      <c r="L68" s="371">
        <f t="shared" si="84"/>
        <v>0</v>
      </c>
      <c r="M68" s="371">
        <f t="shared" si="84"/>
        <v>0</v>
      </c>
      <c r="N68" s="371">
        <f t="shared" si="84"/>
        <v>0</v>
      </c>
      <c r="O68" s="371">
        <f t="shared" si="84"/>
        <v>0</v>
      </c>
      <c r="P68" s="371">
        <f t="shared" si="84"/>
        <v>0</v>
      </c>
      <c r="Q68" s="371">
        <f t="shared" si="84"/>
        <v>0</v>
      </c>
      <c r="R68" s="357"/>
      <c r="S68" s="357"/>
      <c r="T68" s="357"/>
      <c r="U68" s="480"/>
      <c r="V68" s="380" t="e">
        <f t="shared" si="13"/>
        <v>#DIV/0!</v>
      </c>
      <c r="W68" s="380" t="e">
        <f t="shared" si="14"/>
        <v>#DIV/0!</v>
      </c>
      <c r="X68" s="462">
        <f t="shared" ref="X68:AJ68" si="85">SUM(X69:X70)</f>
        <v>0</v>
      </c>
      <c r="Y68" s="346">
        <f t="shared" si="85"/>
        <v>0</v>
      </c>
      <c r="Z68" s="346">
        <f t="shared" si="85"/>
        <v>0</v>
      </c>
      <c r="AA68" s="371">
        <f t="shared" si="85"/>
        <v>0</v>
      </c>
      <c r="AB68" s="371">
        <f t="shared" si="85"/>
        <v>0</v>
      </c>
      <c r="AC68" s="371">
        <f t="shared" si="85"/>
        <v>0</v>
      </c>
      <c r="AD68" s="371">
        <f t="shared" si="85"/>
        <v>0</v>
      </c>
      <c r="AE68" s="371">
        <f t="shared" si="85"/>
        <v>0</v>
      </c>
      <c r="AF68" s="371">
        <f t="shared" si="85"/>
        <v>0</v>
      </c>
      <c r="AG68" s="371">
        <f t="shared" si="85"/>
        <v>0</v>
      </c>
      <c r="AH68" s="371">
        <f t="shared" si="85"/>
        <v>0</v>
      </c>
      <c r="AI68" s="371">
        <f t="shared" si="85"/>
        <v>0</v>
      </c>
      <c r="AJ68" s="371">
        <f t="shared" si="85"/>
        <v>0</v>
      </c>
      <c r="AK68" s="357"/>
      <c r="AL68" s="357"/>
      <c r="AM68" s="357"/>
      <c r="AN68" s="480"/>
      <c r="AO68" s="380" t="e">
        <f t="shared" si="16"/>
        <v>#DIV/0!</v>
      </c>
      <c r="AP68" s="380" t="e">
        <f t="shared" si="17"/>
        <v>#DIV/0!</v>
      </c>
      <c r="AQ68" s="462">
        <f t="shared" ref="AQ68:BC68" si="86">SUM(AQ69:AQ70)</f>
        <v>0</v>
      </c>
      <c r="AR68" s="346">
        <f t="shared" si="86"/>
        <v>0</v>
      </c>
      <c r="AS68" s="346">
        <f t="shared" si="86"/>
        <v>0</v>
      </c>
      <c r="AT68" s="371">
        <f t="shared" si="86"/>
        <v>0</v>
      </c>
      <c r="AU68" s="371">
        <f t="shared" si="86"/>
        <v>0</v>
      </c>
      <c r="AV68" s="371">
        <f t="shared" si="86"/>
        <v>0</v>
      </c>
      <c r="AW68" s="371">
        <f t="shared" si="86"/>
        <v>0</v>
      </c>
      <c r="AX68" s="371">
        <f t="shared" si="86"/>
        <v>0</v>
      </c>
      <c r="AY68" s="371">
        <f t="shared" si="86"/>
        <v>0</v>
      </c>
      <c r="AZ68" s="371">
        <f t="shared" si="86"/>
        <v>0</v>
      </c>
      <c r="BA68" s="371">
        <f t="shared" si="86"/>
        <v>0</v>
      </c>
      <c r="BB68" s="371">
        <f t="shared" si="86"/>
        <v>0</v>
      </c>
      <c r="BC68" s="371">
        <f t="shared" si="86"/>
        <v>0</v>
      </c>
      <c r="BD68" s="357"/>
      <c r="BE68" s="357"/>
      <c r="BF68" s="357"/>
      <c r="BG68" s="480"/>
      <c r="BH68" s="380" t="e">
        <f t="shared" si="26"/>
        <v>#DIV/0!</v>
      </c>
      <c r="BI68" s="380" t="e">
        <f t="shared" si="27"/>
        <v>#DIV/0!</v>
      </c>
    </row>
    <row r="69" spans="1:61" s="358" customFormat="1" x14ac:dyDescent="0.3">
      <c r="A69" s="359" t="s">
        <v>187</v>
      </c>
      <c r="B69" s="341"/>
      <c r="C69" s="363"/>
      <c r="D69" s="360">
        <v>6</v>
      </c>
      <c r="E69" s="464"/>
      <c r="F69" s="345"/>
      <c r="G69" s="345"/>
      <c r="H69" s="379"/>
      <c r="I69" s="372"/>
      <c r="J69" s="372"/>
      <c r="K69" s="372"/>
      <c r="L69" s="372"/>
      <c r="M69" s="372"/>
      <c r="N69" s="372"/>
      <c r="O69" s="372"/>
      <c r="P69" s="372"/>
      <c r="Q69" s="372"/>
      <c r="R69" s="361"/>
      <c r="S69" s="361"/>
      <c r="T69" s="361"/>
      <c r="U69" s="362"/>
      <c r="V69" s="372" t="e">
        <f t="shared" si="13"/>
        <v>#DIV/0!</v>
      </c>
      <c r="W69" s="372" t="e">
        <f t="shared" si="14"/>
        <v>#DIV/0!</v>
      </c>
      <c r="X69" s="464"/>
      <c r="Y69" s="345"/>
      <c r="Z69" s="345"/>
      <c r="AA69" s="379"/>
      <c r="AB69" s="372"/>
      <c r="AC69" s="372"/>
      <c r="AD69" s="372"/>
      <c r="AE69" s="372"/>
      <c r="AF69" s="372"/>
      <c r="AG69" s="372"/>
      <c r="AH69" s="372"/>
      <c r="AI69" s="372"/>
      <c r="AJ69" s="372"/>
      <c r="AK69" s="361"/>
      <c r="AL69" s="361"/>
      <c r="AM69" s="361"/>
      <c r="AN69" s="362"/>
      <c r="AO69" s="372" t="e">
        <f t="shared" si="16"/>
        <v>#DIV/0!</v>
      </c>
      <c r="AP69" s="372" t="e">
        <f t="shared" si="17"/>
        <v>#DIV/0!</v>
      </c>
      <c r="AQ69" s="464"/>
      <c r="AR69" s="345"/>
      <c r="AS69" s="345"/>
      <c r="AT69" s="379"/>
      <c r="AU69" s="372"/>
      <c r="AV69" s="372"/>
      <c r="AW69" s="372"/>
      <c r="AX69" s="372"/>
      <c r="AY69" s="372"/>
      <c r="AZ69" s="372"/>
      <c r="BA69" s="372"/>
      <c r="BB69" s="372"/>
      <c r="BC69" s="372"/>
      <c r="BD69" s="361"/>
      <c r="BE69" s="361"/>
      <c r="BF69" s="361"/>
      <c r="BG69" s="362"/>
      <c r="BH69" s="372" t="e">
        <f t="shared" si="26"/>
        <v>#DIV/0!</v>
      </c>
      <c r="BI69" s="372" t="e">
        <f t="shared" si="27"/>
        <v>#DIV/0!</v>
      </c>
    </row>
    <row r="70" spans="1:61" s="358" customFormat="1" x14ac:dyDescent="0.3">
      <c r="A70" s="359"/>
      <c r="B70" s="341"/>
      <c r="C70" s="351"/>
      <c r="D70" s="360"/>
      <c r="E70" s="464"/>
      <c r="F70" s="345"/>
      <c r="G70" s="361"/>
      <c r="H70" s="379"/>
      <c r="I70" s="372"/>
      <c r="J70" s="372"/>
      <c r="K70" s="372"/>
      <c r="L70" s="372"/>
      <c r="M70" s="372"/>
      <c r="N70" s="372"/>
      <c r="O70" s="372"/>
      <c r="P70" s="372"/>
      <c r="Q70" s="372"/>
      <c r="R70" s="361"/>
      <c r="S70" s="361"/>
      <c r="T70" s="361"/>
      <c r="U70" s="362"/>
      <c r="V70" s="372" t="e">
        <f t="shared" si="13"/>
        <v>#DIV/0!</v>
      </c>
      <c r="W70" s="372" t="e">
        <f t="shared" si="14"/>
        <v>#DIV/0!</v>
      </c>
      <c r="X70" s="464"/>
      <c r="Y70" s="345"/>
      <c r="Z70" s="361"/>
      <c r="AA70" s="379"/>
      <c r="AB70" s="372"/>
      <c r="AC70" s="372"/>
      <c r="AD70" s="372"/>
      <c r="AE70" s="372"/>
      <c r="AF70" s="372"/>
      <c r="AG70" s="372"/>
      <c r="AH70" s="372"/>
      <c r="AI70" s="372"/>
      <c r="AJ70" s="372"/>
      <c r="AK70" s="361"/>
      <c r="AL70" s="361"/>
      <c r="AM70" s="361"/>
      <c r="AN70" s="362"/>
      <c r="AO70" s="372" t="e">
        <f t="shared" si="16"/>
        <v>#DIV/0!</v>
      </c>
      <c r="AP70" s="372" t="e">
        <f t="shared" si="17"/>
        <v>#DIV/0!</v>
      </c>
      <c r="AQ70" s="464"/>
      <c r="AR70" s="345"/>
      <c r="AS70" s="361"/>
      <c r="AT70" s="379"/>
      <c r="AU70" s="372"/>
      <c r="AV70" s="372"/>
      <c r="AW70" s="372"/>
      <c r="AX70" s="372"/>
      <c r="AY70" s="372"/>
      <c r="AZ70" s="372"/>
      <c r="BA70" s="372"/>
      <c r="BB70" s="372"/>
      <c r="BC70" s="372"/>
      <c r="BD70" s="361"/>
      <c r="BE70" s="361"/>
      <c r="BF70" s="361"/>
      <c r="BG70" s="362"/>
      <c r="BH70" s="372" t="e">
        <f t="shared" si="26"/>
        <v>#DIV/0!</v>
      </c>
      <c r="BI70" s="372" t="e">
        <f t="shared" si="27"/>
        <v>#DIV/0!</v>
      </c>
    </row>
    <row r="71" spans="1:61" s="358" customFormat="1" ht="24.75" customHeight="1" x14ac:dyDescent="0.3">
      <c r="A71" s="354" t="s">
        <v>189</v>
      </c>
      <c r="B71" s="355" t="s">
        <v>203</v>
      </c>
      <c r="C71" s="355"/>
      <c r="D71" s="356">
        <v>6</v>
      </c>
      <c r="E71" s="462">
        <f t="shared" ref="E71:Q71" si="87">SUM(E72:E73)</f>
        <v>0</v>
      </c>
      <c r="F71" s="346">
        <f t="shared" si="87"/>
        <v>0</v>
      </c>
      <c r="G71" s="346">
        <f t="shared" si="87"/>
        <v>0</v>
      </c>
      <c r="H71" s="371">
        <f t="shared" si="87"/>
        <v>0</v>
      </c>
      <c r="I71" s="371">
        <f t="shared" si="87"/>
        <v>0</v>
      </c>
      <c r="J71" s="371">
        <f t="shared" si="87"/>
        <v>0</v>
      </c>
      <c r="K71" s="371">
        <f t="shared" si="87"/>
        <v>0</v>
      </c>
      <c r="L71" s="371">
        <f t="shared" si="87"/>
        <v>0</v>
      </c>
      <c r="M71" s="371">
        <f t="shared" si="87"/>
        <v>0</v>
      </c>
      <c r="N71" s="371">
        <f t="shared" si="87"/>
        <v>0</v>
      </c>
      <c r="O71" s="371">
        <f t="shared" si="87"/>
        <v>0</v>
      </c>
      <c r="P71" s="371">
        <f t="shared" si="87"/>
        <v>0</v>
      </c>
      <c r="Q71" s="371">
        <f t="shared" si="87"/>
        <v>0</v>
      </c>
      <c r="R71" s="357"/>
      <c r="S71" s="357"/>
      <c r="T71" s="357"/>
      <c r="U71" s="480"/>
      <c r="V71" s="380" t="e">
        <f t="shared" si="13"/>
        <v>#DIV/0!</v>
      </c>
      <c r="W71" s="380" t="e">
        <f t="shared" si="14"/>
        <v>#DIV/0!</v>
      </c>
      <c r="X71" s="462">
        <f t="shared" ref="X71:AJ71" si="88">SUM(X72:X73)</f>
        <v>0</v>
      </c>
      <c r="Y71" s="346">
        <f t="shared" si="88"/>
        <v>0</v>
      </c>
      <c r="Z71" s="346">
        <f t="shared" si="88"/>
        <v>0</v>
      </c>
      <c r="AA71" s="371">
        <f t="shared" si="88"/>
        <v>0</v>
      </c>
      <c r="AB71" s="371">
        <f t="shared" si="88"/>
        <v>0</v>
      </c>
      <c r="AC71" s="371">
        <f t="shared" si="88"/>
        <v>0</v>
      </c>
      <c r="AD71" s="371">
        <f t="shared" si="88"/>
        <v>0</v>
      </c>
      <c r="AE71" s="371">
        <f t="shared" si="88"/>
        <v>0</v>
      </c>
      <c r="AF71" s="371">
        <f t="shared" si="88"/>
        <v>0</v>
      </c>
      <c r="AG71" s="371">
        <f t="shared" si="88"/>
        <v>0</v>
      </c>
      <c r="AH71" s="371">
        <f t="shared" si="88"/>
        <v>0</v>
      </c>
      <c r="AI71" s="371">
        <f t="shared" si="88"/>
        <v>0</v>
      </c>
      <c r="AJ71" s="371">
        <f t="shared" si="88"/>
        <v>0</v>
      </c>
      <c r="AK71" s="357"/>
      <c r="AL71" s="357"/>
      <c r="AM71" s="357"/>
      <c r="AN71" s="480"/>
      <c r="AO71" s="380" t="e">
        <f t="shared" si="16"/>
        <v>#DIV/0!</v>
      </c>
      <c r="AP71" s="380" t="e">
        <f t="shared" si="17"/>
        <v>#DIV/0!</v>
      </c>
      <c r="AQ71" s="462">
        <f t="shared" ref="AQ71:BC71" si="89">SUM(AQ72:AQ73)</f>
        <v>0</v>
      </c>
      <c r="AR71" s="346">
        <f t="shared" si="89"/>
        <v>0</v>
      </c>
      <c r="AS71" s="346">
        <f t="shared" si="89"/>
        <v>0</v>
      </c>
      <c r="AT71" s="371">
        <f t="shared" si="89"/>
        <v>0</v>
      </c>
      <c r="AU71" s="371">
        <f t="shared" si="89"/>
        <v>0</v>
      </c>
      <c r="AV71" s="371">
        <f t="shared" si="89"/>
        <v>0</v>
      </c>
      <c r="AW71" s="371">
        <f t="shared" si="89"/>
        <v>0</v>
      </c>
      <c r="AX71" s="371">
        <f t="shared" si="89"/>
        <v>0</v>
      </c>
      <c r="AY71" s="371">
        <f t="shared" si="89"/>
        <v>0</v>
      </c>
      <c r="AZ71" s="371">
        <f t="shared" si="89"/>
        <v>0</v>
      </c>
      <c r="BA71" s="371">
        <f t="shared" si="89"/>
        <v>0</v>
      </c>
      <c r="BB71" s="371">
        <f t="shared" si="89"/>
        <v>0</v>
      </c>
      <c r="BC71" s="371">
        <f t="shared" si="89"/>
        <v>0</v>
      </c>
      <c r="BD71" s="357"/>
      <c r="BE71" s="357"/>
      <c r="BF71" s="357"/>
      <c r="BG71" s="480"/>
      <c r="BH71" s="380" t="e">
        <f t="shared" si="26"/>
        <v>#DIV/0!</v>
      </c>
      <c r="BI71" s="380" t="e">
        <f t="shared" si="27"/>
        <v>#DIV/0!</v>
      </c>
    </row>
    <row r="72" spans="1:61" s="358" customFormat="1" x14ac:dyDescent="0.3">
      <c r="A72" s="359" t="s">
        <v>190</v>
      </c>
      <c r="B72" s="341"/>
      <c r="C72" s="351"/>
      <c r="D72" s="360"/>
      <c r="E72" s="464"/>
      <c r="F72" s="345"/>
      <c r="G72" s="361"/>
      <c r="H72" s="379"/>
      <c r="I72" s="372"/>
      <c r="J72" s="372"/>
      <c r="K72" s="372"/>
      <c r="L72" s="372"/>
      <c r="M72" s="372"/>
      <c r="N72" s="372"/>
      <c r="O72" s="372"/>
      <c r="P72" s="372"/>
      <c r="Q72" s="372"/>
      <c r="R72" s="361"/>
      <c r="S72" s="361"/>
      <c r="T72" s="361"/>
      <c r="U72" s="362"/>
      <c r="V72" s="372" t="e">
        <f t="shared" si="13"/>
        <v>#DIV/0!</v>
      </c>
      <c r="W72" s="372" t="e">
        <f t="shared" si="14"/>
        <v>#DIV/0!</v>
      </c>
      <c r="X72" s="464"/>
      <c r="Y72" s="345"/>
      <c r="Z72" s="361"/>
      <c r="AA72" s="379"/>
      <c r="AB72" s="372"/>
      <c r="AC72" s="372"/>
      <c r="AD72" s="372"/>
      <c r="AE72" s="372"/>
      <c r="AF72" s="372"/>
      <c r="AG72" s="372"/>
      <c r="AH72" s="372"/>
      <c r="AI72" s="372"/>
      <c r="AJ72" s="372"/>
      <c r="AK72" s="361"/>
      <c r="AL72" s="361"/>
      <c r="AM72" s="361"/>
      <c r="AN72" s="362"/>
      <c r="AO72" s="372" t="e">
        <f t="shared" si="16"/>
        <v>#DIV/0!</v>
      </c>
      <c r="AP72" s="372" t="e">
        <f t="shared" si="17"/>
        <v>#DIV/0!</v>
      </c>
      <c r="AQ72" s="464"/>
      <c r="AR72" s="345"/>
      <c r="AS72" s="361"/>
      <c r="AT72" s="379"/>
      <c r="AU72" s="372"/>
      <c r="AV72" s="372"/>
      <c r="AW72" s="372"/>
      <c r="AX72" s="372"/>
      <c r="AY72" s="372"/>
      <c r="AZ72" s="372"/>
      <c r="BA72" s="372"/>
      <c r="BB72" s="372"/>
      <c r="BC72" s="372"/>
      <c r="BD72" s="361"/>
      <c r="BE72" s="361"/>
      <c r="BF72" s="361"/>
      <c r="BG72" s="362"/>
      <c r="BH72" s="372" t="e">
        <f t="shared" si="26"/>
        <v>#DIV/0!</v>
      </c>
      <c r="BI72" s="372" t="e">
        <f t="shared" si="27"/>
        <v>#DIV/0!</v>
      </c>
    </row>
    <row r="73" spans="1:61" s="358" customFormat="1" x14ac:dyDescent="0.3">
      <c r="A73" s="359"/>
      <c r="B73" s="341"/>
      <c r="C73" s="351"/>
      <c r="D73" s="360"/>
      <c r="E73" s="464"/>
      <c r="F73" s="345"/>
      <c r="G73" s="361"/>
      <c r="H73" s="379"/>
      <c r="I73" s="372"/>
      <c r="J73" s="372"/>
      <c r="K73" s="372"/>
      <c r="L73" s="372"/>
      <c r="M73" s="372"/>
      <c r="N73" s="372"/>
      <c r="O73" s="372"/>
      <c r="P73" s="372"/>
      <c r="Q73" s="372"/>
      <c r="R73" s="361"/>
      <c r="S73" s="361"/>
      <c r="T73" s="361"/>
      <c r="U73" s="362"/>
      <c r="V73" s="372" t="e">
        <f t="shared" si="13"/>
        <v>#DIV/0!</v>
      </c>
      <c r="W73" s="372" t="e">
        <f t="shared" si="14"/>
        <v>#DIV/0!</v>
      </c>
      <c r="X73" s="464"/>
      <c r="Y73" s="345"/>
      <c r="Z73" s="361"/>
      <c r="AA73" s="379"/>
      <c r="AB73" s="372"/>
      <c r="AC73" s="372"/>
      <c r="AD73" s="372"/>
      <c r="AE73" s="372"/>
      <c r="AF73" s="372"/>
      <c r="AG73" s="372"/>
      <c r="AH73" s="372"/>
      <c r="AI73" s="372"/>
      <c r="AJ73" s="372"/>
      <c r="AK73" s="361"/>
      <c r="AL73" s="361"/>
      <c r="AM73" s="361"/>
      <c r="AN73" s="362"/>
      <c r="AO73" s="372" t="e">
        <f t="shared" si="16"/>
        <v>#DIV/0!</v>
      </c>
      <c r="AP73" s="372" t="e">
        <f t="shared" si="17"/>
        <v>#DIV/0!</v>
      </c>
      <c r="AQ73" s="464"/>
      <c r="AR73" s="345"/>
      <c r="AS73" s="361"/>
      <c r="AT73" s="379"/>
      <c r="AU73" s="372"/>
      <c r="AV73" s="372"/>
      <c r="AW73" s="372"/>
      <c r="AX73" s="372"/>
      <c r="AY73" s="372"/>
      <c r="AZ73" s="372"/>
      <c r="BA73" s="372"/>
      <c r="BB73" s="372"/>
      <c r="BC73" s="372"/>
      <c r="BD73" s="361"/>
      <c r="BE73" s="361"/>
      <c r="BF73" s="361"/>
      <c r="BG73" s="362"/>
      <c r="BH73" s="372" t="e">
        <f t="shared" si="26"/>
        <v>#DIV/0!</v>
      </c>
      <c r="BI73" s="372" t="e">
        <f t="shared" si="27"/>
        <v>#DIV/0!</v>
      </c>
    </row>
    <row r="74" spans="1:61" s="358" customFormat="1" ht="69" x14ac:dyDescent="0.3">
      <c r="A74" s="417" t="s">
        <v>204</v>
      </c>
      <c r="B74" s="424" t="s">
        <v>205</v>
      </c>
      <c r="C74" s="424"/>
      <c r="D74" s="419"/>
      <c r="E74" s="466">
        <f>E75+E78</f>
        <v>0</v>
      </c>
      <c r="F74" s="425">
        <f t="shared" ref="F74:Q74" si="90">F75+F78</f>
        <v>0</v>
      </c>
      <c r="G74" s="425">
        <f t="shared" si="90"/>
        <v>0</v>
      </c>
      <c r="H74" s="426">
        <f t="shared" si="90"/>
        <v>0</v>
      </c>
      <c r="I74" s="426">
        <f t="shared" si="90"/>
        <v>0</v>
      </c>
      <c r="J74" s="426">
        <f t="shared" si="90"/>
        <v>0</v>
      </c>
      <c r="K74" s="426">
        <f t="shared" si="90"/>
        <v>0</v>
      </c>
      <c r="L74" s="426">
        <f t="shared" si="90"/>
        <v>0</v>
      </c>
      <c r="M74" s="426">
        <f t="shared" si="90"/>
        <v>0</v>
      </c>
      <c r="N74" s="426">
        <f t="shared" si="90"/>
        <v>0</v>
      </c>
      <c r="O74" s="426">
        <f t="shared" si="90"/>
        <v>0</v>
      </c>
      <c r="P74" s="426">
        <f t="shared" si="90"/>
        <v>0</v>
      </c>
      <c r="Q74" s="426">
        <f t="shared" si="90"/>
        <v>0</v>
      </c>
      <c r="R74" s="427"/>
      <c r="S74" s="427"/>
      <c r="T74" s="427"/>
      <c r="U74" s="481"/>
      <c r="V74" s="428" t="e">
        <f t="shared" si="13"/>
        <v>#DIV/0!</v>
      </c>
      <c r="W74" s="428" t="e">
        <f t="shared" si="14"/>
        <v>#DIV/0!</v>
      </c>
      <c r="X74" s="466">
        <f>X75+X78</f>
        <v>0</v>
      </c>
      <c r="Y74" s="425">
        <f t="shared" ref="Y74:AJ74" si="91">Y75+Y78</f>
        <v>0</v>
      </c>
      <c r="Z74" s="425">
        <f t="shared" si="91"/>
        <v>0</v>
      </c>
      <c r="AA74" s="426">
        <f t="shared" si="91"/>
        <v>0</v>
      </c>
      <c r="AB74" s="426">
        <f t="shared" si="91"/>
        <v>0</v>
      </c>
      <c r="AC74" s="426">
        <f t="shared" si="91"/>
        <v>0</v>
      </c>
      <c r="AD74" s="426">
        <f t="shared" si="91"/>
        <v>0</v>
      </c>
      <c r="AE74" s="426">
        <f t="shared" si="91"/>
        <v>0</v>
      </c>
      <c r="AF74" s="426">
        <f t="shared" si="91"/>
        <v>0</v>
      </c>
      <c r="AG74" s="426">
        <f t="shared" si="91"/>
        <v>0</v>
      </c>
      <c r="AH74" s="426">
        <f t="shared" si="91"/>
        <v>0</v>
      </c>
      <c r="AI74" s="426">
        <f t="shared" si="91"/>
        <v>0</v>
      </c>
      <c r="AJ74" s="426">
        <f t="shared" si="91"/>
        <v>0</v>
      </c>
      <c r="AK74" s="427"/>
      <c r="AL74" s="427"/>
      <c r="AM74" s="427"/>
      <c r="AN74" s="481"/>
      <c r="AO74" s="428" t="e">
        <f t="shared" si="16"/>
        <v>#DIV/0!</v>
      </c>
      <c r="AP74" s="428" t="e">
        <f t="shared" si="17"/>
        <v>#DIV/0!</v>
      </c>
      <c r="AQ74" s="466">
        <f>AQ75+AQ78</f>
        <v>0</v>
      </c>
      <c r="AR74" s="425">
        <f t="shared" ref="AR74:BC74" si="92">AR75+AR78</f>
        <v>0</v>
      </c>
      <c r="AS74" s="425">
        <f t="shared" si="92"/>
        <v>0</v>
      </c>
      <c r="AT74" s="426">
        <f t="shared" si="92"/>
        <v>0</v>
      </c>
      <c r="AU74" s="426">
        <f t="shared" si="92"/>
        <v>0</v>
      </c>
      <c r="AV74" s="426">
        <f t="shared" si="92"/>
        <v>0</v>
      </c>
      <c r="AW74" s="426">
        <f t="shared" si="92"/>
        <v>0</v>
      </c>
      <c r="AX74" s="426">
        <f t="shared" si="92"/>
        <v>0</v>
      </c>
      <c r="AY74" s="426">
        <f t="shared" si="92"/>
        <v>0</v>
      </c>
      <c r="AZ74" s="426">
        <f t="shared" si="92"/>
        <v>0</v>
      </c>
      <c r="BA74" s="426">
        <f t="shared" si="92"/>
        <v>0</v>
      </c>
      <c r="BB74" s="426">
        <f t="shared" si="92"/>
        <v>0</v>
      </c>
      <c r="BC74" s="426">
        <f t="shared" si="92"/>
        <v>0</v>
      </c>
      <c r="BD74" s="427"/>
      <c r="BE74" s="427"/>
      <c r="BF74" s="427"/>
      <c r="BG74" s="481"/>
      <c r="BH74" s="428" t="e">
        <f t="shared" si="26"/>
        <v>#DIV/0!</v>
      </c>
      <c r="BI74" s="428" t="e">
        <f t="shared" si="27"/>
        <v>#DIV/0!</v>
      </c>
    </row>
    <row r="75" spans="1:61" s="358" customFormat="1" ht="24.75" customHeight="1" x14ac:dyDescent="0.3">
      <c r="A75" s="354" t="s">
        <v>178</v>
      </c>
      <c r="B75" s="355" t="s">
        <v>207</v>
      </c>
      <c r="C75" s="355"/>
      <c r="D75" s="356">
        <v>0.4</v>
      </c>
      <c r="E75" s="462">
        <f>SUM(E76)</f>
        <v>0</v>
      </c>
      <c r="F75" s="346">
        <f t="shared" ref="F75:Q75" si="93">SUM(F76)</f>
        <v>0</v>
      </c>
      <c r="G75" s="346">
        <f t="shared" si="93"/>
        <v>0</v>
      </c>
      <c r="H75" s="371">
        <f t="shared" si="93"/>
        <v>0</v>
      </c>
      <c r="I75" s="371">
        <f t="shared" si="93"/>
        <v>0</v>
      </c>
      <c r="J75" s="371">
        <f t="shared" si="93"/>
        <v>0</v>
      </c>
      <c r="K75" s="371">
        <f t="shared" si="93"/>
        <v>0</v>
      </c>
      <c r="L75" s="371">
        <f t="shared" si="93"/>
        <v>0</v>
      </c>
      <c r="M75" s="371">
        <f t="shared" si="93"/>
        <v>0</v>
      </c>
      <c r="N75" s="371">
        <f t="shared" si="93"/>
        <v>0</v>
      </c>
      <c r="O75" s="371">
        <f t="shared" si="93"/>
        <v>0</v>
      </c>
      <c r="P75" s="371">
        <f t="shared" si="93"/>
        <v>0</v>
      </c>
      <c r="Q75" s="371">
        <f t="shared" si="93"/>
        <v>0</v>
      </c>
      <c r="R75" s="357"/>
      <c r="S75" s="357"/>
      <c r="T75" s="357"/>
      <c r="U75" s="480"/>
      <c r="V75" s="380" t="e">
        <f t="shared" si="13"/>
        <v>#DIV/0!</v>
      </c>
      <c r="W75" s="380" t="e">
        <f t="shared" si="14"/>
        <v>#DIV/0!</v>
      </c>
      <c r="X75" s="462">
        <f>SUM(X76)</f>
        <v>0</v>
      </c>
      <c r="Y75" s="346">
        <f t="shared" ref="Y75:AJ75" si="94">SUM(Y76)</f>
        <v>0</v>
      </c>
      <c r="Z75" s="346">
        <f t="shared" si="94"/>
        <v>0</v>
      </c>
      <c r="AA75" s="371">
        <f t="shared" si="94"/>
        <v>0</v>
      </c>
      <c r="AB75" s="371">
        <f t="shared" si="94"/>
        <v>0</v>
      </c>
      <c r="AC75" s="371">
        <f t="shared" si="94"/>
        <v>0</v>
      </c>
      <c r="AD75" s="371">
        <f t="shared" si="94"/>
        <v>0</v>
      </c>
      <c r="AE75" s="371">
        <f t="shared" si="94"/>
        <v>0</v>
      </c>
      <c r="AF75" s="371">
        <f t="shared" si="94"/>
        <v>0</v>
      </c>
      <c r="AG75" s="371">
        <f t="shared" si="94"/>
        <v>0</v>
      </c>
      <c r="AH75" s="371">
        <f t="shared" si="94"/>
        <v>0</v>
      </c>
      <c r="AI75" s="371">
        <f t="shared" si="94"/>
        <v>0</v>
      </c>
      <c r="AJ75" s="371">
        <f t="shared" si="94"/>
        <v>0</v>
      </c>
      <c r="AK75" s="357"/>
      <c r="AL75" s="357"/>
      <c r="AM75" s="357"/>
      <c r="AN75" s="480"/>
      <c r="AO75" s="380" t="e">
        <f t="shared" si="16"/>
        <v>#DIV/0!</v>
      </c>
      <c r="AP75" s="380" t="e">
        <f t="shared" si="17"/>
        <v>#DIV/0!</v>
      </c>
      <c r="AQ75" s="462">
        <f>SUM(AQ76)</f>
        <v>0</v>
      </c>
      <c r="AR75" s="346">
        <f t="shared" ref="AR75:BC75" si="95">SUM(AR76)</f>
        <v>0</v>
      </c>
      <c r="AS75" s="346">
        <f t="shared" si="95"/>
        <v>0</v>
      </c>
      <c r="AT75" s="371">
        <f t="shared" si="95"/>
        <v>0</v>
      </c>
      <c r="AU75" s="371">
        <f t="shared" si="95"/>
        <v>0</v>
      </c>
      <c r="AV75" s="371">
        <f t="shared" si="95"/>
        <v>0</v>
      </c>
      <c r="AW75" s="371">
        <f t="shared" si="95"/>
        <v>0</v>
      </c>
      <c r="AX75" s="371">
        <f t="shared" si="95"/>
        <v>0</v>
      </c>
      <c r="AY75" s="371">
        <f t="shared" si="95"/>
        <v>0</v>
      </c>
      <c r="AZ75" s="371">
        <f t="shared" si="95"/>
        <v>0</v>
      </c>
      <c r="BA75" s="371">
        <f t="shared" si="95"/>
        <v>0</v>
      </c>
      <c r="BB75" s="371">
        <f t="shared" si="95"/>
        <v>0</v>
      </c>
      <c r="BC75" s="371">
        <f t="shared" si="95"/>
        <v>0</v>
      </c>
      <c r="BD75" s="357"/>
      <c r="BE75" s="357"/>
      <c r="BF75" s="357"/>
      <c r="BG75" s="480"/>
      <c r="BH75" s="380" t="e">
        <f t="shared" si="26"/>
        <v>#DIV/0!</v>
      </c>
      <c r="BI75" s="380" t="e">
        <f t="shared" si="27"/>
        <v>#DIV/0!</v>
      </c>
    </row>
    <row r="76" spans="1:61" s="358" customFormat="1" x14ac:dyDescent="0.3">
      <c r="A76" s="359" t="s">
        <v>143</v>
      </c>
      <c r="B76" s="341"/>
      <c r="C76" s="348"/>
      <c r="D76" s="360"/>
      <c r="E76" s="467"/>
      <c r="F76" s="343"/>
      <c r="G76" s="361"/>
      <c r="H76" s="373"/>
      <c r="I76" s="372"/>
      <c r="J76" s="372"/>
      <c r="K76" s="372"/>
      <c r="L76" s="372"/>
      <c r="M76" s="372"/>
      <c r="N76" s="372"/>
      <c r="O76" s="372"/>
      <c r="P76" s="372"/>
      <c r="Q76" s="372"/>
      <c r="R76" s="361"/>
      <c r="S76" s="361"/>
      <c r="T76" s="361"/>
      <c r="U76" s="362"/>
      <c r="V76" s="372" t="e">
        <f t="shared" si="13"/>
        <v>#DIV/0!</v>
      </c>
      <c r="W76" s="372" t="e">
        <f t="shared" si="14"/>
        <v>#DIV/0!</v>
      </c>
      <c r="X76" s="467"/>
      <c r="Y76" s="343"/>
      <c r="Z76" s="361"/>
      <c r="AA76" s="373"/>
      <c r="AB76" s="372"/>
      <c r="AC76" s="372"/>
      <c r="AD76" s="372"/>
      <c r="AE76" s="372"/>
      <c r="AF76" s="372"/>
      <c r="AG76" s="372"/>
      <c r="AH76" s="372"/>
      <c r="AI76" s="372"/>
      <c r="AJ76" s="372"/>
      <c r="AK76" s="361"/>
      <c r="AL76" s="361"/>
      <c r="AM76" s="361"/>
      <c r="AN76" s="362"/>
      <c r="AO76" s="372" t="e">
        <f t="shared" si="16"/>
        <v>#DIV/0!</v>
      </c>
      <c r="AP76" s="372" t="e">
        <f t="shared" si="17"/>
        <v>#DIV/0!</v>
      </c>
      <c r="AQ76" s="467"/>
      <c r="AR76" s="343"/>
      <c r="AS76" s="361"/>
      <c r="AT76" s="373"/>
      <c r="AU76" s="372"/>
      <c r="AV76" s="372"/>
      <c r="AW76" s="372"/>
      <c r="AX76" s="372"/>
      <c r="AY76" s="372"/>
      <c r="AZ76" s="372"/>
      <c r="BA76" s="372"/>
      <c r="BB76" s="372"/>
      <c r="BC76" s="372"/>
      <c r="BD76" s="361"/>
      <c r="BE76" s="361"/>
      <c r="BF76" s="361"/>
      <c r="BG76" s="362"/>
      <c r="BH76" s="372" t="e">
        <f t="shared" si="26"/>
        <v>#DIV/0!</v>
      </c>
      <c r="BI76" s="372" t="e">
        <f t="shared" si="27"/>
        <v>#DIV/0!</v>
      </c>
    </row>
    <row r="77" spans="1:61" s="358" customFormat="1" x14ac:dyDescent="0.3">
      <c r="A77" s="359"/>
      <c r="B77" s="341"/>
      <c r="C77" s="348"/>
      <c r="D77" s="360"/>
      <c r="E77" s="467"/>
      <c r="F77" s="343"/>
      <c r="G77" s="361"/>
      <c r="H77" s="373"/>
      <c r="I77" s="372"/>
      <c r="J77" s="372"/>
      <c r="K77" s="372"/>
      <c r="L77" s="372"/>
      <c r="M77" s="372"/>
      <c r="N77" s="372"/>
      <c r="O77" s="372"/>
      <c r="P77" s="372"/>
      <c r="Q77" s="372"/>
      <c r="R77" s="361"/>
      <c r="S77" s="361"/>
      <c r="T77" s="361"/>
      <c r="U77" s="362"/>
      <c r="V77" s="372" t="e">
        <f t="shared" si="13"/>
        <v>#DIV/0!</v>
      </c>
      <c r="W77" s="372" t="e">
        <f t="shared" si="14"/>
        <v>#DIV/0!</v>
      </c>
      <c r="X77" s="467"/>
      <c r="Y77" s="343"/>
      <c r="Z77" s="361"/>
      <c r="AA77" s="373"/>
      <c r="AB77" s="372"/>
      <c r="AC77" s="372"/>
      <c r="AD77" s="372"/>
      <c r="AE77" s="372"/>
      <c r="AF77" s="372"/>
      <c r="AG77" s="372"/>
      <c r="AH77" s="372"/>
      <c r="AI77" s="372"/>
      <c r="AJ77" s="372"/>
      <c r="AK77" s="361"/>
      <c r="AL77" s="361"/>
      <c r="AM77" s="361"/>
      <c r="AN77" s="362"/>
      <c r="AO77" s="372" t="e">
        <f t="shared" si="16"/>
        <v>#DIV/0!</v>
      </c>
      <c r="AP77" s="372" t="e">
        <f t="shared" si="17"/>
        <v>#DIV/0!</v>
      </c>
      <c r="AQ77" s="467"/>
      <c r="AR77" s="343"/>
      <c r="AS77" s="361"/>
      <c r="AT77" s="373"/>
      <c r="AU77" s="372"/>
      <c r="AV77" s="372"/>
      <c r="AW77" s="372"/>
      <c r="AX77" s="372"/>
      <c r="AY77" s="372"/>
      <c r="AZ77" s="372"/>
      <c r="BA77" s="372"/>
      <c r="BB77" s="372"/>
      <c r="BC77" s="372"/>
      <c r="BD77" s="361"/>
      <c r="BE77" s="361"/>
      <c r="BF77" s="361"/>
      <c r="BG77" s="362"/>
      <c r="BH77" s="372" t="e">
        <f t="shared" si="26"/>
        <v>#DIV/0!</v>
      </c>
      <c r="BI77" s="372" t="e">
        <f t="shared" si="27"/>
        <v>#DIV/0!</v>
      </c>
    </row>
    <row r="78" spans="1:61" s="358" customFormat="1" ht="24.75" customHeight="1" x14ac:dyDescent="0.3">
      <c r="A78" s="354" t="s">
        <v>4</v>
      </c>
      <c r="B78" s="355" t="s">
        <v>208</v>
      </c>
      <c r="C78" s="355"/>
      <c r="D78" s="356">
        <v>6</v>
      </c>
      <c r="E78" s="462">
        <f t="shared" ref="E78:Q78" si="96">SUM(E79:E80)</f>
        <v>0</v>
      </c>
      <c r="F78" s="346">
        <f t="shared" si="96"/>
        <v>0</v>
      </c>
      <c r="G78" s="346">
        <f t="shared" si="96"/>
        <v>0</v>
      </c>
      <c r="H78" s="371">
        <f t="shared" si="96"/>
        <v>0</v>
      </c>
      <c r="I78" s="371">
        <f t="shared" si="96"/>
        <v>0</v>
      </c>
      <c r="J78" s="371">
        <f t="shared" si="96"/>
        <v>0</v>
      </c>
      <c r="K78" s="371">
        <f t="shared" si="96"/>
        <v>0</v>
      </c>
      <c r="L78" s="371">
        <f t="shared" si="96"/>
        <v>0</v>
      </c>
      <c r="M78" s="371">
        <f t="shared" si="96"/>
        <v>0</v>
      </c>
      <c r="N78" s="371">
        <f t="shared" si="96"/>
        <v>0</v>
      </c>
      <c r="O78" s="371">
        <f t="shared" si="96"/>
        <v>0</v>
      </c>
      <c r="P78" s="371">
        <f t="shared" si="96"/>
        <v>0</v>
      </c>
      <c r="Q78" s="371">
        <f t="shared" si="96"/>
        <v>0</v>
      </c>
      <c r="R78" s="357"/>
      <c r="S78" s="357"/>
      <c r="T78" s="357"/>
      <c r="U78" s="480"/>
      <c r="V78" s="380" t="e">
        <f t="shared" si="13"/>
        <v>#DIV/0!</v>
      </c>
      <c r="W78" s="380" t="e">
        <f t="shared" si="14"/>
        <v>#DIV/0!</v>
      </c>
      <c r="X78" s="462">
        <f t="shared" ref="X78:AJ78" si="97">SUM(X79:X80)</f>
        <v>0</v>
      </c>
      <c r="Y78" s="346">
        <f t="shared" si="97"/>
        <v>0</v>
      </c>
      <c r="Z78" s="346">
        <f t="shared" si="97"/>
        <v>0</v>
      </c>
      <c r="AA78" s="371">
        <f t="shared" si="97"/>
        <v>0</v>
      </c>
      <c r="AB78" s="371">
        <f t="shared" si="97"/>
        <v>0</v>
      </c>
      <c r="AC78" s="371">
        <f t="shared" si="97"/>
        <v>0</v>
      </c>
      <c r="AD78" s="371">
        <f t="shared" si="97"/>
        <v>0</v>
      </c>
      <c r="AE78" s="371">
        <f t="shared" si="97"/>
        <v>0</v>
      </c>
      <c r="AF78" s="371">
        <f t="shared" si="97"/>
        <v>0</v>
      </c>
      <c r="AG78" s="371">
        <f t="shared" si="97"/>
        <v>0</v>
      </c>
      <c r="AH78" s="371">
        <f t="shared" si="97"/>
        <v>0</v>
      </c>
      <c r="AI78" s="371">
        <f t="shared" si="97"/>
        <v>0</v>
      </c>
      <c r="AJ78" s="371">
        <f t="shared" si="97"/>
        <v>0</v>
      </c>
      <c r="AK78" s="357"/>
      <c r="AL78" s="357"/>
      <c r="AM78" s="357"/>
      <c r="AN78" s="480"/>
      <c r="AO78" s="380" t="e">
        <f t="shared" si="16"/>
        <v>#DIV/0!</v>
      </c>
      <c r="AP78" s="380" t="e">
        <f t="shared" si="17"/>
        <v>#DIV/0!</v>
      </c>
      <c r="AQ78" s="462">
        <f t="shared" ref="AQ78:BC78" si="98">SUM(AQ79:AQ80)</f>
        <v>0</v>
      </c>
      <c r="AR78" s="346">
        <f t="shared" si="98"/>
        <v>0</v>
      </c>
      <c r="AS78" s="346">
        <f t="shared" si="98"/>
        <v>0</v>
      </c>
      <c r="AT78" s="371">
        <f t="shared" si="98"/>
        <v>0</v>
      </c>
      <c r="AU78" s="371">
        <f t="shared" si="98"/>
        <v>0</v>
      </c>
      <c r="AV78" s="371">
        <f t="shared" si="98"/>
        <v>0</v>
      </c>
      <c r="AW78" s="371">
        <f t="shared" si="98"/>
        <v>0</v>
      </c>
      <c r="AX78" s="371">
        <f t="shared" si="98"/>
        <v>0</v>
      </c>
      <c r="AY78" s="371">
        <f t="shared" si="98"/>
        <v>0</v>
      </c>
      <c r="AZ78" s="371">
        <f t="shared" si="98"/>
        <v>0</v>
      </c>
      <c r="BA78" s="371">
        <f t="shared" si="98"/>
        <v>0</v>
      </c>
      <c r="BB78" s="371">
        <f t="shared" si="98"/>
        <v>0</v>
      </c>
      <c r="BC78" s="371">
        <f t="shared" si="98"/>
        <v>0</v>
      </c>
      <c r="BD78" s="357"/>
      <c r="BE78" s="357"/>
      <c r="BF78" s="357"/>
      <c r="BG78" s="480"/>
      <c r="BH78" s="380" t="e">
        <f t="shared" si="26"/>
        <v>#DIV/0!</v>
      </c>
      <c r="BI78" s="380" t="e">
        <f t="shared" si="27"/>
        <v>#DIV/0!</v>
      </c>
    </row>
    <row r="79" spans="1:61" s="358" customFormat="1" x14ac:dyDescent="0.3">
      <c r="A79" s="359" t="s">
        <v>183</v>
      </c>
      <c r="B79" s="341"/>
      <c r="C79" s="348"/>
      <c r="D79" s="360"/>
      <c r="E79" s="468"/>
      <c r="F79" s="343"/>
      <c r="G79" s="361"/>
      <c r="H79" s="373"/>
      <c r="I79" s="372"/>
      <c r="J79" s="372"/>
      <c r="K79" s="372"/>
      <c r="L79" s="372"/>
      <c r="M79" s="372"/>
      <c r="N79" s="372"/>
      <c r="O79" s="372"/>
      <c r="P79" s="372"/>
      <c r="Q79" s="372"/>
      <c r="R79" s="361"/>
      <c r="S79" s="361"/>
      <c r="T79" s="361"/>
      <c r="U79" s="362"/>
      <c r="V79" s="372" t="e">
        <f t="shared" si="13"/>
        <v>#DIV/0!</v>
      </c>
      <c r="W79" s="372" t="e">
        <f t="shared" si="14"/>
        <v>#DIV/0!</v>
      </c>
      <c r="X79" s="468"/>
      <c r="Y79" s="343"/>
      <c r="Z79" s="361"/>
      <c r="AA79" s="373"/>
      <c r="AB79" s="372"/>
      <c r="AC79" s="372"/>
      <c r="AD79" s="372"/>
      <c r="AE79" s="372"/>
      <c r="AF79" s="372"/>
      <c r="AG79" s="372"/>
      <c r="AH79" s="372"/>
      <c r="AI79" s="372"/>
      <c r="AJ79" s="372"/>
      <c r="AK79" s="361"/>
      <c r="AL79" s="361"/>
      <c r="AM79" s="361"/>
      <c r="AN79" s="362"/>
      <c r="AO79" s="372" t="e">
        <f t="shared" si="16"/>
        <v>#DIV/0!</v>
      </c>
      <c r="AP79" s="372" t="e">
        <f t="shared" si="17"/>
        <v>#DIV/0!</v>
      </c>
      <c r="AQ79" s="468"/>
      <c r="AR79" s="343"/>
      <c r="AS79" s="361"/>
      <c r="AT79" s="373"/>
      <c r="AU79" s="372"/>
      <c r="AV79" s="372"/>
      <c r="AW79" s="372"/>
      <c r="AX79" s="372"/>
      <c r="AY79" s="372"/>
      <c r="AZ79" s="372"/>
      <c r="BA79" s="372"/>
      <c r="BB79" s="372"/>
      <c r="BC79" s="372"/>
      <c r="BD79" s="361"/>
      <c r="BE79" s="361"/>
      <c r="BF79" s="361"/>
      <c r="BG79" s="362"/>
      <c r="BH79" s="372" t="e">
        <f t="shared" si="26"/>
        <v>#DIV/0!</v>
      </c>
      <c r="BI79" s="372" t="e">
        <f t="shared" si="27"/>
        <v>#DIV/0!</v>
      </c>
    </row>
    <row r="80" spans="1:61" s="358" customFormat="1" x14ac:dyDescent="0.3">
      <c r="A80" s="359"/>
      <c r="B80" s="341"/>
      <c r="C80" s="342"/>
      <c r="D80" s="360"/>
      <c r="E80" s="353"/>
      <c r="F80" s="345"/>
      <c r="G80" s="361"/>
      <c r="H80" s="374"/>
      <c r="I80" s="372"/>
      <c r="J80" s="372"/>
      <c r="K80" s="372"/>
      <c r="L80" s="372"/>
      <c r="M80" s="372"/>
      <c r="N80" s="372"/>
      <c r="O80" s="372"/>
      <c r="P80" s="372"/>
      <c r="Q80" s="372"/>
      <c r="R80" s="361"/>
      <c r="S80" s="361"/>
      <c r="T80" s="361"/>
      <c r="U80" s="362"/>
      <c r="V80" s="372" t="e">
        <f t="shared" ref="V80" si="99">H80/E80*1000</f>
        <v>#DIV/0!</v>
      </c>
      <c r="W80" s="372" t="e">
        <f t="shared" ref="W80:W100" si="100">H80/F80</f>
        <v>#DIV/0!</v>
      </c>
      <c r="X80" s="353"/>
      <c r="Y80" s="345"/>
      <c r="Z80" s="361"/>
      <c r="AA80" s="374"/>
      <c r="AB80" s="372"/>
      <c r="AC80" s="372"/>
      <c r="AD80" s="372"/>
      <c r="AE80" s="372"/>
      <c r="AF80" s="372"/>
      <c r="AG80" s="372"/>
      <c r="AH80" s="372"/>
      <c r="AI80" s="372"/>
      <c r="AJ80" s="372"/>
      <c r="AK80" s="361"/>
      <c r="AL80" s="361"/>
      <c r="AM80" s="361"/>
      <c r="AN80" s="362"/>
      <c r="AO80" s="372" t="e">
        <f t="shared" ref="AO80" si="101">AA80/X80*1000</f>
        <v>#DIV/0!</v>
      </c>
      <c r="AP80" s="372" t="e">
        <f t="shared" ref="AP80:AP100" si="102">AA80/Y80</f>
        <v>#DIV/0!</v>
      </c>
      <c r="AQ80" s="353"/>
      <c r="AR80" s="345"/>
      <c r="AS80" s="361"/>
      <c r="AT80" s="374"/>
      <c r="AU80" s="372"/>
      <c r="AV80" s="372"/>
      <c r="AW80" s="372"/>
      <c r="AX80" s="372"/>
      <c r="AY80" s="372"/>
      <c r="AZ80" s="372"/>
      <c r="BA80" s="372"/>
      <c r="BB80" s="372"/>
      <c r="BC80" s="372"/>
      <c r="BD80" s="361"/>
      <c r="BE80" s="361"/>
      <c r="BF80" s="361"/>
      <c r="BG80" s="362"/>
      <c r="BH80" s="372" t="e">
        <f t="shared" si="26"/>
        <v>#DIV/0!</v>
      </c>
      <c r="BI80" s="372" t="e">
        <f t="shared" si="27"/>
        <v>#DIV/0!</v>
      </c>
    </row>
    <row r="81" spans="1:61" s="358" customFormat="1" ht="82.8" x14ac:dyDescent="0.3">
      <c r="A81" s="435" t="s">
        <v>209</v>
      </c>
      <c r="B81" s="441" t="s">
        <v>220</v>
      </c>
      <c r="C81" s="441"/>
      <c r="D81" s="436"/>
      <c r="E81" s="469">
        <f>E82</f>
        <v>0</v>
      </c>
      <c r="F81" s="442">
        <f t="shared" ref="F81:Q81" si="103">F82</f>
        <v>0</v>
      </c>
      <c r="G81" s="442">
        <f t="shared" si="103"/>
        <v>0</v>
      </c>
      <c r="H81" s="443">
        <f t="shared" si="103"/>
        <v>0</v>
      </c>
      <c r="I81" s="443">
        <f t="shared" si="103"/>
        <v>0</v>
      </c>
      <c r="J81" s="443">
        <f t="shared" si="103"/>
        <v>0</v>
      </c>
      <c r="K81" s="443">
        <f t="shared" si="103"/>
        <v>0</v>
      </c>
      <c r="L81" s="443">
        <f t="shared" si="103"/>
        <v>0</v>
      </c>
      <c r="M81" s="443">
        <f t="shared" si="103"/>
        <v>0</v>
      </c>
      <c r="N81" s="443">
        <f t="shared" si="103"/>
        <v>0</v>
      </c>
      <c r="O81" s="443">
        <f t="shared" si="103"/>
        <v>0</v>
      </c>
      <c r="P81" s="443">
        <f t="shared" si="103"/>
        <v>0</v>
      </c>
      <c r="Q81" s="443">
        <f t="shared" si="103"/>
        <v>0</v>
      </c>
      <c r="R81" s="444"/>
      <c r="S81" s="444"/>
      <c r="T81" s="444"/>
      <c r="U81" s="482"/>
      <c r="V81" s="445"/>
      <c r="W81" s="445" t="e">
        <f t="shared" si="100"/>
        <v>#DIV/0!</v>
      </c>
      <c r="X81" s="469">
        <f>X82</f>
        <v>0</v>
      </c>
      <c r="Y81" s="442">
        <f t="shared" ref="Y81:AJ81" si="104">Y82</f>
        <v>0</v>
      </c>
      <c r="Z81" s="442">
        <f t="shared" si="104"/>
        <v>0</v>
      </c>
      <c r="AA81" s="443">
        <f t="shared" si="104"/>
        <v>0</v>
      </c>
      <c r="AB81" s="443">
        <f t="shared" si="104"/>
        <v>0</v>
      </c>
      <c r="AC81" s="443">
        <f t="shared" si="104"/>
        <v>0</v>
      </c>
      <c r="AD81" s="443">
        <f t="shared" si="104"/>
        <v>0</v>
      </c>
      <c r="AE81" s="443">
        <f t="shared" si="104"/>
        <v>0</v>
      </c>
      <c r="AF81" s="443">
        <f t="shared" si="104"/>
        <v>0</v>
      </c>
      <c r="AG81" s="443">
        <f t="shared" si="104"/>
        <v>0</v>
      </c>
      <c r="AH81" s="443">
        <f t="shared" si="104"/>
        <v>0</v>
      </c>
      <c r="AI81" s="443">
        <f t="shared" si="104"/>
        <v>0</v>
      </c>
      <c r="AJ81" s="443">
        <f t="shared" si="104"/>
        <v>0</v>
      </c>
      <c r="AK81" s="444"/>
      <c r="AL81" s="444"/>
      <c r="AM81" s="444"/>
      <c r="AN81" s="482"/>
      <c r="AO81" s="445"/>
      <c r="AP81" s="445" t="e">
        <f t="shared" si="102"/>
        <v>#DIV/0!</v>
      </c>
      <c r="AQ81" s="469">
        <f>AQ82</f>
        <v>0</v>
      </c>
      <c r="AR81" s="442">
        <f t="shared" ref="AR81:BC81" si="105">AR82</f>
        <v>0</v>
      </c>
      <c r="AS81" s="442">
        <f t="shared" si="105"/>
        <v>0</v>
      </c>
      <c r="AT81" s="443">
        <f t="shared" si="105"/>
        <v>0</v>
      </c>
      <c r="AU81" s="443">
        <f t="shared" si="105"/>
        <v>0</v>
      </c>
      <c r="AV81" s="443">
        <f t="shared" si="105"/>
        <v>0</v>
      </c>
      <c r="AW81" s="443">
        <f t="shared" si="105"/>
        <v>0</v>
      </c>
      <c r="AX81" s="443">
        <f t="shared" si="105"/>
        <v>0</v>
      </c>
      <c r="AY81" s="443">
        <f t="shared" si="105"/>
        <v>0</v>
      </c>
      <c r="AZ81" s="443">
        <f t="shared" si="105"/>
        <v>0</v>
      </c>
      <c r="BA81" s="443">
        <f t="shared" si="105"/>
        <v>0</v>
      </c>
      <c r="BB81" s="443">
        <f t="shared" si="105"/>
        <v>0</v>
      </c>
      <c r="BC81" s="443">
        <f t="shared" si="105"/>
        <v>0</v>
      </c>
      <c r="BD81" s="444"/>
      <c r="BE81" s="444"/>
      <c r="BF81" s="444"/>
      <c r="BG81" s="482"/>
      <c r="BH81" s="445"/>
      <c r="BI81" s="445" t="e">
        <f t="shared" si="27"/>
        <v>#DIV/0!</v>
      </c>
    </row>
    <row r="82" spans="1:61" s="358" customFormat="1" ht="24.75" customHeight="1" x14ac:dyDescent="0.3">
      <c r="A82" s="354" t="s">
        <v>178</v>
      </c>
      <c r="B82" s="355" t="s">
        <v>262</v>
      </c>
      <c r="C82" s="355"/>
      <c r="D82" s="356">
        <v>6</v>
      </c>
      <c r="E82" s="462">
        <f t="shared" ref="E82:Q82" si="106">SUM(E83:E85)</f>
        <v>0</v>
      </c>
      <c r="F82" s="346">
        <f t="shared" si="106"/>
        <v>0</v>
      </c>
      <c r="G82" s="346">
        <f t="shared" si="106"/>
        <v>0</v>
      </c>
      <c r="H82" s="371">
        <f t="shared" si="106"/>
        <v>0</v>
      </c>
      <c r="I82" s="371">
        <f t="shared" si="106"/>
        <v>0</v>
      </c>
      <c r="J82" s="371">
        <f t="shared" si="106"/>
        <v>0</v>
      </c>
      <c r="K82" s="371">
        <f t="shared" si="106"/>
        <v>0</v>
      </c>
      <c r="L82" s="371">
        <f t="shared" si="106"/>
        <v>0</v>
      </c>
      <c r="M82" s="371">
        <f t="shared" si="106"/>
        <v>0</v>
      </c>
      <c r="N82" s="371">
        <f t="shared" si="106"/>
        <v>0</v>
      </c>
      <c r="O82" s="371">
        <f t="shared" si="106"/>
        <v>0</v>
      </c>
      <c r="P82" s="371">
        <f t="shared" si="106"/>
        <v>0</v>
      </c>
      <c r="Q82" s="371">
        <f t="shared" si="106"/>
        <v>0</v>
      </c>
      <c r="R82" s="357"/>
      <c r="S82" s="357"/>
      <c r="T82" s="357"/>
      <c r="U82" s="480"/>
      <c r="V82" s="380"/>
      <c r="W82" s="380" t="e">
        <f t="shared" si="100"/>
        <v>#DIV/0!</v>
      </c>
      <c r="X82" s="462">
        <f t="shared" ref="X82:AJ82" si="107">SUM(X83:X85)</f>
        <v>0</v>
      </c>
      <c r="Y82" s="346">
        <f t="shared" si="107"/>
        <v>0</v>
      </c>
      <c r="Z82" s="346">
        <f t="shared" si="107"/>
        <v>0</v>
      </c>
      <c r="AA82" s="371">
        <f t="shared" si="107"/>
        <v>0</v>
      </c>
      <c r="AB82" s="371">
        <f t="shared" si="107"/>
        <v>0</v>
      </c>
      <c r="AC82" s="371">
        <f t="shared" si="107"/>
        <v>0</v>
      </c>
      <c r="AD82" s="371">
        <f t="shared" si="107"/>
        <v>0</v>
      </c>
      <c r="AE82" s="371">
        <f t="shared" si="107"/>
        <v>0</v>
      </c>
      <c r="AF82" s="371">
        <f t="shared" si="107"/>
        <v>0</v>
      </c>
      <c r="AG82" s="371">
        <f t="shared" si="107"/>
        <v>0</v>
      </c>
      <c r="AH82" s="371">
        <f t="shared" si="107"/>
        <v>0</v>
      </c>
      <c r="AI82" s="371">
        <f t="shared" si="107"/>
        <v>0</v>
      </c>
      <c r="AJ82" s="371">
        <f t="shared" si="107"/>
        <v>0</v>
      </c>
      <c r="AK82" s="357"/>
      <c r="AL82" s="357"/>
      <c r="AM82" s="357"/>
      <c r="AN82" s="480"/>
      <c r="AO82" s="380"/>
      <c r="AP82" s="380" t="e">
        <f t="shared" si="102"/>
        <v>#DIV/0!</v>
      </c>
      <c r="AQ82" s="462">
        <f t="shared" ref="AQ82:BC82" si="108">SUM(AQ83:AQ85)</f>
        <v>0</v>
      </c>
      <c r="AR82" s="346">
        <f t="shared" si="108"/>
        <v>0</v>
      </c>
      <c r="AS82" s="346">
        <f t="shared" si="108"/>
        <v>0</v>
      </c>
      <c r="AT82" s="371">
        <f t="shared" si="108"/>
        <v>0</v>
      </c>
      <c r="AU82" s="371">
        <f t="shared" si="108"/>
        <v>0</v>
      </c>
      <c r="AV82" s="371">
        <f t="shared" si="108"/>
        <v>0</v>
      </c>
      <c r="AW82" s="371">
        <f t="shared" si="108"/>
        <v>0</v>
      </c>
      <c r="AX82" s="371">
        <f t="shared" si="108"/>
        <v>0</v>
      </c>
      <c r="AY82" s="371">
        <f t="shared" si="108"/>
        <v>0</v>
      </c>
      <c r="AZ82" s="371">
        <f t="shared" si="108"/>
        <v>0</v>
      </c>
      <c r="BA82" s="371">
        <f t="shared" si="108"/>
        <v>0</v>
      </c>
      <c r="BB82" s="371">
        <f t="shared" si="108"/>
        <v>0</v>
      </c>
      <c r="BC82" s="371">
        <f t="shared" si="108"/>
        <v>0</v>
      </c>
      <c r="BD82" s="357"/>
      <c r="BE82" s="357"/>
      <c r="BF82" s="357"/>
      <c r="BG82" s="480"/>
      <c r="BH82" s="380"/>
      <c r="BI82" s="380" t="e">
        <f t="shared" si="27"/>
        <v>#DIV/0!</v>
      </c>
    </row>
    <row r="83" spans="1:61" s="358" customFormat="1" x14ac:dyDescent="0.3">
      <c r="A83" s="359"/>
      <c r="B83" s="537"/>
      <c r="C83" s="385"/>
      <c r="D83" s="360">
        <v>0.4</v>
      </c>
      <c r="E83" s="396"/>
      <c r="F83" s="397"/>
      <c r="G83" s="393"/>
      <c r="H83" s="542"/>
      <c r="I83" s="394"/>
      <c r="J83" s="394"/>
      <c r="K83" s="394"/>
      <c r="L83" s="394"/>
      <c r="M83" s="394"/>
      <c r="N83" s="394"/>
      <c r="O83" s="394"/>
      <c r="P83" s="394"/>
      <c r="Q83" s="394"/>
      <c r="R83" s="381"/>
      <c r="S83" s="408"/>
      <c r="T83" s="361"/>
      <c r="U83" s="362"/>
      <c r="V83" s="372" t="e">
        <f t="shared" ref="V83:V84" si="109">H83/E83*1000</f>
        <v>#DIV/0!</v>
      </c>
      <c r="W83" s="372" t="e">
        <f t="shared" si="100"/>
        <v>#DIV/0!</v>
      </c>
      <c r="X83" s="396"/>
      <c r="Y83" s="397"/>
      <c r="Z83" s="393"/>
      <c r="AA83" s="542"/>
      <c r="AB83" s="394"/>
      <c r="AC83" s="394"/>
      <c r="AD83" s="394"/>
      <c r="AE83" s="394"/>
      <c r="AF83" s="394"/>
      <c r="AG83" s="394"/>
      <c r="AH83" s="394"/>
      <c r="AI83" s="394"/>
      <c r="AJ83" s="394"/>
      <c r="AK83" s="381"/>
      <c r="AL83" s="408"/>
      <c r="AM83" s="361"/>
      <c r="AN83" s="362"/>
      <c r="AO83" s="372" t="e">
        <f t="shared" ref="AO83:AO84" si="110">AA83/X83*1000</f>
        <v>#DIV/0!</v>
      </c>
      <c r="AP83" s="372" t="e">
        <f t="shared" si="102"/>
        <v>#DIV/0!</v>
      </c>
      <c r="AQ83" s="396"/>
      <c r="AR83" s="397"/>
      <c r="AS83" s="393"/>
      <c r="AT83" s="542"/>
      <c r="AU83" s="394"/>
      <c r="AV83" s="394"/>
      <c r="AW83" s="394"/>
      <c r="AX83" s="394"/>
      <c r="AY83" s="394"/>
      <c r="AZ83" s="394"/>
      <c r="BA83" s="394"/>
      <c r="BB83" s="394"/>
      <c r="BC83" s="394"/>
      <c r="BD83" s="381"/>
      <c r="BE83" s="408"/>
      <c r="BF83" s="361"/>
      <c r="BG83" s="362"/>
      <c r="BH83" s="372" t="e">
        <f t="shared" ref="BH83:BH84" si="111">AT83/AQ83*1000</f>
        <v>#DIV/0!</v>
      </c>
      <c r="BI83" s="372" t="e">
        <f t="shared" si="27"/>
        <v>#DIV/0!</v>
      </c>
    </row>
    <row r="84" spans="1:61" s="358" customFormat="1" x14ac:dyDescent="0.3">
      <c r="A84" s="359"/>
      <c r="B84" s="572"/>
      <c r="C84" s="385"/>
      <c r="D84" s="360">
        <v>0.4</v>
      </c>
      <c r="E84" s="396"/>
      <c r="F84" s="397"/>
      <c r="G84" s="393"/>
      <c r="H84" s="571"/>
      <c r="I84" s="394"/>
      <c r="J84" s="394"/>
      <c r="K84" s="394"/>
      <c r="L84" s="394"/>
      <c r="M84" s="394"/>
      <c r="N84" s="394"/>
      <c r="O84" s="394"/>
      <c r="P84" s="394"/>
      <c r="Q84" s="394"/>
      <c r="R84" s="381"/>
      <c r="S84" s="408"/>
      <c r="T84" s="361"/>
      <c r="U84" s="362"/>
      <c r="V84" s="372" t="e">
        <f t="shared" si="109"/>
        <v>#DIV/0!</v>
      </c>
      <c r="W84" s="372" t="e">
        <f t="shared" si="100"/>
        <v>#DIV/0!</v>
      </c>
      <c r="X84" s="396"/>
      <c r="Y84" s="397"/>
      <c r="Z84" s="393"/>
      <c r="AA84" s="571"/>
      <c r="AB84" s="394"/>
      <c r="AC84" s="394"/>
      <c r="AD84" s="394"/>
      <c r="AE84" s="394"/>
      <c r="AF84" s="394"/>
      <c r="AG84" s="394"/>
      <c r="AH84" s="394"/>
      <c r="AI84" s="394"/>
      <c r="AJ84" s="394"/>
      <c r="AK84" s="381"/>
      <c r="AL84" s="408"/>
      <c r="AM84" s="361"/>
      <c r="AN84" s="362"/>
      <c r="AO84" s="372" t="e">
        <f t="shared" si="110"/>
        <v>#DIV/0!</v>
      </c>
      <c r="AP84" s="372" t="e">
        <f t="shared" si="102"/>
        <v>#DIV/0!</v>
      </c>
      <c r="AQ84" s="396"/>
      <c r="AR84" s="397"/>
      <c r="AS84" s="393"/>
      <c r="AT84" s="571"/>
      <c r="AU84" s="394"/>
      <c r="AV84" s="394"/>
      <c r="AW84" s="394"/>
      <c r="AX84" s="394"/>
      <c r="AY84" s="394"/>
      <c r="AZ84" s="394"/>
      <c r="BA84" s="394"/>
      <c r="BB84" s="394"/>
      <c r="BC84" s="394"/>
      <c r="BD84" s="381"/>
      <c r="BE84" s="408"/>
      <c r="BF84" s="361"/>
      <c r="BG84" s="362"/>
      <c r="BH84" s="372" t="e">
        <f t="shared" si="111"/>
        <v>#DIV/0!</v>
      </c>
      <c r="BI84" s="372" t="e">
        <f t="shared" si="27"/>
        <v>#DIV/0!</v>
      </c>
    </row>
    <row r="85" spans="1:61" s="358" customFormat="1" x14ac:dyDescent="0.3">
      <c r="A85" s="359"/>
      <c r="B85" s="341"/>
      <c r="C85" s="342"/>
      <c r="D85" s="360"/>
      <c r="E85" s="465"/>
      <c r="F85" s="345"/>
      <c r="G85" s="361"/>
      <c r="H85" s="372"/>
      <c r="I85" s="372"/>
      <c r="J85" s="372"/>
      <c r="K85" s="372"/>
      <c r="L85" s="372"/>
      <c r="M85" s="372"/>
      <c r="N85" s="372"/>
      <c r="O85" s="372"/>
      <c r="P85" s="372"/>
      <c r="Q85" s="372"/>
      <c r="R85" s="361"/>
      <c r="S85" s="361"/>
      <c r="T85" s="361"/>
      <c r="U85" s="362"/>
      <c r="V85" s="372"/>
      <c r="W85" s="372" t="e">
        <f t="shared" si="100"/>
        <v>#DIV/0!</v>
      </c>
      <c r="X85" s="465"/>
      <c r="Y85" s="345"/>
      <c r="Z85" s="361"/>
      <c r="AA85" s="372"/>
      <c r="AB85" s="372"/>
      <c r="AC85" s="372"/>
      <c r="AD85" s="372"/>
      <c r="AE85" s="372"/>
      <c r="AF85" s="372"/>
      <c r="AG85" s="372"/>
      <c r="AH85" s="372"/>
      <c r="AI85" s="372"/>
      <c r="AJ85" s="372"/>
      <c r="AK85" s="361"/>
      <c r="AL85" s="361"/>
      <c r="AM85" s="361"/>
      <c r="AN85" s="362"/>
      <c r="AO85" s="372"/>
      <c r="AP85" s="372" t="e">
        <f t="shared" si="102"/>
        <v>#DIV/0!</v>
      </c>
      <c r="AQ85" s="465"/>
      <c r="AR85" s="345"/>
      <c r="AS85" s="361"/>
      <c r="AT85" s="372"/>
      <c r="AU85" s="372"/>
      <c r="AV85" s="372"/>
      <c r="AW85" s="372"/>
      <c r="AX85" s="372"/>
      <c r="AY85" s="372"/>
      <c r="AZ85" s="372"/>
      <c r="BA85" s="372"/>
      <c r="BB85" s="372"/>
      <c r="BC85" s="372"/>
      <c r="BD85" s="361"/>
      <c r="BE85" s="361"/>
      <c r="BF85" s="361"/>
      <c r="BG85" s="362"/>
      <c r="BH85" s="372"/>
      <c r="BI85" s="372" t="e">
        <f t="shared" si="27"/>
        <v>#DIV/0!</v>
      </c>
    </row>
    <row r="86" spans="1:61" s="358" customFormat="1" ht="115.2" customHeight="1" x14ac:dyDescent="0.3">
      <c r="A86" s="435" t="s">
        <v>219</v>
      </c>
      <c r="B86" s="441" t="s">
        <v>221</v>
      </c>
      <c r="C86" s="441"/>
      <c r="D86" s="436"/>
      <c r="E86" s="469">
        <f t="shared" ref="E86:Q86" si="112">E87+E90+E93+E96</f>
        <v>0</v>
      </c>
      <c r="F86" s="442">
        <f t="shared" si="112"/>
        <v>0</v>
      </c>
      <c r="G86" s="442">
        <f t="shared" si="112"/>
        <v>0</v>
      </c>
      <c r="H86" s="443">
        <f t="shared" si="112"/>
        <v>0</v>
      </c>
      <c r="I86" s="443">
        <f t="shared" si="112"/>
        <v>0</v>
      </c>
      <c r="J86" s="443">
        <f t="shared" si="112"/>
        <v>0</v>
      </c>
      <c r="K86" s="443">
        <f t="shared" si="112"/>
        <v>0</v>
      </c>
      <c r="L86" s="443">
        <f t="shared" si="112"/>
        <v>0</v>
      </c>
      <c r="M86" s="443">
        <f t="shared" si="112"/>
        <v>0</v>
      </c>
      <c r="N86" s="443">
        <f t="shared" si="112"/>
        <v>0</v>
      </c>
      <c r="O86" s="443">
        <f t="shared" si="112"/>
        <v>0</v>
      </c>
      <c r="P86" s="443">
        <f t="shared" si="112"/>
        <v>0</v>
      </c>
      <c r="Q86" s="443">
        <f t="shared" si="112"/>
        <v>0</v>
      </c>
      <c r="R86" s="444"/>
      <c r="S86" s="444"/>
      <c r="T86" s="444"/>
      <c r="U86" s="482"/>
      <c r="V86" s="445"/>
      <c r="W86" s="445" t="e">
        <f t="shared" si="100"/>
        <v>#DIV/0!</v>
      </c>
      <c r="X86" s="469">
        <f t="shared" ref="X86:AJ86" si="113">X87+X90+X93+X96</f>
        <v>0</v>
      </c>
      <c r="Y86" s="442">
        <f t="shared" si="113"/>
        <v>0</v>
      </c>
      <c r="Z86" s="442">
        <f t="shared" si="113"/>
        <v>0</v>
      </c>
      <c r="AA86" s="443">
        <f t="shared" si="113"/>
        <v>0</v>
      </c>
      <c r="AB86" s="443">
        <f t="shared" si="113"/>
        <v>0</v>
      </c>
      <c r="AC86" s="443">
        <f t="shared" si="113"/>
        <v>0</v>
      </c>
      <c r="AD86" s="443">
        <f t="shared" si="113"/>
        <v>0</v>
      </c>
      <c r="AE86" s="443">
        <f t="shared" si="113"/>
        <v>0</v>
      </c>
      <c r="AF86" s="443">
        <f t="shared" si="113"/>
        <v>0</v>
      </c>
      <c r="AG86" s="443">
        <f t="shared" si="113"/>
        <v>0</v>
      </c>
      <c r="AH86" s="443">
        <f t="shared" si="113"/>
        <v>0</v>
      </c>
      <c r="AI86" s="443">
        <f t="shared" si="113"/>
        <v>0</v>
      </c>
      <c r="AJ86" s="443">
        <f t="shared" si="113"/>
        <v>0</v>
      </c>
      <c r="AK86" s="444"/>
      <c r="AL86" s="444"/>
      <c r="AM86" s="444"/>
      <c r="AN86" s="482"/>
      <c r="AO86" s="445"/>
      <c r="AP86" s="445" t="e">
        <f t="shared" si="102"/>
        <v>#DIV/0!</v>
      </c>
      <c r="AQ86" s="469">
        <f t="shared" ref="AQ86:BC86" si="114">AQ87+AQ90+AQ93+AQ96</f>
        <v>0</v>
      </c>
      <c r="AR86" s="442">
        <f t="shared" si="114"/>
        <v>0</v>
      </c>
      <c r="AS86" s="442">
        <f t="shared" si="114"/>
        <v>0</v>
      </c>
      <c r="AT86" s="443">
        <f t="shared" si="114"/>
        <v>0</v>
      </c>
      <c r="AU86" s="443">
        <f t="shared" si="114"/>
        <v>0</v>
      </c>
      <c r="AV86" s="443">
        <f t="shared" si="114"/>
        <v>0</v>
      </c>
      <c r="AW86" s="443">
        <f t="shared" si="114"/>
        <v>0</v>
      </c>
      <c r="AX86" s="443">
        <f t="shared" si="114"/>
        <v>0</v>
      </c>
      <c r="AY86" s="443">
        <f t="shared" si="114"/>
        <v>0</v>
      </c>
      <c r="AZ86" s="443">
        <f t="shared" si="114"/>
        <v>0</v>
      </c>
      <c r="BA86" s="443">
        <f t="shared" si="114"/>
        <v>0</v>
      </c>
      <c r="BB86" s="443">
        <f t="shared" si="114"/>
        <v>0</v>
      </c>
      <c r="BC86" s="443">
        <f t="shared" si="114"/>
        <v>0</v>
      </c>
      <c r="BD86" s="444"/>
      <c r="BE86" s="444"/>
      <c r="BF86" s="444"/>
      <c r="BG86" s="482"/>
      <c r="BH86" s="445"/>
      <c r="BI86" s="445" t="e">
        <f t="shared" si="27"/>
        <v>#DIV/0!</v>
      </c>
    </row>
    <row r="87" spans="1:61" s="358" customFormat="1" ht="24.75" customHeight="1" x14ac:dyDescent="0.3">
      <c r="A87" s="354" t="s">
        <v>178</v>
      </c>
      <c r="B87" s="355" t="s">
        <v>222</v>
      </c>
      <c r="C87" s="355"/>
      <c r="D87" s="356">
        <v>6</v>
      </c>
      <c r="E87" s="462">
        <f t="shared" ref="E87:Q87" si="115">SUM(E88:E89)</f>
        <v>0</v>
      </c>
      <c r="F87" s="346">
        <f t="shared" si="115"/>
        <v>0</v>
      </c>
      <c r="G87" s="346">
        <f t="shared" si="115"/>
        <v>0</v>
      </c>
      <c r="H87" s="371">
        <f t="shared" si="115"/>
        <v>0</v>
      </c>
      <c r="I87" s="371">
        <f t="shared" si="115"/>
        <v>0</v>
      </c>
      <c r="J87" s="371">
        <f t="shared" si="115"/>
        <v>0</v>
      </c>
      <c r="K87" s="371">
        <f t="shared" si="115"/>
        <v>0</v>
      </c>
      <c r="L87" s="371">
        <f t="shared" si="115"/>
        <v>0</v>
      </c>
      <c r="M87" s="371">
        <f t="shared" si="115"/>
        <v>0</v>
      </c>
      <c r="N87" s="371">
        <f t="shared" si="115"/>
        <v>0</v>
      </c>
      <c r="O87" s="371">
        <f t="shared" si="115"/>
        <v>0</v>
      </c>
      <c r="P87" s="371">
        <f t="shared" si="115"/>
        <v>0</v>
      </c>
      <c r="Q87" s="371">
        <f t="shared" si="115"/>
        <v>0</v>
      </c>
      <c r="R87" s="357"/>
      <c r="S87" s="357"/>
      <c r="T87" s="357"/>
      <c r="U87" s="480"/>
      <c r="V87" s="380"/>
      <c r="W87" s="380" t="e">
        <f t="shared" si="100"/>
        <v>#DIV/0!</v>
      </c>
      <c r="X87" s="462">
        <f t="shared" ref="X87:AJ87" si="116">SUM(X88:X89)</f>
        <v>0</v>
      </c>
      <c r="Y87" s="346">
        <f t="shared" si="116"/>
        <v>0</v>
      </c>
      <c r="Z87" s="346">
        <f t="shared" si="116"/>
        <v>0</v>
      </c>
      <c r="AA87" s="371">
        <f t="shared" si="116"/>
        <v>0</v>
      </c>
      <c r="AB87" s="371">
        <f t="shared" si="116"/>
        <v>0</v>
      </c>
      <c r="AC87" s="371">
        <f t="shared" si="116"/>
        <v>0</v>
      </c>
      <c r="AD87" s="371">
        <f t="shared" si="116"/>
        <v>0</v>
      </c>
      <c r="AE87" s="371">
        <f t="shared" si="116"/>
        <v>0</v>
      </c>
      <c r="AF87" s="371">
        <f t="shared" si="116"/>
        <v>0</v>
      </c>
      <c r="AG87" s="371">
        <f t="shared" si="116"/>
        <v>0</v>
      </c>
      <c r="AH87" s="371">
        <f t="shared" si="116"/>
        <v>0</v>
      </c>
      <c r="AI87" s="371">
        <f t="shared" si="116"/>
        <v>0</v>
      </c>
      <c r="AJ87" s="371">
        <f t="shared" si="116"/>
        <v>0</v>
      </c>
      <c r="AK87" s="357"/>
      <c r="AL87" s="357"/>
      <c r="AM87" s="357"/>
      <c r="AN87" s="480"/>
      <c r="AO87" s="380"/>
      <c r="AP87" s="380" t="e">
        <f t="shared" si="102"/>
        <v>#DIV/0!</v>
      </c>
      <c r="AQ87" s="462">
        <f t="shared" ref="AQ87:BC87" si="117">SUM(AQ88:AQ89)</f>
        <v>0</v>
      </c>
      <c r="AR87" s="346">
        <f t="shared" si="117"/>
        <v>0</v>
      </c>
      <c r="AS87" s="346">
        <f t="shared" si="117"/>
        <v>0</v>
      </c>
      <c r="AT87" s="371">
        <f t="shared" si="117"/>
        <v>0</v>
      </c>
      <c r="AU87" s="371">
        <f t="shared" si="117"/>
        <v>0</v>
      </c>
      <c r="AV87" s="371">
        <f t="shared" si="117"/>
        <v>0</v>
      </c>
      <c r="AW87" s="371">
        <f t="shared" si="117"/>
        <v>0</v>
      </c>
      <c r="AX87" s="371">
        <f t="shared" si="117"/>
        <v>0</v>
      </c>
      <c r="AY87" s="371">
        <f t="shared" si="117"/>
        <v>0</v>
      </c>
      <c r="AZ87" s="371">
        <f t="shared" si="117"/>
        <v>0</v>
      </c>
      <c r="BA87" s="371">
        <f t="shared" si="117"/>
        <v>0</v>
      </c>
      <c r="BB87" s="371">
        <f t="shared" si="117"/>
        <v>0</v>
      </c>
      <c r="BC87" s="371">
        <f t="shared" si="117"/>
        <v>0</v>
      </c>
      <c r="BD87" s="357"/>
      <c r="BE87" s="357"/>
      <c r="BF87" s="357"/>
      <c r="BG87" s="480"/>
      <c r="BH87" s="380"/>
      <c r="BI87" s="380" t="e">
        <f t="shared" si="27"/>
        <v>#DIV/0!</v>
      </c>
    </row>
    <row r="88" spans="1:61" s="358" customFormat="1" x14ac:dyDescent="0.3">
      <c r="A88" s="359" t="s">
        <v>143</v>
      </c>
      <c r="B88" s="365"/>
      <c r="C88" s="342"/>
      <c r="D88" s="360"/>
      <c r="E88" s="470"/>
      <c r="F88" s="364"/>
      <c r="G88" s="364"/>
      <c r="H88" s="372"/>
      <c r="I88" s="372"/>
      <c r="J88" s="372"/>
      <c r="K88" s="372"/>
      <c r="L88" s="372"/>
      <c r="M88" s="372"/>
      <c r="N88" s="372"/>
      <c r="O88" s="372"/>
      <c r="P88" s="372"/>
      <c r="Q88" s="372"/>
      <c r="R88" s="361"/>
      <c r="S88" s="361"/>
      <c r="T88" s="361"/>
      <c r="U88" s="362"/>
      <c r="V88" s="372"/>
      <c r="W88" s="372" t="e">
        <f t="shared" si="100"/>
        <v>#DIV/0!</v>
      </c>
      <c r="X88" s="470"/>
      <c r="Y88" s="364"/>
      <c r="Z88" s="364"/>
      <c r="AA88" s="372"/>
      <c r="AB88" s="372"/>
      <c r="AC88" s="372"/>
      <c r="AD88" s="372"/>
      <c r="AE88" s="372"/>
      <c r="AF88" s="372"/>
      <c r="AG88" s="372"/>
      <c r="AH88" s="372"/>
      <c r="AI88" s="372"/>
      <c r="AJ88" s="372"/>
      <c r="AK88" s="361"/>
      <c r="AL88" s="361"/>
      <c r="AM88" s="361"/>
      <c r="AN88" s="362"/>
      <c r="AO88" s="372"/>
      <c r="AP88" s="372" t="e">
        <f t="shared" si="102"/>
        <v>#DIV/0!</v>
      </c>
      <c r="AQ88" s="470"/>
      <c r="AR88" s="364"/>
      <c r="AS88" s="364"/>
      <c r="AT88" s="372"/>
      <c r="AU88" s="372"/>
      <c r="AV88" s="372"/>
      <c r="AW88" s="372"/>
      <c r="AX88" s="372"/>
      <c r="AY88" s="372"/>
      <c r="AZ88" s="372"/>
      <c r="BA88" s="372"/>
      <c r="BB88" s="372"/>
      <c r="BC88" s="372"/>
      <c r="BD88" s="361"/>
      <c r="BE88" s="361"/>
      <c r="BF88" s="361"/>
      <c r="BG88" s="362"/>
      <c r="BH88" s="372"/>
      <c r="BI88" s="372" t="e">
        <f t="shared" si="27"/>
        <v>#DIV/0!</v>
      </c>
    </row>
    <row r="89" spans="1:61" s="358" customFormat="1" x14ac:dyDescent="0.3">
      <c r="A89" s="359"/>
      <c r="B89" s="341"/>
      <c r="C89" s="342"/>
      <c r="D89" s="360"/>
      <c r="E89" s="470"/>
      <c r="F89" s="352"/>
      <c r="G89" s="364"/>
      <c r="H89" s="372"/>
      <c r="I89" s="372"/>
      <c r="J89" s="372"/>
      <c r="K89" s="372"/>
      <c r="L89" s="372"/>
      <c r="M89" s="372"/>
      <c r="N89" s="372"/>
      <c r="O89" s="372"/>
      <c r="P89" s="372"/>
      <c r="Q89" s="372"/>
      <c r="R89" s="361"/>
      <c r="S89" s="361"/>
      <c r="T89" s="361"/>
      <c r="U89" s="362"/>
      <c r="V89" s="372"/>
      <c r="W89" s="372" t="e">
        <f t="shared" si="100"/>
        <v>#DIV/0!</v>
      </c>
      <c r="X89" s="470"/>
      <c r="Y89" s="352"/>
      <c r="Z89" s="364"/>
      <c r="AA89" s="372"/>
      <c r="AB89" s="372"/>
      <c r="AC89" s="372"/>
      <c r="AD89" s="372"/>
      <c r="AE89" s="372"/>
      <c r="AF89" s="372"/>
      <c r="AG89" s="372"/>
      <c r="AH89" s="372"/>
      <c r="AI89" s="372"/>
      <c r="AJ89" s="372"/>
      <c r="AK89" s="361"/>
      <c r="AL89" s="361"/>
      <c r="AM89" s="361"/>
      <c r="AN89" s="362"/>
      <c r="AO89" s="372"/>
      <c r="AP89" s="372" t="e">
        <f t="shared" si="102"/>
        <v>#DIV/0!</v>
      </c>
      <c r="AQ89" s="470"/>
      <c r="AR89" s="352"/>
      <c r="AS89" s="364"/>
      <c r="AT89" s="372"/>
      <c r="AU89" s="372"/>
      <c r="AV89" s="372"/>
      <c r="AW89" s="372"/>
      <c r="AX89" s="372"/>
      <c r="AY89" s="372"/>
      <c r="AZ89" s="372"/>
      <c r="BA89" s="372"/>
      <c r="BB89" s="372"/>
      <c r="BC89" s="372"/>
      <c r="BD89" s="361"/>
      <c r="BE89" s="361"/>
      <c r="BF89" s="361"/>
      <c r="BG89" s="362"/>
      <c r="BH89" s="372"/>
      <c r="BI89" s="372" t="e">
        <f t="shared" si="27"/>
        <v>#DIV/0!</v>
      </c>
    </row>
    <row r="90" spans="1:61" s="358" customFormat="1" ht="24.75" customHeight="1" x14ac:dyDescent="0.3">
      <c r="A90" s="354" t="s">
        <v>182</v>
      </c>
      <c r="B90" s="355" t="s">
        <v>223</v>
      </c>
      <c r="C90" s="355"/>
      <c r="D90" s="356">
        <v>6</v>
      </c>
      <c r="E90" s="462">
        <f t="shared" ref="E90:Q90" si="118">SUM(E91:E92)</f>
        <v>0</v>
      </c>
      <c r="F90" s="346">
        <f t="shared" si="118"/>
        <v>0</v>
      </c>
      <c r="G90" s="346">
        <f t="shared" si="118"/>
        <v>0</v>
      </c>
      <c r="H90" s="371">
        <f t="shared" si="118"/>
        <v>0</v>
      </c>
      <c r="I90" s="371">
        <f t="shared" si="118"/>
        <v>0</v>
      </c>
      <c r="J90" s="371">
        <f t="shared" si="118"/>
        <v>0</v>
      </c>
      <c r="K90" s="371">
        <f t="shared" si="118"/>
        <v>0</v>
      </c>
      <c r="L90" s="371">
        <f t="shared" si="118"/>
        <v>0</v>
      </c>
      <c r="M90" s="371">
        <f t="shared" si="118"/>
        <v>0</v>
      </c>
      <c r="N90" s="371">
        <f t="shared" si="118"/>
        <v>0</v>
      </c>
      <c r="O90" s="371">
        <f t="shared" si="118"/>
        <v>0</v>
      </c>
      <c r="P90" s="371">
        <f t="shared" si="118"/>
        <v>0</v>
      </c>
      <c r="Q90" s="371">
        <f t="shared" si="118"/>
        <v>0</v>
      </c>
      <c r="R90" s="357"/>
      <c r="S90" s="357"/>
      <c r="T90" s="357"/>
      <c r="U90" s="480"/>
      <c r="V90" s="380"/>
      <c r="W90" s="380" t="e">
        <f t="shared" si="100"/>
        <v>#DIV/0!</v>
      </c>
      <c r="X90" s="462">
        <f t="shared" ref="X90:AJ90" si="119">SUM(X91:X92)</f>
        <v>0</v>
      </c>
      <c r="Y90" s="346">
        <f t="shared" si="119"/>
        <v>0</v>
      </c>
      <c r="Z90" s="346">
        <f t="shared" si="119"/>
        <v>0</v>
      </c>
      <c r="AA90" s="371">
        <f t="shared" si="119"/>
        <v>0</v>
      </c>
      <c r="AB90" s="371">
        <f t="shared" si="119"/>
        <v>0</v>
      </c>
      <c r="AC90" s="371">
        <f t="shared" si="119"/>
        <v>0</v>
      </c>
      <c r="AD90" s="371">
        <f t="shared" si="119"/>
        <v>0</v>
      </c>
      <c r="AE90" s="371">
        <f t="shared" si="119"/>
        <v>0</v>
      </c>
      <c r="AF90" s="371">
        <f t="shared" si="119"/>
        <v>0</v>
      </c>
      <c r="AG90" s="371">
        <f t="shared" si="119"/>
        <v>0</v>
      </c>
      <c r="AH90" s="371">
        <f t="shared" si="119"/>
        <v>0</v>
      </c>
      <c r="AI90" s="371">
        <f t="shared" si="119"/>
        <v>0</v>
      </c>
      <c r="AJ90" s="371">
        <f t="shared" si="119"/>
        <v>0</v>
      </c>
      <c r="AK90" s="357"/>
      <c r="AL90" s="357"/>
      <c r="AM90" s="357"/>
      <c r="AN90" s="480"/>
      <c r="AO90" s="380"/>
      <c r="AP90" s="380" t="e">
        <f t="shared" si="102"/>
        <v>#DIV/0!</v>
      </c>
      <c r="AQ90" s="462">
        <f t="shared" ref="AQ90:BC90" si="120">SUM(AQ91:AQ92)</f>
        <v>0</v>
      </c>
      <c r="AR90" s="346">
        <f t="shared" si="120"/>
        <v>0</v>
      </c>
      <c r="AS90" s="346">
        <f t="shared" si="120"/>
        <v>0</v>
      </c>
      <c r="AT90" s="371">
        <f t="shared" si="120"/>
        <v>0</v>
      </c>
      <c r="AU90" s="371">
        <f t="shared" si="120"/>
        <v>0</v>
      </c>
      <c r="AV90" s="371">
        <f t="shared" si="120"/>
        <v>0</v>
      </c>
      <c r="AW90" s="371">
        <f t="shared" si="120"/>
        <v>0</v>
      </c>
      <c r="AX90" s="371">
        <f t="shared" si="120"/>
        <v>0</v>
      </c>
      <c r="AY90" s="371">
        <f t="shared" si="120"/>
        <v>0</v>
      </c>
      <c r="AZ90" s="371">
        <f t="shared" si="120"/>
        <v>0</v>
      </c>
      <c r="BA90" s="371">
        <f t="shared" si="120"/>
        <v>0</v>
      </c>
      <c r="BB90" s="371">
        <f t="shared" si="120"/>
        <v>0</v>
      </c>
      <c r="BC90" s="371">
        <f t="shared" si="120"/>
        <v>0</v>
      </c>
      <c r="BD90" s="357"/>
      <c r="BE90" s="357"/>
      <c r="BF90" s="357"/>
      <c r="BG90" s="480"/>
      <c r="BH90" s="380"/>
      <c r="BI90" s="380" t="e">
        <f t="shared" ref="BI90:BI110" si="121">AT90/AR90</f>
        <v>#DIV/0!</v>
      </c>
    </row>
    <row r="91" spans="1:61" s="358" customFormat="1" x14ac:dyDescent="0.3">
      <c r="A91" s="359" t="s">
        <v>183</v>
      </c>
      <c r="B91" s="341"/>
      <c r="C91" s="342"/>
      <c r="D91" s="360"/>
      <c r="E91" s="470"/>
      <c r="F91" s="364"/>
      <c r="G91" s="364"/>
      <c r="H91" s="372"/>
      <c r="I91" s="372"/>
      <c r="J91" s="372"/>
      <c r="K91" s="372"/>
      <c r="L91" s="372"/>
      <c r="M91" s="372"/>
      <c r="N91" s="372"/>
      <c r="O91" s="372"/>
      <c r="P91" s="372"/>
      <c r="Q91" s="372"/>
      <c r="R91" s="361"/>
      <c r="S91" s="361"/>
      <c r="T91" s="361"/>
      <c r="U91" s="362"/>
      <c r="V91" s="372"/>
      <c r="W91" s="372" t="e">
        <f t="shared" si="100"/>
        <v>#DIV/0!</v>
      </c>
      <c r="X91" s="470"/>
      <c r="Y91" s="364"/>
      <c r="Z91" s="364"/>
      <c r="AA91" s="372"/>
      <c r="AB91" s="372"/>
      <c r="AC91" s="372"/>
      <c r="AD91" s="372"/>
      <c r="AE91" s="372"/>
      <c r="AF91" s="372"/>
      <c r="AG91" s="372"/>
      <c r="AH91" s="372"/>
      <c r="AI91" s="372"/>
      <c r="AJ91" s="372"/>
      <c r="AK91" s="361"/>
      <c r="AL91" s="361"/>
      <c r="AM91" s="361"/>
      <c r="AN91" s="362"/>
      <c r="AO91" s="372"/>
      <c r="AP91" s="372" t="e">
        <f t="shared" si="102"/>
        <v>#DIV/0!</v>
      </c>
      <c r="AQ91" s="470"/>
      <c r="AR91" s="364"/>
      <c r="AS91" s="364"/>
      <c r="AT91" s="372"/>
      <c r="AU91" s="372"/>
      <c r="AV91" s="372"/>
      <c r="AW91" s="372"/>
      <c r="AX91" s="372"/>
      <c r="AY91" s="372"/>
      <c r="AZ91" s="372"/>
      <c r="BA91" s="372"/>
      <c r="BB91" s="372"/>
      <c r="BC91" s="372"/>
      <c r="BD91" s="361"/>
      <c r="BE91" s="361"/>
      <c r="BF91" s="361"/>
      <c r="BG91" s="362"/>
      <c r="BH91" s="372"/>
      <c r="BI91" s="372" t="e">
        <f t="shared" si="121"/>
        <v>#DIV/0!</v>
      </c>
    </row>
    <row r="92" spans="1:61" s="358" customFormat="1" x14ac:dyDescent="0.3">
      <c r="A92" s="359"/>
      <c r="B92" s="341"/>
      <c r="C92" s="342"/>
      <c r="D92" s="360"/>
      <c r="E92" s="470"/>
      <c r="F92" s="352"/>
      <c r="G92" s="364"/>
      <c r="H92" s="372"/>
      <c r="I92" s="372"/>
      <c r="J92" s="372"/>
      <c r="K92" s="372"/>
      <c r="L92" s="372"/>
      <c r="M92" s="372"/>
      <c r="N92" s="372"/>
      <c r="O92" s="372"/>
      <c r="P92" s="372"/>
      <c r="Q92" s="372"/>
      <c r="R92" s="361"/>
      <c r="S92" s="361"/>
      <c r="T92" s="361"/>
      <c r="U92" s="362"/>
      <c r="V92" s="372"/>
      <c r="W92" s="372" t="e">
        <f t="shared" si="100"/>
        <v>#DIV/0!</v>
      </c>
      <c r="X92" s="470"/>
      <c r="Y92" s="352"/>
      <c r="Z92" s="364"/>
      <c r="AA92" s="372"/>
      <c r="AB92" s="372"/>
      <c r="AC92" s="372"/>
      <c r="AD92" s="372"/>
      <c r="AE92" s="372"/>
      <c r="AF92" s="372"/>
      <c r="AG92" s="372"/>
      <c r="AH92" s="372"/>
      <c r="AI92" s="372"/>
      <c r="AJ92" s="372"/>
      <c r="AK92" s="361"/>
      <c r="AL92" s="361"/>
      <c r="AM92" s="361"/>
      <c r="AN92" s="362"/>
      <c r="AO92" s="372"/>
      <c r="AP92" s="372" t="e">
        <f t="shared" si="102"/>
        <v>#DIV/0!</v>
      </c>
      <c r="AQ92" s="470"/>
      <c r="AR92" s="352"/>
      <c r="AS92" s="364"/>
      <c r="AT92" s="372"/>
      <c r="AU92" s="372"/>
      <c r="AV92" s="372"/>
      <c r="AW92" s="372"/>
      <c r="AX92" s="372"/>
      <c r="AY92" s="372"/>
      <c r="AZ92" s="372"/>
      <c r="BA92" s="372"/>
      <c r="BB92" s="372"/>
      <c r="BC92" s="372"/>
      <c r="BD92" s="361"/>
      <c r="BE92" s="361"/>
      <c r="BF92" s="361"/>
      <c r="BG92" s="362"/>
      <c r="BH92" s="372"/>
      <c r="BI92" s="372" t="e">
        <f t="shared" si="121"/>
        <v>#DIV/0!</v>
      </c>
    </row>
    <row r="93" spans="1:61" s="358" customFormat="1" ht="24.75" customHeight="1" x14ac:dyDescent="0.3">
      <c r="A93" s="354" t="s">
        <v>184</v>
      </c>
      <c r="B93" s="355" t="s">
        <v>224</v>
      </c>
      <c r="C93" s="355"/>
      <c r="D93" s="356">
        <v>6</v>
      </c>
      <c r="E93" s="462">
        <f t="shared" ref="E93:Q93" si="122">SUM(E94:E95)</f>
        <v>0</v>
      </c>
      <c r="F93" s="346">
        <f t="shared" si="122"/>
        <v>0</v>
      </c>
      <c r="G93" s="346">
        <f t="shared" si="122"/>
        <v>0</v>
      </c>
      <c r="H93" s="371">
        <f t="shared" si="122"/>
        <v>0</v>
      </c>
      <c r="I93" s="371">
        <f t="shared" si="122"/>
        <v>0</v>
      </c>
      <c r="J93" s="371">
        <f t="shared" si="122"/>
        <v>0</v>
      </c>
      <c r="K93" s="371">
        <f t="shared" si="122"/>
        <v>0</v>
      </c>
      <c r="L93" s="371">
        <f t="shared" si="122"/>
        <v>0</v>
      </c>
      <c r="M93" s="371">
        <f t="shared" si="122"/>
        <v>0</v>
      </c>
      <c r="N93" s="371">
        <f t="shared" si="122"/>
        <v>0</v>
      </c>
      <c r="O93" s="371">
        <f t="shared" si="122"/>
        <v>0</v>
      </c>
      <c r="P93" s="371">
        <f t="shared" si="122"/>
        <v>0</v>
      </c>
      <c r="Q93" s="371">
        <f t="shared" si="122"/>
        <v>0</v>
      </c>
      <c r="R93" s="357"/>
      <c r="S93" s="357"/>
      <c r="T93" s="357"/>
      <c r="U93" s="480"/>
      <c r="V93" s="380"/>
      <c r="W93" s="380" t="e">
        <f t="shared" si="100"/>
        <v>#DIV/0!</v>
      </c>
      <c r="X93" s="462">
        <f t="shared" ref="X93:AJ93" si="123">SUM(X94:X95)</f>
        <v>0</v>
      </c>
      <c r="Y93" s="346">
        <f t="shared" si="123"/>
        <v>0</v>
      </c>
      <c r="Z93" s="346">
        <f t="shared" si="123"/>
        <v>0</v>
      </c>
      <c r="AA93" s="371">
        <f t="shared" si="123"/>
        <v>0</v>
      </c>
      <c r="AB93" s="371">
        <f t="shared" si="123"/>
        <v>0</v>
      </c>
      <c r="AC93" s="371">
        <f t="shared" si="123"/>
        <v>0</v>
      </c>
      <c r="AD93" s="371">
        <f t="shared" si="123"/>
        <v>0</v>
      </c>
      <c r="AE93" s="371">
        <f t="shared" si="123"/>
        <v>0</v>
      </c>
      <c r="AF93" s="371">
        <f t="shared" si="123"/>
        <v>0</v>
      </c>
      <c r="AG93" s="371">
        <f t="shared" si="123"/>
        <v>0</v>
      </c>
      <c r="AH93" s="371">
        <f t="shared" si="123"/>
        <v>0</v>
      </c>
      <c r="AI93" s="371">
        <f t="shared" si="123"/>
        <v>0</v>
      </c>
      <c r="AJ93" s="371">
        <f t="shared" si="123"/>
        <v>0</v>
      </c>
      <c r="AK93" s="357"/>
      <c r="AL93" s="357"/>
      <c r="AM93" s="357"/>
      <c r="AN93" s="480"/>
      <c r="AO93" s="380"/>
      <c r="AP93" s="380" t="e">
        <f t="shared" si="102"/>
        <v>#DIV/0!</v>
      </c>
      <c r="AQ93" s="462">
        <f t="shared" ref="AQ93:BC93" si="124">SUM(AQ94:AQ95)</f>
        <v>0</v>
      </c>
      <c r="AR93" s="346">
        <f t="shared" si="124"/>
        <v>0</v>
      </c>
      <c r="AS93" s="346">
        <f t="shared" si="124"/>
        <v>0</v>
      </c>
      <c r="AT93" s="371">
        <f t="shared" si="124"/>
        <v>0</v>
      </c>
      <c r="AU93" s="371">
        <f t="shared" si="124"/>
        <v>0</v>
      </c>
      <c r="AV93" s="371">
        <f t="shared" si="124"/>
        <v>0</v>
      </c>
      <c r="AW93" s="371">
        <f t="shared" si="124"/>
        <v>0</v>
      </c>
      <c r="AX93" s="371">
        <f t="shared" si="124"/>
        <v>0</v>
      </c>
      <c r="AY93" s="371">
        <f t="shared" si="124"/>
        <v>0</v>
      </c>
      <c r="AZ93" s="371">
        <f t="shared" si="124"/>
        <v>0</v>
      </c>
      <c r="BA93" s="371">
        <f t="shared" si="124"/>
        <v>0</v>
      </c>
      <c r="BB93" s="371">
        <f t="shared" si="124"/>
        <v>0</v>
      </c>
      <c r="BC93" s="371">
        <f t="shared" si="124"/>
        <v>0</v>
      </c>
      <c r="BD93" s="357"/>
      <c r="BE93" s="357"/>
      <c r="BF93" s="357"/>
      <c r="BG93" s="480"/>
      <c r="BH93" s="380"/>
      <c r="BI93" s="380" t="e">
        <f t="shared" si="121"/>
        <v>#DIV/0!</v>
      </c>
    </row>
    <row r="94" spans="1:61" s="358" customFormat="1" x14ac:dyDescent="0.3">
      <c r="A94" s="359" t="s">
        <v>185</v>
      </c>
      <c r="B94" s="341"/>
      <c r="C94" s="342"/>
      <c r="D94" s="360"/>
      <c r="E94" s="470"/>
      <c r="F94" s="364"/>
      <c r="G94" s="364"/>
      <c r="H94" s="372"/>
      <c r="I94" s="372"/>
      <c r="J94" s="372"/>
      <c r="K94" s="372"/>
      <c r="L94" s="372"/>
      <c r="M94" s="372"/>
      <c r="N94" s="372"/>
      <c r="O94" s="372"/>
      <c r="P94" s="372"/>
      <c r="Q94" s="372"/>
      <c r="R94" s="361"/>
      <c r="S94" s="361"/>
      <c r="T94" s="361"/>
      <c r="U94" s="362"/>
      <c r="V94" s="372"/>
      <c r="W94" s="372" t="e">
        <f t="shared" si="100"/>
        <v>#DIV/0!</v>
      </c>
      <c r="X94" s="470"/>
      <c r="Y94" s="364"/>
      <c r="Z94" s="364"/>
      <c r="AA94" s="372"/>
      <c r="AB94" s="372"/>
      <c r="AC94" s="372"/>
      <c r="AD94" s="372"/>
      <c r="AE94" s="372"/>
      <c r="AF94" s="372"/>
      <c r="AG94" s="372"/>
      <c r="AH94" s="372"/>
      <c r="AI94" s="372"/>
      <c r="AJ94" s="372"/>
      <c r="AK94" s="361"/>
      <c r="AL94" s="361"/>
      <c r="AM94" s="361"/>
      <c r="AN94" s="362"/>
      <c r="AO94" s="372"/>
      <c r="AP94" s="372" t="e">
        <f t="shared" si="102"/>
        <v>#DIV/0!</v>
      </c>
      <c r="AQ94" s="470"/>
      <c r="AR94" s="364"/>
      <c r="AS94" s="364"/>
      <c r="AT94" s="372"/>
      <c r="AU94" s="372"/>
      <c r="AV94" s="372"/>
      <c r="AW94" s="372"/>
      <c r="AX94" s="372"/>
      <c r="AY94" s="372"/>
      <c r="AZ94" s="372"/>
      <c r="BA94" s="372"/>
      <c r="BB94" s="372"/>
      <c r="BC94" s="372"/>
      <c r="BD94" s="361"/>
      <c r="BE94" s="361"/>
      <c r="BF94" s="361"/>
      <c r="BG94" s="362"/>
      <c r="BH94" s="372"/>
      <c r="BI94" s="372" t="e">
        <f t="shared" si="121"/>
        <v>#DIV/0!</v>
      </c>
    </row>
    <row r="95" spans="1:61" s="358" customFormat="1" x14ac:dyDescent="0.3">
      <c r="A95" s="359"/>
      <c r="B95" s="341"/>
      <c r="C95" s="342"/>
      <c r="D95" s="360"/>
      <c r="E95" s="470"/>
      <c r="F95" s="352"/>
      <c r="G95" s="364"/>
      <c r="H95" s="372"/>
      <c r="I95" s="372"/>
      <c r="J95" s="372"/>
      <c r="K95" s="372"/>
      <c r="L95" s="372"/>
      <c r="M95" s="372"/>
      <c r="N95" s="372"/>
      <c r="O95" s="372"/>
      <c r="P95" s="372"/>
      <c r="Q95" s="372"/>
      <c r="R95" s="361"/>
      <c r="S95" s="361"/>
      <c r="T95" s="361"/>
      <c r="U95" s="362"/>
      <c r="V95" s="372"/>
      <c r="W95" s="372" t="e">
        <f t="shared" si="100"/>
        <v>#DIV/0!</v>
      </c>
      <c r="X95" s="470"/>
      <c r="Y95" s="352"/>
      <c r="Z95" s="364"/>
      <c r="AA95" s="372"/>
      <c r="AB95" s="372"/>
      <c r="AC95" s="372"/>
      <c r="AD95" s="372"/>
      <c r="AE95" s="372"/>
      <c r="AF95" s="372"/>
      <c r="AG95" s="372"/>
      <c r="AH95" s="372"/>
      <c r="AI95" s="372"/>
      <c r="AJ95" s="372"/>
      <c r="AK95" s="361"/>
      <c r="AL95" s="361"/>
      <c r="AM95" s="361"/>
      <c r="AN95" s="362"/>
      <c r="AO95" s="372"/>
      <c r="AP95" s="372" t="e">
        <f t="shared" si="102"/>
        <v>#DIV/0!</v>
      </c>
      <c r="AQ95" s="470"/>
      <c r="AR95" s="352"/>
      <c r="AS95" s="364"/>
      <c r="AT95" s="372"/>
      <c r="AU95" s="372"/>
      <c r="AV95" s="372"/>
      <c r="AW95" s="372"/>
      <c r="AX95" s="372"/>
      <c r="AY95" s="372"/>
      <c r="AZ95" s="372"/>
      <c r="BA95" s="372"/>
      <c r="BB95" s="372"/>
      <c r="BC95" s="372"/>
      <c r="BD95" s="361"/>
      <c r="BE95" s="361"/>
      <c r="BF95" s="361"/>
      <c r="BG95" s="362"/>
      <c r="BH95" s="372"/>
      <c r="BI95" s="372" t="e">
        <f t="shared" si="121"/>
        <v>#DIV/0!</v>
      </c>
    </row>
    <row r="96" spans="1:61" s="358" customFormat="1" ht="24.75" customHeight="1" x14ac:dyDescent="0.3">
      <c r="A96" s="354" t="s">
        <v>186</v>
      </c>
      <c r="B96" s="355" t="s">
        <v>225</v>
      </c>
      <c r="C96" s="355"/>
      <c r="D96" s="356">
        <v>6</v>
      </c>
      <c r="E96" s="462">
        <f t="shared" ref="E96:Q96" si="125">SUM(E97:E98)</f>
        <v>0</v>
      </c>
      <c r="F96" s="346">
        <f t="shared" si="125"/>
        <v>0</v>
      </c>
      <c r="G96" s="346">
        <f t="shared" si="125"/>
        <v>0</v>
      </c>
      <c r="H96" s="371">
        <f t="shared" si="125"/>
        <v>0</v>
      </c>
      <c r="I96" s="371">
        <f t="shared" si="125"/>
        <v>0</v>
      </c>
      <c r="J96" s="371">
        <f t="shared" si="125"/>
        <v>0</v>
      </c>
      <c r="K96" s="371">
        <f t="shared" si="125"/>
        <v>0</v>
      </c>
      <c r="L96" s="371">
        <f t="shared" si="125"/>
        <v>0</v>
      </c>
      <c r="M96" s="371">
        <f t="shared" si="125"/>
        <v>0</v>
      </c>
      <c r="N96" s="371">
        <f t="shared" si="125"/>
        <v>0</v>
      </c>
      <c r="O96" s="371">
        <f t="shared" si="125"/>
        <v>0</v>
      </c>
      <c r="P96" s="371">
        <f t="shared" si="125"/>
        <v>0</v>
      </c>
      <c r="Q96" s="371">
        <f t="shared" si="125"/>
        <v>0</v>
      </c>
      <c r="R96" s="357"/>
      <c r="S96" s="357"/>
      <c r="T96" s="357"/>
      <c r="U96" s="480"/>
      <c r="V96" s="380"/>
      <c r="W96" s="380" t="e">
        <f t="shared" si="100"/>
        <v>#DIV/0!</v>
      </c>
      <c r="X96" s="462">
        <f t="shared" ref="X96:AJ96" si="126">SUM(X97:X98)</f>
        <v>0</v>
      </c>
      <c r="Y96" s="346">
        <f t="shared" si="126"/>
        <v>0</v>
      </c>
      <c r="Z96" s="346">
        <f t="shared" si="126"/>
        <v>0</v>
      </c>
      <c r="AA96" s="371">
        <f t="shared" si="126"/>
        <v>0</v>
      </c>
      <c r="AB96" s="371">
        <f t="shared" si="126"/>
        <v>0</v>
      </c>
      <c r="AC96" s="371">
        <f t="shared" si="126"/>
        <v>0</v>
      </c>
      <c r="AD96" s="371">
        <f t="shared" si="126"/>
        <v>0</v>
      </c>
      <c r="AE96" s="371">
        <f t="shared" si="126"/>
        <v>0</v>
      </c>
      <c r="AF96" s="371">
        <f t="shared" si="126"/>
        <v>0</v>
      </c>
      <c r="AG96" s="371">
        <f t="shared" si="126"/>
        <v>0</v>
      </c>
      <c r="AH96" s="371">
        <f t="shared" si="126"/>
        <v>0</v>
      </c>
      <c r="AI96" s="371">
        <f t="shared" si="126"/>
        <v>0</v>
      </c>
      <c r="AJ96" s="371">
        <f t="shared" si="126"/>
        <v>0</v>
      </c>
      <c r="AK96" s="357"/>
      <c r="AL96" s="357"/>
      <c r="AM96" s="357"/>
      <c r="AN96" s="480"/>
      <c r="AO96" s="380"/>
      <c r="AP96" s="380" t="e">
        <f t="shared" si="102"/>
        <v>#DIV/0!</v>
      </c>
      <c r="AQ96" s="462">
        <f t="shared" ref="AQ96:BC96" si="127">SUM(AQ97:AQ98)</f>
        <v>0</v>
      </c>
      <c r="AR96" s="346">
        <f t="shared" si="127"/>
        <v>0</v>
      </c>
      <c r="AS96" s="346">
        <f t="shared" si="127"/>
        <v>0</v>
      </c>
      <c r="AT96" s="371">
        <f t="shared" si="127"/>
        <v>0</v>
      </c>
      <c r="AU96" s="371">
        <f t="shared" si="127"/>
        <v>0</v>
      </c>
      <c r="AV96" s="371">
        <f t="shared" si="127"/>
        <v>0</v>
      </c>
      <c r="AW96" s="371">
        <f t="shared" si="127"/>
        <v>0</v>
      </c>
      <c r="AX96" s="371">
        <f t="shared" si="127"/>
        <v>0</v>
      </c>
      <c r="AY96" s="371">
        <f t="shared" si="127"/>
        <v>0</v>
      </c>
      <c r="AZ96" s="371">
        <f t="shared" si="127"/>
        <v>0</v>
      </c>
      <c r="BA96" s="371">
        <f t="shared" si="127"/>
        <v>0</v>
      </c>
      <c r="BB96" s="371">
        <f t="shared" si="127"/>
        <v>0</v>
      </c>
      <c r="BC96" s="371">
        <f t="shared" si="127"/>
        <v>0</v>
      </c>
      <c r="BD96" s="357"/>
      <c r="BE96" s="357"/>
      <c r="BF96" s="357"/>
      <c r="BG96" s="480"/>
      <c r="BH96" s="380"/>
      <c r="BI96" s="380" t="e">
        <f t="shared" si="121"/>
        <v>#DIV/0!</v>
      </c>
    </row>
    <row r="97" spans="1:61" s="358" customFormat="1" x14ac:dyDescent="0.3">
      <c r="A97" s="359" t="s">
        <v>187</v>
      </c>
      <c r="B97" s="341"/>
      <c r="C97" s="342"/>
      <c r="D97" s="360"/>
      <c r="E97" s="470"/>
      <c r="F97" s="364"/>
      <c r="G97" s="364"/>
      <c r="H97" s="372"/>
      <c r="I97" s="372"/>
      <c r="J97" s="372"/>
      <c r="K97" s="372"/>
      <c r="L97" s="372"/>
      <c r="M97" s="372"/>
      <c r="N97" s="372"/>
      <c r="O97" s="372"/>
      <c r="P97" s="372"/>
      <c r="Q97" s="372"/>
      <c r="R97" s="361"/>
      <c r="S97" s="361"/>
      <c r="T97" s="361"/>
      <c r="U97" s="362"/>
      <c r="V97" s="372"/>
      <c r="W97" s="372" t="e">
        <f t="shared" si="100"/>
        <v>#DIV/0!</v>
      </c>
      <c r="X97" s="470"/>
      <c r="Y97" s="364"/>
      <c r="Z97" s="364"/>
      <c r="AA97" s="372"/>
      <c r="AB97" s="372"/>
      <c r="AC97" s="372"/>
      <c r="AD97" s="372"/>
      <c r="AE97" s="372"/>
      <c r="AF97" s="372"/>
      <c r="AG97" s="372"/>
      <c r="AH97" s="372"/>
      <c r="AI97" s="372"/>
      <c r="AJ97" s="372"/>
      <c r="AK97" s="361"/>
      <c r="AL97" s="361"/>
      <c r="AM97" s="361"/>
      <c r="AN97" s="362"/>
      <c r="AO97" s="372"/>
      <c r="AP97" s="372" t="e">
        <f t="shared" si="102"/>
        <v>#DIV/0!</v>
      </c>
      <c r="AQ97" s="470"/>
      <c r="AR97" s="364"/>
      <c r="AS97" s="364"/>
      <c r="AT97" s="372"/>
      <c r="AU97" s="372"/>
      <c r="AV97" s="372"/>
      <c r="AW97" s="372"/>
      <c r="AX97" s="372"/>
      <c r="AY97" s="372"/>
      <c r="AZ97" s="372"/>
      <c r="BA97" s="372"/>
      <c r="BB97" s="372"/>
      <c r="BC97" s="372"/>
      <c r="BD97" s="361"/>
      <c r="BE97" s="361"/>
      <c r="BF97" s="361"/>
      <c r="BG97" s="362"/>
      <c r="BH97" s="372"/>
      <c r="BI97" s="372" t="e">
        <f t="shared" si="121"/>
        <v>#DIV/0!</v>
      </c>
    </row>
    <row r="98" spans="1:61" s="358" customFormat="1" x14ac:dyDescent="0.3">
      <c r="A98" s="359"/>
      <c r="B98" s="341"/>
      <c r="C98" s="342"/>
      <c r="D98" s="360"/>
      <c r="E98" s="470"/>
      <c r="F98" s="352"/>
      <c r="G98" s="364"/>
      <c r="H98" s="372"/>
      <c r="I98" s="372"/>
      <c r="J98" s="372"/>
      <c r="K98" s="372"/>
      <c r="L98" s="372"/>
      <c r="M98" s="372"/>
      <c r="N98" s="372"/>
      <c r="O98" s="372"/>
      <c r="P98" s="372"/>
      <c r="Q98" s="372"/>
      <c r="R98" s="361"/>
      <c r="S98" s="361"/>
      <c r="T98" s="361"/>
      <c r="U98" s="362"/>
      <c r="V98" s="372"/>
      <c r="W98" s="372" t="e">
        <f t="shared" si="100"/>
        <v>#DIV/0!</v>
      </c>
      <c r="X98" s="470"/>
      <c r="Y98" s="352"/>
      <c r="Z98" s="364"/>
      <c r="AA98" s="372"/>
      <c r="AB98" s="372"/>
      <c r="AC98" s="372"/>
      <c r="AD98" s="372"/>
      <c r="AE98" s="372"/>
      <c r="AF98" s="372"/>
      <c r="AG98" s="372"/>
      <c r="AH98" s="372"/>
      <c r="AI98" s="372"/>
      <c r="AJ98" s="372"/>
      <c r="AK98" s="361"/>
      <c r="AL98" s="361"/>
      <c r="AM98" s="361"/>
      <c r="AN98" s="362"/>
      <c r="AO98" s="372"/>
      <c r="AP98" s="372" t="e">
        <f t="shared" si="102"/>
        <v>#DIV/0!</v>
      </c>
      <c r="AQ98" s="470"/>
      <c r="AR98" s="352"/>
      <c r="AS98" s="364"/>
      <c r="AT98" s="372"/>
      <c r="AU98" s="372"/>
      <c r="AV98" s="372"/>
      <c r="AW98" s="372"/>
      <c r="AX98" s="372"/>
      <c r="AY98" s="372"/>
      <c r="AZ98" s="372"/>
      <c r="BA98" s="372"/>
      <c r="BB98" s="372"/>
      <c r="BC98" s="372"/>
      <c r="BD98" s="361"/>
      <c r="BE98" s="361"/>
      <c r="BF98" s="361"/>
      <c r="BG98" s="362"/>
      <c r="BH98" s="372"/>
      <c r="BI98" s="372" t="e">
        <f t="shared" si="121"/>
        <v>#DIV/0!</v>
      </c>
    </row>
    <row r="99" spans="1:61" s="358" customFormat="1" ht="43.2" x14ac:dyDescent="0.3">
      <c r="A99" s="499" t="s">
        <v>44</v>
      </c>
      <c r="B99" s="500" t="s">
        <v>256</v>
      </c>
      <c r="C99" s="501"/>
      <c r="D99" s="502"/>
      <c r="E99" s="503">
        <f t="shared" ref="E99:Q99" si="128">E100+E105+E113+E117</f>
        <v>0</v>
      </c>
      <c r="F99" s="503">
        <f t="shared" si="128"/>
        <v>0</v>
      </c>
      <c r="G99" s="503">
        <f t="shared" si="128"/>
        <v>0</v>
      </c>
      <c r="H99" s="504">
        <f t="shared" si="128"/>
        <v>0</v>
      </c>
      <c r="I99" s="504">
        <f t="shared" si="128"/>
        <v>0</v>
      </c>
      <c r="J99" s="504">
        <f t="shared" si="128"/>
        <v>0</v>
      </c>
      <c r="K99" s="504">
        <f t="shared" si="128"/>
        <v>0</v>
      </c>
      <c r="L99" s="504">
        <f t="shared" si="128"/>
        <v>0</v>
      </c>
      <c r="M99" s="504">
        <f t="shared" si="128"/>
        <v>0</v>
      </c>
      <c r="N99" s="504">
        <f t="shared" si="128"/>
        <v>0</v>
      </c>
      <c r="O99" s="504">
        <f t="shared" si="128"/>
        <v>0</v>
      </c>
      <c r="P99" s="504">
        <f t="shared" si="128"/>
        <v>0</v>
      </c>
      <c r="Q99" s="504">
        <f t="shared" si="128"/>
        <v>0</v>
      </c>
      <c r="R99" s="505"/>
      <c r="S99" s="505"/>
      <c r="T99" s="505"/>
      <c r="U99" s="506"/>
      <c r="V99" s="507"/>
      <c r="W99" s="507" t="e">
        <f t="shared" si="100"/>
        <v>#DIV/0!</v>
      </c>
      <c r="X99" s="503">
        <f t="shared" ref="X99:AJ99" si="129">X100+X105+X113+X117</f>
        <v>0</v>
      </c>
      <c r="Y99" s="503">
        <f t="shared" si="129"/>
        <v>0</v>
      </c>
      <c r="Z99" s="503">
        <f t="shared" si="129"/>
        <v>0</v>
      </c>
      <c r="AA99" s="504">
        <f t="shared" si="129"/>
        <v>0</v>
      </c>
      <c r="AB99" s="504">
        <f t="shared" si="129"/>
        <v>0</v>
      </c>
      <c r="AC99" s="504">
        <f t="shared" si="129"/>
        <v>0</v>
      </c>
      <c r="AD99" s="504">
        <f t="shared" si="129"/>
        <v>0</v>
      </c>
      <c r="AE99" s="504">
        <f t="shared" si="129"/>
        <v>0</v>
      </c>
      <c r="AF99" s="504">
        <f t="shared" si="129"/>
        <v>0</v>
      </c>
      <c r="AG99" s="504">
        <f t="shared" si="129"/>
        <v>0</v>
      </c>
      <c r="AH99" s="504">
        <f t="shared" si="129"/>
        <v>0</v>
      </c>
      <c r="AI99" s="504">
        <f t="shared" si="129"/>
        <v>0</v>
      </c>
      <c r="AJ99" s="504">
        <f t="shared" si="129"/>
        <v>0</v>
      </c>
      <c r="AK99" s="505"/>
      <c r="AL99" s="505"/>
      <c r="AM99" s="505"/>
      <c r="AN99" s="506"/>
      <c r="AO99" s="507"/>
      <c r="AP99" s="507" t="e">
        <f t="shared" si="102"/>
        <v>#DIV/0!</v>
      </c>
      <c r="AQ99" s="503">
        <f t="shared" ref="AQ99:BC99" si="130">AQ100+AQ105+AQ113+AQ117</f>
        <v>0</v>
      </c>
      <c r="AR99" s="503">
        <f t="shared" si="130"/>
        <v>0</v>
      </c>
      <c r="AS99" s="503">
        <f t="shared" si="130"/>
        <v>0</v>
      </c>
      <c r="AT99" s="504">
        <f t="shared" si="130"/>
        <v>0</v>
      </c>
      <c r="AU99" s="504">
        <f t="shared" si="130"/>
        <v>0</v>
      </c>
      <c r="AV99" s="504">
        <f t="shared" si="130"/>
        <v>0</v>
      </c>
      <c r="AW99" s="504">
        <f t="shared" si="130"/>
        <v>0</v>
      </c>
      <c r="AX99" s="504">
        <f t="shared" si="130"/>
        <v>0</v>
      </c>
      <c r="AY99" s="504">
        <f t="shared" si="130"/>
        <v>0</v>
      </c>
      <c r="AZ99" s="504">
        <f t="shared" si="130"/>
        <v>0</v>
      </c>
      <c r="BA99" s="504">
        <f t="shared" si="130"/>
        <v>0</v>
      </c>
      <c r="BB99" s="504">
        <f t="shared" si="130"/>
        <v>0</v>
      </c>
      <c r="BC99" s="504">
        <f t="shared" si="130"/>
        <v>0</v>
      </c>
      <c r="BD99" s="505"/>
      <c r="BE99" s="505"/>
      <c r="BF99" s="505"/>
      <c r="BG99" s="506"/>
      <c r="BH99" s="507"/>
      <c r="BI99" s="507" t="e">
        <f t="shared" si="121"/>
        <v>#DIV/0!</v>
      </c>
    </row>
    <row r="100" spans="1:61" s="358" customFormat="1" ht="24.75" customHeight="1" x14ac:dyDescent="0.3">
      <c r="A100" s="508" t="s">
        <v>257</v>
      </c>
      <c r="B100" s="516" t="s">
        <v>263</v>
      </c>
      <c r="C100" s="514"/>
      <c r="D100" s="515">
        <v>0.4</v>
      </c>
      <c r="E100" s="509">
        <f t="shared" ref="E100:Q100" si="131">SUM(E101:E104)</f>
        <v>0</v>
      </c>
      <c r="F100" s="509">
        <f t="shared" si="131"/>
        <v>0</v>
      </c>
      <c r="G100" s="509">
        <f t="shared" si="131"/>
        <v>0</v>
      </c>
      <c r="H100" s="510">
        <f t="shared" si="131"/>
        <v>0</v>
      </c>
      <c r="I100" s="510">
        <f t="shared" si="131"/>
        <v>0</v>
      </c>
      <c r="J100" s="510">
        <f t="shared" si="131"/>
        <v>0</v>
      </c>
      <c r="K100" s="510">
        <f t="shared" si="131"/>
        <v>0</v>
      </c>
      <c r="L100" s="510">
        <f t="shared" si="131"/>
        <v>0</v>
      </c>
      <c r="M100" s="510">
        <f t="shared" si="131"/>
        <v>0</v>
      </c>
      <c r="N100" s="510">
        <f t="shared" si="131"/>
        <v>0</v>
      </c>
      <c r="O100" s="510">
        <f t="shared" si="131"/>
        <v>0</v>
      </c>
      <c r="P100" s="510">
        <f t="shared" si="131"/>
        <v>0</v>
      </c>
      <c r="Q100" s="510">
        <f t="shared" si="131"/>
        <v>0</v>
      </c>
      <c r="R100" s="511"/>
      <c r="S100" s="511"/>
      <c r="T100" s="511"/>
      <c r="U100" s="512"/>
      <c r="V100" s="513"/>
      <c r="W100" s="513" t="e">
        <f t="shared" si="100"/>
        <v>#DIV/0!</v>
      </c>
      <c r="X100" s="509">
        <f t="shared" ref="X100:AJ100" si="132">SUM(X101:X104)</f>
        <v>0</v>
      </c>
      <c r="Y100" s="509">
        <f t="shared" si="132"/>
        <v>0</v>
      </c>
      <c r="Z100" s="509">
        <f t="shared" si="132"/>
        <v>0</v>
      </c>
      <c r="AA100" s="510">
        <f t="shared" si="132"/>
        <v>0</v>
      </c>
      <c r="AB100" s="510">
        <f t="shared" si="132"/>
        <v>0</v>
      </c>
      <c r="AC100" s="510">
        <f t="shared" si="132"/>
        <v>0</v>
      </c>
      <c r="AD100" s="510">
        <f t="shared" si="132"/>
        <v>0</v>
      </c>
      <c r="AE100" s="510">
        <f t="shared" si="132"/>
        <v>0</v>
      </c>
      <c r="AF100" s="510">
        <f t="shared" si="132"/>
        <v>0</v>
      </c>
      <c r="AG100" s="510">
        <f t="shared" si="132"/>
        <v>0</v>
      </c>
      <c r="AH100" s="510">
        <f t="shared" si="132"/>
        <v>0</v>
      </c>
      <c r="AI100" s="510">
        <f t="shared" si="132"/>
        <v>0</v>
      </c>
      <c r="AJ100" s="510">
        <f t="shared" si="132"/>
        <v>0</v>
      </c>
      <c r="AK100" s="511"/>
      <c r="AL100" s="511"/>
      <c r="AM100" s="511"/>
      <c r="AN100" s="512"/>
      <c r="AO100" s="513"/>
      <c r="AP100" s="513" t="e">
        <f t="shared" si="102"/>
        <v>#DIV/0!</v>
      </c>
      <c r="AQ100" s="509">
        <f t="shared" ref="AQ100:BC100" si="133">SUM(AQ101:AQ104)</f>
        <v>0</v>
      </c>
      <c r="AR100" s="509">
        <f t="shared" si="133"/>
        <v>0</v>
      </c>
      <c r="AS100" s="509">
        <f t="shared" si="133"/>
        <v>0</v>
      </c>
      <c r="AT100" s="510">
        <f t="shared" si="133"/>
        <v>0</v>
      </c>
      <c r="AU100" s="510">
        <f t="shared" si="133"/>
        <v>0</v>
      </c>
      <c r="AV100" s="510">
        <f t="shared" si="133"/>
        <v>0</v>
      </c>
      <c r="AW100" s="510">
        <f t="shared" si="133"/>
        <v>0</v>
      </c>
      <c r="AX100" s="510">
        <f t="shared" si="133"/>
        <v>0</v>
      </c>
      <c r="AY100" s="510">
        <f t="shared" si="133"/>
        <v>0</v>
      </c>
      <c r="AZ100" s="510">
        <f t="shared" si="133"/>
        <v>0</v>
      </c>
      <c r="BA100" s="510">
        <f t="shared" si="133"/>
        <v>0</v>
      </c>
      <c r="BB100" s="510">
        <f t="shared" si="133"/>
        <v>0</v>
      </c>
      <c r="BC100" s="510">
        <f t="shared" si="133"/>
        <v>0</v>
      </c>
      <c r="BD100" s="511"/>
      <c r="BE100" s="511"/>
      <c r="BF100" s="511"/>
      <c r="BG100" s="512"/>
      <c r="BH100" s="513"/>
      <c r="BI100" s="513" t="e">
        <f t="shared" si="121"/>
        <v>#DIV/0!</v>
      </c>
    </row>
    <row r="101" spans="1:61" s="358" customFormat="1" x14ac:dyDescent="0.3">
      <c r="A101" s="359" t="s">
        <v>178</v>
      </c>
      <c r="B101" s="520" t="s">
        <v>313</v>
      </c>
      <c r="C101" s="407" t="s">
        <v>308</v>
      </c>
      <c r="D101" s="360">
        <v>0.22</v>
      </c>
      <c r="E101" s="393"/>
      <c r="F101" s="523"/>
      <c r="G101" s="393"/>
      <c r="H101" s="521"/>
      <c r="I101" s="394"/>
      <c r="J101" s="394"/>
      <c r="K101" s="394"/>
      <c r="L101" s="394"/>
      <c r="M101" s="394"/>
      <c r="N101" s="394"/>
      <c r="O101" s="394"/>
      <c r="P101" s="394"/>
      <c r="Q101" s="394"/>
      <c r="R101" s="381"/>
      <c r="S101" s="408"/>
      <c r="T101" s="385"/>
      <c r="U101" s="475"/>
      <c r="V101" s="395"/>
      <c r="W101" s="395" t="e">
        <f>H101/F101</f>
        <v>#DIV/0!</v>
      </c>
      <c r="X101" s="393"/>
      <c r="Y101" s="523"/>
      <c r="Z101" s="393"/>
      <c r="AA101" s="521"/>
      <c r="AB101" s="394"/>
      <c r="AC101" s="394"/>
      <c r="AD101" s="394"/>
      <c r="AE101" s="394"/>
      <c r="AF101" s="394"/>
      <c r="AG101" s="394"/>
      <c r="AH101" s="394"/>
      <c r="AI101" s="394"/>
      <c r="AJ101" s="394"/>
      <c r="AK101" s="381"/>
      <c r="AL101" s="408"/>
      <c r="AM101" s="385"/>
      <c r="AN101" s="475"/>
      <c r="AO101" s="395"/>
      <c r="AP101" s="395" t="e">
        <f>AA101/Y101</f>
        <v>#DIV/0!</v>
      </c>
      <c r="AQ101" s="393"/>
      <c r="AR101" s="523"/>
      <c r="AS101" s="393"/>
      <c r="AT101" s="521"/>
      <c r="AU101" s="394"/>
      <c r="AV101" s="394"/>
      <c r="AW101" s="394"/>
      <c r="AX101" s="394"/>
      <c r="AY101" s="394"/>
      <c r="AZ101" s="394"/>
      <c r="BA101" s="394"/>
      <c r="BB101" s="394"/>
      <c r="BC101" s="394"/>
      <c r="BD101" s="381"/>
      <c r="BE101" s="408"/>
      <c r="BF101" s="385"/>
      <c r="BG101" s="475"/>
      <c r="BH101" s="395"/>
      <c r="BI101" s="395" t="e">
        <f>AT101/AR101</f>
        <v>#DIV/0!</v>
      </c>
    </row>
    <row r="102" spans="1:61" s="358" customFormat="1" ht="19.2" x14ac:dyDescent="0.3">
      <c r="A102" s="359"/>
      <c r="B102" s="537"/>
      <c r="C102" s="407"/>
      <c r="D102" s="360">
        <v>0.22</v>
      </c>
      <c r="E102" s="393"/>
      <c r="F102" s="523"/>
      <c r="G102" s="393"/>
      <c r="H102" s="544"/>
      <c r="I102" s="394"/>
      <c r="J102" s="394"/>
      <c r="K102" s="394"/>
      <c r="L102" s="394"/>
      <c r="M102" s="394"/>
      <c r="N102" s="394"/>
      <c r="O102" s="394"/>
      <c r="P102" s="394"/>
      <c r="Q102" s="394"/>
      <c r="R102" s="381" t="s">
        <v>167</v>
      </c>
      <c r="S102" s="408" t="s">
        <v>175</v>
      </c>
      <c r="T102" s="385"/>
      <c r="U102" s="475"/>
      <c r="V102" s="395"/>
      <c r="W102" s="395" t="e">
        <f t="shared" ref="W102:W103" si="134">H102/F102</f>
        <v>#DIV/0!</v>
      </c>
      <c r="X102" s="393"/>
      <c r="Y102" s="523"/>
      <c r="Z102" s="393"/>
      <c r="AA102" s="544"/>
      <c r="AB102" s="394"/>
      <c r="AC102" s="394"/>
      <c r="AD102" s="394"/>
      <c r="AE102" s="394"/>
      <c r="AF102" s="394"/>
      <c r="AG102" s="394"/>
      <c r="AH102" s="394"/>
      <c r="AI102" s="394"/>
      <c r="AJ102" s="394"/>
      <c r="AK102" s="381" t="s">
        <v>167</v>
      </c>
      <c r="AL102" s="408" t="s">
        <v>175</v>
      </c>
      <c r="AM102" s="385"/>
      <c r="AN102" s="475"/>
      <c r="AO102" s="395"/>
      <c r="AP102" s="395" t="e">
        <f t="shared" ref="AP102:AP105" si="135">AA102/Y102</f>
        <v>#DIV/0!</v>
      </c>
      <c r="AQ102" s="393"/>
      <c r="AR102" s="523"/>
      <c r="AS102" s="393"/>
      <c r="AT102" s="544"/>
      <c r="AU102" s="394"/>
      <c r="AV102" s="394"/>
      <c r="AW102" s="394"/>
      <c r="AX102" s="394"/>
      <c r="AY102" s="394"/>
      <c r="AZ102" s="394"/>
      <c r="BA102" s="394"/>
      <c r="BB102" s="394"/>
      <c r="BC102" s="394"/>
      <c r="BD102" s="381" t="s">
        <v>167</v>
      </c>
      <c r="BE102" s="408" t="s">
        <v>175</v>
      </c>
      <c r="BF102" s="385"/>
      <c r="BG102" s="475"/>
      <c r="BH102" s="395"/>
      <c r="BI102" s="395" t="e">
        <f t="shared" ref="BI102:BI105" si="136">AT102/AR102</f>
        <v>#DIV/0!</v>
      </c>
    </row>
    <row r="103" spans="1:61" s="358" customFormat="1" x14ac:dyDescent="0.3">
      <c r="A103" s="359"/>
      <c r="B103" s="572"/>
      <c r="C103" s="385"/>
      <c r="D103" s="360">
        <v>0.4</v>
      </c>
      <c r="E103" s="396"/>
      <c r="F103" s="397"/>
      <c r="G103" s="393"/>
      <c r="H103" s="571"/>
      <c r="I103" s="394"/>
      <c r="J103" s="394"/>
      <c r="K103" s="394"/>
      <c r="L103" s="394"/>
      <c r="M103" s="394"/>
      <c r="N103" s="394"/>
      <c r="O103" s="394"/>
      <c r="P103" s="394"/>
      <c r="Q103" s="394"/>
      <c r="R103" s="381"/>
      <c r="S103" s="408"/>
      <c r="T103" s="361"/>
      <c r="U103" s="362"/>
      <c r="V103" s="372" t="e">
        <f t="shared" ref="V103" si="137">H103/E103*1000</f>
        <v>#DIV/0!</v>
      </c>
      <c r="W103" s="372" t="e">
        <f t="shared" si="134"/>
        <v>#DIV/0!</v>
      </c>
      <c r="X103" s="396"/>
      <c r="Y103" s="397"/>
      <c r="Z103" s="393"/>
      <c r="AA103" s="571"/>
      <c r="AB103" s="394"/>
      <c r="AC103" s="394"/>
      <c r="AD103" s="394"/>
      <c r="AE103" s="394"/>
      <c r="AF103" s="394"/>
      <c r="AG103" s="394"/>
      <c r="AH103" s="394"/>
      <c r="AI103" s="394"/>
      <c r="AJ103" s="394"/>
      <c r="AK103" s="381"/>
      <c r="AL103" s="408"/>
      <c r="AM103" s="361"/>
      <c r="AN103" s="362"/>
      <c r="AO103" s="372" t="e">
        <f t="shared" ref="AO103" si="138">AA103/X103*1000</f>
        <v>#DIV/0!</v>
      </c>
      <c r="AP103" s="372" t="e">
        <f t="shared" si="135"/>
        <v>#DIV/0!</v>
      </c>
      <c r="AQ103" s="396"/>
      <c r="AR103" s="397"/>
      <c r="AS103" s="393"/>
      <c r="AT103" s="571"/>
      <c r="AU103" s="394"/>
      <c r="AV103" s="394"/>
      <c r="AW103" s="394"/>
      <c r="AX103" s="394"/>
      <c r="AY103" s="394"/>
      <c r="AZ103" s="394"/>
      <c r="BA103" s="394"/>
      <c r="BB103" s="394"/>
      <c r="BC103" s="394"/>
      <c r="BD103" s="381"/>
      <c r="BE103" s="408"/>
      <c r="BF103" s="361"/>
      <c r="BG103" s="362"/>
      <c r="BH103" s="372" t="e">
        <f t="shared" ref="BH103" si="139">AT103/AQ103*1000</f>
        <v>#DIV/0!</v>
      </c>
      <c r="BI103" s="372" t="e">
        <f t="shared" si="136"/>
        <v>#DIV/0!</v>
      </c>
    </row>
    <row r="104" spans="1:61" s="358" customFormat="1" x14ac:dyDescent="0.3">
      <c r="A104" s="359"/>
      <c r="B104" s="378"/>
      <c r="C104" s="407"/>
      <c r="D104" s="360"/>
      <c r="E104" s="393"/>
      <c r="F104" s="397"/>
      <c r="G104" s="393"/>
      <c r="H104" s="394"/>
      <c r="I104" s="394"/>
      <c r="J104" s="394"/>
      <c r="K104" s="394"/>
      <c r="L104" s="394"/>
      <c r="M104" s="394"/>
      <c r="N104" s="394"/>
      <c r="O104" s="394"/>
      <c r="P104" s="394"/>
      <c r="Q104" s="394"/>
      <c r="R104" s="385"/>
      <c r="S104" s="385"/>
      <c r="T104" s="385"/>
      <c r="U104" s="475"/>
      <c r="V104" s="395"/>
      <c r="W104" s="395" t="e">
        <f t="shared" ref="W104:W105" si="140">H104/F104</f>
        <v>#DIV/0!</v>
      </c>
      <c r="X104" s="393"/>
      <c r="Y104" s="397"/>
      <c r="Z104" s="393"/>
      <c r="AA104" s="394"/>
      <c r="AB104" s="394"/>
      <c r="AC104" s="394"/>
      <c r="AD104" s="394"/>
      <c r="AE104" s="394"/>
      <c r="AF104" s="394"/>
      <c r="AG104" s="394"/>
      <c r="AH104" s="394"/>
      <c r="AI104" s="394"/>
      <c r="AJ104" s="394"/>
      <c r="AK104" s="385"/>
      <c r="AL104" s="385"/>
      <c r="AM104" s="385"/>
      <c r="AN104" s="475"/>
      <c r="AO104" s="395"/>
      <c r="AP104" s="395" t="e">
        <f t="shared" si="135"/>
        <v>#DIV/0!</v>
      </c>
      <c r="AQ104" s="393"/>
      <c r="AR104" s="397"/>
      <c r="AS104" s="393"/>
      <c r="AT104" s="394"/>
      <c r="AU104" s="394"/>
      <c r="AV104" s="394"/>
      <c r="AW104" s="394"/>
      <c r="AX104" s="394"/>
      <c r="AY104" s="394"/>
      <c r="AZ104" s="394"/>
      <c r="BA104" s="394"/>
      <c r="BB104" s="394"/>
      <c r="BC104" s="394"/>
      <c r="BD104" s="385"/>
      <c r="BE104" s="385"/>
      <c r="BF104" s="385"/>
      <c r="BG104" s="475"/>
      <c r="BH104" s="395"/>
      <c r="BI104" s="395" t="e">
        <f t="shared" si="136"/>
        <v>#DIV/0!</v>
      </c>
    </row>
    <row r="105" spans="1:61" s="358" customFormat="1" ht="24.75" customHeight="1" x14ac:dyDescent="0.3">
      <c r="A105" s="508" t="s">
        <v>258</v>
      </c>
      <c r="B105" s="516" t="s">
        <v>264</v>
      </c>
      <c r="C105" s="514"/>
      <c r="D105" s="515">
        <v>0.4</v>
      </c>
      <c r="E105" s="509">
        <f t="shared" ref="E105:Q105" si="141">SUM(E106:E112)</f>
        <v>0</v>
      </c>
      <c r="F105" s="509">
        <f t="shared" si="141"/>
        <v>0</v>
      </c>
      <c r="G105" s="509">
        <f t="shared" si="141"/>
        <v>0</v>
      </c>
      <c r="H105" s="510">
        <f t="shared" si="141"/>
        <v>0</v>
      </c>
      <c r="I105" s="510">
        <f t="shared" si="141"/>
        <v>0</v>
      </c>
      <c r="J105" s="510">
        <f t="shared" si="141"/>
        <v>0</v>
      </c>
      <c r="K105" s="510">
        <f t="shared" si="141"/>
        <v>0</v>
      </c>
      <c r="L105" s="510">
        <f t="shared" si="141"/>
        <v>0</v>
      </c>
      <c r="M105" s="510">
        <f t="shared" si="141"/>
        <v>0</v>
      </c>
      <c r="N105" s="510">
        <f t="shared" si="141"/>
        <v>0</v>
      </c>
      <c r="O105" s="510">
        <f t="shared" si="141"/>
        <v>0</v>
      </c>
      <c r="P105" s="510">
        <f t="shared" si="141"/>
        <v>0</v>
      </c>
      <c r="Q105" s="510">
        <f t="shared" si="141"/>
        <v>0</v>
      </c>
      <c r="R105" s="511"/>
      <c r="S105" s="511"/>
      <c r="T105" s="511"/>
      <c r="U105" s="512"/>
      <c r="V105" s="513"/>
      <c r="W105" s="513" t="e">
        <f t="shared" si="140"/>
        <v>#DIV/0!</v>
      </c>
      <c r="X105" s="509">
        <f t="shared" ref="X105:AJ105" si="142">SUM(X106:X112)</f>
        <v>0</v>
      </c>
      <c r="Y105" s="509">
        <f t="shared" si="142"/>
        <v>0</v>
      </c>
      <c r="Z105" s="509">
        <f t="shared" si="142"/>
        <v>0</v>
      </c>
      <c r="AA105" s="510">
        <f t="shared" si="142"/>
        <v>0</v>
      </c>
      <c r="AB105" s="510">
        <f t="shared" si="142"/>
        <v>0</v>
      </c>
      <c r="AC105" s="510">
        <f t="shared" si="142"/>
        <v>0</v>
      </c>
      <c r="AD105" s="510">
        <f t="shared" si="142"/>
        <v>0</v>
      </c>
      <c r="AE105" s="510">
        <f t="shared" si="142"/>
        <v>0</v>
      </c>
      <c r="AF105" s="510">
        <f t="shared" si="142"/>
        <v>0</v>
      </c>
      <c r="AG105" s="510">
        <f t="shared" si="142"/>
        <v>0</v>
      </c>
      <c r="AH105" s="510">
        <f t="shared" si="142"/>
        <v>0</v>
      </c>
      <c r="AI105" s="510">
        <f t="shared" si="142"/>
        <v>0</v>
      </c>
      <c r="AJ105" s="510">
        <f t="shared" si="142"/>
        <v>0</v>
      </c>
      <c r="AK105" s="511"/>
      <c r="AL105" s="511"/>
      <c r="AM105" s="511"/>
      <c r="AN105" s="512"/>
      <c r="AO105" s="513"/>
      <c r="AP105" s="513" t="e">
        <f t="shared" si="135"/>
        <v>#DIV/0!</v>
      </c>
      <c r="AQ105" s="509">
        <f t="shared" ref="AQ105:BC105" si="143">SUM(AQ106:AQ112)</f>
        <v>0</v>
      </c>
      <c r="AR105" s="509">
        <f t="shared" si="143"/>
        <v>0</v>
      </c>
      <c r="AS105" s="509">
        <f t="shared" si="143"/>
        <v>0</v>
      </c>
      <c r="AT105" s="510">
        <f t="shared" si="143"/>
        <v>0</v>
      </c>
      <c r="AU105" s="510">
        <f t="shared" si="143"/>
        <v>0</v>
      </c>
      <c r="AV105" s="510">
        <f t="shared" si="143"/>
        <v>0</v>
      </c>
      <c r="AW105" s="510">
        <f t="shared" si="143"/>
        <v>0</v>
      </c>
      <c r="AX105" s="510">
        <f t="shared" si="143"/>
        <v>0</v>
      </c>
      <c r="AY105" s="510">
        <f t="shared" si="143"/>
        <v>0</v>
      </c>
      <c r="AZ105" s="510">
        <f t="shared" si="143"/>
        <v>0</v>
      </c>
      <c r="BA105" s="510">
        <f t="shared" si="143"/>
        <v>0</v>
      </c>
      <c r="BB105" s="510">
        <f t="shared" si="143"/>
        <v>0</v>
      </c>
      <c r="BC105" s="510">
        <f t="shared" si="143"/>
        <v>0</v>
      </c>
      <c r="BD105" s="511"/>
      <c r="BE105" s="511"/>
      <c r="BF105" s="511"/>
      <c r="BG105" s="512"/>
      <c r="BH105" s="513"/>
      <c r="BI105" s="513" t="e">
        <f t="shared" si="136"/>
        <v>#DIV/0!</v>
      </c>
    </row>
    <row r="106" spans="1:61" s="358" customFormat="1" x14ac:dyDescent="0.3">
      <c r="A106" s="359" t="s">
        <v>178</v>
      </c>
      <c r="B106" s="520" t="s">
        <v>324</v>
      </c>
      <c r="C106" s="407" t="s">
        <v>323</v>
      </c>
      <c r="D106" s="360">
        <v>0.4</v>
      </c>
      <c r="E106" s="393"/>
      <c r="F106" s="337"/>
      <c r="G106" s="497"/>
      <c r="H106" s="521"/>
      <c r="I106" s="394"/>
      <c r="J106" s="394"/>
      <c r="K106" s="394"/>
      <c r="L106" s="394"/>
      <c r="M106" s="394"/>
      <c r="N106" s="394"/>
      <c r="O106" s="394"/>
      <c r="P106" s="394"/>
      <c r="Q106" s="394"/>
      <c r="R106" s="381"/>
      <c r="S106" s="408"/>
      <c r="T106" s="385"/>
      <c r="U106" s="475"/>
      <c r="V106" s="395"/>
      <c r="W106" s="395" t="e">
        <f>H106/F106</f>
        <v>#DIV/0!</v>
      </c>
      <c r="X106" s="393"/>
      <c r="Y106" s="337"/>
      <c r="Z106" s="497"/>
      <c r="AA106" s="521"/>
      <c r="AB106" s="394"/>
      <c r="AC106" s="394"/>
      <c r="AD106" s="394"/>
      <c r="AE106" s="394"/>
      <c r="AF106" s="394"/>
      <c r="AG106" s="394"/>
      <c r="AH106" s="394"/>
      <c r="AI106" s="394"/>
      <c r="AJ106" s="394"/>
      <c r="AK106" s="381"/>
      <c r="AL106" s="408"/>
      <c r="AM106" s="385"/>
      <c r="AN106" s="475"/>
      <c r="AO106" s="395"/>
      <c r="AP106" s="395" t="e">
        <f>AA106/Y106</f>
        <v>#DIV/0!</v>
      </c>
      <c r="AQ106" s="393"/>
      <c r="AR106" s="337"/>
      <c r="AS106" s="497"/>
      <c r="AT106" s="521"/>
      <c r="AU106" s="394"/>
      <c r="AV106" s="394"/>
      <c r="AW106" s="394"/>
      <c r="AX106" s="394"/>
      <c r="AY106" s="394"/>
      <c r="AZ106" s="394"/>
      <c r="BA106" s="394"/>
      <c r="BB106" s="394"/>
      <c r="BC106" s="394"/>
      <c r="BD106" s="381"/>
      <c r="BE106" s="408"/>
      <c r="BF106" s="385"/>
      <c r="BG106" s="475"/>
      <c r="BH106" s="395"/>
      <c r="BI106" s="395" t="e">
        <f>AT106/AR106</f>
        <v>#DIV/0!</v>
      </c>
    </row>
    <row r="107" spans="1:61" s="358" customFormat="1" x14ac:dyDescent="0.3">
      <c r="A107" s="359" t="s">
        <v>182</v>
      </c>
      <c r="B107" s="520" t="s">
        <v>317</v>
      </c>
      <c r="C107" s="407" t="s">
        <v>309</v>
      </c>
      <c r="D107" s="360">
        <v>0.4</v>
      </c>
      <c r="E107" s="393"/>
      <c r="F107" s="337"/>
      <c r="G107" s="497"/>
      <c r="H107" s="521"/>
      <c r="I107" s="394"/>
      <c r="J107" s="394"/>
      <c r="K107" s="394"/>
      <c r="L107" s="394"/>
      <c r="M107" s="394"/>
      <c r="N107" s="394"/>
      <c r="O107" s="394"/>
      <c r="P107" s="394"/>
      <c r="Q107" s="394"/>
      <c r="R107" s="381"/>
      <c r="S107" s="408"/>
      <c r="T107" s="385"/>
      <c r="U107" s="475"/>
      <c r="V107" s="395"/>
      <c r="W107" s="395" t="e">
        <f>H107/F107</f>
        <v>#DIV/0!</v>
      </c>
      <c r="X107" s="393"/>
      <c r="Y107" s="337"/>
      <c r="Z107" s="497"/>
      <c r="AA107" s="521"/>
      <c r="AB107" s="394"/>
      <c r="AC107" s="394"/>
      <c r="AD107" s="394"/>
      <c r="AE107" s="394"/>
      <c r="AF107" s="394"/>
      <c r="AG107" s="394"/>
      <c r="AH107" s="394"/>
      <c r="AI107" s="394"/>
      <c r="AJ107" s="394"/>
      <c r="AK107" s="381"/>
      <c r="AL107" s="408"/>
      <c r="AM107" s="385"/>
      <c r="AN107" s="475"/>
      <c r="AO107" s="395"/>
      <c r="AP107" s="395" t="e">
        <f>AA107/Y107</f>
        <v>#DIV/0!</v>
      </c>
      <c r="AQ107" s="393"/>
      <c r="AR107" s="337"/>
      <c r="AS107" s="497"/>
      <c r="AT107" s="521"/>
      <c r="AU107" s="394"/>
      <c r="AV107" s="394"/>
      <c r="AW107" s="394"/>
      <c r="AX107" s="394"/>
      <c r="AY107" s="394"/>
      <c r="AZ107" s="394"/>
      <c r="BA107" s="394"/>
      <c r="BB107" s="394"/>
      <c r="BC107" s="394"/>
      <c r="BD107" s="381"/>
      <c r="BE107" s="408"/>
      <c r="BF107" s="385"/>
      <c r="BG107" s="475"/>
      <c r="BH107" s="395"/>
      <c r="BI107" s="395" t="e">
        <f>AT107/AR107</f>
        <v>#DIV/0!</v>
      </c>
    </row>
    <row r="108" spans="1:61" s="358" customFormat="1" x14ac:dyDescent="0.3">
      <c r="A108" s="359" t="s">
        <v>184</v>
      </c>
      <c r="B108" s="520" t="s">
        <v>318</v>
      </c>
      <c r="C108" s="407" t="s">
        <v>310</v>
      </c>
      <c r="D108" s="360">
        <v>0.4</v>
      </c>
      <c r="E108" s="393"/>
      <c r="F108" s="337"/>
      <c r="G108" s="497"/>
      <c r="H108" s="521"/>
      <c r="I108" s="394"/>
      <c r="J108" s="394"/>
      <c r="K108" s="394"/>
      <c r="L108" s="394"/>
      <c r="M108" s="394"/>
      <c r="N108" s="394"/>
      <c r="O108" s="394"/>
      <c r="P108" s="394"/>
      <c r="Q108" s="394"/>
      <c r="R108" s="381"/>
      <c r="S108" s="408"/>
      <c r="T108" s="385"/>
      <c r="U108" s="475"/>
      <c r="V108" s="395"/>
      <c r="W108" s="395" t="e">
        <f>H108/F108</f>
        <v>#DIV/0!</v>
      </c>
      <c r="X108" s="393"/>
      <c r="Y108" s="337"/>
      <c r="Z108" s="497"/>
      <c r="AA108" s="521"/>
      <c r="AB108" s="394"/>
      <c r="AC108" s="394"/>
      <c r="AD108" s="394"/>
      <c r="AE108" s="394"/>
      <c r="AF108" s="394"/>
      <c r="AG108" s="394"/>
      <c r="AH108" s="394"/>
      <c r="AI108" s="394"/>
      <c r="AJ108" s="394"/>
      <c r="AK108" s="381"/>
      <c r="AL108" s="408"/>
      <c r="AM108" s="385"/>
      <c r="AN108" s="475"/>
      <c r="AO108" s="395"/>
      <c r="AP108" s="395" t="e">
        <f>AA108/Y108</f>
        <v>#DIV/0!</v>
      </c>
      <c r="AQ108" s="393"/>
      <c r="AR108" s="337"/>
      <c r="AS108" s="497"/>
      <c r="AT108" s="521"/>
      <c r="AU108" s="394"/>
      <c r="AV108" s="394"/>
      <c r="AW108" s="394"/>
      <c r="AX108" s="394"/>
      <c r="AY108" s="394"/>
      <c r="AZ108" s="394"/>
      <c r="BA108" s="394"/>
      <c r="BB108" s="394"/>
      <c r="BC108" s="394"/>
      <c r="BD108" s="381"/>
      <c r="BE108" s="408"/>
      <c r="BF108" s="385"/>
      <c r="BG108" s="475"/>
      <c r="BH108" s="395"/>
      <c r="BI108" s="395" t="e">
        <f>AT108/AR108</f>
        <v>#DIV/0!</v>
      </c>
    </row>
    <row r="109" spans="1:61" s="358" customFormat="1" x14ac:dyDescent="0.3">
      <c r="A109" s="359" t="s">
        <v>186</v>
      </c>
      <c r="B109" s="520" t="s">
        <v>321</v>
      </c>
      <c r="C109" s="407" t="s">
        <v>311</v>
      </c>
      <c r="D109" s="360">
        <v>0.4</v>
      </c>
      <c r="E109" s="393"/>
      <c r="F109" s="337"/>
      <c r="G109" s="497"/>
      <c r="H109" s="521"/>
      <c r="I109" s="394"/>
      <c r="J109" s="394"/>
      <c r="K109" s="394"/>
      <c r="L109" s="394"/>
      <c r="M109" s="394"/>
      <c r="N109" s="394"/>
      <c r="O109" s="394"/>
      <c r="P109" s="394"/>
      <c r="Q109" s="394"/>
      <c r="R109" s="381"/>
      <c r="S109" s="408"/>
      <c r="T109" s="385"/>
      <c r="U109" s="475"/>
      <c r="V109" s="395"/>
      <c r="W109" s="395" t="e">
        <f>H109/F109</f>
        <v>#DIV/0!</v>
      </c>
      <c r="X109" s="393"/>
      <c r="Y109" s="337"/>
      <c r="Z109" s="497"/>
      <c r="AA109" s="521"/>
      <c r="AB109" s="394"/>
      <c r="AC109" s="394"/>
      <c r="AD109" s="394"/>
      <c r="AE109" s="394"/>
      <c r="AF109" s="394"/>
      <c r="AG109" s="394"/>
      <c r="AH109" s="394"/>
      <c r="AI109" s="394"/>
      <c r="AJ109" s="394"/>
      <c r="AK109" s="381"/>
      <c r="AL109" s="408"/>
      <c r="AM109" s="385"/>
      <c r="AN109" s="475"/>
      <c r="AO109" s="395"/>
      <c r="AP109" s="395" t="e">
        <f>AA109/Y109</f>
        <v>#DIV/0!</v>
      </c>
      <c r="AQ109" s="393"/>
      <c r="AR109" s="337"/>
      <c r="AS109" s="497"/>
      <c r="AT109" s="521"/>
      <c r="AU109" s="394"/>
      <c r="AV109" s="394"/>
      <c r="AW109" s="394"/>
      <c r="AX109" s="394"/>
      <c r="AY109" s="394"/>
      <c r="AZ109" s="394"/>
      <c r="BA109" s="394"/>
      <c r="BB109" s="394"/>
      <c r="BC109" s="394"/>
      <c r="BD109" s="381"/>
      <c r="BE109" s="408"/>
      <c r="BF109" s="385"/>
      <c r="BG109" s="475"/>
      <c r="BH109" s="395"/>
      <c r="BI109" s="395" t="e">
        <f>AT109/AR109</f>
        <v>#DIV/0!</v>
      </c>
    </row>
    <row r="110" spans="1:61" s="358" customFormat="1" ht="19.2" x14ac:dyDescent="0.3">
      <c r="A110" s="359"/>
      <c r="B110" s="537"/>
      <c r="C110" s="407"/>
      <c r="D110" s="360">
        <v>0.4</v>
      </c>
      <c r="E110" s="393"/>
      <c r="F110" s="337"/>
      <c r="G110" s="497"/>
      <c r="H110" s="544"/>
      <c r="I110" s="394"/>
      <c r="J110" s="394"/>
      <c r="K110" s="394"/>
      <c r="L110" s="394"/>
      <c r="M110" s="394"/>
      <c r="N110" s="394"/>
      <c r="O110" s="394"/>
      <c r="P110" s="394"/>
      <c r="Q110" s="394"/>
      <c r="R110" s="381" t="s">
        <v>167</v>
      </c>
      <c r="S110" s="408" t="s">
        <v>175</v>
      </c>
      <c r="T110" s="385"/>
      <c r="U110" s="475"/>
      <c r="V110" s="395"/>
      <c r="W110" s="395" t="e">
        <f t="shared" ref="W110" si="144">H110/F110</f>
        <v>#DIV/0!</v>
      </c>
      <c r="X110" s="393"/>
      <c r="Y110" s="337"/>
      <c r="Z110" s="497"/>
      <c r="AA110" s="544"/>
      <c r="AB110" s="394"/>
      <c r="AC110" s="394"/>
      <c r="AD110" s="394"/>
      <c r="AE110" s="394"/>
      <c r="AF110" s="394"/>
      <c r="AG110" s="394"/>
      <c r="AH110" s="394"/>
      <c r="AI110" s="394"/>
      <c r="AJ110" s="394"/>
      <c r="AK110" s="381" t="s">
        <v>167</v>
      </c>
      <c r="AL110" s="408" t="s">
        <v>175</v>
      </c>
      <c r="AM110" s="385"/>
      <c r="AN110" s="475"/>
      <c r="AO110" s="395"/>
      <c r="AP110" s="395" t="e">
        <f t="shared" ref="AP110" si="145">AA110/Y110</f>
        <v>#DIV/0!</v>
      </c>
      <c r="AQ110" s="393"/>
      <c r="AR110" s="337"/>
      <c r="AS110" s="497"/>
      <c r="AT110" s="544"/>
      <c r="AU110" s="394"/>
      <c r="AV110" s="394"/>
      <c r="AW110" s="394"/>
      <c r="AX110" s="394"/>
      <c r="AY110" s="394"/>
      <c r="AZ110" s="394"/>
      <c r="BA110" s="394"/>
      <c r="BB110" s="394"/>
      <c r="BC110" s="394"/>
      <c r="BD110" s="381" t="s">
        <v>167</v>
      </c>
      <c r="BE110" s="408" t="s">
        <v>175</v>
      </c>
      <c r="BF110" s="385"/>
      <c r="BG110" s="475"/>
      <c r="BH110" s="395"/>
      <c r="BI110" s="395" t="e">
        <f t="shared" ref="BI110" si="146">AT110/AR110</f>
        <v>#DIV/0!</v>
      </c>
    </row>
    <row r="111" spans="1:61" s="358" customFormat="1" x14ac:dyDescent="0.3">
      <c r="A111" s="359"/>
      <c r="B111" s="378"/>
      <c r="C111" s="407"/>
      <c r="D111" s="360"/>
      <c r="E111" s="393"/>
      <c r="F111" s="337"/>
      <c r="G111" s="337"/>
      <c r="H111" s="522"/>
      <c r="I111" s="394"/>
      <c r="J111" s="394"/>
      <c r="K111" s="394"/>
      <c r="L111" s="394"/>
      <c r="M111" s="394"/>
      <c r="N111" s="394"/>
      <c r="O111" s="394"/>
      <c r="P111" s="394"/>
      <c r="Q111" s="394"/>
      <c r="R111" s="381"/>
      <c r="S111" s="408"/>
      <c r="T111" s="385"/>
      <c r="U111" s="475"/>
      <c r="V111" s="395"/>
      <c r="W111" s="395"/>
      <c r="X111" s="393"/>
      <c r="Y111" s="337"/>
      <c r="Z111" s="337"/>
      <c r="AA111" s="522"/>
      <c r="AB111" s="394"/>
      <c r="AC111" s="394"/>
      <c r="AD111" s="394"/>
      <c r="AE111" s="394"/>
      <c r="AF111" s="394"/>
      <c r="AG111" s="394"/>
      <c r="AH111" s="394"/>
      <c r="AI111" s="394"/>
      <c r="AJ111" s="394"/>
      <c r="AK111" s="381"/>
      <c r="AL111" s="408"/>
      <c r="AM111" s="385"/>
      <c r="AN111" s="475"/>
      <c r="AO111" s="395"/>
      <c r="AP111" s="395"/>
      <c r="AQ111" s="393"/>
      <c r="AR111" s="337"/>
      <c r="AS111" s="337"/>
      <c r="AT111" s="522"/>
      <c r="AU111" s="394"/>
      <c r="AV111" s="394"/>
      <c r="AW111" s="394"/>
      <c r="AX111" s="394"/>
      <c r="AY111" s="394"/>
      <c r="AZ111" s="394"/>
      <c r="BA111" s="394"/>
      <c r="BB111" s="394"/>
      <c r="BC111" s="394"/>
      <c r="BD111" s="381"/>
      <c r="BE111" s="408"/>
      <c r="BF111" s="385"/>
      <c r="BG111" s="475"/>
      <c r="BH111" s="395"/>
      <c r="BI111" s="395"/>
    </row>
    <row r="112" spans="1:61" s="358" customFormat="1" x14ac:dyDescent="0.3">
      <c r="A112" s="359"/>
      <c r="B112" s="378"/>
      <c r="C112" s="407"/>
      <c r="D112" s="360"/>
      <c r="E112" s="393"/>
      <c r="F112" s="397"/>
      <c r="G112" s="393"/>
      <c r="H112" s="394"/>
      <c r="I112" s="394"/>
      <c r="J112" s="394"/>
      <c r="K112" s="394"/>
      <c r="L112" s="394"/>
      <c r="M112" s="394"/>
      <c r="N112" s="394"/>
      <c r="O112" s="394"/>
      <c r="P112" s="394"/>
      <c r="Q112" s="394"/>
      <c r="R112" s="385"/>
      <c r="S112" s="385"/>
      <c r="T112" s="385"/>
      <c r="U112" s="475"/>
      <c r="V112" s="395"/>
      <c r="W112" s="395" t="e">
        <f t="shared" ref="W112:W120" si="147">H112/F112</f>
        <v>#DIV/0!</v>
      </c>
      <c r="X112" s="393"/>
      <c r="Y112" s="397"/>
      <c r="Z112" s="393"/>
      <c r="AA112" s="394"/>
      <c r="AB112" s="394"/>
      <c r="AC112" s="394"/>
      <c r="AD112" s="394"/>
      <c r="AE112" s="394"/>
      <c r="AF112" s="394"/>
      <c r="AG112" s="394"/>
      <c r="AH112" s="394"/>
      <c r="AI112" s="394"/>
      <c r="AJ112" s="394"/>
      <c r="AK112" s="385"/>
      <c r="AL112" s="385"/>
      <c r="AM112" s="385"/>
      <c r="AN112" s="475"/>
      <c r="AO112" s="395"/>
      <c r="AP112" s="395" t="e">
        <f t="shared" ref="AP112:AP120" si="148">AA112/Y112</f>
        <v>#DIV/0!</v>
      </c>
      <c r="AQ112" s="393"/>
      <c r="AR112" s="397"/>
      <c r="AS112" s="393"/>
      <c r="AT112" s="394"/>
      <c r="AU112" s="394"/>
      <c r="AV112" s="394"/>
      <c r="AW112" s="394"/>
      <c r="AX112" s="394"/>
      <c r="AY112" s="394"/>
      <c r="AZ112" s="394"/>
      <c r="BA112" s="394"/>
      <c r="BB112" s="394"/>
      <c r="BC112" s="394"/>
      <c r="BD112" s="385"/>
      <c r="BE112" s="385"/>
      <c r="BF112" s="385"/>
      <c r="BG112" s="475"/>
      <c r="BH112" s="395"/>
      <c r="BI112" s="395" t="e">
        <f t="shared" ref="BI112:BI120" si="149">AT112/AR112</f>
        <v>#DIV/0!</v>
      </c>
    </row>
    <row r="113" spans="1:61" s="358" customFormat="1" ht="24.75" customHeight="1" x14ac:dyDescent="0.3">
      <c r="A113" s="508" t="s">
        <v>259</v>
      </c>
      <c r="B113" s="516" t="s">
        <v>265</v>
      </c>
      <c r="C113" s="514"/>
      <c r="D113" s="515">
        <v>0.4</v>
      </c>
      <c r="E113" s="509">
        <f t="shared" ref="E113:Q113" si="150">SUM(E114:E116)</f>
        <v>0</v>
      </c>
      <c r="F113" s="509">
        <f t="shared" si="150"/>
        <v>0</v>
      </c>
      <c r="G113" s="509">
        <f t="shared" si="150"/>
        <v>0</v>
      </c>
      <c r="H113" s="510">
        <f t="shared" si="150"/>
        <v>0</v>
      </c>
      <c r="I113" s="510">
        <f t="shared" si="150"/>
        <v>0</v>
      </c>
      <c r="J113" s="510">
        <f t="shared" si="150"/>
        <v>0</v>
      </c>
      <c r="K113" s="510">
        <f t="shared" si="150"/>
        <v>0</v>
      </c>
      <c r="L113" s="510">
        <f t="shared" si="150"/>
        <v>0</v>
      </c>
      <c r="M113" s="510">
        <f t="shared" si="150"/>
        <v>0</v>
      </c>
      <c r="N113" s="510">
        <f t="shared" si="150"/>
        <v>0</v>
      </c>
      <c r="O113" s="510">
        <f t="shared" si="150"/>
        <v>0</v>
      </c>
      <c r="P113" s="510">
        <f t="shared" si="150"/>
        <v>0</v>
      </c>
      <c r="Q113" s="510">
        <f t="shared" si="150"/>
        <v>0</v>
      </c>
      <c r="R113" s="511"/>
      <c r="S113" s="511"/>
      <c r="T113" s="511"/>
      <c r="U113" s="512"/>
      <c r="V113" s="513"/>
      <c r="W113" s="513" t="e">
        <f t="shared" si="147"/>
        <v>#DIV/0!</v>
      </c>
      <c r="X113" s="509">
        <f t="shared" ref="X113:AJ113" si="151">SUM(X114:X116)</f>
        <v>0</v>
      </c>
      <c r="Y113" s="509">
        <f t="shared" si="151"/>
        <v>0</v>
      </c>
      <c r="Z113" s="509">
        <f t="shared" si="151"/>
        <v>0</v>
      </c>
      <c r="AA113" s="510">
        <f t="shared" si="151"/>
        <v>0</v>
      </c>
      <c r="AB113" s="510">
        <f t="shared" si="151"/>
        <v>0</v>
      </c>
      <c r="AC113" s="510">
        <f t="shared" si="151"/>
        <v>0</v>
      </c>
      <c r="AD113" s="510">
        <f t="shared" si="151"/>
        <v>0</v>
      </c>
      <c r="AE113" s="510">
        <f t="shared" si="151"/>
        <v>0</v>
      </c>
      <c r="AF113" s="510">
        <f t="shared" si="151"/>
        <v>0</v>
      </c>
      <c r="AG113" s="510">
        <f t="shared" si="151"/>
        <v>0</v>
      </c>
      <c r="AH113" s="510">
        <f t="shared" si="151"/>
        <v>0</v>
      </c>
      <c r="AI113" s="510">
        <f t="shared" si="151"/>
        <v>0</v>
      </c>
      <c r="AJ113" s="510">
        <f t="shared" si="151"/>
        <v>0</v>
      </c>
      <c r="AK113" s="511"/>
      <c r="AL113" s="511"/>
      <c r="AM113" s="511"/>
      <c r="AN113" s="512"/>
      <c r="AO113" s="513"/>
      <c r="AP113" s="513" t="e">
        <f t="shared" si="148"/>
        <v>#DIV/0!</v>
      </c>
      <c r="AQ113" s="509">
        <f t="shared" ref="AQ113:BC113" si="152">SUM(AQ114:AQ116)</f>
        <v>0</v>
      </c>
      <c r="AR113" s="509">
        <f t="shared" si="152"/>
        <v>0</v>
      </c>
      <c r="AS113" s="509">
        <f t="shared" si="152"/>
        <v>0</v>
      </c>
      <c r="AT113" s="510">
        <f t="shared" si="152"/>
        <v>0</v>
      </c>
      <c r="AU113" s="510">
        <f t="shared" si="152"/>
        <v>0</v>
      </c>
      <c r="AV113" s="510">
        <f t="shared" si="152"/>
        <v>0</v>
      </c>
      <c r="AW113" s="510">
        <f t="shared" si="152"/>
        <v>0</v>
      </c>
      <c r="AX113" s="510">
        <f t="shared" si="152"/>
        <v>0</v>
      </c>
      <c r="AY113" s="510">
        <f t="shared" si="152"/>
        <v>0</v>
      </c>
      <c r="AZ113" s="510">
        <f t="shared" si="152"/>
        <v>0</v>
      </c>
      <c r="BA113" s="510">
        <f t="shared" si="152"/>
        <v>0</v>
      </c>
      <c r="BB113" s="510">
        <f t="shared" si="152"/>
        <v>0</v>
      </c>
      <c r="BC113" s="510">
        <f t="shared" si="152"/>
        <v>0</v>
      </c>
      <c r="BD113" s="511"/>
      <c r="BE113" s="511"/>
      <c r="BF113" s="511"/>
      <c r="BG113" s="512"/>
      <c r="BH113" s="513"/>
      <c r="BI113" s="513" t="e">
        <f t="shared" si="149"/>
        <v>#DIV/0!</v>
      </c>
    </row>
    <row r="114" spans="1:61" s="358" customFormat="1" x14ac:dyDescent="0.3">
      <c r="A114" s="359"/>
      <c r="B114" s="537"/>
      <c r="C114" s="407"/>
      <c r="D114" s="360"/>
      <c r="E114" s="393"/>
      <c r="F114" s="498"/>
      <c r="G114" s="497"/>
      <c r="H114" s="544"/>
      <c r="I114" s="394"/>
      <c r="J114" s="394"/>
      <c r="K114" s="394"/>
      <c r="L114" s="394"/>
      <c r="M114" s="394"/>
      <c r="N114" s="394"/>
      <c r="O114" s="394"/>
      <c r="P114" s="394"/>
      <c r="Q114" s="394"/>
      <c r="R114" s="381"/>
      <c r="S114" s="408"/>
      <c r="T114" s="385"/>
      <c r="U114" s="475"/>
      <c r="V114" s="395"/>
      <c r="W114" s="395" t="e">
        <f t="shared" si="147"/>
        <v>#DIV/0!</v>
      </c>
      <c r="X114" s="393"/>
      <c r="Y114" s="498"/>
      <c r="Z114" s="497"/>
      <c r="AA114" s="544"/>
      <c r="AB114" s="394"/>
      <c r="AC114" s="394"/>
      <c r="AD114" s="394"/>
      <c r="AE114" s="394"/>
      <c r="AF114" s="394"/>
      <c r="AG114" s="394"/>
      <c r="AH114" s="394"/>
      <c r="AI114" s="394"/>
      <c r="AJ114" s="394"/>
      <c r="AK114" s="381"/>
      <c r="AL114" s="408"/>
      <c r="AM114" s="385"/>
      <c r="AN114" s="475"/>
      <c r="AO114" s="395"/>
      <c r="AP114" s="395" t="e">
        <f t="shared" si="148"/>
        <v>#DIV/0!</v>
      </c>
      <c r="AQ114" s="393"/>
      <c r="AR114" s="498"/>
      <c r="AS114" s="497"/>
      <c r="AT114" s="544"/>
      <c r="AU114" s="394"/>
      <c r="AV114" s="394"/>
      <c r="AW114" s="394"/>
      <c r="AX114" s="394"/>
      <c r="AY114" s="394"/>
      <c r="AZ114" s="394"/>
      <c r="BA114" s="394"/>
      <c r="BB114" s="394"/>
      <c r="BC114" s="394"/>
      <c r="BD114" s="381"/>
      <c r="BE114" s="408"/>
      <c r="BF114" s="385"/>
      <c r="BG114" s="475"/>
      <c r="BH114" s="395"/>
      <c r="BI114" s="395" t="e">
        <f t="shared" si="149"/>
        <v>#DIV/0!</v>
      </c>
    </row>
    <row r="115" spans="1:61" s="358" customFormat="1" x14ac:dyDescent="0.3">
      <c r="A115" s="359"/>
      <c r="B115" s="572"/>
      <c r="C115" s="385"/>
      <c r="D115" s="360">
        <v>0.4</v>
      </c>
      <c r="E115" s="396"/>
      <c r="F115" s="397"/>
      <c r="G115" s="393"/>
      <c r="H115" s="571"/>
      <c r="I115" s="394"/>
      <c r="J115" s="394"/>
      <c r="K115" s="394"/>
      <c r="L115" s="394"/>
      <c r="M115" s="394"/>
      <c r="N115" s="394"/>
      <c r="O115" s="394"/>
      <c r="P115" s="394"/>
      <c r="Q115" s="394"/>
      <c r="R115" s="381"/>
      <c r="S115" s="408"/>
      <c r="T115" s="361"/>
      <c r="U115" s="362"/>
      <c r="V115" s="372" t="e">
        <f t="shared" ref="V115" si="153">H115/E115*1000</f>
        <v>#DIV/0!</v>
      </c>
      <c r="W115" s="372" t="e">
        <f t="shared" si="147"/>
        <v>#DIV/0!</v>
      </c>
      <c r="X115" s="396"/>
      <c r="Y115" s="397"/>
      <c r="Z115" s="393"/>
      <c r="AA115" s="571"/>
      <c r="AB115" s="394"/>
      <c r="AC115" s="394"/>
      <c r="AD115" s="394"/>
      <c r="AE115" s="394"/>
      <c r="AF115" s="394"/>
      <c r="AG115" s="394"/>
      <c r="AH115" s="394"/>
      <c r="AI115" s="394"/>
      <c r="AJ115" s="394"/>
      <c r="AK115" s="381"/>
      <c r="AL115" s="408"/>
      <c r="AM115" s="361"/>
      <c r="AN115" s="362"/>
      <c r="AO115" s="372" t="e">
        <f t="shared" ref="AO115" si="154">AA115/X115*1000</f>
        <v>#DIV/0!</v>
      </c>
      <c r="AP115" s="372" t="e">
        <f t="shared" si="148"/>
        <v>#DIV/0!</v>
      </c>
      <c r="AQ115" s="396"/>
      <c r="AR115" s="397"/>
      <c r="AS115" s="393"/>
      <c r="AT115" s="571"/>
      <c r="AU115" s="394"/>
      <c r="AV115" s="394"/>
      <c r="AW115" s="394"/>
      <c r="AX115" s="394"/>
      <c r="AY115" s="394"/>
      <c r="AZ115" s="394"/>
      <c r="BA115" s="394"/>
      <c r="BB115" s="394"/>
      <c r="BC115" s="394"/>
      <c r="BD115" s="381"/>
      <c r="BE115" s="408"/>
      <c r="BF115" s="361"/>
      <c r="BG115" s="362"/>
      <c r="BH115" s="372" t="e">
        <f t="shared" ref="BH115" si="155">AT115/AQ115*1000</f>
        <v>#DIV/0!</v>
      </c>
      <c r="BI115" s="372" t="e">
        <f t="shared" si="149"/>
        <v>#DIV/0!</v>
      </c>
    </row>
    <row r="116" spans="1:61" s="358" customFormat="1" x14ac:dyDescent="0.3">
      <c r="A116" s="359"/>
      <c r="B116" s="378"/>
      <c r="C116" s="407"/>
      <c r="D116" s="360"/>
      <c r="E116" s="393"/>
      <c r="F116" s="397"/>
      <c r="G116" s="393"/>
      <c r="H116" s="394"/>
      <c r="I116" s="394"/>
      <c r="J116" s="394"/>
      <c r="K116" s="394"/>
      <c r="L116" s="394"/>
      <c r="M116" s="394"/>
      <c r="N116" s="394"/>
      <c r="O116" s="394"/>
      <c r="P116" s="394"/>
      <c r="Q116" s="394"/>
      <c r="R116" s="385"/>
      <c r="S116" s="385"/>
      <c r="T116" s="385"/>
      <c r="U116" s="475"/>
      <c r="V116" s="395"/>
      <c r="W116" s="395" t="e">
        <f t="shared" si="147"/>
        <v>#DIV/0!</v>
      </c>
      <c r="X116" s="393"/>
      <c r="Y116" s="397"/>
      <c r="Z116" s="393"/>
      <c r="AA116" s="394"/>
      <c r="AB116" s="394"/>
      <c r="AC116" s="394"/>
      <c r="AD116" s="394"/>
      <c r="AE116" s="394"/>
      <c r="AF116" s="394"/>
      <c r="AG116" s="394"/>
      <c r="AH116" s="394"/>
      <c r="AI116" s="394"/>
      <c r="AJ116" s="394"/>
      <c r="AK116" s="385"/>
      <c r="AL116" s="385"/>
      <c r="AM116" s="385"/>
      <c r="AN116" s="475"/>
      <c r="AO116" s="395"/>
      <c r="AP116" s="395" t="e">
        <f t="shared" si="148"/>
        <v>#DIV/0!</v>
      </c>
      <c r="AQ116" s="393"/>
      <c r="AR116" s="397"/>
      <c r="AS116" s="393"/>
      <c r="AT116" s="394"/>
      <c r="AU116" s="394"/>
      <c r="AV116" s="394"/>
      <c r="AW116" s="394"/>
      <c r="AX116" s="394"/>
      <c r="AY116" s="394"/>
      <c r="AZ116" s="394"/>
      <c r="BA116" s="394"/>
      <c r="BB116" s="394"/>
      <c r="BC116" s="394"/>
      <c r="BD116" s="385"/>
      <c r="BE116" s="385"/>
      <c r="BF116" s="385"/>
      <c r="BG116" s="475"/>
      <c r="BH116" s="395"/>
      <c r="BI116" s="395" t="e">
        <f t="shared" si="149"/>
        <v>#DIV/0!</v>
      </c>
    </row>
    <row r="117" spans="1:61" s="358" customFormat="1" ht="24.6" customHeight="1" x14ac:dyDescent="0.3">
      <c r="A117" s="508" t="s">
        <v>260</v>
      </c>
      <c r="B117" s="516" t="s">
        <v>266</v>
      </c>
      <c r="C117" s="514"/>
      <c r="D117" s="515">
        <v>6</v>
      </c>
      <c r="E117" s="509">
        <f t="shared" ref="E117:Q117" si="156">SUM(E118:E120)</f>
        <v>0</v>
      </c>
      <c r="F117" s="509">
        <f t="shared" si="156"/>
        <v>0</v>
      </c>
      <c r="G117" s="509">
        <f t="shared" si="156"/>
        <v>0</v>
      </c>
      <c r="H117" s="510">
        <f t="shared" si="156"/>
        <v>0</v>
      </c>
      <c r="I117" s="510">
        <f t="shared" si="156"/>
        <v>0</v>
      </c>
      <c r="J117" s="510">
        <f t="shared" si="156"/>
        <v>0</v>
      </c>
      <c r="K117" s="510">
        <f t="shared" si="156"/>
        <v>0</v>
      </c>
      <c r="L117" s="510">
        <f t="shared" si="156"/>
        <v>0</v>
      </c>
      <c r="M117" s="510">
        <f t="shared" si="156"/>
        <v>0</v>
      </c>
      <c r="N117" s="510">
        <f t="shared" si="156"/>
        <v>0</v>
      </c>
      <c r="O117" s="510">
        <f t="shared" si="156"/>
        <v>0</v>
      </c>
      <c r="P117" s="510">
        <f t="shared" si="156"/>
        <v>0</v>
      </c>
      <c r="Q117" s="510">
        <f t="shared" si="156"/>
        <v>0</v>
      </c>
      <c r="R117" s="511"/>
      <c r="S117" s="511"/>
      <c r="T117" s="511"/>
      <c r="U117" s="512"/>
      <c r="V117" s="513"/>
      <c r="W117" s="513" t="e">
        <f t="shared" si="147"/>
        <v>#DIV/0!</v>
      </c>
      <c r="X117" s="509">
        <f t="shared" ref="X117:AJ117" si="157">SUM(X118:X120)</f>
        <v>0</v>
      </c>
      <c r="Y117" s="509">
        <f t="shared" si="157"/>
        <v>0</v>
      </c>
      <c r="Z117" s="509">
        <f t="shared" si="157"/>
        <v>0</v>
      </c>
      <c r="AA117" s="510">
        <f t="shared" si="157"/>
        <v>0</v>
      </c>
      <c r="AB117" s="510">
        <f t="shared" si="157"/>
        <v>0</v>
      </c>
      <c r="AC117" s="510">
        <f t="shared" si="157"/>
        <v>0</v>
      </c>
      <c r="AD117" s="510">
        <f t="shared" si="157"/>
        <v>0</v>
      </c>
      <c r="AE117" s="510">
        <f t="shared" si="157"/>
        <v>0</v>
      </c>
      <c r="AF117" s="510">
        <f t="shared" si="157"/>
        <v>0</v>
      </c>
      <c r="AG117" s="510">
        <f t="shared" si="157"/>
        <v>0</v>
      </c>
      <c r="AH117" s="510">
        <f t="shared" si="157"/>
        <v>0</v>
      </c>
      <c r="AI117" s="510">
        <f t="shared" si="157"/>
        <v>0</v>
      </c>
      <c r="AJ117" s="510">
        <f t="shared" si="157"/>
        <v>0</v>
      </c>
      <c r="AK117" s="511"/>
      <c r="AL117" s="511"/>
      <c r="AM117" s="511"/>
      <c r="AN117" s="512"/>
      <c r="AO117" s="513"/>
      <c r="AP117" s="513" t="e">
        <f t="shared" si="148"/>
        <v>#DIV/0!</v>
      </c>
      <c r="AQ117" s="509">
        <f t="shared" ref="AQ117:BC117" si="158">SUM(AQ118:AQ120)</f>
        <v>0</v>
      </c>
      <c r="AR117" s="509">
        <f t="shared" si="158"/>
        <v>0</v>
      </c>
      <c r="AS117" s="509">
        <f t="shared" si="158"/>
        <v>0</v>
      </c>
      <c r="AT117" s="510">
        <f t="shared" si="158"/>
        <v>0</v>
      </c>
      <c r="AU117" s="510">
        <f t="shared" si="158"/>
        <v>0</v>
      </c>
      <c r="AV117" s="510">
        <f t="shared" si="158"/>
        <v>0</v>
      </c>
      <c r="AW117" s="510">
        <f t="shared" si="158"/>
        <v>0</v>
      </c>
      <c r="AX117" s="510">
        <f t="shared" si="158"/>
        <v>0</v>
      </c>
      <c r="AY117" s="510">
        <f t="shared" si="158"/>
        <v>0</v>
      </c>
      <c r="AZ117" s="510">
        <f t="shared" si="158"/>
        <v>0</v>
      </c>
      <c r="BA117" s="510">
        <f t="shared" si="158"/>
        <v>0</v>
      </c>
      <c r="BB117" s="510">
        <f t="shared" si="158"/>
        <v>0</v>
      </c>
      <c r="BC117" s="510">
        <f t="shared" si="158"/>
        <v>0</v>
      </c>
      <c r="BD117" s="511"/>
      <c r="BE117" s="511"/>
      <c r="BF117" s="511"/>
      <c r="BG117" s="512"/>
      <c r="BH117" s="513"/>
      <c r="BI117" s="513" t="e">
        <f t="shared" si="149"/>
        <v>#DIV/0!</v>
      </c>
    </row>
    <row r="118" spans="1:61" s="358" customFormat="1" x14ac:dyDescent="0.3">
      <c r="A118" s="359"/>
      <c r="B118" s="537"/>
      <c r="C118" s="407"/>
      <c r="D118" s="360"/>
      <c r="E118" s="393"/>
      <c r="F118" s="498"/>
      <c r="G118" s="497"/>
      <c r="H118" s="544"/>
      <c r="I118" s="394"/>
      <c r="J118" s="394"/>
      <c r="K118" s="394"/>
      <c r="L118" s="394"/>
      <c r="M118" s="394"/>
      <c r="N118" s="394"/>
      <c r="O118" s="394"/>
      <c r="P118" s="394"/>
      <c r="Q118" s="394"/>
      <c r="R118" s="381"/>
      <c r="S118" s="408"/>
      <c r="T118" s="385"/>
      <c r="U118" s="475"/>
      <c r="V118" s="395"/>
      <c r="W118" s="395" t="e">
        <f t="shared" si="147"/>
        <v>#DIV/0!</v>
      </c>
      <c r="X118" s="393"/>
      <c r="Y118" s="498"/>
      <c r="Z118" s="497"/>
      <c r="AA118" s="544"/>
      <c r="AB118" s="394"/>
      <c r="AC118" s="394"/>
      <c r="AD118" s="394"/>
      <c r="AE118" s="394"/>
      <c r="AF118" s="394"/>
      <c r="AG118" s="394"/>
      <c r="AH118" s="394"/>
      <c r="AI118" s="394"/>
      <c r="AJ118" s="394"/>
      <c r="AK118" s="381"/>
      <c r="AL118" s="408"/>
      <c r="AM118" s="385"/>
      <c r="AN118" s="475"/>
      <c r="AO118" s="395"/>
      <c r="AP118" s="395" t="e">
        <f t="shared" si="148"/>
        <v>#DIV/0!</v>
      </c>
      <c r="AQ118" s="393"/>
      <c r="AR118" s="498"/>
      <c r="AS118" s="497"/>
      <c r="AT118" s="544"/>
      <c r="AU118" s="394"/>
      <c r="AV118" s="394"/>
      <c r="AW118" s="394"/>
      <c r="AX118" s="394"/>
      <c r="AY118" s="394"/>
      <c r="AZ118" s="394"/>
      <c r="BA118" s="394"/>
      <c r="BB118" s="394"/>
      <c r="BC118" s="394"/>
      <c r="BD118" s="381"/>
      <c r="BE118" s="408"/>
      <c r="BF118" s="385"/>
      <c r="BG118" s="475"/>
      <c r="BH118" s="395"/>
      <c r="BI118" s="395" t="e">
        <f t="shared" si="149"/>
        <v>#DIV/0!</v>
      </c>
    </row>
    <row r="119" spans="1:61" s="358" customFormat="1" x14ac:dyDescent="0.3">
      <c r="A119" s="359"/>
      <c r="B119" s="572"/>
      <c r="C119" s="385"/>
      <c r="D119" s="360">
        <v>0.4</v>
      </c>
      <c r="E119" s="396"/>
      <c r="F119" s="397"/>
      <c r="G119" s="393"/>
      <c r="H119" s="571"/>
      <c r="I119" s="394"/>
      <c r="J119" s="394"/>
      <c r="K119" s="394"/>
      <c r="L119" s="394"/>
      <c r="M119" s="394"/>
      <c r="N119" s="394"/>
      <c r="O119" s="394"/>
      <c r="P119" s="394"/>
      <c r="Q119" s="394"/>
      <c r="R119" s="381"/>
      <c r="S119" s="408"/>
      <c r="T119" s="361"/>
      <c r="U119" s="362"/>
      <c r="V119" s="372" t="e">
        <f t="shared" ref="V119" si="159">H119/E119*1000</f>
        <v>#DIV/0!</v>
      </c>
      <c r="W119" s="372" t="e">
        <f t="shared" si="147"/>
        <v>#DIV/0!</v>
      </c>
      <c r="X119" s="396"/>
      <c r="Y119" s="397"/>
      <c r="Z119" s="393"/>
      <c r="AA119" s="571"/>
      <c r="AB119" s="394"/>
      <c r="AC119" s="394"/>
      <c r="AD119" s="394"/>
      <c r="AE119" s="394"/>
      <c r="AF119" s="394"/>
      <c r="AG119" s="394"/>
      <c r="AH119" s="394"/>
      <c r="AI119" s="394"/>
      <c r="AJ119" s="394"/>
      <c r="AK119" s="381"/>
      <c r="AL119" s="408"/>
      <c r="AM119" s="361"/>
      <c r="AN119" s="362"/>
      <c r="AO119" s="372" t="e">
        <f t="shared" ref="AO119" si="160">AA119/X119*1000</f>
        <v>#DIV/0!</v>
      </c>
      <c r="AP119" s="372" t="e">
        <f t="shared" si="148"/>
        <v>#DIV/0!</v>
      </c>
      <c r="AQ119" s="396"/>
      <c r="AR119" s="397"/>
      <c r="AS119" s="393"/>
      <c r="AT119" s="571"/>
      <c r="AU119" s="394"/>
      <c r="AV119" s="394"/>
      <c r="AW119" s="394"/>
      <c r="AX119" s="394"/>
      <c r="AY119" s="394"/>
      <c r="AZ119" s="394"/>
      <c r="BA119" s="394"/>
      <c r="BB119" s="394"/>
      <c r="BC119" s="394"/>
      <c r="BD119" s="381"/>
      <c r="BE119" s="408"/>
      <c r="BF119" s="361"/>
      <c r="BG119" s="362"/>
      <c r="BH119" s="372" t="e">
        <f t="shared" ref="BH119" si="161">AT119/AQ119*1000</f>
        <v>#DIV/0!</v>
      </c>
      <c r="BI119" s="372" t="e">
        <f t="shared" si="149"/>
        <v>#DIV/0!</v>
      </c>
    </row>
    <row r="120" spans="1:61" s="358" customFormat="1" x14ac:dyDescent="0.3">
      <c r="A120" s="359"/>
      <c r="B120" s="378"/>
      <c r="C120" s="407"/>
      <c r="D120" s="360"/>
      <c r="E120" s="393"/>
      <c r="F120" s="397"/>
      <c r="G120" s="393"/>
      <c r="H120" s="394"/>
      <c r="I120" s="394"/>
      <c r="J120" s="394"/>
      <c r="K120" s="394"/>
      <c r="L120" s="394"/>
      <c r="M120" s="394"/>
      <c r="N120" s="394"/>
      <c r="O120" s="394"/>
      <c r="P120" s="394"/>
      <c r="Q120" s="394"/>
      <c r="R120" s="385"/>
      <c r="S120" s="385"/>
      <c r="T120" s="385"/>
      <c r="U120" s="475"/>
      <c r="V120" s="395"/>
      <c r="W120" s="395" t="e">
        <f t="shared" si="147"/>
        <v>#DIV/0!</v>
      </c>
      <c r="X120" s="393"/>
      <c r="Y120" s="397"/>
      <c r="Z120" s="393"/>
      <c r="AA120" s="394"/>
      <c r="AB120" s="394"/>
      <c r="AC120" s="394"/>
      <c r="AD120" s="394"/>
      <c r="AE120" s="394"/>
      <c r="AF120" s="394"/>
      <c r="AG120" s="394"/>
      <c r="AH120" s="394"/>
      <c r="AI120" s="394"/>
      <c r="AJ120" s="394"/>
      <c r="AK120" s="385"/>
      <c r="AL120" s="385"/>
      <c r="AM120" s="385"/>
      <c r="AN120" s="475"/>
      <c r="AO120" s="395"/>
      <c r="AP120" s="395" t="e">
        <f t="shared" si="148"/>
        <v>#DIV/0!</v>
      </c>
      <c r="AQ120" s="393"/>
      <c r="AR120" s="397"/>
      <c r="AS120" s="393"/>
      <c r="AT120" s="394"/>
      <c r="AU120" s="394"/>
      <c r="AV120" s="394"/>
      <c r="AW120" s="394"/>
      <c r="AX120" s="394"/>
      <c r="AY120" s="394"/>
      <c r="AZ120" s="394"/>
      <c r="BA120" s="394"/>
      <c r="BB120" s="394"/>
      <c r="BC120" s="394"/>
      <c r="BD120" s="385"/>
      <c r="BE120" s="385"/>
      <c r="BF120" s="385"/>
      <c r="BG120" s="475"/>
      <c r="BH120" s="395"/>
      <c r="BI120" s="395" t="e">
        <f t="shared" si="149"/>
        <v>#DIV/0!</v>
      </c>
    </row>
    <row r="121" spans="1:61" s="46" customFormat="1" x14ac:dyDescent="0.3">
      <c r="A121" s="317"/>
      <c r="B121" s="312"/>
      <c r="C121" s="312"/>
      <c r="D121" s="370"/>
      <c r="E121" s="458"/>
      <c r="U121" s="315"/>
      <c r="X121" s="458"/>
      <c r="AN121" s="315"/>
      <c r="AQ121" s="458"/>
      <c r="BG121" s="315"/>
    </row>
    <row r="122" spans="1:61" s="46" customFormat="1" x14ac:dyDescent="0.3">
      <c r="A122" s="317"/>
      <c r="B122" s="312"/>
      <c r="C122" s="312"/>
      <c r="D122" s="370"/>
      <c r="E122" s="458"/>
      <c r="U122" s="315"/>
      <c r="X122" s="458"/>
      <c r="AN122" s="315"/>
      <c r="AQ122" s="458"/>
      <c r="BG122" s="315"/>
    </row>
    <row r="123" spans="1:61" s="46" customFormat="1" x14ac:dyDescent="0.3">
      <c r="A123" s="317"/>
      <c r="B123" s="312"/>
      <c r="C123" s="312"/>
      <c r="D123" s="370"/>
      <c r="E123" s="458"/>
      <c r="U123" s="315"/>
      <c r="X123" s="458"/>
      <c r="AN123" s="315"/>
      <c r="AQ123" s="458"/>
      <c r="BG123" s="315"/>
    </row>
    <row r="124" spans="1:61" s="46" customFormat="1" x14ac:dyDescent="0.3">
      <c r="A124" s="317"/>
      <c r="B124" s="312"/>
      <c r="C124" s="312"/>
      <c r="D124" s="370"/>
      <c r="E124" s="458"/>
      <c r="U124" s="315"/>
      <c r="X124" s="458"/>
      <c r="AN124" s="315"/>
      <c r="AQ124" s="458"/>
      <c r="BG124" s="315"/>
    </row>
    <row r="125" spans="1:61" s="46" customFormat="1" x14ac:dyDescent="0.3">
      <c r="A125" s="317"/>
      <c r="B125" s="312"/>
      <c r="C125" s="312"/>
      <c r="D125" s="370"/>
      <c r="E125" s="458"/>
      <c r="U125" s="315"/>
      <c r="X125" s="458"/>
      <c r="AN125" s="315"/>
      <c r="AQ125" s="458"/>
      <c r="BG125" s="315"/>
    </row>
    <row r="126" spans="1:61" s="46" customFormat="1" x14ac:dyDescent="0.3">
      <c r="A126" s="317"/>
      <c r="B126" s="312"/>
      <c r="C126" s="312"/>
      <c r="D126" s="370"/>
      <c r="E126" s="458"/>
      <c r="U126" s="315"/>
      <c r="X126" s="458"/>
      <c r="AN126" s="315"/>
      <c r="AQ126" s="458"/>
      <c r="BG126" s="315"/>
    </row>
    <row r="127" spans="1:61" s="46" customFormat="1" x14ac:dyDescent="0.3">
      <c r="A127" s="317"/>
      <c r="B127" s="312"/>
      <c r="C127" s="312"/>
      <c r="D127" s="370"/>
      <c r="E127" s="458"/>
      <c r="U127" s="315"/>
      <c r="X127" s="458"/>
      <c r="AN127" s="315"/>
      <c r="AQ127" s="458"/>
      <c r="BG127" s="315"/>
    </row>
    <row r="128" spans="1:61" s="46" customFormat="1" x14ac:dyDescent="0.3">
      <c r="A128" s="317"/>
      <c r="B128" s="312"/>
      <c r="C128" s="312"/>
      <c r="D128" s="370"/>
      <c r="E128" s="458"/>
      <c r="U128" s="315"/>
      <c r="X128" s="458"/>
      <c r="AN128" s="315"/>
      <c r="AQ128" s="458"/>
      <c r="BG128" s="315"/>
    </row>
    <row r="129" spans="1:59" s="46" customFormat="1" x14ac:dyDescent="0.3">
      <c r="A129" s="317"/>
      <c r="B129" s="312"/>
      <c r="C129" s="312"/>
      <c r="D129" s="370"/>
      <c r="E129" s="458"/>
      <c r="U129" s="315"/>
      <c r="X129" s="458"/>
      <c r="AN129" s="315"/>
      <c r="AQ129" s="458"/>
      <c r="BG129" s="315"/>
    </row>
    <row r="130" spans="1:59" s="46" customFormat="1" x14ac:dyDescent="0.3">
      <c r="A130" s="317"/>
      <c r="B130" s="312"/>
      <c r="C130" s="312"/>
      <c r="D130" s="370"/>
      <c r="E130" s="458"/>
      <c r="U130" s="315"/>
      <c r="X130" s="458"/>
      <c r="AN130" s="315"/>
      <c r="AQ130" s="458"/>
      <c r="BG130" s="315"/>
    </row>
    <row r="131" spans="1:59" s="46" customFormat="1" x14ac:dyDescent="0.3">
      <c r="A131" s="317"/>
      <c r="B131" s="312"/>
      <c r="C131" s="312"/>
      <c r="D131" s="370"/>
      <c r="E131" s="458"/>
      <c r="U131" s="315"/>
      <c r="X131" s="458"/>
      <c r="AN131" s="315"/>
      <c r="AQ131" s="458"/>
      <c r="BG131" s="315"/>
    </row>
    <row r="132" spans="1:59" s="46" customFormat="1" x14ac:dyDescent="0.3">
      <c r="A132" s="317"/>
      <c r="B132" s="312"/>
      <c r="C132" s="312"/>
      <c r="D132" s="370"/>
      <c r="E132" s="458"/>
      <c r="U132" s="315"/>
      <c r="X132" s="458"/>
      <c r="AN132" s="315"/>
      <c r="AQ132" s="458"/>
      <c r="BG132" s="315"/>
    </row>
    <row r="133" spans="1:59" s="46" customFormat="1" x14ac:dyDescent="0.3">
      <c r="A133" s="317"/>
      <c r="B133" s="312"/>
      <c r="C133" s="312"/>
      <c r="D133" s="370"/>
      <c r="E133" s="458"/>
      <c r="U133" s="315"/>
      <c r="X133" s="458"/>
      <c r="AN133" s="315"/>
      <c r="AQ133" s="458"/>
      <c r="BG133" s="315"/>
    </row>
    <row r="134" spans="1:59" s="46" customFormat="1" x14ac:dyDescent="0.3">
      <c r="A134" s="317"/>
      <c r="B134" s="312"/>
      <c r="C134" s="312"/>
      <c r="D134" s="370"/>
      <c r="E134" s="458"/>
      <c r="U134" s="315"/>
      <c r="X134" s="458"/>
      <c r="AN134" s="315"/>
      <c r="AQ134" s="458"/>
      <c r="BG134" s="315"/>
    </row>
    <row r="135" spans="1:59" s="46" customFormat="1" x14ac:dyDescent="0.3">
      <c r="A135" s="317"/>
      <c r="B135" s="312"/>
      <c r="C135" s="312"/>
      <c r="D135" s="370"/>
      <c r="E135" s="458"/>
      <c r="U135" s="315"/>
      <c r="X135" s="458"/>
      <c r="AN135" s="315"/>
      <c r="AQ135" s="458"/>
      <c r="BG135" s="315"/>
    </row>
    <row r="136" spans="1:59" s="46" customFormat="1" x14ac:dyDescent="0.3">
      <c r="A136" s="317"/>
      <c r="B136" s="312"/>
      <c r="C136" s="312"/>
      <c r="D136" s="370"/>
      <c r="E136" s="458"/>
      <c r="U136" s="315"/>
      <c r="X136" s="458"/>
      <c r="AN136" s="315"/>
      <c r="AQ136" s="458"/>
      <c r="BG136" s="315"/>
    </row>
    <row r="137" spans="1:59" s="46" customFormat="1" x14ac:dyDescent="0.3">
      <c r="A137" s="317"/>
      <c r="B137" s="312"/>
      <c r="C137" s="312"/>
      <c r="D137" s="370"/>
      <c r="E137" s="458"/>
      <c r="U137" s="315"/>
      <c r="X137" s="458"/>
      <c r="AN137" s="315"/>
      <c r="AQ137" s="458"/>
      <c r="BG137" s="315"/>
    </row>
    <row r="138" spans="1:59" s="46" customFormat="1" x14ac:dyDescent="0.3">
      <c r="A138" s="317"/>
      <c r="B138" s="312"/>
      <c r="C138" s="312"/>
      <c r="D138" s="370"/>
      <c r="E138" s="458"/>
      <c r="U138" s="315"/>
      <c r="X138" s="458"/>
      <c r="AN138" s="315"/>
      <c r="AQ138" s="458"/>
      <c r="BG138" s="315"/>
    </row>
    <row r="139" spans="1:59" s="46" customFormat="1" x14ac:dyDescent="0.3">
      <c r="A139" s="317"/>
      <c r="B139" s="312"/>
      <c r="C139" s="312"/>
      <c r="D139" s="370"/>
      <c r="E139" s="458"/>
      <c r="U139" s="315"/>
      <c r="X139" s="458"/>
      <c r="AN139" s="315"/>
      <c r="AQ139" s="458"/>
      <c r="BG139" s="315"/>
    </row>
    <row r="140" spans="1:59" s="46" customFormat="1" x14ac:dyDescent="0.3">
      <c r="A140" s="317"/>
      <c r="B140" s="312"/>
      <c r="C140" s="312"/>
      <c r="D140" s="370"/>
      <c r="E140" s="458"/>
      <c r="U140" s="315"/>
      <c r="X140" s="458"/>
      <c r="AN140" s="315"/>
      <c r="AQ140" s="458"/>
      <c r="BG140" s="315"/>
    </row>
    <row r="141" spans="1:59" s="46" customFormat="1" x14ac:dyDescent="0.3">
      <c r="A141" s="317"/>
      <c r="B141" s="312"/>
      <c r="C141" s="312"/>
      <c r="D141" s="370"/>
      <c r="E141" s="458"/>
      <c r="U141" s="315"/>
      <c r="X141" s="458"/>
      <c r="AN141" s="315"/>
      <c r="AQ141" s="458"/>
      <c r="BG141" s="315"/>
    </row>
    <row r="142" spans="1:59" s="46" customFormat="1" x14ac:dyDescent="0.3">
      <c r="A142" s="317"/>
      <c r="B142" s="312"/>
      <c r="C142" s="312"/>
      <c r="D142" s="370"/>
      <c r="E142" s="458"/>
      <c r="U142" s="315"/>
      <c r="X142" s="458"/>
      <c r="AN142" s="315"/>
      <c r="AQ142" s="458"/>
      <c r="BG142" s="315"/>
    </row>
    <row r="143" spans="1:59" s="46" customFormat="1" x14ac:dyDescent="0.3">
      <c r="A143" s="317"/>
      <c r="B143" s="312"/>
      <c r="C143" s="312"/>
      <c r="D143" s="370"/>
      <c r="E143" s="458"/>
      <c r="U143" s="315"/>
      <c r="X143" s="458"/>
      <c r="AN143" s="315"/>
      <c r="AQ143" s="458"/>
      <c r="BG143" s="315"/>
    </row>
    <row r="144" spans="1:59" s="46" customFormat="1" x14ac:dyDescent="0.3">
      <c r="A144" s="317"/>
      <c r="B144" s="312"/>
      <c r="C144" s="312"/>
      <c r="D144" s="370"/>
      <c r="E144" s="458"/>
      <c r="U144" s="315"/>
      <c r="X144" s="458"/>
      <c r="AN144" s="315"/>
      <c r="AQ144" s="458"/>
      <c r="BG144" s="315"/>
    </row>
    <row r="145" spans="1:59" s="46" customFormat="1" x14ac:dyDescent="0.3">
      <c r="A145" s="317"/>
      <c r="B145" s="312"/>
      <c r="C145" s="312"/>
      <c r="D145" s="370"/>
      <c r="E145" s="458"/>
      <c r="U145" s="315"/>
      <c r="X145" s="458"/>
      <c r="AN145" s="315"/>
      <c r="AQ145" s="458"/>
      <c r="BG145" s="315"/>
    </row>
    <row r="146" spans="1:59" s="46" customFormat="1" x14ac:dyDescent="0.3">
      <c r="A146" s="317"/>
      <c r="B146" s="312"/>
      <c r="C146" s="312"/>
      <c r="D146" s="370"/>
      <c r="E146" s="458"/>
      <c r="U146" s="315"/>
      <c r="X146" s="458"/>
      <c r="AN146" s="315"/>
      <c r="AQ146" s="458"/>
      <c r="BG146" s="315"/>
    </row>
    <row r="147" spans="1:59" s="46" customFormat="1" x14ac:dyDescent="0.3">
      <c r="A147" s="317"/>
      <c r="B147" s="312"/>
      <c r="C147" s="312"/>
      <c r="D147" s="370"/>
      <c r="E147" s="458"/>
      <c r="U147" s="315"/>
      <c r="X147" s="458"/>
      <c r="AN147" s="315"/>
      <c r="AQ147" s="458"/>
      <c r="BG147" s="315"/>
    </row>
    <row r="148" spans="1:59" s="46" customFormat="1" x14ac:dyDescent="0.3">
      <c r="A148" s="317"/>
      <c r="B148" s="312"/>
      <c r="C148" s="312"/>
      <c r="D148" s="370"/>
      <c r="E148" s="458"/>
      <c r="U148" s="315"/>
      <c r="X148" s="458"/>
      <c r="AN148" s="315"/>
      <c r="AQ148" s="458"/>
      <c r="BG148" s="315"/>
    </row>
    <row r="149" spans="1:59" s="46" customFormat="1" x14ac:dyDescent="0.3">
      <c r="A149" s="317"/>
      <c r="B149" s="312"/>
      <c r="C149" s="312"/>
      <c r="D149" s="370"/>
      <c r="E149" s="458"/>
      <c r="U149" s="315"/>
      <c r="X149" s="458"/>
      <c r="AN149" s="315"/>
      <c r="AQ149" s="458"/>
      <c r="BG149" s="315"/>
    </row>
    <row r="150" spans="1:59" s="46" customFormat="1" x14ac:dyDescent="0.3">
      <c r="A150" s="317"/>
      <c r="B150" s="312"/>
      <c r="C150" s="312"/>
      <c r="D150" s="370"/>
      <c r="E150" s="458"/>
      <c r="U150" s="315"/>
      <c r="X150" s="458"/>
      <c r="AN150" s="315"/>
      <c r="AQ150" s="458"/>
      <c r="BG150" s="315"/>
    </row>
    <row r="151" spans="1:59" s="46" customFormat="1" x14ac:dyDescent="0.3">
      <c r="A151" s="317"/>
      <c r="B151" s="312"/>
      <c r="C151" s="312"/>
      <c r="D151" s="370"/>
      <c r="E151" s="458"/>
      <c r="U151" s="315"/>
      <c r="X151" s="458"/>
      <c r="AN151" s="315"/>
      <c r="AQ151" s="458"/>
      <c r="BG151" s="315"/>
    </row>
    <row r="152" spans="1:59" s="46" customFormat="1" x14ac:dyDescent="0.3">
      <c r="A152" s="317"/>
      <c r="B152" s="312"/>
      <c r="C152" s="312"/>
      <c r="D152" s="370"/>
      <c r="E152" s="458"/>
      <c r="U152" s="315"/>
      <c r="X152" s="458"/>
      <c r="AN152" s="315"/>
      <c r="AQ152" s="458"/>
      <c r="BG152" s="315"/>
    </row>
    <row r="153" spans="1:59" s="46" customFormat="1" x14ac:dyDescent="0.3">
      <c r="A153" s="317"/>
      <c r="B153" s="312"/>
      <c r="C153" s="312"/>
      <c r="D153" s="370"/>
      <c r="E153" s="458"/>
      <c r="U153" s="315"/>
      <c r="X153" s="458"/>
      <c r="AN153" s="315"/>
      <c r="AQ153" s="458"/>
      <c r="BG153" s="315"/>
    </row>
    <row r="154" spans="1:59" s="46" customFormat="1" x14ac:dyDescent="0.3">
      <c r="A154" s="317"/>
      <c r="B154" s="312"/>
      <c r="C154" s="312"/>
      <c r="D154" s="370"/>
      <c r="E154" s="458"/>
      <c r="U154" s="315"/>
      <c r="X154" s="458"/>
      <c r="AN154" s="315"/>
      <c r="AQ154" s="458"/>
      <c r="BG154" s="315"/>
    </row>
    <row r="155" spans="1:59" s="46" customFormat="1" x14ac:dyDescent="0.3">
      <c r="A155" s="317"/>
      <c r="B155" s="312"/>
      <c r="C155" s="312"/>
      <c r="D155" s="370"/>
      <c r="E155" s="458"/>
      <c r="U155" s="315"/>
      <c r="X155" s="458"/>
      <c r="AN155" s="315"/>
      <c r="AQ155" s="458"/>
      <c r="BG155" s="315"/>
    </row>
    <row r="156" spans="1:59" s="46" customFormat="1" x14ac:dyDescent="0.3">
      <c r="A156" s="317"/>
      <c r="B156" s="312"/>
      <c r="C156" s="312"/>
      <c r="D156" s="370"/>
      <c r="E156" s="458"/>
      <c r="U156" s="315"/>
      <c r="X156" s="458"/>
      <c r="AN156" s="315"/>
      <c r="AQ156" s="458"/>
      <c r="BG156" s="315"/>
    </row>
    <row r="157" spans="1:59" s="46" customFormat="1" x14ac:dyDescent="0.3">
      <c r="A157" s="317"/>
      <c r="B157" s="312"/>
      <c r="C157" s="312"/>
      <c r="D157" s="370"/>
      <c r="E157" s="458"/>
      <c r="U157" s="315"/>
      <c r="X157" s="458"/>
      <c r="AN157" s="315"/>
      <c r="AQ157" s="458"/>
      <c r="BG157" s="315"/>
    </row>
    <row r="158" spans="1:59" s="46" customFormat="1" x14ac:dyDescent="0.3">
      <c r="A158" s="317"/>
      <c r="B158" s="312"/>
      <c r="C158" s="312"/>
      <c r="D158" s="370"/>
      <c r="E158" s="458"/>
      <c r="U158" s="315"/>
      <c r="X158" s="458"/>
      <c r="AN158" s="315"/>
      <c r="AQ158" s="458"/>
      <c r="BG158" s="315"/>
    </row>
    <row r="159" spans="1:59" s="46" customFormat="1" x14ac:dyDescent="0.3">
      <c r="A159" s="317"/>
      <c r="B159" s="312"/>
      <c r="C159" s="312"/>
      <c r="D159" s="370"/>
      <c r="E159" s="458"/>
      <c r="U159" s="315"/>
      <c r="X159" s="458"/>
      <c r="AN159" s="315"/>
      <c r="AQ159" s="458"/>
      <c r="BG159" s="315"/>
    </row>
    <row r="160" spans="1:59" s="46" customFormat="1" x14ac:dyDescent="0.3">
      <c r="A160" s="317"/>
      <c r="B160" s="312"/>
      <c r="C160" s="312"/>
      <c r="D160" s="370"/>
      <c r="E160" s="458"/>
      <c r="U160" s="315"/>
      <c r="X160" s="458"/>
      <c r="AN160" s="315"/>
      <c r="AQ160" s="458"/>
      <c r="BG160" s="315"/>
    </row>
    <row r="161" spans="1:59" s="46" customFormat="1" x14ac:dyDescent="0.3">
      <c r="A161" s="317"/>
      <c r="B161" s="312"/>
      <c r="C161" s="312"/>
      <c r="D161" s="370"/>
      <c r="E161" s="458"/>
      <c r="U161" s="315"/>
      <c r="X161" s="458"/>
      <c r="AN161" s="315"/>
      <c r="AQ161" s="458"/>
      <c r="BG161" s="315"/>
    </row>
    <row r="162" spans="1:59" s="46" customFormat="1" x14ac:dyDescent="0.3">
      <c r="A162" s="317"/>
      <c r="B162" s="312"/>
      <c r="C162" s="312"/>
      <c r="D162" s="370"/>
      <c r="E162" s="458"/>
      <c r="U162" s="315"/>
      <c r="X162" s="458"/>
      <c r="AN162" s="315"/>
      <c r="AQ162" s="458"/>
      <c r="BG162" s="315"/>
    </row>
    <row r="163" spans="1:59" s="46" customFormat="1" x14ac:dyDescent="0.3">
      <c r="A163" s="317"/>
      <c r="B163" s="312"/>
      <c r="C163" s="312"/>
      <c r="D163" s="370"/>
      <c r="E163" s="458"/>
      <c r="U163" s="315"/>
      <c r="X163" s="458"/>
      <c r="AN163" s="315"/>
      <c r="AQ163" s="458"/>
      <c r="BG163" s="315"/>
    </row>
    <row r="164" spans="1:59" s="46" customFormat="1" x14ac:dyDescent="0.3">
      <c r="A164" s="317"/>
      <c r="B164" s="312"/>
      <c r="C164" s="312"/>
      <c r="D164" s="370"/>
      <c r="E164" s="458"/>
      <c r="U164" s="315"/>
      <c r="X164" s="458"/>
      <c r="AN164" s="315"/>
      <c r="AQ164" s="458"/>
      <c r="BG164" s="315"/>
    </row>
    <row r="165" spans="1:59" s="46" customFormat="1" x14ac:dyDescent="0.3">
      <c r="A165" s="317"/>
      <c r="B165" s="312"/>
      <c r="C165" s="312"/>
      <c r="D165" s="370"/>
      <c r="E165" s="458"/>
      <c r="U165" s="315"/>
      <c r="X165" s="458"/>
      <c r="AN165" s="315"/>
      <c r="AQ165" s="458"/>
      <c r="BG165" s="315"/>
    </row>
    <row r="166" spans="1:59" s="46" customFormat="1" x14ac:dyDescent="0.3">
      <c r="A166" s="317"/>
      <c r="B166" s="312"/>
      <c r="C166" s="312"/>
      <c r="D166" s="370"/>
      <c r="E166" s="458"/>
      <c r="U166" s="315"/>
      <c r="X166" s="458"/>
      <c r="AN166" s="315"/>
      <c r="AQ166" s="458"/>
      <c r="BG166" s="315"/>
    </row>
    <row r="167" spans="1:59" s="46" customFormat="1" x14ac:dyDescent="0.3">
      <c r="A167" s="317"/>
      <c r="B167" s="312"/>
      <c r="C167" s="312"/>
      <c r="D167" s="370"/>
      <c r="E167" s="458"/>
      <c r="U167" s="315"/>
      <c r="X167" s="458"/>
      <c r="AN167" s="315"/>
      <c r="AQ167" s="458"/>
      <c r="BG167" s="315"/>
    </row>
    <row r="168" spans="1:59" s="46" customFormat="1" x14ac:dyDescent="0.3">
      <c r="A168" s="317"/>
      <c r="B168" s="312"/>
      <c r="C168" s="312"/>
      <c r="D168" s="370"/>
      <c r="E168" s="458"/>
      <c r="U168" s="315"/>
      <c r="X168" s="458"/>
      <c r="AN168" s="315"/>
      <c r="AQ168" s="458"/>
      <c r="BG168" s="315"/>
    </row>
    <row r="169" spans="1:59" s="46" customFormat="1" x14ac:dyDescent="0.3">
      <c r="A169" s="317"/>
      <c r="B169" s="312"/>
      <c r="C169" s="312"/>
      <c r="D169" s="370"/>
      <c r="E169" s="458"/>
      <c r="U169" s="315"/>
      <c r="X169" s="458"/>
      <c r="AN169" s="315"/>
      <c r="AQ169" s="458"/>
      <c r="BG169" s="315"/>
    </row>
    <row r="170" spans="1:59" s="46" customFormat="1" x14ac:dyDescent="0.3">
      <c r="A170" s="317"/>
      <c r="B170" s="312"/>
      <c r="C170" s="312"/>
      <c r="D170" s="370"/>
      <c r="E170" s="458"/>
      <c r="U170" s="315"/>
      <c r="X170" s="458"/>
      <c r="AN170" s="315"/>
      <c r="AQ170" s="458"/>
      <c r="BG170" s="315"/>
    </row>
    <row r="171" spans="1:59" s="46" customFormat="1" x14ac:dyDescent="0.3">
      <c r="A171" s="317"/>
      <c r="B171" s="312"/>
      <c r="C171" s="312"/>
      <c r="D171" s="370"/>
      <c r="E171" s="458"/>
      <c r="U171" s="315"/>
      <c r="X171" s="458"/>
      <c r="AN171" s="315"/>
      <c r="AQ171" s="458"/>
      <c r="BG171" s="315"/>
    </row>
    <row r="172" spans="1:59" s="46" customFormat="1" x14ac:dyDescent="0.3">
      <c r="A172" s="317"/>
      <c r="B172" s="312"/>
      <c r="C172" s="312"/>
      <c r="D172" s="370"/>
      <c r="E172" s="458"/>
      <c r="U172" s="315"/>
      <c r="X172" s="458"/>
      <c r="AN172" s="315"/>
      <c r="AQ172" s="458"/>
      <c r="BG172" s="315"/>
    </row>
    <row r="173" spans="1:59" s="46" customFormat="1" x14ac:dyDescent="0.3">
      <c r="A173" s="317"/>
      <c r="B173" s="312"/>
      <c r="C173" s="312"/>
      <c r="D173" s="370"/>
      <c r="E173" s="458"/>
      <c r="U173" s="315"/>
      <c r="X173" s="458"/>
      <c r="AN173" s="315"/>
      <c r="AQ173" s="458"/>
      <c r="BG173" s="315"/>
    </row>
    <row r="174" spans="1:59" s="46" customFormat="1" x14ac:dyDescent="0.3">
      <c r="A174" s="317"/>
      <c r="B174" s="312"/>
      <c r="C174" s="312"/>
      <c r="D174" s="370"/>
      <c r="E174" s="458"/>
      <c r="U174" s="315"/>
      <c r="X174" s="458"/>
      <c r="AN174" s="315"/>
      <c r="AQ174" s="458"/>
      <c r="BG174" s="315"/>
    </row>
    <row r="175" spans="1:59" s="46" customFormat="1" x14ac:dyDescent="0.3">
      <c r="A175" s="317"/>
      <c r="B175" s="312"/>
      <c r="C175" s="312"/>
      <c r="D175" s="370"/>
      <c r="E175" s="458"/>
      <c r="U175" s="315"/>
      <c r="X175" s="458"/>
      <c r="AN175" s="315"/>
      <c r="AQ175" s="458"/>
      <c r="BG175" s="315"/>
    </row>
    <row r="176" spans="1:59" s="46" customFormat="1" x14ac:dyDescent="0.3">
      <c r="A176" s="317"/>
      <c r="B176" s="312"/>
      <c r="C176" s="312"/>
      <c r="D176" s="370"/>
      <c r="E176" s="458"/>
      <c r="U176" s="315"/>
      <c r="X176" s="458"/>
      <c r="AN176" s="315"/>
      <c r="AQ176" s="458"/>
      <c r="BG176" s="315"/>
    </row>
    <row r="177" spans="1:59" s="46" customFormat="1" x14ac:dyDescent="0.3">
      <c r="A177" s="317"/>
      <c r="B177" s="312"/>
      <c r="C177" s="312"/>
      <c r="D177" s="370"/>
      <c r="E177" s="458"/>
      <c r="U177" s="315"/>
      <c r="X177" s="458"/>
      <c r="AN177" s="315"/>
      <c r="AQ177" s="458"/>
      <c r="BG177" s="315"/>
    </row>
    <row r="178" spans="1:59" s="46" customFormat="1" x14ac:dyDescent="0.3">
      <c r="A178" s="317"/>
      <c r="B178" s="312"/>
      <c r="C178" s="312"/>
      <c r="D178" s="370"/>
      <c r="E178" s="458"/>
      <c r="U178" s="315"/>
      <c r="X178" s="458"/>
      <c r="AN178" s="315"/>
      <c r="AQ178" s="458"/>
      <c r="BG178" s="315"/>
    </row>
    <row r="179" spans="1:59" s="46" customFormat="1" x14ac:dyDescent="0.3">
      <c r="A179" s="317"/>
      <c r="B179" s="312"/>
      <c r="C179" s="312"/>
      <c r="D179" s="370"/>
      <c r="E179" s="458"/>
      <c r="U179" s="315"/>
      <c r="X179" s="458"/>
      <c r="AN179" s="315"/>
      <c r="AQ179" s="458"/>
      <c r="BG179" s="315"/>
    </row>
    <row r="180" spans="1:59" s="46" customFormat="1" x14ac:dyDescent="0.3">
      <c r="A180" s="317"/>
      <c r="B180" s="312"/>
      <c r="C180" s="312"/>
      <c r="D180" s="370"/>
      <c r="E180" s="458"/>
      <c r="U180" s="315"/>
      <c r="X180" s="458"/>
      <c r="AN180" s="315"/>
      <c r="AQ180" s="458"/>
      <c r="BG180" s="315"/>
    </row>
    <row r="181" spans="1:59" s="46" customFormat="1" x14ac:dyDescent="0.3">
      <c r="A181" s="317"/>
      <c r="B181" s="312"/>
      <c r="C181" s="312"/>
      <c r="D181" s="370"/>
      <c r="E181" s="458"/>
      <c r="U181" s="315"/>
      <c r="X181" s="458"/>
      <c r="AN181" s="315"/>
      <c r="AQ181" s="458"/>
      <c r="BG181" s="315"/>
    </row>
    <row r="182" spans="1:59" s="46" customFormat="1" x14ac:dyDescent="0.3">
      <c r="A182" s="317"/>
      <c r="B182" s="312"/>
      <c r="C182" s="312"/>
      <c r="D182" s="370"/>
      <c r="E182" s="458"/>
      <c r="U182" s="315"/>
      <c r="X182" s="458"/>
      <c r="AN182" s="315"/>
      <c r="AQ182" s="458"/>
      <c r="BG182" s="315"/>
    </row>
    <row r="183" spans="1:59" s="46" customFormat="1" x14ac:dyDescent="0.3">
      <c r="A183" s="317"/>
      <c r="B183" s="312"/>
      <c r="C183" s="312"/>
      <c r="D183" s="370"/>
      <c r="E183" s="458"/>
      <c r="U183" s="315"/>
      <c r="X183" s="458"/>
      <c r="AN183" s="315"/>
      <c r="AQ183" s="458"/>
      <c r="BG183" s="315"/>
    </row>
    <row r="184" spans="1:59" s="46" customFormat="1" x14ac:dyDescent="0.3">
      <c r="A184" s="317"/>
      <c r="B184" s="312"/>
      <c r="C184" s="312"/>
      <c r="D184" s="370"/>
      <c r="E184" s="458"/>
      <c r="U184" s="315"/>
      <c r="X184" s="458"/>
      <c r="AN184" s="315"/>
      <c r="AQ184" s="458"/>
      <c r="BG184" s="315"/>
    </row>
    <row r="185" spans="1:59" s="46" customFormat="1" x14ac:dyDescent="0.3">
      <c r="A185" s="317"/>
      <c r="B185" s="312"/>
      <c r="C185" s="312"/>
      <c r="D185" s="370"/>
      <c r="E185" s="458"/>
      <c r="U185" s="315"/>
      <c r="X185" s="458"/>
      <c r="AN185" s="315"/>
      <c r="AQ185" s="458"/>
      <c r="BG185" s="315"/>
    </row>
    <row r="186" spans="1:59" s="46" customFormat="1" x14ac:dyDescent="0.3">
      <c r="A186" s="317"/>
      <c r="B186" s="312"/>
      <c r="C186" s="312"/>
      <c r="D186" s="370"/>
      <c r="E186" s="458"/>
      <c r="U186" s="315"/>
      <c r="X186" s="458"/>
      <c r="AN186" s="315"/>
      <c r="AQ186" s="458"/>
      <c r="BG186" s="315"/>
    </row>
    <row r="187" spans="1:59" s="46" customFormat="1" x14ac:dyDescent="0.3">
      <c r="A187" s="317"/>
      <c r="B187" s="312"/>
      <c r="C187" s="312"/>
      <c r="D187" s="370"/>
      <c r="E187" s="458"/>
      <c r="U187" s="315"/>
      <c r="X187" s="458"/>
      <c r="AN187" s="315"/>
      <c r="AQ187" s="458"/>
      <c r="BG187" s="315"/>
    </row>
    <row r="188" spans="1:59" s="46" customFormat="1" x14ac:dyDescent="0.3">
      <c r="A188" s="317"/>
      <c r="B188" s="312"/>
      <c r="C188" s="312"/>
      <c r="D188" s="370"/>
      <c r="E188" s="458"/>
      <c r="U188" s="315"/>
      <c r="X188" s="458"/>
      <c r="AN188" s="315"/>
      <c r="AQ188" s="458"/>
      <c r="BG188" s="315"/>
    </row>
    <row r="189" spans="1:59" s="46" customFormat="1" x14ac:dyDescent="0.3">
      <c r="A189" s="317"/>
      <c r="B189" s="312"/>
      <c r="C189" s="312"/>
      <c r="D189" s="370"/>
      <c r="E189" s="458"/>
      <c r="U189" s="315"/>
      <c r="X189" s="458"/>
      <c r="AN189" s="315"/>
      <c r="AQ189" s="458"/>
      <c r="BG189" s="315"/>
    </row>
    <row r="190" spans="1:59" s="46" customFormat="1" x14ac:dyDescent="0.3">
      <c r="A190" s="317"/>
      <c r="B190" s="312"/>
      <c r="C190" s="312"/>
      <c r="D190" s="370"/>
      <c r="E190" s="458"/>
      <c r="U190" s="315"/>
      <c r="X190" s="458"/>
      <c r="AN190" s="315"/>
      <c r="AQ190" s="458"/>
      <c r="BG190" s="315"/>
    </row>
    <row r="191" spans="1:59" s="46" customFormat="1" x14ac:dyDescent="0.3">
      <c r="A191" s="317"/>
      <c r="B191" s="312"/>
      <c r="C191" s="312"/>
      <c r="D191" s="370"/>
      <c r="E191" s="458"/>
      <c r="U191" s="315"/>
      <c r="X191" s="458"/>
      <c r="AN191" s="315"/>
      <c r="AQ191" s="458"/>
      <c r="BG191" s="315"/>
    </row>
    <row r="192" spans="1:59" s="46" customFormat="1" x14ac:dyDescent="0.3">
      <c r="A192" s="317"/>
      <c r="B192" s="312"/>
      <c r="C192" s="312"/>
      <c r="D192" s="370"/>
      <c r="E192" s="458"/>
      <c r="U192" s="315"/>
      <c r="X192" s="458"/>
      <c r="AN192" s="315"/>
      <c r="AQ192" s="458"/>
      <c r="BG192" s="315"/>
    </row>
    <row r="193" spans="1:59" s="46" customFormat="1" x14ac:dyDescent="0.3">
      <c r="A193" s="317"/>
      <c r="B193" s="312"/>
      <c r="C193" s="312"/>
      <c r="D193" s="370"/>
      <c r="E193" s="458"/>
      <c r="U193" s="315"/>
      <c r="X193" s="458"/>
      <c r="AN193" s="315"/>
      <c r="AQ193" s="458"/>
      <c r="BG193" s="315"/>
    </row>
    <row r="194" spans="1:59" s="46" customFormat="1" x14ac:dyDescent="0.3">
      <c r="A194" s="317"/>
      <c r="B194" s="312"/>
      <c r="C194" s="312"/>
      <c r="D194" s="370"/>
      <c r="E194" s="458"/>
      <c r="U194" s="315"/>
      <c r="X194" s="458"/>
      <c r="AN194" s="315"/>
      <c r="AQ194" s="458"/>
      <c r="BG194" s="315"/>
    </row>
    <row r="195" spans="1:59" s="46" customFormat="1" x14ac:dyDescent="0.3">
      <c r="A195" s="317"/>
      <c r="B195" s="312"/>
      <c r="C195" s="312"/>
      <c r="D195" s="370"/>
      <c r="E195" s="458"/>
      <c r="U195" s="315"/>
      <c r="X195" s="458"/>
      <c r="AN195" s="315"/>
      <c r="AQ195" s="458"/>
      <c r="BG195" s="315"/>
    </row>
    <row r="196" spans="1:59" s="46" customFormat="1" x14ac:dyDescent="0.3">
      <c r="A196" s="317"/>
      <c r="B196" s="312"/>
      <c r="C196" s="312"/>
      <c r="D196" s="370"/>
      <c r="E196" s="458"/>
      <c r="U196" s="315"/>
      <c r="X196" s="458"/>
      <c r="AN196" s="315"/>
      <c r="AQ196" s="458"/>
      <c r="BG196" s="315"/>
    </row>
    <row r="197" spans="1:59" s="46" customFormat="1" x14ac:dyDescent="0.3">
      <c r="A197" s="317"/>
      <c r="B197" s="312"/>
      <c r="C197" s="312"/>
      <c r="D197" s="370"/>
      <c r="E197" s="458"/>
      <c r="U197" s="315"/>
      <c r="X197" s="458"/>
      <c r="AN197" s="315"/>
      <c r="AQ197" s="458"/>
      <c r="BG197" s="315"/>
    </row>
    <row r="198" spans="1:59" s="46" customFormat="1" x14ac:dyDescent="0.3">
      <c r="A198" s="317"/>
      <c r="B198" s="312"/>
      <c r="C198" s="312"/>
      <c r="D198" s="370"/>
      <c r="E198" s="458"/>
      <c r="U198" s="315"/>
      <c r="X198" s="458"/>
      <c r="AN198" s="315"/>
      <c r="AQ198" s="458"/>
      <c r="BG198" s="315"/>
    </row>
    <row r="199" spans="1:59" s="46" customFormat="1" x14ac:dyDescent="0.3">
      <c r="A199" s="317"/>
      <c r="B199" s="312"/>
      <c r="C199" s="312"/>
      <c r="D199" s="370"/>
      <c r="E199" s="458"/>
      <c r="U199" s="315"/>
      <c r="X199" s="458"/>
      <c r="AN199" s="315"/>
      <c r="AQ199" s="458"/>
      <c r="BG199" s="315"/>
    </row>
    <row r="200" spans="1:59" s="46" customFormat="1" x14ac:dyDescent="0.3">
      <c r="A200" s="317"/>
      <c r="B200" s="312"/>
      <c r="C200" s="312"/>
      <c r="D200" s="370"/>
      <c r="E200" s="458"/>
      <c r="U200" s="315"/>
      <c r="X200" s="458"/>
      <c r="AN200" s="315"/>
      <c r="AQ200" s="458"/>
      <c r="BG200" s="315"/>
    </row>
    <row r="201" spans="1:59" s="46" customFormat="1" x14ac:dyDescent="0.3">
      <c r="A201" s="317"/>
      <c r="B201" s="312"/>
      <c r="C201" s="312"/>
      <c r="D201" s="370"/>
      <c r="E201" s="458"/>
      <c r="U201" s="315"/>
      <c r="X201" s="458"/>
      <c r="AN201" s="315"/>
      <c r="AQ201" s="458"/>
      <c r="BG201" s="315"/>
    </row>
    <row r="202" spans="1:59" s="46" customFormat="1" x14ac:dyDescent="0.3">
      <c r="A202" s="317"/>
      <c r="B202" s="312"/>
      <c r="C202" s="312"/>
      <c r="D202" s="370"/>
      <c r="E202" s="458"/>
      <c r="U202" s="315"/>
      <c r="X202" s="458"/>
      <c r="AN202" s="315"/>
      <c r="AQ202" s="458"/>
      <c r="BG202" s="315"/>
    </row>
    <row r="203" spans="1:59" s="46" customFormat="1" x14ac:dyDescent="0.3">
      <c r="A203" s="317"/>
      <c r="B203" s="312"/>
      <c r="C203" s="312"/>
      <c r="D203" s="370"/>
      <c r="E203" s="458"/>
      <c r="U203" s="315"/>
      <c r="X203" s="458"/>
      <c r="AN203" s="315"/>
      <c r="AQ203" s="458"/>
      <c r="BG203" s="315"/>
    </row>
    <row r="204" spans="1:59" s="46" customFormat="1" x14ac:dyDescent="0.3">
      <c r="A204" s="317"/>
      <c r="B204" s="312"/>
      <c r="C204" s="312"/>
      <c r="D204" s="370"/>
      <c r="E204" s="458"/>
      <c r="U204" s="315"/>
      <c r="X204" s="458"/>
      <c r="AN204" s="315"/>
      <c r="AQ204" s="458"/>
      <c r="BG204" s="315"/>
    </row>
    <row r="205" spans="1:59" s="46" customFormat="1" x14ac:dyDescent="0.3">
      <c r="A205" s="317"/>
      <c r="B205" s="312"/>
      <c r="C205" s="312"/>
      <c r="D205" s="370"/>
      <c r="E205" s="458"/>
      <c r="U205" s="315"/>
      <c r="X205" s="458"/>
      <c r="AN205" s="315"/>
      <c r="AQ205" s="458"/>
      <c r="BG205" s="315"/>
    </row>
    <row r="206" spans="1:59" s="46" customFormat="1" x14ac:dyDescent="0.3">
      <c r="A206" s="317"/>
      <c r="B206" s="312"/>
      <c r="C206" s="312"/>
      <c r="D206" s="370"/>
      <c r="E206" s="458"/>
      <c r="U206" s="315"/>
      <c r="X206" s="458"/>
      <c r="AN206" s="315"/>
      <c r="AQ206" s="458"/>
      <c r="BG206" s="315"/>
    </row>
    <row r="207" spans="1:59" s="46" customFormat="1" x14ac:dyDescent="0.3">
      <c r="A207" s="317"/>
      <c r="B207" s="312"/>
      <c r="C207" s="312"/>
      <c r="D207" s="370"/>
      <c r="E207" s="458"/>
      <c r="U207" s="315"/>
      <c r="X207" s="458"/>
      <c r="AN207" s="315"/>
      <c r="AQ207" s="458"/>
      <c r="BG207" s="315"/>
    </row>
    <row r="208" spans="1:59" s="46" customFormat="1" x14ac:dyDescent="0.3">
      <c r="A208" s="317"/>
      <c r="B208" s="312"/>
      <c r="C208" s="312"/>
      <c r="D208" s="370"/>
      <c r="E208" s="458"/>
      <c r="U208" s="315"/>
      <c r="X208" s="458"/>
      <c r="AN208" s="315"/>
      <c r="AQ208" s="458"/>
      <c r="BG208" s="315"/>
    </row>
    <row r="209" spans="1:59" s="46" customFormat="1" x14ac:dyDescent="0.3">
      <c r="A209" s="317"/>
      <c r="B209" s="312"/>
      <c r="C209" s="312"/>
      <c r="D209" s="370"/>
      <c r="E209" s="458"/>
      <c r="U209" s="315"/>
      <c r="X209" s="458"/>
      <c r="AN209" s="315"/>
      <c r="AQ209" s="458"/>
      <c r="BG209" s="315"/>
    </row>
    <row r="210" spans="1:59" s="46" customFormat="1" x14ac:dyDescent="0.3">
      <c r="A210" s="317"/>
      <c r="B210" s="312"/>
      <c r="C210" s="312"/>
      <c r="D210" s="370"/>
      <c r="E210" s="458"/>
      <c r="U210" s="315"/>
      <c r="X210" s="458"/>
      <c r="AN210" s="315"/>
      <c r="AQ210" s="458"/>
      <c r="BG210" s="315"/>
    </row>
    <row r="211" spans="1:59" s="46" customFormat="1" x14ac:dyDescent="0.3">
      <c r="A211" s="317"/>
      <c r="B211" s="312"/>
      <c r="C211" s="312"/>
      <c r="D211" s="370"/>
      <c r="E211" s="458"/>
      <c r="U211" s="315"/>
      <c r="X211" s="458"/>
      <c r="AN211" s="315"/>
      <c r="AQ211" s="458"/>
      <c r="BG211" s="315"/>
    </row>
    <row r="212" spans="1:59" s="46" customFormat="1" x14ac:dyDescent="0.3">
      <c r="A212" s="317"/>
      <c r="B212" s="312"/>
      <c r="C212" s="312"/>
      <c r="D212" s="370"/>
      <c r="E212" s="458"/>
      <c r="U212" s="315"/>
      <c r="X212" s="458"/>
      <c r="AN212" s="315"/>
      <c r="AQ212" s="458"/>
      <c r="BG212" s="315"/>
    </row>
    <row r="213" spans="1:59" s="46" customFormat="1" x14ac:dyDescent="0.3">
      <c r="A213" s="317"/>
      <c r="B213" s="312"/>
      <c r="C213" s="312"/>
      <c r="D213" s="370"/>
      <c r="E213" s="458"/>
      <c r="U213" s="315"/>
      <c r="X213" s="458"/>
      <c r="AN213" s="315"/>
      <c r="AQ213" s="458"/>
      <c r="BG213" s="315"/>
    </row>
    <row r="214" spans="1:59" s="46" customFormat="1" x14ac:dyDescent="0.3">
      <c r="A214" s="317"/>
      <c r="B214" s="312"/>
      <c r="C214" s="312"/>
      <c r="D214" s="370"/>
      <c r="E214" s="458"/>
      <c r="U214" s="315"/>
      <c r="X214" s="458"/>
      <c r="AN214" s="315"/>
      <c r="AQ214" s="458"/>
      <c r="BG214" s="315"/>
    </row>
    <row r="215" spans="1:59" s="46" customFormat="1" x14ac:dyDescent="0.3">
      <c r="A215" s="317"/>
      <c r="B215" s="312"/>
      <c r="C215" s="312"/>
      <c r="D215" s="370"/>
      <c r="E215" s="458"/>
      <c r="U215" s="315"/>
      <c r="X215" s="458"/>
      <c r="AN215" s="315"/>
      <c r="AQ215" s="458"/>
      <c r="BG215" s="315"/>
    </row>
    <row r="216" spans="1:59" s="46" customFormat="1" x14ac:dyDescent="0.3">
      <c r="A216" s="317"/>
      <c r="B216" s="312"/>
      <c r="C216" s="312"/>
      <c r="D216" s="370"/>
      <c r="E216" s="458"/>
      <c r="U216" s="315"/>
      <c r="X216" s="458"/>
      <c r="AN216" s="315"/>
      <c r="AQ216" s="458"/>
      <c r="BG216" s="315"/>
    </row>
    <row r="217" spans="1:59" s="46" customFormat="1" x14ac:dyDescent="0.3">
      <c r="A217" s="317"/>
      <c r="B217" s="312"/>
      <c r="C217" s="312"/>
      <c r="D217" s="370"/>
      <c r="E217" s="458"/>
      <c r="U217" s="315"/>
      <c r="X217" s="458"/>
      <c r="AN217" s="315"/>
      <c r="AQ217" s="458"/>
      <c r="BG217" s="315"/>
    </row>
    <row r="218" spans="1:59" s="46" customFormat="1" x14ac:dyDescent="0.3">
      <c r="A218" s="317"/>
      <c r="B218" s="312"/>
      <c r="C218" s="312"/>
      <c r="D218" s="370"/>
      <c r="E218" s="458"/>
      <c r="U218" s="315"/>
      <c r="X218" s="458"/>
      <c r="AN218" s="315"/>
      <c r="AQ218" s="458"/>
      <c r="BG218" s="315"/>
    </row>
    <row r="219" spans="1:59" s="46" customFormat="1" x14ac:dyDescent="0.3">
      <c r="A219" s="317"/>
      <c r="B219" s="312"/>
      <c r="C219" s="312"/>
      <c r="D219" s="370"/>
      <c r="E219" s="458"/>
      <c r="U219" s="315"/>
      <c r="X219" s="458"/>
      <c r="AN219" s="315"/>
      <c r="AQ219" s="458"/>
      <c r="BG219" s="315"/>
    </row>
    <row r="220" spans="1:59" s="46" customFormat="1" x14ac:dyDescent="0.3">
      <c r="A220" s="317"/>
      <c r="B220" s="312"/>
      <c r="C220" s="312"/>
      <c r="D220" s="370"/>
      <c r="E220" s="458"/>
      <c r="U220" s="315"/>
      <c r="X220" s="458"/>
      <c r="AN220" s="315"/>
      <c r="AQ220" s="458"/>
      <c r="BG220" s="315"/>
    </row>
    <row r="221" spans="1:59" s="46" customFormat="1" x14ac:dyDescent="0.3">
      <c r="A221" s="317"/>
      <c r="B221" s="312"/>
      <c r="C221" s="312"/>
      <c r="D221" s="370"/>
      <c r="E221" s="458"/>
      <c r="U221" s="315"/>
      <c r="X221" s="458"/>
      <c r="AN221" s="315"/>
      <c r="AQ221" s="458"/>
      <c r="BG221" s="315"/>
    </row>
    <row r="222" spans="1:59" s="46" customFormat="1" x14ac:dyDescent="0.3">
      <c r="A222" s="317"/>
      <c r="B222" s="312"/>
      <c r="C222" s="312"/>
      <c r="D222" s="370"/>
      <c r="E222" s="458"/>
      <c r="U222" s="315"/>
      <c r="X222" s="458"/>
      <c r="AN222" s="315"/>
      <c r="AQ222" s="458"/>
      <c r="BG222" s="315"/>
    </row>
    <row r="223" spans="1:59" s="46" customFormat="1" x14ac:dyDescent="0.3">
      <c r="A223" s="317"/>
      <c r="B223" s="312"/>
      <c r="C223" s="312"/>
      <c r="D223" s="370"/>
      <c r="E223" s="458"/>
      <c r="U223" s="315"/>
      <c r="X223" s="458"/>
      <c r="AN223" s="315"/>
      <c r="AQ223" s="458"/>
      <c r="BG223" s="315"/>
    </row>
    <row r="224" spans="1:59" s="46" customFormat="1" x14ac:dyDescent="0.3">
      <c r="A224" s="317"/>
      <c r="B224" s="312"/>
      <c r="C224" s="312"/>
      <c r="D224" s="370"/>
      <c r="E224" s="458"/>
      <c r="U224" s="315"/>
      <c r="X224" s="458"/>
      <c r="AN224" s="315"/>
      <c r="AQ224" s="458"/>
      <c r="BG224" s="315"/>
    </row>
    <row r="225" spans="1:59" s="46" customFormat="1" x14ac:dyDescent="0.3">
      <c r="A225" s="317"/>
      <c r="B225" s="312"/>
      <c r="C225" s="312"/>
      <c r="D225" s="370"/>
      <c r="E225" s="458"/>
      <c r="U225" s="315"/>
      <c r="X225" s="458"/>
      <c r="AN225" s="315"/>
      <c r="AQ225" s="458"/>
      <c r="BG225" s="315"/>
    </row>
    <row r="226" spans="1:59" s="46" customFormat="1" x14ac:dyDescent="0.3">
      <c r="A226" s="317"/>
      <c r="B226" s="312"/>
      <c r="C226" s="312"/>
      <c r="D226" s="370"/>
      <c r="E226" s="458"/>
      <c r="U226" s="315"/>
      <c r="X226" s="458"/>
      <c r="AN226" s="315"/>
      <c r="AQ226" s="458"/>
      <c r="BG226" s="315"/>
    </row>
    <row r="227" spans="1:59" s="46" customFormat="1" x14ac:dyDescent="0.3">
      <c r="A227" s="317"/>
      <c r="B227" s="312"/>
      <c r="C227" s="312"/>
      <c r="D227" s="370"/>
      <c r="E227" s="458"/>
      <c r="U227" s="315"/>
      <c r="X227" s="458"/>
      <c r="AN227" s="315"/>
      <c r="AQ227" s="458"/>
      <c r="BG227" s="315"/>
    </row>
    <row r="228" spans="1:59" s="46" customFormat="1" x14ac:dyDescent="0.3">
      <c r="A228" s="317"/>
      <c r="B228" s="312"/>
      <c r="C228" s="312"/>
      <c r="D228" s="370"/>
      <c r="E228" s="458"/>
      <c r="U228" s="315"/>
      <c r="X228" s="458"/>
      <c r="AN228" s="315"/>
      <c r="AQ228" s="458"/>
      <c r="BG228" s="315"/>
    </row>
    <row r="229" spans="1:59" s="46" customFormat="1" x14ac:dyDescent="0.3">
      <c r="A229" s="317"/>
      <c r="B229" s="312"/>
      <c r="C229" s="312"/>
      <c r="D229" s="370"/>
      <c r="E229" s="458"/>
      <c r="U229" s="315"/>
      <c r="X229" s="458"/>
      <c r="AN229" s="315"/>
      <c r="AQ229" s="458"/>
      <c r="BG229" s="315"/>
    </row>
    <row r="230" spans="1:59" s="46" customFormat="1" x14ac:dyDescent="0.3">
      <c r="A230" s="317"/>
      <c r="B230" s="312"/>
      <c r="C230" s="312"/>
      <c r="D230" s="370"/>
      <c r="E230" s="458"/>
      <c r="U230" s="315"/>
      <c r="X230" s="458"/>
      <c r="AN230" s="315"/>
      <c r="AQ230" s="458"/>
      <c r="BG230" s="315"/>
    </row>
    <row r="231" spans="1:59" s="46" customFormat="1" x14ac:dyDescent="0.3">
      <c r="A231" s="317"/>
      <c r="B231" s="312"/>
      <c r="C231" s="312"/>
      <c r="D231" s="370"/>
      <c r="E231" s="458"/>
      <c r="U231" s="315"/>
      <c r="X231" s="458"/>
      <c r="AN231" s="315"/>
      <c r="AQ231" s="458"/>
      <c r="BG231" s="315"/>
    </row>
    <row r="232" spans="1:59" s="46" customFormat="1" x14ac:dyDescent="0.3">
      <c r="A232" s="317"/>
      <c r="B232" s="312"/>
      <c r="C232" s="312"/>
      <c r="D232" s="370"/>
      <c r="E232" s="458"/>
      <c r="U232" s="315"/>
      <c r="X232" s="458"/>
      <c r="AN232" s="315"/>
      <c r="AQ232" s="458"/>
      <c r="BG232" s="315"/>
    </row>
    <row r="233" spans="1:59" s="46" customFormat="1" x14ac:dyDescent="0.3">
      <c r="A233" s="317"/>
      <c r="B233" s="312"/>
      <c r="C233" s="312"/>
      <c r="D233" s="370"/>
      <c r="E233" s="458"/>
      <c r="U233" s="315"/>
      <c r="X233" s="458"/>
      <c r="AN233" s="315"/>
      <c r="AQ233" s="458"/>
      <c r="BG233" s="315"/>
    </row>
    <row r="234" spans="1:59" s="46" customFormat="1" x14ac:dyDescent="0.3">
      <c r="A234" s="317"/>
      <c r="B234" s="312"/>
      <c r="C234" s="312"/>
      <c r="D234" s="370"/>
      <c r="E234" s="458"/>
      <c r="U234" s="315"/>
      <c r="X234" s="458"/>
      <c r="AN234" s="315"/>
      <c r="AQ234" s="458"/>
      <c r="BG234" s="315"/>
    </row>
    <row r="235" spans="1:59" s="46" customFormat="1" x14ac:dyDescent="0.3">
      <c r="A235" s="317"/>
      <c r="B235" s="312"/>
      <c r="C235" s="312"/>
      <c r="D235" s="370"/>
      <c r="E235" s="458"/>
      <c r="U235" s="315"/>
      <c r="X235" s="458"/>
      <c r="AN235" s="315"/>
      <c r="AQ235" s="458"/>
      <c r="BG235" s="315"/>
    </row>
    <row r="236" spans="1:59" s="46" customFormat="1" x14ac:dyDescent="0.3">
      <c r="A236" s="317"/>
      <c r="D236" s="370"/>
      <c r="E236" s="458"/>
      <c r="U236" s="315"/>
      <c r="X236" s="458"/>
      <c r="AN236" s="315"/>
      <c r="AQ236" s="458"/>
      <c r="BG236" s="315"/>
    </row>
    <row r="237" spans="1:59" s="46" customFormat="1" x14ac:dyDescent="0.3">
      <c r="A237" s="317"/>
      <c r="D237" s="370"/>
      <c r="E237" s="458"/>
      <c r="U237" s="315"/>
      <c r="X237" s="458"/>
      <c r="AN237" s="315"/>
      <c r="AQ237" s="458"/>
      <c r="BG237" s="315"/>
    </row>
    <row r="238" spans="1:59" s="46" customFormat="1" x14ac:dyDescent="0.3">
      <c r="A238" s="317"/>
      <c r="D238" s="370"/>
      <c r="E238" s="458"/>
      <c r="U238" s="315"/>
      <c r="X238" s="458"/>
      <c r="AN238" s="315"/>
      <c r="AQ238" s="458"/>
      <c r="BG238" s="315"/>
    </row>
    <row r="239" spans="1:59" s="46" customFormat="1" x14ac:dyDescent="0.3">
      <c r="A239" s="317"/>
      <c r="D239" s="370"/>
      <c r="E239" s="458"/>
      <c r="U239" s="315"/>
      <c r="X239" s="458"/>
      <c r="AN239" s="315"/>
      <c r="AQ239" s="458"/>
      <c r="BG239" s="315"/>
    </row>
    <row r="240" spans="1:59" s="46" customFormat="1" x14ac:dyDescent="0.3">
      <c r="A240" s="317"/>
      <c r="B240" s="312"/>
      <c r="C240" s="312"/>
      <c r="D240" s="370"/>
      <c r="E240" s="458"/>
      <c r="U240" s="315"/>
      <c r="X240" s="458"/>
      <c r="AN240" s="315"/>
      <c r="AQ240" s="458"/>
      <c r="BG240" s="315"/>
    </row>
    <row r="241" spans="1:59" s="46" customFormat="1" x14ac:dyDescent="0.3">
      <c r="A241" s="317"/>
      <c r="B241" s="312"/>
      <c r="C241" s="312"/>
      <c r="D241" s="370"/>
      <c r="E241" s="458"/>
      <c r="U241" s="315"/>
      <c r="X241" s="458"/>
      <c r="AN241" s="315"/>
      <c r="AQ241" s="458"/>
      <c r="BG241" s="315"/>
    </row>
    <row r="242" spans="1:59" s="46" customFormat="1" x14ac:dyDescent="0.3">
      <c r="A242" s="317"/>
      <c r="B242" s="312"/>
      <c r="C242" s="312"/>
      <c r="D242" s="370"/>
      <c r="E242" s="458"/>
      <c r="U242" s="315"/>
      <c r="X242" s="458"/>
      <c r="AN242" s="315"/>
      <c r="AQ242" s="458"/>
      <c r="BG242" s="315"/>
    </row>
    <row r="243" spans="1:59" s="46" customFormat="1" x14ac:dyDescent="0.3">
      <c r="A243" s="317"/>
      <c r="B243" s="312"/>
      <c r="C243" s="312"/>
      <c r="D243" s="370"/>
      <c r="E243" s="458"/>
      <c r="U243" s="315"/>
      <c r="X243" s="458"/>
      <c r="AN243" s="315"/>
      <c r="AQ243" s="458"/>
      <c r="BG243" s="315"/>
    </row>
    <row r="244" spans="1:59" s="46" customFormat="1" x14ac:dyDescent="0.3">
      <c r="A244" s="317"/>
      <c r="B244" s="312"/>
      <c r="C244" s="312"/>
      <c r="D244" s="370"/>
      <c r="E244" s="458"/>
      <c r="U244" s="315"/>
      <c r="X244" s="458"/>
      <c r="AN244" s="315"/>
      <c r="AQ244" s="458"/>
      <c r="BG244" s="315"/>
    </row>
    <row r="245" spans="1:59" s="46" customFormat="1" x14ac:dyDescent="0.3">
      <c r="A245" s="317"/>
      <c r="B245" s="312"/>
      <c r="C245" s="312"/>
      <c r="D245" s="370"/>
      <c r="E245" s="458"/>
      <c r="U245" s="315"/>
      <c r="X245" s="458"/>
      <c r="AN245" s="315"/>
      <c r="AQ245" s="458"/>
      <c r="BG245" s="315"/>
    </row>
    <row r="246" spans="1:59" s="46" customFormat="1" x14ac:dyDescent="0.3">
      <c r="A246" s="317"/>
      <c r="B246" s="312"/>
      <c r="C246" s="312"/>
      <c r="D246" s="370"/>
      <c r="E246" s="458"/>
      <c r="U246" s="315"/>
      <c r="X246" s="458"/>
      <c r="AN246" s="315"/>
      <c r="AQ246" s="458"/>
      <c r="BG246" s="315"/>
    </row>
    <row r="247" spans="1:59" s="46" customFormat="1" x14ac:dyDescent="0.3">
      <c r="A247" s="317"/>
      <c r="B247" s="312"/>
      <c r="C247" s="312"/>
      <c r="D247" s="370"/>
      <c r="E247" s="458"/>
      <c r="U247" s="315"/>
      <c r="X247" s="458"/>
      <c r="AN247" s="315"/>
      <c r="AQ247" s="458"/>
      <c r="BG247" s="315"/>
    </row>
    <row r="248" spans="1:59" s="46" customFormat="1" x14ac:dyDescent="0.3">
      <c r="A248" s="317"/>
      <c r="B248" s="312"/>
      <c r="C248" s="312"/>
      <c r="D248" s="370"/>
      <c r="E248" s="458"/>
      <c r="U248" s="315"/>
      <c r="X248" s="458"/>
      <c r="AN248" s="315"/>
      <c r="AQ248" s="458"/>
      <c r="BG248" s="315"/>
    </row>
    <row r="249" spans="1:59" s="46" customFormat="1" x14ac:dyDescent="0.3">
      <c r="A249" s="317"/>
      <c r="B249" s="312"/>
      <c r="C249" s="312"/>
      <c r="D249" s="370"/>
      <c r="E249" s="458"/>
      <c r="U249" s="315"/>
      <c r="X249" s="458"/>
      <c r="AN249" s="315"/>
      <c r="AQ249" s="458"/>
      <c r="BG249" s="315"/>
    </row>
    <row r="250" spans="1:59" s="46" customFormat="1" x14ac:dyDescent="0.3">
      <c r="A250" s="317"/>
      <c r="B250" s="312"/>
      <c r="C250" s="312"/>
      <c r="D250" s="370"/>
      <c r="E250" s="458"/>
      <c r="U250" s="315"/>
      <c r="X250" s="458"/>
      <c r="AN250" s="315"/>
      <c r="AQ250" s="458"/>
      <c r="BG250" s="315"/>
    </row>
    <row r="251" spans="1:59" s="46" customFormat="1" x14ac:dyDescent="0.3">
      <c r="A251" s="317"/>
      <c r="B251" s="312"/>
      <c r="C251" s="312"/>
      <c r="D251" s="370"/>
      <c r="E251" s="458"/>
      <c r="U251" s="315"/>
      <c r="X251" s="458"/>
      <c r="AN251" s="315"/>
      <c r="AQ251" s="458"/>
      <c r="BG251" s="315"/>
    </row>
    <row r="252" spans="1:59" s="46" customFormat="1" x14ac:dyDescent="0.3">
      <c r="A252" s="317"/>
      <c r="B252" s="312"/>
      <c r="C252" s="312"/>
      <c r="D252" s="370"/>
      <c r="E252" s="458"/>
      <c r="U252" s="315"/>
      <c r="X252" s="458"/>
      <c r="AN252" s="315"/>
      <c r="AQ252" s="458"/>
      <c r="BG252" s="315"/>
    </row>
    <row r="253" spans="1:59" s="46" customFormat="1" x14ac:dyDescent="0.3">
      <c r="A253" s="317"/>
      <c r="B253" s="312"/>
      <c r="C253" s="312"/>
      <c r="D253" s="370"/>
      <c r="E253" s="458"/>
      <c r="U253" s="315"/>
      <c r="X253" s="458"/>
      <c r="AN253" s="315"/>
      <c r="AQ253" s="458"/>
      <c r="BG253" s="315"/>
    </row>
    <row r="254" spans="1:59" s="46" customFormat="1" x14ac:dyDescent="0.3">
      <c r="A254" s="317"/>
      <c r="B254" s="312"/>
      <c r="C254" s="312"/>
      <c r="D254" s="370"/>
      <c r="E254" s="458"/>
      <c r="U254" s="315"/>
      <c r="X254" s="458"/>
      <c r="AN254" s="315"/>
      <c r="AQ254" s="458"/>
      <c r="BG254" s="315"/>
    </row>
    <row r="255" spans="1:59" s="46" customFormat="1" x14ac:dyDescent="0.3">
      <c r="A255" s="317"/>
      <c r="B255" s="312"/>
      <c r="C255" s="312"/>
      <c r="D255" s="370"/>
      <c r="E255" s="458"/>
      <c r="U255" s="315"/>
      <c r="X255" s="458"/>
      <c r="AN255" s="315"/>
      <c r="AQ255" s="458"/>
      <c r="BG255" s="315"/>
    </row>
    <row r="256" spans="1:59" s="46" customFormat="1" x14ac:dyDescent="0.3">
      <c r="A256" s="317"/>
      <c r="B256" s="312"/>
      <c r="C256" s="312"/>
      <c r="D256" s="370"/>
      <c r="E256" s="458"/>
      <c r="U256" s="315"/>
      <c r="X256" s="458"/>
      <c r="AN256" s="315"/>
      <c r="AQ256" s="458"/>
      <c r="BG256" s="315"/>
    </row>
    <row r="257" spans="1:59" s="46" customFormat="1" x14ac:dyDescent="0.3">
      <c r="A257" s="317"/>
      <c r="B257" s="312"/>
      <c r="C257" s="312"/>
      <c r="D257" s="370"/>
      <c r="E257" s="458"/>
      <c r="U257" s="315"/>
      <c r="X257" s="458"/>
      <c r="AN257" s="315"/>
      <c r="AQ257" s="458"/>
      <c r="BG257" s="315"/>
    </row>
    <row r="258" spans="1:59" s="46" customFormat="1" x14ac:dyDescent="0.3">
      <c r="A258" s="317"/>
      <c r="B258" s="312"/>
      <c r="C258" s="312"/>
      <c r="D258" s="370"/>
      <c r="E258" s="458"/>
      <c r="U258" s="315"/>
      <c r="X258" s="458"/>
      <c r="AN258" s="315"/>
      <c r="AQ258" s="458"/>
      <c r="BG258" s="315"/>
    </row>
    <row r="259" spans="1:59" s="46" customFormat="1" x14ac:dyDescent="0.3">
      <c r="A259" s="317"/>
      <c r="B259" s="312"/>
      <c r="C259" s="312"/>
      <c r="D259" s="370"/>
      <c r="E259" s="458"/>
      <c r="U259" s="315"/>
      <c r="X259" s="458"/>
      <c r="AN259" s="315"/>
      <c r="AQ259" s="458"/>
      <c r="BG259" s="315"/>
    </row>
    <row r="260" spans="1:59" s="46" customFormat="1" x14ac:dyDescent="0.3">
      <c r="A260" s="317"/>
      <c r="B260" s="312"/>
      <c r="C260" s="312"/>
      <c r="D260" s="370"/>
      <c r="E260" s="458"/>
      <c r="U260" s="315"/>
      <c r="X260" s="458"/>
      <c r="AN260" s="315"/>
      <c r="AQ260" s="458"/>
      <c r="BG260" s="315"/>
    </row>
    <row r="261" spans="1:59" s="46" customFormat="1" x14ac:dyDescent="0.3">
      <c r="A261" s="317"/>
      <c r="B261" s="312"/>
      <c r="C261" s="312"/>
      <c r="D261" s="370"/>
      <c r="E261" s="458"/>
      <c r="U261" s="315"/>
      <c r="X261" s="458"/>
      <c r="AN261" s="315"/>
      <c r="AQ261" s="458"/>
      <c r="BG261" s="315"/>
    </row>
    <row r="262" spans="1:59" s="46" customFormat="1" x14ac:dyDescent="0.3">
      <c r="A262" s="317"/>
      <c r="B262" s="312"/>
      <c r="C262" s="312"/>
      <c r="D262" s="370"/>
      <c r="E262" s="458"/>
      <c r="U262" s="315"/>
      <c r="X262" s="458"/>
      <c r="AN262" s="315"/>
      <c r="AQ262" s="458"/>
      <c r="BG262" s="315"/>
    </row>
    <row r="263" spans="1:59" s="46" customFormat="1" x14ac:dyDescent="0.3">
      <c r="A263" s="317"/>
      <c r="B263" s="312"/>
      <c r="C263" s="312"/>
      <c r="D263" s="370"/>
      <c r="E263" s="458"/>
      <c r="U263" s="315"/>
      <c r="X263" s="458"/>
      <c r="AN263" s="315"/>
      <c r="AQ263" s="458"/>
      <c r="BG263" s="315"/>
    </row>
    <row r="264" spans="1:59" s="46" customFormat="1" x14ac:dyDescent="0.3">
      <c r="A264" s="317"/>
      <c r="B264" s="312"/>
      <c r="C264" s="312"/>
      <c r="D264" s="370"/>
      <c r="E264" s="458"/>
      <c r="U264" s="315"/>
      <c r="X264" s="458"/>
      <c r="AN264" s="315"/>
      <c r="AQ264" s="458"/>
      <c r="BG264" s="315"/>
    </row>
    <row r="265" spans="1:59" s="46" customFormat="1" x14ac:dyDescent="0.3">
      <c r="A265" s="317"/>
      <c r="B265" s="312"/>
      <c r="C265" s="312"/>
      <c r="D265" s="370"/>
      <c r="E265" s="458"/>
      <c r="U265" s="315"/>
      <c r="X265" s="458"/>
      <c r="AN265" s="315"/>
      <c r="AQ265" s="458"/>
      <c r="BG265" s="315"/>
    </row>
    <row r="266" spans="1:59" s="46" customFormat="1" x14ac:dyDescent="0.3">
      <c r="A266" s="317"/>
      <c r="B266" s="312"/>
      <c r="C266" s="312"/>
      <c r="D266" s="370"/>
      <c r="E266" s="458"/>
      <c r="U266" s="315"/>
      <c r="X266" s="458"/>
      <c r="AN266" s="315"/>
      <c r="AQ266" s="458"/>
      <c r="BG266" s="315"/>
    </row>
    <row r="267" spans="1:59" s="46" customFormat="1" x14ac:dyDescent="0.3">
      <c r="A267" s="317"/>
      <c r="B267" s="312"/>
      <c r="C267" s="312"/>
      <c r="D267" s="370"/>
      <c r="E267" s="458"/>
      <c r="U267" s="315"/>
      <c r="X267" s="458"/>
      <c r="AN267" s="315"/>
      <c r="AQ267" s="458"/>
      <c r="BG267" s="315"/>
    </row>
    <row r="268" spans="1:59" s="46" customFormat="1" x14ac:dyDescent="0.3">
      <c r="A268" s="317"/>
      <c r="B268" s="312"/>
      <c r="C268" s="312"/>
      <c r="D268" s="370"/>
      <c r="E268" s="458"/>
      <c r="U268" s="315"/>
      <c r="X268" s="458"/>
      <c r="AN268" s="315"/>
      <c r="AQ268" s="458"/>
      <c r="BG268" s="315"/>
    </row>
    <row r="269" spans="1:59" s="46" customFormat="1" x14ac:dyDescent="0.3">
      <c r="A269" s="317"/>
      <c r="B269" s="312"/>
      <c r="C269" s="312"/>
      <c r="D269" s="370"/>
      <c r="E269" s="458"/>
      <c r="U269" s="315"/>
      <c r="X269" s="458"/>
      <c r="AN269" s="315"/>
      <c r="AQ269" s="458"/>
      <c r="BG269" s="315"/>
    </row>
    <row r="270" spans="1:59" s="46" customFormat="1" x14ac:dyDescent="0.3">
      <c r="A270" s="317"/>
      <c r="B270" s="312"/>
      <c r="C270" s="312"/>
      <c r="D270" s="370"/>
      <c r="E270" s="458"/>
      <c r="U270" s="315"/>
      <c r="X270" s="458"/>
      <c r="AN270" s="315"/>
      <c r="AQ270" s="458"/>
      <c r="BG270" s="315"/>
    </row>
    <row r="271" spans="1:59" s="46" customFormat="1" x14ac:dyDescent="0.3">
      <c r="A271" s="317"/>
      <c r="B271" s="312"/>
      <c r="C271" s="312"/>
      <c r="D271" s="370"/>
      <c r="E271" s="458"/>
      <c r="U271" s="315"/>
      <c r="X271" s="458"/>
      <c r="AN271" s="315"/>
      <c r="AQ271" s="458"/>
      <c r="BG271" s="315"/>
    </row>
  </sheetData>
  <autoFilter ref="A9:D9"/>
  <mergeCells count="4">
    <mergeCell ref="E7:W7"/>
    <mergeCell ref="X7:AP7"/>
    <mergeCell ref="AQ7:BI7"/>
    <mergeCell ref="B3:BI5"/>
  </mergeCells>
  <conditionalFormatting sqref="C33">
    <cfRule type="duplicateValues" dxfId="64" priority="132"/>
  </conditionalFormatting>
  <conditionalFormatting sqref="C33">
    <cfRule type="duplicateValues" dxfId="63" priority="133"/>
  </conditionalFormatting>
  <conditionalFormatting sqref="C38">
    <cfRule type="duplicateValues" dxfId="62" priority="130"/>
  </conditionalFormatting>
  <conditionalFormatting sqref="C38">
    <cfRule type="duplicateValues" dxfId="61" priority="131"/>
  </conditionalFormatting>
  <conditionalFormatting sqref="C45">
    <cfRule type="duplicateValues" dxfId="60" priority="126"/>
  </conditionalFormatting>
  <conditionalFormatting sqref="C45">
    <cfRule type="duplicateValues" dxfId="59" priority="127"/>
  </conditionalFormatting>
  <conditionalFormatting sqref="C49">
    <cfRule type="duplicateValues" dxfId="58" priority="120"/>
  </conditionalFormatting>
  <conditionalFormatting sqref="C49">
    <cfRule type="duplicateValues" dxfId="57" priority="121"/>
  </conditionalFormatting>
  <conditionalFormatting sqref="C56">
    <cfRule type="duplicateValues" dxfId="56" priority="116"/>
  </conditionalFormatting>
  <conditionalFormatting sqref="C56">
    <cfRule type="duplicateValues" dxfId="55" priority="117"/>
  </conditionalFormatting>
  <conditionalFormatting sqref="C59">
    <cfRule type="duplicateValues" dxfId="54" priority="114"/>
  </conditionalFormatting>
  <conditionalFormatting sqref="C59">
    <cfRule type="duplicateValues" dxfId="53" priority="115"/>
  </conditionalFormatting>
  <conditionalFormatting sqref="C60">
    <cfRule type="duplicateValues" dxfId="52" priority="112"/>
  </conditionalFormatting>
  <conditionalFormatting sqref="C76">
    <cfRule type="duplicateValues" dxfId="51" priority="104"/>
  </conditionalFormatting>
  <conditionalFormatting sqref="C76">
    <cfRule type="duplicateValues" dxfId="50" priority="105"/>
  </conditionalFormatting>
  <conditionalFormatting sqref="C79">
    <cfRule type="duplicateValues" dxfId="49" priority="102"/>
  </conditionalFormatting>
  <conditionalFormatting sqref="C79">
    <cfRule type="duplicateValues" dxfId="48" priority="103"/>
  </conditionalFormatting>
  <conditionalFormatting sqref="C80">
    <cfRule type="duplicateValues" dxfId="47" priority="96"/>
  </conditionalFormatting>
  <conditionalFormatting sqref="C80">
    <cfRule type="duplicateValues" dxfId="46" priority="97"/>
  </conditionalFormatting>
  <conditionalFormatting sqref="C92">
    <cfRule type="duplicateValues" dxfId="45" priority="94"/>
  </conditionalFormatting>
  <conditionalFormatting sqref="C92">
    <cfRule type="duplicateValues" dxfId="44" priority="95"/>
  </conditionalFormatting>
  <conditionalFormatting sqref="C44">
    <cfRule type="duplicateValues" dxfId="43" priority="86"/>
  </conditionalFormatting>
  <conditionalFormatting sqref="C44">
    <cfRule type="duplicateValues" dxfId="42" priority="87"/>
  </conditionalFormatting>
  <conditionalFormatting sqref="C62">
    <cfRule type="duplicateValues" dxfId="41" priority="80"/>
  </conditionalFormatting>
  <conditionalFormatting sqref="C62">
    <cfRule type="duplicateValues" dxfId="40" priority="81"/>
  </conditionalFormatting>
  <conditionalFormatting sqref="C73">
    <cfRule type="duplicateValues" dxfId="39" priority="68"/>
  </conditionalFormatting>
  <conditionalFormatting sqref="C73">
    <cfRule type="duplicateValues" dxfId="38" priority="69"/>
  </conditionalFormatting>
  <conditionalFormatting sqref="C21">
    <cfRule type="duplicateValues" dxfId="37" priority="584"/>
  </conditionalFormatting>
  <conditionalFormatting sqref="C25">
    <cfRule type="duplicateValues" dxfId="36" priority="586"/>
  </conditionalFormatting>
  <conditionalFormatting sqref="C28">
    <cfRule type="duplicateValues" dxfId="35" priority="588"/>
  </conditionalFormatting>
  <conditionalFormatting sqref="C48">
    <cfRule type="duplicateValues" dxfId="34" priority="594"/>
  </conditionalFormatting>
  <conditionalFormatting sqref="C52">
    <cfRule type="duplicateValues" dxfId="33" priority="46"/>
  </conditionalFormatting>
  <conditionalFormatting sqref="C52">
    <cfRule type="duplicateValues" dxfId="32" priority="47"/>
  </conditionalFormatting>
  <conditionalFormatting sqref="C51">
    <cfRule type="duplicateValues" dxfId="31" priority="44"/>
  </conditionalFormatting>
  <conditionalFormatting sqref="C51">
    <cfRule type="duplicateValues" dxfId="30" priority="45"/>
  </conditionalFormatting>
  <conditionalFormatting sqref="C55">
    <cfRule type="duplicateValues" dxfId="29" priority="42"/>
  </conditionalFormatting>
  <conditionalFormatting sqref="C55">
    <cfRule type="duplicateValues" dxfId="28" priority="43"/>
  </conditionalFormatting>
  <conditionalFormatting sqref="C67">
    <cfRule type="duplicateValues" dxfId="27" priority="595"/>
  </conditionalFormatting>
  <conditionalFormatting sqref="C69">
    <cfRule type="duplicateValues" dxfId="26" priority="596"/>
  </conditionalFormatting>
  <conditionalFormatting sqref="C70 C67">
    <cfRule type="duplicateValues" dxfId="25" priority="598"/>
  </conditionalFormatting>
  <conditionalFormatting sqref="C72">
    <cfRule type="duplicateValues" dxfId="24" priority="599"/>
  </conditionalFormatting>
  <conditionalFormatting sqref="C77">
    <cfRule type="duplicateValues" dxfId="23" priority="40"/>
  </conditionalFormatting>
  <conditionalFormatting sqref="C77">
    <cfRule type="duplicateValues" dxfId="22" priority="41"/>
  </conditionalFormatting>
  <conditionalFormatting sqref="C85">
    <cfRule type="duplicateValues" dxfId="21" priority="600"/>
  </conditionalFormatting>
  <conditionalFormatting sqref="C88:C89">
    <cfRule type="duplicateValues" dxfId="20" priority="601"/>
  </conditionalFormatting>
  <conditionalFormatting sqref="C91">
    <cfRule type="duplicateValues" dxfId="19" priority="602"/>
  </conditionalFormatting>
  <conditionalFormatting sqref="C94:C95">
    <cfRule type="duplicateValues" dxfId="18" priority="603"/>
  </conditionalFormatting>
  <conditionalFormatting sqref="C97:C98">
    <cfRule type="duplicateValues" dxfId="17" priority="604"/>
  </conditionalFormatting>
  <conditionalFormatting sqref="C120">
    <cfRule type="duplicateValues" dxfId="16" priority="24"/>
  </conditionalFormatting>
  <conditionalFormatting sqref="C104">
    <cfRule type="duplicateValues" dxfId="15" priority="12"/>
  </conditionalFormatting>
  <conditionalFormatting sqref="C104">
    <cfRule type="duplicateValues" dxfId="14" priority="13"/>
  </conditionalFormatting>
  <conditionalFormatting sqref="C112">
    <cfRule type="duplicateValues" dxfId="13" priority="15"/>
  </conditionalFormatting>
  <conditionalFormatting sqref="C116">
    <cfRule type="duplicateValues" dxfId="12" priority="16"/>
  </conditionalFormatting>
  <conditionalFormatting sqref="C106">
    <cfRule type="duplicateValues" dxfId="11" priority="5"/>
  </conditionalFormatting>
  <conditionalFormatting sqref="C107">
    <cfRule type="duplicateValues" dxfId="10" priority="3"/>
  </conditionalFormatting>
  <conditionalFormatting sqref="C27">
    <cfRule type="duplicateValues" dxfId="9" priority="1048"/>
  </conditionalFormatting>
  <conditionalFormatting sqref="C42">
    <cfRule type="duplicateValues" dxfId="8" priority="1049"/>
  </conditionalFormatting>
  <conditionalFormatting sqref="C111 C108">
    <cfRule type="duplicateValues" dxfId="7" priority="1057"/>
  </conditionalFormatting>
  <conditionalFormatting sqref="C101:C102">
    <cfRule type="duplicateValues" dxfId="6" priority="1588"/>
  </conditionalFormatting>
  <conditionalFormatting sqref="C109:C110">
    <cfRule type="duplicateValues" dxfId="5" priority="1589"/>
  </conditionalFormatting>
  <conditionalFormatting sqref="C15:C20">
    <cfRule type="duplicateValues" dxfId="4" priority="2062"/>
  </conditionalFormatting>
  <conditionalFormatting sqref="C23:C24">
    <cfRule type="duplicateValues" dxfId="3" priority="2064"/>
  </conditionalFormatting>
  <conditionalFormatting sqref="C31:C32">
    <cfRule type="duplicateValues" dxfId="2" priority="2066"/>
  </conditionalFormatting>
  <conditionalFormatting sqref="C114">
    <cfRule type="duplicateValues" dxfId="1" priority="2067"/>
  </conditionalFormatting>
  <conditionalFormatting sqref="C118">
    <cfRule type="duplicateValues" dxfId="0" priority="2068"/>
  </conditionalFormatting>
  <dataValidations count="1">
    <dataValidation type="list" allowBlank="1" showInputMessage="1" showErrorMessage="1" sqref="R40:S41 R65:S66 R83:S84 R101:S103 AK15:AL20 R15:S20 AK23:AL24 R23:S24 AK31:AL32 R31:S32 AK35:AL37 R35:S37 AK40:AL41 AK65:AL66 AK83:AL84 AK101:AL103 R114:S115 AK114:AL115 AK106:AL111 R106:S111 R118:S119 AK118:AL119 BD15:BE20 BD23:BE24 BD31:BE32 BD35:BE37 BD40:BE41 BD65:BE66 BD83:BE84 BD101:BE103 BD114:BE115 BD106:BE111 BD118:BE119">
      <formula1>способ</formula1>
    </dataValidation>
  </dataValidations>
  <pageMargins left="0.19685039370078741" right="0.19685039370078741" top="0.59055118110236227" bottom="0.59055118110236227" header="0" footer="0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zoomScale="70" zoomScaleNormal="70" workbookViewId="0">
      <selection activeCell="B9" sqref="B9"/>
    </sheetView>
  </sheetViews>
  <sheetFormatPr defaultColWidth="19.44140625" defaultRowHeight="14.4" x14ac:dyDescent="0.3"/>
  <cols>
    <col min="1" max="1" width="7.44140625" style="6" customWidth="1"/>
    <col min="2" max="2" width="36.5546875" style="6" customWidth="1"/>
    <col min="3" max="17" width="15.77734375" style="6" customWidth="1"/>
    <col min="18" max="16384" width="19.44140625" style="6"/>
  </cols>
  <sheetData>
    <row r="1" spans="1:17" ht="21" x14ac:dyDescent="0.4">
      <c r="C1" s="335"/>
    </row>
    <row r="4" spans="1:17" x14ac:dyDescent="0.3">
      <c r="A4" s="336"/>
      <c r="B4" s="47"/>
      <c r="C4" s="626">
        <v>2016</v>
      </c>
      <c r="D4" s="626"/>
      <c r="E4" s="626"/>
      <c r="F4" s="626"/>
      <c r="G4" s="626"/>
      <c r="H4" s="627">
        <v>2017</v>
      </c>
      <c r="I4" s="627"/>
      <c r="J4" s="627"/>
      <c r="K4" s="627"/>
      <c r="L4" s="627"/>
      <c r="M4" s="628">
        <v>2018</v>
      </c>
      <c r="N4" s="628"/>
      <c r="O4" s="628"/>
      <c r="P4" s="628"/>
      <c r="Q4" s="628"/>
    </row>
    <row r="5" spans="1:17" ht="61.2" customHeight="1" x14ac:dyDescent="0.3">
      <c r="A5" s="303" t="s">
        <v>0</v>
      </c>
      <c r="B5" s="303" t="s">
        <v>37</v>
      </c>
      <c r="C5" s="303" t="s">
        <v>39</v>
      </c>
      <c r="D5" s="303" t="s">
        <v>40</v>
      </c>
      <c r="E5" s="61" t="s">
        <v>158</v>
      </c>
      <c r="F5" s="487" t="s">
        <v>159</v>
      </c>
      <c r="G5" s="487" t="s">
        <v>160</v>
      </c>
      <c r="H5" s="303" t="s">
        <v>39</v>
      </c>
      <c r="I5" s="303" t="s">
        <v>40</v>
      </c>
      <c r="J5" s="61" t="s">
        <v>158</v>
      </c>
      <c r="K5" s="487" t="s">
        <v>159</v>
      </c>
      <c r="L5" s="487" t="s">
        <v>160</v>
      </c>
      <c r="M5" s="303" t="s">
        <v>39</v>
      </c>
      <c r="N5" s="303" t="s">
        <v>40</v>
      </c>
      <c r="O5" s="61" t="s">
        <v>158</v>
      </c>
      <c r="P5" s="487" t="s">
        <v>159</v>
      </c>
      <c r="Q5" s="487" t="s">
        <v>160</v>
      </c>
    </row>
    <row r="6" spans="1:17" s="46" customFormat="1" x14ac:dyDescent="0.3">
      <c r="A6" s="61">
        <v>1</v>
      </c>
      <c r="B6" s="61">
        <v>2</v>
      </c>
      <c r="C6" s="61">
        <v>3</v>
      </c>
      <c r="D6" s="61">
        <v>4</v>
      </c>
      <c r="E6" s="61">
        <v>5</v>
      </c>
      <c r="F6" s="487">
        <v>6</v>
      </c>
      <c r="G6" s="487">
        <v>7</v>
      </c>
      <c r="H6" s="61">
        <v>8</v>
      </c>
      <c r="I6" s="61">
        <v>9</v>
      </c>
      <c r="J6" s="61">
        <v>10</v>
      </c>
      <c r="K6" s="487">
        <v>11</v>
      </c>
      <c r="L6" s="487">
        <v>12</v>
      </c>
      <c r="M6" s="61">
        <v>13</v>
      </c>
      <c r="N6" s="61">
        <v>14</v>
      </c>
      <c r="O6" s="61">
        <v>15</v>
      </c>
      <c r="P6" s="487">
        <v>16</v>
      </c>
      <c r="Q6" s="487">
        <v>17</v>
      </c>
    </row>
    <row r="7" spans="1:17" ht="28.8" customHeight="1" x14ac:dyDescent="0.3">
      <c r="A7" s="624" t="s">
        <v>43</v>
      </c>
      <c r="B7" s="625"/>
      <c r="C7" s="490">
        <f>C8+C9</f>
        <v>0</v>
      </c>
      <c r="D7" s="490">
        <f t="shared" ref="D7:E7" si="0">D8+D9</f>
        <v>0</v>
      </c>
      <c r="E7" s="490">
        <f t="shared" si="0"/>
        <v>0</v>
      </c>
      <c r="F7" s="488" t="e">
        <f>E7/C7</f>
        <v>#DIV/0!</v>
      </c>
      <c r="G7" s="488" t="e">
        <f>E7/D7</f>
        <v>#DIV/0!</v>
      </c>
      <c r="H7" s="490">
        <f t="shared" ref="H7" si="1">H8+H9</f>
        <v>0</v>
      </c>
      <c r="I7" s="490">
        <f t="shared" ref="I7" si="2">I8+I9</f>
        <v>0</v>
      </c>
      <c r="J7" s="490">
        <f t="shared" ref="J7" si="3">J8+J9</f>
        <v>0</v>
      </c>
      <c r="K7" s="488" t="e">
        <f>J7/H7</f>
        <v>#DIV/0!</v>
      </c>
      <c r="L7" s="488" t="e">
        <f>J7/I7</f>
        <v>#DIV/0!</v>
      </c>
      <c r="M7" s="490">
        <f t="shared" ref="M7" si="4">M8+M9</f>
        <v>0</v>
      </c>
      <c r="N7" s="490">
        <f t="shared" ref="N7" si="5">N8+N9</f>
        <v>0</v>
      </c>
      <c r="O7" s="490">
        <f t="shared" ref="O7" si="6">O8+O9</f>
        <v>0</v>
      </c>
      <c r="P7" s="488" t="e">
        <f>O7/M7</f>
        <v>#DIV/0!</v>
      </c>
      <c r="Q7" s="488" t="e">
        <f>O7/N7</f>
        <v>#DIV/0!</v>
      </c>
    </row>
    <row r="8" spans="1:17" x14ac:dyDescent="0.3">
      <c r="A8" s="486"/>
      <c r="B8" s="484" t="s">
        <v>157</v>
      </c>
      <c r="C8" s="491"/>
      <c r="D8" s="491"/>
      <c r="E8" s="492"/>
      <c r="F8" s="488" t="e">
        <f t="shared" ref="F8:F13" si="7">E8/C8</f>
        <v>#DIV/0!</v>
      </c>
      <c r="G8" s="488" t="e">
        <f t="shared" ref="G8:G13" si="8">E8/D8</f>
        <v>#DIV/0!</v>
      </c>
      <c r="H8" s="492"/>
      <c r="I8" s="492"/>
      <c r="J8" s="492"/>
      <c r="K8" s="488" t="e">
        <f t="shared" ref="K8:K13" si="9">J8/H8</f>
        <v>#DIV/0!</v>
      </c>
      <c r="L8" s="488" t="e">
        <f t="shared" ref="L8:L13" si="10">J8/I8</f>
        <v>#DIV/0!</v>
      </c>
      <c r="M8" s="492"/>
      <c r="N8" s="492"/>
      <c r="O8" s="492"/>
      <c r="P8" s="488" t="e">
        <f t="shared" ref="P8:P13" si="11">O8/M8</f>
        <v>#DIV/0!</v>
      </c>
      <c r="Q8" s="488" t="e">
        <f t="shared" ref="Q8:Q13" si="12">O8/N8</f>
        <v>#DIV/0!</v>
      </c>
    </row>
    <row r="9" spans="1:17" x14ac:dyDescent="0.3">
      <c r="A9" s="486"/>
      <c r="B9" s="484" t="s">
        <v>161</v>
      </c>
      <c r="C9" s="491"/>
      <c r="D9" s="491"/>
      <c r="E9" s="492"/>
      <c r="F9" s="488" t="e">
        <f t="shared" si="7"/>
        <v>#DIV/0!</v>
      </c>
      <c r="G9" s="488" t="e">
        <f t="shared" si="8"/>
        <v>#DIV/0!</v>
      </c>
      <c r="H9" s="492"/>
      <c r="I9" s="492"/>
      <c r="J9" s="492"/>
      <c r="K9" s="488" t="e">
        <f t="shared" si="9"/>
        <v>#DIV/0!</v>
      </c>
      <c r="L9" s="488" t="e">
        <f t="shared" si="10"/>
        <v>#DIV/0!</v>
      </c>
      <c r="M9" s="492"/>
      <c r="N9" s="492"/>
      <c r="O9" s="492"/>
      <c r="P9" s="488" t="e">
        <f t="shared" si="11"/>
        <v>#DIV/0!</v>
      </c>
      <c r="Q9" s="488" t="e">
        <f t="shared" si="12"/>
        <v>#DIV/0!</v>
      </c>
    </row>
    <row r="10" spans="1:17" s="485" customFormat="1" ht="28.8" customHeight="1" x14ac:dyDescent="0.3">
      <c r="A10" s="629" t="s">
        <v>62</v>
      </c>
      <c r="B10" s="625"/>
      <c r="C10" s="490">
        <f>C11+C12</f>
        <v>0</v>
      </c>
      <c r="D10" s="490">
        <f t="shared" ref="D10:E10" si="13">D11+D12</f>
        <v>0</v>
      </c>
      <c r="E10" s="490">
        <f t="shared" si="13"/>
        <v>0</v>
      </c>
      <c r="F10" s="489" t="e">
        <f t="shared" si="7"/>
        <v>#DIV/0!</v>
      </c>
      <c r="G10" s="489" t="e">
        <f t="shared" si="8"/>
        <v>#DIV/0!</v>
      </c>
      <c r="H10" s="490">
        <f t="shared" ref="H10" si="14">H11+H12</f>
        <v>0</v>
      </c>
      <c r="I10" s="490">
        <f t="shared" ref="I10" si="15">I11+I12</f>
        <v>0</v>
      </c>
      <c r="J10" s="490">
        <f t="shared" ref="J10" si="16">J11+J12</f>
        <v>0</v>
      </c>
      <c r="K10" s="489" t="e">
        <f t="shared" si="9"/>
        <v>#DIV/0!</v>
      </c>
      <c r="L10" s="489" t="e">
        <f t="shared" si="10"/>
        <v>#DIV/0!</v>
      </c>
      <c r="M10" s="490">
        <f t="shared" ref="M10" si="17">M11+M12</f>
        <v>0</v>
      </c>
      <c r="N10" s="490">
        <f t="shared" ref="N10" si="18">N11+N12</f>
        <v>0</v>
      </c>
      <c r="O10" s="490">
        <f t="shared" ref="O10" si="19">O11+O12</f>
        <v>0</v>
      </c>
      <c r="P10" s="489" t="e">
        <f t="shared" si="11"/>
        <v>#DIV/0!</v>
      </c>
      <c r="Q10" s="489" t="e">
        <f t="shared" si="12"/>
        <v>#DIV/0!</v>
      </c>
    </row>
    <row r="11" spans="1:17" s="260" customFormat="1" ht="13.5" customHeight="1" x14ac:dyDescent="0.3">
      <c r="A11" s="361"/>
      <c r="B11" s="361" t="s">
        <v>157</v>
      </c>
      <c r="C11" s="492"/>
      <c r="D11" s="492"/>
      <c r="E11" s="492"/>
      <c r="F11" s="488" t="e">
        <f t="shared" si="7"/>
        <v>#DIV/0!</v>
      </c>
      <c r="G11" s="488" t="e">
        <f t="shared" si="8"/>
        <v>#DIV/0!</v>
      </c>
      <c r="H11" s="492"/>
      <c r="I11" s="492"/>
      <c r="J11" s="492"/>
      <c r="K11" s="488" t="e">
        <f t="shared" si="9"/>
        <v>#DIV/0!</v>
      </c>
      <c r="L11" s="488" t="e">
        <f t="shared" si="10"/>
        <v>#DIV/0!</v>
      </c>
      <c r="M11" s="492"/>
      <c r="N11" s="492"/>
      <c r="O11" s="492"/>
      <c r="P11" s="488" t="e">
        <f t="shared" si="11"/>
        <v>#DIV/0!</v>
      </c>
      <c r="Q11" s="488" t="e">
        <f t="shared" si="12"/>
        <v>#DIV/0!</v>
      </c>
    </row>
    <row r="12" spans="1:17" s="46" customFormat="1" ht="16.5" customHeight="1" x14ac:dyDescent="0.3">
      <c r="A12" s="361"/>
      <c r="B12" s="484" t="s">
        <v>161</v>
      </c>
      <c r="C12" s="492"/>
      <c r="D12" s="492"/>
      <c r="E12" s="492"/>
      <c r="F12" s="488" t="e">
        <f t="shared" si="7"/>
        <v>#DIV/0!</v>
      </c>
      <c r="G12" s="488" t="e">
        <f t="shared" si="8"/>
        <v>#DIV/0!</v>
      </c>
      <c r="H12" s="492"/>
      <c r="I12" s="492"/>
      <c r="J12" s="492"/>
      <c r="K12" s="488" t="e">
        <f t="shared" si="9"/>
        <v>#DIV/0!</v>
      </c>
      <c r="L12" s="488" t="e">
        <f t="shared" si="10"/>
        <v>#DIV/0!</v>
      </c>
      <c r="M12" s="492"/>
      <c r="N12" s="492"/>
      <c r="O12" s="492"/>
      <c r="P12" s="488" t="e">
        <f t="shared" si="11"/>
        <v>#DIV/0!</v>
      </c>
      <c r="Q12" s="488" t="e">
        <f t="shared" si="12"/>
        <v>#DIV/0!</v>
      </c>
    </row>
    <row r="13" spans="1:17" ht="28.8" customHeight="1" x14ac:dyDescent="0.3">
      <c r="A13" s="624" t="s">
        <v>243</v>
      </c>
      <c r="B13" s="625"/>
      <c r="C13" s="488">
        <f>C7+C10</f>
        <v>0</v>
      </c>
      <c r="D13" s="488">
        <f t="shared" ref="D13:E13" si="20">D7+D10</f>
        <v>0</v>
      </c>
      <c r="E13" s="488">
        <f t="shared" si="20"/>
        <v>0</v>
      </c>
      <c r="F13" s="488" t="e">
        <f t="shared" si="7"/>
        <v>#DIV/0!</v>
      </c>
      <c r="G13" s="488" t="e">
        <f t="shared" si="8"/>
        <v>#DIV/0!</v>
      </c>
      <c r="H13" s="488">
        <f>H7+H10</f>
        <v>0</v>
      </c>
      <c r="I13" s="488">
        <f t="shared" ref="I13:J13" si="21">I7+I10</f>
        <v>0</v>
      </c>
      <c r="J13" s="488">
        <f t="shared" si="21"/>
        <v>0</v>
      </c>
      <c r="K13" s="488" t="e">
        <f t="shared" si="9"/>
        <v>#DIV/0!</v>
      </c>
      <c r="L13" s="488" t="e">
        <f t="shared" si="10"/>
        <v>#DIV/0!</v>
      </c>
      <c r="M13" s="488">
        <f>M7+M10</f>
        <v>0</v>
      </c>
      <c r="N13" s="488">
        <f t="shared" ref="N13:O13" si="22">N7+N10</f>
        <v>0</v>
      </c>
      <c r="O13" s="488">
        <f t="shared" si="22"/>
        <v>0</v>
      </c>
      <c r="P13" s="488" t="e">
        <f t="shared" si="11"/>
        <v>#DIV/0!</v>
      </c>
      <c r="Q13" s="488" t="e">
        <f t="shared" si="12"/>
        <v>#DIV/0!</v>
      </c>
    </row>
  </sheetData>
  <mergeCells count="6">
    <mergeCell ref="A13:B13"/>
    <mergeCell ref="C4:G4"/>
    <mergeCell ref="H4:L4"/>
    <mergeCell ref="M4:Q4"/>
    <mergeCell ref="A7:B7"/>
    <mergeCell ref="A10:B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74"/>
  <sheetViews>
    <sheetView topLeftCell="A4" zoomScale="70" zoomScaleNormal="70" workbookViewId="0">
      <pane xSplit="2" ySplit="9" topLeftCell="D13" activePane="bottomRight" state="frozen"/>
      <selection activeCell="A4" sqref="A4"/>
      <selection pane="topRight" activeCell="C4" sqref="C4"/>
      <selection pane="bottomLeft" activeCell="A13" sqref="A13"/>
      <selection pane="bottomRight" activeCell="S40" sqref="S40"/>
    </sheetView>
  </sheetViews>
  <sheetFormatPr defaultColWidth="19.44140625" defaultRowHeight="14.4" x14ac:dyDescent="0.3"/>
  <cols>
    <col min="1" max="1" width="7.44140625" style="6" customWidth="1"/>
    <col min="2" max="2" width="32.44140625" style="6" customWidth="1"/>
    <col min="3" max="75" width="19.44140625" style="6"/>
    <col min="76" max="82" width="19.44140625" style="6" customWidth="1"/>
    <col min="83" max="83" width="19.44140625" style="46" customWidth="1"/>
    <col min="84" max="95" width="19.44140625" style="6" customWidth="1"/>
    <col min="96" max="108" width="19.44140625" style="6"/>
    <col min="109" max="109" width="19.44140625" style="46"/>
    <col min="110" max="111" width="19.44140625" style="6"/>
    <col min="112" max="113" width="19.44140625" style="46"/>
    <col min="114" max="115" width="19.44140625" style="6"/>
    <col min="116" max="116" width="19.44140625" style="46"/>
    <col min="117" max="118" width="19.44140625" style="6"/>
    <col min="119" max="120" width="19.44140625" style="46"/>
    <col min="121" max="134" width="19.44140625" style="6"/>
    <col min="135" max="135" width="19.44140625" style="46"/>
    <col min="136" max="16384" width="19.44140625" style="6"/>
  </cols>
  <sheetData>
    <row r="1" spans="1:166" x14ac:dyDescent="0.3">
      <c r="G1" s="3" t="s">
        <v>31</v>
      </c>
      <c r="H1" s="3"/>
      <c r="I1" s="3"/>
      <c r="J1" s="3"/>
      <c r="R1" s="3"/>
      <c r="S1" s="3"/>
      <c r="T1" s="3"/>
      <c r="X1" s="3"/>
      <c r="Y1" s="3"/>
      <c r="Z1" s="3"/>
    </row>
    <row r="2" spans="1:166" x14ac:dyDescent="0.3">
      <c r="G2" s="3" t="s">
        <v>32</v>
      </c>
      <c r="H2" s="3"/>
      <c r="I2" s="3"/>
      <c r="J2" s="3"/>
      <c r="R2" s="3"/>
      <c r="S2" s="3"/>
      <c r="T2" s="3"/>
      <c r="X2" s="3"/>
      <c r="Y2" s="3"/>
      <c r="Z2" s="3"/>
    </row>
    <row r="3" spans="1:166" x14ac:dyDescent="0.3">
      <c r="G3" s="3" t="s">
        <v>33</v>
      </c>
      <c r="H3" s="3"/>
      <c r="I3" s="3"/>
      <c r="J3" s="3"/>
      <c r="R3" s="3"/>
      <c r="S3" s="3"/>
      <c r="T3" s="3"/>
      <c r="X3" s="3"/>
      <c r="Y3" s="3"/>
      <c r="Z3" s="3"/>
    </row>
    <row r="4" spans="1:166" ht="33.75" customHeight="1" x14ac:dyDescent="0.3">
      <c r="G4" s="3" t="s">
        <v>34</v>
      </c>
      <c r="H4" s="3"/>
      <c r="I4" s="3"/>
      <c r="J4" s="3"/>
      <c r="R4" s="3"/>
      <c r="S4" s="3"/>
      <c r="T4" s="3"/>
      <c r="X4" s="3"/>
      <c r="Y4" s="3"/>
      <c r="Z4" s="3"/>
      <c r="FD4" s="658" t="s">
        <v>87</v>
      </c>
      <c r="FE4" s="659"/>
      <c r="FF4" s="659"/>
      <c r="FG4" s="659"/>
      <c r="FH4" s="660"/>
    </row>
    <row r="5" spans="1:166" x14ac:dyDescent="0.3">
      <c r="G5" s="3" t="s">
        <v>35</v>
      </c>
      <c r="H5" s="3"/>
      <c r="I5" s="3"/>
      <c r="J5" s="3"/>
      <c r="R5" s="3"/>
      <c r="S5" s="3"/>
      <c r="T5" s="3"/>
      <c r="X5" s="3"/>
      <c r="Y5" s="3"/>
      <c r="Z5" s="3"/>
      <c r="FD5" s="310">
        <v>2015</v>
      </c>
      <c r="FE5" s="310">
        <v>2016</v>
      </c>
      <c r="FF5" s="310">
        <v>2017</v>
      </c>
      <c r="FG5" s="310">
        <v>2018</v>
      </c>
      <c r="FH5" s="310">
        <v>2019</v>
      </c>
    </row>
    <row r="6" spans="1:166" x14ac:dyDescent="0.3">
      <c r="G6" s="3"/>
      <c r="H6" s="3"/>
      <c r="I6" s="3"/>
      <c r="J6" s="3"/>
      <c r="R6" s="3"/>
      <c r="S6" s="3"/>
      <c r="T6" s="3"/>
      <c r="X6" s="3"/>
      <c r="Y6" s="3"/>
      <c r="Z6" s="3"/>
      <c r="FD6" s="311">
        <v>1.155</v>
      </c>
      <c r="FE6" s="311">
        <v>1.071</v>
      </c>
      <c r="FF6" s="311">
        <v>1.0369999999999999</v>
      </c>
      <c r="FG6" s="311">
        <v>1.0269999999999999</v>
      </c>
      <c r="FH6" s="311">
        <v>1.046</v>
      </c>
    </row>
    <row r="7" spans="1:166" x14ac:dyDescent="0.3">
      <c r="EB7" s="14"/>
      <c r="EC7" s="14"/>
      <c r="ED7" s="14"/>
      <c r="FA7" s="15" t="s">
        <v>36</v>
      </c>
      <c r="FB7" s="15"/>
      <c r="FC7" s="15"/>
    </row>
    <row r="8" spans="1:166" x14ac:dyDescent="0.3">
      <c r="A8" s="47"/>
      <c r="B8" s="47"/>
      <c r="C8" s="642" t="s">
        <v>96</v>
      </c>
      <c r="D8" s="643"/>
      <c r="E8" s="643"/>
      <c r="F8" s="643"/>
      <c r="G8" s="643"/>
      <c r="H8" s="643"/>
      <c r="I8" s="643"/>
      <c r="J8" s="643"/>
      <c r="K8" s="643"/>
      <c r="L8" s="643"/>
      <c r="M8" s="643"/>
      <c r="N8" s="643"/>
      <c r="O8" s="643"/>
      <c r="P8" s="643"/>
      <c r="Q8" s="643"/>
      <c r="R8" s="643"/>
      <c r="S8" s="643"/>
      <c r="T8" s="643"/>
      <c r="U8" s="643"/>
      <c r="V8" s="643"/>
      <c r="W8" s="643"/>
      <c r="X8" s="643"/>
      <c r="Y8" s="643"/>
      <c r="Z8" s="643"/>
      <c r="AA8" s="643"/>
      <c r="AB8" s="643"/>
      <c r="AC8" s="644"/>
      <c r="AD8" s="645"/>
      <c r="AE8" s="652" t="s">
        <v>121</v>
      </c>
      <c r="AF8" s="652"/>
      <c r="AG8" s="652"/>
      <c r="AH8" s="652"/>
      <c r="AI8" s="652"/>
      <c r="AJ8" s="652"/>
      <c r="AK8" s="652"/>
      <c r="AL8" s="652"/>
      <c r="AM8" s="652"/>
      <c r="AN8" s="652"/>
      <c r="AO8" s="652"/>
      <c r="AP8" s="652"/>
      <c r="AQ8" s="652"/>
      <c r="AR8" s="652"/>
      <c r="AS8" s="652"/>
      <c r="AT8" s="652"/>
      <c r="AU8" s="652"/>
      <c r="AV8" s="652"/>
      <c r="AW8" s="652"/>
      <c r="AX8" s="652"/>
      <c r="AY8" s="652"/>
      <c r="AZ8" s="652"/>
      <c r="BA8" s="652"/>
      <c r="BB8" s="306"/>
      <c r="BC8" s="666" t="s">
        <v>97</v>
      </c>
      <c r="BD8" s="667"/>
      <c r="BE8" s="667"/>
      <c r="BF8" s="667"/>
      <c r="BG8" s="667"/>
      <c r="BH8" s="667"/>
      <c r="BI8" s="667"/>
      <c r="BJ8" s="667"/>
      <c r="BK8" s="667"/>
      <c r="BL8" s="667"/>
      <c r="BM8" s="667"/>
      <c r="BN8" s="667"/>
      <c r="BO8" s="667"/>
      <c r="BP8" s="667"/>
      <c r="BQ8" s="667"/>
      <c r="BR8" s="667"/>
      <c r="BS8" s="667"/>
      <c r="BT8" s="667"/>
      <c r="BU8" s="667"/>
      <c r="BV8" s="667"/>
      <c r="BW8" s="667"/>
      <c r="BX8" s="667"/>
      <c r="BY8" s="667"/>
      <c r="BZ8" s="667"/>
      <c r="CA8" s="667"/>
      <c r="CB8" s="667"/>
      <c r="CC8" s="644"/>
      <c r="CD8" s="645"/>
      <c r="CE8" s="653" t="s">
        <v>122</v>
      </c>
      <c r="CF8" s="653"/>
      <c r="CG8" s="653"/>
      <c r="CH8" s="653"/>
      <c r="CI8" s="653"/>
      <c r="CJ8" s="653"/>
      <c r="CK8" s="653"/>
      <c r="CL8" s="653"/>
      <c r="CM8" s="653"/>
      <c r="CN8" s="653"/>
      <c r="CO8" s="653"/>
      <c r="CP8" s="653"/>
      <c r="CQ8" s="653"/>
      <c r="CR8" s="653"/>
      <c r="CS8" s="653"/>
      <c r="CT8" s="653"/>
      <c r="CU8" s="653"/>
      <c r="CV8" s="653"/>
      <c r="CW8" s="653"/>
      <c r="CX8" s="653"/>
      <c r="CY8" s="653"/>
      <c r="CZ8" s="653"/>
      <c r="DA8" s="653"/>
      <c r="DB8" s="307"/>
      <c r="DC8" s="669" t="s">
        <v>98</v>
      </c>
      <c r="DD8" s="670"/>
      <c r="DE8" s="670"/>
      <c r="DF8" s="670"/>
      <c r="DG8" s="670"/>
      <c r="DH8" s="670"/>
      <c r="DI8" s="670"/>
      <c r="DJ8" s="670"/>
      <c r="DK8" s="670"/>
      <c r="DL8" s="670"/>
      <c r="DM8" s="670"/>
      <c r="DN8" s="670"/>
      <c r="DO8" s="670"/>
      <c r="DP8" s="670"/>
      <c r="DQ8" s="670"/>
      <c r="DR8" s="670"/>
      <c r="DS8" s="670"/>
      <c r="DT8" s="670"/>
      <c r="DU8" s="670"/>
      <c r="DV8" s="670"/>
      <c r="DW8" s="670"/>
      <c r="DX8" s="670"/>
      <c r="DY8" s="670"/>
      <c r="DZ8" s="670"/>
      <c r="EA8" s="670"/>
      <c r="EB8" s="670"/>
      <c r="EC8" s="644"/>
      <c r="ED8" s="645"/>
      <c r="EE8" s="671" t="s">
        <v>123</v>
      </c>
      <c r="EF8" s="672"/>
      <c r="EG8" s="672"/>
      <c r="EH8" s="672"/>
      <c r="EI8" s="672"/>
      <c r="EJ8" s="672"/>
      <c r="EK8" s="672"/>
      <c r="EL8" s="672"/>
      <c r="EM8" s="672"/>
      <c r="EN8" s="672"/>
      <c r="EO8" s="672"/>
      <c r="EP8" s="672"/>
      <c r="EQ8" s="672"/>
      <c r="ER8" s="672"/>
      <c r="ES8" s="672"/>
      <c r="ET8" s="672"/>
      <c r="EU8" s="672"/>
      <c r="EV8" s="672"/>
      <c r="EW8" s="672"/>
      <c r="EX8" s="672"/>
      <c r="EY8" s="672"/>
      <c r="EZ8" s="672"/>
      <c r="FA8" s="672"/>
      <c r="FB8" s="645"/>
      <c r="FC8" s="257"/>
      <c r="FD8" s="47"/>
      <c r="FE8" s="47"/>
      <c r="FF8" s="47"/>
      <c r="FG8" s="47"/>
      <c r="FH8" s="47"/>
      <c r="FI8" s="47"/>
      <c r="FJ8" s="47"/>
    </row>
    <row r="9" spans="1:166" ht="15.75" customHeight="1" x14ac:dyDescent="0.3">
      <c r="A9" s="48" t="s">
        <v>0</v>
      </c>
      <c r="B9" s="48" t="s">
        <v>37</v>
      </c>
      <c r="C9" s="635" t="s">
        <v>38</v>
      </c>
      <c r="D9" s="636"/>
      <c r="E9" s="636"/>
      <c r="F9" s="636"/>
      <c r="G9" s="636"/>
      <c r="H9" s="636"/>
      <c r="I9" s="632"/>
      <c r="J9" s="639" t="s">
        <v>39</v>
      </c>
      <c r="K9" s="640"/>
      <c r="L9" s="640"/>
      <c r="M9" s="640"/>
      <c r="N9" s="640"/>
      <c r="O9" s="640"/>
      <c r="P9" s="641"/>
      <c r="Q9" s="635" t="s">
        <v>40</v>
      </c>
      <c r="R9" s="636"/>
      <c r="S9" s="636"/>
      <c r="T9" s="636"/>
      <c r="U9" s="636"/>
      <c r="V9" s="636"/>
      <c r="W9" s="632"/>
      <c r="X9" s="635" t="s">
        <v>101</v>
      </c>
      <c r="Y9" s="636"/>
      <c r="Z9" s="636"/>
      <c r="AA9" s="636"/>
      <c r="AB9" s="636"/>
      <c r="AC9" s="636"/>
      <c r="AD9" s="632"/>
      <c r="AE9" s="633" t="s">
        <v>72</v>
      </c>
      <c r="AF9" s="634"/>
      <c r="AG9" s="634"/>
      <c r="AH9" s="632"/>
      <c r="AI9" s="633" t="s">
        <v>73</v>
      </c>
      <c r="AJ9" s="634"/>
      <c r="AK9" s="634"/>
      <c r="AL9" s="632"/>
      <c r="AM9" s="633" t="s">
        <v>74</v>
      </c>
      <c r="AN9" s="634"/>
      <c r="AO9" s="634"/>
      <c r="AP9" s="632"/>
      <c r="AQ9" s="633" t="s">
        <v>75</v>
      </c>
      <c r="AR9" s="634"/>
      <c r="AS9" s="634"/>
      <c r="AT9" s="632"/>
      <c r="AU9" s="633" t="s">
        <v>109</v>
      </c>
      <c r="AV9" s="634"/>
      <c r="AW9" s="634"/>
      <c r="AX9" s="632"/>
      <c r="AY9" s="633" t="s">
        <v>110</v>
      </c>
      <c r="AZ9" s="634"/>
      <c r="BA9" s="654"/>
      <c r="BB9" s="304"/>
      <c r="BC9" s="635" t="s">
        <v>38</v>
      </c>
      <c r="BD9" s="636"/>
      <c r="BE9" s="636"/>
      <c r="BF9" s="636"/>
      <c r="BG9" s="636"/>
      <c r="BH9" s="636"/>
      <c r="BI9" s="632"/>
      <c r="BJ9" s="635" t="s">
        <v>39</v>
      </c>
      <c r="BK9" s="636"/>
      <c r="BL9" s="636"/>
      <c r="BM9" s="636"/>
      <c r="BN9" s="636"/>
      <c r="BO9" s="636"/>
      <c r="BP9" s="632"/>
      <c r="BQ9" s="635" t="s">
        <v>40</v>
      </c>
      <c r="BR9" s="636"/>
      <c r="BS9" s="636"/>
      <c r="BT9" s="636"/>
      <c r="BU9" s="636"/>
      <c r="BV9" s="636"/>
      <c r="BW9" s="632"/>
      <c r="BX9" s="635" t="s">
        <v>111</v>
      </c>
      <c r="BY9" s="636"/>
      <c r="BZ9" s="636"/>
      <c r="CA9" s="636"/>
      <c r="CB9" s="636"/>
      <c r="CC9" s="636"/>
      <c r="CD9" s="632"/>
      <c r="CE9" s="637" t="s">
        <v>72</v>
      </c>
      <c r="CF9" s="638"/>
      <c r="CG9" s="638"/>
      <c r="CH9" s="632"/>
      <c r="CI9" s="637" t="s">
        <v>73</v>
      </c>
      <c r="CJ9" s="638"/>
      <c r="CK9" s="638"/>
      <c r="CL9" s="632"/>
      <c r="CM9" s="637" t="s">
        <v>74</v>
      </c>
      <c r="CN9" s="638"/>
      <c r="CO9" s="638"/>
      <c r="CP9" s="632"/>
      <c r="CQ9" s="637" t="s">
        <v>75</v>
      </c>
      <c r="CR9" s="638"/>
      <c r="CS9" s="638"/>
      <c r="CT9" s="632"/>
      <c r="CU9" s="637" t="s">
        <v>109</v>
      </c>
      <c r="CV9" s="638"/>
      <c r="CW9" s="638"/>
      <c r="CX9" s="632"/>
      <c r="CY9" s="637" t="s">
        <v>112</v>
      </c>
      <c r="CZ9" s="638"/>
      <c r="DA9" s="638"/>
      <c r="DB9" s="632"/>
      <c r="DC9" s="635" t="s">
        <v>38</v>
      </c>
      <c r="DD9" s="636"/>
      <c r="DE9" s="636"/>
      <c r="DF9" s="636"/>
      <c r="DG9" s="636"/>
      <c r="DH9" s="636"/>
      <c r="DI9" s="632"/>
      <c r="DJ9" s="635" t="s">
        <v>39</v>
      </c>
      <c r="DK9" s="636"/>
      <c r="DL9" s="636"/>
      <c r="DM9" s="636"/>
      <c r="DN9" s="636"/>
      <c r="DO9" s="636"/>
      <c r="DP9" s="632"/>
      <c r="DQ9" s="635" t="s">
        <v>40</v>
      </c>
      <c r="DR9" s="636"/>
      <c r="DS9" s="636"/>
      <c r="DT9" s="636"/>
      <c r="DU9" s="636"/>
      <c r="DV9" s="636"/>
      <c r="DW9" s="632"/>
      <c r="DX9" s="635" t="s">
        <v>114</v>
      </c>
      <c r="DY9" s="636"/>
      <c r="DZ9" s="636"/>
      <c r="EA9" s="636"/>
      <c r="EB9" s="636"/>
      <c r="EC9" s="636"/>
      <c r="ED9" s="632"/>
      <c r="EE9" s="655" t="s">
        <v>72</v>
      </c>
      <c r="EF9" s="656"/>
      <c r="EG9" s="656"/>
      <c r="EH9" s="632"/>
      <c r="EI9" s="655" t="s">
        <v>73</v>
      </c>
      <c r="EJ9" s="656"/>
      <c r="EK9" s="656"/>
      <c r="EL9" s="632"/>
      <c r="EM9" s="655" t="s">
        <v>74</v>
      </c>
      <c r="EN9" s="656"/>
      <c r="EO9" s="657"/>
      <c r="EP9" s="305"/>
      <c r="EQ9" s="655" t="s">
        <v>75</v>
      </c>
      <c r="ER9" s="656"/>
      <c r="ES9" s="656"/>
      <c r="ET9" s="632"/>
      <c r="EU9" s="655" t="s">
        <v>109</v>
      </c>
      <c r="EV9" s="656"/>
      <c r="EW9" s="656"/>
      <c r="EX9" s="632"/>
      <c r="EY9" s="655" t="s">
        <v>113</v>
      </c>
      <c r="EZ9" s="656"/>
      <c r="FA9" s="656"/>
      <c r="FB9" s="632"/>
      <c r="FC9" s="661" t="s">
        <v>78</v>
      </c>
      <c r="FD9" s="662"/>
      <c r="FE9" s="662"/>
      <c r="FF9" s="632"/>
      <c r="FG9" s="650" t="s">
        <v>95</v>
      </c>
      <c r="FH9" s="651"/>
      <c r="FI9" s="651"/>
      <c r="FJ9" s="651"/>
    </row>
    <row r="10" spans="1:166" x14ac:dyDescent="0.3">
      <c r="A10" s="48"/>
      <c r="B10" s="48"/>
      <c r="C10" s="48" t="s">
        <v>63</v>
      </c>
      <c r="D10" s="48" t="s">
        <v>65</v>
      </c>
      <c r="E10" s="48" t="s">
        <v>99</v>
      </c>
      <c r="F10" s="48" t="s">
        <v>64</v>
      </c>
      <c r="G10" s="48" t="s">
        <v>66</v>
      </c>
      <c r="H10" s="48" t="s">
        <v>100</v>
      </c>
      <c r="I10" s="303" t="s">
        <v>136</v>
      </c>
      <c r="J10" s="48" t="s">
        <v>63</v>
      </c>
      <c r="K10" s="48" t="s">
        <v>65</v>
      </c>
      <c r="L10" s="48" t="s">
        <v>99</v>
      </c>
      <c r="M10" s="48" t="s">
        <v>64</v>
      </c>
      <c r="N10" s="48" t="s">
        <v>66</v>
      </c>
      <c r="O10" s="48" t="s">
        <v>100</v>
      </c>
      <c r="P10" s="303" t="s">
        <v>136</v>
      </c>
      <c r="Q10" s="48" t="s">
        <v>63</v>
      </c>
      <c r="R10" s="48" t="s">
        <v>65</v>
      </c>
      <c r="S10" s="48" t="s">
        <v>99</v>
      </c>
      <c r="T10" s="48" t="s">
        <v>64</v>
      </c>
      <c r="U10" s="48" t="s">
        <v>66</v>
      </c>
      <c r="V10" s="48" t="s">
        <v>100</v>
      </c>
      <c r="W10" s="303" t="s">
        <v>136</v>
      </c>
      <c r="X10" s="48" t="s">
        <v>63</v>
      </c>
      <c r="Y10" s="48" t="s">
        <v>65</v>
      </c>
      <c r="Z10" s="48" t="s">
        <v>99</v>
      </c>
      <c r="AA10" s="48" t="s">
        <v>64</v>
      </c>
      <c r="AB10" s="48" t="s">
        <v>66</v>
      </c>
      <c r="AC10" s="48" t="s">
        <v>100</v>
      </c>
      <c r="AD10" s="303" t="s">
        <v>137</v>
      </c>
      <c r="AE10" s="267" t="s">
        <v>63</v>
      </c>
      <c r="AF10" s="267" t="s">
        <v>70</v>
      </c>
      <c r="AG10" s="267" t="s">
        <v>71</v>
      </c>
      <c r="AH10" s="267" t="s">
        <v>137</v>
      </c>
      <c r="AI10" s="267" t="s">
        <v>63</v>
      </c>
      <c r="AJ10" s="267" t="s">
        <v>70</v>
      </c>
      <c r="AK10" s="267" t="s">
        <v>71</v>
      </c>
      <c r="AL10" s="267" t="s">
        <v>137</v>
      </c>
      <c r="AM10" s="267" t="s">
        <v>63</v>
      </c>
      <c r="AN10" s="267" t="s">
        <v>70</v>
      </c>
      <c r="AO10" s="267" t="s">
        <v>71</v>
      </c>
      <c r="AP10" s="267" t="s">
        <v>137</v>
      </c>
      <c r="AQ10" s="267" t="s">
        <v>63</v>
      </c>
      <c r="AR10" s="267" t="s">
        <v>70</v>
      </c>
      <c r="AS10" s="267" t="s">
        <v>71</v>
      </c>
      <c r="AT10" s="267" t="s">
        <v>137</v>
      </c>
      <c r="AU10" s="267" t="s">
        <v>63</v>
      </c>
      <c r="AV10" s="267" t="s">
        <v>70</v>
      </c>
      <c r="AW10" s="267" t="s">
        <v>71</v>
      </c>
      <c r="AX10" s="267" t="s">
        <v>137</v>
      </c>
      <c r="AY10" s="267" t="s">
        <v>63</v>
      </c>
      <c r="AZ10" s="267" t="s">
        <v>70</v>
      </c>
      <c r="BA10" s="267" t="s">
        <v>71</v>
      </c>
      <c r="BB10" s="267" t="s">
        <v>137</v>
      </c>
      <c r="BC10" s="48" t="s">
        <v>63</v>
      </c>
      <c r="BD10" s="48" t="s">
        <v>65</v>
      </c>
      <c r="BE10" s="48" t="s">
        <v>99</v>
      </c>
      <c r="BF10" s="48" t="s">
        <v>64</v>
      </c>
      <c r="BG10" s="48" t="s">
        <v>66</v>
      </c>
      <c r="BH10" s="48" t="s">
        <v>100</v>
      </c>
      <c r="BI10" s="303" t="s">
        <v>136</v>
      </c>
      <c r="BJ10" s="48" t="s">
        <v>63</v>
      </c>
      <c r="BK10" s="48" t="s">
        <v>65</v>
      </c>
      <c r="BL10" s="48" t="s">
        <v>99</v>
      </c>
      <c r="BM10" s="48" t="s">
        <v>64</v>
      </c>
      <c r="BN10" s="48" t="s">
        <v>66</v>
      </c>
      <c r="BO10" s="48" t="s">
        <v>100</v>
      </c>
      <c r="BP10" s="303" t="s">
        <v>136</v>
      </c>
      <c r="BQ10" s="48" t="s">
        <v>63</v>
      </c>
      <c r="BR10" s="48" t="s">
        <v>65</v>
      </c>
      <c r="BS10" s="48" t="s">
        <v>99</v>
      </c>
      <c r="BT10" s="48" t="s">
        <v>64</v>
      </c>
      <c r="BU10" s="48" t="s">
        <v>66</v>
      </c>
      <c r="BV10" s="48" t="s">
        <v>100</v>
      </c>
      <c r="BW10" s="303" t="s">
        <v>136</v>
      </c>
      <c r="BX10" s="48" t="s">
        <v>63</v>
      </c>
      <c r="BY10" s="48" t="s">
        <v>65</v>
      </c>
      <c r="BZ10" s="48" t="s">
        <v>99</v>
      </c>
      <c r="CA10" s="48" t="s">
        <v>64</v>
      </c>
      <c r="CB10" s="48" t="s">
        <v>66</v>
      </c>
      <c r="CC10" s="48" t="s">
        <v>100</v>
      </c>
      <c r="CD10" s="303" t="s">
        <v>137</v>
      </c>
      <c r="CE10" s="233" t="s">
        <v>63</v>
      </c>
      <c r="CF10" s="233" t="s">
        <v>70</v>
      </c>
      <c r="CG10" s="233" t="s">
        <v>71</v>
      </c>
      <c r="CH10" s="233" t="s">
        <v>137</v>
      </c>
      <c r="CI10" s="233" t="s">
        <v>63</v>
      </c>
      <c r="CJ10" s="233" t="s">
        <v>70</v>
      </c>
      <c r="CK10" s="233" t="s">
        <v>71</v>
      </c>
      <c r="CL10" s="233" t="s">
        <v>137</v>
      </c>
      <c r="CM10" s="233" t="s">
        <v>63</v>
      </c>
      <c r="CN10" s="233" t="s">
        <v>70</v>
      </c>
      <c r="CO10" s="233" t="s">
        <v>71</v>
      </c>
      <c r="CP10" s="233" t="s">
        <v>137</v>
      </c>
      <c r="CQ10" s="233" t="s">
        <v>63</v>
      </c>
      <c r="CR10" s="233" t="s">
        <v>70</v>
      </c>
      <c r="CS10" s="233" t="s">
        <v>71</v>
      </c>
      <c r="CT10" s="233" t="s">
        <v>137</v>
      </c>
      <c r="CU10" s="233" t="s">
        <v>63</v>
      </c>
      <c r="CV10" s="233" t="s">
        <v>70</v>
      </c>
      <c r="CW10" s="233" t="s">
        <v>71</v>
      </c>
      <c r="CX10" s="233" t="s">
        <v>137</v>
      </c>
      <c r="CY10" s="233" t="s">
        <v>63</v>
      </c>
      <c r="CZ10" s="233" t="s">
        <v>70</v>
      </c>
      <c r="DA10" s="233" t="s">
        <v>71</v>
      </c>
      <c r="DB10" s="233" t="s">
        <v>137</v>
      </c>
      <c r="DC10" s="48" t="s">
        <v>63</v>
      </c>
      <c r="DD10" s="48" t="s">
        <v>65</v>
      </c>
      <c r="DE10" s="61" t="s">
        <v>99</v>
      </c>
      <c r="DF10" s="48" t="s">
        <v>64</v>
      </c>
      <c r="DG10" s="48" t="s">
        <v>66</v>
      </c>
      <c r="DH10" s="61" t="s">
        <v>100</v>
      </c>
      <c r="DI10" s="61" t="s">
        <v>136</v>
      </c>
      <c r="DJ10" s="48" t="s">
        <v>63</v>
      </c>
      <c r="DK10" s="48" t="s">
        <v>65</v>
      </c>
      <c r="DL10" s="61" t="s">
        <v>99</v>
      </c>
      <c r="DM10" s="48" t="s">
        <v>64</v>
      </c>
      <c r="DN10" s="48" t="s">
        <v>66</v>
      </c>
      <c r="DO10" s="61" t="s">
        <v>100</v>
      </c>
      <c r="DP10" s="61" t="s">
        <v>136</v>
      </c>
      <c r="DQ10" s="48" t="s">
        <v>63</v>
      </c>
      <c r="DR10" s="48" t="s">
        <v>65</v>
      </c>
      <c r="DS10" s="61" t="s">
        <v>99</v>
      </c>
      <c r="DT10" s="48" t="s">
        <v>64</v>
      </c>
      <c r="DU10" s="48" t="s">
        <v>66</v>
      </c>
      <c r="DV10" s="61" t="s">
        <v>100</v>
      </c>
      <c r="DW10" s="61" t="s">
        <v>136</v>
      </c>
      <c r="DX10" s="48" t="s">
        <v>63</v>
      </c>
      <c r="DY10" s="48" t="s">
        <v>65</v>
      </c>
      <c r="DZ10" s="61" t="s">
        <v>99</v>
      </c>
      <c r="EA10" s="48" t="s">
        <v>64</v>
      </c>
      <c r="EB10" s="48" t="s">
        <v>66</v>
      </c>
      <c r="EC10" s="61" t="s">
        <v>99</v>
      </c>
      <c r="ED10" s="61" t="s">
        <v>137</v>
      </c>
      <c r="EE10" s="231" t="s">
        <v>63</v>
      </c>
      <c r="EF10" s="231" t="s">
        <v>70</v>
      </c>
      <c r="EG10" s="231" t="s">
        <v>71</v>
      </c>
      <c r="EH10" s="231" t="s">
        <v>137</v>
      </c>
      <c r="EI10" s="231" t="s">
        <v>63</v>
      </c>
      <c r="EJ10" s="231" t="s">
        <v>70</v>
      </c>
      <c r="EK10" s="231" t="s">
        <v>71</v>
      </c>
      <c r="EL10" s="231" t="s">
        <v>137</v>
      </c>
      <c r="EM10" s="231" t="s">
        <v>63</v>
      </c>
      <c r="EN10" s="231" t="s">
        <v>70</v>
      </c>
      <c r="EO10" s="231" t="s">
        <v>71</v>
      </c>
      <c r="EP10" s="231" t="s">
        <v>137</v>
      </c>
      <c r="EQ10" s="231" t="s">
        <v>63</v>
      </c>
      <c r="ER10" s="231" t="s">
        <v>70</v>
      </c>
      <c r="ES10" s="231" t="s">
        <v>71</v>
      </c>
      <c r="ET10" s="231" t="s">
        <v>137</v>
      </c>
      <c r="EU10" s="231" t="s">
        <v>63</v>
      </c>
      <c r="EV10" s="231" t="s">
        <v>70</v>
      </c>
      <c r="EW10" s="231" t="s">
        <v>71</v>
      </c>
      <c r="EX10" s="231" t="s">
        <v>137</v>
      </c>
      <c r="EY10" s="231" t="s">
        <v>63</v>
      </c>
      <c r="EZ10" s="231" t="s">
        <v>70</v>
      </c>
      <c r="FA10" s="231" t="s">
        <v>71</v>
      </c>
      <c r="FB10" s="231" t="s">
        <v>137</v>
      </c>
      <c r="FC10" s="48" t="s">
        <v>83</v>
      </c>
      <c r="FD10" s="48" t="s">
        <v>70</v>
      </c>
      <c r="FE10" s="48" t="s">
        <v>71</v>
      </c>
      <c r="FF10" s="303" t="s">
        <v>137</v>
      </c>
      <c r="FG10" s="48" t="s">
        <v>83</v>
      </c>
      <c r="FH10" s="48" t="s">
        <v>70</v>
      </c>
      <c r="FI10" s="303" t="s">
        <v>71</v>
      </c>
      <c r="FJ10" s="303" t="s">
        <v>137</v>
      </c>
    </row>
    <row r="11" spans="1:166" s="46" customFormat="1" x14ac:dyDescent="0.3">
      <c r="A11" s="61">
        <v>1</v>
      </c>
      <c r="B11" s="61">
        <v>2</v>
      </c>
      <c r="C11" s="61">
        <v>3</v>
      </c>
      <c r="D11" s="61">
        <v>4</v>
      </c>
      <c r="E11" s="61" t="s">
        <v>102</v>
      </c>
      <c r="F11" s="61">
        <v>5</v>
      </c>
      <c r="G11" s="61">
        <v>6</v>
      </c>
      <c r="H11" s="61" t="s">
        <v>103</v>
      </c>
      <c r="I11" s="61"/>
      <c r="J11" s="61">
        <v>7</v>
      </c>
      <c r="K11" s="61">
        <v>8</v>
      </c>
      <c r="L11" s="61" t="s">
        <v>104</v>
      </c>
      <c r="M11" s="61">
        <v>9</v>
      </c>
      <c r="N11" s="61">
        <v>10</v>
      </c>
      <c r="O11" s="61" t="s">
        <v>105</v>
      </c>
      <c r="P11" s="61"/>
      <c r="Q11" s="61">
        <v>11</v>
      </c>
      <c r="R11" s="61">
        <v>12</v>
      </c>
      <c r="S11" s="61" t="s">
        <v>106</v>
      </c>
      <c r="T11" s="61">
        <v>13</v>
      </c>
      <c r="U11" s="61">
        <v>14</v>
      </c>
      <c r="V11" s="61" t="s">
        <v>107</v>
      </c>
      <c r="W11" s="61"/>
      <c r="X11" s="61">
        <v>15</v>
      </c>
      <c r="Y11" s="61">
        <v>16</v>
      </c>
      <c r="Z11" s="61" t="s">
        <v>108</v>
      </c>
      <c r="AA11" s="61">
        <v>17</v>
      </c>
      <c r="AB11" s="61">
        <v>18</v>
      </c>
      <c r="AC11" s="61" t="s">
        <v>108</v>
      </c>
      <c r="AD11" s="61" t="s">
        <v>108</v>
      </c>
      <c r="AE11" s="61">
        <v>19</v>
      </c>
      <c r="AF11" s="61">
        <v>20</v>
      </c>
      <c r="AG11" s="61">
        <v>21</v>
      </c>
      <c r="AH11" s="61"/>
      <c r="AI11" s="61">
        <v>22</v>
      </c>
      <c r="AJ11" s="61">
        <v>23</v>
      </c>
      <c r="AK11" s="61">
        <v>24</v>
      </c>
      <c r="AL11" s="61"/>
      <c r="AM11" s="61">
        <v>25</v>
      </c>
      <c r="AN11" s="61">
        <v>26</v>
      </c>
      <c r="AO11" s="61">
        <v>27</v>
      </c>
      <c r="AP11" s="61"/>
      <c r="AQ11" s="61">
        <v>28</v>
      </c>
      <c r="AR11" s="61">
        <v>29</v>
      </c>
      <c r="AS11" s="61">
        <v>30</v>
      </c>
      <c r="AT11" s="61"/>
      <c r="AU11" s="61">
        <v>31</v>
      </c>
      <c r="AV11" s="61">
        <v>32</v>
      </c>
      <c r="AW11" s="61">
        <v>33</v>
      </c>
      <c r="AX11" s="61"/>
      <c r="AY11" s="61">
        <v>34</v>
      </c>
      <c r="AZ11" s="61">
        <v>35</v>
      </c>
      <c r="BA11" s="61">
        <v>36</v>
      </c>
      <c r="BB11" s="61"/>
      <c r="BC11" s="61">
        <v>37</v>
      </c>
      <c r="BD11" s="61">
        <v>38</v>
      </c>
      <c r="BE11" s="61">
        <v>39</v>
      </c>
      <c r="BF11" s="61">
        <v>40</v>
      </c>
      <c r="BG11" s="61">
        <v>41</v>
      </c>
      <c r="BH11" s="61">
        <v>42</v>
      </c>
      <c r="BI11" s="61"/>
      <c r="BJ11" s="61">
        <v>43</v>
      </c>
      <c r="BK11" s="61">
        <v>44</v>
      </c>
      <c r="BL11" s="61">
        <v>45</v>
      </c>
      <c r="BM11" s="61">
        <v>46</v>
      </c>
      <c r="BN11" s="61">
        <v>47</v>
      </c>
      <c r="BO11" s="61">
        <v>48</v>
      </c>
      <c r="BP11" s="61"/>
      <c r="BQ11" s="61">
        <v>49</v>
      </c>
      <c r="BR11" s="61">
        <v>50</v>
      </c>
      <c r="BS11" s="61">
        <v>51</v>
      </c>
      <c r="BT11" s="61">
        <v>52</v>
      </c>
      <c r="BU11" s="61">
        <v>53</v>
      </c>
      <c r="BV11" s="61">
        <v>54</v>
      </c>
      <c r="BW11" s="61"/>
      <c r="BX11" s="61">
        <v>55</v>
      </c>
      <c r="BY11" s="61">
        <v>56</v>
      </c>
      <c r="BZ11" s="61">
        <v>57</v>
      </c>
      <c r="CA11" s="61">
        <v>58</v>
      </c>
      <c r="CB11" s="61">
        <v>59</v>
      </c>
      <c r="CC11" s="61">
        <v>60</v>
      </c>
      <c r="CD11" s="61" t="s">
        <v>108</v>
      </c>
      <c r="CE11" s="61">
        <v>61</v>
      </c>
      <c r="CF11" s="61">
        <v>62</v>
      </c>
      <c r="CG11" s="61">
        <v>63</v>
      </c>
      <c r="CH11" s="61"/>
      <c r="CI11" s="61">
        <v>64</v>
      </c>
      <c r="CJ11" s="61">
        <v>65</v>
      </c>
      <c r="CK11" s="61">
        <v>66</v>
      </c>
      <c r="CL11" s="61"/>
      <c r="CM11" s="61">
        <v>67</v>
      </c>
      <c r="CN11" s="61">
        <v>68</v>
      </c>
      <c r="CO11" s="61">
        <v>69</v>
      </c>
      <c r="CP11" s="61"/>
      <c r="CQ11" s="61">
        <v>70</v>
      </c>
      <c r="CR11" s="61">
        <v>71</v>
      </c>
      <c r="CS11" s="61">
        <v>72</v>
      </c>
      <c r="CT11" s="61"/>
      <c r="CU11" s="61">
        <v>73</v>
      </c>
      <c r="CV11" s="61">
        <v>74</v>
      </c>
      <c r="CW11" s="61">
        <v>75</v>
      </c>
      <c r="CX11" s="61"/>
      <c r="CY11" s="61">
        <v>76</v>
      </c>
      <c r="CZ11" s="61">
        <v>77</v>
      </c>
      <c r="DA11" s="61">
        <v>78</v>
      </c>
      <c r="DB11" s="61"/>
      <c r="DC11" s="61">
        <v>79</v>
      </c>
      <c r="DD11" s="61">
        <v>80</v>
      </c>
      <c r="DE11" s="61">
        <v>81</v>
      </c>
      <c r="DF11" s="61">
        <v>82</v>
      </c>
      <c r="DG11" s="61">
        <v>83</v>
      </c>
      <c r="DH11" s="61">
        <v>84</v>
      </c>
      <c r="DI11" s="61"/>
      <c r="DJ11" s="61">
        <v>85</v>
      </c>
      <c r="DK11" s="61">
        <v>86</v>
      </c>
      <c r="DL11" s="61">
        <v>87</v>
      </c>
      <c r="DM11" s="61">
        <v>88</v>
      </c>
      <c r="DN11" s="61">
        <v>89</v>
      </c>
      <c r="DO11" s="61">
        <v>90</v>
      </c>
      <c r="DP11" s="61"/>
      <c r="DQ11" s="61">
        <v>91</v>
      </c>
      <c r="DR11" s="61">
        <v>92</v>
      </c>
      <c r="DS11" s="61">
        <v>93</v>
      </c>
      <c r="DT11" s="61">
        <v>94</v>
      </c>
      <c r="DU11" s="61">
        <v>95</v>
      </c>
      <c r="DV11" s="61">
        <v>96</v>
      </c>
      <c r="DW11" s="61"/>
      <c r="DX11" s="61">
        <v>97</v>
      </c>
      <c r="DY11" s="61">
        <v>98</v>
      </c>
      <c r="DZ11" s="61">
        <v>99</v>
      </c>
      <c r="EA11" s="61">
        <v>100</v>
      </c>
      <c r="EB11" s="61">
        <v>101</v>
      </c>
      <c r="EC11" s="61">
        <v>102</v>
      </c>
      <c r="ED11" s="61" t="s">
        <v>108</v>
      </c>
      <c r="EE11" s="61">
        <v>103</v>
      </c>
      <c r="EF11" s="61">
        <v>104</v>
      </c>
      <c r="EG11" s="61">
        <v>105</v>
      </c>
      <c r="EH11" s="61"/>
      <c r="EI11" s="61">
        <v>106</v>
      </c>
      <c r="EJ11" s="61">
        <v>107</v>
      </c>
      <c r="EK11" s="61">
        <v>108</v>
      </c>
      <c r="EL11" s="61"/>
      <c r="EM11" s="61">
        <v>109</v>
      </c>
      <c r="EN11" s="61">
        <v>110</v>
      </c>
      <c r="EO11" s="61">
        <v>111</v>
      </c>
      <c r="EP11" s="61"/>
      <c r="EQ11" s="61">
        <v>112</v>
      </c>
      <c r="ER11" s="61">
        <v>113</v>
      </c>
      <c r="ES11" s="61">
        <v>114</v>
      </c>
      <c r="ET11" s="61"/>
      <c r="EU11" s="61">
        <v>115</v>
      </c>
      <c r="EV11" s="61">
        <v>116</v>
      </c>
      <c r="EW11" s="61">
        <v>117</v>
      </c>
      <c r="EX11" s="61"/>
      <c r="EY11" s="61">
        <v>118</v>
      </c>
      <c r="EZ11" s="61">
        <v>119</v>
      </c>
      <c r="FA11" s="61">
        <v>120</v>
      </c>
      <c r="FB11" s="61"/>
      <c r="FC11" s="61">
        <v>121</v>
      </c>
      <c r="FD11" s="61">
        <v>122</v>
      </c>
      <c r="FE11" s="61">
        <v>123</v>
      </c>
      <c r="FF11" s="61"/>
      <c r="FG11" s="61">
        <v>124</v>
      </c>
      <c r="FH11" s="61">
        <v>125</v>
      </c>
      <c r="FI11" s="61">
        <v>126</v>
      </c>
      <c r="FJ11" s="61"/>
    </row>
    <row r="12" spans="1:166" x14ac:dyDescent="0.3">
      <c r="A12" s="290" t="s">
        <v>43</v>
      </c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1"/>
      <c r="AA12" s="261"/>
      <c r="AB12" s="261"/>
      <c r="AC12" s="261"/>
      <c r="AD12" s="261"/>
      <c r="AE12" s="268"/>
      <c r="AF12" s="268"/>
      <c r="AG12" s="268"/>
      <c r="AH12" s="268"/>
      <c r="AI12" s="268"/>
      <c r="AJ12" s="268"/>
      <c r="AK12" s="268"/>
      <c r="AL12" s="268"/>
      <c r="AM12" s="268"/>
      <c r="AN12" s="268"/>
      <c r="AO12" s="268"/>
      <c r="AP12" s="268"/>
      <c r="AQ12" s="268"/>
      <c r="AR12" s="268"/>
      <c r="AS12" s="268"/>
      <c r="AT12" s="268"/>
      <c r="AU12" s="268"/>
      <c r="AV12" s="268"/>
      <c r="AW12" s="268"/>
      <c r="AX12" s="268"/>
      <c r="AY12" s="268"/>
      <c r="AZ12" s="268"/>
      <c r="BA12" s="268"/>
      <c r="BB12" s="268"/>
      <c r="BC12" s="261"/>
      <c r="BD12" s="261"/>
      <c r="BE12" s="261"/>
      <c r="BF12" s="261"/>
      <c r="BG12" s="261"/>
      <c r="BH12" s="261"/>
      <c r="BI12" s="261"/>
      <c r="BJ12" s="261"/>
      <c r="BK12" s="261"/>
      <c r="BL12" s="261"/>
      <c r="BM12" s="261"/>
      <c r="BN12" s="261"/>
      <c r="BO12" s="261"/>
      <c r="BP12" s="261"/>
      <c r="BQ12" s="261"/>
      <c r="BR12" s="261"/>
      <c r="BS12" s="261"/>
      <c r="BT12" s="261"/>
      <c r="BU12" s="261"/>
      <c r="BV12" s="261"/>
      <c r="BW12" s="261"/>
      <c r="BX12" s="261"/>
      <c r="BY12" s="261"/>
      <c r="BZ12" s="261"/>
      <c r="CA12" s="261"/>
      <c r="CB12" s="261"/>
      <c r="CC12" s="261"/>
      <c r="CD12" s="261"/>
      <c r="CE12" s="271"/>
      <c r="CF12" s="271"/>
      <c r="CG12" s="271"/>
      <c r="CH12" s="271"/>
      <c r="CI12" s="271"/>
      <c r="CJ12" s="271"/>
      <c r="CK12" s="271"/>
      <c r="CL12" s="271"/>
      <c r="CM12" s="271"/>
      <c r="CN12" s="271"/>
      <c r="CO12" s="271"/>
      <c r="CP12" s="271"/>
      <c r="CQ12" s="271"/>
      <c r="CR12" s="271"/>
      <c r="CS12" s="271"/>
      <c r="CT12" s="271"/>
      <c r="CU12" s="271"/>
      <c r="CV12" s="271"/>
      <c r="CW12" s="271"/>
      <c r="CX12" s="271"/>
      <c r="CY12" s="271"/>
      <c r="CZ12" s="271"/>
      <c r="DA12" s="271"/>
      <c r="DB12" s="271"/>
      <c r="DC12" s="261"/>
      <c r="DD12" s="261"/>
      <c r="DE12" s="261"/>
      <c r="DF12" s="261"/>
      <c r="DG12" s="261"/>
      <c r="DH12" s="261"/>
      <c r="DI12" s="261"/>
      <c r="DJ12" s="261"/>
      <c r="DK12" s="261"/>
      <c r="DL12" s="261"/>
      <c r="DM12" s="261"/>
      <c r="DN12" s="261"/>
      <c r="DO12" s="261"/>
      <c r="DP12" s="261"/>
      <c r="DQ12" s="261"/>
      <c r="DR12" s="261"/>
      <c r="DS12" s="261"/>
      <c r="DT12" s="261"/>
      <c r="DU12" s="261"/>
      <c r="DV12" s="261"/>
      <c r="DW12" s="261"/>
      <c r="DX12" s="261"/>
      <c r="DY12" s="261"/>
      <c r="DZ12" s="261"/>
      <c r="EA12" s="261"/>
      <c r="EB12" s="261"/>
      <c r="EC12" s="261"/>
      <c r="ED12" s="261"/>
      <c r="EE12" s="272"/>
      <c r="EF12" s="272"/>
      <c r="EG12" s="272"/>
      <c r="EH12" s="272"/>
      <c r="EI12" s="272"/>
      <c r="EJ12" s="272"/>
      <c r="EK12" s="272"/>
      <c r="EL12" s="272"/>
      <c r="EM12" s="272"/>
      <c r="EN12" s="272"/>
      <c r="EO12" s="272"/>
      <c r="EP12" s="272"/>
      <c r="EQ12" s="272"/>
      <c r="ER12" s="272"/>
      <c r="ES12" s="272"/>
      <c r="ET12" s="272"/>
      <c r="EU12" s="272"/>
      <c r="EV12" s="272"/>
      <c r="EW12" s="272"/>
      <c r="EX12" s="272"/>
      <c r="EY12" s="272"/>
      <c r="EZ12" s="272"/>
      <c r="FA12" s="272"/>
      <c r="FB12" s="272"/>
      <c r="FC12" s="47"/>
      <c r="FD12" s="47"/>
      <c r="FE12" s="47"/>
      <c r="FF12" s="47"/>
      <c r="FG12" s="47"/>
      <c r="FH12" s="47"/>
      <c r="FI12" s="47"/>
      <c r="FJ12" s="47"/>
    </row>
    <row r="13" spans="1:166" x14ac:dyDescent="0.3">
      <c r="A13" s="48" t="s">
        <v>3</v>
      </c>
      <c r="B13" s="258" t="s">
        <v>9</v>
      </c>
      <c r="C13" s="53">
        <v>34030054.159999996</v>
      </c>
      <c r="D13" s="53">
        <v>2168221.59</v>
      </c>
      <c r="E13" s="53">
        <f>C13+D13</f>
        <v>36198275.75</v>
      </c>
      <c r="F13" s="53">
        <v>808489.41</v>
      </c>
      <c r="G13" s="53">
        <v>1212734.1100000001</v>
      </c>
      <c r="H13" s="53">
        <f t="shared" ref="H13:H38" si="0">F13+G13</f>
        <v>2021223.52</v>
      </c>
      <c r="I13" s="56">
        <f>C13+D13+F13+G13</f>
        <v>38219499.269999996</v>
      </c>
      <c r="J13" s="252">
        <v>2778</v>
      </c>
      <c r="K13" s="252">
        <v>177</v>
      </c>
      <c r="L13" s="252">
        <f>J13+K13</f>
        <v>2955</v>
      </c>
      <c r="M13" s="252">
        <v>66</v>
      </c>
      <c r="N13" s="252">
        <v>99</v>
      </c>
      <c r="O13" s="252">
        <f>M13+N13</f>
        <v>165</v>
      </c>
      <c r="P13" s="56">
        <f>J13+K13+M13+N13</f>
        <v>3120</v>
      </c>
      <c r="Q13" s="252">
        <v>34096</v>
      </c>
      <c r="R13" s="252">
        <v>8059</v>
      </c>
      <c r="S13" s="59">
        <f>Q13+R13</f>
        <v>42155</v>
      </c>
      <c r="T13" s="252">
        <v>16027</v>
      </c>
      <c r="U13" s="252">
        <v>74749</v>
      </c>
      <c r="V13" s="256">
        <f>T13+U13</f>
        <v>90776</v>
      </c>
      <c r="W13" s="56">
        <f>Q13+R13+T13+U13</f>
        <v>132931</v>
      </c>
      <c r="X13" s="56">
        <f t="shared" ref="X13:AB14" si="1">C13/J13</f>
        <v>12249.839510439164</v>
      </c>
      <c r="Y13" s="56">
        <f t="shared" si="1"/>
        <v>12249.839491525423</v>
      </c>
      <c r="Z13" s="56">
        <f t="shared" si="1"/>
        <v>12249.839509306261</v>
      </c>
      <c r="AA13" s="56">
        <f t="shared" si="1"/>
        <v>12249.839545454546</v>
      </c>
      <c r="AB13" s="56">
        <f t="shared" si="1"/>
        <v>12249.839494949496</v>
      </c>
      <c r="AC13" s="56">
        <f t="shared" ref="AC13:AD28" si="2">H13/O13</f>
        <v>12249.839515151516</v>
      </c>
      <c r="AD13" s="56">
        <f t="shared" si="2"/>
        <v>12249.839509615384</v>
      </c>
      <c r="AE13" s="269">
        <f>AVERAGE(X13:X38)</f>
        <v>11179.172539100718</v>
      </c>
      <c r="AF13" s="269">
        <f>AVERAGE(Z13:Z38)</f>
        <v>11749.345879561241</v>
      </c>
      <c r="AG13" s="269">
        <f>AVERAGE(AC13:AC38)</f>
        <v>62447.597320796202</v>
      </c>
      <c r="AH13" s="269">
        <f>AVERAGE(AD13:AD38)</f>
        <v>14030.084680886577</v>
      </c>
      <c r="AI13" s="269">
        <f>_xlfn.STDEV.S(X13:X38)</f>
        <v>10947.419092737762</v>
      </c>
      <c r="AJ13" s="269">
        <f>_xlfn.STDEV.S(Z13:Z38)</f>
        <v>11462.838583242534</v>
      </c>
      <c r="AK13" s="269">
        <f>_xlfn.STDEV.S(AC13:AC38)</f>
        <v>71087.313681547399</v>
      </c>
      <c r="AL13" s="269">
        <f>_xlfn.STDEV.S(AD13:AD38)</f>
        <v>13201.274679232716</v>
      </c>
      <c r="AM13" s="269">
        <f>AE13-AI13</f>
        <v>231.75344636295631</v>
      </c>
      <c r="AN13" s="269">
        <f>AF13-AJ13</f>
        <v>286.50729631870672</v>
      </c>
      <c r="AO13" s="269">
        <f>AG13-AK13</f>
        <v>-8639.7163607511975</v>
      </c>
      <c r="AP13" s="269">
        <f>AH13-AL13</f>
        <v>828.81000165386104</v>
      </c>
      <c r="AQ13" s="269">
        <f>AE13+AI13</f>
        <v>22126.591631838481</v>
      </c>
      <c r="AR13" s="269">
        <f>AF13+AJ13</f>
        <v>23212.184462803772</v>
      </c>
      <c r="AS13" s="269">
        <f>AG13+AK13</f>
        <v>133534.91100234361</v>
      </c>
      <c r="AT13" s="269">
        <f>AH13+AL13</f>
        <v>27231.359360119292</v>
      </c>
      <c r="AU13" s="269">
        <f t="shared" ref="AU13:AU35" si="3">IF(AND(X13&gt;$AM$13,X13&lt;$AQ$13),X13,0)</f>
        <v>12249.839510439164</v>
      </c>
      <c r="AV13" s="269">
        <f t="shared" ref="AV13:AV38" si="4">IF(AND(Z13&gt;$AN$13,Z13&lt;$AR$13),Z13,0)</f>
        <v>12249.839509306261</v>
      </c>
      <c r="AW13" s="269">
        <f>IF(AND(AC13&gt;$AO$13,AC13&lt;$AS$13),AC13,0)</f>
        <v>12249.839515151516</v>
      </c>
      <c r="AX13" s="269">
        <f>IF(AND(AD13&gt;$AP$13,AD13&lt;$AT$13),AD13,0)</f>
        <v>12249.839509615384</v>
      </c>
      <c r="AY13" s="269">
        <f t="shared" ref="AY13:AY35" si="5">AU13*J13</f>
        <v>34030054.159999996</v>
      </c>
      <c r="AZ13" s="269">
        <f t="shared" ref="AZ13:AZ38" si="6">AV13*L13</f>
        <v>36198275.75</v>
      </c>
      <c r="BA13" s="269">
        <f>AW13*O13</f>
        <v>2021223.5200000003</v>
      </c>
      <c r="BB13" s="269">
        <f>AX13*P13</f>
        <v>38219499.269999996</v>
      </c>
      <c r="BC13" s="53">
        <v>32542152.899999999</v>
      </c>
      <c r="BD13" s="53">
        <v>3374017.36</v>
      </c>
      <c r="BE13" s="56">
        <f>BC13+BD13</f>
        <v>35916170.259999998</v>
      </c>
      <c r="BF13" s="53">
        <v>2017075.59</v>
      </c>
      <c r="BG13" s="53">
        <v>1479188.77</v>
      </c>
      <c r="BH13" s="56">
        <f>BF13+BG13</f>
        <v>3496264.3600000003</v>
      </c>
      <c r="BI13" s="56">
        <f>BC13+BD13+BF13+BG13</f>
        <v>39412434.620000005</v>
      </c>
      <c r="BJ13" s="252">
        <v>2662</v>
      </c>
      <c r="BK13" s="252">
        <v>276</v>
      </c>
      <c r="BL13" s="252">
        <f>BJ13+BK13</f>
        <v>2938</v>
      </c>
      <c r="BM13" s="252">
        <v>165</v>
      </c>
      <c r="BN13" s="252">
        <v>121</v>
      </c>
      <c r="BO13" s="252">
        <f>BM13+BN13</f>
        <v>286</v>
      </c>
      <c r="BP13" s="56">
        <f>BJ13+BK13+BM13+BN13</f>
        <v>3224</v>
      </c>
      <c r="BQ13" s="252">
        <v>31792</v>
      </c>
      <c r="BR13" s="252">
        <v>13498</v>
      </c>
      <c r="BS13" s="59">
        <f>BQ13+BR13</f>
        <v>45290</v>
      </c>
      <c r="BT13" s="252">
        <v>30316</v>
      </c>
      <c r="BU13" s="252">
        <v>84282</v>
      </c>
      <c r="BV13" s="59">
        <f>BT13+BU13</f>
        <v>114598</v>
      </c>
      <c r="BW13" s="56">
        <f>BQ13+BR13+BT13+BU13</f>
        <v>159888</v>
      </c>
      <c r="BX13" s="56">
        <f t="shared" ref="BX13:CD13" si="7">BC13/BJ13</f>
        <v>12224.7005634861</v>
      </c>
      <c r="BY13" s="56">
        <f t="shared" si="7"/>
        <v>12224.700579710145</v>
      </c>
      <c r="BZ13" s="56">
        <f t="shared" si="7"/>
        <v>12224.700565010211</v>
      </c>
      <c r="CA13" s="56">
        <f t="shared" si="7"/>
        <v>12224.700545454545</v>
      </c>
      <c r="CB13" s="56">
        <f t="shared" si="7"/>
        <v>12224.700578512397</v>
      </c>
      <c r="CC13" s="56">
        <f t="shared" si="7"/>
        <v>12224.70055944056</v>
      </c>
      <c r="CD13" s="56">
        <f t="shared" si="7"/>
        <v>12224.70056451613</v>
      </c>
      <c r="CE13" s="238">
        <f>AVERAGE(BX13:BX38)</f>
        <v>9817.070627187426</v>
      </c>
      <c r="CF13" s="238">
        <f>AVERAGE(BZ13:BZ38)</f>
        <v>11033.355190828497</v>
      </c>
      <c r="CG13" s="238">
        <f>AVERAGE(CC13:CC38)</f>
        <v>31525.41156631324</v>
      </c>
      <c r="CH13" s="238">
        <f>AVERAGE(CD13:CD38)</f>
        <v>10908.769165192944</v>
      </c>
      <c r="CI13" s="238">
        <f>_xlfn.STDEV.S(BX13:BX38)</f>
        <v>7481.5861196230408</v>
      </c>
      <c r="CJ13" s="238">
        <f>_xlfn.STDEV.S(BZ13:BZ38)</f>
        <v>7686.808031337333</v>
      </c>
      <c r="CK13" s="238">
        <f>_xlfn.STDEV.S(CC13:CC38)</f>
        <v>32487.438307588865</v>
      </c>
      <c r="CL13" s="238">
        <f>_xlfn.STDEV.S(CD13:CD38)</f>
        <v>7652.6664863270971</v>
      </c>
      <c r="CM13" s="238">
        <f>CE13-CI13</f>
        <v>2335.4845075643852</v>
      </c>
      <c r="CN13" s="238">
        <f>CF13-CJ13</f>
        <v>3346.5471594911642</v>
      </c>
      <c r="CO13" s="238">
        <f>CG13-CK13</f>
        <v>-962.02674127562568</v>
      </c>
      <c r="CP13" s="238">
        <f>CH13-CL13</f>
        <v>3256.1026788658464</v>
      </c>
      <c r="CQ13" s="238">
        <f>CE13+CI13</f>
        <v>17298.656746810466</v>
      </c>
      <c r="CR13" s="238">
        <f>CF13+CJ13</f>
        <v>18720.163222165829</v>
      </c>
      <c r="CS13" s="238">
        <f>CG13+CK13</f>
        <v>64012.849873902102</v>
      </c>
      <c r="CT13" s="238">
        <f>CH13+CL13</f>
        <v>18561.435651520042</v>
      </c>
      <c r="CU13" s="238">
        <f t="shared" ref="CU13:CU38" si="8">IF(AND(BX13&gt;$CM$13,BX13&lt;$CQ$13),BX13,0)</f>
        <v>12224.7005634861</v>
      </c>
      <c r="CV13" s="238">
        <f t="shared" ref="CV13:CV38" si="9">IF(AND(BZ13&gt;$CN$13,BZ13&lt;$CR$13),BZ13,0)</f>
        <v>12224.700565010211</v>
      </c>
      <c r="CW13" s="238">
        <f>IF(AND(CC13&gt;$CO$13,CC13&lt;$CS$13),CC13,0)</f>
        <v>12224.70055944056</v>
      </c>
      <c r="CX13" s="238">
        <f>IF(AND(CD13&gt;$CP$13,CD13&lt;$CT$13),CD13,0)</f>
        <v>12224.70056451613</v>
      </c>
      <c r="CY13" s="238">
        <f t="shared" ref="CY13:CY38" si="10">CU13*BJ13</f>
        <v>32542152.899999999</v>
      </c>
      <c r="CZ13" s="238">
        <f t="shared" ref="CZ13:CZ38" si="11">CV13*BL13</f>
        <v>35916170.259999998</v>
      </c>
      <c r="DA13" s="238">
        <f>CW13*BO13</f>
        <v>3496264.3600000003</v>
      </c>
      <c r="DB13" s="238">
        <f>CX13*BP13</f>
        <v>39412434.620000005</v>
      </c>
      <c r="DC13" s="53">
        <v>40630969.369999997</v>
      </c>
      <c r="DD13" s="53">
        <v>2553312.2799999998</v>
      </c>
      <c r="DE13" s="56">
        <f>DC13+DD13</f>
        <v>43184281.649999999</v>
      </c>
      <c r="DF13" s="53">
        <v>1387669.72</v>
      </c>
      <c r="DG13" s="53">
        <v>1124012.47</v>
      </c>
      <c r="DH13" s="56">
        <f>DF13+DG13</f>
        <v>2511682.19</v>
      </c>
      <c r="DI13" s="56">
        <f>DC13+DD13+DF13+DG13</f>
        <v>45695963.839999996</v>
      </c>
      <c r="DJ13" s="252">
        <v>2928</v>
      </c>
      <c r="DK13" s="252">
        <v>184</v>
      </c>
      <c r="DL13" s="56">
        <f>DJ13+DK13</f>
        <v>3112</v>
      </c>
      <c r="DM13" s="252">
        <v>100</v>
      </c>
      <c r="DN13" s="252">
        <v>81</v>
      </c>
      <c r="DO13" s="56">
        <f>DM13+DN13</f>
        <v>181</v>
      </c>
      <c r="DP13" s="56">
        <f>DJ13+DK13+DM13+DN13</f>
        <v>3293</v>
      </c>
      <c r="DQ13" s="252">
        <v>35262</v>
      </c>
      <c r="DR13" s="252">
        <v>7918</v>
      </c>
      <c r="DS13" s="59">
        <f>DQ13+DR13</f>
        <v>43180</v>
      </c>
      <c r="DT13" s="252">
        <v>17938</v>
      </c>
      <c r="DU13" s="252">
        <v>56691</v>
      </c>
      <c r="DV13" s="59">
        <f>DT13+DU13</f>
        <v>74629</v>
      </c>
      <c r="DW13" s="59">
        <f>DQ13+DR13+DT13+DU13</f>
        <v>117809</v>
      </c>
      <c r="DX13" s="56">
        <f>DC13/DJ13</f>
        <v>13876.697189207649</v>
      </c>
      <c r="DY13" s="56">
        <f t="shared" ref="DY13" si="12">DD13/DK13</f>
        <v>13876.697173913042</v>
      </c>
      <c r="DZ13" s="56">
        <f t="shared" ref="DZ13" si="13">DE13/DL13</f>
        <v>13876.697188303342</v>
      </c>
      <c r="EA13" s="56">
        <f>DF13/DM13</f>
        <v>13876.697200000001</v>
      </c>
      <c r="EB13" s="56">
        <f t="shared" ref="EB13" si="14">DG13/DN13</f>
        <v>13876.697160493826</v>
      </c>
      <c r="EC13" s="56">
        <f t="shared" ref="EC13:ED28" si="15">DH13/DO13</f>
        <v>13876.697182320442</v>
      </c>
      <c r="ED13" s="56">
        <f t="shared" si="15"/>
        <v>13876.697187974491</v>
      </c>
      <c r="EE13" s="273">
        <f>AVERAGE(DX13:DX38)</f>
        <v>11309.021073900938</v>
      </c>
      <c r="EF13" s="273">
        <f>AVERAGE(DZ13:DZ38)</f>
        <v>11641.356848377141</v>
      </c>
      <c r="EG13" s="273">
        <f>AVERAGE(EC13:EC38)</f>
        <v>49693.426567432907</v>
      </c>
      <c r="EH13" s="273">
        <f>AVERAGE(ED13:ED38)</f>
        <v>11908.969481318618</v>
      </c>
      <c r="EI13" s="273">
        <f>_xlfn.STDEV.S(DX13:DX38)</f>
        <v>11911.690239266396</v>
      </c>
      <c r="EJ13" s="273">
        <f>_xlfn.STDEV.S(DZ13:DZ38)</f>
        <v>11926.972929703876</v>
      </c>
      <c r="EK13" s="273">
        <f>_xlfn.STDEV.S(EC13:EC38)</f>
        <v>44639.938366593473</v>
      </c>
      <c r="EL13" s="273">
        <f>_xlfn.STDEV.S(ED13:ED38)</f>
        <v>11965.734182427328</v>
      </c>
      <c r="EM13" s="273">
        <f>EE13-EI13</f>
        <v>-602.66916536545796</v>
      </c>
      <c r="EN13" s="273">
        <f>EF13-EJ13</f>
        <v>-285.61608132673427</v>
      </c>
      <c r="EO13" s="273">
        <f>EG13-EK13</f>
        <v>5053.4882008394343</v>
      </c>
      <c r="EP13" s="273">
        <f>EH13-EL13</f>
        <v>-56.764701108710142</v>
      </c>
      <c r="EQ13" s="273">
        <f>EE13+EI13</f>
        <v>23220.711313167332</v>
      </c>
      <c r="ER13" s="273">
        <f>EF13+EJ13</f>
        <v>23568.329778081017</v>
      </c>
      <c r="ES13" s="273">
        <f>EG13+EK13</f>
        <v>94333.36493402638</v>
      </c>
      <c r="ET13" s="273">
        <f>EH13+EL13</f>
        <v>23874.703663745946</v>
      </c>
      <c r="EU13" s="273">
        <f t="shared" ref="EU13:EU38" si="16">IF(AND(DX13&gt;$EM$13,DX13&lt;$EQ$13),DX13,0)</f>
        <v>13876.697189207649</v>
      </c>
      <c r="EV13" s="273">
        <f t="shared" ref="EV13:EV38" si="17">IF(AND(DZ13&gt;$EN$13,DZ13&lt;$ER$13),DZ13,0)</f>
        <v>13876.697188303342</v>
      </c>
      <c r="EW13" s="273">
        <f t="shared" ref="EW13:EW38" si="18">IF(AND(EC13&gt;$EO$13,EC13&lt;$ES$13),EC13,0)</f>
        <v>13876.697182320442</v>
      </c>
      <c r="EX13" s="273">
        <f>IF(AND(ED13&gt;$EP$13,ED13&lt;$ET$13),ED13,0)</f>
        <v>13876.697187974491</v>
      </c>
      <c r="EY13" s="273">
        <f t="shared" ref="EY13:EY38" si="19">EU13*DJ13</f>
        <v>40630969.369999997</v>
      </c>
      <c r="EZ13" s="273">
        <f t="shared" ref="EZ13:EZ38" si="20">EV13*DL13</f>
        <v>43184281.649999999</v>
      </c>
      <c r="FA13" s="273">
        <f>EW13*DO13</f>
        <v>2511682.19</v>
      </c>
      <c r="FB13" s="273">
        <f>EX13*DP13</f>
        <v>45695963.839999996</v>
      </c>
      <c r="FC13" s="56"/>
      <c r="FD13" s="56"/>
      <c r="FE13" s="56"/>
      <c r="FF13" s="56"/>
      <c r="FG13" s="47"/>
      <c r="FH13" s="47"/>
      <c r="FI13" s="47"/>
      <c r="FJ13" s="47"/>
    </row>
    <row r="14" spans="1:166" x14ac:dyDescent="0.3">
      <c r="A14" s="48" t="s">
        <v>4</v>
      </c>
      <c r="B14" s="258" t="s">
        <v>10</v>
      </c>
      <c r="C14" s="53">
        <v>12605709.199999999</v>
      </c>
      <c r="D14" s="53">
        <v>6188718.3999999994</v>
      </c>
      <c r="E14" s="53">
        <f t="shared" ref="E14:E38" si="21">C14+D14</f>
        <v>18794427.599999998</v>
      </c>
      <c r="F14" s="53">
        <v>1318907.2</v>
      </c>
      <c r="G14" s="53">
        <v>101454.39999999999</v>
      </c>
      <c r="H14" s="53">
        <f t="shared" si="0"/>
        <v>1420361.5999999999</v>
      </c>
      <c r="I14" s="56">
        <f t="shared" ref="I14:I38" si="22">C14+D14+F14+G14</f>
        <v>20214789.199999996</v>
      </c>
      <c r="J14" s="59">
        <f>3+507</f>
        <v>510</v>
      </c>
      <c r="K14" s="59">
        <f>1+186</f>
        <v>187</v>
      </c>
      <c r="L14" s="59">
        <f>J14+K14</f>
        <v>697</v>
      </c>
      <c r="M14" s="59">
        <f>2+36</f>
        <v>38</v>
      </c>
      <c r="N14" s="59">
        <v>2</v>
      </c>
      <c r="O14" s="59">
        <f t="shared" ref="O14:O36" si="23">M14+N14</f>
        <v>40</v>
      </c>
      <c r="P14" s="56">
        <f t="shared" ref="P14:P38" si="24">J14+K14+M14+N14</f>
        <v>737</v>
      </c>
      <c r="Q14" s="59">
        <f>45+7323</f>
        <v>7368</v>
      </c>
      <c r="R14" s="59">
        <f>150+11623</f>
        <v>11773</v>
      </c>
      <c r="S14" s="59">
        <f t="shared" ref="S14:S38" si="25">Q14+R14</f>
        <v>19141</v>
      </c>
      <c r="T14" s="59">
        <f>920+11827.5</f>
        <v>12747.5</v>
      </c>
      <c r="U14" s="59">
        <v>2631.7</v>
      </c>
      <c r="V14" s="256">
        <f t="shared" ref="V14:V22" si="26">T14+U14</f>
        <v>15379.2</v>
      </c>
      <c r="W14" s="56">
        <f t="shared" ref="W14:W38" si="27">Q14+R14+T14+U14</f>
        <v>34520.199999999997</v>
      </c>
      <c r="X14" s="56">
        <f t="shared" si="1"/>
        <v>24717.076862745096</v>
      </c>
      <c r="Y14" s="56">
        <f t="shared" si="1"/>
        <v>33094.750802139031</v>
      </c>
      <c r="Z14" s="56">
        <f t="shared" si="1"/>
        <v>26964.745480631274</v>
      </c>
      <c r="AA14" s="56">
        <f t="shared" si="1"/>
        <v>34708.084210526315</v>
      </c>
      <c r="AB14" s="56">
        <f t="shared" si="1"/>
        <v>50727.199999999997</v>
      </c>
      <c r="AC14" s="56">
        <f t="shared" ref="AC14:AC30" si="28">H14/O14</f>
        <v>35509.039999999994</v>
      </c>
      <c r="AD14" s="56">
        <f t="shared" si="2"/>
        <v>27428.479240162815</v>
      </c>
      <c r="AE14" s="269"/>
      <c r="AF14" s="270"/>
      <c r="AG14" s="269"/>
      <c r="AH14" s="269"/>
      <c r="AI14" s="269"/>
      <c r="AJ14" s="269"/>
      <c r="AK14" s="270"/>
      <c r="AL14" s="270"/>
      <c r="AM14" s="270"/>
      <c r="AN14" s="267"/>
      <c r="AO14" s="267"/>
      <c r="AP14" s="267"/>
      <c r="AQ14" s="267"/>
      <c r="AR14" s="267"/>
      <c r="AS14" s="267"/>
      <c r="AT14" s="267"/>
      <c r="AU14" s="269">
        <f t="shared" si="3"/>
        <v>0</v>
      </c>
      <c r="AV14" s="269">
        <f t="shared" si="4"/>
        <v>0</v>
      </c>
      <c r="AW14" s="269">
        <f t="shared" ref="AW14:AW38" si="29">IF(AND(AC14&gt;$AO$13,AC14&lt;$AS$13),AC14,0)</f>
        <v>35509.039999999994</v>
      </c>
      <c r="AX14" s="269">
        <f t="shared" ref="AX14:AX38" si="30">IF(AND(AD14&gt;$AP$13,AD14&lt;$AT$13),AD14,0)</f>
        <v>0</v>
      </c>
      <c r="AY14" s="269">
        <f t="shared" si="5"/>
        <v>0</v>
      </c>
      <c r="AZ14" s="269">
        <f t="shared" si="6"/>
        <v>0</v>
      </c>
      <c r="BA14" s="269">
        <f t="shared" ref="BA14:BA38" si="31">AW14*O14</f>
        <v>1420361.5999999996</v>
      </c>
      <c r="BB14" s="269">
        <f t="shared" ref="BB14:BB38" si="32">AX14*P14</f>
        <v>0</v>
      </c>
      <c r="BC14" s="53">
        <f>54359.6+15927362.8</f>
        <v>15981722.4</v>
      </c>
      <c r="BD14" s="53">
        <v>6713410.5999999996</v>
      </c>
      <c r="BE14" s="56">
        <f t="shared" ref="BE14:BE38" si="33">BC14+BD14</f>
        <v>22695133</v>
      </c>
      <c r="BF14" s="53">
        <v>1440529.4</v>
      </c>
      <c r="BG14" s="53">
        <v>163078.79999999999</v>
      </c>
      <c r="BH14" s="56">
        <f t="shared" ref="BH14:BH38" si="34">BF14+BG14</f>
        <v>1603608.2</v>
      </c>
      <c r="BI14" s="56">
        <f t="shared" ref="BI14:BI38" si="35">BC14+BD14+BF14+BG14</f>
        <v>24298741.199999999</v>
      </c>
      <c r="BJ14" s="256">
        <f>2+586</f>
        <v>588</v>
      </c>
      <c r="BK14" s="256">
        <f>6+242</f>
        <v>248</v>
      </c>
      <c r="BL14" s="256">
        <f t="shared" ref="BL14:BL38" si="36">BJ14+BK14</f>
        <v>836</v>
      </c>
      <c r="BM14" s="256">
        <f>3+50</f>
        <v>53</v>
      </c>
      <c r="BN14" s="256">
        <f>1+5</f>
        <v>6</v>
      </c>
      <c r="BO14" s="256">
        <f t="shared" ref="BO14:BO38" si="37">BM14+BN14</f>
        <v>59</v>
      </c>
      <c r="BP14" s="56">
        <f t="shared" ref="BP14:BP38" si="38">BJ14+BK14+BM14+BN14</f>
        <v>895</v>
      </c>
      <c r="BQ14" s="256">
        <f>24+8218</f>
        <v>8242</v>
      </c>
      <c r="BR14" s="256">
        <f>475+15571.4</f>
        <v>16046.4</v>
      </c>
      <c r="BS14" s="256">
        <f t="shared" ref="BS14:BS38" si="39">BQ14+BR14</f>
        <v>24288.400000000001</v>
      </c>
      <c r="BT14" s="256">
        <f>710+16663.4</f>
        <v>17373.400000000001</v>
      </c>
      <c r="BU14" s="256">
        <f>1200+44694.8</f>
        <v>45894.8</v>
      </c>
      <c r="BV14" s="59">
        <f t="shared" ref="BV14:BV38" si="40">BT14+BU14</f>
        <v>63268.200000000004</v>
      </c>
      <c r="BW14" s="56">
        <f t="shared" ref="BW14:BW38" si="41">BQ14+BR14+BT14+BU14</f>
        <v>87556.6</v>
      </c>
      <c r="BX14" s="56">
        <f t="shared" ref="BX14:BX35" si="42">BC14/BJ14</f>
        <v>27179.8</v>
      </c>
      <c r="BY14" s="56">
        <f t="shared" ref="BY14:BY33" si="43">BD14/BK14</f>
        <v>27070.204032258061</v>
      </c>
      <c r="BZ14" s="56">
        <f t="shared" ref="BZ14:BZ33" si="44">BE14/BL14</f>
        <v>27147.288277511961</v>
      </c>
      <c r="CA14" s="56">
        <f t="shared" ref="CA14:CA33" si="45">BF14/BM14</f>
        <v>27179.8</v>
      </c>
      <c r="CB14" s="56">
        <f t="shared" ref="CB14" si="46">BG14/BN14</f>
        <v>27179.8</v>
      </c>
      <c r="CC14" s="56">
        <f t="shared" ref="CC14:CC33" si="47">BH14/BO14</f>
        <v>27179.8</v>
      </c>
      <c r="CD14" s="56">
        <f t="shared" ref="CD14:CD35" si="48">BI14/BP14</f>
        <v>27149.431508379887</v>
      </c>
      <c r="CE14" s="238"/>
      <c r="CF14" s="241"/>
      <c r="CG14" s="241"/>
      <c r="CH14" s="241"/>
      <c r="CI14" s="241"/>
      <c r="CJ14" s="241"/>
      <c r="CK14" s="241"/>
      <c r="CL14" s="241"/>
      <c r="CM14" s="241"/>
      <c r="CN14" s="241"/>
      <c r="CO14" s="241"/>
      <c r="CP14" s="241"/>
      <c r="CQ14" s="241"/>
      <c r="CR14" s="241"/>
      <c r="CS14" s="241"/>
      <c r="CT14" s="241"/>
      <c r="CU14" s="238">
        <f t="shared" si="8"/>
        <v>0</v>
      </c>
      <c r="CV14" s="238">
        <f t="shared" si="9"/>
        <v>0</v>
      </c>
      <c r="CW14" s="238">
        <f t="shared" ref="CW14:CW38" si="49">IF(AND(CC14&gt;$CO$13,CC14&lt;$CS$13),CC14,0)</f>
        <v>27179.8</v>
      </c>
      <c r="CX14" s="238">
        <f t="shared" ref="CX14:CX38" si="50">IF(AND(CD14&gt;$CP$13,CD14&lt;$CT$13),CD14,0)</f>
        <v>0</v>
      </c>
      <c r="CY14" s="238">
        <f t="shared" si="10"/>
        <v>0</v>
      </c>
      <c r="CZ14" s="238">
        <f t="shared" si="11"/>
        <v>0</v>
      </c>
      <c r="DA14" s="238">
        <f t="shared" ref="DA14:DA38" si="51">CW14*BO14</f>
        <v>1603608.2</v>
      </c>
      <c r="DB14" s="238">
        <f t="shared" ref="DB14:DB38" si="52">CX14*BP14</f>
        <v>0</v>
      </c>
      <c r="DC14" s="53">
        <v>14754550.600000001</v>
      </c>
      <c r="DD14" s="53">
        <v>5466714.4000000004</v>
      </c>
      <c r="DE14" s="56">
        <f t="shared" ref="DE14:DE38" si="53">DC14+DD14</f>
        <v>20221265</v>
      </c>
      <c r="DF14" s="53">
        <v>1785049.6</v>
      </c>
      <c r="DG14" s="53">
        <v>111565.6</v>
      </c>
      <c r="DH14" s="56">
        <f t="shared" ref="DH14:DH38" si="54">DF14+DG14</f>
        <v>1896615.2000000002</v>
      </c>
      <c r="DI14" s="56">
        <f t="shared" ref="DI14:DI38" si="55">DC14+DD14+DF14+DG14</f>
        <v>22117880.200000003</v>
      </c>
      <c r="DJ14" s="256">
        <f>3+526</f>
        <v>529</v>
      </c>
      <c r="DK14" s="256">
        <f>7+189</f>
        <v>196</v>
      </c>
      <c r="DL14" s="255">
        <f t="shared" ref="DL14:DL38" si="56">DJ14+DK14</f>
        <v>725</v>
      </c>
      <c r="DM14" s="256">
        <f>3+61</f>
        <v>64</v>
      </c>
      <c r="DN14" s="256">
        <v>4</v>
      </c>
      <c r="DO14" s="255">
        <f t="shared" ref="DO14:DO38" si="57">DM14+DN14</f>
        <v>68</v>
      </c>
      <c r="DP14" s="255">
        <f t="shared" ref="DP14:DP38" si="58">DJ14+DK14+DM14+DN14</f>
        <v>793</v>
      </c>
      <c r="DQ14" s="256">
        <f>45+7269.9</f>
        <v>7314.9</v>
      </c>
      <c r="DR14" s="256">
        <f>490+11716.3</f>
        <v>12206.3</v>
      </c>
      <c r="DS14" s="256">
        <f t="shared" ref="DS14:DS38" si="59">DQ14+DR14</f>
        <v>19521.199999999997</v>
      </c>
      <c r="DT14" s="256">
        <f>640+20190</f>
        <v>20830</v>
      </c>
      <c r="DU14" s="256">
        <v>3130</v>
      </c>
      <c r="DV14" s="59">
        <f t="shared" ref="DV14:DV38" si="60">DT14+DU14</f>
        <v>23960</v>
      </c>
      <c r="DW14" s="59">
        <f t="shared" ref="DW14:DW38" si="61">DQ14+DR14+DT14+DU14</f>
        <v>43481.2</v>
      </c>
      <c r="DX14" s="56">
        <f t="shared" ref="DX14:DX38" si="62">DC14/DJ14</f>
        <v>27891.4</v>
      </c>
      <c r="DY14" s="56">
        <f t="shared" ref="DY14:DY33" si="63">DD14/DK14</f>
        <v>27891.4</v>
      </c>
      <c r="DZ14" s="56">
        <f t="shared" ref="DZ14:DZ38" si="64">DE14/DL14</f>
        <v>27891.4</v>
      </c>
      <c r="EA14" s="56">
        <f t="shared" ref="EA14:EA30" si="65">DF14/DM14</f>
        <v>27891.4</v>
      </c>
      <c r="EB14" s="56">
        <f t="shared" ref="EB14:EB30" si="66">DG14/DN14</f>
        <v>27891.4</v>
      </c>
      <c r="EC14" s="56">
        <f t="shared" ref="EC14:EC30" si="67">DH14/DO14</f>
        <v>27891.4</v>
      </c>
      <c r="ED14" s="56">
        <f t="shared" si="15"/>
        <v>27891.400000000005</v>
      </c>
      <c r="EE14" s="273"/>
      <c r="EF14" s="274"/>
      <c r="EG14" s="274"/>
      <c r="EH14" s="274"/>
      <c r="EI14" s="274"/>
      <c r="EJ14" s="274"/>
      <c r="EK14" s="274"/>
      <c r="EL14" s="274"/>
      <c r="EM14" s="274"/>
      <c r="EN14" s="274"/>
      <c r="EO14" s="274"/>
      <c r="EP14" s="274"/>
      <c r="EQ14" s="274"/>
      <c r="ER14" s="274"/>
      <c r="ES14" s="274"/>
      <c r="ET14" s="274"/>
      <c r="EU14" s="273">
        <f t="shared" si="16"/>
        <v>0</v>
      </c>
      <c r="EV14" s="273">
        <f t="shared" si="17"/>
        <v>0</v>
      </c>
      <c r="EW14" s="273">
        <f t="shared" si="18"/>
        <v>27891.4</v>
      </c>
      <c r="EX14" s="273">
        <f t="shared" ref="EX14:EX38" si="68">IF(AND(ED14&gt;$EP$13,ED14&lt;$ET$13),ED14,0)</f>
        <v>0</v>
      </c>
      <c r="EY14" s="273">
        <f t="shared" si="19"/>
        <v>0</v>
      </c>
      <c r="EZ14" s="273">
        <f t="shared" si="20"/>
        <v>0</v>
      </c>
      <c r="FA14" s="273">
        <f t="shared" ref="FA14:FA38" si="69">EW14*DO14</f>
        <v>1896615.2000000002</v>
      </c>
      <c r="FB14" s="273">
        <f t="shared" ref="FB14:FB38" si="70">EX14*DP14</f>
        <v>0</v>
      </c>
      <c r="FC14" s="56"/>
      <c r="FD14" s="56"/>
      <c r="FE14" s="56"/>
      <c r="FF14" s="56"/>
      <c r="FG14" s="47"/>
      <c r="FH14" s="47"/>
      <c r="FI14" s="47"/>
      <c r="FJ14" s="47"/>
    </row>
    <row r="15" spans="1:166" ht="28.8" x14ac:dyDescent="0.3">
      <c r="A15" s="48" t="s">
        <v>5</v>
      </c>
      <c r="B15" s="258" t="s">
        <v>11</v>
      </c>
      <c r="C15" s="53">
        <v>14210602</v>
      </c>
      <c r="D15" s="53">
        <v>2581317</v>
      </c>
      <c r="E15" s="53">
        <f t="shared" si="21"/>
        <v>16791919</v>
      </c>
      <c r="F15" s="53">
        <v>0</v>
      </c>
      <c r="G15" s="53">
        <v>0</v>
      </c>
      <c r="H15" s="53">
        <f t="shared" si="0"/>
        <v>0</v>
      </c>
      <c r="I15" s="56">
        <f t="shared" si="22"/>
        <v>16791919</v>
      </c>
      <c r="J15" s="252">
        <v>356</v>
      </c>
      <c r="K15" s="252">
        <v>35</v>
      </c>
      <c r="L15" s="252">
        <f t="shared" ref="L15:L38" si="71">J15+K15</f>
        <v>391</v>
      </c>
      <c r="M15" s="253">
        <v>0</v>
      </c>
      <c r="N15" s="252">
        <v>0</v>
      </c>
      <c r="O15" s="252">
        <f t="shared" si="23"/>
        <v>0</v>
      </c>
      <c r="P15" s="56">
        <f t="shared" si="24"/>
        <v>391</v>
      </c>
      <c r="Q15" s="252">
        <v>4550</v>
      </c>
      <c r="R15" s="252">
        <v>2439</v>
      </c>
      <c r="S15" s="59">
        <f t="shared" si="25"/>
        <v>6989</v>
      </c>
      <c r="T15" s="252">
        <v>0</v>
      </c>
      <c r="U15" s="252">
        <v>0</v>
      </c>
      <c r="V15" s="256">
        <f t="shared" si="26"/>
        <v>0</v>
      </c>
      <c r="W15" s="56">
        <f t="shared" si="27"/>
        <v>6989</v>
      </c>
      <c r="X15" s="56">
        <f t="shared" ref="X15:Z16" si="72">C15/J15</f>
        <v>39917.421348314609</v>
      </c>
      <c r="Y15" s="56">
        <f t="shared" si="72"/>
        <v>73751.914285714287</v>
      </c>
      <c r="Z15" s="56">
        <f t="shared" si="72"/>
        <v>42946.084398976986</v>
      </c>
      <c r="AA15" s="56"/>
      <c r="AB15" s="56"/>
      <c r="AC15" s="56"/>
      <c r="AD15" s="56">
        <f t="shared" si="2"/>
        <v>42946.084398976986</v>
      </c>
      <c r="AE15" s="269"/>
      <c r="AF15" s="270"/>
      <c r="AG15" s="269"/>
      <c r="AH15" s="269"/>
      <c r="AI15" s="269"/>
      <c r="AJ15" s="269"/>
      <c r="AK15" s="270"/>
      <c r="AL15" s="270"/>
      <c r="AM15" s="270"/>
      <c r="AN15" s="267"/>
      <c r="AO15" s="267"/>
      <c r="AP15" s="267"/>
      <c r="AQ15" s="267"/>
      <c r="AR15" s="267"/>
      <c r="AS15" s="267"/>
      <c r="AT15" s="267"/>
      <c r="AU15" s="269">
        <f t="shared" si="3"/>
        <v>0</v>
      </c>
      <c r="AV15" s="269">
        <f t="shared" si="4"/>
        <v>0</v>
      </c>
      <c r="AW15" s="269">
        <f t="shared" si="29"/>
        <v>0</v>
      </c>
      <c r="AX15" s="269">
        <f t="shared" si="30"/>
        <v>0</v>
      </c>
      <c r="AY15" s="269">
        <f t="shared" si="5"/>
        <v>0</v>
      </c>
      <c r="AZ15" s="269">
        <f t="shared" si="6"/>
        <v>0</v>
      </c>
      <c r="BA15" s="269">
        <f t="shared" si="31"/>
        <v>0</v>
      </c>
      <c r="BB15" s="269">
        <f t="shared" si="32"/>
        <v>0</v>
      </c>
      <c r="BC15" s="53">
        <v>8485933</v>
      </c>
      <c r="BD15" s="53">
        <v>206095</v>
      </c>
      <c r="BE15" s="56">
        <f t="shared" si="33"/>
        <v>8692028</v>
      </c>
      <c r="BF15" s="53">
        <v>50032</v>
      </c>
      <c r="BG15" s="53"/>
      <c r="BH15" s="56">
        <f t="shared" si="34"/>
        <v>50032</v>
      </c>
      <c r="BI15" s="56">
        <f t="shared" si="35"/>
        <v>8742060</v>
      </c>
      <c r="BJ15" s="252">
        <v>402</v>
      </c>
      <c r="BK15" s="252">
        <v>3</v>
      </c>
      <c r="BL15" s="252">
        <f t="shared" si="36"/>
        <v>405</v>
      </c>
      <c r="BM15" s="252">
        <v>1</v>
      </c>
      <c r="BN15" s="252"/>
      <c r="BO15" s="252">
        <f t="shared" si="37"/>
        <v>1</v>
      </c>
      <c r="BP15" s="56">
        <f t="shared" si="38"/>
        <v>406</v>
      </c>
      <c r="BQ15" s="252">
        <v>7753</v>
      </c>
      <c r="BR15" s="252">
        <v>208</v>
      </c>
      <c r="BS15" s="59">
        <f t="shared" si="39"/>
        <v>7961</v>
      </c>
      <c r="BT15" s="252">
        <v>225</v>
      </c>
      <c r="BU15" s="252"/>
      <c r="BV15" s="59">
        <f t="shared" si="40"/>
        <v>225</v>
      </c>
      <c r="BW15" s="56">
        <f t="shared" si="41"/>
        <v>8186</v>
      </c>
      <c r="BX15" s="56">
        <f t="shared" si="42"/>
        <v>21109.286069651742</v>
      </c>
      <c r="BY15" s="56">
        <f t="shared" si="43"/>
        <v>68698.333333333328</v>
      </c>
      <c r="BZ15" s="56">
        <f t="shared" si="44"/>
        <v>21461.797530864198</v>
      </c>
      <c r="CA15" s="56">
        <f t="shared" si="45"/>
        <v>50032</v>
      </c>
      <c r="CB15" s="56"/>
      <c r="CC15" s="56">
        <f t="shared" si="47"/>
        <v>50032</v>
      </c>
      <c r="CD15" s="56">
        <f t="shared" si="48"/>
        <v>21532.167487684728</v>
      </c>
      <c r="CE15" s="238"/>
      <c r="CF15" s="241"/>
      <c r="CG15" s="241"/>
      <c r="CH15" s="241"/>
      <c r="CI15" s="241"/>
      <c r="CJ15" s="241"/>
      <c r="CK15" s="241"/>
      <c r="CL15" s="241"/>
      <c r="CM15" s="241"/>
      <c r="CN15" s="241"/>
      <c r="CO15" s="241"/>
      <c r="CP15" s="241"/>
      <c r="CQ15" s="241"/>
      <c r="CR15" s="241"/>
      <c r="CS15" s="241"/>
      <c r="CT15" s="241"/>
      <c r="CU15" s="238">
        <f t="shared" si="8"/>
        <v>0</v>
      </c>
      <c r="CV15" s="238">
        <f t="shared" si="9"/>
        <v>0</v>
      </c>
      <c r="CW15" s="238">
        <f t="shared" si="49"/>
        <v>50032</v>
      </c>
      <c r="CX15" s="238">
        <f t="shared" si="50"/>
        <v>0</v>
      </c>
      <c r="CY15" s="238">
        <f t="shared" si="10"/>
        <v>0</v>
      </c>
      <c r="CZ15" s="238">
        <f t="shared" si="11"/>
        <v>0</v>
      </c>
      <c r="DA15" s="238">
        <f t="shared" si="51"/>
        <v>50032</v>
      </c>
      <c r="DB15" s="238">
        <f t="shared" si="52"/>
        <v>0</v>
      </c>
      <c r="DC15" s="53">
        <v>10127114</v>
      </c>
      <c r="DD15" s="53">
        <v>219896</v>
      </c>
      <c r="DE15" s="56">
        <f t="shared" si="53"/>
        <v>10347010</v>
      </c>
      <c r="DF15" s="53"/>
      <c r="DG15" s="53"/>
      <c r="DH15" s="56">
        <f t="shared" si="54"/>
        <v>0</v>
      </c>
      <c r="DI15" s="56">
        <f t="shared" si="55"/>
        <v>10347010</v>
      </c>
      <c r="DJ15" s="252">
        <v>256</v>
      </c>
      <c r="DK15" s="252">
        <v>3</v>
      </c>
      <c r="DL15" s="56">
        <f t="shared" si="56"/>
        <v>259</v>
      </c>
      <c r="DM15" s="252"/>
      <c r="DN15" s="252"/>
      <c r="DO15" s="56">
        <f t="shared" si="57"/>
        <v>0</v>
      </c>
      <c r="DP15" s="56">
        <f t="shared" si="58"/>
        <v>259</v>
      </c>
      <c r="DQ15" s="252">
        <v>216</v>
      </c>
      <c r="DR15" s="252">
        <v>3840</v>
      </c>
      <c r="DS15" s="59">
        <f t="shared" si="59"/>
        <v>4056</v>
      </c>
      <c r="DT15" s="252"/>
      <c r="DU15" s="252"/>
      <c r="DV15" s="59">
        <f t="shared" si="60"/>
        <v>0</v>
      </c>
      <c r="DW15" s="59">
        <f t="shared" si="61"/>
        <v>4056</v>
      </c>
      <c r="DX15" s="56">
        <f t="shared" si="62"/>
        <v>39559.0390625</v>
      </c>
      <c r="DY15" s="56">
        <f>DD15/DK15</f>
        <v>73298.666666666672</v>
      </c>
      <c r="DZ15" s="56">
        <f t="shared" si="64"/>
        <v>39949.845559845562</v>
      </c>
      <c r="EA15" s="56"/>
      <c r="EB15" s="56"/>
      <c r="EC15" s="56"/>
      <c r="ED15" s="56">
        <f t="shared" si="15"/>
        <v>39949.845559845562</v>
      </c>
      <c r="EE15" s="273"/>
      <c r="EF15" s="274"/>
      <c r="EG15" s="274"/>
      <c r="EH15" s="274"/>
      <c r="EI15" s="274"/>
      <c r="EJ15" s="274"/>
      <c r="EK15" s="274"/>
      <c r="EL15" s="274"/>
      <c r="EM15" s="274"/>
      <c r="EN15" s="274"/>
      <c r="EO15" s="274"/>
      <c r="EP15" s="274"/>
      <c r="EQ15" s="274"/>
      <c r="ER15" s="274"/>
      <c r="ES15" s="274"/>
      <c r="ET15" s="274"/>
      <c r="EU15" s="273">
        <f t="shared" si="16"/>
        <v>0</v>
      </c>
      <c r="EV15" s="273">
        <f t="shared" si="17"/>
        <v>0</v>
      </c>
      <c r="EW15" s="273">
        <f t="shared" si="18"/>
        <v>0</v>
      </c>
      <c r="EX15" s="273">
        <f t="shared" si="68"/>
        <v>0</v>
      </c>
      <c r="EY15" s="273">
        <f t="shared" si="19"/>
        <v>0</v>
      </c>
      <c r="EZ15" s="273">
        <f t="shared" si="20"/>
        <v>0</v>
      </c>
      <c r="FA15" s="273">
        <f t="shared" si="69"/>
        <v>0</v>
      </c>
      <c r="FB15" s="273">
        <f t="shared" si="70"/>
        <v>0</v>
      </c>
      <c r="FC15" s="56"/>
      <c r="FD15" s="56"/>
      <c r="FE15" s="56"/>
      <c r="FF15" s="56"/>
      <c r="FG15" s="47"/>
      <c r="FH15" s="47"/>
      <c r="FI15" s="47"/>
      <c r="FJ15" s="47"/>
    </row>
    <row r="16" spans="1:166" s="46" customFormat="1" x14ac:dyDescent="0.3">
      <c r="A16" s="61" t="s">
        <v>6</v>
      </c>
      <c r="B16" s="258" t="s">
        <v>12</v>
      </c>
      <c r="C16" s="53">
        <v>2589642</v>
      </c>
      <c r="D16" s="53">
        <v>2305840</v>
      </c>
      <c r="E16" s="53">
        <f t="shared" si="21"/>
        <v>4895482</v>
      </c>
      <c r="F16" s="53">
        <v>1139547</v>
      </c>
      <c r="G16" s="53"/>
      <c r="H16" s="53">
        <f t="shared" si="0"/>
        <v>1139547</v>
      </c>
      <c r="I16" s="56">
        <f t="shared" si="22"/>
        <v>6035029</v>
      </c>
      <c r="J16" s="252">
        <v>139</v>
      </c>
      <c r="K16" s="252">
        <v>98</v>
      </c>
      <c r="L16" s="252">
        <f t="shared" si="71"/>
        <v>237</v>
      </c>
      <c r="M16" s="252">
        <v>5</v>
      </c>
      <c r="N16" s="252"/>
      <c r="O16" s="252">
        <f t="shared" si="23"/>
        <v>5</v>
      </c>
      <c r="P16" s="56">
        <f t="shared" si="24"/>
        <v>242</v>
      </c>
      <c r="Q16" s="252">
        <v>1703.54</v>
      </c>
      <c r="R16" s="252">
        <v>2897.67</v>
      </c>
      <c r="S16" s="59">
        <f t="shared" si="25"/>
        <v>4601.21</v>
      </c>
      <c r="T16" s="252">
        <v>1884</v>
      </c>
      <c r="U16" s="252"/>
      <c r="V16" s="256">
        <f t="shared" si="26"/>
        <v>1884</v>
      </c>
      <c r="W16" s="56">
        <f t="shared" si="27"/>
        <v>6485.21</v>
      </c>
      <c r="X16" s="56">
        <f t="shared" si="72"/>
        <v>18630.51798561151</v>
      </c>
      <c r="Y16" s="56">
        <f t="shared" si="72"/>
        <v>23528.979591836734</v>
      </c>
      <c r="Z16" s="56">
        <f t="shared" si="72"/>
        <v>20656.042194092828</v>
      </c>
      <c r="AA16" s="56">
        <f>F16/M16</f>
        <v>227909.4</v>
      </c>
      <c r="AB16" s="56"/>
      <c r="AC16" s="56">
        <f t="shared" si="28"/>
        <v>227909.4</v>
      </c>
      <c r="AD16" s="56">
        <f t="shared" si="2"/>
        <v>24938.136363636364</v>
      </c>
      <c r="AE16" s="269"/>
      <c r="AF16" s="270"/>
      <c r="AG16" s="269"/>
      <c r="AH16" s="269"/>
      <c r="AI16" s="269"/>
      <c r="AJ16" s="269"/>
      <c r="AK16" s="270"/>
      <c r="AL16" s="270"/>
      <c r="AM16" s="270"/>
      <c r="AN16" s="267"/>
      <c r="AO16" s="267"/>
      <c r="AP16" s="267"/>
      <c r="AQ16" s="267"/>
      <c r="AR16" s="267"/>
      <c r="AS16" s="267"/>
      <c r="AT16" s="267"/>
      <c r="AU16" s="269">
        <f t="shared" si="3"/>
        <v>18630.51798561151</v>
      </c>
      <c r="AV16" s="269">
        <f t="shared" si="4"/>
        <v>20656.042194092828</v>
      </c>
      <c r="AW16" s="269">
        <f t="shared" si="29"/>
        <v>0</v>
      </c>
      <c r="AX16" s="269">
        <f t="shared" si="30"/>
        <v>24938.136363636364</v>
      </c>
      <c r="AY16" s="269">
        <f t="shared" si="5"/>
        <v>2589642</v>
      </c>
      <c r="AZ16" s="269">
        <f t="shared" si="6"/>
        <v>4895482</v>
      </c>
      <c r="BA16" s="269">
        <f t="shared" si="31"/>
        <v>0</v>
      </c>
      <c r="BB16" s="269">
        <f t="shared" si="32"/>
        <v>6035029</v>
      </c>
      <c r="BC16" s="53">
        <v>4854694</v>
      </c>
      <c r="BD16" s="53">
        <v>2152165</v>
      </c>
      <c r="BE16" s="56">
        <f t="shared" si="33"/>
        <v>7006859</v>
      </c>
      <c r="BF16" s="53">
        <v>184597</v>
      </c>
      <c r="BG16" s="53"/>
      <c r="BH16" s="56">
        <f t="shared" si="34"/>
        <v>184597</v>
      </c>
      <c r="BI16" s="56">
        <f t="shared" si="35"/>
        <v>7191456</v>
      </c>
      <c r="BJ16" s="252">
        <v>229</v>
      </c>
      <c r="BK16" s="252">
        <v>69</v>
      </c>
      <c r="BL16" s="252">
        <f t="shared" si="36"/>
        <v>298</v>
      </c>
      <c r="BM16" s="252">
        <v>4</v>
      </c>
      <c r="BN16" s="252"/>
      <c r="BO16" s="252">
        <f t="shared" si="37"/>
        <v>4</v>
      </c>
      <c r="BP16" s="56">
        <f t="shared" si="38"/>
        <v>302</v>
      </c>
      <c r="BQ16" s="252">
        <v>2552.6</v>
      </c>
      <c r="BR16" s="252">
        <v>3131.59</v>
      </c>
      <c r="BS16" s="59">
        <f t="shared" si="39"/>
        <v>5684.1900000000005</v>
      </c>
      <c r="BT16" s="252">
        <v>564.29999999999995</v>
      </c>
      <c r="BU16" s="252"/>
      <c r="BV16" s="59">
        <f t="shared" si="40"/>
        <v>564.29999999999995</v>
      </c>
      <c r="BW16" s="56">
        <f t="shared" si="41"/>
        <v>6248.4900000000007</v>
      </c>
      <c r="BX16" s="56">
        <f t="shared" si="42"/>
        <v>21199.537117903928</v>
      </c>
      <c r="BY16" s="56">
        <f t="shared" si="43"/>
        <v>31190.797101449276</v>
      </c>
      <c r="BZ16" s="56">
        <f t="shared" si="44"/>
        <v>23512.949664429529</v>
      </c>
      <c r="CA16" s="56">
        <f t="shared" si="45"/>
        <v>46149.25</v>
      </c>
      <c r="CB16" s="56"/>
      <c r="CC16" s="56">
        <f t="shared" si="47"/>
        <v>46149.25</v>
      </c>
      <c r="CD16" s="56">
        <f t="shared" si="48"/>
        <v>23812.768211920531</v>
      </c>
      <c r="CE16" s="238"/>
      <c r="CF16" s="241"/>
      <c r="CG16" s="241"/>
      <c r="CH16" s="241"/>
      <c r="CI16" s="241"/>
      <c r="CJ16" s="241"/>
      <c r="CK16" s="241"/>
      <c r="CL16" s="241"/>
      <c r="CM16" s="241"/>
      <c r="CN16" s="241"/>
      <c r="CO16" s="241"/>
      <c r="CP16" s="241"/>
      <c r="CQ16" s="241"/>
      <c r="CR16" s="241"/>
      <c r="CS16" s="241"/>
      <c r="CT16" s="241"/>
      <c r="CU16" s="238">
        <f t="shared" si="8"/>
        <v>0</v>
      </c>
      <c r="CV16" s="238">
        <f t="shared" si="9"/>
        <v>0</v>
      </c>
      <c r="CW16" s="238">
        <f t="shared" si="49"/>
        <v>46149.25</v>
      </c>
      <c r="CX16" s="238">
        <f t="shared" si="50"/>
        <v>0</v>
      </c>
      <c r="CY16" s="238">
        <f t="shared" si="10"/>
        <v>0</v>
      </c>
      <c r="CZ16" s="238">
        <f t="shared" si="11"/>
        <v>0</v>
      </c>
      <c r="DA16" s="238">
        <f t="shared" si="51"/>
        <v>184597</v>
      </c>
      <c r="DB16" s="238">
        <f t="shared" si="52"/>
        <v>0</v>
      </c>
      <c r="DC16" s="53">
        <v>4315890</v>
      </c>
      <c r="DD16" s="53">
        <v>1745210</v>
      </c>
      <c r="DE16" s="56">
        <f t="shared" si="53"/>
        <v>6061100</v>
      </c>
      <c r="DF16" s="53">
        <v>654340</v>
      </c>
      <c r="DG16" s="53"/>
      <c r="DH16" s="56">
        <f t="shared" si="54"/>
        <v>654340</v>
      </c>
      <c r="DI16" s="56">
        <f t="shared" si="55"/>
        <v>6715440</v>
      </c>
      <c r="DJ16" s="252">
        <v>245</v>
      </c>
      <c r="DK16" s="252">
        <v>60</v>
      </c>
      <c r="DL16" s="56">
        <f t="shared" si="56"/>
        <v>305</v>
      </c>
      <c r="DM16" s="252">
        <v>7</v>
      </c>
      <c r="DN16" s="252"/>
      <c r="DO16" s="56">
        <f t="shared" si="57"/>
        <v>7</v>
      </c>
      <c r="DP16" s="56">
        <f t="shared" si="58"/>
        <v>312</v>
      </c>
      <c r="DQ16" s="252">
        <v>2511.09</v>
      </c>
      <c r="DR16" s="252">
        <v>2806.58</v>
      </c>
      <c r="DS16" s="56">
        <f>DQ16+DR16</f>
        <v>5317.67</v>
      </c>
      <c r="DT16" s="252">
        <v>2315</v>
      </c>
      <c r="DU16" s="252"/>
      <c r="DV16" s="56">
        <f t="shared" si="60"/>
        <v>2315</v>
      </c>
      <c r="DW16" s="59">
        <f t="shared" si="61"/>
        <v>7632.67</v>
      </c>
      <c r="DX16" s="56">
        <f t="shared" si="62"/>
        <v>17615.877551020407</v>
      </c>
      <c r="DY16" s="56">
        <f t="shared" si="63"/>
        <v>29086.833333333332</v>
      </c>
      <c r="DZ16" s="56">
        <f t="shared" si="64"/>
        <v>19872.459016393441</v>
      </c>
      <c r="EA16" s="56">
        <f t="shared" si="65"/>
        <v>93477.142857142855</v>
      </c>
      <c r="EB16" s="56"/>
      <c r="EC16" s="56">
        <f>DH16/DO16</f>
        <v>93477.142857142855</v>
      </c>
      <c r="ED16" s="56">
        <f t="shared" si="15"/>
        <v>21523.846153846152</v>
      </c>
      <c r="EE16" s="273"/>
      <c r="EF16" s="274"/>
      <c r="EG16" s="274"/>
      <c r="EH16" s="274"/>
      <c r="EI16" s="274"/>
      <c r="EJ16" s="274"/>
      <c r="EK16" s="274"/>
      <c r="EL16" s="274"/>
      <c r="EM16" s="274"/>
      <c r="EN16" s="274"/>
      <c r="EO16" s="274"/>
      <c r="EP16" s="274"/>
      <c r="EQ16" s="274"/>
      <c r="ER16" s="274"/>
      <c r="ES16" s="274"/>
      <c r="ET16" s="274"/>
      <c r="EU16" s="273">
        <f t="shared" si="16"/>
        <v>17615.877551020407</v>
      </c>
      <c r="EV16" s="273">
        <f t="shared" si="17"/>
        <v>19872.459016393441</v>
      </c>
      <c r="EW16" s="273">
        <f t="shared" si="18"/>
        <v>93477.142857142855</v>
      </c>
      <c r="EX16" s="273">
        <f t="shared" si="68"/>
        <v>21523.846153846152</v>
      </c>
      <c r="EY16" s="273">
        <f t="shared" si="19"/>
        <v>4315890</v>
      </c>
      <c r="EZ16" s="273">
        <f t="shared" si="20"/>
        <v>6061099.9999999991</v>
      </c>
      <c r="FA16" s="273">
        <f t="shared" si="69"/>
        <v>654340</v>
      </c>
      <c r="FB16" s="273">
        <f t="shared" si="70"/>
        <v>6715440</v>
      </c>
      <c r="FC16" s="56"/>
      <c r="FD16" s="56"/>
      <c r="FE16" s="56"/>
      <c r="FF16" s="56"/>
      <c r="FG16" s="230"/>
      <c r="FH16" s="230"/>
      <c r="FI16" s="230"/>
      <c r="FJ16" s="230"/>
    </row>
    <row r="17" spans="1:166" x14ac:dyDescent="0.3">
      <c r="A17" s="48" t="s">
        <v>7</v>
      </c>
      <c r="B17" s="258" t="s">
        <v>13</v>
      </c>
      <c r="C17" s="53">
        <v>556671</v>
      </c>
      <c r="D17" s="53"/>
      <c r="E17" s="53">
        <f t="shared" si="21"/>
        <v>556671</v>
      </c>
      <c r="F17" s="53"/>
      <c r="G17" s="53"/>
      <c r="H17" s="53">
        <f t="shared" si="0"/>
        <v>0</v>
      </c>
      <c r="I17" s="56">
        <f t="shared" si="22"/>
        <v>556671</v>
      </c>
      <c r="J17" s="252">
        <v>119</v>
      </c>
      <c r="K17" s="252"/>
      <c r="L17" s="252">
        <f t="shared" si="71"/>
        <v>119</v>
      </c>
      <c r="M17" s="252"/>
      <c r="N17" s="252"/>
      <c r="O17" s="252">
        <f t="shared" si="23"/>
        <v>0</v>
      </c>
      <c r="P17" s="56">
        <f t="shared" si="24"/>
        <v>119</v>
      </c>
      <c r="Q17" s="252">
        <v>1201</v>
      </c>
      <c r="R17" s="252"/>
      <c r="S17" s="59">
        <f t="shared" si="25"/>
        <v>1201</v>
      </c>
      <c r="T17" s="252"/>
      <c r="U17" s="252"/>
      <c r="V17" s="256">
        <f t="shared" si="26"/>
        <v>0</v>
      </c>
      <c r="W17" s="56">
        <f t="shared" si="27"/>
        <v>1201</v>
      </c>
      <c r="X17" s="56">
        <f t="shared" ref="X17:X31" si="73">C17/J17</f>
        <v>4677.90756302521</v>
      </c>
      <c r="Y17" s="56"/>
      <c r="Z17" s="56">
        <f t="shared" ref="Z17:Z31" si="74">E17/L17</f>
        <v>4677.90756302521</v>
      </c>
      <c r="AA17" s="56"/>
      <c r="AB17" s="56"/>
      <c r="AC17" s="56"/>
      <c r="AD17" s="56">
        <f t="shared" si="2"/>
        <v>4677.90756302521</v>
      </c>
      <c r="AE17" s="269"/>
      <c r="AF17" s="270"/>
      <c r="AG17" s="269"/>
      <c r="AH17" s="269"/>
      <c r="AI17" s="269"/>
      <c r="AJ17" s="269"/>
      <c r="AK17" s="270"/>
      <c r="AL17" s="270"/>
      <c r="AM17" s="270"/>
      <c r="AN17" s="267"/>
      <c r="AO17" s="267"/>
      <c r="AP17" s="267"/>
      <c r="AQ17" s="267"/>
      <c r="AR17" s="267"/>
      <c r="AS17" s="267"/>
      <c r="AT17" s="267"/>
      <c r="AU17" s="269">
        <f t="shared" si="3"/>
        <v>4677.90756302521</v>
      </c>
      <c r="AV17" s="269">
        <f t="shared" si="4"/>
        <v>4677.90756302521</v>
      </c>
      <c r="AW17" s="269">
        <f t="shared" si="29"/>
        <v>0</v>
      </c>
      <c r="AX17" s="269">
        <f t="shared" si="30"/>
        <v>4677.90756302521</v>
      </c>
      <c r="AY17" s="269">
        <f t="shared" si="5"/>
        <v>556671</v>
      </c>
      <c r="AZ17" s="269">
        <f t="shared" si="6"/>
        <v>556671</v>
      </c>
      <c r="BA17" s="269">
        <f t="shared" si="31"/>
        <v>0</v>
      </c>
      <c r="BB17" s="269">
        <f t="shared" si="32"/>
        <v>556671</v>
      </c>
      <c r="BC17" s="53">
        <v>294208</v>
      </c>
      <c r="BD17" s="53"/>
      <c r="BE17" s="56">
        <f t="shared" si="33"/>
        <v>294208</v>
      </c>
      <c r="BF17" s="53"/>
      <c r="BG17" s="53"/>
      <c r="BH17" s="56">
        <f t="shared" si="34"/>
        <v>0</v>
      </c>
      <c r="BI17" s="56">
        <f t="shared" si="35"/>
        <v>294208</v>
      </c>
      <c r="BJ17" s="252">
        <v>79</v>
      </c>
      <c r="BK17" s="252"/>
      <c r="BL17" s="252">
        <f t="shared" si="36"/>
        <v>79</v>
      </c>
      <c r="BM17" s="252"/>
      <c r="BN17" s="252"/>
      <c r="BO17" s="252">
        <f t="shared" si="37"/>
        <v>0</v>
      </c>
      <c r="BP17" s="56">
        <f t="shared" si="38"/>
        <v>79</v>
      </c>
      <c r="BQ17" s="252">
        <v>877.875</v>
      </c>
      <c r="BR17" s="252"/>
      <c r="BS17" s="59">
        <f t="shared" si="39"/>
        <v>877.875</v>
      </c>
      <c r="BT17" s="252"/>
      <c r="BU17" s="252"/>
      <c r="BV17" s="59">
        <f t="shared" si="40"/>
        <v>0</v>
      </c>
      <c r="BW17" s="56">
        <f t="shared" si="41"/>
        <v>877.875</v>
      </c>
      <c r="BX17" s="56">
        <f t="shared" si="42"/>
        <v>3724.1518987341774</v>
      </c>
      <c r="BY17" s="56"/>
      <c r="BZ17" s="56">
        <f t="shared" si="44"/>
        <v>3724.1518987341774</v>
      </c>
      <c r="CA17" s="56"/>
      <c r="CB17" s="56"/>
      <c r="CC17" s="56"/>
      <c r="CD17" s="56">
        <f t="shared" si="48"/>
        <v>3724.1518987341774</v>
      </c>
      <c r="CE17" s="238"/>
      <c r="CF17" s="241"/>
      <c r="CG17" s="241"/>
      <c r="CH17" s="241"/>
      <c r="CI17" s="241"/>
      <c r="CJ17" s="241"/>
      <c r="CK17" s="241"/>
      <c r="CL17" s="241"/>
      <c r="CM17" s="241"/>
      <c r="CN17" s="241"/>
      <c r="CO17" s="241"/>
      <c r="CP17" s="241"/>
      <c r="CQ17" s="241"/>
      <c r="CR17" s="241"/>
      <c r="CS17" s="241"/>
      <c r="CT17" s="241"/>
      <c r="CU17" s="238">
        <f t="shared" si="8"/>
        <v>3724.1518987341774</v>
      </c>
      <c r="CV17" s="238">
        <f t="shared" si="9"/>
        <v>3724.1518987341774</v>
      </c>
      <c r="CW17" s="238">
        <f t="shared" si="49"/>
        <v>0</v>
      </c>
      <c r="CX17" s="238">
        <f t="shared" si="50"/>
        <v>3724.1518987341774</v>
      </c>
      <c r="CY17" s="238">
        <f t="shared" si="10"/>
        <v>294208</v>
      </c>
      <c r="CZ17" s="238">
        <f t="shared" si="11"/>
        <v>294208</v>
      </c>
      <c r="DA17" s="238">
        <f t="shared" si="51"/>
        <v>0</v>
      </c>
      <c r="DB17" s="238">
        <f t="shared" si="52"/>
        <v>294208</v>
      </c>
      <c r="DC17" s="53">
        <v>274641</v>
      </c>
      <c r="DD17" s="53"/>
      <c r="DE17" s="56">
        <f t="shared" si="53"/>
        <v>274641</v>
      </c>
      <c r="DF17" s="53"/>
      <c r="DG17" s="53"/>
      <c r="DH17" s="56">
        <f t="shared" si="54"/>
        <v>0</v>
      </c>
      <c r="DI17" s="56">
        <f t="shared" si="55"/>
        <v>274641</v>
      </c>
      <c r="DJ17" s="252">
        <v>107</v>
      </c>
      <c r="DK17" s="252"/>
      <c r="DL17" s="56">
        <f t="shared" si="56"/>
        <v>107</v>
      </c>
      <c r="DM17" s="252"/>
      <c r="DN17" s="252"/>
      <c r="DO17" s="56">
        <f t="shared" si="57"/>
        <v>0</v>
      </c>
      <c r="DP17" s="56">
        <f t="shared" si="58"/>
        <v>107</v>
      </c>
      <c r="DQ17" s="252">
        <v>1134.06</v>
      </c>
      <c r="DR17" s="252"/>
      <c r="DS17" s="56">
        <f t="shared" si="59"/>
        <v>1134.06</v>
      </c>
      <c r="DT17" s="252"/>
      <c r="DU17" s="252"/>
      <c r="DV17" s="56">
        <f t="shared" si="60"/>
        <v>0</v>
      </c>
      <c r="DW17" s="59">
        <f t="shared" si="61"/>
        <v>1134.06</v>
      </c>
      <c r="DX17" s="56">
        <f t="shared" si="62"/>
        <v>2566.7383177570096</v>
      </c>
      <c r="DY17" s="56"/>
      <c r="DZ17" s="56">
        <f t="shared" si="64"/>
        <v>2566.7383177570096</v>
      </c>
      <c r="EA17" s="56"/>
      <c r="EB17" s="56"/>
      <c r="EC17" s="56"/>
      <c r="ED17" s="56">
        <f t="shared" si="15"/>
        <v>2566.7383177570096</v>
      </c>
      <c r="EE17" s="273"/>
      <c r="EF17" s="274"/>
      <c r="EG17" s="274"/>
      <c r="EH17" s="274"/>
      <c r="EI17" s="274"/>
      <c r="EJ17" s="274"/>
      <c r="EK17" s="274"/>
      <c r="EL17" s="274"/>
      <c r="EM17" s="274"/>
      <c r="EN17" s="274"/>
      <c r="EO17" s="274"/>
      <c r="EP17" s="274"/>
      <c r="EQ17" s="274"/>
      <c r="ER17" s="274"/>
      <c r="ES17" s="274"/>
      <c r="ET17" s="274"/>
      <c r="EU17" s="273">
        <f t="shared" si="16"/>
        <v>2566.7383177570096</v>
      </c>
      <c r="EV17" s="273">
        <f t="shared" si="17"/>
        <v>2566.7383177570096</v>
      </c>
      <c r="EW17" s="273">
        <f t="shared" si="18"/>
        <v>0</v>
      </c>
      <c r="EX17" s="273">
        <f t="shared" si="68"/>
        <v>2566.7383177570096</v>
      </c>
      <c r="EY17" s="273">
        <f t="shared" si="19"/>
        <v>274641</v>
      </c>
      <c r="EZ17" s="273">
        <f t="shared" si="20"/>
        <v>274641</v>
      </c>
      <c r="FA17" s="273">
        <f t="shared" si="69"/>
        <v>0</v>
      </c>
      <c r="FB17" s="273">
        <f t="shared" si="70"/>
        <v>274641</v>
      </c>
      <c r="FC17" s="56"/>
      <c r="FD17" s="56"/>
      <c r="FE17" s="56"/>
      <c r="FF17" s="56"/>
      <c r="FG17" s="47"/>
      <c r="FH17" s="47"/>
      <c r="FI17" s="47"/>
      <c r="FJ17" s="47"/>
    </row>
    <row r="18" spans="1:166" x14ac:dyDescent="0.3">
      <c r="A18" s="48" t="s">
        <v>8</v>
      </c>
      <c r="B18" s="258" t="s">
        <v>14</v>
      </c>
      <c r="C18" s="53">
        <v>272248</v>
      </c>
      <c r="D18" s="53"/>
      <c r="E18" s="53">
        <f t="shared" si="21"/>
        <v>272248</v>
      </c>
      <c r="F18" s="53"/>
      <c r="G18" s="53"/>
      <c r="H18" s="53">
        <f t="shared" si="0"/>
        <v>0</v>
      </c>
      <c r="I18" s="56">
        <f t="shared" si="22"/>
        <v>272248</v>
      </c>
      <c r="J18" s="252">
        <v>50</v>
      </c>
      <c r="K18" s="252"/>
      <c r="L18" s="252">
        <f t="shared" si="71"/>
        <v>50</v>
      </c>
      <c r="M18" s="252"/>
      <c r="N18" s="252"/>
      <c r="O18" s="252">
        <f t="shared" si="23"/>
        <v>0</v>
      </c>
      <c r="P18" s="56">
        <f t="shared" si="24"/>
        <v>50</v>
      </c>
      <c r="Q18" s="252">
        <v>1303.4680000000001</v>
      </c>
      <c r="R18" s="252"/>
      <c r="S18" s="59">
        <f t="shared" si="25"/>
        <v>1303.4680000000001</v>
      </c>
      <c r="T18" s="252"/>
      <c r="U18" s="252"/>
      <c r="V18" s="256">
        <f t="shared" si="26"/>
        <v>0</v>
      </c>
      <c r="W18" s="56">
        <f t="shared" si="27"/>
        <v>1303.4680000000001</v>
      </c>
      <c r="X18" s="56">
        <f t="shared" si="73"/>
        <v>5444.96</v>
      </c>
      <c r="Y18" s="56"/>
      <c r="Z18" s="56">
        <f t="shared" si="74"/>
        <v>5444.96</v>
      </c>
      <c r="AA18" s="56"/>
      <c r="AB18" s="56"/>
      <c r="AC18" s="56"/>
      <c r="AD18" s="56">
        <f t="shared" si="2"/>
        <v>5444.96</v>
      </c>
      <c r="AE18" s="269"/>
      <c r="AF18" s="270"/>
      <c r="AG18" s="269"/>
      <c r="AH18" s="269"/>
      <c r="AI18" s="269"/>
      <c r="AJ18" s="269"/>
      <c r="AK18" s="270"/>
      <c r="AL18" s="270"/>
      <c r="AM18" s="270"/>
      <c r="AN18" s="267"/>
      <c r="AO18" s="267"/>
      <c r="AP18" s="267"/>
      <c r="AQ18" s="267"/>
      <c r="AR18" s="267"/>
      <c r="AS18" s="267"/>
      <c r="AT18" s="267"/>
      <c r="AU18" s="269">
        <f t="shared" si="3"/>
        <v>5444.96</v>
      </c>
      <c r="AV18" s="269">
        <f t="shared" si="4"/>
        <v>5444.96</v>
      </c>
      <c r="AW18" s="269">
        <f t="shared" si="29"/>
        <v>0</v>
      </c>
      <c r="AX18" s="269">
        <f t="shared" si="30"/>
        <v>5444.96</v>
      </c>
      <c r="AY18" s="269">
        <f t="shared" si="5"/>
        <v>272248</v>
      </c>
      <c r="AZ18" s="269">
        <f t="shared" si="6"/>
        <v>272248</v>
      </c>
      <c r="BA18" s="269">
        <f t="shared" si="31"/>
        <v>0</v>
      </c>
      <c r="BB18" s="269">
        <f t="shared" si="32"/>
        <v>272248</v>
      </c>
      <c r="BC18" s="53">
        <v>217408</v>
      </c>
      <c r="BD18" s="53"/>
      <c r="BE18" s="56">
        <f t="shared" si="33"/>
        <v>217408</v>
      </c>
      <c r="BF18" s="53"/>
      <c r="BG18" s="53"/>
      <c r="BH18" s="56">
        <f t="shared" si="34"/>
        <v>0</v>
      </c>
      <c r="BI18" s="56">
        <f t="shared" si="35"/>
        <v>217408</v>
      </c>
      <c r="BJ18" s="252">
        <v>89</v>
      </c>
      <c r="BK18" s="252"/>
      <c r="BL18" s="252">
        <f t="shared" si="36"/>
        <v>89</v>
      </c>
      <c r="BM18" s="252"/>
      <c r="BN18" s="252"/>
      <c r="BO18" s="252">
        <f t="shared" si="37"/>
        <v>0</v>
      </c>
      <c r="BP18" s="56">
        <f t="shared" si="38"/>
        <v>89</v>
      </c>
      <c r="BQ18" s="252">
        <v>1243.425</v>
      </c>
      <c r="BR18" s="252"/>
      <c r="BS18" s="59">
        <f t="shared" si="39"/>
        <v>1243.425</v>
      </c>
      <c r="BT18" s="252"/>
      <c r="BU18" s="252"/>
      <c r="BV18" s="59">
        <f t="shared" si="40"/>
        <v>0</v>
      </c>
      <c r="BW18" s="56">
        <f t="shared" si="41"/>
        <v>1243.425</v>
      </c>
      <c r="BX18" s="56">
        <f t="shared" si="42"/>
        <v>2442.7865168539324</v>
      </c>
      <c r="BY18" s="56"/>
      <c r="BZ18" s="56">
        <f t="shared" si="44"/>
        <v>2442.7865168539324</v>
      </c>
      <c r="CA18" s="56"/>
      <c r="CB18" s="56"/>
      <c r="CC18" s="56"/>
      <c r="CD18" s="56">
        <f t="shared" si="48"/>
        <v>2442.7865168539324</v>
      </c>
      <c r="CE18" s="238"/>
      <c r="CF18" s="241"/>
      <c r="CG18" s="241"/>
      <c r="CH18" s="241"/>
      <c r="CI18" s="241"/>
      <c r="CJ18" s="241"/>
      <c r="CK18" s="241"/>
      <c r="CL18" s="241"/>
      <c r="CM18" s="241"/>
      <c r="CN18" s="241"/>
      <c r="CO18" s="241"/>
      <c r="CP18" s="241"/>
      <c r="CQ18" s="241"/>
      <c r="CR18" s="241"/>
      <c r="CS18" s="241"/>
      <c r="CT18" s="241"/>
      <c r="CU18" s="238">
        <f t="shared" si="8"/>
        <v>2442.7865168539324</v>
      </c>
      <c r="CV18" s="238">
        <f t="shared" si="9"/>
        <v>0</v>
      </c>
      <c r="CW18" s="238">
        <f t="shared" si="49"/>
        <v>0</v>
      </c>
      <c r="CX18" s="238">
        <f t="shared" si="50"/>
        <v>0</v>
      </c>
      <c r="CY18" s="238">
        <f t="shared" si="10"/>
        <v>217408</v>
      </c>
      <c r="CZ18" s="238">
        <f t="shared" si="11"/>
        <v>0</v>
      </c>
      <c r="DA18" s="238">
        <f t="shared" si="51"/>
        <v>0</v>
      </c>
      <c r="DB18" s="238">
        <f t="shared" si="52"/>
        <v>0</v>
      </c>
      <c r="DC18" s="53">
        <v>63899</v>
      </c>
      <c r="DD18" s="53"/>
      <c r="DE18" s="56">
        <f t="shared" si="53"/>
        <v>63899</v>
      </c>
      <c r="DF18" s="53"/>
      <c r="DG18" s="53"/>
      <c r="DH18" s="56">
        <f t="shared" si="54"/>
        <v>0</v>
      </c>
      <c r="DI18" s="56">
        <f t="shared" si="55"/>
        <v>63899</v>
      </c>
      <c r="DJ18" s="252">
        <v>50</v>
      </c>
      <c r="DK18" s="252"/>
      <c r="DL18" s="56">
        <f t="shared" si="56"/>
        <v>50</v>
      </c>
      <c r="DM18" s="252"/>
      <c r="DN18" s="252"/>
      <c r="DO18" s="56">
        <f t="shared" si="57"/>
        <v>0</v>
      </c>
      <c r="DP18" s="56">
        <f t="shared" si="58"/>
        <v>50</v>
      </c>
      <c r="DQ18" s="252">
        <v>741.52499999999998</v>
      </c>
      <c r="DR18" s="252"/>
      <c r="DS18" s="56">
        <f t="shared" si="59"/>
        <v>741.52499999999998</v>
      </c>
      <c r="DT18" s="252"/>
      <c r="DU18" s="252"/>
      <c r="DV18" s="56">
        <f t="shared" si="60"/>
        <v>0</v>
      </c>
      <c r="DW18" s="59">
        <f t="shared" si="61"/>
        <v>741.52499999999998</v>
      </c>
      <c r="DX18" s="56">
        <f t="shared" si="62"/>
        <v>1277.98</v>
      </c>
      <c r="DY18" s="56"/>
      <c r="DZ18" s="56">
        <f t="shared" si="64"/>
        <v>1277.98</v>
      </c>
      <c r="EA18" s="56"/>
      <c r="EB18" s="56"/>
      <c r="EC18" s="56"/>
      <c r="ED18" s="56">
        <f t="shared" si="15"/>
        <v>1277.98</v>
      </c>
      <c r="EE18" s="273"/>
      <c r="EF18" s="274"/>
      <c r="EG18" s="274"/>
      <c r="EH18" s="274"/>
      <c r="EI18" s="274"/>
      <c r="EJ18" s="274"/>
      <c r="EK18" s="274"/>
      <c r="EL18" s="274"/>
      <c r="EM18" s="274"/>
      <c r="EN18" s="274"/>
      <c r="EO18" s="274"/>
      <c r="EP18" s="274"/>
      <c r="EQ18" s="274"/>
      <c r="ER18" s="274"/>
      <c r="ES18" s="274"/>
      <c r="ET18" s="274"/>
      <c r="EU18" s="273">
        <f t="shared" si="16"/>
        <v>1277.98</v>
      </c>
      <c r="EV18" s="273">
        <f t="shared" si="17"/>
        <v>1277.98</v>
      </c>
      <c r="EW18" s="273">
        <f t="shared" si="18"/>
        <v>0</v>
      </c>
      <c r="EX18" s="273">
        <f t="shared" si="68"/>
        <v>1277.98</v>
      </c>
      <c r="EY18" s="273">
        <f t="shared" si="19"/>
        <v>63899</v>
      </c>
      <c r="EZ18" s="273">
        <f t="shared" si="20"/>
        <v>63899</v>
      </c>
      <c r="FA18" s="273">
        <f t="shared" si="69"/>
        <v>0</v>
      </c>
      <c r="FB18" s="273">
        <f t="shared" si="70"/>
        <v>63899</v>
      </c>
      <c r="FC18" s="56"/>
      <c r="FD18" s="56"/>
      <c r="FE18" s="56"/>
      <c r="FF18" s="56"/>
      <c r="FG18" s="47"/>
      <c r="FH18" s="47"/>
      <c r="FI18" s="47"/>
      <c r="FJ18" s="47"/>
    </row>
    <row r="19" spans="1:166" x14ac:dyDescent="0.3">
      <c r="A19" s="48" t="s">
        <v>44</v>
      </c>
      <c r="B19" s="258" t="s">
        <v>15</v>
      </c>
      <c r="C19" s="53">
        <v>2469001.91</v>
      </c>
      <c r="D19" s="53">
        <v>1906409.26</v>
      </c>
      <c r="E19" s="53">
        <f t="shared" si="21"/>
        <v>4375411.17</v>
      </c>
      <c r="F19" s="53">
        <v>2656643.83</v>
      </c>
      <c r="G19" s="53"/>
      <c r="H19" s="53">
        <f t="shared" si="0"/>
        <v>2656643.83</v>
      </c>
      <c r="I19" s="56">
        <f t="shared" si="22"/>
        <v>7032055</v>
      </c>
      <c r="J19" s="252">
        <v>525</v>
      </c>
      <c r="K19" s="252">
        <v>116</v>
      </c>
      <c r="L19" s="252">
        <f t="shared" si="71"/>
        <v>641</v>
      </c>
      <c r="M19" s="252">
        <v>17</v>
      </c>
      <c r="N19" s="252">
        <v>0</v>
      </c>
      <c r="O19" s="252">
        <f t="shared" si="23"/>
        <v>17</v>
      </c>
      <c r="P19" s="56">
        <f t="shared" si="24"/>
        <v>658</v>
      </c>
      <c r="Q19" s="252">
        <v>7092</v>
      </c>
      <c r="R19" s="252">
        <v>5476</v>
      </c>
      <c r="S19" s="59">
        <f t="shared" si="25"/>
        <v>12568</v>
      </c>
      <c r="T19" s="252">
        <v>7631</v>
      </c>
      <c r="U19" s="252">
        <v>0</v>
      </c>
      <c r="V19" s="256">
        <f t="shared" si="26"/>
        <v>7631</v>
      </c>
      <c r="W19" s="56">
        <f t="shared" si="27"/>
        <v>20199</v>
      </c>
      <c r="X19" s="56">
        <f t="shared" si="73"/>
        <v>4702.860780952381</v>
      </c>
      <c r="Y19" s="56">
        <f>D19/K19</f>
        <v>16434.562586206896</v>
      </c>
      <c r="Z19" s="56">
        <f t="shared" si="74"/>
        <v>6825.9144617784714</v>
      </c>
      <c r="AA19" s="56">
        <f>F19/M19</f>
        <v>156273.16647058824</v>
      </c>
      <c r="AB19" s="56"/>
      <c r="AC19" s="56">
        <f t="shared" si="28"/>
        <v>156273.16647058824</v>
      </c>
      <c r="AD19" s="56">
        <f t="shared" si="2"/>
        <v>10687.01367781155</v>
      </c>
      <c r="AE19" s="269"/>
      <c r="AF19" s="270"/>
      <c r="AG19" s="269"/>
      <c r="AH19" s="269"/>
      <c r="AI19" s="269"/>
      <c r="AJ19" s="269"/>
      <c r="AK19" s="270"/>
      <c r="AL19" s="270"/>
      <c r="AM19" s="270"/>
      <c r="AN19" s="267"/>
      <c r="AO19" s="267"/>
      <c r="AP19" s="267"/>
      <c r="AQ19" s="267"/>
      <c r="AR19" s="267"/>
      <c r="AS19" s="267"/>
      <c r="AT19" s="267"/>
      <c r="AU19" s="269">
        <f t="shared" si="3"/>
        <v>4702.860780952381</v>
      </c>
      <c r="AV19" s="269">
        <f t="shared" si="4"/>
        <v>6825.9144617784714</v>
      </c>
      <c r="AW19" s="269">
        <f t="shared" si="29"/>
        <v>0</v>
      </c>
      <c r="AX19" s="269">
        <f t="shared" si="30"/>
        <v>10687.01367781155</v>
      </c>
      <c r="AY19" s="269">
        <f t="shared" si="5"/>
        <v>2469001.91</v>
      </c>
      <c r="AZ19" s="269">
        <f t="shared" si="6"/>
        <v>4375411.17</v>
      </c>
      <c r="BA19" s="269">
        <f t="shared" si="31"/>
        <v>0</v>
      </c>
      <c r="BB19" s="269">
        <f t="shared" si="32"/>
        <v>7032055</v>
      </c>
      <c r="BC19" s="53">
        <v>2953057.81</v>
      </c>
      <c r="BD19" s="53">
        <v>2771747.14</v>
      </c>
      <c r="BE19" s="56">
        <f t="shared" si="33"/>
        <v>5724804.9500000002</v>
      </c>
      <c r="BF19" s="53">
        <v>1961018.06</v>
      </c>
      <c r="BG19" s="53">
        <v>0</v>
      </c>
      <c r="BH19" s="56">
        <f t="shared" si="34"/>
        <v>1961018.06</v>
      </c>
      <c r="BI19" s="56">
        <f t="shared" si="35"/>
        <v>7685823.0099999998</v>
      </c>
      <c r="BJ19" s="252">
        <v>531</v>
      </c>
      <c r="BK19" s="252">
        <v>112</v>
      </c>
      <c r="BL19" s="252">
        <f t="shared" si="36"/>
        <v>643</v>
      </c>
      <c r="BM19" s="252">
        <v>16</v>
      </c>
      <c r="BN19" s="252">
        <v>0</v>
      </c>
      <c r="BO19" s="252">
        <f t="shared" si="37"/>
        <v>16</v>
      </c>
      <c r="BP19" s="56">
        <f t="shared" si="38"/>
        <v>659</v>
      </c>
      <c r="BQ19" s="252">
        <v>7427</v>
      </c>
      <c r="BR19" s="252">
        <v>6971</v>
      </c>
      <c r="BS19" s="59">
        <f t="shared" si="39"/>
        <v>14398</v>
      </c>
      <c r="BT19" s="252">
        <v>4932</v>
      </c>
      <c r="BU19" s="252">
        <v>0</v>
      </c>
      <c r="BV19" s="59">
        <f t="shared" si="40"/>
        <v>4932</v>
      </c>
      <c r="BW19" s="56">
        <f t="shared" si="41"/>
        <v>19330</v>
      </c>
      <c r="BX19" s="56">
        <f t="shared" si="42"/>
        <v>5561.3141431261774</v>
      </c>
      <c r="BY19" s="56">
        <f t="shared" si="43"/>
        <v>24747.742321428574</v>
      </c>
      <c r="BZ19" s="56">
        <f t="shared" si="44"/>
        <v>8903.2736391912913</v>
      </c>
      <c r="CA19" s="56">
        <f t="shared" si="45"/>
        <v>122563.62875</v>
      </c>
      <c r="CB19" s="56"/>
      <c r="CC19" s="56">
        <f t="shared" si="47"/>
        <v>122563.62875</v>
      </c>
      <c r="CD19" s="56">
        <f>BI19/BP19</f>
        <v>11662.857374810319</v>
      </c>
      <c r="CE19" s="238"/>
      <c r="CF19" s="241"/>
      <c r="CG19" s="241"/>
      <c r="CH19" s="241"/>
      <c r="CI19" s="241"/>
      <c r="CJ19" s="241"/>
      <c r="CK19" s="241"/>
      <c r="CL19" s="241"/>
      <c r="CM19" s="241"/>
      <c r="CN19" s="241"/>
      <c r="CO19" s="241"/>
      <c r="CP19" s="241"/>
      <c r="CQ19" s="241"/>
      <c r="CR19" s="241"/>
      <c r="CS19" s="241"/>
      <c r="CT19" s="241"/>
      <c r="CU19" s="238">
        <f t="shared" si="8"/>
        <v>5561.3141431261774</v>
      </c>
      <c r="CV19" s="238">
        <f t="shared" si="9"/>
        <v>8903.2736391912913</v>
      </c>
      <c r="CW19" s="238">
        <f t="shared" si="49"/>
        <v>0</v>
      </c>
      <c r="CX19" s="238">
        <f t="shared" si="50"/>
        <v>11662.857374810319</v>
      </c>
      <c r="CY19" s="238">
        <f t="shared" si="10"/>
        <v>2953057.81</v>
      </c>
      <c r="CZ19" s="238">
        <f t="shared" si="11"/>
        <v>5724804.9500000002</v>
      </c>
      <c r="DA19" s="238">
        <f t="shared" si="51"/>
        <v>0</v>
      </c>
      <c r="DB19" s="238">
        <f t="shared" si="52"/>
        <v>7685823.0099999998</v>
      </c>
      <c r="DC19" s="53">
        <v>3633696.01</v>
      </c>
      <c r="DD19" s="53">
        <v>2819115.49</v>
      </c>
      <c r="DE19" s="56">
        <f t="shared" si="53"/>
        <v>6452811.5</v>
      </c>
      <c r="DF19" s="53">
        <v>2700977.5</v>
      </c>
      <c r="DG19" s="53">
        <v>0</v>
      </c>
      <c r="DH19" s="56">
        <f t="shared" si="54"/>
        <v>2700977.5</v>
      </c>
      <c r="DI19" s="56">
        <f t="shared" si="55"/>
        <v>9153789</v>
      </c>
      <c r="DJ19" s="252">
        <v>523</v>
      </c>
      <c r="DK19" s="252">
        <v>131</v>
      </c>
      <c r="DL19" s="56">
        <f t="shared" si="56"/>
        <v>654</v>
      </c>
      <c r="DM19" s="252">
        <v>20</v>
      </c>
      <c r="DN19" s="252">
        <v>0</v>
      </c>
      <c r="DO19" s="56">
        <f t="shared" si="57"/>
        <v>20</v>
      </c>
      <c r="DP19" s="56">
        <f t="shared" si="58"/>
        <v>674</v>
      </c>
      <c r="DQ19" s="252">
        <v>7628</v>
      </c>
      <c r="DR19" s="252">
        <v>5918</v>
      </c>
      <c r="DS19" s="56">
        <f t="shared" si="59"/>
        <v>13546</v>
      </c>
      <c r="DT19" s="252">
        <v>5670</v>
      </c>
      <c r="DU19" s="252">
        <v>0</v>
      </c>
      <c r="DV19" s="56">
        <f t="shared" si="60"/>
        <v>5670</v>
      </c>
      <c r="DW19" s="59">
        <f t="shared" si="61"/>
        <v>19216</v>
      </c>
      <c r="DX19" s="56">
        <f t="shared" si="62"/>
        <v>6947.7935181644352</v>
      </c>
      <c r="DY19" s="56">
        <f t="shared" si="63"/>
        <v>21519.965572519086</v>
      </c>
      <c r="DZ19" s="56">
        <f t="shared" si="64"/>
        <v>9866.6842507645251</v>
      </c>
      <c r="EA19" s="56">
        <f t="shared" si="65"/>
        <v>135048.875</v>
      </c>
      <c r="EB19" s="56"/>
      <c r="EC19" s="56">
        <f t="shared" si="67"/>
        <v>135048.875</v>
      </c>
      <c r="ED19" s="56">
        <f t="shared" si="15"/>
        <v>13581.289317507419</v>
      </c>
      <c r="EE19" s="273"/>
      <c r="EF19" s="274"/>
      <c r="EG19" s="274"/>
      <c r="EH19" s="274"/>
      <c r="EI19" s="274"/>
      <c r="EJ19" s="274"/>
      <c r="EK19" s="274"/>
      <c r="EL19" s="274"/>
      <c r="EM19" s="274"/>
      <c r="EN19" s="274"/>
      <c r="EO19" s="274"/>
      <c r="EP19" s="274"/>
      <c r="EQ19" s="274"/>
      <c r="ER19" s="274"/>
      <c r="ES19" s="274"/>
      <c r="ET19" s="274"/>
      <c r="EU19" s="273">
        <f t="shared" si="16"/>
        <v>6947.7935181644352</v>
      </c>
      <c r="EV19" s="273">
        <f t="shared" si="17"/>
        <v>9866.6842507645251</v>
      </c>
      <c r="EW19" s="273">
        <f t="shared" si="18"/>
        <v>0</v>
      </c>
      <c r="EX19" s="273">
        <f t="shared" si="68"/>
        <v>13581.289317507419</v>
      </c>
      <c r="EY19" s="273">
        <f t="shared" si="19"/>
        <v>3633696.01</v>
      </c>
      <c r="EZ19" s="273">
        <f t="shared" si="20"/>
        <v>6452811.4999999991</v>
      </c>
      <c r="FA19" s="273">
        <f t="shared" si="69"/>
        <v>0</v>
      </c>
      <c r="FB19" s="273">
        <f t="shared" si="70"/>
        <v>9153789</v>
      </c>
      <c r="FC19" s="56"/>
      <c r="FD19" s="56"/>
      <c r="FE19" s="56"/>
      <c r="FF19" s="56"/>
      <c r="FG19" s="47"/>
      <c r="FH19" s="47"/>
      <c r="FI19" s="47"/>
      <c r="FJ19" s="47"/>
    </row>
    <row r="20" spans="1:166" x14ac:dyDescent="0.3">
      <c r="A20" s="48" t="s">
        <v>45</v>
      </c>
      <c r="B20" s="258" t="s">
        <v>16</v>
      </c>
      <c r="C20" s="53">
        <v>863766.84</v>
      </c>
      <c r="D20" s="53">
        <v>21478.54</v>
      </c>
      <c r="E20" s="53">
        <f t="shared" si="21"/>
        <v>885245.38</v>
      </c>
      <c r="F20" s="53">
        <v>0</v>
      </c>
      <c r="G20" s="53">
        <v>0</v>
      </c>
      <c r="H20" s="53">
        <f t="shared" si="0"/>
        <v>0</v>
      </c>
      <c r="I20" s="56">
        <f t="shared" si="22"/>
        <v>885245.38</v>
      </c>
      <c r="J20" s="252">
        <v>69</v>
      </c>
      <c r="K20" s="252">
        <v>1</v>
      </c>
      <c r="L20" s="252">
        <f t="shared" si="71"/>
        <v>70</v>
      </c>
      <c r="M20" s="252">
        <v>0</v>
      </c>
      <c r="N20" s="252">
        <v>0</v>
      </c>
      <c r="O20" s="252">
        <f t="shared" si="23"/>
        <v>0</v>
      </c>
      <c r="P20" s="56">
        <f t="shared" si="24"/>
        <v>70</v>
      </c>
      <c r="Q20" s="252">
        <v>849</v>
      </c>
      <c r="R20" s="252">
        <v>18</v>
      </c>
      <c r="S20" s="59">
        <f t="shared" si="25"/>
        <v>867</v>
      </c>
      <c r="T20" s="252">
        <v>0</v>
      </c>
      <c r="U20" s="252">
        <v>0</v>
      </c>
      <c r="V20" s="256">
        <f t="shared" si="26"/>
        <v>0</v>
      </c>
      <c r="W20" s="56">
        <f t="shared" si="27"/>
        <v>867</v>
      </c>
      <c r="X20" s="56">
        <f t="shared" si="73"/>
        <v>12518.359999999999</v>
      </c>
      <c r="Y20" s="56">
        <f>D20/K20</f>
        <v>21478.54</v>
      </c>
      <c r="Z20" s="56">
        <f t="shared" si="74"/>
        <v>12646.362571428572</v>
      </c>
      <c r="AA20" s="56"/>
      <c r="AB20" s="56"/>
      <c r="AC20" s="56"/>
      <c r="AD20" s="56">
        <f t="shared" si="2"/>
        <v>12646.362571428572</v>
      </c>
      <c r="AE20" s="269"/>
      <c r="AF20" s="270"/>
      <c r="AG20" s="269"/>
      <c r="AH20" s="269"/>
      <c r="AI20" s="269"/>
      <c r="AJ20" s="269"/>
      <c r="AK20" s="270"/>
      <c r="AL20" s="270"/>
      <c r="AM20" s="270"/>
      <c r="AN20" s="267"/>
      <c r="AO20" s="267"/>
      <c r="AP20" s="267"/>
      <c r="AQ20" s="267"/>
      <c r="AR20" s="267"/>
      <c r="AS20" s="267"/>
      <c r="AT20" s="267"/>
      <c r="AU20" s="269">
        <f t="shared" si="3"/>
        <v>12518.359999999999</v>
      </c>
      <c r="AV20" s="269">
        <f t="shared" si="4"/>
        <v>12646.362571428572</v>
      </c>
      <c r="AW20" s="269">
        <f t="shared" si="29"/>
        <v>0</v>
      </c>
      <c r="AX20" s="269">
        <f t="shared" si="30"/>
        <v>12646.362571428572</v>
      </c>
      <c r="AY20" s="269">
        <f t="shared" si="5"/>
        <v>863766.84</v>
      </c>
      <c r="AZ20" s="269">
        <f t="shared" si="6"/>
        <v>885245.38</v>
      </c>
      <c r="BA20" s="269">
        <f t="shared" si="31"/>
        <v>0</v>
      </c>
      <c r="BB20" s="269">
        <f t="shared" si="32"/>
        <v>885245.38</v>
      </c>
      <c r="BC20" s="53">
        <v>643325.4</v>
      </c>
      <c r="BD20" s="53">
        <v>51281.48</v>
      </c>
      <c r="BE20" s="56">
        <f t="shared" si="33"/>
        <v>694606.88</v>
      </c>
      <c r="BF20" s="53">
        <v>0</v>
      </c>
      <c r="BG20" s="53">
        <v>0</v>
      </c>
      <c r="BH20" s="56">
        <f t="shared" si="34"/>
        <v>0</v>
      </c>
      <c r="BI20" s="56">
        <f t="shared" si="35"/>
        <v>694606.88</v>
      </c>
      <c r="BJ20" s="252">
        <v>60</v>
      </c>
      <c r="BK20" s="252">
        <v>4</v>
      </c>
      <c r="BL20" s="252">
        <f t="shared" si="36"/>
        <v>64</v>
      </c>
      <c r="BM20" s="252">
        <v>0</v>
      </c>
      <c r="BN20" s="252">
        <v>0</v>
      </c>
      <c r="BO20" s="252">
        <f t="shared" si="37"/>
        <v>0</v>
      </c>
      <c r="BP20" s="56">
        <f t="shared" si="38"/>
        <v>64</v>
      </c>
      <c r="BQ20" s="252">
        <v>840</v>
      </c>
      <c r="BR20" s="252">
        <v>879</v>
      </c>
      <c r="BS20" s="59">
        <f t="shared" si="39"/>
        <v>1719</v>
      </c>
      <c r="BT20" s="252">
        <v>0</v>
      </c>
      <c r="BU20" s="252">
        <v>0</v>
      </c>
      <c r="BV20" s="59">
        <f t="shared" si="40"/>
        <v>0</v>
      </c>
      <c r="BW20" s="56">
        <f t="shared" si="41"/>
        <v>1719</v>
      </c>
      <c r="BX20" s="56">
        <f t="shared" si="42"/>
        <v>10722.09</v>
      </c>
      <c r="BY20" s="56">
        <f t="shared" si="43"/>
        <v>12820.37</v>
      </c>
      <c r="BZ20" s="56">
        <f t="shared" si="44"/>
        <v>10853.2325</v>
      </c>
      <c r="CA20" s="56"/>
      <c r="CB20" s="56"/>
      <c r="CC20" s="56"/>
      <c r="CD20" s="56">
        <f t="shared" si="48"/>
        <v>10853.2325</v>
      </c>
      <c r="CE20" s="238"/>
      <c r="CF20" s="241"/>
      <c r="CG20" s="241"/>
      <c r="CH20" s="241"/>
      <c r="CI20" s="241"/>
      <c r="CJ20" s="241"/>
      <c r="CK20" s="241"/>
      <c r="CL20" s="241"/>
      <c r="CM20" s="241"/>
      <c r="CN20" s="241"/>
      <c r="CO20" s="241"/>
      <c r="CP20" s="241"/>
      <c r="CQ20" s="241"/>
      <c r="CR20" s="241"/>
      <c r="CS20" s="241"/>
      <c r="CT20" s="241"/>
      <c r="CU20" s="238">
        <f t="shared" si="8"/>
        <v>10722.09</v>
      </c>
      <c r="CV20" s="238">
        <f t="shared" si="9"/>
        <v>10853.2325</v>
      </c>
      <c r="CW20" s="238">
        <f t="shared" si="49"/>
        <v>0</v>
      </c>
      <c r="CX20" s="238">
        <f t="shared" si="50"/>
        <v>10853.2325</v>
      </c>
      <c r="CY20" s="238">
        <f t="shared" si="10"/>
        <v>643325.4</v>
      </c>
      <c r="CZ20" s="238">
        <f t="shared" si="11"/>
        <v>694606.88</v>
      </c>
      <c r="DA20" s="238">
        <f t="shared" si="51"/>
        <v>0</v>
      </c>
      <c r="DB20" s="238">
        <f t="shared" si="52"/>
        <v>694606.88</v>
      </c>
      <c r="DC20" s="252">
        <v>791763.96</v>
      </c>
      <c r="DD20" s="252">
        <v>65847.7</v>
      </c>
      <c r="DE20" s="56">
        <f t="shared" si="53"/>
        <v>857611.65999999992</v>
      </c>
      <c r="DF20" s="252">
        <v>0</v>
      </c>
      <c r="DG20" s="252">
        <v>0</v>
      </c>
      <c r="DH20" s="56">
        <f t="shared" si="54"/>
        <v>0</v>
      </c>
      <c r="DI20" s="56">
        <f t="shared" si="55"/>
        <v>857611.65999999992</v>
      </c>
      <c r="DJ20" s="252">
        <v>69</v>
      </c>
      <c r="DK20" s="252">
        <v>5</v>
      </c>
      <c r="DL20" s="56">
        <f t="shared" si="56"/>
        <v>74</v>
      </c>
      <c r="DM20" s="252">
        <v>0</v>
      </c>
      <c r="DN20" s="252">
        <v>0</v>
      </c>
      <c r="DO20" s="56">
        <f t="shared" si="57"/>
        <v>0</v>
      </c>
      <c r="DP20" s="56">
        <f t="shared" si="58"/>
        <v>74</v>
      </c>
      <c r="DQ20" s="53">
        <v>926.5</v>
      </c>
      <c r="DR20" s="53">
        <v>751</v>
      </c>
      <c r="DS20" s="56">
        <f t="shared" si="59"/>
        <v>1677.5</v>
      </c>
      <c r="DT20" s="53">
        <v>0</v>
      </c>
      <c r="DU20" s="53">
        <v>0</v>
      </c>
      <c r="DV20" s="56">
        <f t="shared" si="60"/>
        <v>0</v>
      </c>
      <c r="DW20" s="59">
        <f t="shared" si="61"/>
        <v>1677.5</v>
      </c>
      <c r="DX20" s="56">
        <f t="shared" si="62"/>
        <v>11474.84</v>
      </c>
      <c r="DY20" s="56">
        <f t="shared" si="63"/>
        <v>13169.539999999999</v>
      </c>
      <c r="DZ20" s="56">
        <f t="shared" si="64"/>
        <v>11589.346756756755</v>
      </c>
      <c r="EA20" s="56"/>
      <c r="EB20" s="56"/>
      <c r="EC20" s="56"/>
      <c r="ED20" s="56">
        <f t="shared" si="15"/>
        <v>11589.346756756755</v>
      </c>
      <c r="EE20" s="273"/>
      <c r="EF20" s="274"/>
      <c r="EG20" s="274"/>
      <c r="EH20" s="274"/>
      <c r="EI20" s="274"/>
      <c r="EJ20" s="274"/>
      <c r="EK20" s="274"/>
      <c r="EL20" s="274"/>
      <c r="EM20" s="274"/>
      <c r="EN20" s="274"/>
      <c r="EO20" s="274"/>
      <c r="EP20" s="274"/>
      <c r="EQ20" s="274"/>
      <c r="ER20" s="274"/>
      <c r="ES20" s="274"/>
      <c r="ET20" s="274"/>
      <c r="EU20" s="273">
        <f t="shared" si="16"/>
        <v>11474.84</v>
      </c>
      <c r="EV20" s="273">
        <f t="shared" si="17"/>
        <v>11589.346756756755</v>
      </c>
      <c r="EW20" s="273">
        <f t="shared" si="18"/>
        <v>0</v>
      </c>
      <c r="EX20" s="273">
        <f t="shared" si="68"/>
        <v>11589.346756756755</v>
      </c>
      <c r="EY20" s="273">
        <f t="shared" si="19"/>
        <v>791763.96</v>
      </c>
      <c r="EZ20" s="273">
        <f t="shared" si="20"/>
        <v>857611.65999999992</v>
      </c>
      <c r="FA20" s="273">
        <f t="shared" si="69"/>
        <v>0</v>
      </c>
      <c r="FB20" s="273">
        <f t="shared" si="70"/>
        <v>857611.65999999992</v>
      </c>
      <c r="FC20" s="56"/>
      <c r="FD20" s="56"/>
      <c r="FE20" s="56"/>
      <c r="FF20" s="56"/>
      <c r="FG20" s="47"/>
      <c r="FH20" s="47"/>
      <c r="FI20" s="47"/>
      <c r="FJ20" s="47"/>
    </row>
    <row r="21" spans="1:166" x14ac:dyDescent="0.3">
      <c r="A21" s="48" t="s">
        <v>46</v>
      </c>
      <c r="B21" s="258" t="s">
        <v>17</v>
      </c>
      <c r="C21" s="53">
        <v>140844.44</v>
      </c>
      <c r="D21" s="53"/>
      <c r="E21" s="53">
        <f t="shared" si="21"/>
        <v>140844.44</v>
      </c>
      <c r="F21" s="53"/>
      <c r="G21" s="53"/>
      <c r="H21" s="53">
        <f t="shared" si="0"/>
        <v>0</v>
      </c>
      <c r="I21" s="56">
        <f t="shared" si="22"/>
        <v>140844.44</v>
      </c>
      <c r="J21" s="252">
        <v>22</v>
      </c>
      <c r="K21" s="252"/>
      <c r="L21" s="252">
        <f t="shared" si="71"/>
        <v>22</v>
      </c>
      <c r="M21" s="252"/>
      <c r="N21" s="252"/>
      <c r="O21" s="252">
        <f t="shared" si="23"/>
        <v>0</v>
      </c>
      <c r="P21" s="56">
        <f t="shared" si="24"/>
        <v>22</v>
      </c>
      <c r="Q21" s="252">
        <v>169</v>
      </c>
      <c r="R21" s="252"/>
      <c r="S21" s="59">
        <f t="shared" si="25"/>
        <v>169</v>
      </c>
      <c r="T21" s="252"/>
      <c r="U21" s="252"/>
      <c r="V21" s="256">
        <f t="shared" si="26"/>
        <v>0</v>
      </c>
      <c r="W21" s="56">
        <f t="shared" si="27"/>
        <v>169</v>
      </c>
      <c r="X21" s="56">
        <f t="shared" si="73"/>
        <v>6402.02</v>
      </c>
      <c r="Y21" s="56"/>
      <c r="Z21" s="56">
        <f t="shared" si="74"/>
        <v>6402.02</v>
      </c>
      <c r="AA21" s="56"/>
      <c r="AB21" s="56"/>
      <c r="AC21" s="56"/>
      <c r="AD21" s="56">
        <f t="shared" si="2"/>
        <v>6402.02</v>
      </c>
      <c r="AE21" s="269"/>
      <c r="AF21" s="270"/>
      <c r="AG21" s="269"/>
      <c r="AH21" s="269"/>
      <c r="AI21" s="269"/>
      <c r="AJ21" s="269"/>
      <c r="AK21" s="270"/>
      <c r="AL21" s="270"/>
      <c r="AM21" s="270"/>
      <c r="AN21" s="267"/>
      <c r="AO21" s="267"/>
      <c r="AP21" s="267"/>
      <c r="AQ21" s="267"/>
      <c r="AR21" s="267"/>
      <c r="AS21" s="267"/>
      <c r="AT21" s="267"/>
      <c r="AU21" s="269">
        <f t="shared" si="3"/>
        <v>6402.02</v>
      </c>
      <c r="AV21" s="269">
        <f t="shared" si="4"/>
        <v>6402.02</v>
      </c>
      <c r="AW21" s="269">
        <f t="shared" si="29"/>
        <v>0</v>
      </c>
      <c r="AX21" s="269">
        <f t="shared" si="30"/>
        <v>6402.02</v>
      </c>
      <c r="AY21" s="269">
        <f t="shared" si="5"/>
        <v>140844.44</v>
      </c>
      <c r="AZ21" s="269">
        <f t="shared" si="6"/>
        <v>140844.44</v>
      </c>
      <c r="BA21" s="269">
        <f t="shared" si="31"/>
        <v>0</v>
      </c>
      <c r="BB21" s="269">
        <f t="shared" si="32"/>
        <v>140844.44</v>
      </c>
      <c r="BC21" s="53">
        <v>141733.20000000001</v>
      </c>
      <c r="BD21" s="53"/>
      <c r="BE21" s="56">
        <f t="shared" si="33"/>
        <v>141733.20000000001</v>
      </c>
      <c r="BF21" s="53">
        <v>3015.6</v>
      </c>
      <c r="BG21" s="53"/>
      <c r="BH21" s="56">
        <f t="shared" si="34"/>
        <v>3015.6</v>
      </c>
      <c r="BI21" s="56">
        <f t="shared" si="35"/>
        <v>144748.80000000002</v>
      </c>
      <c r="BJ21" s="252">
        <v>47</v>
      </c>
      <c r="BK21" s="252"/>
      <c r="BL21" s="252">
        <f t="shared" si="36"/>
        <v>47</v>
      </c>
      <c r="BM21" s="252">
        <v>1</v>
      </c>
      <c r="BN21" s="252"/>
      <c r="BO21" s="252">
        <f t="shared" si="37"/>
        <v>1</v>
      </c>
      <c r="BP21" s="56">
        <f t="shared" si="38"/>
        <v>48</v>
      </c>
      <c r="BQ21" s="252">
        <v>513.29999999999995</v>
      </c>
      <c r="BR21" s="252"/>
      <c r="BS21" s="59">
        <f t="shared" si="39"/>
        <v>513.29999999999995</v>
      </c>
      <c r="BT21" s="252">
        <v>1</v>
      </c>
      <c r="BU21" s="252"/>
      <c r="BV21" s="59">
        <f t="shared" si="40"/>
        <v>1</v>
      </c>
      <c r="BW21" s="56">
        <f t="shared" si="41"/>
        <v>514.29999999999995</v>
      </c>
      <c r="BX21" s="56">
        <f t="shared" si="42"/>
        <v>3015.6000000000004</v>
      </c>
      <c r="BY21" s="56"/>
      <c r="BZ21" s="56">
        <f t="shared" si="44"/>
        <v>3015.6000000000004</v>
      </c>
      <c r="CA21" s="56">
        <f t="shared" si="45"/>
        <v>3015.6</v>
      </c>
      <c r="CB21" s="56"/>
      <c r="CC21" s="56">
        <f t="shared" si="47"/>
        <v>3015.6</v>
      </c>
      <c r="CD21" s="56">
        <f t="shared" si="48"/>
        <v>3015.6000000000004</v>
      </c>
      <c r="CE21" s="238"/>
      <c r="CF21" s="241"/>
      <c r="CG21" s="241"/>
      <c r="CH21" s="241"/>
      <c r="CI21" s="241"/>
      <c r="CJ21" s="241"/>
      <c r="CK21" s="241"/>
      <c r="CL21" s="241"/>
      <c r="CM21" s="241"/>
      <c r="CN21" s="241"/>
      <c r="CO21" s="241"/>
      <c r="CP21" s="241"/>
      <c r="CQ21" s="241"/>
      <c r="CR21" s="241"/>
      <c r="CS21" s="241"/>
      <c r="CT21" s="241"/>
      <c r="CU21" s="238">
        <f t="shared" si="8"/>
        <v>3015.6000000000004</v>
      </c>
      <c r="CV21" s="238">
        <f t="shared" si="9"/>
        <v>0</v>
      </c>
      <c r="CW21" s="238">
        <f t="shared" si="49"/>
        <v>3015.6</v>
      </c>
      <c r="CX21" s="238">
        <f t="shared" si="50"/>
        <v>0</v>
      </c>
      <c r="CY21" s="238">
        <f t="shared" si="10"/>
        <v>141733.20000000001</v>
      </c>
      <c r="CZ21" s="238">
        <f t="shared" si="11"/>
        <v>0</v>
      </c>
      <c r="DA21" s="238">
        <f t="shared" si="51"/>
        <v>3015.6</v>
      </c>
      <c r="DB21" s="238">
        <f t="shared" si="52"/>
        <v>0</v>
      </c>
      <c r="DC21" s="53">
        <v>112157.5</v>
      </c>
      <c r="DD21" s="53"/>
      <c r="DE21" s="56">
        <f t="shared" si="53"/>
        <v>112157.5</v>
      </c>
      <c r="DF21" s="53"/>
      <c r="DG21" s="53"/>
      <c r="DH21" s="56">
        <f t="shared" si="54"/>
        <v>0</v>
      </c>
      <c r="DI21" s="56">
        <f t="shared" si="55"/>
        <v>112157.5</v>
      </c>
      <c r="DJ21" s="252">
        <v>35</v>
      </c>
      <c r="DK21" s="252"/>
      <c r="DL21" s="56">
        <f t="shared" si="56"/>
        <v>35</v>
      </c>
      <c r="DM21" s="252"/>
      <c r="DN21" s="252"/>
      <c r="DO21" s="56">
        <f t="shared" si="57"/>
        <v>0</v>
      </c>
      <c r="DP21" s="56">
        <f t="shared" si="58"/>
        <v>35</v>
      </c>
      <c r="DQ21" s="252">
        <v>446</v>
      </c>
      <c r="DR21" s="252"/>
      <c r="DS21" s="56">
        <f t="shared" si="59"/>
        <v>446</v>
      </c>
      <c r="DT21" s="252"/>
      <c r="DU21" s="252"/>
      <c r="DV21" s="56">
        <f t="shared" si="60"/>
        <v>0</v>
      </c>
      <c r="DW21" s="59">
        <f t="shared" si="61"/>
        <v>446</v>
      </c>
      <c r="DX21" s="56">
        <f t="shared" si="62"/>
        <v>3204.5</v>
      </c>
      <c r="DY21" s="56"/>
      <c r="DZ21" s="56">
        <f t="shared" si="64"/>
        <v>3204.5</v>
      </c>
      <c r="EA21" s="56"/>
      <c r="EB21" s="56"/>
      <c r="EC21" s="56"/>
      <c r="ED21" s="56">
        <f t="shared" si="15"/>
        <v>3204.5</v>
      </c>
      <c r="EE21" s="273"/>
      <c r="EF21" s="274"/>
      <c r="EG21" s="274"/>
      <c r="EH21" s="274"/>
      <c r="EI21" s="274"/>
      <c r="EJ21" s="274"/>
      <c r="EK21" s="274"/>
      <c r="EL21" s="274"/>
      <c r="EM21" s="274"/>
      <c r="EN21" s="274"/>
      <c r="EO21" s="274"/>
      <c r="EP21" s="274"/>
      <c r="EQ21" s="274"/>
      <c r="ER21" s="274"/>
      <c r="ES21" s="274"/>
      <c r="ET21" s="274"/>
      <c r="EU21" s="273">
        <f t="shared" si="16"/>
        <v>3204.5</v>
      </c>
      <c r="EV21" s="273">
        <f t="shared" si="17"/>
        <v>3204.5</v>
      </c>
      <c r="EW21" s="273">
        <f t="shared" si="18"/>
        <v>0</v>
      </c>
      <c r="EX21" s="273">
        <f t="shared" si="68"/>
        <v>3204.5</v>
      </c>
      <c r="EY21" s="273">
        <f t="shared" si="19"/>
        <v>112157.5</v>
      </c>
      <c r="EZ21" s="273">
        <f t="shared" si="20"/>
        <v>112157.5</v>
      </c>
      <c r="FA21" s="273">
        <f t="shared" si="69"/>
        <v>0</v>
      </c>
      <c r="FB21" s="273">
        <f t="shared" si="70"/>
        <v>112157.5</v>
      </c>
      <c r="FC21" s="56"/>
      <c r="FD21" s="56"/>
      <c r="FE21" s="56"/>
      <c r="FF21" s="56"/>
      <c r="FG21" s="47"/>
      <c r="FH21" s="47"/>
      <c r="FI21" s="47"/>
      <c r="FJ21" s="47"/>
    </row>
    <row r="22" spans="1:166" ht="30.75" customHeight="1" x14ac:dyDescent="0.3">
      <c r="A22" s="48" t="s">
        <v>47</v>
      </c>
      <c r="B22" s="258" t="s">
        <v>48</v>
      </c>
      <c r="C22" s="53">
        <v>581734.91</v>
      </c>
      <c r="D22" s="53"/>
      <c r="E22" s="53">
        <f t="shared" si="21"/>
        <v>581734.91</v>
      </c>
      <c r="F22" s="53"/>
      <c r="G22" s="53"/>
      <c r="H22" s="53">
        <f t="shared" si="0"/>
        <v>0</v>
      </c>
      <c r="I22" s="56">
        <f t="shared" si="22"/>
        <v>581734.91</v>
      </c>
      <c r="J22" s="252">
        <v>92</v>
      </c>
      <c r="K22" s="252"/>
      <c r="L22" s="252">
        <f t="shared" si="71"/>
        <v>92</v>
      </c>
      <c r="M22" s="252"/>
      <c r="N22" s="252"/>
      <c r="O22" s="252">
        <f t="shared" si="23"/>
        <v>0</v>
      </c>
      <c r="P22" s="56">
        <f t="shared" si="24"/>
        <v>92</v>
      </c>
      <c r="Q22" s="252">
        <v>3226</v>
      </c>
      <c r="R22" s="252"/>
      <c r="S22" s="59">
        <f t="shared" si="25"/>
        <v>3226</v>
      </c>
      <c r="T22" s="252"/>
      <c r="U22" s="252"/>
      <c r="V22" s="256">
        <f t="shared" si="26"/>
        <v>0</v>
      </c>
      <c r="W22" s="56">
        <f t="shared" si="27"/>
        <v>3226</v>
      </c>
      <c r="X22" s="56">
        <f t="shared" si="73"/>
        <v>6323.2055434782615</v>
      </c>
      <c r="Y22" s="56"/>
      <c r="Z22" s="56">
        <f t="shared" si="74"/>
        <v>6323.2055434782615</v>
      </c>
      <c r="AA22" s="56"/>
      <c r="AB22" s="56"/>
      <c r="AC22" s="56"/>
      <c r="AD22" s="56">
        <f t="shared" si="2"/>
        <v>6323.2055434782615</v>
      </c>
      <c r="AE22" s="269"/>
      <c r="AF22" s="270"/>
      <c r="AG22" s="269"/>
      <c r="AH22" s="269"/>
      <c r="AI22" s="269"/>
      <c r="AJ22" s="269"/>
      <c r="AK22" s="270"/>
      <c r="AL22" s="270"/>
      <c r="AM22" s="270"/>
      <c r="AN22" s="267"/>
      <c r="AO22" s="267"/>
      <c r="AP22" s="267"/>
      <c r="AQ22" s="267"/>
      <c r="AR22" s="267"/>
      <c r="AS22" s="267"/>
      <c r="AT22" s="267"/>
      <c r="AU22" s="269">
        <f t="shared" si="3"/>
        <v>6323.2055434782615</v>
      </c>
      <c r="AV22" s="269">
        <f t="shared" si="4"/>
        <v>6323.2055434782615</v>
      </c>
      <c r="AW22" s="269">
        <f t="shared" si="29"/>
        <v>0</v>
      </c>
      <c r="AX22" s="269">
        <f t="shared" si="30"/>
        <v>6323.2055434782615</v>
      </c>
      <c r="AY22" s="269">
        <f t="shared" si="5"/>
        <v>581734.91</v>
      </c>
      <c r="AZ22" s="269">
        <f t="shared" si="6"/>
        <v>581734.91</v>
      </c>
      <c r="BA22" s="269">
        <f t="shared" si="31"/>
        <v>0</v>
      </c>
      <c r="BB22" s="269">
        <f t="shared" si="32"/>
        <v>581734.91</v>
      </c>
      <c r="BC22" s="53">
        <v>562765.29</v>
      </c>
      <c r="BD22" s="53"/>
      <c r="BE22" s="56">
        <f t="shared" si="33"/>
        <v>562765.29</v>
      </c>
      <c r="BF22" s="53"/>
      <c r="BG22" s="53"/>
      <c r="BH22" s="56">
        <f t="shared" si="34"/>
        <v>0</v>
      </c>
      <c r="BI22" s="56">
        <f t="shared" si="35"/>
        <v>562765.29</v>
      </c>
      <c r="BJ22" s="252">
        <v>89</v>
      </c>
      <c r="BK22" s="252"/>
      <c r="BL22" s="252">
        <f t="shared" si="36"/>
        <v>89</v>
      </c>
      <c r="BM22" s="252"/>
      <c r="BN22" s="252"/>
      <c r="BO22" s="252">
        <f t="shared" si="37"/>
        <v>0</v>
      </c>
      <c r="BP22" s="56">
        <f t="shared" si="38"/>
        <v>89</v>
      </c>
      <c r="BQ22" s="252">
        <v>1201</v>
      </c>
      <c r="BR22" s="252"/>
      <c r="BS22" s="59">
        <f t="shared" si="39"/>
        <v>1201</v>
      </c>
      <c r="BT22" s="252"/>
      <c r="BU22" s="252"/>
      <c r="BV22" s="59">
        <f t="shared" si="40"/>
        <v>0</v>
      </c>
      <c r="BW22" s="56">
        <f t="shared" si="41"/>
        <v>1201</v>
      </c>
      <c r="BX22" s="56">
        <f t="shared" si="42"/>
        <v>6323.2055056179779</v>
      </c>
      <c r="BY22" s="56"/>
      <c r="BZ22" s="56">
        <f t="shared" si="44"/>
        <v>6323.2055056179779</v>
      </c>
      <c r="CA22" s="56"/>
      <c r="CB22" s="56"/>
      <c r="CC22" s="56"/>
      <c r="CD22" s="56">
        <f t="shared" si="48"/>
        <v>6323.2055056179779</v>
      </c>
      <c r="CE22" s="238"/>
      <c r="CF22" s="241"/>
      <c r="CG22" s="241"/>
      <c r="CH22" s="241"/>
      <c r="CI22" s="241"/>
      <c r="CJ22" s="241"/>
      <c r="CK22" s="241"/>
      <c r="CL22" s="241"/>
      <c r="CM22" s="241"/>
      <c r="CN22" s="241"/>
      <c r="CO22" s="241"/>
      <c r="CP22" s="241"/>
      <c r="CQ22" s="241"/>
      <c r="CR22" s="241"/>
      <c r="CS22" s="241"/>
      <c r="CT22" s="241"/>
      <c r="CU22" s="238">
        <f t="shared" si="8"/>
        <v>6323.2055056179779</v>
      </c>
      <c r="CV22" s="238">
        <f t="shared" si="9"/>
        <v>6323.2055056179779</v>
      </c>
      <c r="CW22" s="238">
        <f t="shared" si="49"/>
        <v>0</v>
      </c>
      <c r="CX22" s="238">
        <f t="shared" si="50"/>
        <v>6323.2055056179779</v>
      </c>
      <c r="CY22" s="238">
        <f t="shared" si="10"/>
        <v>562765.29</v>
      </c>
      <c r="CZ22" s="238">
        <f t="shared" si="11"/>
        <v>562765.29</v>
      </c>
      <c r="DA22" s="238">
        <f t="shared" si="51"/>
        <v>0</v>
      </c>
      <c r="DB22" s="238">
        <f t="shared" si="52"/>
        <v>562765.29</v>
      </c>
      <c r="DC22" s="53">
        <v>486886.83</v>
      </c>
      <c r="DD22" s="53"/>
      <c r="DE22" s="56">
        <f t="shared" si="53"/>
        <v>486886.83</v>
      </c>
      <c r="DF22" s="53"/>
      <c r="DG22" s="53"/>
      <c r="DH22" s="56">
        <f t="shared" si="54"/>
        <v>0</v>
      </c>
      <c r="DI22" s="56">
        <f t="shared" si="55"/>
        <v>486886.83</v>
      </c>
      <c r="DJ22" s="252">
        <v>77</v>
      </c>
      <c r="DK22" s="252"/>
      <c r="DL22" s="56">
        <f t="shared" si="56"/>
        <v>77</v>
      </c>
      <c r="DM22" s="252"/>
      <c r="DN22" s="252"/>
      <c r="DO22" s="56">
        <f t="shared" si="57"/>
        <v>0</v>
      </c>
      <c r="DP22" s="56">
        <f t="shared" si="58"/>
        <v>77</v>
      </c>
      <c r="DQ22" s="252">
        <v>922</v>
      </c>
      <c r="DR22" s="252"/>
      <c r="DS22" s="56">
        <f t="shared" si="59"/>
        <v>922</v>
      </c>
      <c r="DT22" s="252"/>
      <c r="DU22" s="252"/>
      <c r="DV22" s="56">
        <f t="shared" si="60"/>
        <v>0</v>
      </c>
      <c r="DW22" s="59">
        <f t="shared" si="61"/>
        <v>922</v>
      </c>
      <c r="DX22" s="56">
        <f t="shared" si="62"/>
        <v>6323.2055844155848</v>
      </c>
      <c r="DY22" s="56"/>
      <c r="DZ22" s="56">
        <f t="shared" si="64"/>
        <v>6323.2055844155848</v>
      </c>
      <c r="EA22" s="56"/>
      <c r="EB22" s="56"/>
      <c r="EC22" s="56"/>
      <c r="ED22" s="56">
        <f t="shared" si="15"/>
        <v>6323.2055844155848</v>
      </c>
      <c r="EE22" s="273"/>
      <c r="EF22" s="274"/>
      <c r="EG22" s="274"/>
      <c r="EH22" s="274"/>
      <c r="EI22" s="274"/>
      <c r="EJ22" s="274"/>
      <c r="EK22" s="274"/>
      <c r="EL22" s="274"/>
      <c r="EM22" s="274"/>
      <c r="EN22" s="274"/>
      <c r="EO22" s="274"/>
      <c r="EP22" s="274"/>
      <c r="EQ22" s="274"/>
      <c r="ER22" s="274"/>
      <c r="ES22" s="274"/>
      <c r="ET22" s="274"/>
      <c r="EU22" s="273">
        <f t="shared" si="16"/>
        <v>6323.2055844155848</v>
      </c>
      <c r="EV22" s="273">
        <f t="shared" si="17"/>
        <v>6323.2055844155848</v>
      </c>
      <c r="EW22" s="273">
        <f t="shared" si="18"/>
        <v>0</v>
      </c>
      <c r="EX22" s="273">
        <f t="shared" si="68"/>
        <v>6323.2055844155848</v>
      </c>
      <c r="EY22" s="273">
        <f t="shared" si="19"/>
        <v>486886.83</v>
      </c>
      <c r="EZ22" s="273">
        <f t="shared" si="20"/>
        <v>486886.83</v>
      </c>
      <c r="FA22" s="273">
        <f t="shared" si="69"/>
        <v>0</v>
      </c>
      <c r="FB22" s="273">
        <f t="shared" si="70"/>
        <v>486886.83</v>
      </c>
      <c r="FC22" s="56"/>
      <c r="FD22" s="56"/>
      <c r="FE22" s="56"/>
      <c r="FF22" s="56"/>
      <c r="FG22" s="47"/>
      <c r="FH22" s="47"/>
      <c r="FI22" s="47"/>
      <c r="FJ22" s="47"/>
    </row>
    <row r="23" spans="1:166" s="232" customFormat="1" x14ac:dyDescent="0.3">
      <c r="A23" s="251" t="s">
        <v>49</v>
      </c>
      <c r="B23" s="259" t="s">
        <v>18</v>
      </c>
      <c r="C23" s="255">
        <v>171728.65</v>
      </c>
      <c r="D23" s="255">
        <v>14417.64</v>
      </c>
      <c r="E23" s="255">
        <f>C23+D23</f>
        <v>186146.28999999998</v>
      </c>
      <c r="F23" s="255">
        <v>31386</v>
      </c>
      <c r="G23" s="255"/>
      <c r="H23" s="255">
        <f t="shared" si="0"/>
        <v>31386</v>
      </c>
      <c r="I23" s="56">
        <f t="shared" si="22"/>
        <v>217532.28999999998</v>
      </c>
      <c r="J23" s="256">
        <v>44</v>
      </c>
      <c r="K23" s="256">
        <v>2</v>
      </c>
      <c r="L23" s="256">
        <f t="shared" si="71"/>
        <v>46</v>
      </c>
      <c r="M23" s="256">
        <v>1</v>
      </c>
      <c r="N23" s="256"/>
      <c r="O23" s="256">
        <f t="shared" si="23"/>
        <v>1</v>
      </c>
      <c r="P23" s="56">
        <f t="shared" si="24"/>
        <v>47</v>
      </c>
      <c r="Q23" s="256">
        <v>605</v>
      </c>
      <c r="R23" s="256">
        <v>99</v>
      </c>
      <c r="S23" s="256">
        <f>Q23+R23</f>
        <v>704</v>
      </c>
      <c r="T23" s="256">
        <v>285</v>
      </c>
      <c r="U23" s="256"/>
      <c r="V23" s="256">
        <f>T23+U23</f>
        <v>285</v>
      </c>
      <c r="W23" s="56">
        <f t="shared" si="27"/>
        <v>989</v>
      </c>
      <c r="X23" s="255">
        <f>C23/J23</f>
        <v>3902.9238636363634</v>
      </c>
      <c r="Y23" s="255">
        <f t="shared" ref="Y23" si="75">D23/K23</f>
        <v>7208.82</v>
      </c>
      <c r="Z23" s="255">
        <f t="shared" si="74"/>
        <v>4046.6584782608693</v>
      </c>
      <c r="AA23" s="255">
        <f>F23/M23</f>
        <v>31386</v>
      </c>
      <c r="AB23" s="255"/>
      <c r="AC23" s="255">
        <f>H23/O23</f>
        <v>31386</v>
      </c>
      <c r="AD23" s="56">
        <f t="shared" si="2"/>
        <v>4628.3465957446806</v>
      </c>
      <c r="AE23" s="269"/>
      <c r="AF23" s="270"/>
      <c r="AG23" s="269"/>
      <c r="AH23" s="269"/>
      <c r="AI23" s="269"/>
      <c r="AJ23" s="269"/>
      <c r="AK23" s="270"/>
      <c r="AL23" s="270"/>
      <c r="AM23" s="270"/>
      <c r="AN23" s="267"/>
      <c r="AO23" s="267"/>
      <c r="AP23" s="267"/>
      <c r="AQ23" s="267"/>
      <c r="AR23" s="267"/>
      <c r="AS23" s="267"/>
      <c r="AT23" s="267"/>
      <c r="AU23" s="269">
        <f t="shared" si="3"/>
        <v>3902.9238636363634</v>
      </c>
      <c r="AV23" s="269">
        <f t="shared" si="4"/>
        <v>4046.6584782608693</v>
      </c>
      <c r="AW23" s="269">
        <f t="shared" si="29"/>
        <v>31386</v>
      </c>
      <c r="AX23" s="269">
        <f t="shared" si="30"/>
        <v>4628.3465957446806</v>
      </c>
      <c r="AY23" s="269">
        <f t="shared" si="5"/>
        <v>171728.65</v>
      </c>
      <c r="AZ23" s="269">
        <f t="shared" si="6"/>
        <v>186146.28999999998</v>
      </c>
      <c r="BA23" s="269">
        <f t="shared" si="31"/>
        <v>31386</v>
      </c>
      <c r="BB23" s="269">
        <f t="shared" si="32"/>
        <v>217532.28999999998</v>
      </c>
      <c r="BC23" s="255">
        <v>327965.90000000002</v>
      </c>
      <c r="BD23" s="255">
        <v>204193.02</v>
      </c>
      <c r="BE23" s="56">
        <f>BC23+BD23</f>
        <v>532158.92000000004</v>
      </c>
      <c r="BF23" s="255">
        <v>113597.04</v>
      </c>
      <c r="BG23" s="255"/>
      <c r="BH23" s="56">
        <f t="shared" si="34"/>
        <v>113597.04</v>
      </c>
      <c r="BI23" s="56">
        <f t="shared" si="35"/>
        <v>645755.96000000008</v>
      </c>
      <c r="BJ23" s="256">
        <v>67</v>
      </c>
      <c r="BK23" s="256">
        <v>8</v>
      </c>
      <c r="BL23" s="59">
        <f>BJ23+BK23</f>
        <v>75</v>
      </c>
      <c r="BM23" s="256">
        <v>2</v>
      </c>
      <c r="BN23" s="256"/>
      <c r="BO23" s="59">
        <f t="shared" si="37"/>
        <v>2</v>
      </c>
      <c r="BP23" s="56">
        <f t="shared" si="38"/>
        <v>77</v>
      </c>
      <c r="BQ23" s="256">
        <v>935</v>
      </c>
      <c r="BR23" s="256">
        <v>586</v>
      </c>
      <c r="BS23" s="59">
        <f t="shared" si="39"/>
        <v>1521</v>
      </c>
      <c r="BT23" s="256">
        <v>415</v>
      </c>
      <c r="BU23" s="256"/>
      <c r="BV23" s="59">
        <f t="shared" si="40"/>
        <v>415</v>
      </c>
      <c r="BW23" s="56">
        <f t="shared" si="41"/>
        <v>1936</v>
      </c>
      <c r="BX23" s="56">
        <f t="shared" si="42"/>
        <v>4895.0134328358208</v>
      </c>
      <c r="BY23" s="56">
        <f t="shared" ref="BY23" si="76">BD23/BK23</f>
        <v>25524.127499999999</v>
      </c>
      <c r="BZ23" s="56">
        <f t="shared" si="44"/>
        <v>7095.4522666666671</v>
      </c>
      <c r="CA23" s="56">
        <f t="shared" ref="CA23" si="77">BF23/BM23</f>
        <v>56798.52</v>
      </c>
      <c r="CB23" s="56"/>
      <c r="CC23" s="56">
        <f t="shared" ref="CC23" si="78">BH23/BO23</f>
        <v>56798.52</v>
      </c>
      <c r="CD23" s="56">
        <f t="shared" si="48"/>
        <v>8386.4410389610402</v>
      </c>
      <c r="CE23" s="238"/>
      <c r="CF23" s="241"/>
      <c r="CG23" s="241"/>
      <c r="CH23" s="241"/>
      <c r="CI23" s="241"/>
      <c r="CJ23" s="241"/>
      <c r="CK23" s="241"/>
      <c r="CL23" s="241"/>
      <c r="CM23" s="241"/>
      <c r="CN23" s="241"/>
      <c r="CO23" s="241"/>
      <c r="CP23" s="241"/>
      <c r="CQ23" s="241"/>
      <c r="CR23" s="241"/>
      <c r="CS23" s="241"/>
      <c r="CT23" s="241"/>
      <c r="CU23" s="238">
        <f t="shared" si="8"/>
        <v>4895.0134328358208</v>
      </c>
      <c r="CV23" s="238">
        <f t="shared" si="9"/>
        <v>7095.4522666666671</v>
      </c>
      <c r="CW23" s="238">
        <f t="shared" si="49"/>
        <v>56798.52</v>
      </c>
      <c r="CX23" s="238">
        <f t="shared" si="50"/>
        <v>8386.4410389610402</v>
      </c>
      <c r="CY23" s="238">
        <f t="shared" si="10"/>
        <v>327965.90000000002</v>
      </c>
      <c r="CZ23" s="238">
        <f t="shared" si="11"/>
        <v>532158.92000000004</v>
      </c>
      <c r="DA23" s="238">
        <f t="shared" si="51"/>
        <v>113597.04</v>
      </c>
      <c r="DB23" s="238">
        <f t="shared" si="52"/>
        <v>645755.96000000008</v>
      </c>
      <c r="DC23" s="255">
        <v>324618.7</v>
      </c>
      <c r="DD23" s="255">
        <v>137094.63</v>
      </c>
      <c r="DE23" s="56">
        <f t="shared" si="53"/>
        <v>461713.33</v>
      </c>
      <c r="DF23" s="255">
        <v>58807.64</v>
      </c>
      <c r="DG23" s="255"/>
      <c r="DH23" s="56">
        <f t="shared" si="54"/>
        <v>58807.64</v>
      </c>
      <c r="DI23" s="56">
        <f t="shared" si="55"/>
        <v>520520.97000000003</v>
      </c>
      <c r="DJ23" s="256">
        <v>68</v>
      </c>
      <c r="DK23" s="256">
        <v>9</v>
      </c>
      <c r="DL23" s="56">
        <f t="shared" si="56"/>
        <v>77</v>
      </c>
      <c r="DM23" s="256">
        <v>1</v>
      </c>
      <c r="DN23" s="256"/>
      <c r="DO23" s="56">
        <f t="shared" si="57"/>
        <v>1</v>
      </c>
      <c r="DP23" s="56">
        <f t="shared" si="58"/>
        <v>78</v>
      </c>
      <c r="DQ23" s="256">
        <v>961</v>
      </c>
      <c r="DR23" s="256">
        <v>480</v>
      </c>
      <c r="DS23" s="56">
        <f t="shared" si="59"/>
        <v>1441</v>
      </c>
      <c r="DT23" s="256">
        <v>200</v>
      </c>
      <c r="DU23" s="256"/>
      <c r="DV23" s="56">
        <f t="shared" si="60"/>
        <v>200</v>
      </c>
      <c r="DW23" s="59">
        <f t="shared" si="61"/>
        <v>1641</v>
      </c>
      <c r="DX23" s="56">
        <f>DC23/DJ23</f>
        <v>4773.8044117647059</v>
      </c>
      <c r="DY23" s="56">
        <f t="shared" ref="DY23" si="79">DD23/DK23</f>
        <v>15232.736666666668</v>
      </c>
      <c r="DZ23" s="56">
        <f t="shared" si="64"/>
        <v>5996.2770129870132</v>
      </c>
      <c r="EA23" s="56">
        <f>DF23/DM23</f>
        <v>58807.64</v>
      </c>
      <c r="EB23" s="56"/>
      <c r="EC23" s="56">
        <f>DH23/DO23</f>
        <v>58807.64</v>
      </c>
      <c r="ED23" s="56">
        <f t="shared" si="15"/>
        <v>6673.3457692307693</v>
      </c>
      <c r="EE23" s="273"/>
      <c r="EF23" s="274"/>
      <c r="EG23" s="274"/>
      <c r="EH23" s="274"/>
      <c r="EI23" s="274"/>
      <c r="EJ23" s="274"/>
      <c r="EK23" s="274"/>
      <c r="EL23" s="274"/>
      <c r="EM23" s="274"/>
      <c r="EN23" s="274"/>
      <c r="EO23" s="274"/>
      <c r="EP23" s="274"/>
      <c r="EQ23" s="274"/>
      <c r="ER23" s="274"/>
      <c r="ES23" s="274"/>
      <c r="ET23" s="274"/>
      <c r="EU23" s="273">
        <f t="shared" si="16"/>
        <v>4773.8044117647059</v>
      </c>
      <c r="EV23" s="273">
        <f t="shared" si="17"/>
        <v>5996.2770129870132</v>
      </c>
      <c r="EW23" s="273">
        <f t="shared" si="18"/>
        <v>58807.64</v>
      </c>
      <c r="EX23" s="273">
        <f t="shared" si="68"/>
        <v>6673.3457692307693</v>
      </c>
      <c r="EY23" s="273">
        <f t="shared" si="19"/>
        <v>324618.7</v>
      </c>
      <c r="EZ23" s="273">
        <f t="shared" si="20"/>
        <v>461713.33</v>
      </c>
      <c r="FA23" s="273">
        <f t="shared" si="69"/>
        <v>58807.64</v>
      </c>
      <c r="FB23" s="273">
        <f t="shared" si="70"/>
        <v>520520.97000000003</v>
      </c>
      <c r="FC23" s="255"/>
      <c r="FD23" s="255"/>
      <c r="FE23" s="255"/>
      <c r="FF23" s="255"/>
      <c r="FG23" s="263"/>
      <c r="FH23" s="263"/>
      <c r="FI23" s="263"/>
      <c r="FJ23" s="263"/>
    </row>
    <row r="24" spans="1:166" x14ac:dyDescent="0.3">
      <c r="A24" s="48" t="s">
        <v>50</v>
      </c>
      <c r="B24" s="258" t="s">
        <v>19</v>
      </c>
      <c r="C24" s="53">
        <v>236128</v>
      </c>
      <c r="D24" s="53">
        <v>6652</v>
      </c>
      <c r="E24" s="53">
        <f t="shared" si="21"/>
        <v>242780</v>
      </c>
      <c r="F24" s="53"/>
      <c r="G24" s="53"/>
      <c r="H24" s="53">
        <f t="shared" si="0"/>
        <v>0</v>
      </c>
      <c r="I24" s="56">
        <f t="shared" si="22"/>
        <v>242780</v>
      </c>
      <c r="J24" s="252">
        <v>71</v>
      </c>
      <c r="K24" s="252">
        <v>2</v>
      </c>
      <c r="L24" s="252">
        <f t="shared" si="71"/>
        <v>73</v>
      </c>
      <c r="M24" s="252"/>
      <c r="N24" s="252"/>
      <c r="O24" s="252">
        <f t="shared" si="23"/>
        <v>0</v>
      </c>
      <c r="P24" s="56">
        <f t="shared" si="24"/>
        <v>73</v>
      </c>
      <c r="Q24" s="252">
        <v>875</v>
      </c>
      <c r="R24" s="252">
        <v>150</v>
      </c>
      <c r="S24" s="59">
        <f t="shared" si="25"/>
        <v>1025</v>
      </c>
      <c r="T24" s="252"/>
      <c r="U24" s="252"/>
      <c r="V24" s="256">
        <f t="shared" ref="V24:V38" si="80">T24+U24</f>
        <v>0</v>
      </c>
      <c r="W24" s="56">
        <f t="shared" si="27"/>
        <v>1025</v>
      </c>
      <c r="X24" s="56">
        <f t="shared" si="73"/>
        <v>3325.7464788732395</v>
      </c>
      <c r="Y24" s="56">
        <f>D24/K24</f>
        <v>3326</v>
      </c>
      <c r="Z24" s="56">
        <f t="shared" si="74"/>
        <v>3325.7534246575342</v>
      </c>
      <c r="AA24" s="56"/>
      <c r="AB24" s="56"/>
      <c r="AC24" s="56"/>
      <c r="AD24" s="56">
        <f t="shared" si="2"/>
        <v>3325.7534246575342</v>
      </c>
      <c r="AE24" s="269"/>
      <c r="AF24" s="269"/>
      <c r="AG24" s="269"/>
      <c r="AH24" s="269"/>
      <c r="AI24" s="269"/>
      <c r="AJ24" s="269"/>
      <c r="AK24" s="267"/>
      <c r="AL24" s="267"/>
      <c r="AM24" s="267"/>
      <c r="AN24" s="269"/>
      <c r="AO24" s="267"/>
      <c r="AP24" s="267"/>
      <c r="AQ24" s="267"/>
      <c r="AR24" s="267"/>
      <c r="AS24" s="267"/>
      <c r="AT24" s="267"/>
      <c r="AU24" s="269">
        <f t="shared" si="3"/>
        <v>3325.7464788732395</v>
      </c>
      <c r="AV24" s="269">
        <f t="shared" si="4"/>
        <v>3325.7534246575342</v>
      </c>
      <c r="AW24" s="269">
        <f t="shared" si="29"/>
        <v>0</v>
      </c>
      <c r="AX24" s="269">
        <f t="shared" si="30"/>
        <v>3325.7534246575342</v>
      </c>
      <c r="AY24" s="269">
        <f t="shared" si="5"/>
        <v>236128</v>
      </c>
      <c r="AZ24" s="269">
        <f t="shared" si="6"/>
        <v>242780</v>
      </c>
      <c r="BA24" s="269">
        <f t="shared" si="31"/>
        <v>0</v>
      </c>
      <c r="BB24" s="269">
        <f t="shared" si="32"/>
        <v>242780</v>
      </c>
      <c r="BC24" s="53">
        <v>254402</v>
      </c>
      <c r="BD24" s="53"/>
      <c r="BE24" s="56">
        <f t="shared" si="33"/>
        <v>254402</v>
      </c>
      <c r="BF24" s="53">
        <v>3304</v>
      </c>
      <c r="BG24" s="53"/>
      <c r="BH24" s="56">
        <f t="shared" si="34"/>
        <v>3304</v>
      </c>
      <c r="BI24" s="56">
        <f t="shared" si="35"/>
        <v>257706</v>
      </c>
      <c r="BJ24" s="252">
        <v>77</v>
      </c>
      <c r="BK24" s="252"/>
      <c r="BL24" s="252">
        <f t="shared" si="36"/>
        <v>77</v>
      </c>
      <c r="BM24" s="252">
        <v>1</v>
      </c>
      <c r="BN24" s="252"/>
      <c r="BO24" s="252">
        <f t="shared" si="37"/>
        <v>1</v>
      </c>
      <c r="BP24" s="56">
        <f t="shared" si="38"/>
        <v>78</v>
      </c>
      <c r="BQ24" s="252">
        <v>950</v>
      </c>
      <c r="BR24" s="252"/>
      <c r="BS24" s="59">
        <f t="shared" si="39"/>
        <v>950</v>
      </c>
      <c r="BT24" s="252">
        <v>170</v>
      </c>
      <c r="BU24" s="252"/>
      <c r="BV24" s="59">
        <f t="shared" si="40"/>
        <v>170</v>
      </c>
      <c r="BW24" s="56">
        <f t="shared" si="41"/>
        <v>1120</v>
      </c>
      <c r="BX24" s="56">
        <f t="shared" si="42"/>
        <v>3303.9220779220777</v>
      </c>
      <c r="BY24" s="56"/>
      <c r="BZ24" s="56">
        <f t="shared" si="44"/>
        <v>3303.9220779220777</v>
      </c>
      <c r="CA24" s="56">
        <f t="shared" si="45"/>
        <v>3304</v>
      </c>
      <c r="CB24" s="56"/>
      <c r="CC24" s="56">
        <f t="shared" si="47"/>
        <v>3304</v>
      </c>
      <c r="CD24" s="56">
        <f t="shared" si="48"/>
        <v>3303.9230769230771</v>
      </c>
      <c r="CE24" s="238"/>
      <c r="CF24" s="238"/>
      <c r="CG24" s="233"/>
      <c r="CH24" s="233"/>
      <c r="CI24" s="233"/>
      <c r="CJ24" s="233"/>
      <c r="CK24" s="233"/>
      <c r="CL24" s="233"/>
      <c r="CM24" s="233"/>
      <c r="CN24" s="238"/>
      <c r="CO24" s="233"/>
      <c r="CP24" s="233"/>
      <c r="CQ24" s="233"/>
      <c r="CR24" s="233"/>
      <c r="CS24" s="233"/>
      <c r="CT24" s="233"/>
      <c r="CU24" s="238">
        <f t="shared" si="8"/>
        <v>3303.9220779220777</v>
      </c>
      <c r="CV24" s="238">
        <f t="shared" si="9"/>
        <v>0</v>
      </c>
      <c r="CW24" s="238">
        <f t="shared" si="49"/>
        <v>3304</v>
      </c>
      <c r="CX24" s="238">
        <f t="shared" si="50"/>
        <v>3303.9230769230771</v>
      </c>
      <c r="CY24" s="238">
        <f t="shared" si="10"/>
        <v>254402</v>
      </c>
      <c r="CZ24" s="238">
        <f t="shared" si="11"/>
        <v>0</v>
      </c>
      <c r="DA24" s="238">
        <f t="shared" si="51"/>
        <v>3304</v>
      </c>
      <c r="DB24" s="238">
        <f t="shared" si="52"/>
        <v>257706.00000000003</v>
      </c>
      <c r="DC24" s="53">
        <v>205910</v>
      </c>
      <c r="DD24" s="53"/>
      <c r="DE24" s="56">
        <f t="shared" si="53"/>
        <v>205910</v>
      </c>
      <c r="DF24" s="53"/>
      <c r="DG24" s="53"/>
      <c r="DH24" s="56">
        <f t="shared" si="54"/>
        <v>0</v>
      </c>
      <c r="DI24" s="56">
        <f t="shared" si="55"/>
        <v>205910</v>
      </c>
      <c r="DJ24" s="252">
        <v>73</v>
      </c>
      <c r="DK24" s="252"/>
      <c r="DL24" s="56">
        <f t="shared" si="56"/>
        <v>73</v>
      </c>
      <c r="DM24" s="252"/>
      <c r="DN24" s="252"/>
      <c r="DO24" s="56">
        <f t="shared" si="57"/>
        <v>0</v>
      </c>
      <c r="DP24" s="56">
        <f t="shared" si="58"/>
        <v>73</v>
      </c>
      <c r="DQ24" s="252">
        <v>865</v>
      </c>
      <c r="DR24" s="252"/>
      <c r="DS24" s="56">
        <f t="shared" si="59"/>
        <v>865</v>
      </c>
      <c r="DT24" s="252"/>
      <c r="DU24" s="252"/>
      <c r="DV24" s="56">
        <f t="shared" si="60"/>
        <v>0</v>
      </c>
      <c r="DW24" s="59">
        <f t="shared" si="61"/>
        <v>865</v>
      </c>
      <c r="DX24" s="56">
        <f t="shared" si="62"/>
        <v>2820.6849315068494</v>
      </c>
      <c r="DY24" s="56"/>
      <c r="DZ24" s="56">
        <f t="shared" si="64"/>
        <v>2820.6849315068494</v>
      </c>
      <c r="EA24" s="56"/>
      <c r="EB24" s="56"/>
      <c r="EC24" s="56"/>
      <c r="ED24" s="56">
        <f t="shared" si="15"/>
        <v>2820.6849315068494</v>
      </c>
      <c r="EE24" s="273"/>
      <c r="EF24" s="273"/>
      <c r="EG24" s="231"/>
      <c r="EH24" s="231"/>
      <c r="EI24" s="231"/>
      <c r="EJ24" s="231"/>
      <c r="EK24" s="231"/>
      <c r="EL24" s="231"/>
      <c r="EM24" s="231"/>
      <c r="EN24" s="273"/>
      <c r="EO24" s="231"/>
      <c r="EP24" s="231"/>
      <c r="EQ24" s="231"/>
      <c r="ER24" s="231"/>
      <c r="ES24" s="231"/>
      <c r="ET24" s="231"/>
      <c r="EU24" s="273">
        <f t="shared" si="16"/>
        <v>2820.6849315068494</v>
      </c>
      <c r="EV24" s="273">
        <f t="shared" si="17"/>
        <v>2820.6849315068494</v>
      </c>
      <c r="EW24" s="273">
        <f t="shared" si="18"/>
        <v>0</v>
      </c>
      <c r="EX24" s="273">
        <f t="shared" si="68"/>
        <v>2820.6849315068494</v>
      </c>
      <c r="EY24" s="273">
        <f t="shared" si="19"/>
        <v>205910</v>
      </c>
      <c r="EZ24" s="273">
        <f t="shared" si="20"/>
        <v>205910</v>
      </c>
      <c r="FA24" s="273">
        <f t="shared" si="69"/>
        <v>0</v>
      </c>
      <c r="FB24" s="273">
        <f t="shared" si="70"/>
        <v>205910</v>
      </c>
      <c r="FC24" s="56"/>
      <c r="FD24" s="56"/>
      <c r="FE24" s="56"/>
      <c r="FF24" s="56"/>
      <c r="FG24" s="47"/>
      <c r="FH24" s="47"/>
      <c r="FI24" s="47"/>
      <c r="FJ24" s="47"/>
    </row>
    <row r="25" spans="1:166" ht="28.8" x14ac:dyDescent="0.3">
      <c r="A25" s="48" t="s">
        <v>51</v>
      </c>
      <c r="B25" s="258" t="s">
        <v>20</v>
      </c>
      <c r="C25" s="53">
        <v>6034637.5300000003</v>
      </c>
      <c r="D25" s="53">
        <v>2306230.9</v>
      </c>
      <c r="E25" s="53">
        <f t="shared" si="21"/>
        <v>8340868.4299999997</v>
      </c>
      <c r="F25" s="53">
        <v>345934.64</v>
      </c>
      <c r="G25" s="53"/>
      <c r="H25" s="53">
        <f t="shared" si="0"/>
        <v>345934.64</v>
      </c>
      <c r="I25" s="56">
        <f t="shared" si="22"/>
        <v>8686803.0700000003</v>
      </c>
      <c r="J25" s="252">
        <v>157</v>
      </c>
      <c r="K25" s="252">
        <v>60</v>
      </c>
      <c r="L25" s="252">
        <f t="shared" si="71"/>
        <v>217</v>
      </c>
      <c r="M25" s="252">
        <v>9</v>
      </c>
      <c r="N25" s="252"/>
      <c r="O25" s="252">
        <f t="shared" si="23"/>
        <v>9</v>
      </c>
      <c r="P25" s="56">
        <f t="shared" si="24"/>
        <v>226</v>
      </c>
      <c r="Q25" s="252">
        <v>2017.09</v>
      </c>
      <c r="R25" s="252">
        <v>4985.8999999999996</v>
      </c>
      <c r="S25" s="59">
        <f t="shared" si="25"/>
        <v>7002.99</v>
      </c>
      <c r="T25" s="252">
        <v>3836.84</v>
      </c>
      <c r="U25" s="252"/>
      <c r="V25" s="256">
        <f t="shared" si="80"/>
        <v>3836.84</v>
      </c>
      <c r="W25" s="56">
        <f t="shared" si="27"/>
        <v>10839.83</v>
      </c>
      <c r="X25" s="56">
        <f t="shared" si="73"/>
        <v>38437.181719745226</v>
      </c>
      <c r="Y25" s="56">
        <f>D25/K25</f>
        <v>38437.181666666664</v>
      </c>
      <c r="Z25" s="56">
        <f t="shared" si="74"/>
        <v>38437.181705069124</v>
      </c>
      <c r="AA25" s="56">
        <f>F25/M25</f>
        <v>38437.182222222225</v>
      </c>
      <c r="AB25" s="56"/>
      <c r="AC25" s="56">
        <f t="shared" si="28"/>
        <v>38437.182222222225</v>
      </c>
      <c r="AD25" s="56">
        <f t="shared" si="2"/>
        <v>38437.181725663715</v>
      </c>
      <c r="AE25" s="269"/>
      <c r="AF25" s="270"/>
      <c r="AG25" s="269"/>
      <c r="AH25" s="269"/>
      <c r="AI25" s="269"/>
      <c r="AJ25" s="269"/>
      <c r="AK25" s="270"/>
      <c r="AL25" s="270"/>
      <c r="AM25" s="270"/>
      <c r="AN25" s="267"/>
      <c r="AO25" s="267"/>
      <c r="AP25" s="267"/>
      <c r="AQ25" s="267"/>
      <c r="AR25" s="267"/>
      <c r="AS25" s="267"/>
      <c r="AT25" s="267"/>
      <c r="AU25" s="269">
        <f t="shared" si="3"/>
        <v>0</v>
      </c>
      <c r="AV25" s="269">
        <f t="shared" si="4"/>
        <v>0</v>
      </c>
      <c r="AW25" s="269">
        <f t="shared" si="29"/>
        <v>38437.182222222225</v>
      </c>
      <c r="AX25" s="269">
        <f t="shared" si="30"/>
        <v>0</v>
      </c>
      <c r="AY25" s="269">
        <f t="shared" si="5"/>
        <v>0</v>
      </c>
      <c r="AZ25" s="269">
        <f t="shared" si="6"/>
        <v>0</v>
      </c>
      <c r="BA25" s="269">
        <f t="shared" si="31"/>
        <v>345934.64</v>
      </c>
      <c r="BB25" s="269">
        <f t="shared" si="32"/>
        <v>0</v>
      </c>
      <c r="BC25" s="53">
        <v>3667753.44</v>
      </c>
      <c r="BD25" s="53">
        <v>1445420.07</v>
      </c>
      <c r="BE25" s="56">
        <f t="shared" si="33"/>
        <v>5113173.51</v>
      </c>
      <c r="BF25" s="53">
        <v>343287.27</v>
      </c>
      <c r="BG25" s="53"/>
      <c r="BH25" s="56">
        <f t="shared" si="34"/>
        <v>343287.27</v>
      </c>
      <c r="BI25" s="56">
        <f t="shared" si="35"/>
        <v>5456460.7799999993</v>
      </c>
      <c r="BJ25" s="252">
        <v>203</v>
      </c>
      <c r="BK25" s="252">
        <v>80</v>
      </c>
      <c r="BL25" s="252">
        <f t="shared" si="36"/>
        <v>283</v>
      </c>
      <c r="BM25" s="252">
        <v>19</v>
      </c>
      <c r="BN25" s="252"/>
      <c r="BO25" s="252">
        <f t="shared" si="37"/>
        <v>19</v>
      </c>
      <c r="BP25" s="56">
        <f t="shared" si="38"/>
        <v>302</v>
      </c>
      <c r="BQ25" s="252">
        <v>2463.9499999999998</v>
      </c>
      <c r="BR25" s="252">
        <v>4369.84</v>
      </c>
      <c r="BS25" s="59">
        <f t="shared" si="39"/>
        <v>6833.79</v>
      </c>
      <c r="BT25" s="252">
        <v>8073</v>
      </c>
      <c r="BU25" s="252"/>
      <c r="BV25" s="59">
        <f t="shared" si="40"/>
        <v>8073</v>
      </c>
      <c r="BW25" s="56">
        <f t="shared" si="41"/>
        <v>14906.79</v>
      </c>
      <c r="BX25" s="56">
        <f t="shared" si="42"/>
        <v>18067.75093596059</v>
      </c>
      <c r="BY25" s="56">
        <f t="shared" si="43"/>
        <v>18067.750875000002</v>
      </c>
      <c r="BZ25" s="56">
        <f t="shared" si="44"/>
        <v>18067.750918727914</v>
      </c>
      <c r="CA25" s="56">
        <f t="shared" si="45"/>
        <v>18067.751052631578</v>
      </c>
      <c r="CB25" s="56"/>
      <c r="CC25" s="56">
        <f t="shared" si="47"/>
        <v>18067.751052631578</v>
      </c>
      <c r="CD25" s="56">
        <f t="shared" si="48"/>
        <v>18067.750927152316</v>
      </c>
      <c r="CE25" s="238"/>
      <c r="CF25" s="241"/>
      <c r="CG25" s="241"/>
      <c r="CH25" s="241"/>
      <c r="CI25" s="241"/>
      <c r="CJ25" s="241"/>
      <c r="CK25" s="241"/>
      <c r="CL25" s="241"/>
      <c r="CM25" s="241"/>
      <c r="CN25" s="241"/>
      <c r="CO25" s="241"/>
      <c r="CP25" s="241"/>
      <c r="CQ25" s="241"/>
      <c r="CR25" s="241"/>
      <c r="CS25" s="241"/>
      <c r="CT25" s="241"/>
      <c r="CU25" s="238">
        <f t="shared" si="8"/>
        <v>0</v>
      </c>
      <c r="CV25" s="238">
        <f t="shared" si="9"/>
        <v>18067.750918727914</v>
      </c>
      <c r="CW25" s="238">
        <f t="shared" si="49"/>
        <v>18067.751052631578</v>
      </c>
      <c r="CX25" s="238">
        <f>IF(AND(CD25&gt;$CP$13,CD25&lt;$CT$13),CD25,0)</f>
        <v>18067.750927152316</v>
      </c>
      <c r="CY25" s="238">
        <f t="shared" si="10"/>
        <v>0</v>
      </c>
      <c r="CZ25" s="238">
        <f t="shared" si="11"/>
        <v>5113173.51</v>
      </c>
      <c r="DA25" s="238">
        <f t="shared" si="51"/>
        <v>343287.26999999996</v>
      </c>
      <c r="DB25" s="238">
        <f t="shared" si="52"/>
        <v>5456460.7799999993</v>
      </c>
      <c r="DC25" s="53">
        <v>5370137.4500000002</v>
      </c>
      <c r="DD25" s="53">
        <v>2192806.12</v>
      </c>
      <c r="DE25" s="56">
        <f t="shared" si="53"/>
        <v>7562943.5700000003</v>
      </c>
      <c r="DF25" s="53">
        <v>358009.16</v>
      </c>
      <c r="DG25" s="53"/>
      <c r="DH25" s="56">
        <f t="shared" si="54"/>
        <v>358009.16</v>
      </c>
      <c r="DI25" s="56">
        <f t="shared" si="55"/>
        <v>7920952.7300000004</v>
      </c>
      <c r="DJ25" s="252">
        <v>120</v>
      </c>
      <c r="DK25" s="252">
        <v>49</v>
      </c>
      <c r="DL25" s="56">
        <f t="shared" si="56"/>
        <v>169</v>
      </c>
      <c r="DM25" s="252">
        <v>8</v>
      </c>
      <c r="DN25" s="252"/>
      <c r="DO25" s="56">
        <f t="shared" si="57"/>
        <v>8</v>
      </c>
      <c r="DP25" s="56">
        <f t="shared" si="58"/>
        <v>177</v>
      </c>
      <c r="DQ25" s="252">
        <v>1570.2</v>
      </c>
      <c r="DR25" s="252">
        <v>3752</v>
      </c>
      <c r="DS25" s="56">
        <f t="shared" si="59"/>
        <v>5322.2</v>
      </c>
      <c r="DT25" s="252">
        <v>3877</v>
      </c>
      <c r="DU25" s="252"/>
      <c r="DV25" s="56">
        <f t="shared" si="60"/>
        <v>3877</v>
      </c>
      <c r="DW25" s="59">
        <f t="shared" si="61"/>
        <v>9199.2000000000007</v>
      </c>
      <c r="DX25" s="56">
        <f t="shared" si="62"/>
        <v>44751.145416666666</v>
      </c>
      <c r="DY25" s="56">
        <f t="shared" si="63"/>
        <v>44751.145306122453</v>
      </c>
      <c r="DZ25" s="56">
        <f t="shared" si="64"/>
        <v>44751.145384615389</v>
      </c>
      <c r="EA25" s="56">
        <f t="shared" si="65"/>
        <v>44751.144999999997</v>
      </c>
      <c r="EB25" s="56"/>
      <c r="EC25" s="56">
        <f t="shared" si="67"/>
        <v>44751.144999999997</v>
      </c>
      <c r="ED25" s="56">
        <f t="shared" si="15"/>
        <v>44751.145367231642</v>
      </c>
      <c r="EE25" s="273"/>
      <c r="EF25" s="274"/>
      <c r="EG25" s="274"/>
      <c r="EH25" s="274"/>
      <c r="EI25" s="274"/>
      <c r="EJ25" s="274"/>
      <c r="EK25" s="274"/>
      <c r="EL25" s="274"/>
      <c r="EM25" s="274"/>
      <c r="EN25" s="274"/>
      <c r="EO25" s="274"/>
      <c r="EP25" s="274"/>
      <c r="EQ25" s="274"/>
      <c r="ER25" s="274"/>
      <c r="ES25" s="274"/>
      <c r="ET25" s="274"/>
      <c r="EU25" s="273">
        <f t="shared" si="16"/>
        <v>0</v>
      </c>
      <c r="EV25" s="273">
        <f t="shared" si="17"/>
        <v>0</v>
      </c>
      <c r="EW25" s="273">
        <f t="shared" si="18"/>
        <v>44751.144999999997</v>
      </c>
      <c r="EX25" s="273">
        <f t="shared" si="68"/>
        <v>0</v>
      </c>
      <c r="EY25" s="273">
        <f t="shared" si="19"/>
        <v>0</v>
      </c>
      <c r="EZ25" s="273">
        <f t="shared" si="20"/>
        <v>0</v>
      </c>
      <c r="FA25" s="273">
        <f t="shared" si="69"/>
        <v>358009.16</v>
      </c>
      <c r="FB25" s="273">
        <f t="shared" si="70"/>
        <v>0</v>
      </c>
      <c r="FC25" s="56"/>
      <c r="FD25" s="56"/>
      <c r="FE25" s="56"/>
      <c r="FF25" s="56"/>
      <c r="FG25" s="47"/>
      <c r="FH25" s="47"/>
      <c r="FI25" s="47"/>
      <c r="FJ25" s="47"/>
    </row>
    <row r="26" spans="1:166" ht="28.8" x14ac:dyDescent="0.3">
      <c r="A26" s="48" t="s">
        <v>52</v>
      </c>
      <c r="B26" s="258" t="s">
        <v>21</v>
      </c>
      <c r="C26" s="53">
        <v>606860</v>
      </c>
      <c r="D26" s="53">
        <v>71865</v>
      </c>
      <c r="E26" s="53">
        <f t="shared" si="21"/>
        <v>678725</v>
      </c>
      <c r="F26" s="53"/>
      <c r="G26" s="53"/>
      <c r="H26" s="53">
        <f t="shared" si="0"/>
        <v>0</v>
      </c>
      <c r="I26" s="56">
        <f t="shared" si="22"/>
        <v>678725</v>
      </c>
      <c r="J26" s="252">
        <v>76</v>
      </c>
      <c r="K26" s="252">
        <v>9</v>
      </c>
      <c r="L26" s="252">
        <f t="shared" si="71"/>
        <v>85</v>
      </c>
      <c r="M26" s="252"/>
      <c r="N26" s="252"/>
      <c r="O26" s="252">
        <f t="shared" si="23"/>
        <v>0</v>
      </c>
      <c r="P26" s="56">
        <f t="shared" si="24"/>
        <v>85</v>
      </c>
      <c r="Q26" s="252">
        <v>851</v>
      </c>
      <c r="R26" s="252">
        <v>449</v>
      </c>
      <c r="S26" s="59">
        <f t="shared" si="25"/>
        <v>1300</v>
      </c>
      <c r="T26" s="252"/>
      <c r="U26" s="252"/>
      <c r="V26" s="256">
        <f t="shared" si="80"/>
        <v>0</v>
      </c>
      <c r="W26" s="56">
        <f t="shared" si="27"/>
        <v>1300</v>
      </c>
      <c r="X26" s="56">
        <f t="shared" si="73"/>
        <v>7985</v>
      </c>
      <c r="Y26" s="56">
        <f>D26/K26</f>
        <v>7985</v>
      </c>
      <c r="Z26" s="56">
        <f t="shared" si="74"/>
        <v>7985</v>
      </c>
      <c r="AA26" s="56"/>
      <c r="AB26" s="56"/>
      <c r="AC26" s="56"/>
      <c r="AD26" s="56">
        <f t="shared" si="2"/>
        <v>7985</v>
      </c>
      <c r="AE26" s="269"/>
      <c r="AF26" s="269"/>
      <c r="AG26" s="269"/>
      <c r="AH26" s="269"/>
      <c r="AI26" s="269"/>
      <c r="AJ26" s="269"/>
      <c r="AK26" s="267"/>
      <c r="AL26" s="267"/>
      <c r="AM26" s="267"/>
      <c r="AN26" s="269"/>
      <c r="AO26" s="267"/>
      <c r="AP26" s="267"/>
      <c r="AQ26" s="267"/>
      <c r="AR26" s="267"/>
      <c r="AS26" s="267"/>
      <c r="AT26" s="267"/>
      <c r="AU26" s="269">
        <f t="shared" si="3"/>
        <v>7985</v>
      </c>
      <c r="AV26" s="269">
        <f t="shared" si="4"/>
        <v>7985</v>
      </c>
      <c r="AW26" s="269">
        <f t="shared" si="29"/>
        <v>0</v>
      </c>
      <c r="AX26" s="269">
        <f t="shared" si="30"/>
        <v>7985</v>
      </c>
      <c r="AY26" s="269">
        <f t="shared" si="5"/>
        <v>606860</v>
      </c>
      <c r="AZ26" s="269">
        <f t="shared" si="6"/>
        <v>678725</v>
      </c>
      <c r="BA26" s="269">
        <f t="shared" si="31"/>
        <v>0</v>
      </c>
      <c r="BB26" s="269">
        <f t="shared" si="32"/>
        <v>678725</v>
      </c>
      <c r="BC26" s="53">
        <v>614845</v>
      </c>
      <c r="BD26" s="53">
        <v>55895</v>
      </c>
      <c r="BE26" s="56">
        <f t="shared" si="33"/>
        <v>670740</v>
      </c>
      <c r="BF26" s="53">
        <v>7985</v>
      </c>
      <c r="BG26" s="53"/>
      <c r="BH26" s="56">
        <f t="shared" si="34"/>
        <v>7985</v>
      </c>
      <c r="BI26" s="56">
        <f t="shared" si="35"/>
        <v>678725</v>
      </c>
      <c r="BJ26" s="252">
        <v>77</v>
      </c>
      <c r="BK26" s="252">
        <v>7</v>
      </c>
      <c r="BL26" s="252">
        <f t="shared" si="36"/>
        <v>84</v>
      </c>
      <c r="BM26" s="252">
        <v>1</v>
      </c>
      <c r="BN26" s="252"/>
      <c r="BO26" s="252">
        <f t="shared" si="37"/>
        <v>1</v>
      </c>
      <c r="BP26" s="56">
        <f t="shared" si="38"/>
        <v>85</v>
      </c>
      <c r="BQ26" s="252">
        <v>720</v>
      </c>
      <c r="BR26" s="252">
        <v>410</v>
      </c>
      <c r="BS26" s="59">
        <f t="shared" si="39"/>
        <v>1130</v>
      </c>
      <c r="BT26" s="252">
        <v>500</v>
      </c>
      <c r="BU26" s="252"/>
      <c r="BV26" s="59">
        <f t="shared" si="40"/>
        <v>500</v>
      </c>
      <c r="BW26" s="56">
        <f t="shared" si="41"/>
        <v>1630</v>
      </c>
      <c r="BX26" s="56">
        <f t="shared" si="42"/>
        <v>7985</v>
      </c>
      <c r="BY26" s="56">
        <f t="shared" si="43"/>
        <v>7985</v>
      </c>
      <c r="BZ26" s="56">
        <f t="shared" si="44"/>
        <v>7985</v>
      </c>
      <c r="CA26" s="56">
        <f t="shared" si="45"/>
        <v>7985</v>
      </c>
      <c r="CB26" s="56"/>
      <c r="CC26" s="56">
        <f t="shared" si="47"/>
        <v>7985</v>
      </c>
      <c r="CD26" s="56">
        <f t="shared" si="48"/>
        <v>7985</v>
      </c>
      <c r="CE26" s="238"/>
      <c r="CF26" s="238"/>
      <c r="CG26" s="233"/>
      <c r="CH26" s="233"/>
      <c r="CI26" s="233"/>
      <c r="CJ26" s="233"/>
      <c r="CK26" s="233"/>
      <c r="CL26" s="233"/>
      <c r="CM26" s="233"/>
      <c r="CN26" s="238"/>
      <c r="CO26" s="233"/>
      <c r="CP26" s="233"/>
      <c r="CQ26" s="233"/>
      <c r="CR26" s="233"/>
      <c r="CS26" s="233"/>
      <c r="CT26" s="233"/>
      <c r="CU26" s="238">
        <f t="shared" si="8"/>
        <v>7985</v>
      </c>
      <c r="CV26" s="238">
        <f t="shared" si="9"/>
        <v>7985</v>
      </c>
      <c r="CW26" s="238">
        <f t="shared" si="49"/>
        <v>7985</v>
      </c>
      <c r="CX26" s="238">
        <f t="shared" si="50"/>
        <v>7985</v>
      </c>
      <c r="CY26" s="238">
        <f t="shared" si="10"/>
        <v>614845</v>
      </c>
      <c r="CZ26" s="238">
        <f t="shared" si="11"/>
        <v>670740</v>
      </c>
      <c r="DA26" s="238">
        <f t="shared" si="51"/>
        <v>7985</v>
      </c>
      <c r="DB26" s="238">
        <f t="shared" si="52"/>
        <v>678725</v>
      </c>
      <c r="DC26" s="53">
        <v>467616</v>
      </c>
      <c r="DD26" s="53"/>
      <c r="DE26" s="56">
        <f t="shared" si="53"/>
        <v>467616</v>
      </c>
      <c r="DF26" s="53"/>
      <c r="DG26" s="53"/>
      <c r="DH26" s="56">
        <f t="shared" si="54"/>
        <v>0</v>
      </c>
      <c r="DI26" s="56">
        <f t="shared" si="55"/>
        <v>467616</v>
      </c>
      <c r="DJ26" s="252">
        <v>48</v>
      </c>
      <c r="DK26" s="252"/>
      <c r="DL26" s="56">
        <f t="shared" si="56"/>
        <v>48</v>
      </c>
      <c r="DM26" s="252"/>
      <c r="DN26" s="252"/>
      <c r="DO26" s="56">
        <f t="shared" si="57"/>
        <v>0</v>
      </c>
      <c r="DP26" s="56">
        <f t="shared" si="58"/>
        <v>48</v>
      </c>
      <c r="DQ26" s="252">
        <v>424</v>
      </c>
      <c r="DR26" s="252"/>
      <c r="DS26" s="56">
        <f t="shared" si="59"/>
        <v>424</v>
      </c>
      <c r="DT26" s="252"/>
      <c r="DU26" s="252"/>
      <c r="DV26" s="56">
        <f t="shared" si="60"/>
        <v>0</v>
      </c>
      <c r="DW26" s="59">
        <f t="shared" si="61"/>
        <v>424</v>
      </c>
      <c r="DX26" s="56">
        <f t="shared" si="62"/>
        <v>9742</v>
      </c>
      <c r="DY26" s="56"/>
      <c r="DZ26" s="56">
        <f t="shared" si="64"/>
        <v>9742</v>
      </c>
      <c r="EA26" s="56"/>
      <c r="EB26" s="56"/>
      <c r="EC26" s="56"/>
      <c r="ED26" s="56">
        <f t="shared" si="15"/>
        <v>9742</v>
      </c>
      <c r="EE26" s="273"/>
      <c r="EF26" s="273"/>
      <c r="EG26" s="231"/>
      <c r="EH26" s="231"/>
      <c r="EI26" s="231"/>
      <c r="EJ26" s="231"/>
      <c r="EK26" s="231"/>
      <c r="EL26" s="231"/>
      <c r="EM26" s="231"/>
      <c r="EN26" s="273"/>
      <c r="EO26" s="231"/>
      <c r="EP26" s="231"/>
      <c r="EQ26" s="231"/>
      <c r="ER26" s="231"/>
      <c r="ES26" s="231"/>
      <c r="ET26" s="231"/>
      <c r="EU26" s="273">
        <f t="shared" si="16"/>
        <v>9742</v>
      </c>
      <c r="EV26" s="273">
        <f t="shared" si="17"/>
        <v>9742</v>
      </c>
      <c r="EW26" s="273">
        <f t="shared" si="18"/>
        <v>0</v>
      </c>
      <c r="EX26" s="273">
        <f t="shared" si="68"/>
        <v>9742</v>
      </c>
      <c r="EY26" s="273">
        <f t="shared" si="19"/>
        <v>467616</v>
      </c>
      <c r="EZ26" s="273">
        <f t="shared" si="20"/>
        <v>467616</v>
      </c>
      <c r="FA26" s="273">
        <f t="shared" si="69"/>
        <v>0</v>
      </c>
      <c r="FB26" s="273">
        <f t="shared" si="70"/>
        <v>467616</v>
      </c>
      <c r="FC26" s="56"/>
      <c r="FD26" s="56"/>
      <c r="FE26" s="56"/>
      <c r="FF26" s="56"/>
      <c r="FG26" s="47"/>
      <c r="FH26" s="47"/>
      <c r="FI26" s="47"/>
      <c r="FJ26" s="47"/>
    </row>
    <row r="27" spans="1:166" x14ac:dyDescent="0.3">
      <c r="A27" s="48" t="s">
        <v>53</v>
      </c>
      <c r="B27" s="258" t="s">
        <v>22</v>
      </c>
      <c r="C27" s="53">
        <v>1467563.4</v>
      </c>
      <c r="D27" s="53">
        <v>258182.45</v>
      </c>
      <c r="E27" s="53">
        <f t="shared" si="21"/>
        <v>1725745.8499999999</v>
      </c>
      <c r="F27" s="53">
        <v>54354.2</v>
      </c>
      <c r="G27" s="53"/>
      <c r="H27" s="53">
        <f t="shared" si="0"/>
        <v>54354.2</v>
      </c>
      <c r="I27" s="56">
        <f t="shared" si="22"/>
        <v>1780100.0499999998</v>
      </c>
      <c r="J27" s="252">
        <v>108</v>
      </c>
      <c r="K27" s="252">
        <v>19</v>
      </c>
      <c r="L27" s="252">
        <f t="shared" si="71"/>
        <v>127</v>
      </c>
      <c r="M27" s="252">
        <v>4</v>
      </c>
      <c r="N27" s="252"/>
      <c r="O27" s="252">
        <f t="shared" si="23"/>
        <v>4</v>
      </c>
      <c r="P27" s="56">
        <f t="shared" si="24"/>
        <v>131</v>
      </c>
      <c r="Q27" s="252">
        <v>1556</v>
      </c>
      <c r="R27" s="252">
        <v>868</v>
      </c>
      <c r="S27" s="59">
        <f t="shared" si="25"/>
        <v>2424</v>
      </c>
      <c r="T27" s="252">
        <v>984</v>
      </c>
      <c r="U27" s="252"/>
      <c r="V27" s="256">
        <f t="shared" si="80"/>
        <v>984</v>
      </c>
      <c r="W27" s="56">
        <f t="shared" si="27"/>
        <v>3408</v>
      </c>
      <c r="X27" s="56">
        <f t="shared" si="73"/>
        <v>13588.55</v>
      </c>
      <c r="Y27" s="56">
        <f>D27/K27</f>
        <v>13588.550000000001</v>
      </c>
      <c r="Z27" s="56">
        <f t="shared" si="74"/>
        <v>13588.55</v>
      </c>
      <c r="AA27" s="56">
        <f>F27/M27</f>
        <v>13588.55</v>
      </c>
      <c r="AB27" s="56"/>
      <c r="AC27" s="56">
        <f t="shared" si="28"/>
        <v>13588.55</v>
      </c>
      <c r="AD27" s="56">
        <f t="shared" si="2"/>
        <v>13588.55</v>
      </c>
      <c r="AE27" s="269"/>
      <c r="AF27" s="269"/>
      <c r="AG27" s="269"/>
      <c r="AH27" s="269"/>
      <c r="AI27" s="269"/>
      <c r="AJ27" s="269"/>
      <c r="AK27" s="267"/>
      <c r="AL27" s="267"/>
      <c r="AM27" s="267"/>
      <c r="AN27" s="269"/>
      <c r="AO27" s="267"/>
      <c r="AP27" s="267"/>
      <c r="AQ27" s="267"/>
      <c r="AR27" s="267"/>
      <c r="AS27" s="267"/>
      <c r="AT27" s="267"/>
      <c r="AU27" s="269">
        <f t="shared" si="3"/>
        <v>13588.55</v>
      </c>
      <c r="AV27" s="269">
        <f t="shared" si="4"/>
        <v>13588.55</v>
      </c>
      <c r="AW27" s="269">
        <f t="shared" si="29"/>
        <v>13588.55</v>
      </c>
      <c r="AX27" s="269">
        <f t="shared" si="30"/>
        <v>13588.55</v>
      </c>
      <c r="AY27" s="269">
        <f t="shared" si="5"/>
        <v>1467563.4</v>
      </c>
      <c r="AZ27" s="269">
        <f t="shared" si="6"/>
        <v>1725745.8499999999</v>
      </c>
      <c r="BA27" s="269">
        <f t="shared" si="31"/>
        <v>54354.2</v>
      </c>
      <c r="BB27" s="269">
        <f t="shared" si="32"/>
        <v>1780100.0499999998</v>
      </c>
      <c r="BC27" s="53">
        <v>1400532.56</v>
      </c>
      <c r="BD27" s="53">
        <v>144384.79999999999</v>
      </c>
      <c r="BE27" s="56">
        <f t="shared" si="33"/>
        <v>1544917.36</v>
      </c>
      <c r="BF27" s="53">
        <v>28876.959999999999</v>
      </c>
      <c r="BG27" s="53"/>
      <c r="BH27" s="56">
        <f t="shared" si="34"/>
        <v>28876.959999999999</v>
      </c>
      <c r="BI27" s="56">
        <f t="shared" si="35"/>
        <v>1573794.32</v>
      </c>
      <c r="BJ27" s="252">
        <v>97</v>
      </c>
      <c r="BK27" s="252">
        <v>10</v>
      </c>
      <c r="BL27" s="252">
        <f t="shared" si="36"/>
        <v>107</v>
      </c>
      <c r="BM27" s="252">
        <v>2</v>
      </c>
      <c r="BN27" s="252"/>
      <c r="BO27" s="252">
        <f t="shared" si="37"/>
        <v>2</v>
      </c>
      <c r="BP27" s="56">
        <f t="shared" si="38"/>
        <v>109</v>
      </c>
      <c r="BQ27" s="252">
        <v>1410</v>
      </c>
      <c r="BR27" s="252">
        <v>721</v>
      </c>
      <c r="BS27" s="59">
        <f t="shared" si="39"/>
        <v>2131</v>
      </c>
      <c r="BT27" s="252">
        <v>440</v>
      </c>
      <c r="BU27" s="252"/>
      <c r="BV27" s="59">
        <f t="shared" si="40"/>
        <v>440</v>
      </c>
      <c r="BW27" s="56">
        <f t="shared" si="41"/>
        <v>2571</v>
      </c>
      <c r="BX27" s="56">
        <f t="shared" si="42"/>
        <v>14438.480000000001</v>
      </c>
      <c r="BY27" s="56">
        <f t="shared" si="43"/>
        <v>14438.48</v>
      </c>
      <c r="BZ27" s="56">
        <f t="shared" si="44"/>
        <v>14438.480000000001</v>
      </c>
      <c r="CA27" s="56">
        <f t="shared" si="45"/>
        <v>14438.48</v>
      </c>
      <c r="CB27" s="56"/>
      <c r="CC27" s="56">
        <f t="shared" si="47"/>
        <v>14438.48</v>
      </c>
      <c r="CD27" s="56">
        <f t="shared" si="48"/>
        <v>14438.480000000001</v>
      </c>
      <c r="CE27" s="238"/>
      <c r="CF27" s="238"/>
      <c r="CG27" s="233"/>
      <c r="CH27" s="233"/>
      <c r="CI27" s="233"/>
      <c r="CJ27" s="233"/>
      <c r="CK27" s="233"/>
      <c r="CL27" s="233"/>
      <c r="CM27" s="233"/>
      <c r="CN27" s="238"/>
      <c r="CO27" s="233"/>
      <c r="CP27" s="233"/>
      <c r="CQ27" s="233"/>
      <c r="CR27" s="233"/>
      <c r="CS27" s="233"/>
      <c r="CT27" s="233"/>
      <c r="CU27" s="238">
        <f t="shared" si="8"/>
        <v>14438.480000000001</v>
      </c>
      <c r="CV27" s="238">
        <f t="shared" si="9"/>
        <v>14438.480000000001</v>
      </c>
      <c r="CW27" s="238">
        <f t="shared" si="49"/>
        <v>14438.48</v>
      </c>
      <c r="CX27" s="238">
        <f t="shared" si="50"/>
        <v>14438.480000000001</v>
      </c>
      <c r="CY27" s="238">
        <f t="shared" si="10"/>
        <v>1400532.56</v>
      </c>
      <c r="CZ27" s="238">
        <f t="shared" si="11"/>
        <v>1544917.36</v>
      </c>
      <c r="DA27" s="238">
        <f t="shared" si="51"/>
        <v>28876.959999999999</v>
      </c>
      <c r="DB27" s="238">
        <f t="shared" si="52"/>
        <v>1573794.32</v>
      </c>
      <c r="DC27" s="53">
        <v>1836395</v>
      </c>
      <c r="DD27" s="53">
        <v>146911.6</v>
      </c>
      <c r="DE27" s="56">
        <f t="shared" si="53"/>
        <v>1983306.6</v>
      </c>
      <c r="DF27" s="53">
        <v>14691.16</v>
      </c>
      <c r="DG27" s="53"/>
      <c r="DH27" s="56">
        <f t="shared" si="54"/>
        <v>14691.16</v>
      </c>
      <c r="DI27" s="56">
        <f t="shared" si="55"/>
        <v>1997997.76</v>
      </c>
      <c r="DJ27" s="252">
        <v>125</v>
      </c>
      <c r="DK27" s="252">
        <v>10</v>
      </c>
      <c r="DL27" s="56">
        <f t="shared" si="56"/>
        <v>135</v>
      </c>
      <c r="DM27" s="252">
        <v>1</v>
      </c>
      <c r="DN27" s="252"/>
      <c r="DO27" s="56">
        <f t="shared" si="57"/>
        <v>1</v>
      </c>
      <c r="DP27" s="56">
        <f t="shared" si="58"/>
        <v>136</v>
      </c>
      <c r="DQ27" s="252">
        <v>1739</v>
      </c>
      <c r="DR27" s="252">
        <v>605</v>
      </c>
      <c r="DS27" s="56">
        <f t="shared" si="59"/>
        <v>2344</v>
      </c>
      <c r="DT27" s="252">
        <v>400</v>
      </c>
      <c r="DU27" s="252"/>
      <c r="DV27" s="56">
        <f t="shared" si="60"/>
        <v>400</v>
      </c>
      <c r="DW27" s="59">
        <f t="shared" si="61"/>
        <v>2744</v>
      </c>
      <c r="DX27" s="56">
        <f t="shared" si="62"/>
        <v>14691.16</v>
      </c>
      <c r="DY27" s="56">
        <f t="shared" si="63"/>
        <v>14691.16</v>
      </c>
      <c r="DZ27" s="56">
        <f t="shared" si="64"/>
        <v>14691.16</v>
      </c>
      <c r="EA27" s="56">
        <f t="shared" si="65"/>
        <v>14691.16</v>
      </c>
      <c r="EB27" s="56"/>
      <c r="EC27" s="56">
        <f t="shared" si="67"/>
        <v>14691.16</v>
      </c>
      <c r="ED27" s="56">
        <f t="shared" si="15"/>
        <v>14691.16</v>
      </c>
      <c r="EE27" s="273"/>
      <c r="EF27" s="273"/>
      <c r="EG27" s="231"/>
      <c r="EH27" s="231"/>
      <c r="EI27" s="231"/>
      <c r="EJ27" s="231"/>
      <c r="EK27" s="231"/>
      <c r="EL27" s="231"/>
      <c r="EM27" s="231"/>
      <c r="EN27" s="273"/>
      <c r="EO27" s="231"/>
      <c r="EP27" s="231"/>
      <c r="EQ27" s="231"/>
      <c r="ER27" s="231"/>
      <c r="ES27" s="231"/>
      <c r="ET27" s="231"/>
      <c r="EU27" s="273">
        <f t="shared" si="16"/>
        <v>14691.16</v>
      </c>
      <c r="EV27" s="273">
        <f t="shared" si="17"/>
        <v>14691.16</v>
      </c>
      <c r="EW27" s="273">
        <f t="shared" si="18"/>
        <v>14691.16</v>
      </c>
      <c r="EX27" s="273">
        <f t="shared" si="68"/>
        <v>14691.16</v>
      </c>
      <c r="EY27" s="273">
        <f t="shared" si="19"/>
        <v>1836395</v>
      </c>
      <c r="EZ27" s="273">
        <f t="shared" si="20"/>
        <v>1983306.6</v>
      </c>
      <c r="FA27" s="273">
        <f t="shared" si="69"/>
        <v>14691.16</v>
      </c>
      <c r="FB27" s="273">
        <f t="shared" si="70"/>
        <v>1997997.76</v>
      </c>
      <c r="FC27" s="56"/>
      <c r="FD27" s="56"/>
      <c r="FE27" s="56"/>
      <c r="FF27" s="56"/>
      <c r="FG27" s="47"/>
      <c r="FH27" s="47"/>
      <c r="FI27" s="47"/>
      <c r="FJ27" s="47"/>
    </row>
    <row r="28" spans="1:166" x14ac:dyDescent="0.3">
      <c r="A28" s="48" t="s">
        <v>54</v>
      </c>
      <c r="B28" s="258" t="s">
        <v>23</v>
      </c>
      <c r="C28" s="53">
        <v>1373670.35</v>
      </c>
      <c r="D28" s="53">
        <v>0</v>
      </c>
      <c r="E28" s="53">
        <f t="shared" si="21"/>
        <v>1373670.35</v>
      </c>
      <c r="F28" s="53">
        <v>0</v>
      </c>
      <c r="G28" s="53">
        <v>0</v>
      </c>
      <c r="H28" s="53">
        <f t="shared" si="0"/>
        <v>0</v>
      </c>
      <c r="I28" s="56">
        <f t="shared" si="22"/>
        <v>1373670.35</v>
      </c>
      <c r="J28" s="252">
        <v>296</v>
      </c>
      <c r="K28" s="252">
        <v>0</v>
      </c>
      <c r="L28" s="252">
        <f t="shared" si="71"/>
        <v>296</v>
      </c>
      <c r="M28" s="252">
        <v>0</v>
      </c>
      <c r="N28" s="252">
        <v>0</v>
      </c>
      <c r="O28" s="252">
        <f t="shared" si="23"/>
        <v>0</v>
      </c>
      <c r="P28" s="56">
        <f t="shared" si="24"/>
        <v>296</v>
      </c>
      <c r="Q28" s="252">
        <v>6305</v>
      </c>
      <c r="R28" s="252">
        <v>0</v>
      </c>
      <c r="S28" s="59">
        <f t="shared" si="25"/>
        <v>6305</v>
      </c>
      <c r="T28" s="252">
        <v>0</v>
      </c>
      <c r="U28" s="252">
        <v>0</v>
      </c>
      <c r="V28" s="256">
        <f t="shared" si="80"/>
        <v>0</v>
      </c>
      <c r="W28" s="56">
        <f t="shared" si="27"/>
        <v>6305</v>
      </c>
      <c r="X28" s="56">
        <f t="shared" si="73"/>
        <v>4640.7782094594595</v>
      </c>
      <c r="Y28" s="56"/>
      <c r="Z28" s="56">
        <f t="shared" si="74"/>
        <v>4640.7782094594595</v>
      </c>
      <c r="AA28" s="56"/>
      <c r="AB28" s="56"/>
      <c r="AC28" s="56"/>
      <c r="AD28" s="56">
        <f t="shared" si="2"/>
        <v>4640.7782094594595</v>
      </c>
      <c r="AE28" s="269"/>
      <c r="AF28" s="270"/>
      <c r="AG28" s="269"/>
      <c r="AH28" s="269"/>
      <c r="AI28" s="269"/>
      <c r="AJ28" s="269"/>
      <c r="AK28" s="270"/>
      <c r="AL28" s="270"/>
      <c r="AM28" s="270"/>
      <c r="AN28" s="267"/>
      <c r="AO28" s="267"/>
      <c r="AP28" s="267"/>
      <c r="AQ28" s="267"/>
      <c r="AR28" s="267"/>
      <c r="AS28" s="267"/>
      <c r="AT28" s="267"/>
      <c r="AU28" s="269">
        <f t="shared" si="3"/>
        <v>4640.7782094594595</v>
      </c>
      <c r="AV28" s="269">
        <f t="shared" si="4"/>
        <v>4640.7782094594595</v>
      </c>
      <c r="AW28" s="269">
        <f t="shared" si="29"/>
        <v>0</v>
      </c>
      <c r="AX28" s="269">
        <f t="shared" si="30"/>
        <v>4640.7782094594595</v>
      </c>
      <c r="AY28" s="269">
        <f t="shared" si="5"/>
        <v>1373670.35</v>
      </c>
      <c r="AZ28" s="269">
        <f t="shared" si="6"/>
        <v>1373670.35</v>
      </c>
      <c r="BA28" s="269">
        <f t="shared" si="31"/>
        <v>0</v>
      </c>
      <c r="BB28" s="269">
        <f t="shared" si="32"/>
        <v>1373670.35</v>
      </c>
      <c r="BC28" s="53">
        <v>1337466.8400000001</v>
      </c>
      <c r="BD28" s="53">
        <v>0</v>
      </c>
      <c r="BE28" s="56">
        <f t="shared" si="33"/>
        <v>1337466.8400000001</v>
      </c>
      <c r="BF28" s="53">
        <v>0</v>
      </c>
      <c r="BG28" s="53">
        <v>0</v>
      </c>
      <c r="BH28" s="56">
        <f t="shared" si="34"/>
        <v>0</v>
      </c>
      <c r="BI28" s="56">
        <f t="shared" si="35"/>
        <v>1337466.8400000001</v>
      </c>
      <c r="BJ28" s="252">
        <v>305</v>
      </c>
      <c r="BK28" s="252">
        <v>0</v>
      </c>
      <c r="BL28" s="252">
        <f t="shared" si="36"/>
        <v>305</v>
      </c>
      <c r="BM28" s="252">
        <v>0</v>
      </c>
      <c r="BN28" s="252">
        <v>0</v>
      </c>
      <c r="BO28" s="252">
        <f t="shared" si="37"/>
        <v>0</v>
      </c>
      <c r="BP28" s="56">
        <f t="shared" si="38"/>
        <v>305</v>
      </c>
      <c r="BQ28" s="252">
        <v>5878.2</v>
      </c>
      <c r="BR28" s="252">
        <v>0</v>
      </c>
      <c r="BS28" s="59">
        <f t="shared" si="39"/>
        <v>5878.2</v>
      </c>
      <c r="BT28" s="252">
        <v>0</v>
      </c>
      <c r="BU28" s="252">
        <v>0</v>
      </c>
      <c r="BV28" s="59">
        <f t="shared" si="40"/>
        <v>0</v>
      </c>
      <c r="BW28" s="56">
        <f t="shared" si="41"/>
        <v>5878.2</v>
      </c>
      <c r="BX28" s="56">
        <f t="shared" si="42"/>
        <v>4385.1371803278689</v>
      </c>
      <c r="BY28" s="56"/>
      <c r="BZ28" s="56">
        <f t="shared" si="44"/>
        <v>4385.1371803278689</v>
      </c>
      <c r="CA28" s="56"/>
      <c r="CB28" s="56"/>
      <c r="CC28" s="56"/>
      <c r="CD28" s="56">
        <f t="shared" si="48"/>
        <v>4385.1371803278689</v>
      </c>
      <c r="CE28" s="238"/>
      <c r="CF28" s="241"/>
      <c r="CG28" s="241"/>
      <c r="CH28" s="241"/>
      <c r="CI28" s="241"/>
      <c r="CJ28" s="241"/>
      <c r="CK28" s="241"/>
      <c r="CL28" s="241"/>
      <c r="CM28" s="241"/>
      <c r="CN28" s="241"/>
      <c r="CO28" s="241"/>
      <c r="CP28" s="241"/>
      <c r="CQ28" s="241"/>
      <c r="CR28" s="241"/>
      <c r="CS28" s="241"/>
      <c r="CT28" s="241"/>
      <c r="CU28" s="238">
        <f t="shared" si="8"/>
        <v>4385.1371803278689</v>
      </c>
      <c r="CV28" s="238">
        <f t="shared" si="9"/>
        <v>4385.1371803278689</v>
      </c>
      <c r="CW28" s="238">
        <f t="shared" si="49"/>
        <v>0</v>
      </c>
      <c r="CX28" s="238">
        <f t="shared" si="50"/>
        <v>4385.1371803278689</v>
      </c>
      <c r="CY28" s="238">
        <f t="shared" si="10"/>
        <v>1337466.8400000001</v>
      </c>
      <c r="CZ28" s="238">
        <f t="shared" si="11"/>
        <v>1337466.8400000001</v>
      </c>
      <c r="DA28" s="238">
        <f t="shared" si="51"/>
        <v>0</v>
      </c>
      <c r="DB28" s="238">
        <f t="shared" si="52"/>
        <v>1337466.8400000001</v>
      </c>
      <c r="DC28" s="53">
        <v>2215552.81</v>
      </c>
      <c r="DD28" s="53">
        <v>0</v>
      </c>
      <c r="DE28" s="56">
        <f t="shared" si="53"/>
        <v>2215552.81</v>
      </c>
      <c r="DF28" s="53">
        <v>0</v>
      </c>
      <c r="DG28" s="53">
        <v>0</v>
      </c>
      <c r="DH28" s="56">
        <f t="shared" si="54"/>
        <v>0</v>
      </c>
      <c r="DI28" s="56">
        <f t="shared" si="55"/>
        <v>2215552.81</v>
      </c>
      <c r="DJ28" s="252">
        <v>426</v>
      </c>
      <c r="DK28" s="252">
        <v>0</v>
      </c>
      <c r="DL28" s="56">
        <f t="shared" si="56"/>
        <v>426</v>
      </c>
      <c r="DM28" s="252">
        <v>0</v>
      </c>
      <c r="DN28" s="252">
        <v>0</v>
      </c>
      <c r="DO28" s="56">
        <f t="shared" si="57"/>
        <v>0</v>
      </c>
      <c r="DP28" s="56">
        <f t="shared" si="58"/>
        <v>426</v>
      </c>
      <c r="DQ28" s="252">
        <v>9184.4</v>
      </c>
      <c r="DR28" s="252">
        <v>0</v>
      </c>
      <c r="DS28" s="56">
        <f t="shared" si="59"/>
        <v>9184.4</v>
      </c>
      <c r="DT28" s="252">
        <v>0</v>
      </c>
      <c r="DU28" s="252">
        <v>0</v>
      </c>
      <c r="DV28" s="56">
        <f t="shared" si="60"/>
        <v>0</v>
      </c>
      <c r="DW28" s="59">
        <f t="shared" si="61"/>
        <v>9184.4</v>
      </c>
      <c r="DX28" s="56">
        <f t="shared" si="62"/>
        <v>5200.8281924882631</v>
      </c>
      <c r="DY28" s="56"/>
      <c r="DZ28" s="56">
        <f t="shared" si="64"/>
        <v>5200.8281924882631</v>
      </c>
      <c r="EA28" s="56"/>
      <c r="EB28" s="56"/>
      <c r="EC28" s="56"/>
      <c r="ED28" s="56">
        <f t="shared" si="15"/>
        <v>5200.8281924882631</v>
      </c>
      <c r="EE28" s="273"/>
      <c r="EF28" s="274"/>
      <c r="EG28" s="274"/>
      <c r="EH28" s="274"/>
      <c r="EI28" s="274"/>
      <c r="EJ28" s="274"/>
      <c r="EK28" s="274"/>
      <c r="EL28" s="274"/>
      <c r="EM28" s="274"/>
      <c r="EN28" s="274"/>
      <c r="EO28" s="274"/>
      <c r="EP28" s="274"/>
      <c r="EQ28" s="274"/>
      <c r="ER28" s="274"/>
      <c r="ES28" s="274"/>
      <c r="ET28" s="274"/>
      <c r="EU28" s="273">
        <f t="shared" si="16"/>
        <v>5200.8281924882631</v>
      </c>
      <c r="EV28" s="273">
        <f t="shared" si="17"/>
        <v>5200.8281924882631</v>
      </c>
      <c r="EW28" s="273">
        <f t="shared" si="18"/>
        <v>0</v>
      </c>
      <c r="EX28" s="273">
        <f t="shared" si="68"/>
        <v>5200.8281924882631</v>
      </c>
      <c r="EY28" s="273">
        <f t="shared" si="19"/>
        <v>2215552.81</v>
      </c>
      <c r="EZ28" s="273">
        <f t="shared" si="20"/>
        <v>2215552.81</v>
      </c>
      <c r="FA28" s="273">
        <f t="shared" si="69"/>
        <v>0</v>
      </c>
      <c r="FB28" s="273">
        <f t="shared" si="70"/>
        <v>2215552.81</v>
      </c>
      <c r="FC28" s="56"/>
      <c r="FD28" s="56"/>
      <c r="FE28" s="56"/>
      <c r="FF28" s="56"/>
      <c r="FG28" s="47"/>
      <c r="FH28" s="47"/>
      <c r="FI28" s="47"/>
      <c r="FJ28" s="47"/>
    </row>
    <row r="29" spans="1:166" x14ac:dyDescent="0.3">
      <c r="A29" s="48" t="s">
        <v>55</v>
      </c>
      <c r="B29" s="258" t="s">
        <v>135</v>
      </c>
      <c r="C29" s="53">
        <v>36791.269999999997</v>
      </c>
      <c r="D29" s="53">
        <v>15851.95</v>
      </c>
      <c r="E29" s="53">
        <f t="shared" si="21"/>
        <v>52643.22</v>
      </c>
      <c r="F29" s="53"/>
      <c r="G29" s="53"/>
      <c r="H29" s="53">
        <f t="shared" si="0"/>
        <v>0</v>
      </c>
      <c r="I29" s="56">
        <f t="shared" si="22"/>
        <v>52643.22</v>
      </c>
      <c r="J29" s="252">
        <v>40</v>
      </c>
      <c r="K29" s="252">
        <v>2</v>
      </c>
      <c r="L29" s="252">
        <f t="shared" si="71"/>
        <v>42</v>
      </c>
      <c r="M29" s="252"/>
      <c r="N29" s="252"/>
      <c r="O29" s="252">
        <f t="shared" si="23"/>
        <v>0</v>
      </c>
      <c r="P29" s="56">
        <f t="shared" si="24"/>
        <v>42</v>
      </c>
      <c r="Q29" s="252">
        <v>499</v>
      </c>
      <c r="R29" s="252">
        <v>215</v>
      </c>
      <c r="S29" s="59">
        <f t="shared" si="25"/>
        <v>714</v>
      </c>
      <c r="T29" s="252"/>
      <c r="U29" s="252"/>
      <c r="V29" s="256">
        <f t="shared" si="80"/>
        <v>0</v>
      </c>
      <c r="W29" s="56">
        <f t="shared" si="27"/>
        <v>714</v>
      </c>
      <c r="X29" s="56">
        <f t="shared" si="73"/>
        <v>919.78174999999987</v>
      </c>
      <c r="Y29" s="56">
        <f>D29/K29</f>
        <v>7925.9750000000004</v>
      </c>
      <c r="Z29" s="56">
        <f t="shared" si="74"/>
        <v>1253.4100000000001</v>
      </c>
      <c r="AA29" s="56"/>
      <c r="AB29" s="56"/>
      <c r="AC29" s="56"/>
      <c r="AD29" s="56">
        <f t="shared" ref="AD29:AD38" si="81">I29/P29</f>
        <v>1253.4100000000001</v>
      </c>
      <c r="AE29" s="269"/>
      <c r="AF29" s="270"/>
      <c r="AG29" s="269"/>
      <c r="AH29" s="269"/>
      <c r="AI29" s="269"/>
      <c r="AJ29" s="269"/>
      <c r="AK29" s="270"/>
      <c r="AL29" s="270"/>
      <c r="AM29" s="270"/>
      <c r="AN29" s="270"/>
      <c r="AO29" s="270"/>
      <c r="AP29" s="270"/>
      <c r="AQ29" s="270"/>
      <c r="AR29" s="270"/>
      <c r="AS29" s="270"/>
      <c r="AT29" s="270"/>
      <c r="AU29" s="269">
        <f t="shared" si="3"/>
        <v>919.78174999999987</v>
      </c>
      <c r="AV29" s="269">
        <f t="shared" si="4"/>
        <v>1253.4100000000001</v>
      </c>
      <c r="AW29" s="269">
        <f t="shared" si="29"/>
        <v>0</v>
      </c>
      <c r="AX29" s="269">
        <f t="shared" si="30"/>
        <v>1253.4100000000001</v>
      </c>
      <c r="AY29" s="269">
        <f t="shared" si="5"/>
        <v>36791.269999999997</v>
      </c>
      <c r="AZ29" s="269">
        <f t="shared" si="6"/>
        <v>52643.22</v>
      </c>
      <c r="BA29" s="269">
        <f t="shared" si="31"/>
        <v>0</v>
      </c>
      <c r="BB29" s="269">
        <f t="shared" si="32"/>
        <v>52643.22</v>
      </c>
      <c r="BC29" s="56">
        <v>63982.38</v>
      </c>
      <c r="BD29" s="56">
        <v>10575.6</v>
      </c>
      <c r="BE29" s="56">
        <f t="shared" si="33"/>
        <v>74557.98</v>
      </c>
      <c r="BF29" s="56"/>
      <c r="BG29" s="56"/>
      <c r="BH29" s="56">
        <f t="shared" si="34"/>
        <v>0</v>
      </c>
      <c r="BI29" s="56">
        <f t="shared" si="35"/>
        <v>74557.98</v>
      </c>
      <c r="BJ29" s="59">
        <v>59</v>
      </c>
      <c r="BK29" s="59">
        <v>2</v>
      </c>
      <c r="BL29" s="59">
        <f t="shared" si="36"/>
        <v>61</v>
      </c>
      <c r="BM29" s="59"/>
      <c r="BN29" s="59"/>
      <c r="BO29" s="59">
        <f t="shared" si="37"/>
        <v>0</v>
      </c>
      <c r="BP29" s="56">
        <f t="shared" si="38"/>
        <v>61</v>
      </c>
      <c r="BQ29" s="59">
        <v>847</v>
      </c>
      <c r="BR29" s="59">
        <v>140</v>
      </c>
      <c r="BS29" s="59">
        <f t="shared" si="39"/>
        <v>987</v>
      </c>
      <c r="BT29" s="59"/>
      <c r="BU29" s="59"/>
      <c r="BV29" s="59">
        <f t="shared" si="40"/>
        <v>0</v>
      </c>
      <c r="BW29" s="56">
        <f t="shared" si="41"/>
        <v>987</v>
      </c>
      <c r="BX29" s="56">
        <f>BC29/BJ29</f>
        <v>1084.4471186440678</v>
      </c>
      <c r="BY29" s="56">
        <f t="shared" ref="BY29" si="82">BD29/BK29</f>
        <v>5287.8</v>
      </c>
      <c r="BZ29" s="56">
        <f t="shared" si="44"/>
        <v>1222.2619672131148</v>
      </c>
      <c r="CA29" s="56"/>
      <c r="CB29" s="56"/>
      <c r="CC29" s="56"/>
      <c r="CD29" s="56">
        <f t="shared" si="48"/>
        <v>1222.2619672131148</v>
      </c>
      <c r="CE29" s="238"/>
      <c r="CF29" s="241"/>
      <c r="CG29" s="241"/>
      <c r="CH29" s="241"/>
      <c r="CI29" s="241"/>
      <c r="CJ29" s="241"/>
      <c r="CK29" s="241"/>
      <c r="CL29" s="241"/>
      <c r="CM29" s="241"/>
      <c r="CN29" s="241"/>
      <c r="CO29" s="241"/>
      <c r="CP29" s="241"/>
      <c r="CQ29" s="241"/>
      <c r="CR29" s="241"/>
      <c r="CS29" s="241"/>
      <c r="CT29" s="241"/>
      <c r="CU29" s="238">
        <f t="shared" si="8"/>
        <v>0</v>
      </c>
      <c r="CV29" s="238">
        <f t="shared" si="9"/>
        <v>0</v>
      </c>
      <c r="CW29" s="238">
        <f t="shared" si="49"/>
        <v>0</v>
      </c>
      <c r="CX29" s="238">
        <f t="shared" si="50"/>
        <v>0</v>
      </c>
      <c r="CY29" s="238">
        <f t="shared" si="10"/>
        <v>0</v>
      </c>
      <c r="CZ29" s="238">
        <f t="shared" si="11"/>
        <v>0</v>
      </c>
      <c r="DA29" s="238">
        <f t="shared" si="51"/>
        <v>0</v>
      </c>
      <c r="DB29" s="238">
        <f t="shared" si="52"/>
        <v>0</v>
      </c>
      <c r="DC29" s="56">
        <v>70896.600000000006</v>
      </c>
      <c r="DD29" s="56">
        <v>28731.78</v>
      </c>
      <c r="DE29" s="56">
        <f t="shared" si="53"/>
        <v>99628.38</v>
      </c>
      <c r="DF29" s="56"/>
      <c r="DG29" s="56"/>
      <c r="DH29" s="56">
        <f t="shared" si="54"/>
        <v>0</v>
      </c>
      <c r="DI29" s="56">
        <f t="shared" si="55"/>
        <v>99628.38</v>
      </c>
      <c r="DJ29" s="252">
        <v>42</v>
      </c>
      <c r="DK29" s="252">
        <v>2</v>
      </c>
      <c r="DL29" s="56">
        <f t="shared" si="56"/>
        <v>44</v>
      </c>
      <c r="DM29" s="59"/>
      <c r="DN29" s="59"/>
      <c r="DO29" s="56">
        <f t="shared" si="57"/>
        <v>0</v>
      </c>
      <c r="DP29" s="56">
        <f t="shared" si="58"/>
        <v>44</v>
      </c>
      <c r="DQ29" s="59">
        <v>570</v>
      </c>
      <c r="DR29" s="59">
        <v>231</v>
      </c>
      <c r="DS29" s="56">
        <f t="shared" si="59"/>
        <v>801</v>
      </c>
      <c r="DT29" s="59"/>
      <c r="DU29" s="59"/>
      <c r="DV29" s="56">
        <f>DT29+DU29</f>
        <v>0</v>
      </c>
      <c r="DW29" s="59">
        <f t="shared" si="61"/>
        <v>801</v>
      </c>
      <c r="DX29" s="56">
        <f>DC29/DJ29</f>
        <v>1688.014285714286</v>
      </c>
      <c r="DY29" s="56">
        <f t="shared" ref="DY29" si="83">DD29/DK29</f>
        <v>14365.89</v>
      </c>
      <c r="DZ29" s="56">
        <f t="shared" si="64"/>
        <v>2264.2813636363639</v>
      </c>
      <c r="EA29" s="56"/>
      <c r="EB29" s="56"/>
      <c r="EC29" s="56"/>
      <c r="ED29" s="56">
        <f t="shared" ref="ED29:ED38" si="84">DI29/DP29</f>
        <v>2264.2813636363639</v>
      </c>
      <c r="EE29" s="273"/>
      <c r="EF29" s="274"/>
      <c r="EG29" s="274"/>
      <c r="EH29" s="274"/>
      <c r="EI29" s="274"/>
      <c r="EJ29" s="274"/>
      <c r="EK29" s="274"/>
      <c r="EL29" s="274"/>
      <c r="EM29" s="274"/>
      <c r="EN29" s="274"/>
      <c r="EO29" s="274"/>
      <c r="EP29" s="274"/>
      <c r="EQ29" s="274"/>
      <c r="ER29" s="274"/>
      <c r="ES29" s="274"/>
      <c r="ET29" s="274"/>
      <c r="EU29" s="273">
        <f t="shared" si="16"/>
        <v>1688.014285714286</v>
      </c>
      <c r="EV29" s="273">
        <f t="shared" si="17"/>
        <v>2264.2813636363639</v>
      </c>
      <c r="EW29" s="273">
        <f t="shared" si="18"/>
        <v>0</v>
      </c>
      <c r="EX29" s="273">
        <f t="shared" si="68"/>
        <v>2264.2813636363639</v>
      </c>
      <c r="EY29" s="273">
        <f t="shared" si="19"/>
        <v>70896.600000000006</v>
      </c>
      <c r="EZ29" s="273">
        <f t="shared" si="20"/>
        <v>99628.380000000019</v>
      </c>
      <c r="FA29" s="273">
        <f t="shared" si="69"/>
        <v>0</v>
      </c>
      <c r="FB29" s="273">
        <f t="shared" si="70"/>
        <v>99628.380000000019</v>
      </c>
      <c r="FC29" s="56"/>
      <c r="FD29" s="56"/>
      <c r="FE29" s="56"/>
      <c r="FF29" s="56"/>
      <c r="FG29" s="47"/>
      <c r="FH29" s="47"/>
      <c r="FI29" s="47"/>
      <c r="FJ29" s="47"/>
    </row>
    <row r="30" spans="1:166" s="46" customFormat="1" ht="28.8" x14ac:dyDescent="0.3">
      <c r="A30" s="61" t="s">
        <v>56</v>
      </c>
      <c r="B30" s="258" t="s">
        <v>25</v>
      </c>
      <c r="C30" s="255">
        <v>850619.03</v>
      </c>
      <c r="D30" s="255">
        <f>383895+20205</f>
        <v>404100</v>
      </c>
      <c r="E30" s="255">
        <f t="shared" si="21"/>
        <v>1254719.03</v>
      </c>
      <c r="F30" s="255">
        <v>102060</v>
      </c>
      <c r="G30" s="255"/>
      <c r="H30" s="255">
        <f t="shared" si="0"/>
        <v>102060</v>
      </c>
      <c r="I30" s="56">
        <f t="shared" si="22"/>
        <v>1356779.03</v>
      </c>
      <c r="J30" s="59">
        <v>131</v>
      </c>
      <c r="K30" s="59">
        <f>19+1</f>
        <v>20</v>
      </c>
      <c r="L30" s="59">
        <f t="shared" si="71"/>
        <v>151</v>
      </c>
      <c r="M30" s="59">
        <v>3</v>
      </c>
      <c r="N30" s="59"/>
      <c r="O30" s="59">
        <f t="shared" si="23"/>
        <v>3</v>
      </c>
      <c r="P30" s="56">
        <f t="shared" si="24"/>
        <v>154</v>
      </c>
      <c r="Q30" s="59">
        <v>1324</v>
      </c>
      <c r="R30" s="59">
        <f>518.5+20</f>
        <v>538.5</v>
      </c>
      <c r="S30" s="59">
        <f t="shared" si="25"/>
        <v>1862.5</v>
      </c>
      <c r="T30" s="59">
        <v>865</v>
      </c>
      <c r="U30" s="59"/>
      <c r="V30" s="59">
        <f t="shared" si="80"/>
        <v>865</v>
      </c>
      <c r="W30" s="56">
        <f t="shared" si="27"/>
        <v>2727.5</v>
      </c>
      <c r="X30" s="56">
        <f t="shared" si="73"/>
        <v>6493.2750381679389</v>
      </c>
      <c r="Y30" s="56">
        <f>D30/K30</f>
        <v>20205</v>
      </c>
      <c r="Z30" s="56">
        <f t="shared" si="74"/>
        <v>8309.3975496688745</v>
      </c>
      <c r="AA30" s="56">
        <f>F30/M30</f>
        <v>34020</v>
      </c>
      <c r="AB30" s="56"/>
      <c r="AC30" s="56">
        <f t="shared" si="28"/>
        <v>34020</v>
      </c>
      <c r="AD30" s="56">
        <f t="shared" si="81"/>
        <v>8810.2534415584414</v>
      </c>
      <c r="AE30" s="269"/>
      <c r="AF30" s="270"/>
      <c r="AG30" s="269"/>
      <c r="AH30" s="269"/>
      <c r="AI30" s="269"/>
      <c r="AJ30" s="269"/>
      <c r="AK30" s="270"/>
      <c r="AL30" s="270"/>
      <c r="AM30" s="270"/>
      <c r="AN30" s="270"/>
      <c r="AO30" s="270"/>
      <c r="AP30" s="270"/>
      <c r="AQ30" s="270"/>
      <c r="AR30" s="270"/>
      <c r="AS30" s="270"/>
      <c r="AT30" s="270"/>
      <c r="AU30" s="269">
        <f t="shared" si="3"/>
        <v>6493.2750381679389</v>
      </c>
      <c r="AV30" s="269">
        <f t="shared" si="4"/>
        <v>8309.3975496688745</v>
      </c>
      <c r="AW30" s="269">
        <f t="shared" si="29"/>
        <v>34020</v>
      </c>
      <c r="AX30" s="269">
        <f t="shared" si="30"/>
        <v>8810.2534415584414</v>
      </c>
      <c r="AY30" s="269">
        <f t="shared" si="5"/>
        <v>850619.03</v>
      </c>
      <c r="AZ30" s="269">
        <f t="shared" si="6"/>
        <v>1254719.03</v>
      </c>
      <c r="BA30" s="269">
        <f t="shared" si="31"/>
        <v>102060</v>
      </c>
      <c r="BB30" s="269">
        <f t="shared" si="32"/>
        <v>1356779.03</v>
      </c>
      <c r="BC30" s="255">
        <v>1679252.56</v>
      </c>
      <c r="BD30" s="255">
        <v>267153.82</v>
      </c>
      <c r="BE30" s="56">
        <f t="shared" si="33"/>
        <v>1946406.3800000001</v>
      </c>
      <c r="BF30" s="255">
        <v>28623.62</v>
      </c>
      <c r="BG30" s="255"/>
      <c r="BH30" s="56">
        <f t="shared" si="34"/>
        <v>28623.62</v>
      </c>
      <c r="BI30" s="56">
        <f>BC30+BD30+BF30+BG30</f>
        <v>1975030.0000000002</v>
      </c>
      <c r="BJ30" s="256">
        <v>110</v>
      </c>
      <c r="BK30" s="256">
        <v>14</v>
      </c>
      <c r="BL30" s="256">
        <f t="shared" si="36"/>
        <v>124</v>
      </c>
      <c r="BM30" s="256">
        <v>1</v>
      </c>
      <c r="BN30" s="256"/>
      <c r="BO30" s="256">
        <f t="shared" si="37"/>
        <v>1</v>
      </c>
      <c r="BP30" s="56">
        <f t="shared" si="38"/>
        <v>125</v>
      </c>
      <c r="BQ30" s="256">
        <v>1108</v>
      </c>
      <c r="BR30" s="256">
        <v>698.26</v>
      </c>
      <c r="BS30" s="256">
        <f t="shared" si="39"/>
        <v>1806.26</v>
      </c>
      <c r="BT30" s="256">
        <v>200</v>
      </c>
      <c r="BU30" s="256"/>
      <c r="BV30" s="59">
        <f t="shared" si="40"/>
        <v>200</v>
      </c>
      <c r="BW30" s="56">
        <f t="shared" si="41"/>
        <v>2006.26</v>
      </c>
      <c r="BX30" s="56">
        <f t="shared" si="42"/>
        <v>15265.932363636364</v>
      </c>
      <c r="BY30" s="56">
        <f t="shared" si="43"/>
        <v>19082.415714285715</v>
      </c>
      <c r="BZ30" s="56">
        <f t="shared" si="44"/>
        <v>15696.825645161291</v>
      </c>
      <c r="CA30" s="56">
        <f t="shared" si="45"/>
        <v>28623.62</v>
      </c>
      <c r="CB30" s="56"/>
      <c r="CC30" s="56">
        <f t="shared" si="47"/>
        <v>28623.62</v>
      </c>
      <c r="CD30" s="56">
        <f t="shared" si="48"/>
        <v>15800.240000000002</v>
      </c>
      <c r="CE30" s="238"/>
      <c r="CF30" s="241"/>
      <c r="CG30" s="241"/>
      <c r="CH30" s="241"/>
      <c r="CI30" s="241"/>
      <c r="CJ30" s="241"/>
      <c r="CK30" s="241"/>
      <c r="CL30" s="241"/>
      <c r="CM30" s="241"/>
      <c r="CN30" s="241"/>
      <c r="CO30" s="241"/>
      <c r="CP30" s="241"/>
      <c r="CQ30" s="241"/>
      <c r="CR30" s="241"/>
      <c r="CS30" s="241"/>
      <c r="CT30" s="241"/>
      <c r="CU30" s="238">
        <f t="shared" si="8"/>
        <v>15265.932363636364</v>
      </c>
      <c r="CV30" s="238">
        <f t="shared" si="9"/>
        <v>15696.825645161291</v>
      </c>
      <c r="CW30" s="238">
        <f t="shared" si="49"/>
        <v>28623.62</v>
      </c>
      <c r="CX30" s="238">
        <f t="shared" si="50"/>
        <v>15800.240000000002</v>
      </c>
      <c r="CY30" s="238">
        <f t="shared" si="10"/>
        <v>1679252.56</v>
      </c>
      <c r="CZ30" s="238">
        <f t="shared" si="11"/>
        <v>1946406.3800000001</v>
      </c>
      <c r="DA30" s="238">
        <f t="shared" si="51"/>
        <v>28623.62</v>
      </c>
      <c r="DB30" s="238">
        <f t="shared" si="52"/>
        <v>1975030.0000000002</v>
      </c>
      <c r="DC30" s="255">
        <v>559593.05000000005</v>
      </c>
      <c r="DD30" s="255">
        <v>90033.54</v>
      </c>
      <c r="DE30" s="255">
        <f t="shared" si="53"/>
        <v>649626.59000000008</v>
      </c>
      <c r="DF30" s="255">
        <v>24932.36</v>
      </c>
      <c r="DG30" s="255">
        <v>11081.05</v>
      </c>
      <c r="DH30" s="56">
        <f t="shared" si="54"/>
        <v>36013.410000000003</v>
      </c>
      <c r="DI30" s="56">
        <f t="shared" si="55"/>
        <v>685640.00000000012</v>
      </c>
      <c r="DJ30" s="256">
        <v>101</v>
      </c>
      <c r="DK30" s="256">
        <v>13</v>
      </c>
      <c r="DL30" s="255">
        <f t="shared" si="56"/>
        <v>114</v>
      </c>
      <c r="DM30" s="256">
        <v>3</v>
      </c>
      <c r="DN30" s="256">
        <v>1</v>
      </c>
      <c r="DO30" s="56">
        <f t="shared" si="57"/>
        <v>4</v>
      </c>
      <c r="DP30" s="56">
        <f t="shared" si="58"/>
        <v>118</v>
      </c>
      <c r="DQ30" s="256">
        <v>986.79</v>
      </c>
      <c r="DR30" s="256">
        <v>456.21</v>
      </c>
      <c r="DS30" s="255">
        <f>DQ30+DR30</f>
        <v>1443</v>
      </c>
      <c r="DT30" s="256">
        <v>345.04</v>
      </c>
      <c r="DU30" s="256">
        <v>690</v>
      </c>
      <c r="DV30" s="56">
        <f>DT30+DU30</f>
        <v>1035.04</v>
      </c>
      <c r="DW30" s="59">
        <f t="shared" si="61"/>
        <v>2478.04</v>
      </c>
      <c r="DX30" s="56">
        <f t="shared" si="62"/>
        <v>5540.5252475247526</v>
      </c>
      <c r="DY30" s="56">
        <f t="shared" si="63"/>
        <v>6925.6569230769228</v>
      </c>
      <c r="DZ30" s="56">
        <f t="shared" si="64"/>
        <v>5698.4788596491235</v>
      </c>
      <c r="EA30" s="56">
        <f t="shared" si="65"/>
        <v>8310.7866666666669</v>
      </c>
      <c r="EB30" s="56">
        <f t="shared" si="66"/>
        <v>11081.05</v>
      </c>
      <c r="EC30" s="56">
        <f t="shared" si="67"/>
        <v>9003.3525000000009</v>
      </c>
      <c r="ED30" s="56">
        <f t="shared" si="84"/>
        <v>5810.5084745762724</v>
      </c>
      <c r="EE30" s="273"/>
      <c r="EF30" s="274"/>
      <c r="EG30" s="274"/>
      <c r="EH30" s="274"/>
      <c r="EI30" s="274"/>
      <c r="EJ30" s="274"/>
      <c r="EK30" s="274"/>
      <c r="EL30" s="274"/>
      <c r="EM30" s="274"/>
      <c r="EN30" s="274"/>
      <c r="EO30" s="274"/>
      <c r="EP30" s="274"/>
      <c r="EQ30" s="274"/>
      <c r="ER30" s="274"/>
      <c r="ES30" s="274"/>
      <c r="ET30" s="274"/>
      <c r="EU30" s="273">
        <f t="shared" si="16"/>
        <v>5540.5252475247526</v>
      </c>
      <c r="EV30" s="273">
        <f t="shared" si="17"/>
        <v>5698.4788596491235</v>
      </c>
      <c r="EW30" s="273">
        <f t="shared" si="18"/>
        <v>9003.3525000000009</v>
      </c>
      <c r="EX30" s="273">
        <f t="shared" si="68"/>
        <v>5810.5084745762724</v>
      </c>
      <c r="EY30" s="273">
        <f t="shared" si="19"/>
        <v>559593.05000000005</v>
      </c>
      <c r="EZ30" s="273">
        <f t="shared" si="20"/>
        <v>649626.59000000008</v>
      </c>
      <c r="FA30" s="273">
        <f t="shared" si="69"/>
        <v>36013.410000000003</v>
      </c>
      <c r="FB30" s="273">
        <f t="shared" si="70"/>
        <v>685640.00000000012</v>
      </c>
      <c r="FC30" s="56"/>
      <c r="FD30" s="56"/>
      <c r="FE30" s="56"/>
      <c r="FF30" s="56"/>
      <c r="FG30" s="230"/>
      <c r="FH30" s="230"/>
      <c r="FI30" s="230"/>
      <c r="FJ30" s="230"/>
    </row>
    <row r="31" spans="1:166" ht="28.8" x14ac:dyDescent="0.3">
      <c r="A31" s="48" t="s">
        <v>57</v>
      </c>
      <c r="B31" s="258" t="s">
        <v>26</v>
      </c>
      <c r="C31" s="53">
        <v>56155.14</v>
      </c>
      <c r="D31" s="53">
        <v>10249.84</v>
      </c>
      <c r="E31" s="53">
        <f t="shared" si="21"/>
        <v>66404.98</v>
      </c>
      <c r="F31" s="53"/>
      <c r="G31" s="53"/>
      <c r="H31" s="53">
        <f t="shared" si="0"/>
        <v>0</v>
      </c>
      <c r="I31" s="56">
        <f t="shared" si="22"/>
        <v>66404.98</v>
      </c>
      <c r="J31" s="252">
        <v>6</v>
      </c>
      <c r="K31" s="252">
        <v>1</v>
      </c>
      <c r="L31" s="252">
        <f t="shared" si="71"/>
        <v>7</v>
      </c>
      <c r="M31" s="252"/>
      <c r="N31" s="252"/>
      <c r="O31" s="252">
        <f t="shared" si="23"/>
        <v>0</v>
      </c>
      <c r="P31" s="56">
        <f t="shared" si="24"/>
        <v>7</v>
      </c>
      <c r="Q31" s="252">
        <v>90</v>
      </c>
      <c r="R31" s="252">
        <v>35</v>
      </c>
      <c r="S31" s="59">
        <f t="shared" si="25"/>
        <v>125</v>
      </c>
      <c r="T31" s="252"/>
      <c r="U31" s="252"/>
      <c r="V31" s="256">
        <f t="shared" si="80"/>
        <v>0</v>
      </c>
      <c r="W31" s="56">
        <f t="shared" si="27"/>
        <v>125</v>
      </c>
      <c r="X31" s="56">
        <f t="shared" si="73"/>
        <v>9359.19</v>
      </c>
      <c r="Y31" s="56">
        <f>D31/K31</f>
        <v>10249.84</v>
      </c>
      <c r="Z31" s="56">
        <f t="shared" si="74"/>
        <v>9486.4257142857132</v>
      </c>
      <c r="AA31" s="56"/>
      <c r="AB31" s="56"/>
      <c r="AC31" s="56"/>
      <c r="AD31" s="56">
        <f t="shared" si="81"/>
        <v>9486.4257142857132</v>
      </c>
      <c r="AE31" s="269"/>
      <c r="AF31" s="270"/>
      <c r="AG31" s="269"/>
      <c r="AH31" s="269"/>
      <c r="AI31" s="269"/>
      <c r="AJ31" s="269"/>
      <c r="AK31" s="270"/>
      <c r="AL31" s="270"/>
      <c r="AM31" s="270"/>
      <c r="AN31" s="267"/>
      <c r="AO31" s="267"/>
      <c r="AP31" s="267"/>
      <c r="AQ31" s="267"/>
      <c r="AR31" s="267"/>
      <c r="AS31" s="267"/>
      <c r="AT31" s="267"/>
      <c r="AU31" s="269">
        <f t="shared" si="3"/>
        <v>9359.19</v>
      </c>
      <c r="AV31" s="269">
        <f t="shared" si="4"/>
        <v>9486.4257142857132</v>
      </c>
      <c r="AW31" s="269">
        <f t="shared" si="29"/>
        <v>0</v>
      </c>
      <c r="AX31" s="269">
        <f t="shared" si="30"/>
        <v>9486.4257142857132</v>
      </c>
      <c r="AY31" s="269">
        <f t="shared" si="5"/>
        <v>56155.14</v>
      </c>
      <c r="AZ31" s="269">
        <f t="shared" si="6"/>
        <v>66404.98</v>
      </c>
      <c r="BA31" s="269">
        <f t="shared" si="31"/>
        <v>0</v>
      </c>
      <c r="BB31" s="269">
        <f t="shared" si="32"/>
        <v>66404.98</v>
      </c>
      <c r="BC31" s="53">
        <v>95378.5</v>
      </c>
      <c r="BD31" s="53">
        <v>9537.9500000000007</v>
      </c>
      <c r="BE31" s="56">
        <f t="shared" si="33"/>
        <v>104916.45</v>
      </c>
      <c r="BF31" s="53"/>
      <c r="BG31" s="53"/>
      <c r="BH31" s="56">
        <f t="shared" si="34"/>
        <v>0</v>
      </c>
      <c r="BI31" s="56">
        <f t="shared" si="35"/>
        <v>104916.45</v>
      </c>
      <c r="BJ31" s="252">
        <v>10</v>
      </c>
      <c r="BK31" s="252">
        <v>1</v>
      </c>
      <c r="BL31" s="252">
        <f t="shared" si="36"/>
        <v>11</v>
      </c>
      <c r="BM31" s="252"/>
      <c r="BN31" s="252"/>
      <c r="BO31" s="252">
        <f t="shared" si="37"/>
        <v>0</v>
      </c>
      <c r="BP31" s="56">
        <f t="shared" si="38"/>
        <v>11</v>
      </c>
      <c r="BQ31" s="252">
        <v>112</v>
      </c>
      <c r="BR31" s="252">
        <v>74</v>
      </c>
      <c r="BS31" s="59">
        <f t="shared" si="39"/>
        <v>186</v>
      </c>
      <c r="BT31" s="252"/>
      <c r="BU31" s="252"/>
      <c r="BV31" s="59">
        <f t="shared" si="40"/>
        <v>0</v>
      </c>
      <c r="BW31" s="56">
        <f t="shared" si="41"/>
        <v>186</v>
      </c>
      <c r="BX31" s="56">
        <f t="shared" si="42"/>
        <v>9537.85</v>
      </c>
      <c r="BY31" s="56">
        <f t="shared" si="43"/>
        <v>9537.9500000000007</v>
      </c>
      <c r="BZ31" s="56">
        <f t="shared" si="44"/>
        <v>9537.8590909090908</v>
      </c>
      <c r="CA31" s="56"/>
      <c r="CB31" s="56"/>
      <c r="CC31" s="56"/>
      <c r="CD31" s="56">
        <f t="shared" si="48"/>
        <v>9537.8590909090908</v>
      </c>
      <c r="CE31" s="238"/>
      <c r="CF31" s="241"/>
      <c r="CG31" s="241"/>
      <c r="CH31" s="241"/>
      <c r="CI31" s="241"/>
      <c r="CJ31" s="241"/>
      <c r="CK31" s="241"/>
      <c r="CL31" s="241"/>
      <c r="CM31" s="241"/>
      <c r="CN31" s="241"/>
      <c r="CO31" s="241"/>
      <c r="CP31" s="241"/>
      <c r="CQ31" s="241"/>
      <c r="CR31" s="241"/>
      <c r="CS31" s="241"/>
      <c r="CT31" s="241"/>
      <c r="CU31" s="238">
        <f t="shared" si="8"/>
        <v>9537.85</v>
      </c>
      <c r="CV31" s="238">
        <f t="shared" si="9"/>
        <v>9537.8590909090908</v>
      </c>
      <c r="CW31" s="238">
        <f t="shared" si="49"/>
        <v>0</v>
      </c>
      <c r="CX31" s="238">
        <f t="shared" si="50"/>
        <v>9537.8590909090908</v>
      </c>
      <c r="CY31" s="238">
        <f t="shared" si="10"/>
        <v>95378.5</v>
      </c>
      <c r="CZ31" s="238">
        <f t="shared" si="11"/>
        <v>104916.45</v>
      </c>
      <c r="DA31" s="238">
        <f t="shared" si="51"/>
        <v>0</v>
      </c>
      <c r="DB31" s="238">
        <f t="shared" si="52"/>
        <v>104916.45</v>
      </c>
      <c r="DC31" s="53">
        <v>111553.44</v>
      </c>
      <c r="DD31" s="53">
        <v>10104.209999999999</v>
      </c>
      <c r="DE31" s="56">
        <f t="shared" si="53"/>
        <v>121657.65</v>
      </c>
      <c r="DF31" s="53"/>
      <c r="DG31" s="53"/>
      <c r="DH31" s="56">
        <f t="shared" si="54"/>
        <v>0</v>
      </c>
      <c r="DI31" s="56">
        <f t="shared" si="55"/>
        <v>121657.65</v>
      </c>
      <c r="DJ31" s="252">
        <v>12</v>
      </c>
      <c r="DK31" s="252">
        <v>1</v>
      </c>
      <c r="DL31" s="56">
        <f t="shared" si="56"/>
        <v>13</v>
      </c>
      <c r="DM31" s="252"/>
      <c r="DN31" s="252"/>
      <c r="DO31" s="56">
        <f t="shared" si="57"/>
        <v>0</v>
      </c>
      <c r="DP31" s="56">
        <f t="shared" si="58"/>
        <v>13</v>
      </c>
      <c r="DQ31" s="252">
        <v>120</v>
      </c>
      <c r="DR31" s="252">
        <v>35</v>
      </c>
      <c r="DS31" s="56">
        <f t="shared" si="59"/>
        <v>155</v>
      </c>
      <c r="DT31" s="252"/>
      <c r="DU31" s="252"/>
      <c r="DV31" s="56">
        <f t="shared" si="60"/>
        <v>0</v>
      </c>
      <c r="DW31" s="59">
        <f t="shared" si="61"/>
        <v>155</v>
      </c>
      <c r="DX31" s="56">
        <f t="shared" si="62"/>
        <v>9296.1200000000008</v>
      </c>
      <c r="DY31" s="56">
        <f t="shared" si="63"/>
        <v>10104.209999999999</v>
      </c>
      <c r="DZ31" s="56">
        <f t="shared" si="64"/>
        <v>9358.2807692307688</v>
      </c>
      <c r="EA31" s="56"/>
      <c r="EB31" s="56"/>
      <c r="EC31" s="56"/>
      <c r="ED31" s="56">
        <f t="shared" si="84"/>
        <v>9358.2807692307688</v>
      </c>
      <c r="EE31" s="273"/>
      <c r="EF31" s="274"/>
      <c r="EG31" s="274"/>
      <c r="EH31" s="274"/>
      <c r="EI31" s="274"/>
      <c r="EJ31" s="274"/>
      <c r="EK31" s="274"/>
      <c r="EL31" s="274"/>
      <c r="EM31" s="274"/>
      <c r="EN31" s="274"/>
      <c r="EO31" s="274"/>
      <c r="EP31" s="274"/>
      <c r="EQ31" s="274"/>
      <c r="ER31" s="274"/>
      <c r="ES31" s="274"/>
      <c r="ET31" s="274"/>
      <c r="EU31" s="273">
        <f t="shared" si="16"/>
        <v>9296.1200000000008</v>
      </c>
      <c r="EV31" s="273">
        <f t="shared" si="17"/>
        <v>9358.2807692307688</v>
      </c>
      <c r="EW31" s="273">
        <f t="shared" si="18"/>
        <v>0</v>
      </c>
      <c r="EX31" s="273">
        <f t="shared" si="68"/>
        <v>9358.2807692307688</v>
      </c>
      <c r="EY31" s="273">
        <f t="shared" si="19"/>
        <v>111553.44</v>
      </c>
      <c r="EZ31" s="273">
        <f t="shared" si="20"/>
        <v>121657.65</v>
      </c>
      <c r="FA31" s="273">
        <f t="shared" si="69"/>
        <v>0</v>
      </c>
      <c r="FB31" s="273">
        <f t="shared" si="70"/>
        <v>121657.65</v>
      </c>
      <c r="FC31" s="56"/>
      <c r="FD31" s="56"/>
      <c r="FE31" s="56"/>
      <c r="FF31" s="56"/>
      <c r="FG31" s="47"/>
      <c r="FH31" s="47"/>
      <c r="FI31" s="47"/>
      <c r="FJ31" s="47"/>
    </row>
    <row r="32" spans="1:166" x14ac:dyDescent="0.3">
      <c r="A32" s="48" t="s">
        <v>58</v>
      </c>
      <c r="B32" s="258" t="s">
        <v>27</v>
      </c>
      <c r="C32" s="53"/>
      <c r="D32" s="53"/>
      <c r="E32" s="53">
        <f t="shared" si="21"/>
        <v>0</v>
      </c>
      <c r="F32" s="53"/>
      <c r="G32" s="53"/>
      <c r="H32" s="53">
        <f t="shared" si="0"/>
        <v>0</v>
      </c>
      <c r="I32" s="56">
        <f t="shared" si="22"/>
        <v>0</v>
      </c>
      <c r="J32" s="252"/>
      <c r="K32" s="252"/>
      <c r="L32" s="252">
        <f t="shared" si="71"/>
        <v>0</v>
      </c>
      <c r="M32" s="252"/>
      <c r="N32" s="252"/>
      <c r="O32" s="252">
        <f t="shared" si="23"/>
        <v>0</v>
      </c>
      <c r="P32" s="56">
        <f t="shared" si="24"/>
        <v>0</v>
      </c>
      <c r="Q32" s="252"/>
      <c r="R32" s="252"/>
      <c r="S32" s="59">
        <f t="shared" si="25"/>
        <v>0</v>
      </c>
      <c r="T32" s="252"/>
      <c r="U32" s="252"/>
      <c r="V32" s="256">
        <f t="shared" si="80"/>
        <v>0</v>
      </c>
      <c r="W32" s="56">
        <f t="shared" si="27"/>
        <v>0</v>
      </c>
      <c r="X32" s="56"/>
      <c r="Y32" s="56"/>
      <c r="Z32" s="56"/>
      <c r="AA32" s="56"/>
      <c r="AB32" s="56"/>
      <c r="AC32" s="56"/>
      <c r="AD32" s="56"/>
      <c r="AE32" s="269"/>
      <c r="AF32" s="270"/>
      <c r="AG32" s="269"/>
      <c r="AH32" s="269"/>
      <c r="AI32" s="269"/>
      <c r="AJ32" s="269"/>
      <c r="AK32" s="270"/>
      <c r="AL32" s="270"/>
      <c r="AM32" s="270"/>
      <c r="AN32" s="267"/>
      <c r="AO32" s="267"/>
      <c r="AP32" s="267"/>
      <c r="AQ32" s="267"/>
      <c r="AR32" s="267"/>
      <c r="AS32" s="267"/>
      <c r="AT32" s="267"/>
      <c r="AU32" s="269">
        <f t="shared" si="3"/>
        <v>0</v>
      </c>
      <c r="AV32" s="269">
        <f t="shared" si="4"/>
        <v>0</v>
      </c>
      <c r="AW32" s="269">
        <f t="shared" si="29"/>
        <v>0</v>
      </c>
      <c r="AX32" s="269">
        <f t="shared" si="30"/>
        <v>0</v>
      </c>
      <c r="AY32" s="269">
        <f t="shared" si="5"/>
        <v>0</v>
      </c>
      <c r="AZ32" s="269">
        <f t="shared" si="6"/>
        <v>0</v>
      </c>
      <c r="BA32" s="269">
        <f t="shared" si="31"/>
        <v>0</v>
      </c>
      <c r="BB32" s="269">
        <f t="shared" si="32"/>
        <v>0</v>
      </c>
      <c r="BC32" s="53"/>
      <c r="BD32" s="53"/>
      <c r="BE32" s="56">
        <f t="shared" si="33"/>
        <v>0</v>
      </c>
      <c r="BF32" s="53"/>
      <c r="BG32" s="53"/>
      <c r="BH32" s="56">
        <f t="shared" si="34"/>
        <v>0</v>
      </c>
      <c r="BI32" s="56">
        <f t="shared" si="35"/>
        <v>0</v>
      </c>
      <c r="BJ32" s="252"/>
      <c r="BK32" s="252"/>
      <c r="BL32" s="252">
        <f t="shared" si="36"/>
        <v>0</v>
      </c>
      <c r="BM32" s="252"/>
      <c r="BN32" s="252"/>
      <c r="BO32" s="252">
        <f t="shared" si="37"/>
        <v>0</v>
      </c>
      <c r="BP32" s="56">
        <f t="shared" si="38"/>
        <v>0</v>
      </c>
      <c r="BQ32" s="252"/>
      <c r="BR32" s="252"/>
      <c r="BS32" s="59">
        <f t="shared" si="39"/>
        <v>0</v>
      </c>
      <c r="BT32" s="252"/>
      <c r="BU32" s="252"/>
      <c r="BV32" s="59">
        <f t="shared" si="40"/>
        <v>0</v>
      </c>
      <c r="BW32" s="56">
        <f t="shared" si="41"/>
        <v>0</v>
      </c>
      <c r="BX32" s="56"/>
      <c r="BY32" s="56"/>
      <c r="BZ32" s="56"/>
      <c r="CA32" s="56"/>
      <c r="CB32" s="56"/>
      <c r="CC32" s="56"/>
      <c r="CD32" s="56"/>
      <c r="CE32" s="238"/>
      <c r="CF32" s="241"/>
      <c r="CG32" s="241"/>
      <c r="CH32" s="241"/>
      <c r="CI32" s="241"/>
      <c r="CJ32" s="241"/>
      <c r="CK32" s="241"/>
      <c r="CL32" s="241"/>
      <c r="CM32" s="241"/>
      <c r="CN32" s="241"/>
      <c r="CO32" s="241"/>
      <c r="CP32" s="241"/>
      <c r="CQ32" s="241"/>
      <c r="CR32" s="241"/>
      <c r="CS32" s="241"/>
      <c r="CT32" s="241"/>
      <c r="CU32" s="238">
        <f t="shared" si="8"/>
        <v>0</v>
      </c>
      <c r="CV32" s="238">
        <f t="shared" si="9"/>
        <v>0</v>
      </c>
      <c r="CW32" s="238">
        <f t="shared" si="49"/>
        <v>0</v>
      </c>
      <c r="CX32" s="238">
        <f t="shared" si="50"/>
        <v>0</v>
      </c>
      <c r="CY32" s="238">
        <f t="shared" si="10"/>
        <v>0</v>
      </c>
      <c r="CZ32" s="238">
        <f t="shared" si="11"/>
        <v>0</v>
      </c>
      <c r="DA32" s="238">
        <f t="shared" si="51"/>
        <v>0</v>
      </c>
      <c r="DB32" s="238">
        <f t="shared" si="52"/>
        <v>0</v>
      </c>
      <c r="DC32" s="53">
        <v>59504.4</v>
      </c>
      <c r="DD32" s="53"/>
      <c r="DE32" s="56">
        <f t="shared" si="53"/>
        <v>59504.4</v>
      </c>
      <c r="DF32" s="53"/>
      <c r="DG32" s="53"/>
      <c r="DH32" s="56">
        <f t="shared" si="54"/>
        <v>0</v>
      </c>
      <c r="DI32" s="56">
        <f t="shared" si="55"/>
        <v>59504.4</v>
      </c>
      <c r="DJ32" s="252">
        <v>9</v>
      </c>
      <c r="DK32" s="252"/>
      <c r="DL32" s="56">
        <f t="shared" si="56"/>
        <v>9</v>
      </c>
      <c r="DM32" s="252"/>
      <c r="DN32" s="252"/>
      <c r="DO32" s="56">
        <f t="shared" si="57"/>
        <v>0</v>
      </c>
      <c r="DP32" s="56">
        <f t="shared" si="58"/>
        <v>9</v>
      </c>
      <c r="DQ32" s="252">
        <v>120</v>
      </c>
      <c r="DR32" s="252"/>
      <c r="DS32" s="56">
        <f t="shared" si="59"/>
        <v>120</v>
      </c>
      <c r="DT32" s="252"/>
      <c r="DU32" s="252"/>
      <c r="DV32" s="56">
        <f t="shared" si="60"/>
        <v>0</v>
      </c>
      <c r="DW32" s="59">
        <f t="shared" si="61"/>
        <v>120</v>
      </c>
      <c r="DX32" s="56">
        <f t="shared" si="62"/>
        <v>6611.6</v>
      </c>
      <c r="DY32" s="56"/>
      <c r="DZ32" s="56">
        <f t="shared" si="64"/>
        <v>6611.6</v>
      </c>
      <c r="EA32" s="56"/>
      <c r="EB32" s="56"/>
      <c r="EC32" s="56"/>
      <c r="ED32" s="56">
        <f t="shared" si="84"/>
        <v>6611.6</v>
      </c>
      <c r="EE32" s="273"/>
      <c r="EF32" s="274"/>
      <c r="EG32" s="274"/>
      <c r="EH32" s="274"/>
      <c r="EI32" s="274"/>
      <c r="EJ32" s="274"/>
      <c r="EK32" s="274"/>
      <c r="EL32" s="274"/>
      <c r="EM32" s="274"/>
      <c r="EN32" s="274"/>
      <c r="EO32" s="274"/>
      <c r="EP32" s="274"/>
      <c r="EQ32" s="274"/>
      <c r="ER32" s="274"/>
      <c r="ES32" s="274"/>
      <c r="ET32" s="274"/>
      <c r="EU32" s="273">
        <f t="shared" si="16"/>
        <v>6611.6</v>
      </c>
      <c r="EV32" s="273">
        <f t="shared" si="17"/>
        <v>6611.6</v>
      </c>
      <c r="EW32" s="273">
        <f t="shared" si="18"/>
        <v>0</v>
      </c>
      <c r="EX32" s="273">
        <f t="shared" si="68"/>
        <v>6611.6</v>
      </c>
      <c r="EY32" s="273">
        <f t="shared" si="19"/>
        <v>59504.4</v>
      </c>
      <c r="EZ32" s="273">
        <f t="shared" si="20"/>
        <v>59504.4</v>
      </c>
      <c r="FA32" s="273">
        <f t="shared" si="69"/>
        <v>0</v>
      </c>
      <c r="FB32" s="273">
        <f t="shared" si="70"/>
        <v>59504.4</v>
      </c>
      <c r="FC32" s="56"/>
      <c r="FD32" s="56"/>
      <c r="FE32" s="56"/>
      <c r="FF32" s="56"/>
      <c r="FG32" s="47"/>
      <c r="FH32" s="47"/>
      <c r="FI32" s="47"/>
      <c r="FJ32" s="47"/>
    </row>
    <row r="33" spans="1:166" x14ac:dyDescent="0.3">
      <c r="A33" s="48" t="s">
        <v>59</v>
      </c>
      <c r="B33" s="258" t="s">
        <v>28</v>
      </c>
      <c r="C33" s="56">
        <v>30623</v>
      </c>
      <c r="D33" s="56"/>
      <c r="E33" s="56">
        <f t="shared" si="21"/>
        <v>30623</v>
      </c>
      <c r="F33" s="56">
        <v>62612</v>
      </c>
      <c r="G33" s="56"/>
      <c r="H33" s="56">
        <f t="shared" si="0"/>
        <v>62612</v>
      </c>
      <c r="I33" s="56">
        <f t="shared" si="22"/>
        <v>93235</v>
      </c>
      <c r="J33" s="59">
        <v>3</v>
      </c>
      <c r="K33" s="59"/>
      <c r="L33" s="59">
        <f t="shared" si="71"/>
        <v>3</v>
      </c>
      <c r="M33" s="59">
        <v>2</v>
      </c>
      <c r="N33" s="59"/>
      <c r="O33" s="59">
        <f t="shared" si="23"/>
        <v>2</v>
      </c>
      <c r="P33" s="56">
        <f t="shared" si="24"/>
        <v>5</v>
      </c>
      <c r="Q33" s="59">
        <v>26</v>
      </c>
      <c r="R33" s="59"/>
      <c r="S33" s="59">
        <f t="shared" si="25"/>
        <v>26</v>
      </c>
      <c r="T33" s="59">
        <v>800</v>
      </c>
      <c r="U33" s="59"/>
      <c r="V33" s="59">
        <f t="shared" si="80"/>
        <v>800</v>
      </c>
      <c r="W33" s="56">
        <f t="shared" si="27"/>
        <v>826</v>
      </c>
      <c r="X33" s="56">
        <f>C33/J33</f>
        <v>10207.666666666666</v>
      </c>
      <c r="Y33" s="56"/>
      <c r="Z33" s="56">
        <f>E33/L33</f>
        <v>10207.666666666666</v>
      </c>
      <c r="AA33" s="56">
        <f>F33/M33</f>
        <v>31306</v>
      </c>
      <c r="AB33" s="56"/>
      <c r="AC33" s="56">
        <f>H33/O33</f>
        <v>31306</v>
      </c>
      <c r="AD33" s="56">
        <f t="shared" si="81"/>
        <v>18647</v>
      </c>
      <c r="AE33" s="269"/>
      <c r="AF33" s="269"/>
      <c r="AG33" s="269"/>
      <c r="AH33" s="269"/>
      <c r="AI33" s="269"/>
      <c r="AJ33" s="269"/>
      <c r="AK33" s="269"/>
      <c r="AL33" s="269"/>
      <c r="AM33" s="269"/>
      <c r="AN33" s="269"/>
      <c r="AO33" s="269"/>
      <c r="AP33" s="269"/>
      <c r="AQ33" s="269"/>
      <c r="AR33" s="269"/>
      <c r="AS33" s="269"/>
      <c r="AT33" s="269"/>
      <c r="AU33" s="269">
        <f t="shared" si="3"/>
        <v>10207.666666666666</v>
      </c>
      <c r="AV33" s="269">
        <f t="shared" si="4"/>
        <v>10207.666666666666</v>
      </c>
      <c r="AW33" s="269">
        <f t="shared" si="29"/>
        <v>31306</v>
      </c>
      <c r="AX33" s="269">
        <f t="shared" si="30"/>
        <v>18647</v>
      </c>
      <c r="AY33" s="269">
        <f t="shared" si="5"/>
        <v>30623</v>
      </c>
      <c r="AZ33" s="269">
        <f t="shared" si="6"/>
        <v>30623</v>
      </c>
      <c r="BA33" s="269">
        <f t="shared" si="31"/>
        <v>62612</v>
      </c>
      <c r="BB33" s="269">
        <f t="shared" si="32"/>
        <v>93235</v>
      </c>
      <c r="BC33" s="56"/>
      <c r="BD33" s="56">
        <v>135278</v>
      </c>
      <c r="BE33" s="56">
        <f t="shared" si="33"/>
        <v>135278</v>
      </c>
      <c r="BF33" s="56">
        <v>19448</v>
      </c>
      <c r="BG33" s="56"/>
      <c r="BH33" s="56">
        <f t="shared" si="34"/>
        <v>19448</v>
      </c>
      <c r="BI33" s="56">
        <f t="shared" si="35"/>
        <v>154726</v>
      </c>
      <c r="BJ33" s="59"/>
      <c r="BK33" s="59">
        <v>7</v>
      </c>
      <c r="BL33" s="59">
        <f t="shared" si="36"/>
        <v>7</v>
      </c>
      <c r="BM33" s="59">
        <v>1</v>
      </c>
      <c r="BN33" s="59"/>
      <c r="BO33" s="59">
        <f t="shared" si="37"/>
        <v>1</v>
      </c>
      <c r="BP33" s="56">
        <f t="shared" si="38"/>
        <v>8</v>
      </c>
      <c r="BQ33" s="59"/>
      <c r="BR33" s="59">
        <v>220.65</v>
      </c>
      <c r="BS33" s="59">
        <f t="shared" si="39"/>
        <v>220.65</v>
      </c>
      <c r="BT33" s="59">
        <v>200</v>
      </c>
      <c r="BU33" s="59"/>
      <c r="BV33" s="59">
        <f t="shared" si="40"/>
        <v>200</v>
      </c>
      <c r="BW33" s="56">
        <f t="shared" si="41"/>
        <v>420.65</v>
      </c>
      <c r="BX33" s="56"/>
      <c r="BY33" s="56">
        <f t="shared" si="43"/>
        <v>19325.428571428572</v>
      </c>
      <c r="BZ33" s="56">
        <f t="shared" si="44"/>
        <v>19325.428571428572</v>
      </c>
      <c r="CA33" s="56">
        <f t="shared" si="45"/>
        <v>19448</v>
      </c>
      <c r="CB33" s="56"/>
      <c r="CC33" s="56">
        <f t="shared" si="47"/>
        <v>19448</v>
      </c>
      <c r="CD33" s="56">
        <f t="shared" si="48"/>
        <v>19340.75</v>
      </c>
      <c r="CE33" s="238"/>
      <c r="CF33" s="238"/>
      <c r="CG33" s="238"/>
      <c r="CH33" s="238"/>
      <c r="CI33" s="238"/>
      <c r="CJ33" s="238"/>
      <c r="CK33" s="238"/>
      <c r="CL33" s="238"/>
      <c r="CM33" s="238"/>
      <c r="CN33" s="238"/>
      <c r="CO33" s="238"/>
      <c r="CP33" s="238"/>
      <c r="CQ33" s="238"/>
      <c r="CR33" s="238"/>
      <c r="CS33" s="238"/>
      <c r="CT33" s="238"/>
      <c r="CU33" s="238">
        <f t="shared" si="8"/>
        <v>0</v>
      </c>
      <c r="CV33" s="238">
        <f t="shared" si="9"/>
        <v>0</v>
      </c>
      <c r="CW33" s="238">
        <f t="shared" si="49"/>
        <v>19448</v>
      </c>
      <c r="CX33" s="238">
        <f t="shared" si="50"/>
        <v>0</v>
      </c>
      <c r="CY33" s="238">
        <f t="shared" si="10"/>
        <v>0</v>
      </c>
      <c r="CZ33" s="238">
        <f t="shared" si="11"/>
        <v>0</v>
      </c>
      <c r="DA33" s="238">
        <f t="shared" si="51"/>
        <v>19448</v>
      </c>
      <c r="DB33" s="238">
        <f t="shared" si="52"/>
        <v>0</v>
      </c>
      <c r="DC33" s="56">
        <v>62477</v>
      </c>
      <c r="DD33" s="56">
        <v>103681</v>
      </c>
      <c r="DE33" s="56">
        <f t="shared" si="53"/>
        <v>166158</v>
      </c>
      <c r="DF33" s="56"/>
      <c r="DG33" s="56"/>
      <c r="DH33" s="56">
        <f t="shared" si="54"/>
        <v>0</v>
      </c>
      <c r="DI33" s="56">
        <f t="shared" si="55"/>
        <v>166158</v>
      </c>
      <c r="DJ33" s="59">
        <v>3</v>
      </c>
      <c r="DK33" s="59">
        <v>5</v>
      </c>
      <c r="DL33" s="56">
        <f t="shared" si="56"/>
        <v>8</v>
      </c>
      <c r="DM33" s="59"/>
      <c r="DN33" s="59"/>
      <c r="DO33" s="56">
        <f t="shared" si="57"/>
        <v>0</v>
      </c>
      <c r="DP33" s="56">
        <f t="shared" si="58"/>
        <v>8</v>
      </c>
      <c r="DQ33" s="59">
        <v>25</v>
      </c>
      <c r="DR33" s="59">
        <v>120</v>
      </c>
      <c r="DS33" s="56">
        <f t="shared" si="59"/>
        <v>145</v>
      </c>
      <c r="DT33" s="59"/>
      <c r="DU33" s="59"/>
      <c r="DV33" s="56">
        <f t="shared" si="60"/>
        <v>0</v>
      </c>
      <c r="DW33" s="59">
        <f t="shared" si="61"/>
        <v>145</v>
      </c>
      <c r="DX33" s="56">
        <f t="shared" si="62"/>
        <v>20825.666666666668</v>
      </c>
      <c r="DY33" s="56">
        <f t="shared" si="63"/>
        <v>20736.2</v>
      </c>
      <c r="DZ33" s="56">
        <f t="shared" si="64"/>
        <v>20769.75</v>
      </c>
      <c r="EA33" s="56"/>
      <c r="EB33" s="56"/>
      <c r="EC33" s="56"/>
      <c r="ED33" s="56">
        <f t="shared" si="84"/>
        <v>20769.75</v>
      </c>
      <c r="EE33" s="273"/>
      <c r="EF33" s="273"/>
      <c r="EG33" s="273"/>
      <c r="EH33" s="273"/>
      <c r="EI33" s="273"/>
      <c r="EJ33" s="273"/>
      <c r="EK33" s="273"/>
      <c r="EL33" s="273"/>
      <c r="EM33" s="273"/>
      <c r="EN33" s="273"/>
      <c r="EO33" s="273"/>
      <c r="EP33" s="273"/>
      <c r="EQ33" s="273"/>
      <c r="ER33" s="273"/>
      <c r="ES33" s="273"/>
      <c r="ET33" s="273"/>
      <c r="EU33" s="273">
        <f t="shared" si="16"/>
        <v>20825.666666666668</v>
      </c>
      <c r="EV33" s="273">
        <f t="shared" si="17"/>
        <v>20769.75</v>
      </c>
      <c r="EW33" s="273">
        <f t="shared" si="18"/>
        <v>0</v>
      </c>
      <c r="EX33" s="273">
        <f t="shared" si="68"/>
        <v>20769.75</v>
      </c>
      <c r="EY33" s="273">
        <f t="shared" si="19"/>
        <v>62477</v>
      </c>
      <c r="EZ33" s="273">
        <f t="shared" si="20"/>
        <v>166158</v>
      </c>
      <c r="FA33" s="273">
        <f t="shared" si="69"/>
        <v>0</v>
      </c>
      <c r="FB33" s="273">
        <f t="shared" si="70"/>
        <v>166158</v>
      </c>
      <c r="FC33" s="56"/>
      <c r="FD33" s="56"/>
      <c r="FE33" s="56"/>
      <c r="FF33" s="56"/>
      <c r="FG33" s="47"/>
      <c r="FH33" s="47"/>
      <c r="FI33" s="47"/>
      <c r="FJ33" s="47"/>
    </row>
    <row r="34" spans="1:166" x14ac:dyDescent="0.3">
      <c r="A34" s="48" t="s">
        <v>60</v>
      </c>
      <c r="B34" s="258" t="s">
        <v>29</v>
      </c>
      <c r="C34" s="53"/>
      <c r="D34" s="53"/>
      <c r="E34" s="53">
        <f t="shared" si="21"/>
        <v>0</v>
      </c>
      <c r="F34" s="53"/>
      <c r="G34" s="53"/>
      <c r="H34" s="53">
        <f t="shared" si="0"/>
        <v>0</v>
      </c>
      <c r="I34" s="56">
        <f t="shared" si="22"/>
        <v>0</v>
      </c>
      <c r="J34" s="252"/>
      <c r="K34" s="252"/>
      <c r="L34" s="252">
        <f t="shared" si="71"/>
        <v>0</v>
      </c>
      <c r="M34" s="252"/>
      <c r="N34" s="252"/>
      <c r="O34" s="252">
        <f t="shared" si="23"/>
        <v>0</v>
      </c>
      <c r="P34" s="56">
        <f t="shared" si="24"/>
        <v>0</v>
      </c>
      <c r="Q34" s="252"/>
      <c r="R34" s="252"/>
      <c r="S34" s="59">
        <f t="shared" si="25"/>
        <v>0</v>
      </c>
      <c r="T34" s="252"/>
      <c r="U34" s="252"/>
      <c r="V34" s="256">
        <f t="shared" si="80"/>
        <v>0</v>
      </c>
      <c r="W34" s="56">
        <f t="shared" si="27"/>
        <v>0</v>
      </c>
      <c r="X34" s="56"/>
      <c r="Y34" s="56"/>
      <c r="Z34" s="56"/>
      <c r="AA34" s="56"/>
      <c r="AB34" s="56"/>
      <c r="AC34" s="56"/>
      <c r="AD34" s="56"/>
      <c r="AE34" s="269"/>
      <c r="AF34" s="270"/>
      <c r="AG34" s="269"/>
      <c r="AH34" s="269"/>
      <c r="AI34" s="269"/>
      <c r="AJ34" s="269"/>
      <c r="AK34" s="270"/>
      <c r="AL34" s="270"/>
      <c r="AM34" s="270"/>
      <c r="AN34" s="267"/>
      <c r="AO34" s="267"/>
      <c r="AP34" s="267"/>
      <c r="AQ34" s="267"/>
      <c r="AR34" s="267"/>
      <c r="AS34" s="267"/>
      <c r="AT34" s="267"/>
      <c r="AU34" s="269">
        <f t="shared" si="3"/>
        <v>0</v>
      </c>
      <c r="AV34" s="269">
        <f t="shared" si="4"/>
        <v>0</v>
      </c>
      <c r="AW34" s="269">
        <f t="shared" si="29"/>
        <v>0</v>
      </c>
      <c r="AX34" s="269">
        <f t="shared" si="30"/>
        <v>0</v>
      </c>
      <c r="AY34" s="269">
        <f t="shared" si="5"/>
        <v>0</v>
      </c>
      <c r="AZ34" s="269">
        <f t="shared" si="6"/>
        <v>0</v>
      </c>
      <c r="BA34" s="269">
        <f t="shared" si="31"/>
        <v>0</v>
      </c>
      <c r="BB34" s="269">
        <f t="shared" si="32"/>
        <v>0</v>
      </c>
      <c r="BC34" s="53"/>
      <c r="BD34" s="53"/>
      <c r="BE34" s="56">
        <f t="shared" si="33"/>
        <v>0</v>
      </c>
      <c r="BF34" s="53"/>
      <c r="BG34" s="53"/>
      <c r="BH34" s="56">
        <f t="shared" si="34"/>
        <v>0</v>
      </c>
      <c r="BI34" s="56">
        <f t="shared" si="35"/>
        <v>0</v>
      </c>
      <c r="BJ34" s="252"/>
      <c r="BK34" s="252"/>
      <c r="BL34" s="252">
        <f t="shared" si="36"/>
        <v>0</v>
      </c>
      <c r="BM34" s="252"/>
      <c r="BN34" s="252"/>
      <c r="BO34" s="252">
        <f t="shared" si="37"/>
        <v>0</v>
      </c>
      <c r="BP34" s="56">
        <f t="shared" si="38"/>
        <v>0</v>
      </c>
      <c r="BQ34" s="252"/>
      <c r="BR34" s="252"/>
      <c r="BS34" s="59">
        <f t="shared" si="39"/>
        <v>0</v>
      </c>
      <c r="BT34" s="252"/>
      <c r="BU34" s="252"/>
      <c r="BV34" s="59">
        <f t="shared" si="40"/>
        <v>0</v>
      </c>
      <c r="BW34" s="56">
        <f t="shared" si="41"/>
        <v>0</v>
      </c>
      <c r="BX34" s="56"/>
      <c r="BY34" s="56"/>
      <c r="BZ34" s="56"/>
      <c r="CA34" s="56"/>
      <c r="CB34" s="56"/>
      <c r="CC34" s="56"/>
      <c r="CD34" s="56"/>
      <c r="CE34" s="238"/>
      <c r="CF34" s="241"/>
      <c r="CG34" s="241"/>
      <c r="CH34" s="241"/>
      <c r="CI34" s="241"/>
      <c r="CJ34" s="241"/>
      <c r="CK34" s="241"/>
      <c r="CL34" s="241"/>
      <c r="CM34" s="241"/>
      <c r="CN34" s="241"/>
      <c r="CO34" s="241"/>
      <c r="CP34" s="241"/>
      <c r="CQ34" s="241"/>
      <c r="CR34" s="241"/>
      <c r="CS34" s="241"/>
      <c r="CT34" s="241"/>
      <c r="CU34" s="238">
        <f t="shared" si="8"/>
        <v>0</v>
      </c>
      <c r="CV34" s="238">
        <f t="shared" si="9"/>
        <v>0</v>
      </c>
      <c r="CW34" s="238">
        <f t="shared" si="49"/>
        <v>0</v>
      </c>
      <c r="CX34" s="238">
        <f t="shared" si="50"/>
        <v>0</v>
      </c>
      <c r="CY34" s="238">
        <f t="shared" si="10"/>
        <v>0</v>
      </c>
      <c r="CZ34" s="238">
        <f t="shared" si="11"/>
        <v>0</v>
      </c>
      <c r="DA34" s="238">
        <f t="shared" si="51"/>
        <v>0</v>
      </c>
      <c r="DB34" s="238">
        <f t="shared" si="52"/>
        <v>0</v>
      </c>
      <c r="DC34" s="53"/>
      <c r="DD34" s="53"/>
      <c r="DE34" s="56">
        <f t="shared" si="53"/>
        <v>0</v>
      </c>
      <c r="DF34" s="53"/>
      <c r="DG34" s="53"/>
      <c r="DH34" s="56">
        <f t="shared" si="54"/>
        <v>0</v>
      </c>
      <c r="DI34" s="56">
        <f t="shared" si="55"/>
        <v>0</v>
      </c>
      <c r="DJ34" s="252"/>
      <c r="DK34" s="252"/>
      <c r="DL34" s="56">
        <f t="shared" si="56"/>
        <v>0</v>
      </c>
      <c r="DM34" s="252"/>
      <c r="DN34" s="252"/>
      <c r="DO34" s="56">
        <f t="shared" si="57"/>
        <v>0</v>
      </c>
      <c r="DP34" s="56">
        <f t="shared" si="58"/>
        <v>0</v>
      </c>
      <c r="DQ34" s="252"/>
      <c r="DR34" s="252"/>
      <c r="DS34" s="56">
        <f t="shared" si="59"/>
        <v>0</v>
      </c>
      <c r="DT34" s="252"/>
      <c r="DU34" s="252"/>
      <c r="DV34" s="56">
        <f t="shared" si="60"/>
        <v>0</v>
      </c>
      <c r="DW34" s="59">
        <f t="shared" si="61"/>
        <v>0</v>
      </c>
      <c r="DX34" s="56"/>
      <c r="DY34" s="56"/>
      <c r="DZ34" s="56"/>
      <c r="EA34" s="56"/>
      <c r="EB34" s="56"/>
      <c r="EC34" s="56"/>
      <c r="ED34" s="56"/>
      <c r="EE34" s="273"/>
      <c r="EF34" s="274"/>
      <c r="EG34" s="274"/>
      <c r="EH34" s="274"/>
      <c r="EI34" s="274"/>
      <c r="EJ34" s="274"/>
      <c r="EK34" s="274"/>
      <c r="EL34" s="274"/>
      <c r="EM34" s="274"/>
      <c r="EN34" s="274"/>
      <c r="EO34" s="274"/>
      <c r="EP34" s="274"/>
      <c r="EQ34" s="274"/>
      <c r="ER34" s="274"/>
      <c r="ES34" s="274"/>
      <c r="ET34" s="274"/>
      <c r="EU34" s="273">
        <f t="shared" si="16"/>
        <v>0</v>
      </c>
      <c r="EV34" s="273">
        <f t="shared" si="17"/>
        <v>0</v>
      </c>
      <c r="EW34" s="273">
        <f t="shared" si="18"/>
        <v>0</v>
      </c>
      <c r="EX34" s="273">
        <f t="shared" si="68"/>
        <v>0</v>
      </c>
      <c r="EY34" s="273">
        <f t="shared" si="19"/>
        <v>0</v>
      </c>
      <c r="EZ34" s="273">
        <f t="shared" si="20"/>
        <v>0</v>
      </c>
      <c r="FA34" s="273">
        <f t="shared" si="69"/>
        <v>0</v>
      </c>
      <c r="FB34" s="273">
        <f t="shared" si="70"/>
        <v>0</v>
      </c>
      <c r="FC34" s="56"/>
      <c r="FD34" s="56"/>
      <c r="FE34" s="56"/>
      <c r="FF34" s="56"/>
      <c r="FG34" s="47"/>
      <c r="FH34" s="47"/>
      <c r="FI34" s="47"/>
      <c r="FJ34" s="47"/>
    </row>
    <row r="35" spans="1:166" ht="28.8" x14ac:dyDescent="0.3">
      <c r="A35" s="48" t="s">
        <v>61</v>
      </c>
      <c r="B35" s="258" t="s">
        <v>67</v>
      </c>
      <c r="C35" s="53">
        <v>0</v>
      </c>
      <c r="D35" s="53">
        <v>0</v>
      </c>
      <c r="E35" s="53">
        <f t="shared" si="21"/>
        <v>0</v>
      </c>
      <c r="F35" s="53">
        <v>0</v>
      </c>
      <c r="G35" s="53">
        <v>0</v>
      </c>
      <c r="H35" s="53">
        <f t="shared" si="0"/>
        <v>0</v>
      </c>
      <c r="I35" s="56">
        <f t="shared" si="22"/>
        <v>0</v>
      </c>
      <c r="J35" s="252">
        <v>0</v>
      </c>
      <c r="K35" s="252">
        <v>0</v>
      </c>
      <c r="L35" s="252">
        <f t="shared" si="71"/>
        <v>0</v>
      </c>
      <c r="M35" s="252">
        <v>0</v>
      </c>
      <c r="N35" s="252">
        <v>0</v>
      </c>
      <c r="O35" s="252">
        <f t="shared" si="23"/>
        <v>0</v>
      </c>
      <c r="P35" s="56">
        <f t="shared" si="24"/>
        <v>0</v>
      </c>
      <c r="Q35" s="252">
        <v>0</v>
      </c>
      <c r="R35" s="252">
        <v>0</v>
      </c>
      <c r="S35" s="59">
        <f t="shared" si="25"/>
        <v>0</v>
      </c>
      <c r="T35" s="252">
        <v>0</v>
      </c>
      <c r="U35" s="252">
        <v>0</v>
      </c>
      <c r="V35" s="256">
        <f t="shared" si="80"/>
        <v>0</v>
      </c>
      <c r="W35" s="56">
        <f t="shared" si="27"/>
        <v>0</v>
      </c>
      <c r="X35" s="56"/>
      <c r="Y35" s="56"/>
      <c r="Z35" s="56"/>
      <c r="AA35" s="56"/>
      <c r="AB35" s="56"/>
      <c r="AC35" s="56"/>
      <c r="AD35" s="56"/>
      <c r="AE35" s="269"/>
      <c r="AF35" s="270"/>
      <c r="AG35" s="269"/>
      <c r="AH35" s="269"/>
      <c r="AI35" s="269"/>
      <c r="AJ35" s="269"/>
      <c r="AK35" s="270"/>
      <c r="AL35" s="270"/>
      <c r="AM35" s="270"/>
      <c r="AN35" s="267"/>
      <c r="AO35" s="267"/>
      <c r="AP35" s="267"/>
      <c r="AQ35" s="267"/>
      <c r="AR35" s="267"/>
      <c r="AS35" s="267"/>
      <c r="AT35" s="267"/>
      <c r="AU35" s="269">
        <f t="shared" si="3"/>
        <v>0</v>
      </c>
      <c r="AV35" s="269">
        <f t="shared" si="4"/>
        <v>0</v>
      </c>
      <c r="AW35" s="269">
        <f t="shared" si="29"/>
        <v>0</v>
      </c>
      <c r="AX35" s="269">
        <f t="shared" si="30"/>
        <v>0</v>
      </c>
      <c r="AY35" s="269">
        <f t="shared" si="5"/>
        <v>0</v>
      </c>
      <c r="AZ35" s="269">
        <f t="shared" si="6"/>
        <v>0</v>
      </c>
      <c r="BA35" s="269">
        <f t="shared" si="31"/>
        <v>0</v>
      </c>
      <c r="BB35" s="269">
        <f t="shared" si="32"/>
        <v>0</v>
      </c>
      <c r="BC35" s="53">
        <v>81383.56</v>
      </c>
      <c r="BD35" s="53">
        <v>0</v>
      </c>
      <c r="BE35" s="56">
        <f t="shared" si="33"/>
        <v>81383.56</v>
      </c>
      <c r="BF35" s="53">
        <v>0</v>
      </c>
      <c r="BG35" s="53">
        <v>0</v>
      </c>
      <c r="BH35" s="56">
        <f t="shared" si="34"/>
        <v>0</v>
      </c>
      <c r="BI35" s="56">
        <f t="shared" si="35"/>
        <v>81383.56</v>
      </c>
      <c r="BJ35" s="252">
        <v>21</v>
      </c>
      <c r="BK35" s="252">
        <v>0</v>
      </c>
      <c r="BL35" s="252">
        <f t="shared" si="36"/>
        <v>21</v>
      </c>
      <c r="BM35" s="252">
        <v>0</v>
      </c>
      <c r="BN35" s="252">
        <v>0</v>
      </c>
      <c r="BO35" s="252">
        <f t="shared" si="37"/>
        <v>0</v>
      </c>
      <c r="BP35" s="56">
        <f t="shared" si="38"/>
        <v>21</v>
      </c>
      <c r="BQ35" s="252">
        <v>1299</v>
      </c>
      <c r="BR35" s="252">
        <v>0</v>
      </c>
      <c r="BS35" s="59">
        <f t="shared" si="39"/>
        <v>1299</v>
      </c>
      <c r="BT35" s="252">
        <v>0</v>
      </c>
      <c r="BU35" s="252">
        <v>0</v>
      </c>
      <c r="BV35" s="59">
        <f t="shared" si="40"/>
        <v>0</v>
      </c>
      <c r="BW35" s="56">
        <f t="shared" si="41"/>
        <v>1299</v>
      </c>
      <c r="BX35" s="56">
        <f t="shared" si="42"/>
        <v>3875.4076190476189</v>
      </c>
      <c r="BY35" s="56"/>
      <c r="BZ35" s="56"/>
      <c r="CA35" s="56"/>
      <c r="CB35" s="56"/>
      <c r="CC35" s="56"/>
      <c r="CD35" s="56">
        <f t="shared" si="48"/>
        <v>3875.4076190476189</v>
      </c>
      <c r="CE35" s="238"/>
      <c r="CF35" s="241"/>
      <c r="CG35" s="241"/>
      <c r="CH35" s="241"/>
      <c r="CI35" s="241"/>
      <c r="CJ35" s="241"/>
      <c r="CK35" s="241"/>
      <c r="CL35" s="241"/>
      <c r="CM35" s="241"/>
      <c r="CN35" s="241"/>
      <c r="CO35" s="241"/>
      <c r="CP35" s="241"/>
      <c r="CQ35" s="241"/>
      <c r="CR35" s="241"/>
      <c r="CS35" s="241"/>
      <c r="CT35" s="241"/>
      <c r="CU35" s="238">
        <f t="shared" si="8"/>
        <v>3875.4076190476189</v>
      </c>
      <c r="CV35" s="238">
        <f t="shared" si="9"/>
        <v>0</v>
      </c>
      <c r="CW35" s="238">
        <f t="shared" si="49"/>
        <v>0</v>
      </c>
      <c r="CX35" s="238">
        <f t="shared" si="50"/>
        <v>3875.4076190476189</v>
      </c>
      <c r="CY35" s="238">
        <f t="shared" si="10"/>
        <v>81383.56</v>
      </c>
      <c r="CZ35" s="238">
        <f t="shared" si="11"/>
        <v>0</v>
      </c>
      <c r="DA35" s="238">
        <f t="shared" si="51"/>
        <v>0</v>
      </c>
      <c r="DB35" s="238">
        <f t="shared" si="52"/>
        <v>81383.56</v>
      </c>
      <c r="DC35" s="53">
        <v>118922.97</v>
      </c>
      <c r="DD35" s="53">
        <v>0</v>
      </c>
      <c r="DE35" s="56">
        <f t="shared" si="53"/>
        <v>118922.97</v>
      </c>
      <c r="DF35" s="53">
        <v>0</v>
      </c>
      <c r="DG35" s="53">
        <v>0</v>
      </c>
      <c r="DH35" s="56">
        <f t="shared" si="54"/>
        <v>0</v>
      </c>
      <c r="DI35" s="56">
        <f t="shared" si="55"/>
        <v>118922.97</v>
      </c>
      <c r="DJ35" s="252">
        <v>37</v>
      </c>
      <c r="DK35" s="252">
        <v>0</v>
      </c>
      <c r="DL35" s="56">
        <f t="shared" si="56"/>
        <v>37</v>
      </c>
      <c r="DM35" s="252">
        <v>0</v>
      </c>
      <c r="DN35" s="252">
        <v>0</v>
      </c>
      <c r="DO35" s="56">
        <f t="shared" si="57"/>
        <v>0</v>
      </c>
      <c r="DP35" s="56">
        <f t="shared" si="58"/>
        <v>37</v>
      </c>
      <c r="DQ35" s="252">
        <v>5213</v>
      </c>
      <c r="DR35" s="252">
        <v>0</v>
      </c>
      <c r="DS35" s="56">
        <f t="shared" si="59"/>
        <v>5213</v>
      </c>
      <c r="DT35" s="252">
        <v>0</v>
      </c>
      <c r="DU35" s="252">
        <v>0</v>
      </c>
      <c r="DV35" s="56">
        <f t="shared" si="60"/>
        <v>0</v>
      </c>
      <c r="DW35" s="59">
        <f t="shared" si="61"/>
        <v>5213</v>
      </c>
      <c r="DX35" s="56">
        <f t="shared" si="62"/>
        <v>3214.1343243243246</v>
      </c>
      <c r="DY35" s="56"/>
      <c r="DZ35" s="56">
        <f t="shared" si="64"/>
        <v>3214.1343243243246</v>
      </c>
      <c r="EA35" s="56"/>
      <c r="EB35" s="56"/>
      <c r="EC35" s="56"/>
      <c r="ED35" s="56">
        <f t="shared" si="84"/>
        <v>3214.1343243243246</v>
      </c>
      <c r="EE35" s="273"/>
      <c r="EF35" s="274"/>
      <c r="EG35" s="274"/>
      <c r="EH35" s="274"/>
      <c r="EI35" s="274"/>
      <c r="EJ35" s="274"/>
      <c r="EK35" s="274"/>
      <c r="EL35" s="274"/>
      <c r="EM35" s="274"/>
      <c r="EN35" s="274"/>
      <c r="EO35" s="274"/>
      <c r="EP35" s="274"/>
      <c r="EQ35" s="274"/>
      <c r="ER35" s="274"/>
      <c r="ES35" s="274"/>
      <c r="ET35" s="274"/>
      <c r="EU35" s="273">
        <f t="shared" si="16"/>
        <v>3214.1343243243246</v>
      </c>
      <c r="EV35" s="273">
        <f t="shared" si="17"/>
        <v>3214.1343243243246</v>
      </c>
      <c r="EW35" s="273">
        <f t="shared" si="18"/>
        <v>0</v>
      </c>
      <c r="EX35" s="273">
        <f t="shared" si="68"/>
        <v>3214.1343243243246</v>
      </c>
      <c r="EY35" s="273">
        <f t="shared" si="19"/>
        <v>118922.97</v>
      </c>
      <c r="EZ35" s="273">
        <f t="shared" si="20"/>
        <v>118922.97</v>
      </c>
      <c r="FA35" s="273">
        <f t="shared" si="69"/>
        <v>0</v>
      </c>
      <c r="FB35" s="273">
        <f t="shared" si="70"/>
        <v>118922.97</v>
      </c>
      <c r="FC35" s="56"/>
      <c r="FD35" s="56"/>
      <c r="FE35" s="56"/>
      <c r="FF35" s="56"/>
      <c r="FG35" s="47"/>
      <c r="FH35" s="47"/>
      <c r="FI35" s="47"/>
      <c r="FJ35" s="47"/>
    </row>
    <row r="36" spans="1:166" x14ac:dyDescent="0.3">
      <c r="A36" s="291">
        <v>24</v>
      </c>
      <c r="B36" s="258" t="s">
        <v>133</v>
      </c>
      <c r="C36" s="56"/>
      <c r="D36" s="56"/>
      <c r="E36" s="56">
        <f t="shared" si="21"/>
        <v>0</v>
      </c>
      <c r="F36" s="56">
        <v>87593.59</v>
      </c>
      <c r="G36" s="56"/>
      <c r="H36" s="56">
        <f t="shared" si="0"/>
        <v>87593.59</v>
      </c>
      <c r="I36" s="56">
        <f t="shared" si="22"/>
        <v>87593.59</v>
      </c>
      <c r="J36" s="59"/>
      <c r="K36" s="59"/>
      <c r="L36" s="59">
        <f t="shared" si="71"/>
        <v>0</v>
      </c>
      <c r="M36" s="59">
        <v>2</v>
      </c>
      <c r="N36" s="59"/>
      <c r="O36" s="59">
        <f t="shared" si="23"/>
        <v>2</v>
      </c>
      <c r="P36" s="56">
        <f t="shared" si="24"/>
        <v>2</v>
      </c>
      <c r="Q36" s="59"/>
      <c r="R36" s="59"/>
      <c r="S36" s="59"/>
      <c r="T36" s="59">
        <v>550</v>
      </c>
      <c r="U36" s="59"/>
      <c r="V36" s="59">
        <f t="shared" si="80"/>
        <v>550</v>
      </c>
      <c r="W36" s="56">
        <f t="shared" si="27"/>
        <v>550</v>
      </c>
      <c r="X36" s="56"/>
      <c r="Y36" s="56"/>
      <c r="Z36" s="56"/>
      <c r="AA36" s="56">
        <f>F36/M36</f>
        <v>43796.794999999998</v>
      </c>
      <c r="AB36" s="56"/>
      <c r="AC36" s="56">
        <f>H36/O36</f>
        <v>43796.794999999998</v>
      </c>
      <c r="AD36" s="56">
        <f t="shared" si="81"/>
        <v>43796.794999999998</v>
      </c>
      <c r="AE36" s="269"/>
      <c r="AF36" s="270"/>
      <c r="AG36" s="269"/>
      <c r="AH36" s="269"/>
      <c r="AI36" s="269"/>
      <c r="AJ36" s="269"/>
      <c r="AK36" s="270"/>
      <c r="AL36" s="270"/>
      <c r="AM36" s="270"/>
      <c r="AN36" s="267"/>
      <c r="AO36" s="267"/>
      <c r="AP36" s="267"/>
      <c r="AQ36" s="267"/>
      <c r="AR36" s="267"/>
      <c r="AS36" s="267"/>
      <c r="AT36" s="267"/>
      <c r="AU36" s="269"/>
      <c r="AV36" s="269"/>
      <c r="AW36" s="269"/>
      <c r="AX36" s="269">
        <f t="shared" si="30"/>
        <v>0</v>
      </c>
      <c r="AY36" s="269"/>
      <c r="AZ36" s="269"/>
      <c r="BA36" s="269"/>
      <c r="BB36" s="269">
        <f t="shared" si="32"/>
        <v>0</v>
      </c>
      <c r="BC36" s="56"/>
      <c r="BD36" s="56"/>
      <c r="BE36" s="56"/>
      <c r="BF36" s="56"/>
      <c r="BG36" s="56"/>
      <c r="BH36" s="56"/>
      <c r="BI36" s="56">
        <f t="shared" si="35"/>
        <v>0</v>
      </c>
      <c r="BJ36" s="59"/>
      <c r="BK36" s="59"/>
      <c r="BL36" s="59"/>
      <c r="BM36" s="59"/>
      <c r="BN36" s="59"/>
      <c r="BO36" s="59"/>
      <c r="BP36" s="56">
        <f t="shared" si="38"/>
        <v>0</v>
      </c>
      <c r="BQ36" s="59"/>
      <c r="BR36" s="59"/>
      <c r="BS36" s="59"/>
      <c r="BT36" s="59"/>
      <c r="BU36" s="59"/>
      <c r="BV36" s="59"/>
      <c r="BW36" s="56">
        <f t="shared" si="41"/>
        <v>0</v>
      </c>
      <c r="BX36" s="56"/>
      <c r="BY36" s="56"/>
      <c r="BZ36" s="56"/>
      <c r="CA36" s="56"/>
      <c r="CB36" s="56"/>
      <c r="CC36" s="56"/>
      <c r="CD36" s="56"/>
      <c r="CE36" s="238"/>
      <c r="CF36" s="241"/>
      <c r="CG36" s="241"/>
      <c r="CH36" s="241"/>
      <c r="CI36" s="241"/>
      <c r="CJ36" s="241"/>
      <c r="CK36" s="241"/>
      <c r="CL36" s="241"/>
      <c r="CM36" s="241"/>
      <c r="CN36" s="241"/>
      <c r="CO36" s="241"/>
      <c r="CP36" s="241"/>
      <c r="CQ36" s="241"/>
      <c r="CR36" s="241"/>
      <c r="CS36" s="241"/>
      <c r="CT36" s="241"/>
      <c r="CU36" s="238"/>
      <c r="CV36" s="238"/>
      <c r="CW36" s="238"/>
      <c r="CX36" s="238">
        <f t="shared" si="50"/>
        <v>0</v>
      </c>
      <c r="CY36" s="238"/>
      <c r="CZ36" s="238"/>
      <c r="DA36" s="238"/>
      <c r="DB36" s="238">
        <f t="shared" si="52"/>
        <v>0</v>
      </c>
      <c r="DC36" s="56"/>
      <c r="DD36" s="56"/>
      <c r="DE36" s="56"/>
      <c r="DF36" s="56"/>
      <c r="DG36" s="56"/>
      <c r="DH36" s="56"/>
      <c r="DI36" s="56">
        <f t="shared" si="55"/>
        <v>0</v>
      </c>
      <c r="DJ36" s="59"/>
      <c r="DK36" s="59"/>
      <c r="DL36" s="56"/>
      <c r="DM36" s="59"/>
      <c r="DN36" s="59"/>
      <c r="DO36" s="56"/>
      <c r="DP36" s="56">
        <f t="shared" si="58"/>
        <v>0</v>
      </c>
      <c r="DQ36" s="59"/>
      <c r="DR36" s="59"/>
      <c r="DS36" s="56"/>
      <c r="DT36" s="59"/>
      <c r="DU36" s="59"/>
      <c r="DV36" s="56"/>
      <c r="DW36" s="59">
        <f t="shared" si="61"/>
        <v>0</v>
      </c>
      <c r="DX36" s="56"/>
      <c r="DY36" s="56"/>
      <c r="DZ36" s="56"/>
      <c r="EA36" s="56"/>
      <c r="EB36" s="56"/>
      <c r="EC36" s="56"/>
      <c r="ED36" s="56"/>
      <c r="EE36" s="273"/>
      <c r="EF36" s="274"/>
      <c r="EG36" s="274"/>
      <c r="EH36" s="274"/>
      <c r="EI36" s="274"/>
      <c r="EJ36" s="274"/>
      <c r="EK36" s="274"/>
      <c r="EL36" s="274"/>
      <c r="EM36" s="274"/>
      <c r="EN36" s="274"/>
      <c r="EO36" s="274"/>
      <c r="EP36" s="274"/>
      <c r="EQ36" s="274"/>
      <c r="ER36" s="274"/>
      <c r="ES36" s="274"/>
      <c r="ET36" s="274"/>
      <c r="EU36" s="273"/>
      <c r="EV36" s="273"/>
      <c r="EW36" s="273"/>
      <c r="EX36" s="273">
        <f t="shared" si="68"/>
        <v>0</v>
      </c>
      <c r="EY36" s="273"/>
      <c r="EZ36" s="273"/>
      <c r="FA36" s="273"/>
      <c r="FB36" s="273">
        <f t="shared" si="70"/>
        <v>0</v>
      </c>
      <c r="FC36" s="56"/>
      <c r="FD36" s="56"/>
      <c r="FE36" s="56"/>
      <c r="FF36" s="56"/>
      <c r="FG36" s="47"/>
      <c r="FH36" s="47"/>
      <c r="FI36" s="47"/>
      <c r="FJ36" s="47"/>
    </row>
    <row r="37" spans="1:166" x14ac:dyDescent="0.3">
      <c r="A37" s="291">
        <v>25</v>
      </c>
      <c r="B37" s="258" t="s">
        <v>134</v>
      </c>
      <c r="C37" s="53"/>
      <c r="D37" s="53"/>
      <c r="E37" s="53"/>
      <c r="F37" s="53"/>
      <c r="G37" s="53"/>
      <c r="H37" s="53"/>
      <c r="I37" s="56">
        <f t="shared" si="22"/>
        <v>0</v>
      </c>
      <c r="J37" s="252"/>
      <c r="K37" s="252"/>
      <c r="L37" s="252"/>
      <c r="M37" s="252"/>
      <c r="N37" s="252"/>
      <c r="O37" s="252"/>
      <c r="P37" s="56">
        <f t="shared" si="24"/>
        <v>0</v>
      </c>
      <c r="Q37" s="252"/>
      <c r="R37" s="252"/>
      <c r="S37" s="252"/>
      <c r="T37" s="252"/>
      <c r="U37" s="252"/>
      <c r="V37" s="59"/>
      <c r="W37" s="56">
        <f t="shared" si="27"/>
        <v>0</v>
      </c>
      <c r="X37" s="56"/>
      <c r="Y37" s="56"/>
      <c r="Z37" s="56"/>
      <c r="AA37" s="56"/>
      <c r="AB37" s="56"/>
      <c r="AC37" s="56"/>
      <c r="AD37" s="56"/>
      <c r="AE37" s="269"/>
      <c r="AF37" s="270"/>
      <c r="AG37" s="269"/>
      <c r="AH37" s="269"/>
      <c r="AI37" s="269"/>
      <c r="AJ37" s="269"/>
      <c r="AK37" s="270"/>
      <c r="AL37" s="270"/>
      <c r="AM37" s="270"/>
      <c r="AN37" s="267"/>
      <c r="AO37" s="267"/>
      <c r="AP37" s="267"/>
      <c r="AQ37" s="267"/>
      <c r="AR37" s="267"/>
      <c r="AS37" s="267"/>
      <c r="AT37" s="267"/>
      <c r="AU37" s="269"/>
      <c r="AV37" s="269"/>
      <c r="AW37" s="269"/>
      <c r="AX37" s="269">
        <f t="shared" si="30"/>
        <v>0</v>
      </c>
      <c r="AY37" s="269"/>
      <c r="AZ37" s="269"/>
      <c r="BA37" s="269"/>
      <c r="BB37" s="269">
        <f t="shared" si="32"/>
        <v>0</v>
      </c>
      <c r="BC37" s="56"/>
      <c r="BD37" s="56"/>
      <c r="BE37" s="56"/>
      <c r="BF37" s="56"/>
      <c r="BG37" s="56"/>
      <c r="BH37" s="56"/>
      <c r="BI37" s="56">
        <f t="shared" si="35"/>
        <v>0</v>
      </c>
      <c r="BJ37" s="59"/>
      <c r="BK37" s="59"/>
      <c r="BL37" s="59"/>
      <c r="BM37" s="59"/>
      <c r="BN37" s="59"/>
      <c r="BO37" s="59"/>
      <c r="BP37" s="56">
        <f t="shared" si="38"/>
        <v>0</v>
      </c>
      <c r="BQ37" s="59"/>
      <c r="BR37" s="59"/>
      <c r="BS37" s="59"/>
      <c r="BT37" s="59"/>
      <c r="BU37" s="59"/>
      <c r="BV37" s="59"/>
      <c r="BW37" s="56">
        <f t="shared" si="41"/>
        <v>0</v>
      </c>
      <c r="BX37" s="56"/>
      <c r="BY37" s="56"/>
      <c r="BZ37" s="56"/>
      <c r="CA37" s="56"/>
      <c r="CB37" s="56"/>
      <c r="CC37" s="56"/>
      <c r="CD37" s="56"/>
      <c r="CE37" s="238"/>
      <c r="CF37" s="241"/>
      <c r="CG37" s="241"/>
      <c r="CH37" s="241"/>
      <c r="CI37" s="241"/>
      <c r="CJ37" s="241"/>
      <c r="CK37" s="241"/>
      <c r="CL37" s="241"/>
      <c r="CM37" s="241"/>
      <c r="CN37" s="241"/>
      <c r="CO37" s="241"/>
      <c r="CP37" s="241"/>
      <c r="CQ37" s="241"/>
      <c r="CR37" s="241"/>
      <c r="CS37" s="241"/>
      <c r="CT37" s="241"/>
      <c r="CU37" s="238"/>
      <c r="CV37" s="238"/>
      <c r="CW37" s="238"/>
      <c r="CX37" s="238">
        <f t="shared" si="50"/>
        <v>0</v>
      </c>
      <c r="CY37" s="238"/>
      <c r="CZ37" s="238"/>
      <c r="DA37" s="238"/>
      <c r="DB37" s="238">
        <f t="shared" si="52"/>
        <v>0</v>
      </c>
      <c r="DC37" s="56"/>
      <c r="DD37" s="56"/>
      <c r="DE37" s="56"/>
      <c r="DF37" s="56"/>
      <c r="DG37" s="56"/>
      <c r="DH37" s="56"/>
      <c r="DI37" s="56">
        <f t="shared" si="55"/>
        <v>0</v>
      </c>
      <c r="DJ37" s="59"/>
      <c r="DK37" s="59"/>
      <c r="DL37" s="56"/>
      <c r="DM37" s="59"/>
      <c r="DN37" s="59"/>
      <c r="DO37" s="56"/>
      <c r="DP37" s="56">
        <f t="shared" si="58"/>
        <v>0</v>
      </c>
      <c r="DQ37" s="59"/>
      <c r="DR37" s="59"/>
      <c r="DS37" s="56"/>
      <c r="DT37" s="59"/>
      <c r="DU37" s="59"/>
      <c r="DV37" s="56"/>
      <c r="DW37" s="59">
        <f t="shared" si="61"/>
        <v>0</v>
      </c>
      <c r="DX37" s="56"/>
      <c r="DY37" s="56"/>
      <c r="DZ37" s="56"/>
      <c r="EA37" s="56"/>
      <c r="EB37" s="56"/>
      <c r="EC37" s="56"/>
      <c r="ED37" s="56"/>
      <c r="EE37" s="273"/>
      <c r="EF37" s="274"/>
      <c r="EG37" s="274"/>
      <c r="EH37" s="274"/>
      <c r="EI37" s="274"/>
      <c r="EJ37" s="274"/>
      <c r="EK37" s="274"/>
      <c r="EL37" s="274"/>
      <c r="EM37" s="274"/>
      <c r="EN37" s="274"/>
      <c r="EO37" s="274"/>
      <c r="EP37" s="274"/>
      <c r="EQ37" s="274"/>
      <c r="ER37" s="274"/>
      <c r="ES37" s="274"/>
      <c r="ET37" s="274"/>
      <c r="EU37" s="273"/>
      <c r="EV37" s="273"/>
      <c r="EW37" s="273"/>
      <c r="EX37" s="273">
        <f t="shared" si="68"/>
        <v>0</v>
      </c>
      <c r="EY37" s="273"/>
      <c r="EZ37" s="273"/>
      <c r="FA37" s="273"/>
      <c r="FB37" s="273">
        <f t="shared" si="70"/>
        <v>0</v>
      </c>
      <c r="FC37" s="56"/>
      <c r="FD37" s="56"/>
      <c r="FE37" s="56"/>
      <c r="FF37" s="56"/>
      <c r="FG37" s="47"/>
      <c r="FH37" s="47"/>
      <c r="FI37" s="47"/>
      <c r="FJ37" s="47"/>
    </row>
    <row r="38" spans="1:166" ht="28.8" x14ac:dyDescent="0.3">
      <c r="A38" s="48">
        <v>26</v>
      </c>
      <c r="B38" s="258" t="s">
        <v>30</v>
      </c>
      <c r="C38" s="53">
        <v>1910.16</v>
      </c>
      <c r="D38" s="53"/>
      <c r="E38" s="53">
        <f t="shared" si="21"/>
        <v>1910.16</v>
      </c>
      <c r="F38" s="53"/>
      <c r="G38" s="53"/>
      <c r="H38" s="53">
        <f t="shared" si="0"/>
        <v>0</v>
      </c>
      <c r="I38" s="56">
        <f t="shared" si="22"/>
        <v>1910.16</v>
      </c>
      <c r="J38" s="252">
        <v>6</v>
      </c>
      <c r="K38" s="252"/>
      <c r="L38" s="252">
        <f t="shared" si="71"/>
        <v>6</v>
      </c>
      <c r="M38" s="252"/>
      <c r="N38" s="252"/>
      <c r="O38" s="252"/>
      <c r="P38" s="56">
        <f t="shared" si="24"/>
        <v>6</v>
      </c>
      <c r="Q38" s="252">
        <v>90</v>
      </c>
      <c r="R38" s="252"/>
      <c r="S38" s="76">
        <f t="shared" si="25"/>
        <v>90</v>
      </c>
      <c r="T38" s="252"/>
      <c r="U38" s="252"/>
      <c r="V38" s="256">
        <f t="shared" si="80"/>
        <v>0</v>
      </c>
      <c r="W38" s="56">
        <f t="shared" si="27"/>
        <v>90</v>
      </c>
      <c r="X38" s="56">
        <f>C38/J38</f>
        <v>318.36</v>
      </c>
      <c r="Y38" s="56"/>
      <c r="Z38" s="56">
        <f>E38/L38</f>
        <v>318.36</v>
      </c>
      <c r="AA38" s="56"/>
      <c r="AB38" s="56"/>
      <c r="AC38" s="56"/>
      <c r="AD38" s="56">
        <f t="shared" si="81"/>
        <v>318.36</v>
      </c>
      <c r="AE38" s="269"/>
      <c r="AF38" s="270"/>
      <c r="AG38" s="269"/>
      <c r="AH38" s="269"/>
      <c r="AI38" s="269"/>
      <c r="AJ38" s="269"/>
      <c r="AK38" s="270"/>
      <c r="AL38" s="270"/>
      <c r="AM38" s="270"/>
      <c r="AN38" s="267"/>
      <c r="AO38" s="267"/>
      <c r="AP38" s="267"/>
      <c r="AQ38" s="267"/>
      <c r="AR38" s="267"/>
      <c r="AS38" s="267"/>
      <c r="AT38" s="267"/>
      <c r="AU38" s="269">
        <f>IF(AND(X38&gt;$AM$13,X38&lt;$AQ$13),X38,0)</f>
        <v>318.36</v>
      </c>
      <c r="AV38" s="269">
        <f t="shared" si="4"/>
        <v>318.36</v>
      </c>
      <c r="AW38" s="269">
        <f t="shared" si="29"/>
        <v>0</v>
      </c>
      <c r="AX38" s="269">
        <f t="shared" si="30"/>
        <v>0</v>
      </c>
      <c r="AY38" s="269">
        <f>AU38*J38</f>
        <v>1910.16</v>
      </c>
      <c r="AZ38" s="269">
        <f t="shared" si="6"/>
        <v>1910.16</v>
      </c>
      <c r="BA38" s="269">
        <f t="shared" si="31"/>
        <v>0</v>
      </c>
      <c r="BB38" s="269">
        <f t="shared" si="32"/>
        <v>0</v>
      </c>
      <c r="BC38" s="53"/>
      <c r="BD38" s="53"/>
      <c r="BE38" s="56">
        <f t="shared" si="33"/>
        <v>0</v>
      </c>
      <c r="BF38" s="53"/>
      <c r="BG38" s="53"/>
      <c r="BH38" s="56">
        <f t="shared" si="34"/>
        <v>0</v>
      </c>
      <c r="BI38" s="56">
        <f t="shared" si="35"/>
        <v>0</v>
      </c>
      <c r="BJ38" s="252"/>
      <c r="BK38" s="252"/>
      <c r="BL38" s="252">
        <f t="shared" si="36"/>
        <v>0</v>
      </c>
      <c r="BM38" s="252"/>
      <c r="BN38" s="252"/>
      <c r="BO38" s="252">
        <f t="shared" si="37"/>
        <v>0</v>
      </c>
      <c r="BP38" s="56">
        <f t="shared" si="38"/>
        <v>0</v>
      </c>
      <c r="BQ38" s="252"/>
      <c r="BR38" s="252"/>
      <c r="BS38" s="59">
        <f t="shared" si="39"/>
        <v>0</v>
      </c>
      <c r="BT38" s="252"/>
      <c r="BU38" s="252"/>
      <c r="BV38" s="59">
        <f t="shared" si="40"/>
        <v>0</v>
      </c>
      <c r="BW38" s="56">
        <f t="shared" si="41"/>
        <v>0</v>
      </c>
      <c r="BX38" s="56"/>
      <c r="BY38" s="56"/>
      <c r="BZ38" s="56"/>
      <c r="CA38" s="56"/>
      <c r="CB38" s="56"/>
      <c r="CC38" s="56"/>
      <c r="CD38" s="56"/>
      <c r="CE38" s="238"/>
      <c r="CF38" s="241"/>
      <c r="CG38" s="241"/>
      <c r="CH38" s="241"/>
      <c r="CI38" s="241"/>
      <c r="CJ38" s="241"/>
      <c r="CK38" s="241"/>
      <c r="CL38" s="241"/>
      <c r="CM38" s="241"/>
      <c r="CN38" s="241"/>
      <c r="CO38" s="241"/>
      <c r="CP38" s="241"/>
      <c r="CQ38" s="241"/>
      <c r="CR38" s="241"/>
      <c r="CS38" s="241"/>
      <c r="CT38" s="241"/>
      <c r="CU38" s="238">
        <f t="shared" si="8"/>
        <v>0</v>
      </c>
      <c r="CV38" s="238">
        <f t="shared" si="9"/>
        <v>0</v>
      </c>
      <c r="CW38" s="238">
        <f t="shared" si="49"/>
        <v>0</v>
      </c>
      <c r="CX38" s="238">
        <f t="shared" si="50"/>
        <v>0</v>
      </c>
      <c r="CY38" s="238">
        <f t="shared" si="10"/>
        <v>0</v>
      </c>
      <c r="CZ38" s="238">
        <f t="shared" si="11"/>
        <v>0</v>
      </c>
      <c r="DA38" s="238">
        <f t="shared" si="51"/>
        <v>0</v>
      </c>
      <c r="DB38" s="238">
        <f t="shared" si="52"/>
        <v>0</v>
      </c>
      <c r="DC38" s="53">
        <v>1282.3800000000001</v>
      </c>
      <c r="DD38" s="53">
        <v>0</v>
      </c>
      <c r="DE38" s="56">
        <f t="shared" si="53"/>
        <v>1282.3800000000001</v>
      </c>
      <c r="DF38" s="53">
        <v>0</v>
      </c>
      <c r="DG38" s="53">
        <v>0</v>
      </c>
      <c r="DH38" s="56">
        <f t="shared" si="54"/>
        <v>0</v>
      </c>
      <c r="DI38" s="56">
        <f t="shared" si="55"/>
        <v>1282.3800000000001</v>
      </c>
      <c r="DJ38" s="252">
        <v>6</v>
      </c>
      <c r="DK38" s="252">
        <v>0</v>
      </c>
      <c r="DL38" s="56">
        <f t="shared" si="56"/>
        <v>6</v>
      </c>
      <c r="DM38" s="252">
        <v>0</v>
      </c>
      <c r="DN38" s="252">
        <v>0</v>
      </c>
      <c r="DO38" s="56">
        <f t="shared" si="57"/>
        <v>0</v>
      </c>
      <c r="DP38" s="56">
        <f t="shared" si="58"/>
        <v>6</v>
      </c>
      <c r="DQ38" s="252">
        <v>75</v>
      </c>
      <c r="DR38" s="252">
        <v>0</v>
      </c>
      <c r="DS38" s="56">
        <f t="shared" si="59"/>
        <v>75</v>
      </c>
      <c r="DT38" s="252">
        <v>0</v>
      </c>
      <c r="DU38" s="252">
        <v>0</v>
      </c>
      <c r="DV38" s="56">
        <f t="shared" si="60"/>
        <v>0</v>
      </c>
      <c r="DW38" s="59">
        <f t="shared" si="61"/>
        <v>75</v>
      </c>
      <c r="DX38" s="56">
        <f t="shared" si="62"/>
        <v>213.73000000000002</v>
      </c>
      <c r="DY38" s="56"/>
      <c r="DZ38" s="56">
        <f t="shared" si="64"/>
        <v>213.73000000000002</v>
      </c>
      <c r="EA38" s="56"/>
      <c r="EB38" s="56"/>
      <c r="EC38" s="56"/>
      <c r="ED38" s="56">
        <f t="shared" si="84"/>
        <v>213.73000000000002</v>
      </c>
      <c r="EE38" s="273"/>
      <c r="EF38" s="274"/>
      <c r="EG38" s="274"/>
      <c r="EH38" s="274"/>
      <c r="EI38" s="274"/>
      <c r="EJ38" s="274"/>
      <c r="EK38" s="274"/>
      <c r="EL38" s="274"/>
      <c r="EM38" s="274"/>
      <c r="EN38" s="274"/>
      <c r="EO38" s="274"/>
      <c r="EP38" s="274"/>
      <c r="EQ38" s="274"/>
      <c r="ER38" s="274"/>
      <c r="ES38" s="274"/>
      <c r="ET38" s="274"/>
      <c r="EU38" s="273">
        <f t="shared" si="16"/>
        <v>213.73000000000002</v>
      </c>
      <c r="EV38" s="273">
        <f t="shared" si="17"/>
        <v>213.73000000000002</v>
      </c>
      <c r="EW38" s="273">
        <f t="shared" si="18"/>
        <v>0</v>
      </c>
      <c r="EX38" s="273">
        <f t="shared" si="68"/>
        <v>213.73000000000002</v>
      </c>
      <c r="EY38" s="273">
        <f t="shared" si="19"/>
        <v>1282.3800000000001</v>
      </c>
      <c r="EZ38" s="273">
        <f t="shared" si="20"/>
        <v>1282.3800000000001</v>
      </c>
      <c r="FA38" s="273">
        <f t="shared" si="69"/>
        <v>0</v>
      </c>
      <c r="FB38" s="273">
        <f t="shared" si="70"/>
        <v>1282.3800000000001</v>
      </c>
      <c r="FC38" s="79"/>
      <c r="FD38" s="79"/>
      <c r="FE38" s="79"/>
      <c r="FF38" s="79"/>
      <c r="FG38" s="47"/>
      <c r="FH38" s="47"/>
      <c r="FI38" s="47"/>
      <c r="FJ38" s="47"/>
    </row>
    <row r="39" spans="1:166" s="260" customFormat="1" ht="57.6" x14ac:dyDescent="0.3">
      <c r="A39" s="61"/>
      <c r="B39" s="286" t="s">
        <v>116</v>
      </c>
      <c r="C39" s="56">
        <f>C13+C16+C17+C18+C19+C20+C21+C22+C23+C24+C26+C27+C28+C29+C30+C31</f>
        <v>46303479.099999994</v>
      </c>
      <c r="D39" s="56"/>
      <c r="E39" s="285">
        <f>E13+E16+E17+E18+E19+E20+E21+E22+E23+E24+E26+E27+E28+E29+E30+E31+E33</f>
        <v>53517370.369999997</v>
      </c>
      <c r="F39" s="56"/>
      <c r="G39" s="56"/>
      <c r="H39" s="285">
        <f>H13+H14+H23+H25+H27+H30</f>
        <v>3975319.9600000004</v>
      </c>
      <c r="I39" s="285">
        <f>I13+I14+I16+I17+I18+I19+I20+I21+I22+I23+I24+I26+I27+I28+I30+I31+I33</f>
        <v>79747342.899999991</v>
      </c>
      <c r="J39" s="287">
        <f>J13+J16+J17+J18+J19+J20+J21+J22+J23+J24+J26+J27+J28+J29+J30+J31</f>
        <v>4566</v>
      </c>
      <c r="K39" s="59"/>
      <c r="L39" s="288">
        <f>L13+L16+L17+L18+L19+L20+L21+L22+L23+L24+L26+L27+L28+L29+L30+L31+L33</f>
        <v>5016</v>
      </c>
      <c r="M39" s="59"/>
      <c r="N39" s="284"/>
      <c r="O39" s="288">
        <f>O13+O14+O23+O25+O27+O30</f>
        <v>222</v>
      </c>
      <c r="P39" s="288">
        <f>P13+P14+P16+P17+P18+P19+P20+P21+P22+P23+P24+P26+P27+P28+P30+P31+P33</f>
        <v>5908</v>
      </c>
      <c r="Q39" s="287">
        <f>Q13+Q16+Q17+Q18+Q19+Q20+Q21+Q22+Q23+Q24+Q26+Q27+Q28+Q29+Q30+Q31</f>
        <v>61745.008000000002</v>
      </c>
      <c r="R39" s="59"/>
      <c r="S39" s="288">
        <f>S13+S16+S17+S18+S19+S20+S21+S22+S23+S24+S26+S27+S28+S29+S30+S31+S33</f>
        <v>80576.178</v>
      </c>
      <c r="T39" s="59"/>
      <c r="U39" s="59"/>
      <c r="V39" s="288">
        <f>V13+V14+V23+V25+V27+V30</f>
        <v>112126.04</v>
      </c>
      <c r="W39" s="288">
        <f>W13+W14+W16+W17+W18+W19+W20+W21+W22+W23+W24+W26+W27+W28+W30+W31+W33</f>
        <v>217607.378</v>
      </c>
      <c r="X39" s="630" t="s">
        <v>115</v>
      </c>
      <c r="Y39" s="631"/>
      <c r="Z39" s="631"/>
      <c r="AA39" s="631"/>
      <c r="AB39" s="631"/>
      <c r="AC39" s="631"/>
      <c r="AD39" s="632"/>
      <c r="AE39" s="269"/>
      <c r="AF39" s="270"/>
      <c r="AG39" s="269"/>
      <c r="AH39" s="269"/>
      <c r="AI39" s="269"/>
      <c r="AJ39" s="269"/>
      <c r="AK39" s="270"/>
      <c r="AL39" s="270"/>
      <c r="AM39" s="270"/>
      <c r="AN39" s="267"/>
      <c r="AO39" s="267"/>
      <c r="AP39" s="267"/>
      <c r="AQ39" s="267"/>
      <c r="AR39" s="267"/>
      <c r="AS39" s="267"/>
      <c r="AT39" s="267"/>
      <c r="AU39" s="267"/>
      <c r="AV39" s="269"/>
      <c r="AW39" s="269"/>
      <c r="AX39" s="269"/>
      <c r="AY39" s="287">
        <f>AY13+AY16+AY17+AY18+AY19+AY20+AY21+AY22+AY23+AY24+AY26+AY27+AY28+AY29+AY30+AY31</f>
        <v>46303479.099999994</v>
      </c>
      <c r="AZ39" s="288">
        <f>AZ13+AZ16+AZ17+AZ18+AZ19+AZ20+AZ21+AZ22+AZ23+AZ24+AZ26+AZ27+AZ28+AZ29+AZ30+AZ31+AZ33</f>
        <v>53517370.369999997</v>
      </c>
      <c r="BA39" s="288">
        <f>BA13+BA14+BA23+BA25+BA27+BA30</f>
        <v>3975319.9600000004</v>
      </c>
      <c r="BB39" s="288">
        <f>BB13+BB14+BB16+BB17+BB18+BB19+BB20+BB21+BB22+BB23+BB24+BB26+BB27+BB28+BB30+BB31+BB33</f>
        <v>59532553.699999988</v>
      </c>
      <c r="BC39" s="56">
        <f>BC13+BC17+BC18+BC19+BC20+BC21+BC22+BC23+BC24+BC26+BC27+BC28+BC30+BC31+BC35</f>
        <v>43145877.520000011</v>
      </c>
      <c r="BD39" s="56"/>
      <c r="BE39" s="285">
        <f>BE13+BE17+BE19+BE20+BE22+BE23+BE25+BE26+BE27+BE28+BE30+BE31</f>
        <v>54442334.840000011</v>
      </c>
      <c r="BF39" s="56"/>
      <c r="BG39" s="56"/>
      <c r="BH39" s="285">
        <f>BH13+BH14+BH15+BH16+BH21+BH23+BH24+BH25+BH26+BH27+BH30+BH33</f>
        <v>5882639.0500000007</v>
      </c>
      <c r="BI39" s="285">
        <f>BI13+BI17+BI19+BI20+BI22+BI23+BI24+BI25+BI26+BI27+BI28+BI30+BI31+BI35</f>
        <v>60761076.710000016</v>
      </c>
      <c r="BJ39" s="287">
        <f>BJ13+BJ17+BJ18+BJ19+BJ20+BJ21+BJ22+BJ23+BJ24+BJ26+BJ27+BJ28+BJ30+BJ31+BJ35</f>
        <v>4321</v>
      </c>
      <c r="BK39" s="59"/>
      <c r="BL39" s="288">
        <f>BL13+BL17+BL19+BL20+BL22+BL23+BL25+BL26+BL27+BL28+BL30+BL31</f>
        <v>4802</v>
      </c>
      <c r="BM39" s="59"/>
      <c r="BN39" s="59"/>
      <c r="BO39" s="288">
        <f>BO13+BO14+BO15+BO16+BO21+BO23+BO24+BO25+BO26+BO27+BO30+BO33</f>
        <v>378</v>
      </c>
      <c r="BP39" s="288">
        <f>BP13+BP17+BP19+BP20+BP22+BP23+BP24+BP25+BP26+BP27+BP28+BP30+BP31+BP35</f>
        <v>5228</v>
      </c>
      <c r="BQ39" s="287">
        <f>BQ13+BQ17+BQ18+BQ19+BQ20+BQ21+BQ22+BQ23+BQ24+BQ26+BQ27+BQ28+BQ30+BQ31+BQ35</f>
        <v>56306.8</v>
      </c>
      <c r="BR39" s="59"/>
      <c r="BS39" s="288">
        <f>BS13+BS17+BS19+BS20+BS22+BS23+BS25+BS26+BS27+BS28+BS30+BS31</f>
        <v>82972.124999999985</v>
      </c>
      <c r="BT39" s="59"/>
      <c r="BU39" s="59"/>
      <c r="BV39" s="288">
        <f>BV13+BV14+BV15+BV16+BV21+BV23+BV24+BV25+BV26+BV27+BV30+BV33</f>
        <v>188654.5</v>
      </c>
      <c r="BW39" s="288">
        <f>BW13+BW17+BW19+BW20+BW22+BW23+BW24+BW25+BW26+BW27+BW28+BW30+BW31+BW35</f>
        <v>214549.12500000003</v>
      </c>
      <c r="BX39" s="630" t="s">
        <v>115</v>
      </c>
      <c r="BY39" s="631"/>
      <c r="BZ39" s="631"/>
      <c r="CA39" s="631"/>
      <c r="CB39" s="631"/>
      <c r="CC39" s="631"/>
      <c r="CD39" s="632"/>
      <c r="CE39" s="238"/>
      <c r="CF39" s="241"/>
      <c r="CG39" s="241"/>
      <c r="CH39" s="241"/>
      <c r="CI39" s="241"/>
      <c r="CJ39" s="241"/>
      <c r="CK39" s="241"/>
      <c r="CL39" s="241"/>
      <c r="CM39" s="241"/>
      <c r="CN39" s="241"/>
      <c r="CO39" s="241"/>
      <c r="CP39" s="241"/>
      <c r="CQ39" s="241"/>
      <c r="CR39" s="241"/>
      <c r="CS39" s="241"/>
      <c r="CT39" s="241"/>
      <c r="CU39" s="241"/>
      <c r="CV39" s="238"/>
      <c r="CW39" s="238"/>
      <c r="CX39" s="238"/>
      <c r="CY39" s="287">
        <f>CY13+CY17+CY18+CY19+CY20+CY21+CY22+CY23+CY24+CY26+CY27+CY28+CY30+CY31+CY35</f>
        <v>43145877.520000011</v>
      </c>
      <c r="CZ39" s="288">
        <f>CZ13+CZ17+CZ19+CZ20+CZ22+CZ23+CZ25+CZ26+CZ27+CZ28+CZ30+CZ31</f>
        <v>54442334.840000011</v>
      </c>
      <c r="DA39" s="288">
        <f>DA13+DA14+DA15+DA16+DA21+DA23+DA24+DA25+DA26+DA27+DA30+DA33</f>
        <v>5882639.0499999998</v>
      </c>
      <c r="DB39" s="288">
        <f>DB13+DB17+DB19+DB20+DB22+DB23+DB24+DB25+DB26+DB27+DB28+DB30+DB31+DB35</f>
        <v>60761076.710000016</v>
      </c>
      <c r="DC39" s="56">
        <f>DC13+DC16+DC17+DC18+DC19+DC20+DC21+DC22+DC23+DC24+DC26+DC27+DC28+DC29+DC30+DC31+DC32+DC33+DC35+DC38</f>
        <v>56344226.019999996</v>
      </c>
      <c r="DD39" s="56"/>
      <c r="DE39" s="285">
        <f>DE13+DE16+DE17+DE18+DE19+DE20+DE21+DE22+DE23+DE24+DE26+DE27+DE28+DE29+DE30+DE31+DE32+DE33+DE35+DE38</f>
        <v>64044268.25</v>
      </c>
      <c r="DF39" s="56"/>
      <c r="DG39" s="56"/>
      <c r="DH39" s="285">
        <f>DH13+DH14+DH16+DH23+DH25+DH27+DH30</f>
        <v>5530158.7600000007</v>
      </c>
      <c r="DI39" s="285">
        <f>DI13+DI16+DI17+DI18+DI19+DI20+DI21+DI22+DI23+DI24+DI26+DI27+DI28+DI29+DI30+DI31+DI32+DI33+DI35+DI38</f>
        <v>70020780.149999991</v>
      </c>
      <c r="DJ39" s="287">
        <f>DJ13+DJ16+DJ17+DJ18+DJ19+DJ20+DJ21+DJ22+DJ23+DJ24+DJ26+DJ27+DJ28+DJ29+DJ30+DJ31+DJ32+DJ33+DJ35+DJ38</f>
        <v>4984</v>
      </c>
      <c r="DK39" s="59"/>
      <c r="DL39" s="288">
        <f>DL13+DL16+DL17+DL18+DL19+DL20+DL21+DL22+DL23+DL24+DL26+DL27+DL28+DL29+DL30+DL31+DL32+DL33+DL35+DL38</f>
        <v>5404</v>
      </c>
      <c r="DM39" s="59"/>
      <c r="DN39" s="59"/>
      <c r="DO39" s="288">
        <f>DO13+DO14+DO16+DO23+DO25+DO27+DO30</f>
        <v>270</v>
      </c>
      <c r="DP39" s="288">
        <f>DP13+DP16+DP17+DP18+DP19+DP20+DP21+DP22+DP23+DP24+DP26+DP27+DP28+DP29+DP30+DP31+DP32+DP33+DP35+DP38</f>
        <v>5618</v>
      </c>
      <c r="DQ39" s="287">
        <f>DQ13+DQ16+DQ17+DQ18+DQ19+DQ20+DQ21+DQ22+DQ23+DQ24+DQ26+DQ27+DQ28+DQ29+DQ30+DQ31+DQ32+DQ33+DQ35+DQ38</f>
        <v>69854.364999999991</v>
      </c>
      <c r="DR39" s="59"/>
      <c r="DS39" s="288">
        <f>DS13+DS16+DS17+DS18+DS19+DS20+DS21+DS22+DS23+DS24+DS26+DS27+DS28+DS29+DS30+DS31+DS32+DS33+DS35+DS38</f>
        <v>89175.154999999999</v>
      </c>
      <c r="DT39" s="59"/>
      <c r="DU39" s="59"/>
      <c r="DV39" s="288">
        <f>DV13+DV14+DV16+DV23+DV25+DV27+DV30</f>
        <v>106416.04</v>
      </c>
      <c r="DW39" s="288">
        <f>DW13+DW16+DW17+DW18+DW19+DW20+DW21+DW22+DW23+DW24+DW26+DW27+DW28+DW29+DW30+DW31+DW32+DW33+DW35+DW38</f>
        <v>173424.19500000001</v>
      </c>
      <c r="DX39" s="630" t="s">
        <v>115</v>
      </c>
      <c r="DY39" s="631"/>
      <c r="DZ39" s="631"/>
      <c r="EA39" s="631"/>
      <c r="EB39" s="631"/>
      <c r="EC39" s="631"/>
      <c r="ED39" s="632"/>
      <c r="EE39" s="273"/>
      <c r="EF39" s="274"/>
      <c r="EG39" s="274"/>
      <c r="EH39" s="274"/>
      <c r="EI39" s="274"/>
      <c r="EJ39" s="274"/>
      <c r="EK39" s="274"/>
      <c r="EL39" s="274"/>
      <c r="EM39" s="274"/>
      <c r="EN39" s="274"/>
      <c r="EO39" s="274"/>
      <c r="EP39" s="274"/>
      <c r="EQ39" s="274"/>
      <c r="ER39" s="274"/>
      <c r="ES39" s="274"/>
      <c r="ET39" s="274"/>
      <c r="EU39" s="274"/>
      <c r="EV39" s="273"/>
      <c r="EW39" s="273"/>
      <c r="EX39" s="273"/>
      <c r="EY39" s="287">
        <f>EY13+EY16+EY17+EY18+EY19+EY20+EY21+EY22+EY23+EY24+EY26+EY27+EY28+EY29+EY30+EY31+EY32+EY33+EY35+EY38</f>
        <v>56344226.019999996</v>
      </c>
      <c r="EZ39" s="288">
        <f>EZ13+EZ16+EZ17+EZ18+EZ19+EZ20+EZ21+EZ22+EZ23+EZ24+EZ26+EZ27+EZ28+EZ29+EZ30+EZ31+EZ32+EZ33+EZ35+EZ38</f>
        <v>64044268.25</v>
      </c>
      <c r="FA39" s="288">
        <f>FA13+FA14+FA16+FA23+FA25+FA27+FA30</f>
        <v>5530158.7600000007</v>
      </c>
      <c r="FB39" s="288">
        <f>FB13+FB16+FB17+FB18+FB19+FB20+FB21+FB22+FB23+FB24+FB26+FB27+FB28+FB29+FB30+FB31+FB32+FB33+FB35+FB38</f>
        <v>70020780.149999991</v>
      </c>
      <c r="FC39" s="56"/>
      <c r="FD39" s="230"/>
      <c r="FE39" s="230"/>
      <c r="FF39" s="230"/>
      <c r="FG39" s="230"/>
      <c r="FH39" s="230"/>
      <c r="FI39" s="230"/>
      <c r="FJ39" s="230"/>
    </row>
    <row r="40" spans="1:166" s="260" customFormat="1" ht="115.2" x14ac:dyDescent="0.3">
      <c r="A40" s="149"/>
      <c r="B40" s="146"/>
      <c r="C40" s="147" t="s">
        <v>118</v>
      </c>
      <c r="D40" s="147"/>
      <c r="E40" s="147" t="s">
        <v>118</v>
      </c>
      <c r="F40" s="147"/>
      <c r="G40" s="147"/>
      <c r="H40" s="147" t="s">
        <v>118</v>
      </c>
      <c r="I40" s="147" t="s">
        <v>118</v>
      </c>
      <c r="J40" s="296" t="s">
        <v>116</v>
      </c>
      <c r="K40" s="148"/>
      <c r="L40" s="296" t="s">
        <v>116</v>
      </c>
      <c r="M40" s="148"/>
      <c r="N40" s="254"/>
      <c r="O40" s="296" t="s">
        <v>116</v>
      </c>
      <c r="P40" s="296" t="s">
        <v>116</v>
      </c>
      <c r="Q40" s="296" t="s">
        <v>116</v>
      </c>
      <c r="R40" s="148"/>
      <c r="S40" s="296" t="s">
        <v>116</v>
      </c>
      <c r="T40" s="148"/>
      <c r="U40" s="148"/>
      <c r="V40" s="296" t="s">
        <v>116</v>
      </c>
      <c r="W40" s="296" t="s">
        <v>116</v>
      </c>
      <c r="X40" s="147"/>
      <c r="Y40" s="149"/>
      <c r="Z40" s="149"/>
      <c r="AA40" s="149"/>
      <c r="AB40" s="149"/>
      <c r="AC40" s="149"/>
      <c r="AD40" s="149"/>
      <c r="AE40" s="280"/>
      <c r="AF40" s="281"/>
      <c r="AG40" s="280"/>
      <c r="AH40" s="280"/>
      <c r="AI40" s="280"/>
      <c r="AJ40" s="280"/>
      <c r="AK40" s="281"/>
      <c r="AL40" s="281"/>
      <c r="AM40" s="281"/>
      <c r="AN40" s="282"/>
      <c r="AO40" s="282"/>
      <c r="AP40" s="282"/>
      <c r="AQ40" s="282"/>
      <c r="AR40" s="282"/>
      <c r="AS40" s="282"/>
      <c r="AT40" s="282"/>
      <c r="AU40" s="282"/>
      <c r="AV40" s="280"/>
      <c r="AW40" s="280"/>
      <c r="AX40" s="269" t="s">
        <v>125</v>
      </c>
      <c r="AY40" s="663" t="s">
        <v>117</v>
      </c>
      <c r="AZ40" s="664"/>
      <c r="BA40" s="664"/>
      <c r="BB40" s="665"/>
      <c r="BC40" s="147" t="s">
        <v>118</v>
      </c>
      <c r="BD40" s="147"/>
      <c r="BE40" s="147" t="s">
        <v>118</v>
      </c>
      <c r="BF40" s="147"/>
      <c r="BG40" s="147"/>
      <c r="BH40" s="147" t="s">
        <v>118</v>
      </c>
      <c r="BI40" s="147" t="s">
        <v>118</v>
      </c>
      <c r="BJ40" s="296" t="s">
        <v>116</v>
      </c>
      <c r="BK40" s="148"/>
      <c r="BL40" s="296" t="s">
        <v>116</v>
      </c>
      <c r="BN40" s="148"/>
      <c r="BO40" s="296" t="s">
        <v>116</v>
      </c>
      <c r="BP40" s="296" t="s">
        <v>116</v>
      </c>
      <c r="BQ40" s="296" t="s">
        <v>116</v>
      </c>
      <c r="BR40" s="148"/>
      <c r="BS40" s="296" t="s">
        <v>116</v>
      </c>
      <c r="BT40" s="148"/>
      <c r="BU40" s="148"/>
      <c r="BV40" s="296" t="s">
        <v>116</v>
      </c>
      <c r="BW40" s="296" t="s">
        <v>116</v>
      </c>
      <c r="BX40" s="147"/>
      <c r="BY40" s="149"/>
      <c r="BZ40" s="149"/>
      <c r="CA40" s="149"/>
      <c r="CB40" s="149"/>
      <c r="CC40" s="149"/>
      <c r="CD40" s="149"/>
      <c r="CE40" s="262"/>
      <c r="CF40" s="278"/>
      <c r="CG40" s="278"/>
      <c r="CH40" s="278"/>
      <c r="CI40" s="278"/>
      <c r="CJ40" s="278"/>
      <c r="CK40" s="278"/>
      <c r="CL40" s="278"/>
      <c r="CM40" s="278"/>
      <c r="CN40" s="278"/>
      <c r="CO40" s="278"/>
      <c r="CP40" s="278"/>
      <c r="CQ40" s="278"/>
      <c r="CR40" s="278"/>
      <c r="CS40" s="278"/>
      <c r="CT40" s="278"/>
      <c r="CU40" s="278"/>
      <c r="CV40" s="262"/>
      <c r="CW40" s="262"/>
      <c r="CX40" s="238" t="s">
        <v>124</v>
      </c>
      <c r="CY40" s="630" t="s">
        <v>117</v>
      </c>
      <c r="CZ40" s="631"/>
      <c r="DA40" s="631"/>
      <c r="DB40" s="636"/>
      <c r="DC40" s="147" t="s">
        <v>118</v>
      </c>
      <c r="DD40" s="147"/>
      <c r="DE40" s="147" t="s">
        <v>118</v>
      </c>
      <c r="DF40" s="147"/>
      <c r="DG40" s="147"/>
      <c r="DH40" s="147" t="s">
        <v>118</v>
      </c>
      <c r="DI40" s="147" t="s">
        <v>118</v>
      </c>
      <c r="DJ40" s="296" t="s">
        <v>116</v>
      </c>
      <c r="DK40" s="148"/>
      <c r="DL40" s="296" t="s">
        <v>116</v>
      </c>
      <c r="DM40" s="148"/>
      <c r="DN40" s="148"/>
      <c r="DO40" s="296" t="s">
        <v>116</v>
      </c>
      <c r="DP40" s="296" t="s">
        <v>116</v>
      </c>
      <c r="DQ40" s="296" t="s">
        <v>116</v>
      </c>
      <c r="DR40" s="148"/>
      <c r="DS40" s="296" t="s">
        <v>116</v>
      </c>
      <c r="DT40" s="148"/>
      <c r="DU40" s="148"/>
      <c r="DV40" s="296" t="s">
        <v>116</v>
      </c>
      <c r="DW40" s="296" t="s">
        <v>116</v>
      </c>
      <c r="DX40" s="147"/>
      <c r="DY40" s="149"/>
      <c r="DZ40" s="149"/>
      <c r="EA40" s="149"/>
      <c r="EB40" s="149"/>
      <c r="EC40" s="149"/>
      <c r="ED40" s="149"/>
      <c r="EE40" s="275"/>
      <c r="EF40" s="276"/>
      <c r="EG40" s="276"/>
      <c r="EH40" s="276"/>
      <c r="EI40" s="276"/>
      <c r="EJ40" s="276"/>
      <c r="EK40" s="276"/>
      <c r="EL40" s="276"/>
      <c r="EM40" s="276"/>
      <c r="EN40" s="276"/>
      <c r="EO40" s="276"/>
      <c r="EP40" s="276"/>
      <c r="EQ40" s="276"/>
      <c r="ER40" s="276"/>
      <c r="ES40" s="276"/>
      <c r="ET40" s="276"/>
      <c r="EU40" s="276"/>
      <c r="EV40" s="275"/>
      <c r="EW40" s="275"/>
      <c r="EX40" s="299" t="s">
        <v>125</v>
      </c>
      <c r="EY40" s="648" t="s">
        <v>117</v>
      </c>
      <c r="EZ40" s="631"/>
      <c r="FA40" s="631"/>
      <c r="FB40" s="636"/>
      <c r="FC40" s="646" t="s">
        <v>127</v>
      </c>
      <c r="FD40" s="647"/>
      <c r="FE40" s="647"/>
      <c r="FF40" s="302"/>
      <c r="FG40" s="646" t="s">
        <v>129</v>
      </c>
      <c r="FH40" s="647"/>
      <c r="FI40" s="647"/>
      <c r="FJ40" s="647"/>
    </row>
    <row r="41" spans="1:166" s="260" customFormat="1" ht="74.25" customHeight="1" x14ac:dyDescent="0.3">
      <c r="A41" s="149"/>
      <c r="B41" s="146"/>
      <c r="C41" s="147"/>
      <c r="D41" s="147"/>
      <c r="E41" s="147"/>
      <c r="F41" s="147"/>
      <c r="G41" s="147"/>
      <c r="H41" s="147"/>
      <c r="I41" s="56" t="s">
        <v>132</v>
      </c>
      <c r="J41" s="59">
        <f>SUM(J13:J38)</f>
        <v>5598</v>
      </c>
      <c r="K41" s="59"/>
      <c r="L41" s="59">
        <f>SUM(L13:L38)</f>
        <v>6327</v>
      </c>
      <c r="M41" s="59"/>
      <c r="N41" s="59"/>
      <c r="O41" s="59">
        <f>SUM(O13:O38)</f>
        <v>248</v>
      </c>
      <c r="P41" s="59">
        <f>SUM(P13:P38)</f>
        <v>6575</v>
      </c>
      <c r="Q41" s="59">
        <f>SUM(Q13:Q38)</f>
        <v>75796.097999999998</v>
      </c>
      <c r="R41" s="59"/>
      <c r="S41" s="59">
        <f>SUM(S13:S38)</f>
        <v>113799.16800000001</v>
      </c>
      <c r="T41" s="59"/>
      <c r="U41" s="59"/>
      <c r="V41" s="59">
        <f>SUM(V13:V38)</f>
        <v>122991.03999999999</v>
      </c>
      <c r="W41" s="59">
        <f>SUM(W13:W38)</f>
        <v>236790.20799999998</v>
      </c>
      <c r="X41" s="147"/>
      <c r="Y41" s="147"/>
      <c r="Z41" s="147"/>
      <c r="AA41" s="147"/>
      <c r="AB41" s="147"/>
      <c r="AC41" s="147"/>
      <c r="AD41" s="147"/>
      <c r="AE41" s="280"/>
      <c r="AF41" s="281"/>
      <c r="AG41" s="280"/>
      <c r="AH41" s="280"/>
      <c r="AI41" s="280"/>
      <c r="AJ41" s="280"/>
      <c r="AK41" s="281"/>
      <c r="AL41" s="281"/>
      <c r="AM41" s="281"/>
      <c r="AN41" s="282"/>
      <c r="AO41" s="282"/>
      <c r="AP41" s="282"/>
      <c r="AQ41" s="282"/>
      <c r="AR41" s="282"/>
      <c r="AS41" s="282"/>
      <c r="AT41" s="282"/>
      <c r="AU41" s="282"/>
      <c r="AV41" s="280"/>
      <c r="AW41" s="280"/>
      <c r="AX41" s="269" t="s">
        <v>119</v>
      </c>
      <c r="AY41" s="269">
        <f>AY39/J39</f>
        <v>10140.928405606657</v>
      </c>
      <c r="AZ41" s="269">
        <f>AZ39/L39</f>
        <v>10669.332210925038</v>
      </c>
      <c r="BA41" s="269">
        <f>BA39/O39</f>
        <v>17906.846666666668</v>
      </c>
      <c r="BB41" s="269">
        <f>BB39/P39</f>
        <v>10076.600152335814</v>
      </c>
      <c r="BC41" s="147"/>
      <c r="BD41" s="147"/>
      <c r="BE41" s="147"/>
      <c r="BF41" s="147"/>
      <c r="BG41" s="147"/>
      <c r="BH41" s="147"/>
      <c r="BI41" s="56" t="s">
        <v>132</v>
      </c>
      <c r="BJ41" s="59">
        <f>SUM(BJ13:BJ38)</f>
        <v>5802</v>
      </c>
      <c r="BK41" s="59"/>
      <c r="BL41" s="59">
        <f>SUM(BL13:BL38)</f>
        <v>6643</v>
      </c>
      <c r="BM41" s="59"/>
      <c r="BN41" s="59"/>
      <c r="BO41" s="59">
        <f>SUM(BO13:BO38)</f>
        <v>394</v>
      </c>
      <c r="BP41" s="59">
        <f>SUM(BP13:BP38)</f>
        <v>7037</v>
      </c>
      <c r="BQ41" s="59">
        <f>SUM(BQ13:BQ38)</f>
        <v>78165.350000000006</v>
      </c>
      <c r="BR41" s="59"/>
      <c r="BS41" s="59">
        <f>SUM(BS13:BS38)</f>
        <v>126119.08999999998</v>
      </c>
      <c r="BT41" s="59"/>
      <c r="BU41" s="59"/>
      <c r="BV41" s="59">
        <f>SUM(BV13:BV38)</f>
        <v>193586.5</v>
      </c>
      <c r="BW41" s="59">
        <f>SUM(BW13:BW38)</f>
        <v>319705.58999999997</v>
      </c>
      <c r="BX41" s="147"/>
      <c r="BY41" s="147"/>
      <c r="BZ41" s="147"/>
      <c r="CA41" s="147"/>
      <c r="CB41" s="147"/>
      <c r="CC41" s="147"/>
      <c r="CD41" s="147"/>
      <c r="CE41" s="262"/>
      <c r="CF41" s="278"/>
      <c r="CG41" s="278"/>
      <c r="CH41" s="278"/>
      <c r="CI41" s="278"/>
      <c r="CJ41" s="278"/>
      <c r="CK41" s="278"/>
      <c r="CL41" s="278"/>
      <c r="CM41" s="278"/>
      <c r="CN41" s="278"/>
      <c r="CO41" s="278"/>
      <c r="CP41" s="278"/>
      <c r="CQ41" s="278"/>
      <c r="CR41" s="278"/>
      <c r="CS41" s="278"/>
      <c r="CT41" s="278"/>
      <c r="CU41" s="278"/>
      <c r="CV41" s="262"/>
      <c r="CW41" s="262"/>
      <c r="CX41" s="238" t="s">
        <v>119</v>
      </c>
      <c r="CY41" s="238">
        <f>CY39/BJ39</f>
        <v>9985.1602684563786</v>
      </c>
      <c r="CZ41" s="238">
        <f>CZ39/BL39</f>
        <v>11337.429162848815</v>
      </c>
      <c r="DA41" s="238">
        <f>DA39/BO39</f>
        <v>15562.537169312169</v>
      </c>
      <c r="DB41" s="238">
        <f>DB39/BP39</f>
        <v>11622.241145753638</v>
      </c>
      <c r="DC41" s="147"/>
      <c r="DD41" s="147"/>
      <c r="DE41" s="147"/>
      <c r="DF41" s="147"/>
      <c r="DG41" s="147"/>
      <c r="DH41" s="147"/>
      <c r="DI41" s="56" t="s">
        <v>132</v>
      </c>
      <c r="DJ41" s="59">
        <f>SUM(DJ13:DJ38)</f>
        <v>5889</v>
      </c>
      <c r="DK41" s="59"/>
      <c r="DL41" s="59">
        <f>SUM(DL13:DL38)</f>
        <v>6557</v>
      </c>
      <c r="DM41" s="59"/>
      <c r="DN41" s="59"/>
      <c r="DO41" s="59">
        <f>SUM(DO13:DO38)</f>
        <v>290</v>
      </c>
      <c r="DP41" s="59">
        <f>SUM(DP13:DP38)</f>
        <v>6847</v>
      </c>
      <c r="DQ41" s="59">
        <f>SUM(DQ13:DQ38)</f>
        <v>78955.464999999997</v>
      </c>
      <c r="DR41" s="59"/>
      <c r="DS41" s="59">
        <f>SUM(DS13:DS38)</f>
        <v>118074.55499999998</v>
      </c>
      <c r="DT41" s="59"/>
      <c r="DU41" s="59"/>
      <c r="DV41" s="59">
        <f>SUM(DV13:DV38)</f>
        <v>112086.04</v>
      </c>
      <c r="DW41" s="59">
        <f>SUM(DW13:DW38)</f>
        <v>230160.59500000003</v>
      </c>
      <c r="DX41" s="147"/>
      <c r="DY41" s="147"/>
      <c r="DZ41" s="147"/>
      <c r="EA41" s="147"/>
      <c r="EB41" s="147"/>
      <c r="EC41" s="147"/>
      <c r="ED41" s="147"/>
      <c r="EE41" s="275"/>
      <c r="EF41" s="276"/>
      <c r="EG41" s="276"/>
      <c r="EH41" s="276"/>
      <c r="EI41" s="276"/>
      <c r="EJ41" s="276"/>
      <c r="EK41" s="276"/>
      <c r="EL41" s="276"/>
      <c r="EM41" s="276"/>
      <c r="EN41" s="276"/>
      <c r="EO41" s="276"/>
      <c r="EP41" s="276"/>
      <c r="EQ41" s="276"/>
      <c r="ER41" s="276"/>
      <c r="ES41" s="276"/>
      <c r="ET41" s="276"/>
      <c r="EU41" s="276"/>
      <c r="EV41" s="275"/>
      <c r="EW41" s="275"/>
      <c r="EX41" s="273" t="s">
        <v>119</v>
      </c>
      <c r="EY41" s="273">
        <f>EY39/DJ39</f>
        <v>11305.021272070626</v>
      </c>
      <c r="EZ41" s="273">
        <f>EZ39/DL39</f>
        <v>11851.270956698741</v>
      </c>
      <c r="FA41" s="273">
        <f>FA39/DO39</f>
        <v>20482.069481481485</v>
      </c>
      <c r="FB41" s="273">
        <f>FB39/DP39</f>
        <v>12463.64901210395</v>
      </c>
      <c r="FC41" s="301">
        <f>(CY41*$FE$6*$FF$6+EY41*$FF$6+AY41)/3*$FG$6*$FH$6</f>
        <v>11800.19890411636</v>
      </c>
      <c r="FD41" s="301">
        <f t="shared" ref="FD41:FF41" si="85">(CZ41*$FE$6*$FF$6+EZ41*$FF$6+AZ41)/3*$FG$6*$FH$6</f>
        <v>12730.038098123045</v>
      </c>
      <c r="FE41" s="301">
        <f t="shared" si="85"/>
        <v>20206.823848951066</v>
      </c>
      <c r="FF41" s="301">
        <f t="shared" si="85"/>
        <v>12858.454370069954</v>
      </c>
      <c r="FG41" s="308">
        <f>FC41*(J41+BJ41+DJ41)/(Q41+BQ41+DQ41)</f>
        <v>875.90736209554575</v>
      </c>
      <c r="FH41" s="308">
        <f>FD41*(L41+BL41+DL41)/(S41+BS41+DS41)</f>
        <v>694.3699563657126</v>
      </c>
      <c r="FI41" s="308">
        <f>FE41*(O41+BO41+DO41)/(V41+BV41+DV41)</f>
        <v>43.933659648021404</v>
      </c>
      <c r="FJ41" s="308">
        <f>FF41*(P41+BP41+DP41)/(W41+BW41+DW41)</f>
        <v>334.4168054797226</v>
      </c>
    </row>
    <row r="42" spans="1:166" s="260" customFormat="1" ht="74.25" customHeight="1" x14ac:dyDescent="0.3">
      <c r="A42" s="149"/>
      <c r="B42" s="146"/>
      <c r="C42" s="147"/>
      <c r="D42" s="147"/>
      <c r="E42" s="147"/>
      <c r="F42" s="147"/>
      <c r="G42" s="147"/>
      <c r="H42" s="147"/>
      <c r="I42" s="147"/>
      <c r="J42" s="148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7"/>
      <c r="Y42" s="147"/>
      <c r="Z42" s="147"/>
      <c r="AA42" s="147"/>
      <c r="AB42" s="147"/>
      <c r="AC42" s="147"/>
      <c r="AD42" s="147"/>
      <c r="AE42" s="280"/>
      <c r="AF42" s="281"/>
      <c r="AG42" s="280"/>
      <c r="AH42" s="280"/>
      <c r="AI42" s="280"/>
      <c r="AJ42" s="280"/>
      <c r="AK42" s="281"/>
      <c r="AL42" s="281"/>
      <c r="AM42" s="281"/>
      <c r="AN42" s="282"/>
      <c r="AO42" s="282"/>
      <c r="AP42" s="282"/>
      <c r="AQ42" s="282"/>
      <c r="AR42" s="282"/>
      <c r="AS42" s="282"/>
      <c r="AT42" s="282"/>
      <c r="AU42" s="282"/>
      <c r="AV42" s="280"/>
      <c r="AW42" s="280"/>
      <c r="AX42" s="269" t="s">
        <v>120</v>
      </c>
      <c r="AY42" s="269">
        <f>AY39/Q39</f>
        <v>749.91453722056349</v>
      </c>
      <c r="AZ42" s="269">
        <f>AZ39/S39</f>
        <v>664.18353039778083</v>
      </c>
      <c r="BA42" s="269">
        <f>BA39/V39</f>
        <v>35.454029768642506</v>
      </c>
      <c r="BB42" s="269">
        <f>BB39/W39</f>
        <v>273.57782740252486</v>
      </c>
      <c r="BC42" s="147"/>
      <c r="BD42" s="147"/>
      <c r="BE42" s="147"/>
      <c r="BF42" s="147"/>
      <c r="BG42" s="147"/>
      <c r="BH42" s="147"/>
      <c r="BI42" s="147"/>
      <c r="BJ42" s="148"/>
      <c r="BK42" s="148"/>
      <c r="BL42" s="148"/>
      <c r="BM42" s="148"/>
      <c r="BN42" s="148"/>
      <c r="BO42" s="148"/>
      <c r="BP42" s="148"/>
      <c r="BQ42" s="148"/>
      <c r="BR42" s="148"/>
      <c r="BS42" s="148"/>
      <c r="BT42" s="148"/>
      <c r="BU42" s="148"/>
      <c r="BV42" s="148"/>
      <c r="BW42" s="148"/>
      <c r="BX42" s="147"/>
      <c r="BY42" s="147"/>
      <c r="BZ42" s="147"/>
      <c r="CA42" s="147"/>
      <c r="CB42" s="147"/>
      <c r="CC42" s="147"/>
      <c r="CD42" s="147"/>
      <c r="CE42" s="262"/>
      <c r="CF42" s="278"/>
      <c r="CG42" s="278"/>
      <c r="CH42" s="278"/>
      <c r="CI42" s="278"/>
      <c r="CJ42" s="278"/>
      <c r="CK42" s="278"/>
      <c r="CL42" s="278"/>
      <c r="CM42" s="278"/>
      <c r="CN42" s="278"/>
      <c r="CO42" s="278"/>
      <c r="CP42" s="278"/>
      <c r="CQ42" s="278"/>
      <c r="CR42" s="278"/>
      <c r="CS42" s="278"/>
      <c r="CT42" s="278"/>
      <c r="CU42" s="278"/>
      <c r="CV42" s="262"/>
      <c r="CW42" s="262"/>
      <c r="CX42" s="238" t="s">
        <v>120</v>
      </c>
      <c r="CY42" s="238">
        <f>CY39/BQ39</f>
        <v>766.26406615186818</v>
      </c>
      <c r="CZ42" s="238">
        <f>CZ39/BS39</f>
        <v>656.15210939818667</v>
      </c>
      <c r="DA42" s="238">
        <f>DA39/BV39</f>
        <v>31.182076494332232</v>
      </c>
      <c r="DB42" s="238">
        <f>DB39/BW39</f>
        <v>283.20356333310616</v>
      </c>
      <c r="DC42" s="147"/>
      <c r="DD42" s="147"/>
      <c r="DE42" s="147"/>
      <c r="DF42" s="147"/>
      <c r="DG42" s="147"/>
      <c r="DH42" s="147"/>
      <c r="DI42" s="147"/>
      <c r="DJ42" s="148"/>
      <c r="DK42" s="148"/>
      <c r="DL42" s="148"/>
      <c r="DM42" s="148"/>
      <c r="DN42" s="148"/>
      <c r="DO42" s="148"/>
      <c r="DP42" s="148"/>
      <c r="DQ42" s="148"/>
      <c r="DR42" s="148"/>
      <c r="DS42" s="148"/>
      <c r="DT42" s="148"/>
      <c r="DU42" s="148"/>
      <c r="DV42" s="148"/>
      <c r="DW42" s="148"/>
      <c r="DX42" s="147"/>
      <c r="DY42" s="147"/>
      <c r="DZ42" s="147"/>
      <c r="EA42" s="147"/>
      <c r="EB42" s="147"/>
      <c r="EC42" s="147"/>
      <c r="ED42" s="147"/>
      <c r="EE42" s="275"/>
      <c r="EF42" s="276"/>
      <c r="EG42" s="276"/>
      <c r="EH42" s="276"/>
      <c r="EI42" s="276"/>
      <c r="EJ42" s="276"/>
      <c r="EK42" s="276"/>
      <c r="EL42" s="276"/>
      <c r="EM42" s="276"/>
      <c r="EN42" s="276"/>
      <c r="EO42" s="276"/>
      <c r="EP42" s="276"/>
      <c r="EQ42" s="276"/>
      <c r="ER42" s="276"/>
      <c r="ES42" s="276"/>
      <c r="ET42" s="276"/>
      <c r="EU42" s="276"/>
      <c r="EV42" s="275"/>
      <c r="EW42" s="275"/>
      <c r="EX42" s="273" t="s">
        <v>120</v>
      </c>
      <c r="EY42" s="273">
        <f>EY39/DQ39</f>
        <v>806.59563679377811</v>
      </c>
      <c r="EZ42" s="273">
        <f>EZ39/DS39</f>
        <v>718.18510716353671</v>
      </c>
      <c r="FA42" s="273">
        <f>FA39/DV39</f>
        <v>51.967342141278714</v>
      </c>
      <c r="FB42" s="273">
        <f>FB39/DW39</f>
        <v>403.75439049897267</v>
      </c>
      <c r="FC42" s="264"/>
      <c r="FD42" s="264"/>
      <c r="FE42" s="264"/>
      <c r="FF42" s="264"/>
    </row>
    <row r="43" spans="1:166" s="266" customFormat="1" ht="21.75" customHeight="1" x14ac:dyDescent="0.3">
      <c r="A43" s="289" t="s">
        <v>62</v>
      </c>
      <c r="B43" s="265"/>
      <c r="C43" s="265"/>
      <c r="D43" s="265"/>
      <c r="E43" s="265"/>
      <c r="F43" s="265"/>
      <c r="G43" s="265"/>
      <c r="H43" s="265"/>
      <c r="I43" s="265"/>
      <c r="J43" s="265"/>
      <c r="K43" s="265"/>
      <c r="L43" s="265"/>
      <c r="M43" s="265"/>
      <c r="N43" s="265"/>
      <c r="O43" s="265"/>
      <c r="P43" s="265"/>
      <c r="Q43" s="265"/>
      <c r="R43" s="265"/>
      <c r="S43" s="265"/>
      <c r="T43" s="265"/>
      <c r="U43" s="265"/>
      <c r="V43" s="265"/>
      <c r="W43" s="265"/>
      <c r="X43" s="265"/>
      <c r="Y43" s="265"/>
      <c r="Z43" s="265"/>
      <c r="AA43" s="265"/>
      <c r="AB43" s="265"/>
      <c r="AC43" s="265"/>
      <c r="AD43" s="265"/>
      <c r="AE43" s="283"/>
      <c r="AF43" s="283"/>
      <c r="AG43" s="283"/>
      <c r="AH43" s="283"/>
      <c r="AI43" s="283"/>
      <c r="AJ43" s="283"/>
      <c r="AK43" s="283"/>
      <c r="AL43" s="283"/>
      <c r="AM43" s="283"/>
      <c r="AN43" s="283"/>
      <c r="AO43" s="283"/>
      <c r="AP43" s="283"/>
      <c r="AQ43" s="283"/>
      <c r="AR43" s="283"/>
      <c r="AS43" s="283"/>
      <c r="AT43" s="283"/>
      <c r="AU43" s="283"/>
      <c r="AV43" s="283"/>
      <c r="AW43" s="283"/>
      <c r="AX43" s="283"/>
      <c r="AY43" s="283"/>
      <c r="AZ43" s="283"/>
      <c r="BA43" s="283"/>
      <c r="BB43" s="283"/>
      <c r="BC43" s="265"/>
      <c r="BD43" s="265"/>
      <c r="BE43" s="265"/>
      <c r="BF43" s="265"/>
      <c r="BG43" s="265"/>
      <c r="BH43" s="265"/>
      <c r="BI43" s="265"/>
      <c r="BJ43" s="265"/>
      <c r="BK43" s="265"/>
      <c r="BL43" s="265"/>
      <c r="BM43" s="265"/>
      <c r="BN43" s="265"/>
      <c r="BO43" s="265"/>
      <c r="BP43" s="265"/>
      <c r="BQ43" s="265"/>
      <c r="BR43" s="265"/>
      <c r="BS43" s="265"/>
      <c r="BT43" s="265"/>
      <c r="BU43" s="265"/>
      <c r="BV43" s="265"/>
      <c r="BW43" s="265"/>
      <c r="BX43" s="265"/>
      <c r="BY43" s="265"/>
      <c r="BZ43" s="265"/>
      <c r="CA43" s="265"/>
      <c r="CB43" s="265"/>
      <c r="CC43" s="265"/>
      <c r="CD43" s="265"/>
      <c r="CE43" s="279"/>
      <c r="CF43" s="279"/>
      <c r="CG43" s="279"/>
      <c r="CH43" s="279"/>
      <c r="CI43" s="279"/>
      <c r="CJ43" s="279"/>
      <c r="CK43" s="279"/>
      <c r="CL43" s="279"/>
      <c r="CM43" s="279"/>
      <c r="CN43" s="279"/>
      <c r="CO43" s="279"/>
      <c r="CP43" s="279"/>
      <c r="CQ43" s="279"/>
      <c r="CR43" s="279"/>
      <c r="CS43" s="279"/>
      <c r="CT43" s="279"/>
      <c r="CU43" s="279"/>
      <c r="CV43" s="279"/>
      <c r="CW43" s="279"/>
      <c r="CX43" s="279"/>
      <c r="CY43" s="279"/>
      <c r="CZ43" s="279"/>
      <c r="DA43" s="279"/>
      <c r="DB43" s="279"/>
      <c r="DC43" s="265"/>
      <c r="DD43" s="265"/>
      <c r="DE43" s="265"/>
      <c r="DF43" s="265"/>
      <c r="DG43" s="265"/>
      <c r="DH43" s="265"/>
      <c r="DI43" s="265"/>
      <c r="DJ43" s="265"/>
      <c r="DK43" s="265"/>
      <c r="DL43" s="265"/>
      <c r="DM43" s="265"/>
      <c r="DN43" s="265"/>
      <c r="DO43" s="265"/>
      <c r="DP43" s="265"/>
      <c r="DQ43" s="265"/>
      <c r="DR43" s="265"/>
      <c r="DS43" s="265"/>
      <c r="DT43" s="265"/>
      <c r="DU43" s="265"/>
      <c r="DV43" s="265"/>
      <c r="DW43" s="265"/>
      <c r="DX43" s="265"/>
      <c r="DY43" s="265"/>
      <c r="DZ43" s="265"/>
      <c r="EA43" s="265"/>
      <c r="EB43" s="265"/>
      <c r="EC43" s="265"/>
      <c r="ED43" s="265"/>
      <c r="EE43" s="277"/>
      <c r="EF43" s="277"/>
      <c r="EG43" s="277"/>
      <c r="EH43" s="277"/>
      <c r="EI43" s="277"/>
      <c r="EJ43" s="277"/>
      <c r="EK43" s="277"/>
      <c r="EL43" s="277"/>
      <c r="EM43" s="277"/>
      <c r="EN43" s="277"/>
      <c r="EO43" s="277"/>
      <c r="EP43" s="277"/>
      <c r="EQ43" s="277"/>
      <c r="ER43" s="277"/>
      <c r="ES43" s="277"/>
      <c r="ET43" s="277"/>
      <c r="EU43" s="277"/>
      <c r="EV43" s="277"/>
      <c r="EW43" s="277"/>
      <c r="EX43" s="277"/>
      <c r="EY43" s="277"/>
      <c r="EZ43" s="277"/>
      <c r="FA43" s="277"/>
      <c r="FB43" s="277"/>
    </row>
    <row r="44" spans="1:166" x14ac:dyDescent="0.3">
      <c r="A44" s="48" t="s">
        <v>3</v>
      </c>
      <c r="B44" s="258" t="s">
        <v>9</v>
      </c>
      <c r="C44" s="53">
        <v>40922981.950000003</v>
      </c>
      <c r="D44" s="53">
        <v>2607403.8199999998</v>
      </c>
      <c r="E44" s="53">
        <f>C44+D44</f>
        <v>43530385.770000003</v>
      </c>
      <c r="F44" s="53">
        <v>972252.27</v>
      </c>
      <c r="G44" s="53">
        <v>1458378.41</v>
      </c>
      <c r="H44" s="53">
        <f t="shared" ref="H44:H67" si="86">F44+G44</f>
        <v>2430630.6799999997</v>
      </c>
      <c r="I44" s="56">
        <f>C44+D44+F44+G44</f>
        <v>45961016.450000003</v>
      </c>
      <c r="J44" s="252">
        <v>2778</v>
      </c>
      <c r="K44" s="252">
        <v>177</v>
      </c>
      <c r="L44" s="252">
        <f>J44+K44</f>
        <v>2955</v>
      </c>
      <c r="M44" s="252">
        <v>66</v>
      </c>
      <c r="N44" s="252">
        <v>99</v>
      </c>
      <c r="O44" s="252">
        <f>M44+N44</f>
        <v>165</v>
      </c>
      <c r="P44" s="56">
        <f>J44+K44+M44+N44</f>
        <v>3120</v>
      </c>
      <c r="Q44" s="252">
        <v>34096</v>
      </c>
      <c r="R44" s="252">
        <v>8059</v>
      </c>
      <c r="S44" s="59">
        <f>Q44+R44</f>
        <v>42155</v>
      </c>
      <c r="T44" s="252">
        <v>16027</v>
      </c>
      <c r="U44" s="252">
        <v>74749</v>
      </c>
      <c r="V44" s="256">
        <f>T44+U44</f>
        <v>90776</v>
      </c>
      <c r="W44" s="56">
        <f>Q44+R44+T44+U44</f>
        <v>132931</v>
      </c>
      <c r="X44" s="56">
        <f t="shared" ref="X44:AC45" si="87">C44/J44</f>
        <v>14731.095014398848</v>
      </c>
      <c r="Y44" s="56">
        <f t="shared" si="87"/>
        <v>14731.095028248586</v>
      </c>
      <c r="Z44" s="56">
        <f t="shared" si="87"/>
        <v>14731.095015228428</v>
      </c>
      <c r="AA44" s="56">
        <f t="shared" si="87"/>
        <v>14731.095000000001</v>
      </c>
      <c r="AB44" s="56">
        <f t="shared" si="87"/>
        <v>14731.09505050505</v>
      </c>
      <c r="AC44" s="56">
        <f t="shared" si="87"/>
        <v>14731.095030303028</v>
      </c>
      <c r="AD44" s="56">
        <f t="shared" ref="AD44:AD69" si="88">I44/P44</f>
        <v>14731.095016025642</v>
      </c>
      <c r="AE44" s="269">
        <f>AVERAGE(X44:X69)</f>
        <v>10050.894978807453</v>
      </c>
      <c r="AF44" s="269">
        <f>AVERAGE(Z44:Z69)</f>
        <v>11219.490926392429</v>
      </c>
      <c r="AG44" s="269">
        <f>AVERAGE(AC44:AC69)</f>
        <v>82333.639993226359</v>
      </c>
      <c r="AH44" s="269">
        <f>AVERAGE(AD44:AD69)</f>
        <v>11841.296765958419</v>
      </c>
      <c r="AI44" s="269">
        <f>_xlfn.STDEV.S(X44:X69)</f>
        <v>11743.734138341413</v>
      </c>
      <c r="AJ44" s="269">
        <f>_xlfn.STDEV.S(Z44:Z69)</f>
        <v>12371.291478301806</v>
      </c>
      <c r="AK44" s="269">
        <f>_xlfn.STDEV.S(AC44:AC69)</f>
        <v>129184.96452661842</v>
      </c>
      <c r="AL44" s="269">
        <f>_xlfn.STDEV.S(AD44:AD69)</f>
        <v>13014.940111501182</v>
      </c>
      <c r="AM44" s="269">
        <f>AE44-AI44</f>
        <v>-1692.8391595339599</v>
      </c>
      <c r="AN44" s="269">
        <f>AF44-AJ44</f>
        <v>-1151.8005519093767</v>
      </c>
      <c r="AO44" s="269">
        <f>AG44-AK44</f>
        <v>-46851.324533392064</v>
      </c>
      <c r="AP44" s="269">
        <f>AH44-AL44</f>
        <v>-1173.6433455427632</v>
      </c>
      <c r="AQ44" s="269">
        <f>AE44+AI44</f>
        <v>21794.629117148866</v>
      </c>
      <c r="AR44" s="269">
        <f>AF44+AJ44</f>
        <v>23590.782404694233</v>
      </c>
      <c r="AS44" s="269">
        <f>AG44+AK44</f>
        <v>211518.60451984478</v>
      </c>
      <c r="AT44" s="269">
        <f>AH44+AL44</f>
        <v>24856.236877459603</v>
      </c>
      <c r="AU44" s="269">
        <f>IF(AND(X44&gt;$AM$44,X44&lt;$AQ$44),X44,0)</f>
        <v>14731.095014398848</v>
      </c>
      <c r="AV44" s="269">
        <f>IF(AND(Z44&gt;$AN$44,Z44&lt;$AR$44),Z44,0)</f>
        <v>14731.095015228428</v>
      </c>
      <c r="AW44" s="269">
        <f t="shared" ref="AW44:AW69" si="89">IF(AND(AC44&gt;$AO$44,AC44&lt;$AS$44),AC44,0)</f>
        <v>14731.095030303028</v>
      </c>
      <c r="AX44" s="269">
        <f>IF(AND(AD44&gt;$AP$44,AD44&lt;$AT$44),AD44,0)</f>
        <v>14731.095016025642</v>
      </c>
      <c r="AY44" s="269">
        <f>AU44*J44</f>
        <v>40922981.950000003</v>
      </c>
      <c r="AZ44" s="269">
        <f>AV44*L44</f>
        <v>43530385.770000003</v>
      </c>
      <c r="BA44" s="269">
        <f>AW44*O44</f>
        <v>2430630.6799999997</v>
      </c>
      <c r="BB44" s="269">
        <f>AX44*P44</f>
        <v>45961016.450000003</v>
      </c>
      <c r="BC44" s="53">
        <v>34465633.950000003</v>
      </c>
      <c r="BD44" s="53">
        <v>3573446.65</v>
      </c>
      <c r="BE44" s="79">
        <f>BC44+BD44</f>
        <v>38039080.600000001</v>
      </c>
      <c r="BF44" s="53">
        <v>2136299.62</v>
      </c>
      <c r="BG44" s="53">
        <v>1566619.72</v>
      </c>
      <c r="BH44" s="79">
        <f>BF44+BG44</f>
        <v>3702919.34</v>
      </c>
      <c r="BI44" s="56">
        <f>BC44+BD44+BF44+BG44</f>
        <v>41741999.939999998</v>
      </c>
      <c r="BJ44" s="252">
        <v>2662</v>
      </c>
      <c r="BK44" s="252">
        <v>276</v>
      </c>
      <c r="BL44" s="252">
        <f>BJ44+BK44</f>
        <v>2938</v>
      </c>
      <c r="BM44" s="252">
        <v>165</v>
      </c>
      <c r="BN44" s="252">
        <v>121</v>
      </c>
      <c r="BO44" s="252">
        <f>BM44+BN44</f>
        <v>286</v>
      </c>
      <c r="BP44" s="56">
        <f>BJ44+BK44+BM44+BN44</f>
        <v>3224</v>
      </c>
      <c r="BQ44" s="252">
        <v>31792</v>
      </c>
      <c r="BR44" s="252">
        <v>13498</v>
      </c>
      <c r="BS44" s="76">
        <f>BQ44+BR44</f>
        <v>45290</v>
      </c>
      <c r="BT44" s="252">
        <v>30316</v>
      </c>
      <c r="BU44" s="252">
        <v>84282</v>
      </c>
      <c r="BV44" s="59">
        <f>BT44+BU44</f>
        <v>114598</v>
      </c>
      <c r="BW44" s="56">
        <f>BQ44+BR44+BT44+BU44</f>
        <v>159888</v>
      </c>
      <c r="BX44" s="56">
        <f t="shared" ref="BX44:CD44" si="90">BC44/BJ44</f>
        <v>12947.270454545456</v>
      </c>
      <c r="BY44" s="56">
        <f t="shared" si="90"/>
        <v>12947.270471014492</v>
      </c>
      <c r="BZ44" s="56">
        <f t="shared" si="90"/>
        <v>12947.270456092581</v>
      </c>
      <c r="CA44" s="56">
        <f t="shared" si="90"/>
        <v>12947.270424242424</v>
      </c>
      <c r="CB44" s="56">
        <f t="shared" si="90"/>
        <v>12947.270413223141</v>
      </c>
      <c r="CC44" s="56">
        <f t="shared" si="90"/>
        <v>12947.27041958042</v>
      </c>
      <c r="CD44" s="56">
        <f t="shared" si="90"/>
        <v>12947.270452853598</v>
      </c>
      <c r="CE44" s="238">
        <f>AVERAGE(BX44:BX69)</f>
        <v>11257.939960976011</v>
      </c>
      <c r="CF44" s="238">
        <f>AVERAGE(BZ44:BZ69)</f>
        <v>12060.681683118062</v>
      </c>
      <c r="CG44" s="238">
        <f>AVERAGE(CC44:CC69)</f>
        <v>59227.484769117524</v>
      </c>
      <c r="CH44" s="238">
        <f>AVERAGE(CD44:CD69)</f>
        <v>12634.930498278894</v>
      </c>
      <c r="CI44" s="238">
        <f>_xlfn.STDEV.S(BX44:BX69)</f>
        <v>12199.438327949805</v>
      </c>
      <c r="CJ44" s="238">
        <f>_xlfn.STDEV.S(BZ44:BZ69)</f>
        <v>13089.740288679053</v>
      </c>
      <c r="CK44" s="238">
        <f>_xlfn.STDEV.S(CC44:CC69)</f>
        <v>121933.61310574219</v>
      </c>
      <c r="CL44" s="238">
        <f>_xlfn.STDEV.S(CD44:CD69)</f>
        <v>14150.639440268029</v>
      </c>
      <c r="CM44" s="238">
        <f>CE44-CI44</f>
        <v>-941.49836697379396</v>
      </c>
      <c r="CN44" s="238">
        <f>CF44-CJ44</f>
        <v>-1029.0586055609911</v>
      </c>
      <c r="CO44" s="238">
        <f>CG44-CK44</f>
        <v>-62706.128336624664</v>
      </c>
      <c r="CP44" s="238">
        <f>CH44-CL44</f>
        <v>-1515.7089419891345</v>
      </c>
      <c r="CQ44" s="238">
        <f>CE44+CI44</f>
        <v>23457.378288925815</v>
      </c>
      <c r="CR44" s="238">
        <f>CF44+CJ44</f>
        <v>25150.421971797114</v>
      </c>
      <c r="CS44" s="238">
        <f>CG44+CK44</f>
        <v>181161.0978748597</v>
      </c>
      <c r="CT44" s="238">
        <f>CH44+CL44</f>
        <v>26785.569938546923</v>
      </c>
      <c r="CU44" s="238">
        <f t="shared" ref="CU44:CU69" si="91">IF(AND(BX44&gt;$CM$44,BX44&lt;$CQ$44),BX44,0)</f>
        <v>12947.270454545456</v>
      </c>
      <c r="CV44" s="238">
        <f t="shared" ref="CV44:CV69" si="92">IF(AND(BZ44&gt;$CN$44,BZ44&lt;$CR$44),BZ44,0)</f>
        <v>12947.270456092581</v>
      </c>
      <c r="CW44" s="238">
        <f t="shared" ref="CW44:CW69" si="93">IF(AND(CC44&gt;$CO$44,CC44&lt;$CS$44),CC44,0)</f>
        <v>12947.27041958042</v>
      </c>
      <c r="CX44" s="238">
        <f>IF(AND(CD44&gt;$CP$44,CD44&lt;$CT$44),CD44,0)</f>
        <v>12947.270452853598</v>
      </c>
      <c r="CY44" s="238">
        <f t="shared" ref="CY44:CY69" si="94">CU44*BJ44</f>
        <v>34465633.950000003</v>
      </c>
      <c r="CZ44" s="238">
        <f t="shared" ref="CZ44:CZ69" si="95">CV44*BL44</f>
        <v>38039080.600000001</v>
      </c>
      <c r="DA44" s="238">
        <f t="shared" ref="DA44:DB69" si="96">CW44*BO44</f>
        <v>3702919.3400000003</v>
      </c>
      <c r="DB44" s="238">
        <f t="shared" si="96"/>
        <v>41741999.939999998</v>
      </c>
      <c r="DC44" s="53">
        <v>34777913.380000003</v>
      </c>
      <c r="DD44" s="53">
        <v>2185497.29</v>
      </c>
      <c r="DE44" s="56">
        <f>DC44+DD44</f>
        <v>36963410.670000002</v>
      </c>
      <c r="DF44" s="53">
        <v>1187770.27</v>
      </c>
      <c r="DG44" s="53">
        <v>962093.92</v>
      </c>
      <c r="DH44" s="56">
        <f>DF44+DG44</f>
        <v>2149864.19</v>
      </c>
      <c r="DI44" s="56">
        <f>DC44+DD44+DF44+DG44</f>
        <v>39113274.860000007</v>
      </c>
      <c r="DJ44" s="252">
        <v>2928</v>
      </c>
      <c r="DK44" s="252">
        <v>184</v>
      </c>
      <c r="DL44" s="56">
        <f>DJ44+DK44</f>
        <v>3112</v>
      </c>
      <c r="DM44" s="252">
        <v>100</v>
      </c>
      <c r="DN44" s="252">
        <v>81</v>
      </c>
      <c r="DO44" s="56">
        <f>DM44+DN44</f>
        <v>181</v>
      </c>
      <c r="DP44" s="56">
        <f>DJ44+DK44+DM44+DN44</f>
        <v>3293</v>
      </c>
      <c r="DQ44" s="252">
        <v>35262</v>
      </c>
      <c r="DR44" s="252">
        <v>7918</v>
      </c>
      <c r="DS44" s="56">
        <f t="shared" ref="DS44:DS64" si="97">DQ44+DR44</f>
        <v>43180</v>
      </c>
      <c r="DT44" s="252">
        <v>17968</v>
      </c>
      <c r="DU44" s="252">
        <v>56691</v>
      </c>
      <c r="DV44" s="56">
        <f t="shared" ref="DV44:DV64" si="98">DT44+DU44</f>
        <v>74659</v>
      </c>
      <c r="DW44" s="56">
        <f>DQ44+DR44+DT44+DU44</f>
        <v>117839</v>
      </c>
      <c r="DX44" s="56">
        <f t="shared" ref="DX44:ED44" si="99">DC44/DJ44</f>
        <v>11877.702657103826</v>
      </c>
      <c r="DY44" s="56">
        <f t="shared" si="99"/>
        <v>11877.702663043479</v>
      </c>
      <c r="DZ44" s="56">
        <f t="shared" si="99"/>
        <v>11877.702657455013</v>
      </c>
      <c r="EA44" s="56">
        <f t="shared" si="99"/>
        <v>11877.7027</v>
      </c>
      <c r="EB44" s="56">
        <f t="shared" si="99"/>
        <v>11877.702716049384</v>
      </c>
      <c r="EC44" s="56">
        <f t="shared" si="99"/>
        <v>11877.70270718232</v>
      </c>
      <c r="ED44" s="56">
        <f t="shared" si="99"/>
        <v>11877.702660188281</v>
      </c>
      <c r="EE44" s="273">
        <f>AVERAGE(DX44:DX69)</f>
        <v>11868.804004433532</v>
      </c>
      <c r="EF44" s="273">
        <f>AVERAGE(DZ44:DZ69)</f>
        <v>12568.975927879275</v>
      </c>
      <c r="EG44" s="273">
        <f>AVERAGE(EC44:EC69)</f>
        <v>89427.245610719212</v>
      </c>
      <c r="EH44" s="273">
        <f>AVERAGE(ED44:ED69)</f>
        <v>13243.886143859998</v>
      </c>
      <c r="EI44" s="273">
        <f>_xlfn.STDEV.S(DX44:DX69)</f>
        <v>15871.500958745422</v>
      </c>
      <c r="EJ44" s="273">
        <f>_xlfn.STDEV.S(DZ44:DZ69)</f>
        <v>16724.029186646432</v>
      </c>
      <c r="EK44" s="273">
        <f>_xlfn.STDEV.S(EC44:EC69)</f>
        <v>140622.22973313736</v>
      </c>
      <c r="EL44" s="273">
        <f>_xlfn.STDEV.S(ED44:ED69)</f>
        <v>17631.169605970692</v>
      </c>
      <c r="EM44" s="273">
        <f>EE44-EI44</f>
        <v>-4002.6969543118903</v>
      </c>
      <c r="EN44" s="273">
        <f>EF44-EJ44</f>
        <v>-4155.0532587671569</v>
      </c>
      <c r="EO44" s="273">
        <f>EG44-EK44</f>
        <v>-51194.984122418144</v>
      </c>
      <c r="EP44" s="273">
        <f>EH44-EL44</f>
        <v>-4387.283462110694</v>
      </c>
      <c r="EQ44" s="273">
        <f>EE44+EI44</f>
        <v>27740.304963178954</v>
      </c>
      <c r="ER44" s="273">
        <f>EF44+EJ44</f>
        <v>29293.005114525709</v>
      </c>
      <c r="ES44" s="273">
        <f>EG44+EK44</f>
        <v>230049.47534385655</v>
      </c>
      <c r="ET44" s="273">
        <f>EH44+EL44</f>
        <v>30875.055749830688</v>
      </c>
      <c r="EU44" s="273">
        <f t="shared" ref="EU44:EU69" si="100">IF(AND(DX44&gt;$EM$44,DX44&lt;$EQ$44),DX44,0)</f>
        <v>11877.702657103826</v>
      </c>
      <c r="EV44" s="273">
        <f t="shared" ref="EV44:EV69" si="101">IF(AND(DZ44&gt;$EN$44,DZ44&lt;$ER$44),DZ44,0)</f>
        <v>11877.702657455013</v>
      </c>
      <c r="EW44" s="273">
        <f t="shared" ref="EW44:EW69" si="102">IF(AND(EC44&gt;$EO$44,EC44&lt;$ES$44),EC44,0)</f>
        <v>11877.70270718232</v>
      </c>
      <c r="EX44" s="273">
        <f>IF(AND(ED44&gt;$EP$44,ED44&lt;$ET$44),ED44,0)</f>
        <v>11877.702660188281</v>
      </c>
      <c r="EY44" s="273">
        <f t="shared" ref="EY44:EY69" si="103">EU44*DJ44</f>
        <v>34777913.380000003</v>
      </c>
      <c r="EZ44" s="273">
        <f t="shared" ref="EZ44:EZ69" si="104">EV44*DL44</f>
        <v>36963410.670000002</v>
      </c>
      <c r="FA44" s="273">
        <f t="shared" ref="FA44:FB69" si="105">EW44*DO44</f>
        <v>2149864.19</v>
      </c>
      <c r="FB44" s="273">
        <f t="shared" si="105"/>
        <v>39113274.860000007</v>
      </c>
      <c r="FC44" s="79"/>
      <c r="FD44" s="79"/>
      <c r="FE44" s="79"/>
      <c r="FF44" s="79"/>
      <c r="FG44" s="47"/>
      <c r="FH44" s="47"/>
      <c r="FI44" s="47"/>
      <c r="FJ44" s="47"/>
    </row>
    <row r="45" spans="1:166" x14ac:dyDescent="0.3">
      <c r="A45" s="48" t="s">
        <v>4</v>
      </c>
      <c r="B45" s="258" t="s">
        <v>10</v>
      </c>
      <c r="C45" s="53">
        <v>15925917.700000001</v>
      </c>
      <c r="D45" s="53">
        <v>9385454.5259199999</v>
      </c>
      <c r="E45" s="53">
        <f t="shared" ref="E45:E69" si="106">C45+D45</f>
        <v>25311372.225919999</v>
      </c>
      <c r="F45" s="53">
        <v>2033974.8</v>
      </c>
      <c r="G45" s="53">
        <v>156459.6</v>
      </c>
      <c r="H45" s="53">
        <f t="shared" si="86"/>
        <v>2190434.4</v>
      </c>
      <c r="I45" s="56">
        <f t="shared" ref="I45:I69" si="107">C45+D45+F45+G45</f>
        <v>27501806.625920001</v>
      </c>
      <c r="J45" s="59">
        <f>3+507</f>
        <v>510</v>
      </c>
      <c r="K45" s="59">
        <f>1+186</f>
        <v>187</v>
      </c>
      <c r="L45" s="59">
        <f t="shared" ref="L45" si="108">J45+K45</f>
        <v>697</v>
      </c>
      <c r="M45" s="59">
        <f>2+36</f>
        <v>38</v>
      </c>
      <c r="N45" s="59">
        <v>2</v>
      </c>
      <c r="O45" s="59">
        <f t="shared" ref="O45" si="109">M45+N45</f>
        <v>40</v>
      </c>
      <c r="P45" s="56">
        <f t="shared" ref="P45" si="110">J45+K45+M45+N45</f>
        <v>737</v>
      </c>
      <c r="Q45" s="59">
        <f>45+7323</f>
        <v>7368</v>
      </c>
      <c r="R45" s="59">
        <f>150+11623</f>
        <v>11773</v>
      </c>
      <c r="S45" s="59">
        <f t="shared" ref="S45" si="111">Q45+R45</f>
        <v>19141</v>
      </c>
      <c r="T45" s="59">
        <f>920+11827.5</f>
        <v>12747.5</v>
      </c>
      <c r="U45" s="59">
        <v>2631.7</v>
      </c>
      <c r="V45" s="256">
        <f t="shared" ref="V45" si="112">T45+U45</f>
        <v>15379.2</v>
      </c>
      <c r="W45" s="56">
        <f t="shared" ref="W45" si="113">Q45+R45+T45+U45</f>
        <v>34520.199999999997</v>
      </c>
      <c r="X45" s="56">
        <f t="shared" si="87"/>
        <v>31227.28960784314</v>
      </c>
      <c r="Y45" s="56">
        <f t="shared" si="87"/>
        <v>50189.596395294117</v>
      </c>
      <c r="Z45" s="56">
        <f t="shared" si="87"/>
        <v>36314.737770329986</v>
      </c>
      <c r="AA45" s="56">
        <f t="shared" si="87"/>
        <v>53525.652631578945</v>
      </c>
      <c r="AB45" s="56">
        <f t="shared" si="87"/>
        <v>78229.8</v>
      </c>
      <c r="AC45" s="56">
        <f t="shared" si="87"/>
        <v>54760.86</v>
      </c>
      <c r="AD45" s="56">
        <f t="shared" si="88"/>
        <v>37315.884160000001</v>
      </c>
      <c r="AE45" s="269"/>
      <c r="AF45" s="270"/>
      <c r="AG45" s="269"/>
      <c r="AH45" s="269"/>
      <c r="AI45" s="269"/>
      <c r="AJ45" s="269"/>
      <c r="AK45" s="270"/>
      <c r="AL45" s="270"/>
      <c r="AM45" s="270"/>
      <c r="AN45" s="267"/>
      <c r="AO45" s="267"/>
      <c r="AP45" s="267"/>
      <c r="AQ45" s="267"/>
      <c r="AR45" s="267"/>
      <c r="AS45" s="267"/>
      <c r="AT45" s="267"/>
      <c r="AU45" s="269">
        <f t="shared" ref="AU45:AU69" si="114">IF(AND(X45&gt;$AM$44,X45&lt;$AQ$44),X45,0)</f>
        <v>0</v>
      </c>
      <c r="AV45" s="269">
        <f t="shared" ref="AV45:AV69" si="115">IF(AND(Z45&gt;$AN$44,Z45&lt;$AR$44),Z45,0)</f>
        <v>0</v>
      </c>
      <c r="AW45" s="269">
        <f t="shared" si="89"/>
        <v>54760.86</v>
      </c>
      <c r="AX45" s="269">
        <f t="shared" ref="AX45:AX69" si="116">IF(AND(AD45&gt;$AP$44,AD45&lt;$AT$44),AD45,0)</f>
        <v>0</v>
      </c>
      <c r="AY45" s="269">
        <f t="shared" ref="AY45:AY69" si="117">AU45*J45</f>
        <v>0</v>
      </c>
      <c r="AZ45" s="269">
        <f t="shared" ref="AZ45:AZ69" si="118">AV45*L45</f>
        <v>0</v>
      </c>
      <c r="BA45" s="269">
        <f t="shared" ref="BA45:BA69" si="119">AW45*O45</f>
        <v>2190434.4</v>
      </c>
      <c r="BB45" s="269">
        <f t="shared" ref="BB45:BB69" si="120">AX45*P45</f>
        <v>0</v>
      </c>
      <c r="BC45" s="53">
        <v>20480118.999999996</v>
      </c>
      <c r="BD45" s="53">
        <v>8577667.9999999981</v>
      </c>
      <c r="BE45" s="79">
        <f t="shared" ref="BE45:BE69" si="121">BC45+BD45</f>
        <v>29057786.999999993</v>
      </c>
      <c r="BF45" s="53">
        <v>2259156.7999999993</v>
      </c>
      <c r="BG45" s="53">
        <v>255753.59999999995</v>
      </c>
      <c r="BH45" s="79">
        <f t="shared" ref="BH45:BH69" si="122">BF45+BG45</f>
        <v>2514910.3999999994</v>
      </c>
      <c r="BI45" s="56">
        <f t="shared" ref="BI45:BI69" si="123">BC45+BD45+BF45+BG45</f>
        <v>31572697.399999995</v>
      </c>
      <c r="BJ45" s="256">
        <f>2+586</f>
        <v>588</v>
      </c>
      <c r="BK45" s="256">
        <f>6+242</f>
        <v>248</v>
      </c>
      <c r="BL45" s="256">
        <f t="shared" ref="BL45" si="124">BJ45+BK45</f>
        <v>836</v>
      </c>
      <c r="BM45" s="256">
        <f>3+50</f>
        <v>53</v>
      </c>
      <c r="BN45" s="256">
        <f>1+5</f>
        <v>6</v>
      </c>
      <c r="BO45" s="256">
        <f t="shared" ref="BO45" si="125">BM45+BN45</f>
        <v>59</v>
      </c>
      <c r="BP45" s="56">
        <f t="shared" ref="BP45" si="126">BJ45+BK45+BM45+BN45</f>
        <v>895</v>
      </c>
      <c r="BQ45" s="256">
        <f>24+8218</f>
        <v>8242</v>
      </c>
      <c r="BR45" s="256">
        <f>475+15571.4</f>
        <v>16046.4</v>
      </c>
      <c r="BS45" s="256">
        <f t="shared" ref="BS45" si="127">BQ45+BR45</f>
        <v>24288.400000000001</v>
      </c>
      <c r="BT45" s="256">
        <f>710+16663.4</f>
        <v>17373.400000000001</v>
      </c>
      <c r="BU45" s="256">
        <f>1200+44694.8</f>
        <v>45894.8</v>
      </c>
      <c r="BV45" s="59">
        <f t="shared" ref="BV45" si="128">BT45+BU45</f>
        <v>63268.200000000004</v>
      </c>
      <c r="BW45" s="56">
        <f t="shared" ref="BW45:BW69" si="129">BQ45+BR45+BT45+BU45</f>
        <v>87556.6</v>
      </c>
      <c r="BX45" s="56">
        <f t="shared" ref="BX45:BX66" si="130">BC45/BJ45</f>
        <v>34830.134353741487</v>
      </c>
      <c r="BY45" s="56">
        <f t="shared" ref="BY45:BY64" si="131">BD45/BK45</f>
        <v>34587.370967741925</v>
      </c>
      <c r="BZ45" s="56">
        <f t="shared" ref="BZ45:BZ66" si="132">BE45/BL45</f>
        <v>34758.118421052626</v>
      </c>
      <c r="CA45" s="56">
        <f t="shared" ref="CA45:CA64" si="133">BF45/BM45</f>
        <v>42625.599999999991</v>
      </c>
      <c r="CB45" s="56">
        <f t="shared" ref="CB45" si="134">BG45/BN45</f>
        <v>42625.599999999991</v>
      </c>
      <c r="CC45" s="56">
        <f t="shared" ref="CC45:CC64" si="135">BH45/BO45</f>
        <v>42625.599999999991</v>
      </c>
      <c r="CD45" s="56">
        <f t="shared" ref="CD45:CD66" si="136">BI45/BP45</f>
        <v>35276.756871508376</v>
      </c>
      <c r="CE45" s="238"/>
      <c r="CF45" s="241"/>
      <c r="CG45" s="238"/>
      <c r="CH45" s="238"/>
      <c r="CI45" s="238"/>
      <c r="CJ45" s="238"/>
      <c r="CK45" s="241"/>
      <c r="CL45" s="241"/>
      <c r="CM45" s="241"/>
      <c r="CN45" s="233"/>
      <c r="CO45" s="233"/>
      <c r="CP45" s="233"/>
      <c r="CQ45" s="233"/>
      <c r="CR45" s="233"/>
      <c r="CS45" s="233"/>
      <c r="CT45" s="233"/>
      <c r="CU45" s="238">
        <f t="shared" si="91"/>
        <v>0</v>
      </c>
      <c r="CV45" s="238">
        <f t="shared" si="92"/>
        <v>0</v>
      </c>
      <c r="CW45" s="238">
        <f t="shared" si="93"/>
        <v>42625.599999999991</v>
      </c>
      <c r="CX45" s="238">
        <f t="shared" ref="CX45:CX69" si="137">IF(AND(CD45&gt;$CP$44,CD45&lt;$CT$44),CD45,0)</f>
        <v>0</v>
      </c>
      <c r="CY45" s="238">
        <f t="shared" si="94"/>
        <v>0</v>
      </c>
      <c r="CZ45" s="238">
        <f t="shared" si="95"/>
        <v>0</v>
      </c>
      <c r="DA45" s="238">
        <f t="shared" si="96"/>
        <v>2514910.3999999994</v>
      </c>
      <c r="DB45" s="238">
        <f t="shared" si="96"/>
        <v>0</v>
      </c>
      <c r="DC45" s="53">
        <v>18953170.700000003</v>
      </c>
      <c r="DD45" s="53">
        <v>7022346.8000000007</v>
      </c>
      <c r="DE45" s="56">
        <f t="shared" ref="DE45:DE69" si="138">DC45+DD45</f>
        <v>25975517.500000004</v>
      </c>
      <c r="DF45" s="53">
        <v>2812825.6000000001</v>
      </c>
      <c r="DG45" s="53">
        <v>175801.60000000001</v>
      </c>
      <c r="DH45" s="56">
        <f t="shared" ref="DH45:DH69" si="139">DF45+DG45</f>
        <v>2988627.2</v>
      </c>
      <c r="DI45" s="56">
        <f t="shared" ref="DI45:DI69" si="140">DC45+DD45+DF45+DG45</f>
        <v>28964144.700000007</v>
      </c>
      <c r="DJ45" s="256">
        <f>3+526</f>
        <v>529</v>
      </c>
      <c r="DK45" s="256">
        <f>7+189</f>
        <v>196</v>
      </c>
      <c r="DL45" s="255">
        <f t="shared" ref="DL45" si="141">DJ45+DK45</f>
        <v>725</v>
      </c>
      <c r="DM45" s="256">
        <f>3+61</f>
        <v>64</v>
      </c>
      <c r="DN45" s="256">
        <v>4</v>
      </c>
      <c r="DO45" s="255">
        <f t="shared" ref="DO45" si="142">DM45+DN45</f>
        <v>68</v>
      </c>
      <c r="DP45" s="255">
        <f t="shared" ref="DP45" si="143">DJ45+DK45+DM45+DN45</f>
        <v>793</v>
      </c>
      <c r="DQ45" s="256">
        <f>45+7269.9</f>
        <v>7314.9</v>
      </c>
      <c r="DR45" s="256">
        <f>490+11716.3</f>
        <v>12206.3</v>
      </c>
      <c r="DS45" s="256">
        <f t="shared" si="97"/>
        <v>19521.199999999997</v>
      </c>
      <c r="DT45" s="256">
        <f>640+20190</f>
        <v>20830</v>
      </c>
      <c r="DU45" s="256">
        <v>3130</v>
      </c>
      <c r="DV45" s="59">
        <f t="shared" si="98"/>
        <v>23960</v>
      </c>
      <c r="DW45" s="56">
        <f t="shared" ref="DW45:DW69" si="144">DQ45+DR45+DT45+DU45</f>
        <v>43481.2</v>
      </c>
      <c r="DX45" s="56">
        <f t="shared" ref="DX45:DX69" si="145">DC45/DJ45</f>
        <v>35828.300000000003</v>
      </c>
      <c r="DY45" s="56">
        <f>DD45/DK45</f>
        <v>35828.300000000003</v>
      </c>
      <c r="DZ45" s="56">
        <f>DE45/DL45</f>
        <v>35828.300000000003</v>
      </c>
      <c r="EA45" s="56">
        <f>DF45/DM45</f>
        <v>43950.400000000001</v>
      </c>
      <c r="EB45" s="56">
        <f>DG45/DN45</f>
        <v>43950.400000000001</v>
      </c>
      <c r="EC45" s="56">
        <f>DH45/DO45</f>
        <v>43950.400000000001</v>
      </c>
      <c r="ED45" s="56">
        <f t="shared" ref="ED45:ED69" si="146">DI45/DP45</f>
        <v>36524.772635561167</v>
      </c>
      <c r="EE45" s="273"/>
      <c r="EF45" s="274"/>
      <c r="EG45" s="273"/>
      <c r="EH45" s="273"/>
      <c r="EI45" s="273"/>
      <c r="EJ45" s="273"/>
      <c r="EK45" s="274"/>
      <c r="EL45" s="274"/>
      <c r="EM45" s="274"/>
      <c r="EN45" s="231"/>
      <c r="EO45" s="231"/>
      <c r="EP45" s="231"/>
      <c r="EQ45" s="231"/>
      <c r="ER45" s="231"/>
      <c r="ES45" s="231"/>
      <c r="ET45" s="231"/>
      <c r="EU45" s="273">
        <f t="shared" si="100"/>
        <v>0</v>
      </c>
      <c r="EV45" s="273">
        <f t="shared" si="101"/>
        <v>0</v>
      </c>
      <c r="EW45" s="273">
        <f t="shared" si="102"/>
        <v>43950.400000000001</v>
      </c>
      <c r="EX45" s="273">
        <f t="shared" ref="EX45:EX69" si="147">IF(AND(ED45&gt;$EP$44,ED45&lt;$ET$44),ED45,0)</f>
        <v>0</v>
      </c>
      <c r="EY45" s="273">
        <f t="shared" si="103"/>
        <v>0</v>
      </c>
      <c r="EZ45" s="273">
        <f t="shared" si="104"/>
        <v>0</v>
      </c>
      <c r="FA45" s="273">
        <f t="shared" si="105"/>
        <v>2988627.2</v>
      </c>
      <c r="FB45" s="273">
        <f t="shared" si="105"/>
        <v>0</v>
      </c>
      <c r="FC45" s="79"/>
      <c r="FD45" s="79"/>
      <c r="FE45" s="79"/>
      <c r="FF45" s="79"/>
      <c r="FG45" s="47"/>
      <c r="FH45" s="47"/>
      <c r="FI45" s="47"/>
      <c r="FJ45" s="47"/>
    </row>
    <row r="46" spans="1:166" ht="28.8" x14ac:dyDescent="0.3">
      <c r="A46" s="48" t="s">
        <v>5</v>
      </c>
      <c r="B46" s="258" t="s">
        <v>11</v>
      </c>
      <c r="C46" s="53">
        <v>2394544</v>
      </c>
      <c r="D46" s="53">
        <v>5649133</v>
      </c>
      <c r="E46" s="53">
        <f t="shared" si="106"/>
        <v>8043677</v>
      </c>
      <c r="F46" s="53"/>
      <c r="G46" s="53"/>
      <c r="H46" s="53">
        <f t="shared" si="86"/>
        <v>0</v>
      </c>
      <c r="I46" s="56">
        <f t="shared" si="107"/>
        <v>8043677</v>
      </c>
      <c r="J46" s="252">
        <v>356</v>
      </c>
      <c r="K46" s="252">
        <v>35</v>
      </c>
      <c r="L46" s="252">
        <f t="shared" ref="L46:L69" si="148">J46+K46</f>
        <v>391</v>
      </c>
      <c r="M46" s="252"/>
      <c r="N46" s="252"/>
      <c r="O46" s="252">
        <f t="shared" ref="O46:O69" si="149">M46+N46</f>
        <v>0</v>
      </c>
      <c r="P46" s="56">
        <f t="shared" ref="P46:P69" si="150">J46+K46+M46+N46</f>
        <v>391</v>
      </c>
      <c r="Q46" s="252">
        <v>4550</v>
      </c>
      <c r="R46" s="252">
        <v>2439</v>
      </c>
      <c r="S46" s="59">
        <f t="shared" ref="S46:S69" si="151">Q46+R46</f>
        <v>6989</v>
      </c>
      <c r="T46" s="252"/>
      <c r="U46" s="252"/>
      <c r="V46" s="256">
        <f t="shared" ref="V46:V69" si="152">T46+U46</f>
        <v>0</v>
      </c>
      <c r="W46" s="56">
        <f t="shared" ref="W46:W69" si="153">Q46+R46+T46+U46</f>
        <v>6989</v>
      </c>
      <c r="X46" s="56">
        <f t="shared" ref="X46:Z47" si="154">C46/J46</f>
        <v>6726.2471910112363</v>
      </c>
      <c r="Y46" s="56">
        <f t="shared" si="154"/>
        <v>161403.79999999999</v>
      </c>
      <c r="Z46" s="56">
        <f t="shared" si="154"/>
        <v>20572.063938618925</v>
      </c>
      <c r="AA46" s="56"/>
      <c r="AB46" s="56"/>
      <c r="AC46" s="56"/>
      <c r="AD46" s="56">
        <f t="shared" si="88"/>
        <v>20572.063938618925</v>
      </c>
      <c r="AE46" s="269"/>
      <c r="AF46" s="270"/>
      <c r="AG46" s="269"/>
      <c r="AH46" s="269"/>
      <c r="AI46" s="269"/>
      <c r="AJ46" s="269"/>
      <c r="AK46" s="270"/>
      <c r="AL46" s="270"/>
      <c r="AM46" s="270"/>
      <c r="AN46" s="267"/>
      <c r="AO46" s="267"/>
      <c r="AP46" s="267"/>
      <c r="AQ46" s="267"/>
      <c r="AR46" s="267"/>
      <c r="AS46" s="267"/>
      <c r="AT46" s="267"/>
      <c r="AU46" s="269">
        <f t="shared" si="114"/>
        <v>6726.2471910112363</v>
      </c>
      <c r="AV46" s="269">
        <f t="shared" si="115"/>
        <v>20572.063938618925</v>
      </c>
      <c r="AW46" s="269">
        <f t="shared" si="89"/>
        <v>0</v>
      </c>
      <c r="AX46" s="269">
        <f t="shared" si="116"/>
        <v>20572.063938618925</v>
      </c>
      <c r="AY46" s="269">
        <f t="shared" si="117"/>
        <v>2394544</v>
      </c>
      <c r="AZ46" s="269">
        <f t="shared" si="118"/>
        <v>8043677</v>
      </c>
      <c r="BA46" s="269">
        <f t="shared" si="119"/>
        <v>0</v>
      </c>
      <c r="BB46" s="269">
        <f t="shared" si="120"/>
        <v>8043677</v>
      </c>
      <c r="BC46" s="53">
        <v>15088003</v>
      </c>
      <c r="BD46" s="53">
        <v>369109</v>
      </c>
      <c r="BE46" s="79">
        <f t="shared" si="121"/>
        <v>15457112</v>
      </c>
      <c r="BF46" s="53">
        <v>84328</v>
      </c>
      <c r="BG46" s="53"/>
      <c r="BH46" s="79">
        <f t="shared" si="122"/>
        <v>84328</v>
      </c>
      <c r="BI46" s="56">
        <f t="shared" si="123"/>
        <v>15541440</v>
      </c>
      <c r="BJ46" s="252">
        <v>402</v>
      </c>
      <c r="BK46" s="252">
        <v>3</v>
      </c>
      <c r="BL46" s="252">
        <f t="shared" ref="BL46:BL69" si="155">BJ46+BK46</f>
        <v>405</v>
      </c>
      <c r="BM46" s="252">
        <v>1</v>
      </c>
      <c r="BN46" s="252"/>
      <c r="BO46" s="252">
        <f t="shared" ref="BO46:BO69" si="156">BM46+BN46</f>
        <v>1</v>
      </c>
      <c r="BP46" s="56">
        <f t="shared" ref="BP46:BP69" si="157">BJ46+BK46+BM46+BN46</f>
        <v>406</v>
      </c>
      <c r="BQ46" s="252">
        <v>7753</v>
      </c>
      <c r="BR46" s="252">
        <v>208</v>
      </c>
      <c r="BS46" s="76">
        <f t="shared" ref="BS46:BS69" si="158">BQ46+BR46</f>
        <v>7961</v>
      </c>
      <c r="BT46" s="252">
        <v>225</v>
      </c>
      <c r="BU46" s="252"/>
      <c r="BV46" s="59">
        <f t="shared" ref="BV46:BV69" si="159">BT46+BU46</f>
        <v>225</v>
      </c>
      <c r="BW46" s="56">
        <f t="shared" si="129"/>
        <v>8186</v>
      </c>
      <c r="BX46" s="56">
        <f t="shared" si="130"/>
        <v>37532.345771144275</v>
      </c>
      <c r="BY46" s="56">
        <f t="shared" si="131"/>
        <v>123036.33333333333</v>
      </c>
      <c r="BZ46" s="56">
        <f t="shared" si="132"/>
        <v>38165.70864197531</v>
      </c>
      <c r="CA46" s="56">
        <f t="shared" si="133"/>
        <v>84328</v>
      </c>
      <c r="CB46" s="56"/>
      <c r="CC46" s="56">
        <f t="shared" si="135"/>
        <v>84328</v>
      </c>
      <c r="CD46" s="56">
        <f t="shared" si="136"/>
        <v>38279.408866995072</v>
      </c>
      <c r="CE46" s="238"/>
      <c r="CF46" s="241"/>
      <c r="CG46" s="238"/>
      <c r="CH46" s="238"/>
      <c r="CI46" s="238"/>
      <c r="CJ46" s="238"/>
      <c r="CK46" s="241"/>
      <c r="CL46" s="241"/>
      <c r="CM46" s="241"/>
      <c r="CN46" s="233"/>
      <c r="CO46" s="233"/>
      <c r="CP46" s="233"/>
      <c r="CQ46" s="233"/>
      <c r="CR46" s="233"/>
      <c r="CS46" s="233"/>
      <c r="CT46" s="233"/>
      <c r="CU46" s="238">
        <f t="shared" si="91"/>
        <v>0</v>
      </c>
      <c r="CV46" s="238">
        <f t="shared" si="92"/>
        <v>0</v>
      </c>
      <c r="CW46" s="238">
        <f t="shared" si="93"/>
        <v>84328</v>
      </c>
      <c r="CX46" s="238">
        <f t="shared" si="137"/>
        <v>0</v>
      </c>
      <c r="CY46" s="238">
        <f t="shared" si="94"/>
        <v>0</v>
      </c>
      <c r="CZ46" s="238">
        <f t="shared" si="95"/>
        <v>0</v>
      </c>
      <c r="DA46" s="238">
        <f t="shared" si="96"/>
        <v>84328</v>
      </c>
      <c r="DB46" s="238">
        <f t="shared" si="96"/>
        <v>0</v>
      </c>
      <c r="DC46" s="53">
        <v>17524326</v>
      </c>
      <c r="DD46" s="53">
        <v>711564</v>
      </c>
      <c r="DE46" s="56">
        <f t="shared" si="138"/>
        <v>18235890</v>
      </c>
      <c r="DF46" s="53"/>
      <c r="DG46" s="53"/>
      <c r="DH46" s="56">
        <f t="shared" si="139"/>
        <v>0</v>
      </c>
      <c r="DI46" s="56">
        <f t="shared" si="140"/>
        <v>18235890</v>
      </c>
      <c r="DJ46" s="252">
        <v>256</v>
      </c>
      <c r="DK46" s="252">
        <v>3</v>
      </c>
      <c r="DL46" s="56">
        <f t="shared" ref="DL46:DL69" si="160">DJ46+DK46</f>
        <v>259</v>
      </c>
      <c r="DM46" s="252"/>
      <c r="DN46" s="252"/>
      <c r="DO46" s="56">
        <f t="shared" ref="DO46:DO69" si="161">DM46+DN46</f>
        <v>0</v>
      </c>
      <c r="DP46" s="56">
        <f t="shared" ref="DP46:DP69" si="162">DJ46+DK46+DM46+DN46</f>
        <v>259</v>
      </c>
      <c r="DQ46" s="252">
        <v>216</v>
      </c>
      <c r="DR46" s="252">
        <v>3840</v>
      </c>
      <c r="DS46" s="56">
        <f t="shared" si="97"/>
        <v>4056</v>
      </c>
      <c r="DT46" s="252"/>
      <c r="DU46" s="252"/>
      <c r="DV46" s="56">
        <f t="shared" si="98"/>
        <v>0</v>
      </c>
      <c r="DW46" s="56">
        <f t="shared" si="144"/>
        <v>4056</v>
      </c>
      <c r="DX46" s="56">
        <f t="shared" si="145"/>
        <v>68454.3984375</v>
      </c>
      <c r="DY46" s="56">
        <f>DD46/DK46</f>
        <v>237188</v>
      </c>
      <c r="DZ46" s="56">
        <f>DE46/DL46</f>
        <v>70408.841698841701</v>
      </c>
      <c r="EA46" s="56"/>
      <c r="EB46" s="56"/>
      <c r="EC46" s="56"/>
      <c r="ED46" s="56">
        <f>DI46/DP46</f>
        <v>70408.841698841701</v>
      </c>
      <c r="EE46" s="273"/>
      <c r="EF46" s="274"/>
      <c r="EG46" s="273"/>
      <c r="EH46" s="273"/>
      <c r="EI46" s="273"/>
      <c r="EJ46" s="273"/>
      <c r="EK46" s="274"/>
      <c r="EL46" s="274"/>
      <c r="EM46" s="274"/>
      <c r="EN46" s="231"/>
      <c r="EO46" s="231"/>
      <c r="EP46" s="231"/>
      <c r="EQ46" s="231"/>
      <c r="ER46" s="231"/>
      <c r="ES46" s="231"/>
      <c r="ET46" s="231"/>
      <c r="EU46" s="273">
        <f t="shared" si="100"/>
        <v>0</v>
      </c>
      <c r="EV46" s="273">
        <f t="shared" si="101"/>
        <v>0</v>
      </c>
      <c r="EW46" s="273">
        <f t="shared" si="102"/>
        <v>0</v>
      </c>
      <c r="EX46" s="273">
        <f t="shared" si="147"/>
        <v>0</v>
      </c>
      <c r="EY46" s="273">
        <f t="shared" si="103"/>
        <v>0</v>
      </c>
      <c r="EZ46" s="273">
        <f t="shared" si="104"/>
        <v>0</v>
      </c>
      <c r="FA46" s="273">
        <f t="shared" si="105"/>
        <v>0</v>
      </c>
      <c r="FB46" s="273">
        <f t="shared" si="105"/>
        <v>0</v>
      </c>
      <c r="FC46" s="79"/>
      <c r="FD46" s="79"/>
      <c r="FE46" s="79"/>
      <c r="FF46" s="79"/>
      <c r="FG46" s="47"/>
      <c r="FH46" s="47"/>
      <c r="FI46" s="47"/>
      <c r="FJ46" s="47"/>
    </row>
    <row r="47" spans="1:166" s="46" customFormat="1" x14ac:dyDescent="0.3">
      <c r="A47" s="61" t="s">
        <v>6</v>
      </c>
      <c r="B47" s="258" t="s">
        <v>12</v>
      </c>
      <c r="C47" s="53">
        <v>5072643</v>
      </c>
      <c r="D47" s="53">
        <v>3630673</v>
      </c>
      <c r="E47" s="53">
        <f t="shared" si="106"/>
        <v>8703316</v>
      </c>
      <c r="F47" s="53">
        <v>2025624</v>
      </c>
      <c r="G47" s="53"/>
      <c r="H47" s="53">
        <f t="shared" si="86"/>
        <v>2025624</v>
      </c>
      <c r="I47" s="56">
        <f t="shared" si="107"/>
        <v>10728940</v>
      </c>
      <c r="J47" s="252">
        <v>139</v>
      </c>
      <c r="K47" s="252">
        <v>98</v>
      </c>
      <c r="L47" s="252">
        <f t="shared" si="148"/>
        <v>237</v>
      </c>
      <c r="M47" s="252">
        <v>5</v>
      </c>
      <c r="N47" s="252"/>
      <c r="O47" s="252">
        <f t="shared" si="149"/>
        <v>5</v>
      </c>
      <c r="P47" s="56">
        <f t="shared" si="150"/>
        <v>242</v>
      </c>
      <c r="Q47" s="252">
        <v>1703.54</v>
      </c>
      <c r="R47" s="252">
        <v>2897.67</v>
      </c>
      <c r="S47" s="59">
        <f t="shared" si="151"/>
        <v>4601.21</v>
      </c>
      <c r="T47" s="252">
        <v>1884</v>
      </c>
      <c r="U47" s="252"/>
      <c r="V47" s="256">
        <f t="shared" si="152"/>
        <v>1884</v>
      </c>
      <c r="W47" s="56">
        <f t="shared" si="153"/>
        <v>6485.21</v>
      </c>
      <c r="X47" s="56">
        <f t="shared" si="154"/>
        <v>36493.834532374101</v>
      </c>
      <c r="Y47" s="56">
        <f t="shared" si="154"/>
        <v>37047.683673469386</v>
      </c>
      <c r="Z47" s="56">
        <f t="shared" si="154"/>
        <v>36722.852320675105</v>
      </c>
      <c r="AA47" s="56">
        <f>F47/M47</f>
        <v>405124.8</v>
      </c>
      <c r="AB47" s="56"/>
      <c r="AC47" s="56">
        <f>H47/O47</f>
        <v>405124.8</v>
      </c>
      <c r="AD47" s="56">
        <f t="shared" si="88"/>
        <v>44334.462809917357</v>
      </c>
      <c r="AE47" s="269"/>
      <c r="AF47" s="270"/>
      <c r="AG47" s="269"/>
      <c r="AH47" s="269"/>
      <c r="AI47" s="269"/>
      <c r="AJ47" s="269"/>
      <c r="AK47" s="270"/>
      <c r="AL47" s="270"/>
      <c r="AM47" s="270"/>
      <c r="AN47" s="267"/>
      <c r="AO47" s="267"/>
      <c r="AP47" s="267"/>
      <c r="AQ47" s="267"/>
      <c r="AR47" s="267"/>
      <c r="AS47" s="267"/>
      <c r="AT47" s="267"/>
      <c r="AU47" s="269">
        <f t="shared" si="114"/>
        <v>0</v>
      </c>
      <c r="AV47" s="269">
        <f t="shared" si="115"/>
        <v>0</v>
      </c>
      <c r="AW47" s="269">
        <f t="shared" si="89"/>
        <v>0</v>
      </c>
      <c r="AX47" s="269">
        <f t="shared" si="116"/>
        <v>0</v>
      </c>
      <c r="AY47" s="269">
        <f t="shared" si="117"/>
        <v>0</v>
      </c>
      <c r="AZ47" s="269">
        <f t="shared" si="118"/>
        <v>0</v>
      </c>
      <c r="BA47" s="269">
        <f t="shared" si="119"/>
        <v>0</v>
      </c>
      <c r="BB47" s="269">
        <f t="shared" si="120"/>
        <v>0</v>
      </c>
      <c r="BC47" s="53">
        <v>8178327</v>
      </c>
      <c r="BD47" s="53">
        <v>3625119</v>
      </c>
      <c r="BE47" s="79">
        <f t="shared" si="121"/>
        <v>11803446</v>
      </c>
      <c r="BF47" s="53">
        <v>312594</v>
      </c>
      <c r="BG47" s="53"/>
      <c r="BH47" s="79">
        <f t="shared" si="122"/>
        <v>312594</v>
      </c>
      <c r="BI47" s="56">
        <f t="shared" si="123"/>
        <v>12116040</v>
      </c>
      <c r="BJ47" s="252">
        <v>229</v>
      </c>
      <c r="BK47" s="252">
        <v>69</v>
      </c>
      <c r="BL47" s="252">
        <f t="shared" si="155"/>
        <v>298</v>
      </c>
      <c r="BM47" s="252">
        <v>4</v>
      </c>
      <c r="BN47" s="252"/>
      <c r="BO47" s="252">
        <f t="shared" si="156"/>
        <v>4</v>
      </c>
      <c r="BP47" s="56">
        <f t="shared" si="157"/>
        <v>302</v>
      </c>
      <c r="BQ47" s="252">
        <v>2552.6</v>
      </c>
      <c r="BR47" s="252">
        <v>3132</v>
      </c>
      <c r="BS47" s="76">
        <f t="shared" si="158"/>
        <v>5684.6</v>
      </c>
      <c r="BT47" s="252">
        <v>564</v>
      </c>
      <c r="BU47" s="252"/>
      <c r="BV47" s="59">
        <f t="shared" si="159"/>
        <v>564</v>
      </c>
      <c r="BW47" s="56">
        <f t="shared" si="129"/>
        <v>6248.6</v>
      </c>
      <c r="BX47" s="56">
        <f t="shared" si="130"/>
        <v>35713.218340611355</v>
      </c>
      <c r="BY47" s="56">
        <f t="shared" si="131"/>
        <v>52537.956521739128</v>
      </c>
      <c r="BZ47" s="56">
        <f t="shared" si="132"/>
        <v>39608.87919463087</v>
      </c>
      <c r="CA47" s="56">
        <f t="shared" si="133"/>
        <v>78148.5</v>
      </c>
      <c r="CB47" s="56"/>
      <c r="CC47" s="56">
        <f t="shared" si="135"/>
        <v>78148.5</v>
      </c>
      <c r="CD47" s="56">
        <f t="shared" si="136"/>
        <v>40119.337748344369</v>
      </c>
      <c r="CE47" s="238"/>
      <c r="CF47" s="241"/>
      <c r="CG47" s="238"/>
      <c r="CH47" s="238"/>
      <c r="CI47" s="238"/>
      <c r="CJ47" s="238"/>
      <c r="CK47" s="241"/>
      <c r="CL47" s="241"/>
      <c r="CM47" s="241"/>
      <c r="CN47" s="233"/>
      <c r="CO47" s="233"/>
      <c r="CP47" s="233"/>
      <c r="CQ47" s="233"/>
      <c r="CR47" s="233"/>
      <c r="CS47" s="233"/>
      <c r="CT47" s="233"/>
      <c r="CU47" s="238">
        <f t="shared" si="91"/>
        <v>0</v>
      </c>
      <c r="CV47" s="238">
        <f t="shared" si="92"/>
        <v>0</v>
      </c>
      <c r="CW47" s="238">
        <f t="shared" si="93"/>
        <v>78148.5</v>
      </c>
      <c r="CX47" s="238">
        <f t="shared" si="137"/>
        <v>0</v>
      </c>
      <c r="CY47" s="238">
        <f t="shared" si="94"/>
        <v>0</v>
      </c>
      <c r="CZ47" s="238">
        <f t="shared" si="95"/>
        <v>0</v>
      </c>
      <c r="DA47" s="238">
        <f t="shared" si="96"/>
        <v>312594</v>
      </c>
      <c r="DB47" s="238">
        <f t="shared" si="96"/>
        <v>0</v>
      </c>
      <c r="DC47" s="53">
        <v>7671719</v>
      </c>
      <c r="DD47" s="53">
        <v>3101638</v>
      </c>
      <c r="DE47" s="56">
        <f t="shared" si="138"/>
        <v>10773357</v>
      </c>
      <c r="DF47" s="53">
        <v>1165203</v>
      </c>
      <c r="DG47" s="53"/>
      <c r="DH47" s="56">
        <f t="shared" si="139"/>
        <v>1165203</v>
      </c>
      <c r="DI47" s="56">
        <f t="shared" si="140"/>
        <v>11938560</v>
      </c>
      <c r="DJ47" s="252">
        <v>245</v>
      </c>
      <c r="DK47" s="252">
        <v>60</v>
      </c>
      <c r="DL47" s="56">
        <f t="shared" si="160"/>
        <v>305</v>
      </c>
      <c r="DM47" s="252">
        <v>7</v>
      </c>
      <c r="DN47" s="252"/>
      <c r="DO47" s="56">
        <f t="shared" si="161"/>
        <v>7</v>
      </c>
      <c r="DP47" s="56">
        <f t="shared" si="162"/>
        <v>312</v>
      </c>
      <c r="DQ47" s="252">
        <v>2511.09</v>
      </c>
      <c r="DR47" s="252">
        <v>2807</v>
      </c>
      <c r="DS47" s="56">
        <f>DQ47+DR47</f>
        <v>5318.09</v>
      </c>
      <c r="DT47" s="252">
        <v>2315</v>
      </c>
      <c r="DU47" s="252"/>
      <c r="DV47" s="56">
        <f t="shared" si="98"/>
        <v>2315</v>
      </c>
      <c r="DW47" s="56">
        <f t="shared" si="144"/>
        <v>7633.09</v>
      </c>
      <c r="DX47" s="56">
        <f t="shared" si="145"/>
        <v>31313.138775510204</v>
      </c>
      <c r="DY47" s="56">
        <f>DD47/DK47</f>
        <v>51693.966666666667</v>
      </c>
      <c r="DZ47" s="56">
        <f>DE47/DL47</f>
        <v>35322.481967213113</v>
      </c>
      <c r="EA47" s="56">
        <f>DF47/DM47</f>
        <v>166457.57142857142</v>
      </c>
      <c r="EB47" s="56"/>
      <c r="EC47" s="56">
        <f>DH47/DO47</f>
        <v>166457.57142857142</v>
      </c>
      <c r="ED47" s="56">
        <f t="shared" si="146"/>
        <v>38264.615384615383</v>
      </c>
      <c r="EE47" s="273"/>
      <c r="EF47" s="274"/>
      <c r="EG47" s="273"/>
      <c r="EH47" s="273"/>
      <c r="EI47" s="273"/>
      <c r="EJ47" s="273"/>
      <c r="EK47" s="274"/>
      <c r="EL47" s="274"/>
      <c r="EM47" s="274"/>
      <c r="EN47" s="231"/>
      <c r="EO47" s="231"/>
      <c r="EP47" s="231"/>
      <c r="EQ47" s="231"/>
      <c r="ER47" s="231"/>
      <c r="ES47" s="231"/>
      <c r="ET47" s="231"/>
      <c r="EU47" s="273">
        <f t="shared" si="100"/>
        <v>0</v>
      </c>
      <c r="EV47" s="273">
        <f t="shared" si="101"/>
        <v>0</v>
      </c>
      <c r="EW47" s="273">
        <f t="shared" si="102"/>
        <v>166457.57142857142</v>
      </c>
      <c r="EX47" s="273">
        <f t="shared" si="147"/>
        <v>0</v>
      </c>
      <c r="EY47" s="273">
        <f t="shared" si="103"/>
        <v>0</v>
      </c>
      <c r="EZ47" s="273">
        <f t="shared" si="104"/>
        <v>0</v>
      </c>
      <c r="FA47" s="273">
        <f t="shared" si="105"/>
        <v>1165203</v>
      </c>
      <c r="FB47" s="273">
        <f t="shared" si="105"/>
        <v>0</v>
      </c>
      <c r="FC47" s="79"/>
      <c r="FD47" s="79"/>
      <c r="FE47" s="79"/>
      <c r="FF47" s="79"/>
      <c r="FG47" s="230"/>
      <c r="FH47" s="230"/>
      <c r="FI47" s="230"/>
      <c r="FJ47" s="230"/>
    </row>
    <row r="48" spans="1:166" x14ac:dyDescent="0.3">
      <c r="A48" s="48" t="s">
        <v>7</v>
      </c>
      <c r="B48" s="258" t="s">
        <v>13</v>
      </c>
      <c r="C48" s="53">
        <v>271275</v>
      </c>
      <c r="D48" s="53"/>
      <c r="E48" s="53">
        <f t="shared" si="106"/>
        <v>271275</v>
      </c>
      <c r="F48" s="53"/>
      <c r="G48" s="53"/>
      <c r="H48" s="53">
        <f t="shared" si="86"/>
        <v>0</v>
      </c>
      <c r="I48" s="56">
        <f t="shared" si="107"/>
        <v>271275</v>
      </c>
      <c r="J48" s="252">
        <v>119</v>
      </c>
      <c r="K48" s="252"/>
      <c r="L48" s="252">
        <f t="shared" si="148"/>
        <v>119</v>
      </c>
      <c r="M48" s="252"/>
      <c r="N48" s="252"/>
      <c r="O48" s="252">
        <f t="shared" si="149"/>
        <v>0</v>
      </c>
      <c r="P48" s="56">
        <f t="shared" si="150"/>
        <v>119</v>
      </c>
      <c r="Q48" s="252">
        <v>1201</v>
      </c>
      <c r="R48" s="252"/>
      <c r="S48" s="59">
        <f t="shared" si="151"/>
        <v>1201</v>
      </c>
      <c r="T48" s="252"/>
      <c r="U48" s="252"/>
      <c r="V48" s="256">
        <f t="shared" si="152"/>
        <v>0</v>
      </c>
      <c r="W48" s="56">
        <f t="shared" si="153"/>
        <v>1201</v>
      </c>
      <c r="X48" s="56">
        <f t="shared" ref="X48:X62" si="163">C48/J48</f>
        <v>2279.6218487394958</v>
      </c>
      <c r="Y48" s="56"/>
      <c r="Z48" s="56">
        <f t="shared" ref="Z48:Z62" si="164">E48/L48</f>
        <v>2279.6218487394958</v>
      </c>
      <c r="AA48" s="56"/>
      <c r="AB48" s="56"/>
      <c r="AC48" s="56"/>
      <c r="AD48" s="56">
        <f t="shared" si="88"/>
        <v>2279.6218487394958</v>
      </c>
      <c r="AE48" s="269"/>
      <c r="AF48" s="270"/>
      <c r="AG48" s="269"/>
      <c r="AH48" s="269"/>
      <c r="AI48" s="269"/>
      <c r="AJ48" s="269"/>
      <c r="AK48" s="270"/>
      <c r="AL48" s="270"/>
      <c r="AM48" s="270"/>
      <c r="AN48" s="267"/>
      <c r="AO48" s="267"/>
      <c r="AP48" s="267"/>
      <c r="AQ48" s="267"/>
      <c r="AR48" s="267"/>
      <c r="AS48" s="267"/>
      <c r="AT48" s="267"/>
      <c r="AU48" s="269">
        <f t="shared" si="114"/>
        <v>2279.6218487394958</v>
      </c>
      <c r="AV48" s="269">
        <f t="shared" si="115"/>
        <v>2279.6218487394958</v>
      </c>
      <c r="AW48" s="269">
        <f t="shared" si="89"/>
        <v>0</v>
      </c>
      <c r="AX48" s="269">
        <f t="shared" si="116"/>
        <v>2279.6218487394958</v>
      </c>
      <c r="AY48" s="269">
        <f t="shared" si="117"/>
        <v>271275</v>
      </c>
      <c r="AZ48" s="269">
        <f t="shared" si="118"/>
        <v>271275</v>
      </c>
      <c r="BA48" s="269">
        <f t="shared" si="119"/>
        <v>0</v>
      </c>
      <c r="BB48" s="269">
        <f t="shared" si="120"/>
        <v>271275</v>
      </c>
      <c r="BC48" s="53">
        <v>67251</v>
      </c>
      <c r="BD48" s="53"/>
      <c r="BE48" s="79">
        <f t="shared" si="121"/>
        <v>67251</v>
      </c>
      <c r="BF48" s="53"/>
      <c r="BG48" s="53"/>
      <c r="BH48" s="79">
        <f t="shared" si="122"/>
        <v>0</v>
      </c>
      <c r="BI48" s="56">
        <f t="shared" si="123"/>
        <v>67251</v>
      </c>
      <c r="BJ48" s="252">
        <v>79</v>
      </c>
      <c r="BK48" s="252"/>
      <c r="BL48" s="252">
        <f t="shared" si="155"/>
        <v>79</v>
      </c>
      <c r="BM48" s="252"/>
      <c r="BN48" s="252"/>
      <c r="BO48" s="252">
        <f t="shared" si="156"/>
        <v>0</v>
      </c>
      <c r="BP48" s="56">
        <f t="shared" si="157"/>
        <v>79</v>
      </c>
      <c r="BQ48" s="252">
        <v>877.875</v>
      </c>
      <c r="BR48" s="252"/>
      <c r="BS48" s="76">
        <f t="shared" si="158"/>
        <v>877.875</v>
      </c>
      <c r="BT48" s="252"/>
      <c r="BU48" s="252"/>
      <c r="BV48" s="59">
        <f t="shared" si="159"/>
        <v>0</v>
      </c>
      <c r="BW48" s="56">
        <f t="shared" si="129"/>
        <v>877.875</v>
      </c>
      <c r="BX48" s="56">
        <f t="shared" si="130"/>
        <v>851.27848101265818</v>
      </c>
      <c r="BY48" s="56"/>
      <c r="BZ48" s="56">
        <f t="shared" si="132"/>
        <v>851.27848101265818</v>
      </c>
      <c r="CA48" s="56"/>
      <c r="CB48" s="56"/>
      <c r="CC48" s="56"/>
      <c r="CD48" s="56">
        <f t="shared" si="136"/>
        <v>851.27848101265818</v>
      </c>
      <c r="CE48" s="238"/>
      <c r="CF48" s="241"/>
      <c r="CG48" s="238"/>
      <c r="CH48" s="238"/>
      <c r="CI48" s="238"/>
      <c r="CJ48" s="238"/>
      <c r="CK48" s="241"/>
      <c r="CL48" s="241"/>
      <c r="CM48" s="241"/>
      <c r="CN48" s="233"/>
      <c r="CO48" s="233"/>
      <c r="CP48" s="233"/>
      <c r="CQ48" s="233"/>
      <c r="CR48" s="233"/>
      <c r="CS48" s="233"/>
      <c r="CT48" s="233"/>
      <c r="CU48" s="238">
        <f t="shared" si="91"/>
        <v>851.27848101265818</v>
      </c>
      <c r="CV48" s="238">
        <f t="shared" si="92"/>
        <v>851.27848101265818</v>
      </c>
      <c r="CW48" s="238">
        <f t="shared" si="93"/>
        <v>0</v>
      </c>
      <c r="CX48" s="238">
        <f t="shared" si="137"/>
        <v>851.27848101265818</v>
      </c>
      <c r="CY48" s="238">
        <f t="shared" si="94"/>
        <v>67251</v>
      </c>
      <c r="CZ48" s="238">
        <f t="shared" si="95"/>
        <v>67251</v>
      </c>
      <c r="DA48" s="238">
        <f t="shared" si="96"/>
        <v>0</v>
      </c>
      <c r="DB48" s="238">
        <f t="shared" si="96"/>
        <v>67251</v>
      </c>
      <c r="DC48" s="53">
        <v>62778</v>
      </c>
      <c r="DD48" s="53"/>
      <c r="DE48" s="56">
        <f t="shared" si="138"/>
        <v>62778</v>
      </c>
      <c r="DF48" s="53"/>
      <c r="DG48" s="53"/>
      <c r="DH48" s="56">
        <f t="shared" si="139"/>
        <v>0</v>
      </c>
      <c r="DI48" s="56">
        <f t="shared" si="140"/>
        <v>62778</v>
      </c>
      <c r="DJ48" s="252">
        <v>107</v>
      </c>
      <c r="DK48" s="252"/>
      <c r="DL48" s="56">
        <f t="shared" si="160"/>
        <v>107</v>
      </c>
      <c r="DM48" s="252"/>
      <c r="DN48" s="252"/>
      <c r="DO48" s="56">
        <f t="shared" si="161"/>
        <v>0</v>
      </c>
      <c r="DP48" s="56">
        <f t="shared" si="162"/>
        <v>107</v>
      </c>
      <c r="DQ48" s="252">
        <v>1134.06</v>
      </c>
      <c r="DR48" s="252"/>
      <c r="DS48" s="56">
        <f t="shared" si="97"/>
        <v>1134.06</v>
      </c>
      <c r="DT48" s="252"/>
      <c r="DU48" s="252"/>
      <c r="DV48" s="56">
        <f t="shared" si="98"/>
        <v>0</v>
      </c>
      <c r="DW48" s="56">
        <f t="shared" si="144"/>
        <v>1134.06</v>
      </c>
      <c r="DX48" s="56">
        <f t="shared" si="145"/>
        <v>586.71028037383178</v>
      </c>
      <c r="DY48" s="56"/>
      <c r="DZ48" s="56">
        <f t="shared" ref="DZ48:DZ60" si="165">DE48/DL48</f>
        <v>586.71028037383178</v>
      </c>
      <c r="EA48" s="56"/>
      <c r="EB48" s="56"/>
      <c r="EC48" s="56"/>
      <c r="ED48" s="56">
        <f t="shared" si="146"/>
        <v>586.71028037383178</v>
      </c>
      <c r="EE48" s="273"/>
      <c r="EF48" s="274"/>
      <c r="EG48" s="273"/>
      <c r="EH48" s="273"/>
      <c r="EI48" s="273"/>
      <c r="EJ48" s="273"/>
      <c r="EK48" s="274"/>
      <c r="EL48" s="274"/>
      <c r="EM48" s="274"/>
      <c r="EN48" s="231"/>
      <c r="EO48" s="231"/>
      <c r="EP48" s="231"/>
      <c r="EQ48" s="231"/>
      <c r="ER48" s="231"/>
      <c r="ES48" s="231"/>
      <c r="ET48" s="231"/>
      <c r="EU48" s="273">
        <f t="shared" si="100"/>
        <v>586.71028037383178</v>
      </c>
      <c r="EV48" s="273">
        <f t="shared" si="101"/>
        <v>586.71028037383178</v>
      </c>
      <c r="EW48" s="273">
        <f t="shared" si="102"/>
        <v>0</v>
      </c>
      <c r="EX48" s="273">
        <f t="shared" si="147"/>
        <v>586.71028037383178</v>
      </c>
      <c r="EY48" s="273">
        <f t="shared" si="103"/>
        <v>62778</v>
      </c>
      <c r="EZ48" s="273">
        <f t="shared" si="104"/>
        <v>62778</v>
      </c>
      <c r="FA48" s="273">
        <f t="shared" si="105"/>
        <v>0</v>
      </c>
      <c r="FB48" s="273">
        <f t="shared" si="105"/>
        <v>62778</v>
      </c>
      <c r="FC48" s="79"/>
      <c r="FD48" s="79"/>
      <c r="FE48" s="79"/>
      <c r="FF48" s="79"/>
      <c r="FG48" s="47"/>
      <c r="FH48" s="47"/>
      <c r="FI48" s="47"/>
      <c r="FJ48" s="47"/>
    </row>
    <row r="49" spans="1:166" x14ac:dyDescent="0.3">
      <c r="A49" s="48" t="s">
        <v>8</v>
      </c>
      <c r="B49" s="258" t="s">
        <v>14</v>
      </c>
      <c r="C49" s="53">
        <v>138865</v>
      </c>
      <c r="D49" s="53"/>
      <c r="E49" s="53">
        <f t="shared" si="106"/>
        <v>138865</v>
      </c>
      <c r="F49" s="53"/>
      <c r="G49" s="53"/>
      <c r="H49" s="53">
        <f t="shared" si="86"/>
        <v>0</v>
      </c>
      <c r="I49" s="56">
        <f t="shared" si="107"/>
        <v>138865</v>
      </c>
      <c r="J49" s="252">
        <v>50</v>
      </c>
      <c r="K49" s="252"/>
      <c r="L49" s="252">
        <f t="shared" si="148"/>
        <v>50</v>
      </c>
      <c r="M49" s="252"/>
      <c r="N49" s="252"/>
      <c r="O49" s="252">
        <f t="shared" si="149"/>
        <v>0</v>
      </c>
      <c r="P49" s="56">
        <f t="shared" si="150"/>
        <v>50</v>
      </c>
      <c r="Q49" s="252">
        <v>1303.4680000000001</v>
      </c>
      <c r="R49" s="252"/>
      <c r="S49" s="59">
        <f t="shared" si="151"/>
        <v>1303.4680000000001</v>
      </c>
      <c r="T49" s="252"/>
      <c r="U49" s="252"/>
      <c r="V49" s="256">
        <f t="shared" si="152"/>
        <v>0</v>
      </c>
      <c r="W49" s="56">
        <f t="shared" si="153"/>
        <v>1303.4680000000001</v>
      </c>
      <c r="X49" s="56">
        <f t="shared" si="163"/>
        <v>2777.3</v>
      </c>
      <c r="Y49" s="56"/>
      <c r="Z49" s="56">
        <f t="shared" si="164"/>
        <v>2777.3</v>
      </c>
      <c r="AA49" s="56"/>
      <c r="AB49" s="56"/>
      <c r="AC49" s="56"/>
      <c r="AD49" s="56">
        <f t="shared" si="88"/>
        <v>2777.3</v>
      </c>
      <c r="AE49" s="269"/>
      <c r="AF49" s="270"/>
      <c r="AG49" s="269"/>
      <c r="AH49" s="269"/>
      <c r="AI49" s="269"/>
      <c r="AJ49" s="269"/>
      <c r="AK49" s="270"/>
      <c r="AL49" s="270"/>
      <c r="AM49" s="270"/>
      <c r="AN49" s="267"/>
      <c r="AO49" s="267"/>
      <c r="AP49" s="267"/>
      <c r="AQ49" s="267"/>
      <c r="AR49" s="267"/>
      <c r="AS49" s="267"/>
      <c r="AT49" s="267"/>
      <c r="AU49" s="269">
        <f t="shared" si="114"/>
        <v>2777.3</v>
      </c>
      <c r="AV49" s="269">
        <f t="shared" si="115"/>
        <v>2777.3</v>
      </c>
      <c r="AW49" s="269">
        <f t="shared" si="89"/>
        <v>0</v>
      </c>
      <c r="AX49" s="269">
        <f t="shared" si="116"/>
        <v>2777.3</v>
      </c>
      <c r="AY49" s="269">
        <f t="shared" si="117"/>
        <v>138865</v>
      </c>
      <c r="AZ49" s="269">
        <f t="shared" si="118"/>
        <v>138865</v>
      </c>
      <c r="BA49" s="269">
        <f t="shared" si="119"/>
        <v>0</v>
      </c>
      <c r="BB49" s="269">
        <f t="shared" si="120"/>
        <v>138865</v>
      </c>
      <c r="BC49" s="53">
        <v>110894</v>
      </c>
      <c r="BD49" s="53"/>
      <c r="BE49" s="79">
        <f t="shared" si="121"/>
        <v>110894</v>
      </c>
      <c r="BF49" s="53"/>
      <c r="BG49" s="53"/>
      <c r="BH49" s="79">
        <f t="shared" si="122"/>
        <v>0</v>
      </c>
      <c r="BI49" s="56">
        <f t="shared" si="123"/>
        <v>110894</v>
      </c>
      <c r="BJ49" s="252">
        <v>89</v>
      </c>
      <c r="BK49" s="252"/>
      <c r="BL49" s="252">
        <f t="shared" si="155"/>
        <v>89</v>
      </c>
      <c r="BM49" s="252"/>
      <c r="BN49" s="252"/>
      <c r="BO49" s="252">
        <f t="shared" si="156"/>
        <v>0</v>
      </c>
      <c r="BP49" s="56">
        <f t="shared" si="157"/>
        <v>89</v>
      </c>
      <c r="BQ49" s="252">
        <v>1243.425</v>
      </c>
      <c r="BR49" s="252"/>
      <c r="BS49" s="76">
        <f t="shared" si="158"/>
        <v>1243.425</v>
      </c>
      <c r="BT49" s="252"/>
      <c r="BU49" s="252"/>
      <c r="BV49" s="59">
        <f t="shared" si="159"/>
        <v>0</v>
      </c>
      <c r="BW49" s="56">
        <f t="shared" si="129"/>
        <v>1243.425</v>
      </c>
      <c r="BX49" s="56">
        <f t="shared" si="130"/>
        <v>1246</v>
      </c>
      <c r="BY49" s="56"/>
      <c r="BZ49" s="56">
        <f t="shared" si="132"/>
        <v>1246</v>
      </c>
      <c r="CA49" s="56"/>
      <c r="CB49" s="56"/>
      <c r="CC49" s="56"/>
      <c r="CD49" s="56">
        <f t="shared" si="136"/>
        <v>1246</v>
      </c>
      <c r="CE49" s="238"/>
      <c r="CF49" s="241"/>
      <c r="CG49" s="238"/>
      <c r="CH49" s="238"/>
      <c r="CI49" s="238"/>
      <c r="CJ49" s="238"/>
      <c r="CK49" s="241"/>
      <c r="CL49" s="241"/>
      <c r="CM49" s="241"/>
      <c r="CN49" s="233"/>
      <c r="CO49" s="233"/>
      <c r="CP49" s="233"/>
      <c r="CQ49" s="233"/>
      <c r="CR49" s="233"/>
      <c r="CS49" s="233"/>
      <c r="CT49" s="233"/>
      <c r="CU49" s="238">
        <f t="shared" si="91"/>
        <v>1246</v>
      </c>
      <c r="CV49" s="238">
        <f t="shared" si="92"/>
        <v>1246</v>
      </c>
      <c r="CW49" s="238">
        <f t="shared" si="93"/>
        <v>0</v>
      </c>
      <c r="CX49" s="238">
        <f t="shared" si="137"/>
        <v>1246</v>
      </c>
      <c r="CY49" s="238">
        <f t="shared" si="94"/>
        <v>110894</v>
      </c>
      <c r="CZ49" s="238">
        <f t="shared" si="95"/>
        <v>110894</v>
      </c>
      <c r="DA49" s="238">
        <f t="shared" si="96"/>
        <v>0</v>
      </c>
      <c r="DB49" s="238">
        <f t="shared" si="96"/>
        <v>110894</v>
      </c>
      <c r="DC49" s="53">
        <v>32593</v>
      </c>
      <c r="DD49" s="53"/>
      <c r="DE49" s="56">
        <f t="shared" si="138"/>
        <v>32593</v>
      </c>
      <c r="DF49" s="53"/>
      <c r="DG49" s="53"/>
      <c r="DH49" s="56">
        <f t="shared" si="139"/>
        <v>0</v>
      </c>
      <c r="DI49" s="56">
        <f t="shared" si="140"/>
        <v>32593</v>
      </c>
      <c r="DJ49" s="252">
        <v>50</v>
      </c>
      <c r="DK49" s="252"/>
      <c r="DL49" s="56">
        <f t="shared" si="160"/>
        <v>50</v>
      </c>
      <c r="DM49" s="252"/>
      <c r="DN49" s="252"/>
      <c r="DO49" s="56">
        <f t="shared" si="161"/>
        <v>0</v>
      </c>
      <c r="DP49" s="56">
        <f t="shared" si="162"/>
        <v>50</v>
      </c>
      <c r="DQ49" s="252">
        <v>741.52499999999998</v>
      </c>
      <c r="DR49" s="252"/>
      <c r="DS49" s="56">
        <f t="shared" si="97"/>
        <v>741.52499999999998</v>
      </c>
      <c r="DT49" s="252"/>
      <c r="DU49" s="252"/>
      <c r="DV49" s="56">
        <f>DT49+DU49</f>
        <v>0</v>
      </c>
      <c r="DW49" s="56">
        <f t="shared" si="144"/>
        <v>741.52499999999998</v>
      </c>
      <c r="DX49" s="56">
        <f t="shared" si="145"/>
        <v>651.86</v>
      </c>
      <c r="DY49" s="56"/>
      <c r="DZ49" s="56">
        <f t="shared" si="165"/>
        <v>651.86</v>
      </c>
      <c r="EA49" s="56"/>
      <c r="EB49" s="56"/>
      <c r="EC49" s="56"/>
      <c r="ED49" s="56">
        <f t="shared" si="146"/>
        <v>651.86</v>
      </c>
      <c r="EE49" s="273"/>
      <c r="EF49" s="274"/>
      <c r="EG49" s="273"/>
      <c r="EH49" s="273"/>
      <c r="EI49" s="273"/>
      <c r="EJ49" s="273"/>
      <c r="EK49" s="274"/>
      <c r="EL49" s="274"/>
      <c r="EM49" s="274"/>
      <c r="EN49" s="231"/>
      <c r="EO49" s="231"/>
      <c r="EP49" s="231"/>
      <c r="EQ49" s="231"/>
      <c r="ER49" s="231"/>
      <c r="ES49" s="231"/>
      <c r="ET49" s="231"/>
      <c r="EU49" s="273">
        <f t="shared" si="100"/>
        <v>651.86</v>
      </c>
      <c r="EV49" s="273">
        <f t="shared" si="101"/>
        <v>651.86</v>
      </c>
      <c r="EW49" s="273">
        <f t="shared" si="102"/>
        <v>0</v>
      </c>
      <c r="EX49" s="273">
        <f t="shared" si="147"/>
        <v>651.86</v>
      </c>
      <c r="EY49" s="273">
        <f t="shared" si="103"/>
        <v>32593</v>
      </c>
      <c r="EZ49" s="273">
        <f t="shared" si="104"/>
        <v>32593</v>
      </c>
      <c r="FA49" s="273">
        <f t="shared" si="105"/>
        <v>0</v>
      </c>
      <c r="FB49" s="273">
        <f t="shared" si="105"/>
        <v>32593</v>
      </c>
      <c r="FC49" s="79"/>
      <c r="FD49" s="79"/>
      <c r="FE49" s="79"/>
      <c r="FF49" s="79"/>
      <c r="FG49" s="47"/>
      <c r="FH49" s="47"/>
      <c r="FI49" s="47"/>
      <c r="FJ49" s="47"/>
    </row>
    <row r="50" spans="1:166" x14ac:dyDescent="0.3">
      <c r="A50" s="48" t="s">
        <v>44</v>
      </c>
      <c r="B50" s="258" t="s">
        <v>15</v>
      </c>
      <c r="C50" s="53">
        <v>3409561.42</v>
      </c>
      <c r="D50" s="53">
        <v>2632650.64</v>
      </c>
      <c r="E50" s="53">
        <f t="shared" si="106"/>
        <v>6042212.0600000005</v>
      </c>
      <c r="F50" s="53">
        <v>3668691.94</v>
      </c>
      <c r="G50" s="53">
        <v>0</v>
      </c>
      <c r="H50" s="53">
        <f t="shared" si="86"/>
        <v>3668691.94</v>
      </c>
      <c r="I50" s="56">
        <f t="shared" si="107"/>
        <v>9710904</v>
      </c>
      <c r="J50" s="252">
        <v>525</v>
      </c>
      <c r="K50" s="252">
        <v>116</v>
      </c>
      <c r="L50" s="252">
        <f t="shared" si="148"/>
        <v>641</v>
      </c>
      <c r="M50" s="252">
        <v>17</v>
      </c>
      <c r="N50" s="252">
        <v>0</v>
      </c>
      <c r="O50" s="252">
        <f t="shared" si="149"/>
        <v>17</v>
      </c>
      <c r="P50" s="56">
        <f t="shared" si="150"/>
        <v>658</v>
      </c>
      <c r="Q50" s="252">
        <v>7092</v>
      </c>
      <c r="R50" s="252">
        <v>5476</v>
      </c>
      <c r="S50" s="59">
        <f t="shared" si="151"/>
        <v>12568</v>
      </c>
      <c r="T50" s="252">
        <v>7631</v>
      </c>
      <c r="U50" s="252">
        <v>0</v>
      </c>
      <c r="V50" s="256">
        <f t="shared" si="152"/>
        <v>7631</v>
      </c>
      <c r="W50" s="56">
        <f t="shared" si="153"/>
        <v>20199</v>
      </c>
      <c r="X50" s="56">
        <f t="shared" si="163"/>
        <v>6494.4027047619047</v>
      </c>
      <c r="Y50" s="56">
        <f>D50/K50</f>
        <v>22695.264137931037</v>
      </c>
      <c r="Z50" s="56">
        <f t="shared" si="164"/>
        <v>9426.2278627145097</v>
      </c>
      <c r="AA50" s="56">
        <f>F50/M50</f>
        <v>215805.4082352941</v>
      </c>
      <c r="AB50" s="56"/>
      <c r="AC50" s="56">
        <f>H50/O50</f>
        <v>215805.4082352941</v>
      </c>
      <c r="AD50" s="56">
        <f t="shared" si="88"/>
        <v>14758.212765957447</v>
      </c>
      <c r="AE50" s="269"/>
      <c r="AF50" s="270"/>
      <c r="AG50" s="269"/>
      <c r="AH50" s="269"/>
      <c r="AI50" s="269"/>
      <c r="AJ50" s="269"/>
      <c r="AK50" s="270"/>
      <c r="AL50" s="270"/>
      <c r="AM50" s="270"/>
      <c r="AN50" s="267"/>
      <c r="AO50" s="267"/>
      <c r="AP50" s="267"/>
      <c r="AQ50" s="267"/>
      <c r="AR50" s="267"/>
      <c r="AS50" s="267"/>
      <c r="AT50" s="267"/>
      <c r="AU50" s="269">
        <f t="shared" si="114"/>
        <v>6494.4027047619047</v>
      </c>
      <c r="AV50" s="269">
        <f t="shared" si="115"/>
        <v>9426.2278627145097</v>
      </c>
      <c r="AW50" s="269">
        <f t="shared" si="89"/>
        <v>0</v>
      </c>
      <c r="AX50" s="269">
        <f t="shared" si="116"/>
        <v>14758.212765957447</v>
      </c>
      <c r="AY50" s="269">
        <f t="shared" si="117"/>
        <v>3409561.42</v>
      </c>
      <c r="AZ50" s="269">
        <f t="shared" si="118"/>
        <v>6042212.0600000005</v>
      </c>
      <c r="BA50" s="269">
        <f t="shared" si="119"/>
        <v>0</v>
      </c>
      <c r="BB50" s="269">
        <f t="shared" si="120"/>
        <v>9710904</v>
      </c>
      <c r="BC50" s="53">
        <v>10953946.289999999</v>
      </c>
      <c r="BD50" s="53">
        <v>10281400.24</v>
      </c>
      <c r="BE50" s="79">
        <f t="shared" si="121"/>
        <v>21235346.530000001</v>
      </c>
      <c r="BF50" s="53">
        <v>7274116.4800000004</v>
      </c>
      <c r="BG50" s="53">
        <v>0</v>
      </c>
      <c r="BH50" s="79">
        <f t="shared" si="122"/>
        <v>7274116.4800000004</v>
      </c>
      <c r="BI50" s="56">
        <f t="shared" si="123"/>
        <v>28509463.010000002</v>
      </c>
      <c r="BJ50" s="252">
        <v>531</v>
      </c>
      <c r="BK50" s="252">
        <v>112</v>
      </c>
      <c r="BL50" s="252">
        <f t="shared" si="155"/>
        <v>643</v>
      </c>
      <c r="BM50" s="252">
        <v>16</v>
      </c>
      <c r="BN50" s="252">
        <v>0</v>
      </c>
      <c r="BO50" s="252">
        <f t="shared" si="156"/>
        <v>16</v>
      </c>
      <c r="BP50" s="56">
        <f t="shared" si="157"/>
        <v>659</v>
      </c>
      <c r="BQ50" s="252">
        <v>7427</v>
      </c>
      <c r="BR50" s="252">
        <v>6971</v>
      </c>
      <c r="BS50" s="76">
        <f t="shared" si="158"/>
        <v>14398</v>
      </c>
      <c r="BT50" s="252">
        <v>4932</v>
      </c>
      <c r="BU50" s="252">
        <v>0</v>
      </c>
      <c r="BV50" s="59">
        <f t="shared" si="159"/>
        <v>4932</v>
      </c>
      <c r="BW50" s="56">
        <f t="shared" si="129"/>
        <v>19330</v>
      </c>
      <c r="BX50" s="56">
        <f t="shared" si="130"/>
        <v>20628.900734463274</v>
      </c>
      <c r="BY50" s="56">
        <f t="shared" si="131"/>
        <v>91798.216428571424</v>
      </c>
      <c r="BZ50" s="56">
        <f t="shared" si="132"/>
        <v>33025.422286158631</v>
      </c>
      <c r="CA50" s="56">
        <f t="shared" si="133"/>
        <v>454632.28</v>
      </c>
      <c r="CB50" s="56"/>
      <c r="CC50" s="56">
        <f t="shared" si="135"/>
        <v>454632.28</v>
      </c>
      <c r="CD50" s="56">
        <f t="shared" si="136"/>
        <v>43261.704112291351</v>
      </c>
      <c r="CE50" s="238"/>
      <c r="CF50" s="241"/>
      <c r="CG50" s="238"/>
      <c r="CH50" s="238"/>
      <c r="CI50" s="238"/>
      <c r="CJ50" s="238"/>
      <c r="CK50" s="241"/>
      <c r="CL50" s="241"/>
      <c r="CM50" s="241"/>
      <c r="CN50" s="233"/>
      <c r="CO50" s="233"/>
      <c r="CP50" s="233"/>
      <c r="CQ50" s="233"/>
      <c r="CR50" s="233"/>
      <c r="CS50" s="233"/>
      <c r="CT50" s="233"/>
      <c r="CU50" s="238">
        <f t="shared" si="91"/>
        <v>20628.900734463274</v>
      </c>
      <c r="CV50" s="238">
        <f t="shared" si="92"/>
        <v>0</v>
      </c>
      <c r="CW50" s="238">
        <f t="shared" si="93"/>
        <v>0</v>
      </c>
      <c r="CX50" s="238">
        <f t="shared" si="137"/>
        <v>0</v>
      </c>
      <c r="CY50" s="238">
        <f t="shared" si="94"/>
        <v>10953946.289999999</v>
      </c>
      <c r="CZ50" s="238">
        <f t="shared" si="95"/>
        <v>0</v>
      </c>
      <c r="DA50" s="238">
        <f t="shared" si="96"/>
        <v>0</v>
      </c>
      <c r="DB50" s="238">
        <f t="shared" si="96"/>
        <v>0</v>
      </c>
      <c r="DC50" s="53">
        <v>11115067</v>
      </c>
      <c r="DD50" s="53">
        <v>8623356.9100000001</v>
      </c>
      <c r="DE50" s="56">
        <f t="shared" si="138"/>
        <v>19738423.91</v>
      </c>
      <c r="DF50" s="53">
        <v>8261986.0899999999</v>
      </c>
      <c r="DG50" s="53">
        <v>0</v>
      </c>
      <c r="DH50" s="56">
        <f t="shared" si="139"/>
        <v>8261986.0899999999</v>
      </c>
      <c r="DI50" s="56">
        <f t="shared" si="140"/>
        <v>28000410</v>
      </c>
      <c r="DJ50" s="252">
        <v>523</v>
      </c>
      <c r="DK50" s="252">
        <v>131</v>
      </c>
      <c r="DL50" s="56">
        <f t="shared" si="160"/>
        <v>654</v>
      </c>
      <c r="DM50" s="252">
        <v>20</v>
      </c>
      <c r="DN50" s="252">
        <v>0</v>
      </c>
      <c r="DO50" s="56">
        <f t="shared" si="161"/>
        <v>20</v>
      </c>
      <c r="DP50" s="56">
        <f t="shared" si="162"/>
        <v>674</v>
      </c>
      <c r="DQ50" s="252">
        <v>7628</v>
      </c>
      <c r="DR50" s="252">
        <v>5918</v>
      </c>
      <c r="DS50" s="56">
        <f t="shared" si="97"/>
        <v>13546</v>
      </c>
      <c r="DT50" s="252">
        <v>5670</v>
      </c>
      <c r="DU50" s="252">
        <v>0</v>
      </c>
      <c r="DV50" s="56">
        <f t="shared" si="98"/>
        <v>5670</v>
      </c>
      <c r="DW50" s="56">
        <f t="shared" si="144"/>
        <v>19216</v>
      </c>
      <c r="DX50" s="56">
        <f t="shared" si="145"/>
        <v>21252.518164435947</v>
      </c>
      <c r="DY50" s="56">
        <f>DD50/DK50</f>
        <v>65827.151984732831</v>
      </c>
      <c r="DZ50" s="56">
        <f t="shared" si="165"/>
        <v>30181.076314984708</v>
      </c>
      <c r="EA50" s="56">
        <f>DF50/DM50</f>
        <v>413099.30449999997</v>
      </c>
      <c r="EB50" s="56"/>
      <c r="EC50" s="56">
        <f>DH50/DO50</f>
        <v>413099.30449999997</v>
      </c>
      <c r="ED50" s="56">
        <f t="shared" si="146"/>
        <v>41543.635014836793</v>
      </c>
      <c r="EE50" s="273"/>
      <c r="EF50" s="274"/>
      <c r="EG50" s="273"/>
      <c r="EH50" s="273"/>
      <c r="EI50" s="273"/>
      <c r="EJ50" s="273"/>
      <c r="EK50" s="274"/>
      <c r="EL50" s="274"/>
      <c r="EM50" s="274"/>
      <c r="EN50" s="231"/>
      <c r="EO50" s="231"/>
      <c r="EP50" s="231"/>
      <c r="EQ50" s="231"/>
      <c r="ER50" s="231"/>
      <c r="ES50" s="231"/>
      <c r="ET50" s="231"/>
      <c r="EU50" s="273">
        <f t="shared" si="100"/>
        <v>21252.518164435947</v>
      </c>
      <c r="EV50" s="273">
        <f t="shared" si="101"/>
        <v>0</v>
      </c>
      <c r="EW50" s="273">
        <f t="shared" si="102"/>
        <v>0</v>
      </c>
      <c r="EX50" s="273">
        <f t="shared" si="147"/>
        <v>0</v>
      </c>
      <c r="EY50" s="273">
        <f t="shared" si="103"/>
        <v>11115067</v>
      </c>
      <c r="EZ50" s="273">
        <f t="shared" si="104"/>
        <v>0</v>
      </c>
      <c r="FA50" s="273">
        <f t="shared" si="105"/>
        <v>0</v>
      </c>
      <c r="FB50" s="273">
        <f t="shared" si="105"/>
        <v>0</v>
      </c>
      <c r="FC50" s="79"/>
      <c r="FD50" s="79"/>
      <c r="FE50" s="79"/>
      <c r="FF50" s="79"/>
      <c r="FG50" s="47"/>
      <c r="FH50" s="47"/>
      <c r="FI50" s="47"/>
      <c r="FJ50" s="47"/>
    </row>
    <row r="51" spans="1:166" x14ac:dyDescent="0.3">
      <c r="A51" s="48" t="s">
        <v>45</v>
      </c>
      <c r="B51" s="258" t="s">
        <v>16</v>
      </c>
      <c r="C51" s="53">
        <v>422794.74</v>
      </c>
      <c r="D51" s="53">
        <v>11365.68</v>
      </c>
      <c r="E51" s="53">
        <f t="shared" si="106"/>
        <v>434160.42</v>
      </c>
      <c r="F51" s="53">
        <v>0</v>
      </c>
      <c r="G51" s="53">
        <v>0</v>
      </c>
      <c r="H51" s="53">
        <f t="shared" si="86"/>
        <v>0</v>
      </c>
      <c r="I51" s="56">
        <f t="shared" si="107"/>
        <v>434160.42</v>
      </c>
      <c r="J51" s="252">
        <v>69</v>
      </c>
      <c r="K51" s="252">
        <v>1</v>
      </c>
      <c r="L51" s="252">
        <f t="shared" si="148"/>
        <v>70</v>
      </c>
      <c r="M51" s="252">
        <v>0</v>
      </c>
      <c r="N51" s="252">
        <v>0</v>
      </c>
      <c r="O51" s="252">
        <f t="shared" si="149"/>
        <v>0</v>
      </c>
      <c r="P51" s="56">
        <f t="shared" si="150"/>
        <v>70</v>
      </c>
      <c r="Q51" s="252">
        <v>849</v>
      </c>
      <c r="R51" s="252">
        <v>18</v>
      </c>
      <c r="S51" s="59">
        <f t="shared" si="151"/>
        <v>867</v>
      </c>
      <c r="T51" s="252">
        <v>0</v>
      </c>
      <c r="U51" s="252">
        <v>0</v>
      </c>
      <c r="V51" s="256">
        <f t="shared" si="152"/>
        <v>0</v>
      </c>
      <c r="W51" s="56">
        <f t="shared" si="153"/>
        <v>867</v>
      </c>
      <c r="X51" s="56">
        <f t="shared" si="163"/>
        <v>6127.46</v>
      </c>
      <c r="Y51" s="56">
        <f>D51/K51</f>
        <v>11365.68</v>
      </c>
      <c r="Z51" s="56">
        <f t="shared" si="164"/>
        <v>6202.2917142857141</v>
      </c>
      <c r="AA51" s="56"/>
      <c r="AB51" s="56"/>
      <c r="AC51" s="56"/>
      <c r="AD51" s="56">
        <f t="shared" si="88"/>
        <v>6202.2917142857141</v>
      </c>
      <c r="AE51" s="269"/>
      <c r="AF51" s="270"/>
      <c r="AG51" s="269"/>
      <c r="AH51" s="269"/>
      <c r="AI51" s="269"/>
      <c r="AJ51" s="269"/>
      <c r="AK51" s="270"/>
      <c r="AL51" s="270"/>
      <c r="AM51" s="270"/>
      <c r="AN51" s="267"/>
      <c r="AO51" s="267"/>
      <c r="AP51" s="267"/>
      <c r="AQ51" s="267"/>
      <c r="AR51" s="267"/>
      <c r="AS51" s="267"/>
      <c r="AT51" s="267"/>
      <c r="AU51" s="269">
        <f t="shared" si="114"/>
        <v>6127.46</v>
      </c>
      <c r="AV51" s="269">
        <f t="shared" si="115"/>
        <v>6202.2917142857141</v>
      </c>
      <c r="AW51" s="269">
        <f t="shared" si="89"/>
        <v>0</v>
      </c>
      <c r="AX51" s="269">
        <f t="shared" si="116"/>
        <v>6202.2917142857141</v>
      </c>
      <c r="AY51" s="269">
        <f t="shared" si="117"/>
        <v>422794.74</v>
      </c>
      <c r="AZ51" s="269">
        <f t="shared" si="118"/>
        <v>434160.42</v>
      </c>
      <c r="BA51" s="269">
        <f t="shared" si="119"/>
        <v>0</v>
      </c>
      <c r="BB51" s="269">
        <f t="shared" si="120"/>
        <v>434160.42</v>
      </c>
      <c r="BC51" s="53">
        <v>233546.4</v>
      </c>
      <c r="BD51" s="53">
        <v>18342.400000000001</v>
      </c>
      <c r="BE51" s="79">
        <f t="shared" si="121"/>
        <v>251888.8</v>
      </c>
      <c r="BF51" s="53">
        <v>0</v>
      </c>
      <c r="BG51" s="53">
        <v>0</v>
      </c>
      <c r="BH51" s="79">
        <f t="shared" si="122"/>
        <v>0</v>
      </c>
      <c r="BI51" s="56">
        <f t="shared" si="123"/>
        <v>251888.8</v>
      </c>
      <c r="BJ51" s="252">
        <v>60</v>
      </c>
      <c r="BK51" s="252">
        <v>4</v>
      </c>
      <c r="BL51" s="252">
        <f t="shared" si="155"/>
        <v>64</v>
      </c>
      <c r="BM51" s="252">
        <v>0</v>
      </c>
      <c r="BN51" s="252">
        <v>0</v>
      </c>
      <c r="BO51" s="252">
        <f t="shared" si="156"/>
        <v>0</v>
      </c>
      <c r="BP51" s="56">
        <f t="shared" si="157"/>
        <v>64</v>
      </c>
      <c r="BQ51" s="252">
        <v>840</v>
      </c>
      <c r="BR51" s="252">
        <v>879</v>
      </c>
      <c r="BS51" s="76">
        <f t="shared" si="158"/>
        <v>1719</v>
      </c>
      <c r="BT51" s="252">
        <v>0</v>
      </c>
      <c r="BU51" s="252">
        <v>0</v>
      </c>
      <c r="BV51" s="59">
        <f t="shared" si="159"/>
        <v>0</v>
      </c>
      <c r="BW51" s="56">
        <f t="shared" si="129"/>
        <v>1719</v>
      </c>
      <c r="BX51" s="56">
        <f t="shared" si="130"/>
        <v>3892.44</v>
      </c>
      <c r="BY51" s="56">
        <f t="shared" si="131"/>
        <v>4585.6000000000004</v>
      </c>
      <c r="BZ51" s="56">
        <f t="shared" si="132"/>
        <v>3935.7624999999998</v>
      </c>
      <c r="CA51" s="56"/>
      <c r="CB51" s="56"/>
      <c r="CC51" s="56"/>
      <c r="CD51" s="56">
        <f t="shared" si="136"/>
        <v>3935.7624999999998</v>
      </c>
      <c r="CE51" s="238"/>
      <c r="CF51" s="241"/>
      <c r="CG51" s="238"/>
      <c r="CH51" s="238"/>
      <c r="CI51" s="238"/>
      <c r="CJ51" s="238"/>
      <c r="CK51" s="241"/>
      <c r="CL51" s="241"/>
      <c r="CM51" s="241"/>
      <c r="CN51" s="233"/>
      <c r="CO51" s="233"/>
      <c r="CP51" s="233"/>
      <c r="CQ51" s="233"/>
      <c r="CR51" s="233"/>
      <c r="CS51" s="233"/>
      <c r="CT51" s="233"/>
      <c r="CU51" s="238">
        <f t="shared" si="91"/>
        <v>3892.44</v>
      </c>
      <c r="CV51" s="238">
        <f t="shared" si="92"/>
        <v>3935.7624999999998</v>
      </c>
      <c r="CW51" s="238">
        <f t="shared" si="93"/>
        <v>0</v>
      </c>
      <c r="CX51" s="238">
        <f t="shared" si="137"/>
        <v>3935.7624999999998</v>
      </c>
      <c r="CY51" s="238">
        <f t="shared" si="94"/>
        <v>233546.4</v>
      </c>
      <c r="CZ51" s="238">
        <f t="shared" si="95"/>
        <v>251888.8</v>
      </c>
      <c r="DA51" s="238">
        <f t="shared" si="96"/>
        <v>0</v>
      </c>
      <c r="DB51" s="238">
        <f t="shared" si="96"/>
        <v>251888.8</v>
      </c>
      <c r="DC51" s="53">
        <v>415513.86</v>
      </c>
      <c r="DD51" s="53">
        <v>32547.25</v>
      </c>
      <c r="DE51" s="56">
        <f t="shared" si="138"/>
        <v>448061.11</v>
      </c>
      <c r="DF51" s="53">
        <v>0</v>
      </c>
      <c r="DG51" s="53">
        <v>0</v>
      </c>
      <c r="DH51" s="56">
        <f t="shared" si="139"/>
        <v>0</v>
      </c>
      <c r="DI51" s="56">
        <f t="shared" si="140"/>
        <v>448061.11</v>
      </c>
      <c r="DJ51" s="252">
        <v>69</v>
      </c>
      <c r="DK51" s="252">
        <v>5</v>
      </c>
      <c r="DL51" s="56">
        <f t="shared" si="160"/>
        <v>74</v>
      </c>
      <c r="DM51" s="252">
        <v>0</v>
      </c>
      <c r="DN51" s="252">
        <v>0</v>
      </c>
      <c r="DO51" s="56">
        <f t="shared" si="161"/>
        <v>0</v>
      </c>
      <c r="DP51" s="56">
        <f t="shared" si="162"/>
        <v>74</v>
      </c>
      <c r="DQ51" s="252">
        <v>926.5</v>
      </c>
      <c r="DR51" s="252">
        <v>751</v>
      </c>
      <c r="DS51" s="56">
        <f t="shared" si="97"/>
        <v>1677.5</v>
      </c>
      <c r="DT51" s="252">
        <v>0</v>
      </c>
      <c r="DU51" s="252">
        <v>0</v>
      </c>
      <c r="DV51" s="56">
        <f t="shared" si="98"/>
        <v>0</v>
      </c>
      <c r="DW51" s="56">
        <f t="shared" si="144"/>
        <v>1677.5</v>
      </c>
      <c r="DX51" s="56">
        <f t="shared" si="145"/>
        <v>6021.94</v>
      </c>
      <c r="DY51" s="56">
        <f>DD51/DK51</f>
        <v>6509.45</v>
      </c>
      <c r="DZ51" s="56">
        <f t="shared" si="165"/>
        <v>6054.8798648648644</v>
      </c>
      <c r="EA51" s="56"/>
      <c r="EB51" s="56"/>
      <c r="EC51" s="56"/>
      <c r="ED51" s="56">
        <f t="shared" si="146"/>
        <v>6054.8798648648644</v>
      </c>
      <c r="EE51" s="273"/>
      <c r="EF51" s="274"/>
      <c r="EG51" s="273"/>
      <c r="EH51" s="273"/>
      <c r="EI51" s="273"/>
      <c r="EJ51" s="273"/>
      <c r="EK51" s="274"/>
      <c r="EL51" s="274"/>
      <c r="EM51" s="274"/>
      <c r="EN51" s="231"/>
      <c r="EO51" s="231"/>
      <c r="EP51" s="231"/>
      <c r="EQ51" s="231"/>
      <c r="ER51" s="231"/>
      <c r="ES51" s="231"/>
      <c r="ET51" s="231"/>
      <c r="EU51" s="273">
        <f t="shared" si="100"/>
        <v>6021.94</v>
      </c>
      <c r="EV51" s="273">
        <f t="shared" si="101"/>
        <v>6054.8798648648644</v>
      </c>
      <c r="EW51" s="273">
        <f t="shared" si="102"/>
        <v>0</v>
      </c>
      <c r="EX51" s="273">
        <f t="shared" si="147"/>
        <v>6054.8798648648644</v>
      </c>
      <c r="EY51" s="273">
        <f t="shared" si="103"/>
        <v>415513.86</v>
      </c>
      <c r="EZ51" s="273">
        <f t="shared" si="104"/>
        <v>448061.11</v>
      </c>
      <c r="FA51" s="273">
        <f t="shared" si="105"/>
        <v>0</v>
      </c>
      <c r="FB51" s="273">
        <f t="shared" si="105"/>
        <v>448061.11</v>
      </c>
      <c r="FC51" s="79"/>
      <c r="FD51" s="79"/>
      <c r="FE51" s="79"/>
      <c r="FF51" s="79"/>
      <c r="FG51" s="47"/>
      <c r="FH51" s="47"/>
      <c r="FI51" s="47"/>
      <c r="FJ51" s="47"/>
    </row>
    <row r="52" spans="1:166" x14ac:dyDescent="0.3">
      <c r="A52" s="48" t="s">
        <v>46</v>
      </c>
      <c r="B52" s="258" t="s">
        <v>17</v>
      </c>
      <c r="C52" s="53">
        <v>75391.360000000001</v>
      </c>
      <c r="D52" s="53"/>
      <c r="E52" s="53">
        <f t="shared" si="106"/>
        <v>75391.360000000001</v>
      </c>
      <c r="F52" s="53"/>
      <c r="G52" s="53"/>
      <c r="H52" s="53">
        <f t="shared" si="86"/>
        <v>0</v>
      </c>
      <c r="I52" s="56">
        <f t="shared" si="107"/>
        <v>75391.360000000001</v>
      </c>
      <c r="J52" s="252">
        <v>22</v>
      </c>
      <c r="K52" s="252"/>
      <c r="L52" s="252">
        <f t="shared" si="148"/>
        <v>22</v>
      </c>
      <c r="M52" s="252"/>
      <c r="N52" s="252"/>
      <c r="O52" s="252">
        <f t="shared" si="149"/>
        <v>0</v>
      </c>
      <c r="P52" s="56">
        <f t="shared" si="150"/>
        <v>22</v>
      </c>
      <c r="Q52" s="252">
        <v>169</v>
      </c>
      <c r="R52" s="252"/>
      <c r="S52" s="59">
        <f t="shared" si="151"/>
        <v>169</v>
      </c>
      <c r="T52" s="252"/>
      <c r="U52" s="252"/>
      <c r="V52" s="256">
        <f t="shared" si="152"/>
        <v>0</v>
      </c>
      <c r="W52" s="56">
        <f t="shared" si="153"/>
        <v>169</v>
      </c>
      <c r="X52" s="56">
        <f t="shared" si="163"/>
        <v>3426.88</v>
      </c>
      <c r="Y52" s="56"/>
      <c r="Z52" s="56">
        <f t="shared" si="164"/>
        <v>3426.88</v>
      </c>
      <c r="AA52" s="56"/>
      <c r="AB52" s="56"/>
      <c r="AC52" s="56"/>
      <c r="AD52" s="56">
        <f t="shared" si="88"/>
        <v>3426.88</v>
      </c>
      <c r="AE52" s="269"/>
      <c r="AF52" s="270"/>
      <c r="AG52" s="269"/>
      <c r="AH52" s="269"/>
      <c r="AI52" s="269"/>
      <c r="AJ52" s="269"/>
      <c r="AK52" s="270"/>
      <c r="AL52" s="270"/>
      <c r="AM52" s="270"/>
      <c r="AN52" s="267"/>
      <c r="AO52" s="267"/>
      <c r="AP52" s="267"/>
      <c r="AQ52" s="267"/>
      <c r="AR52" s="267"/>
      <c r="AS52" s="267"/>
      <c r="AT52" s="267"/>
      <c r="AU52" s="269">
        <f t="shared" si="114"/>
        <v>3426.88</v>
      </c>
      <c r="AV52" s="269">
        <f t="shared" si="115"/>
        <v>3426.88</v>
      </c>
      <c r="AW52" s="269">
        <f t="shared" si="89"/>
        <v>0</v>
      </c>
      <c r="AX52" s="269">
        <f t="shared" si="116"/>
        <v>3426.88</v>
      </c>
      <c r="AY52" s="269">
        <f t="shared" si="117"/>
        <v>75391.360000000001</v>
      </c>
      <c r="AZ52" s="269">
        <f t="shared" si="118"/>
        <v>75391.360000000001</v>
      </c>
      <c r="BA52" s="269">
        <f t="shared" si="119"/>
        <v>0</v>
      </c>
      <c r="BB52" s="269">
        <f t="shared" si="120"/>
        <v>75391.360000000001</v>
      </c>
      <c r="BC52" s="53">
        <v>74432.490000000005</v>
      </c>
      <c r="BD52" s="53"/>
      <c r="BE52" s="79">
        <f t="shared" si="121"/>
        <v>74432.490000000005</v>
      </c>
      <c r="BF52" s="53">
        <v>1583.67</v>
      </c>
      <c r="BG52" s="53"/>
      <c r="BH52" s="79">
        <f t="shared" si="122"/>
        <v>1583.67</v>
      </c>
      <c r="BI52" s="56">
        <f t="shared" si="123"/>
        <v>76016.160000000003</v>
      </c>
      <c r="BJ52" s="252">
        <v>47</v>
      </c>
      <c r="BK52" s="252"/>
      <c r="BL52" s="252">
        <f t="shared" si="155"/>
        <v>47</v>
      </c>
      <c r="BM52" s="252">
        <v>1</v>
      </c>
      <c r="BN52" s="252"/>
      <c r="BO52" s="252">
        <f t="shared" si="156"/>
        <v>1</v>
      </c>
      <c r="BP52" s="56">
        <f t="shared" si="157"/>
        <v>48</v>
      </c>
      <c r="BQ52" s="252">
        <v>513.29999999999995</v>
      </c>
      <c r="BR52" s="252"/>
      <c r="BS52" s="76">
        <f t="shared" si="158"/>
        <v>513.29999999999995</v>
      </c>
      <c r="BT52" s="252">
        <v>500</v>
      </c>
      <c r="BU52" s="252"/>
      <c r="BV52" s="59">
        <f t="shared" si="159"/>
        <v>500</v>
      </c>
      <c r="BW52" s="56">
        <f t="shared" si="129"/>
        <v>1013.3</v>
      </c>
      <c r="BX52" s="56">
        <f t="shared" si="130"/>
        <v>1583.67</v>
      </c>
      <c r="BY52" s="56"/>
      <c r="BZ52" s="56">
        <f t="shared" si="132"/>
        <v>1583.67</v>
      </c>
      <c r="CA52" s="56">
        <f t="shared" si="133"/>
        <v>1583.67</v>
      </c>
      <c r="CB52" s="56"/>
      <c r="CC52" s="56">
        <f t="shared" si="135"/>
        <v>1583.67</v>
      </c>
      <c r="CD52" s="56">
        <f t="shared" si="136"/>
        <v>1583.67</v>
      </c>
      <c r="CE52" s="238"/>
      <c r="CF52" s="241"/>
      <c r="CG52" s="238"/>
      <c r="CH52" s="238"/>
      <c r="CI52" s="238"/>
      <c r="CJ52" s="238"/>
      <c r="CK52" s="241"/>
      <c r="CL52" s="241"/>
      <c r="CM52" s="241"/>
      <c r="CN52" s="233"/>
      <c r="CO52" s="233"/>
      <c r="CP52" s="233"/>
      <c r="CQ52" s="233"/>
      <c r="CR52" s="233"/>
      <c r="CS52" s="233"/>
      <c r="CT52" s="233"/>
      <c r="CU52" s="238">
        <f t="shared" si="91"/>
        <v>1583.67</v>
      </c>
      <c r="CV52" s="238">
        <f t="shared" si="92"/>
        <v>1583.67</v>
      </c>
      <c r="CW52" s="238">
        <f t="shared" si="93"/>
        <v>1583.67</v>
      </c>
      <c r="CX52" s="238">
        <f t="shared" si="137"/>
        <v>1583.67</v>
      </c>
      <c r="CY52" s="238">
        <f t="shared" si="94"/>
        <v>74432.490000000005</v>
      </c>
      <c r="CZ52" s="238">
        <f t="shared" si="95"/>
        <v>74432.490000000005</v>
      </c>
      <c r="DA52" s="238">
        <f t="shared" si="96"/>
        <v>1583.67</v>
      </c>
      <c r="DB52" s="238">
        <f t="shared" si="96"/>
        <v>76016.160000000003</v>
      </c>
      <c r="DC52" s="53">
        <v>60256.35</v>
      </c>
      <c r="DD52" s="53"/>
      <c r="DE52" s="56">
        <f t="shared" si="138"/>
        <v>60256.35</v>
      </c>
      <c r="DF52" s="53"/>
      <c r="DG52" s="53"/>
      <c r="DH52" s="56">
        <f t="shared" si="139"/>
        <v>0</v>
      </c>
      <c r="DI52" s="56">
        <f t="shared" si="140"/>
        <v>60256.35</v>
      </c>
      <c r="DJ52" s="252">
        <v>35</v>
      </c>
      <c r="DK52" s="252"/>
      <c r="DL52" s="56">
        <f t="shared" si="160"/>
        <v>35</v>
      </c>
      <c r="DM52" s="252"/>
      <c r="DN52" s="252"/>
      <c r="DO52" s="56">
        <f t="shared" si="161"/>
        <v>0</v>
      </c>
      <c r="DP52" s="56">
        <f t="shared" si="162"/>
        <v>35</v>
      </c>
      <c r="DQ52" s="252">
        <v>446</v>
      </c>
      <c r="DR52" s="252"/>
      <c r="DS52" s="56">
        <f t="shared" si="97"/>
        <v>446</v>
      </c>
      <c r="DT52" s="252"/>
      <c r="DU52" s="252"/>
      <c r="DV52" s="56">
        <f t="shared" si="98"/>
        <v>0</v>
      </c>
      <c r="DW52" s="56">
        <f t="shared" si="144"/>
        <v>446</v>
      </c>
      <c r="DX52" s="56">
        <f t="shared" si="145"/>
        <v>1721.61</v>
      </c>
      <c r="DY52" s="56"/>
      <c r="DZ52" s="56">
        <f t="shared" si="165"/>
        <v>1721.61</v>
      </c>
      <c r="EA52" s="56"/>
      <c r="EB52" s="56"/>
      <c r="EC52" s="56"/>
      <c r="ED52" s="56">
        <f t="shared" si="146"/>
        <v>1721.61</v>
      </c>
      <c r="EE52" s="273"/>
      <c r="EF52" s="274"/>
      <c r="EG52" s="273"/>
      <c r="EH52" s="273"/>
      <c r="EI52" s="273"/>
      <c r="EJ52" s="273"/>
      <c r="EK52" s="274"/>
      <c r="EL52" s="274"/>
      <c r="EM52" s="274"/>
      <c r="EN52" s="231"/>
      <c r="EO52" s="231"/>
      <c r="EP52" s="231"/>
      <c r="EQ52" s="231"/>
      <c r="ER52" s="231"/>
      <c r="ES52" s="231"/>
      <c r="ET52" s="231"/>
      <c r="EU52" s="273">
        <f t="shared" si="100"/>
        <v>1721.61</v>
      </c>
      <c r="EV52" s="273">
        <f t="shared" si="101"/>
        <v>1721.61</v>
      </c>
      <c r="EW52" s="273">
        <f t="shared" si="102"/>
        <v>0</v>
      </c>
      <c r="EX52" s="273">
        <f t="shared" si="147"/>
        <v>1721.61</v>
      </c>
      <c r="EY52" s="273">
        <f t="shared" si="103"/>
        <v>60256.35</v>
      </c>
      <c r="EZ52" s="273">
        <f t="shared" si="104"/>
        <v>60256.35</v>
      </c>
      <c r="FA52" s="273">
        <f t="shared" si="105"/>
        <v>0</v>
      </c>
      <c r="FB52" s="273">
        <f t="shared" si="105"/>
        <v>60256.35</v>
      </c>
      <c r="FC52" s="79"/>
      <c r="FD52" s="79"/>
      <c r="FE52" s="79"/>
      <c r="FF52" s="79"/>
      <c r="FG52" s="47"/>
      <c r="FH52" s="47"/>
      <c r="FI52" s="47"/>
      <c r="FJ52" s="47"/>
    </row>
    <row r="53" spans="1:166" ht="30" customHeight="1" x14ac:dyDescent="0.3">
      <c r="A53" s="48" t="s">
        <v>47</v>
      </c>
      <c r="B53" s="258" t="s">
        <v>48</v>
      </c>
      <c r="C53" s="53">
        <v>362703.8</v>
      </c>
      <c r="D53" s="53"/>
      <c r="E53" s="53">
        <f t="shared" si="106"/>
        <v>362703.8</v>
      </c>
      <c r="F53" s="53"/>
      <c r="G53" s="53"/>
      <c r="H53" s="53">
        <f t="shared" si="86"/>
        <v>0</v>
      </c>
      <c r="I53" s="56">
        <f t="shared" si="107"/>
        <v>362703.8</v>
      </c>
      <c r="J53" s="252">
        <v>92</v>
      </c>
      <c r="K53" s="252"/>
      <c r="L53" s="252">
        <f t="shared" si="148"/>
        <v>92</v>
      </c>
      <c r="M53" s="252"/>
      <c r="N53" s="252"/>
      <c r="O53" s="252">
        <f t="shared" si="149"/>
        <v>0</v>
      </c>
      <c r="P53" s="56">
        <f t="shared" si="150"/>
        <v>92</v>
      </c>
      <c r="Q53" s="252">
        <v>3226</v>
      </c>
      <c r="R53" s="252"/>
      <c r="S53" s="59">
        <f t="shared" si="151"/>
        <v>3226</v>
      </c>
      <c r="T53" s="252"/>
      <c r="U53" s="252"/>
      <c r="V53" s="256">
        <f t="shared" si="152"/>
        <v>0</v>
      </c>
      <c r="W53" s="56">
        <f t="shared" si="153"/>
        <v>3226</v>
      </c>
      <c r="X53" s="56">
        <f t="shared" si="163"/>
        <v>3942.4326086956521</v>
      </c>
      <c r="Y53" s="56"/>
      <c r="Z53" s="56">
        <f t="shared" si="164"/>
        <v>3942.4326086956521</v>
      </c>
      <c r="AA53" s="56"/>
      <c r="AB53" s="56"/>
      <c r="AC53" s="56"/>
      <c r="AD53" s="56">
        <f t="shared" si="88"/>
        <v>3942.4326086956521</v>
      </c>
      <c r="AE53" s="269"/>
      <c r="AF53" s="270"/>
      <c r="AG53" s="269"/>
      <c r="AH53" s="269"/>
      <c r="AI53" s="269"/>
      <c r="AJ53" s="269"/>
      <c r="AK53" s="270"/>
      <c r="AL53" s="270"/>
      <c r="AM53" s="270"/>
      <c r="AN53" s="267"/>
      <c r="AO53" s="267"/>
      <c r="AP53" s="267"/>
      <c r="AQ53" s="267"/>
      <c r="AR53" s="267"/>
      <c r="AS53" s="267"/>
      <c r="AT53" s="267"/>
      <c r="AU53" s="269">
        <f t="shared" si="114"/>
        <v>3942.4326086956521</v>
      </c>
      <c r="AV53" s="269">
        <f t="shared" si="115"/>
        <v>3942.4326086956521</v>
      </c>
      <c r="AW53" s="269">
        <f t="shared" si="89"/>
        <v>0</v>
      </c>
      <c r="AX53" s="269">
        <f t="shared" si="116"/>
        <v>3942.4326086956521</v>
      </c>
      <c r="AY53" s="269">
        <f t="shared" si="117"/>
        <v>362703.8</v>
      </c>
      <c r="AZ53" s="269">
        <f t="shared" si="118"/>
        <v>362703.8</v>
      </c>
      <c r="BA53" s="269">
        <f t="shared" si="119"/>
        <v>0</v>
      </c>
      <c r="BB53" s="269">
        <f t="shared" si="120"/>
        <v>362703.8</v>
      </c>
      <c r="BC53" s="53">
        <v>350876.5</v>
      </c>
      <c r="BD53" s="53"/>
      <c r="BE53" s="79">
        <f t="shared" si="121"/>
        <v>350876.5</v>
      </c>
      <c r="BF53" s="53"/>
      <c r="BG53" s="53"/>
      <c r="BH53" s="79">
        <f t="shared" si="122"/>
        <v>0</v>
      </c>
      <c r="BI53" s="56">
        <f t="shared" si="123"/>
        <v>350876.5</v>
      </c>
      <c r="BJ53" s="252">
        <v>89</v>
      </c>
      <c r="BK53" s="252"/>
      <c r="BL53" s="252">
        <f t="shared" si="155"/>
        <v>89</v>
      </c>
      <c r="BM53" s="252"/>
      <c r="BN53" s="252"/>
      <c r="BO53" s="252">
        <f t="shared" si="156"/>
        <v>0</v>
      </c>
      <c r="BP53" s="56">
        <f t="shared" si="157"/>
        <v>89</v>
      </c>
      <c r="BQ53" s="252">
        <v>1201</v>
      </c>
      <c r="BR53" s="252"/>
      <c r="BS53" s="76">
        <f t="shared" si="158"/>
        <v>1201</v>
      </c>
      <c r="BT53" s="252"/>
      <c r="BU53" s="252"/>
      <c r="BV53" s="59">
        <f t="shared" si="159"/>
        <v>0</v>
      </c>
      <c r="BW53" s="56">
        <f t="shared" si="129"/>
        <v>1201</v>
      </c>
      <c r="BX53" s="56">
        <f t="shared" si="130"/>
        <v>3942.432584269663</v>
      </c>
      <c r="BY53" s="56"/>
      <c r="BZ53" s="56">
        <f t="shared" si="132"/>
        <v>3942.432584269663</v>
      </c>
      <c r="CA53" s="56"/>
      <c r="CB53" s="56"/>
      <c r="CC53" s="56"/>
      <c r="CD53" s="56">
        <f t="shared" si="136"/>
        <v>3942.432584269663</v>
      </c>
      <c r="CE53" s="238"/>
      <c r="CF53" s="241"/>
      <c r="CG53" s="238"/>
      <c r="CH53" s="238"/>
      <c r="CI53" s="238"/>
      <c r="CJ53" s="238"/>
      <c r="CK53" s="241"/>
      <c r="CL53" s="241"/>
      <c r="CM53" s="241"/>
      <c r="CN53" s="233"/>
      <c r="CO53" s="233"/>
      <c r="CP53" s="233"/>
      <c r="CQ53" s="233"/>
      <c r="CR53" s="233"/>
      <c r="CS53" s="233"/>
      <c r="CT53" s="233"/>
      <c r="CU53" s="238">
        <f t="shared" si="91"/>
        <v>3942.432584269663</v>
      </c>
      <c r="CV53" s="238">
        <f t="shared" si="92"/>
        <v>3942.432584269663</v>
      </c>
      <c r="CW53" s="238">
        <f t="shared" si="93"/>
        <v>0</v>
      </c>
      <c r="CX53" s="238">
        <f t="shared" si="137"/>
        <v>3942.432584269663</v>
      </c>
      <c r="CY53" s="238">
        <f t="shared" si="94"/>
        <v>350876.5</v>
      </c>
      <c r="CZ53" s="238">
        <f t="shared" si="95"/>
        <v>350876.5</v>
      </c>
      <c r="DA53" s="238">
        <f t="shared" si="96"/>
        <v>0</v>
      </c>
      <c r="DB53" s="238">
        <f t="shared" si="96"/>
        <v>350876.5</v>
      </c>
      <c r="DC53" s="53">
        <v>303567.31</v>
      </c>
      <c r="DD53" s="53"/>
      <c r="DE53" s="56">
        <f t="shared" si="138"/>
        <v>303567.31</v>
      </c>
      <c r="DF53" s="53"/>
      <c r="DG53" s="53"/>
      <c r="DH53" s="56">
        <f t="shared" si="139"/>
        <v>0</v>
      </c>
      <c r="DI53" s="56">
        <f t="shared" si="140"/>
        <v>303567.31</v>
      </c>
      <c r="DJ53" s="252">
        <v>77</v>
      </c>
      <c r="DK53" s="252"/>
      <c r="DL53" s="56">
        <f t="shared" si="160"/>
        <v>77</v>
      </c>
      <c r="DM53" s="252"/>
      <c r="DN53" s="252"/>
      <c r="DO53" s="56">
        <f t="shared" si="161"/>
        <v>0</v>
      </c>
      <c r="DP53" s="56">
        <f t="shared" si="162"/>
        <v>77</v>
      </c>
      <c r="DQ53" s="252">
        <v>922</v>
      </c>
      <c r="DR53" s="252"/>
      <c r="DS53" s="56">
        <f t="shared" si="97"/>
        <v>922</v>
      </c>
      <c r="DT53" s="252"/>
      <c r="DU53" s="252"/>
      <c r="DV53" s="56">
        <f t="shared" si="98"/>
        <v>0</v>
      </c>
      <c r="DW53" s="56">
        <f t="shared" si="144"/>
        <v>922</v>
      </c>
      <c r="DX53" s="56">
        <f t="shared" si="145"/>
        <v>3942.4325974025974</v>
      </c>
      <c r="DY53" s="56"/>
      <c r="DZ53" s="56">
        <f t="shared" si="165"/>
        <v>3942.4325974025974</v>
      </c>
      <c r="EA53" s="56"/>
      <c r="EB53" s="56"/>
      <c r="EC53" s="56"/>
      <c r="ED53" s="56">
        <f t="shared" si="146"/>
        <v>3942.4325974025974</v>
      </c>
      <c r="EE53" s="273"/>
      <c r="EF53" s="274"/>
      <c r="EG53" s="273"/>
      <c r="EH53" s="273"/>
      <c r="EI53" s="273"/>
      <c r="EJ53" s="273"/>
      <c r="EK53" s="274"/>
      <c r="EL53" s="274"/>
      <c r="EM53" s="274"/>
      <c r="EN53" s="231"/>
      <c r="EO53" s="231"/>
      <c r="EP53" s="231"/>
      <c r="EQ53" s="231"/>
      <c r="ER53" s="231"/>
      <c r="ES53" s="231"/>
      <c r="ET53" s="231"/>
      <c r="EU53" s="273">
        <f t="shared" si="100"/>
        <v>3942.4325974025974</v>
      </c>
      <c r="EV53" s="273">
        <f t="shared" si="101"/>
        <v>3942.4325974025974</v>
      </c>
      <c r="EW53" s="273">
        <f t="shared" si="102"/>
        <v>0</v>
      </c>
      <c r="EX53" s="273">
        <f t="shared" si="147"/>
        <v>3942.4325974025974</v>
      </c>
      <c r="EY53" s="273">
        <f t="shared" si="103"/>
        <v>303567.31</v>
      </c>
      <c r="EZ53" s="273">
        <f t="shared" si="104"/>
        <v>303567.31</v>
      </c>
      <c r="FA53" s="273">
        <f t="shared" si="105"/>
        <v>0</v>
      </c>
      <c r="FB53" s="273">
        <f t="shared" si="105"/>
        <v>303567.31</v>
      </c>
      <c r="FC53" s="79"/>
      <c r="FD53" s="79"/>
      <c r="FE53" s="79"/>
      <c r="FF53" s="79"/>
      <c r="FG53" s="47"/>
      <c r="FH53" s="47"/>
      <c r="FI53" s="47"/>
      <c r="FJ53" s="47"/>
    </row>
    <row r="54" spans="1:166" x14ac:dyDescent="0.3">
      <c r="A54" s="48" t="s">
        <v>49</v>
      </c>
      <c r="B54" s="258" t="s">
        <v>18</v>
      </c>
      <c r="C54" s="255">
        <v>89669.65</v>
      </c>
      <c r="D54" s="255">
        <v>7525.8</v>
      </c>
      <c r="E54" s="255">
        <f t="shared" si="106"/>
        <v>97195.45</v>
      </c>
      <c r="F54" s="255">
        <v>15514</v>
      </c>
      <c r="G54" s="255"/>
      <c r="H54" s="255">
        <f t="shared" si="86"/>
        <v>15514</v>
      </c>
      <c r="I54" s="56">
        <f t="shared" si="107"/>
        <v>112709.45</v>
      </c>
      <c r="J54" s="256">
        <v>44</v>
      </c>
      <c r="K54" s="256">
        <v>2</v>
      </c>
      <c r="L54" s="256">
        <f t="shared" si="148"/>
        <v>46</v>
      </c>
      <c r="M54" s="256">
        <v>1</v>
      </c>
      <c r="N54" s="256"/>
      <c r="O54" s="256">
        <f t="shared" si="149"/>
        <v>1</v>
      </c>
      <c r="P54" s="56">
        <f t="shared" si="150"/>
        <v>47</v>
      </c>
      <c r="Q54" s="256">
        <v>605</v>
      </c>
      <c r="R54" s="256">
        <v>99</v>
      </c>
      <c r="S54" s="256">
        <f t="shared" si="151"/>
        <v>704</v>
      </c>
      <c r="T54" s="256">
        <v>285</v>
      </c>
      <c r="U54" s="256"/>
      <c r="V54" s="256">
        <f t="shared" si="152"/>
        <v>285</v>
      </c>
      <c r="W54" s="56">
        <f t="shared" si="153"/>
        <v>989</v>
      </c>
      <c r="X54" s="56">
        <f t="shared" si="163"/>
        <v>2037.9465909090907</v>
      </c>
      <c r="Y54" s="56">
        <f t="shared" ref="Y54" si="166">D54/K54</f>
        <v>3762.9</v>
      </c>
      <c r="Z54" s="56">
        <f t="shared" si="164"/>
        <v>2112.9445652173913</v>
      </c>
      <c r="AA54" s="56">
        <f t="shared" ref="AA54" si="167">F54/M54</f>
        <v>15514</v>
      </c>
      <c r="AB54" s="56"/>
      <c r="AC54" s="56">
        <f>H54/O54</f>
        <v>15514</v>
      </c>
      <c r="AD54" s="56">
        <f t="shared" si="88"/>
        <v>2398.073404255319</v>
      </c>
      <c r="AE54" s="269"/>
      <c r="AF54" s="270"/>
      <c r="AG54" s="269"/>
      <c r="AH54" s="269"/>
      <c r="AI54" s="269"/>
      <c r="AJ54" s="269"/>
      <c r="AK54" s="270"/>
      <c r="AL54" s="270"/>
      <c r="AM54" s="270"/>
      <c r="AN54" s="267"/>
      <c r="AO54" s="267"/>
      <c r="AP54" s="267"/>
      <c r="AQ54" s="267"/>
      <c r="AR54" s="267"/>
      <c r="AS54" s="267"/>
      <c r="AT54" s="267"/>
      <c r="AU54" s="269">
        <f t="shared" si="114"/>
        <v>2037.9465909090907</v>
      </c>
      <c r="AV54" s="269">
        <f t="shared" si="115"/>
        <v>2112.9445652173913</v>
      </c>
      <c r="AW54" s="269">
        <f t="shared" si="89"/>
        <v>15514</v>
      </c>
      <c r="AX54" s="269">
        <f t="shared" si="116"/>
        <v>2398.073404255319</v>
      </c>
      <c r="AY54" s="269">
        <f t="shared" si="117"/>
        <v>89669.65</v>
      </c>
      <c r="AZ54" s="269">
        <f t="shared" si="118"/>
        <v>97195.45</v>
      </c>
      <c r="BA54" s="269">
        <f t="shared" si="119"/>
        <v>15514</v>
      </c>
      <c r="BB54" s="269">
        <f t="shared" si="120"/>
        <v>112709.45</v>
      </c>
      <c r="BC54" s="56">
        <v>179191.6</v>
      </c>
      <c r="BD54" s="56">
        <v>109585.83</v>
      </c>
      <c r="BE54" s="56">
        <f>BC54+BD54</f>
        <v>288777.43</v>
      </c>
      <c r="BF54" s="56">
        <v>50017.599999999999</v>
      </c>
      <c r="BG54" s="56"/>
      <c r="BH54" s="56">
        <f t="shared" si="122"/>
        <v>50017.599999999999</v>
      </c>
      <c r="BI54" s="56">
        <f t="shared" si="123"/>
        <v>338795.02999999997</v>
      </c>
      <c r="BJ54" s="59">
        <v>67</v>
      </c>
      <c r="BK54" s="59">
        <v>8</v>
      </c>
      <c r="BL54" s="59">
        <f t="shared" si="155"/>
        <v>75</v>
      </c>
      <c r="BM54" s="59">
        <v>2</v>
      </c>
      <c r="BN54" s="59"/>
      <c r="BO54" s="59">
        <f t="shared" si="156"/>
        <v>2</v>
      </c>
      <c r="BP54" s="56">
        <f t="shared" si="157"/>
        <v>77</v>
      </c>
      <c r="BQ54" s="59">
        <v>935</v>
      </c>
      <c r="BR54" s="59">
        <v>586</v>
      </c>
      <c r="BS54" s="59">
        <f t="shared" si="158"/>
        <v>1521</v>
      </c>
      <c r="BT54" s="59">
        <v>415</v>
      </c>
      <c r="BU54" s="59"/>
      <c r="BV54" s="59">
        <f>BT54+BU54</f>
        <v>415</v>
      </c>
      <c r="BW54" s="56">
        <f t="shared" si="129"/>
        <v>1936</v>
      </c>
      <c r="BX54" s="56">
        <f>BC54/BJ54</f>
        <v>2674.5014925373134</v>
      </c>
      <c r="BY54" s="56">
        <f t="shared" ref="BY54" si="168">BD54/BK54</f>
        <v>13698.22875</v>
      </c>
      <c r="BZ54" s="56">
        <f t="shared" si="132"/>
        <v>3850.3657333333331</v>
      </c>
      <c r="CA54" s="56">
        <f>BF54/BM54</f>
        <v>25008.799999999999</v>
      </c>
      <c r="CB54" s="56"/>
      <c r="CC54" s="56">
        <f>BH54/BO54</f>
        <v>25008.799999999999</v>
      </c>
      <c r="CD54" s="56">
        <f t="shared" si="136"/>
        <v>4399.9354545454544</v>
      </c>
      <c r="CE54" s="238"/>
      <c r="CF54" s="241"/>
      <c r="CG54" s="238"/>
      <c r="CH54" s="238"/>
      <c r="CI54" s="238"/>
      <c r="CJ54" s="238"/>
      <c r="CK54" s="241"/>
      <c r="CL54" s="241"/>
      <c r="CM54" s="241"/>
      <c r="CN54" s="233"/>
      <c r="CO54" s="233"/>
      <c r="CP54" s="233"/>
      <c r="CQ54" s="233"/>
      <c r="CR54" s="233"/>
      <c r="CS54" s="233"/>
      <c r="CT54" s="233"/>
      <c r="CU54" s="238">
        <f t="shared" si="91"/>
        <v>2674.5014925373134</v>
      </c>
      <c r="CV54" s="238">
        <f t="shared" si="92"/>
        <v>3850.3657333333331</v>
      </c>
      <c r="CW54" s="238">
        <f t="shared" si="93"/>
        <v>25008.799999999999</v>
      </c>
      <c r="CX54" s="238">
        <f t="shared" si="137"/>
        <v>4399.9354545454544</v>
      </c>
      <c r="CY54" s="238">
        <f t="shared" si="94"/>
        <v>179191.6</v>
      </c>
      <c r="CZ54" s="238">
        <f t="shared" si="95"/>
        <v>288777.43</v>
      </c>
      <c r="DA54" s="238">
        <f t="shared" si="96"/>
        <v>50017.599999999999</v>
      </c>
      <c r="DB54" s="238">
        <f t="shared" si="96"/>
        <v>338795.02999999997</v>
      </c>
      <c r="DC54" s="56">
        <v>186031.7</v>
      </c>
      <c r="DD54" s="56">
        <v>80925.19</v>
      </c>
      <c r="DE54" s="56">
        <f t="shared" si="138"/>
        <v>266956.89</v>
      </c>
      <c r="DF54" s="56">
        <v>34698.5</v>
      </c>
      <c r="DG54" s="56"/>
      <c r="DH54" s="56">
        <f t="shared" si="139"/>
        <v>34698.5</v>
      </c>
      <c r="DI54" s="56">
        <f t="shared" si="140"/>
        <v>301655.39</v>
      </c>
      <c r="DJ54" s="59">
        <v>68</v>
      </c>
      <c r="DK54" s="59">
        <v>9</v>
      </c>
      <c r="DL54" s="56">
        <f>DJ54+DK54</f>
        <v>77</v>
      </c>
      <c r="DM54" s="59">
        <v>1</v>
      </c>
      <c r="DN54" s="59"/>
      <c r="DO54" s="56">
        <f t="shared" si="161"/>
        <v>1</v>
      </c>
      <c r="DP54" s="56">
        <f t="shared" si="162"/>
        <v>78</v>
      </c>
      <c r="DQ54" s="59">
        <v>961</v>
      </c>
      <c r="DR54" s="59">
        <v>480</v>
      </c>
      <c r="DS54" s="56">
        <f t="shared" si="97"/>
        <v>1441</v>
      </c>
      <c r="DT54" s="59">
        <v>200</v>
      </c>
      <c r="DU54" s="59"/>
      <c r="DV54" s="56">
        <f>DT54+DU54</f>
        <v>200</v>
      </c>
      <c r="DW54" s="56">
        <f t="shared" si="144"/>
        <v>1641</v>
      </c>
      <c r="DX54" s="56">
        <f>DC54/DJ54</f>
        <v>2735.7602941176474</v>
      </c>
      <c r="DY54" s="56">
        <f t="shared" ref="DY54" si="169">DD54/DK54</f>
        <v>8991.6877777777772</v>
      </c>
      <c r="DZ54" s="56">
        <f t="shared" si="165"/>
        <v>3466.9725974025978</v>
      </c>
      <c r="EA54" s="56">
        <f>DF54/DM54</f>
        <v>34698.5</v>
      </c>
      <c r="EB54" s="56"/>
      <c r="EC54" s="56">
        <f>DH54/DO54</f>
        <v>34698.5</v>
      </c>
      <c r="ED54" s="56">
        <f t="shared" si="146"/>
        <v>3867.376794871795</v>
      </c>
      <c r="EE54" s="273"/>
      <c r="EF54" s="274"/>
      <c r="EG54" s="273"/>
      <c r="EH54" s="273"/>
      <c r="EI54" s="273"/>
      <c r="EJ54" s="273"/>
      <c r="EK54" s="274"/>
      <c r="EL54" s="274"/>
      <c r="EM54" s="274"/>
      <c r="EN54" s="231"/>
      <c r="EO54" s="231"/>
      <c r="EP54" s="231"/>
      <c r="EQ54" s="231"/>
      <c r="ER54" s="231"/>
      <c r="ES54" s="231"/>
      <c r="ET54" s="231"/>
      <c r="EU54" s="273">
        <f t="shared" si="100"/>
        <v>2735.7602941176474</v>
      </c>
      <c r="EV54" s="273">
        <f t="shared" si="101"/>
        <v>3466.9725974025978</v>
      </c>
      <c r="EW54" s="273">
        <f t="shared" si="102"/>
        <v>34698.5</v>
      </c>
      <c r="EX54" s="273">
        <f t="shared" si="147"/>
        <v>3867.376794871795</v>
      </c>
      <c r="EY54" s="273">
        <f t="shared" si="103"/>
        <v>186031.7</v>
      </c>
      <c r="EZ54" s="273">
        <f t="shared" si="104"/>
        <v>266956.89</v>
      </c>
      <c r="FA54" s="273">
        <f t="shared" si="105"/>
        <v>34698.5</v>
      </c>
      <c r="FB54" s="273">
        <f t="shared" si="105"/>
        <v>301655.39</v>
      </c>
      <c r="FC54" s="79"/>
      <c r="FD54" s="79"/>
      <c r="FE54" s="79"/>
      <c r="FF54" s="79"/>
      <c r="FG54" s="47"/>
      <c r="FH54" s="47"/>
      <c r="FI54" s="47"/>
      <c r="FJ54" s="47"/>
    </row>
    <row r="55" spans="1:166" x14ac:dyDescent="0.3">
      <c r="A55" s="48" t="s">
        <v>50</v>
      </c>
      <c r="B55" s="258" t="s">
        <v>19</v>
      </c>
      <c r="C55" s="53">
        <v>66575</v>
      </c>
      <c r="D55" s="53">
        <v>1876</v>
      </c>
      <c r="E55" s="53">
        <f t="shared" si="106"/>
        <v>68451</v>
      </c>
      <c r="F55" s="53"/>
      <c r="G55" s="53"/>
      <c r="H55" s="53">
        <f t="shared" si="86"/>
        <v>0</v>
      </c>
      <c r="I55" s="56">
        <f t="shared" si="107"/>
        <v>68451</v>
      </c>
      <c r="J55" s="252">
        <v>71</v>
      </c>
      <c r="K55" s="252">
        <v>2</v>
      </c>
      <c r="L55" s="252">
        <f t="shared" si="148"/>
        <v>73</v>
      </c>
      <c r="M55" s="252"/>
      <c r="N55" s="252"/>
      <c r="O55" s="252">
        <f t="shared" si="149"/>
        <v>0</v>
      </c>
      <c r="P55" s="56">
        <f t="shared" si="150"/>
        <v>73</v>
      </c>
      <c r="Q55" s="252">
        <v>875</v>
      </c>
      <c r="R55" s="252">
        <v>150</v>
      </c>
      <c r="S55" s="59">
        <f t="shared" si="151"/>
        <v>1025</v>
      </c>
      <c r="T55" s="252"/>
      <c r="U55" s="252"/>
      <c r="V55" s="256">
        <f t="shared" si="152"/>
        <v>0</v>
      </c>
      <c r="W55" s="56">
        <f t="shared" si="153"/>
        <v>1025</v>
      </c>
      <c r="X55" s="56">
        <f t="shared" si="163"/>
        <v>937.67605633802816</v>
      </c>
      <c r="Y55" s="56">
        <f>D55/K55</f>
        <v>938</v>
      </c>
      <c r="Z55" s="56">
        <f t="shared" si="164"/>
        <v>937.68493150684935</v>
      </c>
      <c r="AA55" s="56"/>
      <c r="AB55" s="56"/>
      <c r="AC55" s="56"/>
      <c r="AD55" s="56">
        <f t="shared" si="88"/>
        <v>937.68493150684935</v>
      </c>
      <c r="AE55" s="269"/>
      <c r="AF55" s="269"/>
      <c r="AG55" s="269"/>
      <c r="AH55" s="269"/>
      <c r="AI55" s="269"/>
      <c r="AJ55" s="269"/>
      <c r="AK55" s="267"/>
      <c r="AL55" s="267"/>
      <c r="AM55" s="267"/>
      <c r="AN55" s="269"/>
      <c r="AO55" s="267"/>
      <c r="AP55" s="267"/>
      <c r="AQ55" s="267"/>
      <c r="AR55" s="267"/>
      <c r="AS55" s="267"/>
      <c r="AT55" s="267"/>
      <c r="AU55" s="269">
        <f t="shared" si="114"/>
        <v>937.67605633802816</v>
      </c>
      <c r="AV55" s="269">
        <f t="shared" si="115"/>
        <v>937.68493150684935</v>
      </c>
      <c r="AW55" s="269">
        <f t="shared" si="89"/>
        <v>0</v>
      </c>
      <c r="AX55" s="269">
        <f t="shared" si="116"/>
        <v>937.68493150684935</v>
      </c>
      <c r="AY55" s="269">
        <f t="shared" si="117"/>
        <v>66575</v>
      </c>
      <c r="AZ55" s="269">
        <f t="shared" si="118"/>
        <v>68451</v>
      </c>
      <c r="BA55" s="269">
        <f t="shared" si="119"/>
        <v>0</v>
      </c>
      <c r="BB55" s="269">
        <f t="shared" si="120"/>
        <v>68451</v>
      </c>
      <c r="BC55" s="53">
        <v>91585</v>
      </c>
      <c r="BD55" s="53"/>
      <c r="BE55" s="79">
        <f t="shared" si="121"/>
        <v>91585</v>
      </c>
      <c r="BF55" s="53">
        <v>1189</v>
      </c>
      <c r="BG55" s="53"/>
      <c r="BH55" s="79">
        <f t="shared" si="122"/>
        <v>1189</v>
      </c>
      <c r="BI55" s="56">
        <f t="shared" si="123"/>
        <v>92774</v>
      </c>
      <c r="BJ55" s="252">
        <v>77</v>
      </c>
      <c r="BK55" s="252"/>
      <c r="BL55" s="252">
        <f t="shared" si="155"/>
        <v>77</v>
      </c>
      <c r="BM55" s="252">
        <v>1</v>
      </c>
      <c r="BN55" s="252"/>
      <c r="BO55" s="252">
        <f t="shared" si="156"/>
        <v>1</v>
      </c>
      <c r="BP55" s="56">
        <f t="shared" si="157"/>
        <v>78</v>
      </c>
      <c r="BQ55" s="252">
        <v>950</v>
      </c>
      <c r="BR55" s="252"/>
      <c r="BS55" s="76">
        <f t="shared" si="158"/>
        <v>950</v>
      </c>
      <c r="BT55" s="252">
        <v>170</v>
      </c>
      <c r="BU55" s="252"/>
      <c r="BV55" s="59">
        <f t="shared" si="159"/>
        <v>170</v>
      </c>
      <c r="BW55" s="56">
        <f t="shared" si="129"/>
        <v>1120</v>
      </c>
      <c r="BX55" s="56">
        <f t="shared" si="130"/>
        <v>1189.4155844155844</v>
      </c>
      <c r="BY55" s="56"/>
      <c r="BZ55" s="56">
        <f t="shared" si="132"/>
        <v>1189.4155844155844</v>
      </c>
      <c r="CA55" s="56">
        <f t="shared" si="133"/>
        <v>1189</v>
      </c>
      <c r="CB55" s="56"/>
      <c r="CC55" s="56">
        <f t="shared" si="135"/>
        <v>1189</v>
      </c>
      <c r="CD55" s="56">
        <f t="shared" si="136"/>
        <v>1189.4102564102564</v>
      </c>
      <c r="CE55" s="238"/>
      <c r="CF55" s="238"/>
      <c r="CG55" s="238"/>
      <c r="CH55" s="238"/>
      <c r="CI55" s="238"/>
      <c r="CJ55" s="238"/>
      <c r="CK55" s="233"/>
      <c r="CL55" s="233"/>
      <c r="CM55" s="233"/>
      <c r="CN55" s="238"/>
      <c r="CO55" s="233"/>
      <c r="CP55" s="233"/>
      <c r="CQ55" s="233"/>
      <c r="CR55" s="233"/>
      <c r="CS55" s="233"/>
      <c r="CT55" s="233"/>
      <c r="CU55" s="238">
        <f t="shared" si="91"/>
        <v>1189.4155844155844</v>
      </c>
      <c r="CV55" s="238">
        <f t="shared" si="92"/>
        <v>1189.4155844155844</v>
      </c>
      <c r="CW55" s="238">
        <f t="shared" si="93"/>
        <v>1189</v>
      </c>
      <c r="CX55" s="238">
        <f t="shared" si="137"/>
        <v>1189.4102564102564</v>
      </c>
      <c r="CY55" s="238">
        <f t="shared" si="94"/>
        <v>91585</v>
      </c>
      <c r="CZ55" s="238">
        <f t="shared" si="95"/>
        <v>91585</v>
      </c>
      <c r="DA55" s="238">
        <f t="shared" si="96"/>
        <v>1189</v>
      </c>
      <c r="DB55" s="238">
        <f t="shared" si="96"/>
        <v>92774</v>
      </c>
      <c r="DC55" s="53">
        <v>52835</v>
      </c>
      <c r="DD55" s="53"/>
      <c r="DE55" s="56">
        <f t="shared" si="138"/>
        <v>52835</v>
      </c>
      <c r="DF55" s="53"/>
      <c r="DG55" s="53"/>
      <c r="DH55" s="56">
        <f t="shared" si="139"/>
        <v>0</v>
      </c>
      <c r="DI55" s="56">
        <f t="shared" si="140"/>
        <v>52835</v>
      </c>
      <c r="DJ55" s="252">
        <v>73</v>
      </c>
      <c r="DK55" s="252"/>
      <c r="DL55" s="56">
        <f t="shared" si="160"/>
        <v>73</v>
      </c>
      <c r="DM55" s="252"/>
      <c r="DN55" s="252"/>
      <c r="DO55" s="56">
        <f t="shared" si="161"/>
        <v>0</v>
      </c>
      <c r="DP55" s="56">
        <f t="shared" si="162"/>
        <v>73</v>
      </c>
      <c r="DQ55" s="252">
        <v>865</v>
      </c>
      <c r="DR55" s="252"/>
      <c r="DS55" s="56">
        <f t="shared" si="97"/>
        <v>865</v>
      </c>
      <c r="DT55" s="252"/>
      <c r="DU55" s="252"/>
      <c r="DV55" s="56">
        <f t="shared" si="98"/>
        <v>0</v>
      </c>
      <c r="DW55" s="56">
        <f t="shared" si="144"/>
        <v>865</v>
      </c>
      <c r="DX55" s="56">
        <f t="shared" si="145"/>
        <v>723.76712328767121</v>
      </c>
      <c r="DY55" s="56"/>
      <c r="DZ55" s="56">
        <f t="shared" si="165"/>
        <v>723.76712328767121</v>
      </c>
      <c r="EA55" s="56"/>
      <c r="EB55" s="56"/>
      <c r="EC55" s="56"/>
      <c r="ED55" s="56">
        <f t="shared" si="146"/>
        <v>723.76712328767121</v>
      </c>
      <c r="EE55" s="273"/>
      <c r="EF55" s="273"/>
      <c r="EG55" s="273"/>
      <c r="EH55" s="273"/>
      <c r="EI55" s="273"/>
      <c r="EJ55" s="273"/>
      <c r="EK55" s="231"/>
      <c r="EL55" s="231"/>
      <c r="EM55" s="231"/>
      <c r="EN55" s="273"/>
      <c r="EO55" s="231"/>
      <c r="EP55" s="231"/>
      <c r="EQ55" s="231"/>
      <c r="ER55" s="231"/>
      <c r="ES55" s="231"/>
      <c r="ET55" s="231"/>
      <c r="EU55" s="273">
        <f t="shared" si="100"/>
        <v>723.76712328767121</v>
      </c>
      <c r="EV55" s="273">
        <f t="shared" si="101"/>
        <v>723.76712328767121</v>
      </c>
      <c r="EW55" s="273">
        <f t="shared" si="102"/>
        <v>0</v>
      </c>
      <c r="EX55" s="273">
        <f t="shared" si="147"/>
        <v>723.76712328767121</v>
      </c>
      <c r="EY55" s="273">
        <f t="shared" si="103"/>
        <v>52835</v>
      </c>
      <c r="EZ55" s="273">
        <f t="shared" si="104"/>
        <v>52835</v>
      </c>
      <c r="FA55" s="273">
        <f t="shared" si="105"/>
        <v>0</v>
      </c>
      <c r="FB55" s="273">
        <f t="shared" si="105"/>
        <v>52835</v>
      </c>
      <c r="FC55" s="79"/>
      <c r="FD55" s="79"/>
      <c r="FE55" s="79"/>
      <c r="FF55" s="79"/>
      <c r="FG55" s="47"/>
      <c r="FH55" s="47"/>
      <c r="FI55" s="47"/>
      <c r="FJ55" s="47"/>
    </row>
    <row r="56" spans="1:166" ht="28.8" x14ac:dyDescent="0.3">
      <c r="A56" s="48" t="s">
        <v>51</v>
      </c>
      <c r="B56" s="258" t="s">
        <v>20</v>
      </c>
      <c r="C56" s="53">
        <v>6280949.2699999996</v>
      </c>
      <c r="D56" s="53">
        <v>2400362.7799999998</v>
      </c>
      <c r="E56" s="53">
        <f t="shared" si="106"/>
        <v>8681312.0499999989</v>
      </c>
      <c r="F56" s="53">
        <v>360054.42</v>
      </c>
      <c r="G56" s="53"/>
      <c r="H56" s="53">
        <f t="shared" si="86"/>
        <v>360054.42</v>
      </c>
      <c r="I56" s="56">
        <f t="shared" si="107"/>
        <v>9041366.4699999988</v>
      </c>
      <c r="J56" s="252">
        <v>157</v>
      </c>
      <c r="K56" s="252">
        <v>60</v>
      </c>
      <c r="L56" s="252">
        <f t="shared" si="148"/>
        <v>217</v>
      </c>
      <c r="M56" s="252">
        <v>9</v>
      </c>
      <c r="N56" s="252"/>
      <c r="O56" s="252">
        <f t="shared" si="149"/>
        <v>9</v>
      </c>
      <c r="P56" s="56">
        <f t="shared" si="150"/>
        <v>226</v>
      </c>
      <c r="Q56" s="252">
        <v>2017.09</v>
      </c>
      <c r="R56" s="252">
        <v>4985.8999999999996</v>
      </c>
      <c r="S56" s="59">
        <f t="shared" si="151"/>
        <v>7002.99</v>
      </c>
      <c r="T56" s="252">
        <v>3836.84</v>
      </c>
      <c r="U56" s="252"/>
      <c r="V56" s="256">
        <f t="shared" si="152"/>
        <v>3836.84</v>
      </c>
      <c r="W56" s="56">
        <f t="shared" si="153"/>
        <v>10839.83</v>
      </c>
      <c r="X56" s="56">
        <f t="shared" si="163"/>
        <v>40006.046305732481</v>
      </c>
      <c r="Y56" s="56">
        <f>D56/K56</f>
        <v>40006.046333333332</v>
      </c>
      <c r="Z56" s="56">
        <f t="shared" si="164"/>
        <v>40006.046313364051</v>
      </c>
      <c r="AA56" s="56">
        <f>F56/M56</f>
        <v>40006.046666666662</v>
      </c>
      <c r="AB56" s="56"/>
      <c r="AC56" s="56">
        <f>H56/O56</f>
        <v>40006.046666666662</v>
      </c>
      <c r="AD56" s="56">
        <f t="shared" si="88"/>
        <v>40006.046327433622</v>
      </c>
      <c r="AE56" s="269"/>
      <c r="AF56" s="270"/>
      <c r="AG56" s="269"/>
      <c r="AH56" s="269"/>
      <c r="AI56" s="269"/>
      <c r="AJ56" s="269"/>
      <c r="AK56" s="270"/>
      <c r="AL56" s="270"/>
      <c r="AM56" s="270"/>
      <c r="AN56" s="267"/>
      <c r="AO56" s="267"/>
      <c r="AP56" s="267"/>
      <c r="AQ56" s="267"/>
      <c r="AR56" s="267"/>
      <c r="AS56" s="267"/>
      <c r="AT56" s="267"/>
      <c r="AU56" s="269">
        <f t="shared" si="114"/>
        <v>0</v>
      </c>
      <c r="AV56" s="269">
        <f t="shared" si="115"/>
        <v>0</v>
      </c>
      <c r="AW56" s="269">
        <f t="shared" si="89"/>
        <v>40006.046666666662</v>
      </c>
      <c r="AX56" s="269">
        <f t="shared" si="116"/>
        <v>0</v>
      </c>
      <c r="AY56" s="269">
        <f t="shared" si="117"/>
        <v>0</v>
      </c>
      <c r="AZ56" s="269">
        <f t="shared" si="118"/>
        <v>0</v>
      </c>
      <c r="BA56" s="269">
        <f t="shared" si="119"/>
        <v>360054.41999999993</v>
      </c>
      <c r="BB56" s="269">
        <f t="shared" si="120"/>
        <v>0</v>
      </c>
      <c r="BC56" s="53">
        <v>1806505.43</v>
      </c>
      <c r="BD56" s="53">
        <v>711923.32</v>
      </c>
      <c r="BE56" s="79">
        <f t="shared" si="121"/>
        <v>2518428.75</v>
      </c>
      <c r="BF56" s="53">
        <v>169081.79</v>
      </c>
      <c r="BG56" s="53"/>
      <c r="BH56" s="79">
        <f t="shared" si="122"/>
        <v>169081.79</v>
      </c>
      <c r="BI56" s="56">
        <f t="shared" si="123"/>
        <v>2687510.54</v>
      </c>
      <c r="BJ56" s="252">
        <v>203</v>
      </c>
      <c r="BK56" s="252">
        <v>83</v>
      </c>
      <c r="BL56" s="252">
        <f t="shared" si="155"/>
        <v>286</v>
      </c>
      <c r="BM56" s="252">
        <v>19</v>
      </c>
      <c r="BN56" s="252"/>
      <c r="BO56" s="252">
        <f t="shared" si="156"/>
        <v>19</v>
      </c>
      <c r="BP56" s="56">
        <f t="shared" si="157"/>
        <v>305</v>
      </c>
      <c r="BQ56" s="252">
        <v>2463.9499999999998</v>
      </c>
      <c r="BR56" s="252">
        <v>4369.84</v>
      </c>
      <c r="BS56" s="76">
        <f t="shared" si="158"/>
        <v>6833.79</v>
      </c>
      <c r="BT56" s="252">
        <v>8073</v>
      </c>
      <c r="BU56" s="252"/>
      <c r="BV56" s="59">
        <f t="shared" si="159"/>
        <v>8073</v>
      </c>
      <c r="BW56" s="56">
        <f t="shared" si="129"/>
        <v>14906.79</v>
      </c>
      <c r="BX56" s="56">
        <f t="shared" si="130"/>
        <v>8899.0415270935955</v>
      </c>
      <c r="BY56" s="56">
        <f t="shared" si="131"/>
        <v>8577.3893975903611</v>
      </c>
      <c r="BZ56" s="56">
        <f t="shared" si="132"/>
        <v>8805.6949300699307</v>
      </c>
      <c r="CA56" s="56">
        <f t="shared" si="133"/>
        <v>8899.0415789473682</v>
      </c>
      <c r="CB56" s="56"/>
      <c r="CC56" s="56">
        <f t="shared" si="135"/>
        <v>8899.0415789473682</v>
      </c>
      <c r="CD56" s="56">
        <f t="shared" si="136"/>
        <v>8811.5099672131146</v>
      </c>
      <c r="CE56" s="238"/>
      <c r="CF56" s="241"/>
      <c r="CG56" s="238"/>
      <c r="CH56" s="238"/>
      <c r="CI56" s="238"/>
      <c r="CJ56" s="238"/>
      <c r="CK56" s="241"/>
      <c r="CL56" s="241"/>
      <c r="CM56" s="241"/>
      <c r="CN56" s="233"/>
      <c r="CO56" s="233"/>
      <c r="CP56" s="233"/>
      <c r="CQ56" s="233"/>
      <c r="CR56" s="233"/>
      <c r="CS56" s="233"/>
      <c r="CT56" s="233"/>
      <c r="CU56" s="238">
        <f t="shared" si="91"/>
        <v>8899.0415270935955</v>
      </c>
      <c r="CV56" s="238">
        <f t="shared" si="92"/>
        <v>8805.6949300699307</v>
      </c>
      <c r="CW56" s="238">
        <f t="shared" si="93"/>
        <v>8899.0415789473682</v>
      </c>
      <c r="CX56" s="238">
        <f t="shared" si="137"/>
        <v>8811.5099672131146</v>
      </c>
      <c r="CY56" s="238">
        <f t="shared" si="94"/>
        <v>1806505.43</v>
      </c>
      <c r="CZ56" s="238">
        <f t="shared" si="95"/>
        <v>2518428.75</v>
      </c>
      <c r="DA56" s="238">
        <f t="shared" si="96"/>
        <v>169081.79</v>
      </c>
      <c r="DB56" s="238">
        <f t="shared" si="96"/>
        <v>2687510.54</v>
      </c>
      <c r="DC56" s="53">
        <v>2644993.0699999998</v>
      </c>
      <c r="DD56" s="53">
        <v>1080038.8400000001</v>
      </c>
      <c r="DE56" s="56">
        <f t="shared" si="138"/>
        <v>3725031.91</v>
      </c>
      <c r="DF56" s="53">
        <v>176332.87</v>
      </c>
      <c r="DG56" s="53"/>
      <c r="DH56" s="56">
        <f t="shared" si="139"/>
        <v>176332.87</v>
      </c>
      <c r="DI56" s="56">
        <f t="shared" si="140"/>
        <v>3901364.7800000003</v>
      </c>
      <c r="DJ56" s="252">
        <v>120</v>
      </c>
      <c r="DK56" s="252">
        <v>49</v>
      </c>
      <c r="DL56" s="56">
        <f t="shared" si="160"/>
        <v>169</v>
      </c>
      <c r="DM56" s="252">
        <v>8</v>
      </c>
      <c r="DN56" s="252"/>
      <c r="DO56" s="56">
        <f t="shared" si="161"/>
        <v>8</v>
      </c>
      <c r="DP56" s="56">
        <f t="shared" si="162"/>
        <v>177</v>
      </c>
      <c r="DQ56" s="252">
        <v>1570.2</v>
      </c>
      <c r="DR56" s="252">
        <v>3752</v>
      </c>
      <c r="DS56" s="56">
        <f t="shared" si="97"/>
        <v>5322.2</v>
      </c>
      <c r="DT56" s="252">
        <v>3877</v>
      </c>
      <c r="DU56" s="252"/>
      <c r="DV56" s="56">
        <f t="shared" si="98"/>
        <v>3877</v>
      </c>
      <c r="DW56" s="56">
        <f t="shared" si="144"/>
        <v>9199.2000000000007</v>
      </c>
      <c r="DX56" s="56">
        <f t="shared" si="145"/>
        <v>22041.608916666664</v>
      </c>
      <c r="DY56" s="56">
        <f>DD56/DK56</f>
        <v>22041.608979591838</v>
      </c>
      <c r="DZ56" s="56">
        <f t="shared" si="165"/>
        <v>22041.608934911244</v>
      </c>
      <c r="EA56" s="56">
        <f>DF56/DM56</f>
        <v>22041.608749999999</v>
      </c>
      <c r="EB56" s="56"/>
      <c r="EC56" s="56">
        <f>DH56/DO56</f>
        <v>22041.608749999999</v>
      </c>
      <c r="ED56" s="56">
        <f t="shared" si="146"/>
        <v>22041.608926553672</v>
      </c>
      <c r="EE56" s="273"/>
      <c r="EF56" s="274"/>
      <c r="EG56" s="273"/>
      <c r="EH56" s="273"/>
      <c r="EI56" s="273"/>
      <c r="EJ56" s="273"/>
      <c r="EK56" s="274"/>
      <c r="EL56" s="274"/>
      <c r="EM56" s="274"/>
      <c r="EN56" s="231"/>
      <c r="EO56" s="231"/>
      <c r="EP56" s="231"/>
      <c r="EQ56" s="231"/>
      <c r="ER56" s="231"/>
      <c r="ES56" s="231"/>
      <c r="ET56" s="231"/>
      <c r="EU56" s="273">
        <f t="shared" si="100"/>
        <v>22041.608916666664</v>
      </c>
      <c r="EV56" s="273">
        <f t="shared" si="101"/>
        <v>22041.608934911244</v>
      </c>
      <c r="EW56" s="273">
        <f t="shared" si="102"/>
        <v>22041.608749999999</v>
      </c>
      <c r="EX56" s="273">
        <f t="shared" si="147"/>
        <v>22041.608926553672</v>
      </c>
      <c r="EY56" s="273">
        <f t="shared" si="103"/>
        <v>2644993.0699999998</v>
      </c>
      <c r="EZ56" s="273">
        <f t="shared" si="104"/>
        <v>3725031.91</v>
      </c>
      <c r="FA56" s="273">
        <f t="shared" si="105"/>
        <v>176332.87</v>
      </c>
      <c r="FB56" s="273">
        <f t="shared" si="105"/>
        <v>3901364.78</v>
      </c>
      <c r="FC56" s="79"/>
      <c r="FD56" s="79"/>
      <c r="FE56" s="79"/>
      <c r="FF56" s="79"/>
      <c r="FG56" s="47"/>
      <c r="FH56" s="47"/>
      <c r="FI56" s="47"/>
      <c r="FJ56" s="47"/>
    </row>
    <row r="57" spans="1:166" ht="28.8" x14ac:dyDescent="0.3">
      <c r="A57" s="48" t="s">
        <v>52</v>
      </c>
      <c r="B57" s="258" t="s">
        <v>21</v>
      </c>
      <c r="C57" s="53">
        <v>309016</v>
      </c>
      <c r="D57" s="53">
        <v>36594</v>
      </c>
      <c r="E57" s="53">
        <f t="shared" si="106"/>
        <v>345610</v>
      </c>
      <c r="F57" s="53"/>
      <c r="G57" s="53"/>
      <c r="H57" s="53">
        <f t="shared" si="86"/>
        <v>0</v>
      </c>
      <c r="I57" s="56">
        <f t="shared" si="107"/>
        <v>345610</v>
      </c>
      <c r="J57" s="252">
        <v>76</v>
      </c>
      <c r="K57" s="252">
        <v>9</v>
      </c>
      <c r="L57" s="252">
        <f t="shared" si="148"/>
        <v>85</v>
      </c>
      <c r="M57" s="252"/>
      <c r="N57" s="252"/>
      <c r="O57" s="252">
        <f t="shared" si="149"/>
        <v>0</v>
      </c>
      <c r="P57" s="56">
        <f t="shared" si="150"/>
        <v>85</v>
      </c>
      <c r="Q57" s="252">
        <v>851</v>
      </c>
      <c r="R57" s="252">
        <v>449</v>
      </c>
      <c r="S57" s="59">
        <f t="shared" si="151"/>
        <v>1300</v>
      </c>
      <c r="T57" s="252"/>
      <c r="U57" s="252"/>
      <c r="V57" s="256">
        <f t="shared" si="152"/>
        <v>0</v>
      </c>
      <c r="W57" s="56">
        <f t="shared" si="153"/>
        <v>1300</v>
      </c>
      <c r="X57" s="56">
        <f t="shared" si="163"/>
        <v>4066</v>
      </c>
      <c r="Y57" s="56">
        <f>D57/K57</f>
        <v>4066</v>
      </c>
      <c r="Z57" s="56">
        <f t="shared" si="164"/>
        <v>4066</v>
      </c>
      <c r="AA57" s="56"/>
      <c r="AB57" s="56"/>
      <c r="AC57" s="56"/>
      <c r="AD57" s="56">
        <f t="shared" si="88"/>
        <v>4066</v>
      </c>
      <c r="AE57" s="269"/>
      <c r="AF57" s="269"/>
      <c r="AG57" s="269"/>
      <c r="AH57" s="269"/>
      <c r="AI57" s="269"/>
      <c r="AJ57" s="269"/>
      <c r="AK57" s="267"/>
      <c r="AL57" s="267"/>
      <c r="AM57" s="267"/>
      <c r="AN57" s="269"/>
      <c r="AO57" s="267"/>
      <c r="AP57" s="267"/>
      <c r="AQ57" s="267"/>
      <c r="AR57" s="267"/>
      <c r="AS57" s="267"/>
      <c r="AT57" s="267"/>
      <c r="AU57" s="269">
        <f t="shared" si="114"/>
        <v>4066</v>
      </c>
      <c r="AV57" s="269">
        <f t="shared" si="115"/>
        <v>4066</v>
      </c>
      <c r="AW57" s="269">
        <f t="shared" si="89"/>
        <v>0</v>
      </c>
      <c r="AX57" s="269">
        <f t="shared" si="116"/>
        <v>4066</v>
      </c>
      <c r="AY57" s="269">
        <f t="shared" si="117"/>
        <v>309016</v>
      </c>
      <c r="AZ57" s="269">
        <f t="shared" si="118"/>
        <v>345610</v>
      </c>
      <c r="BA57" s="269">
        <f t="shared" si="119"/>
        <v>0</v>
      </c>
      <c r="BB57" s="269">
        <f t="shared" si="120"/>
        <v>345610</v>
      </c>
      <c r="BC57" s="53">
        <v>313082</v>
      </c>
      <c r="BD57" s="53">
        <v>28462</v>
      </c>
      <c r="BE57" s="79">
        <f t="shared" si="121"/>
        <v>341544</v>
      </c>
      <c r="BF57" s="53">
        <v>4066</v>
      </c>
      <c r="BG57" s="53"/>
      <c r="BH57" s="79">
        <f t="shared" si="122"/>
        <v>4066</v>
      </c>
      <c r="BI57" s="56">
        <f t="shared" si="123"/>
        <v>345610</v>
      </c>
      <c r="BJ57" s="252">
        <v>77</v>
      </c>
      <c r="BK57" s="252">
        <v>7</v>
      </c>
      <c r="BL57" s="252">
        <f t="shared" si="155"/>
        <v>84</v>
      </c>
      <c r="BM57" s="252">
        <v>1</v>
      </c>
      <c r="BN57" s="252"/>
      <c r="BO57" s="252">
        <f t="shared" si="156"/>
        <v>1</v>
      </c>
      <c r="BP57" s="56">
        <f t="shared" si="157"/>
        <v>85</v>
      </c>
      <c r="BQ57" s="252">
        <v>720</v>
      </c>
      <c r="BR57" s="252">
        <v>410</v>
      </c>
      <c r="BS57" s="76">
        <f t="shared" si="158"/>
        <v>1130</v>
      </c>
      <c r="BT57" s="252">
        <v>500</v>
      </c>
      <c r="BU57" s="252"/>
      <c r="BV57" s="59">
        <f t="shared" si="159"/>
        <v>500</v>
      </c>
      <c r="BW57" s="56">
        <f t="shared" si="129"/>
        <v>1630</v>
      </c>
      <c r="BX57" s="56">
        <f t="shared" si="130"/>
        <v>4066</v>
      </c>
      <c r="BY57" s="56">
        <f t="shared" si="131"/>
        <v>4066</v>
      </c>
      <c r="BZ57" s="56">
        <f t="shared" si="132"/>
        <v>4066</v>
      </c>
      <c r="CA57" s="56">
        <f t="shared" si="133"/>
        <v>4066</v>
      </c>
      <c r="CB57" s="56"/>
      <c r="CC57" s="56">
        <f t="shared" si="135"/>
        <v>4066</v>
      </c>
      <c r="CD57" s="56">
        <f t="shared" si="136"/>
        <v>4066</v>
      </c>
      <c r="CE57" s="238"/>
      <c r="CF57" s="238"/>
      <c r="CG57" s="238"/>
      <c r="CH57" s="238"/>
      <c r="CI57" s="238"/>
      <c r="CJ57" s="238"/>
      <c r="CK57" s="233"/>
      <c r="CL57" s="233"/>
      <c r="CM57" s="233"/>
      <c r="CN57" s="238"/>
      <c r="CO57" s="233"/>
      <c r="CP57" s="233"/>
      <c r="CQ57" s="233"/>
      <c r="CR57" s="233"/>
      <c r="CS57" s="233"/>
      <c r="CT57" s="233"/>
      <c r="CU57" s="238">
        <f t="shared" si="91"/>
        <v>4066</v>
      </c>
      <c r="CV57" s="238">
        <f t="shared" si="92"/>
        <v>4066</v>
      </c>
      <c r="CW57" s="238">
        <f t="shared" si="93"/>
        <v>4066</v>
      </c>
      <c r="CX57" s="238">
        <f t="shared" si="137"/>
        <v>4066</v>
      </c>
      <c r="CY57" s="238">
        <f t="shared" si="94"/>
        <v>313082</v>
      </c>
      <c r="CZ57" s="238">
        <f t="shared" si="95"/>
        <v>341544</v>
      </c>
      <c r="DA57" s="238">
        <f t="shared" si="96"/>
        <v>4066</v>
      </c>
      <c r="DB57" s="238">
        <f t="shared" si="96"/>
        <v>345610</v>
      </c>
      <c r="DC57" s="53">
        <v>236400</v>
      </c>
      <c r="DD57" s="53"/>
      <c r="DE57" s="56">
        <f t="shared" si="138"/>
        <v>236400</v>
      </c>
      <c r="DF57" s="53"/>
      <c r="DG57" s="53"/>
      <c r="DH57" s="56">
        <f t="shared" si="139"/>
        <v>0</v>
      </c>
      <c r="DI57" s="56">
        <f t="shared" si="140"/>
        <v>236400</v>
      </c>
      <c r="DJ57" s="252">
        <v>48</v>
      </c>
      <c r="DK57" s="252"/>
      <c r="DL57" s="56">
        <f t="shared" si="160"/>
        <v>48</v>
      </c>
      <c r="DM57" s="252"/>
      <c r="DN57" s="252"/>
      <c r="DO57" s="56">
        <f t="shared" si="161"/>
        <v>0</v>
      </c>
      <c r="DP57" s="56">
        <f t="shared" si="162"/>
        <v>48</v>
      </c>
      <c r="DQ57" s="252">
        <v>424</v>
      </c>
      <c r="DR57" s="252"/>
      <c r="DS57" s="56">
        <f t="shared" si="97"/>
        <v>424</v>
      </c>
      <c r="DT57" s="252"/>
      <c r="DU57" s="252"/>
      <c r="DV57" s="56">
        <f t="shared" si="98"/>
        <v>0</v>
      </c>
      <c r="DW57" s="56">
        <f t="shared" si="144"/>
        <v>424</v>
      </c>
      <c r="DX57" s="56">
        <f t="shared" si="145"/>
        <v>4925</v>
      </c>
      <c r="DY57" s="56"/>
      <c r="DZ57" s="56">
        <f t="shared" si="165"/>
        <v>4925</v>
      </c>
      <c r="EA57" s="56"/>
      <c r="EB57" s="56"/>
      <c r="EC57" s="56"/>
      <c r="ED57" s="56">
        <f t="shared" si="146"/>
        <v>4925</v>
      </c>
      <c r="EE57" s="273"/>
      <c r="EF57" s="273"/>
      <c r="EG57" s="273"/>
      <c r="EH57" s="273"/>
      <c r="EI57" s="273"/>
      <c r="EJ57" s="273"/>
      <c r="EK57" s="231"/>
      <c r="EL57" s="231"/>
      <c r="EM57" s="231"/>
      <c r="EN57" s="273"/>
      <c r="EO57" s="231"/>
      <c r="EP57" s="231"/>
      <c r="EQ57" s="231"/>
      <c r="ER57" s="231"/>
      <c r="ES57" s="231"/>
      <c r="ET57" s="231"/>
      <c r="EU57" s="273">
        <f t="shared" si="100"/>
        <v>4925</v>
      </c>
      <c r="EV57" s="273">
        <f t="shared" si="101"/>
        <v>4925</v>
      </c>
      <c r="EW57" s="273">
        <f t="shared" si="102"/>
        <v>0</v>
      </c>
      <c r="EX57" s="273">
        <f t="shared" si="147"/>
        <v>4925</v>
      </c>
      <c r="EY57" s="273">
        <f t="shared" si="103"/>
        <v>236400</v>
      </c>
      <c r="EZ57" s="273">
        <f t="shared" si="104"/>
        <v>236400</v>
      </c>
      <c r="FA57" s="273">
        <f t="shared" si="105"/>
        <v>0</v>
      </c>
      <c r="FB57" s="273">
        <f t="shared" si="105"/>
        <v>236400</v>
      </c>
      <c r="FC57" s="79"/>
      <c r="FD57" s="79"/>
      <c r="FE57" s="79"/>
      <c r="FF57" s="79"/>
      <c r="FG57" s="47"/>
      <c r="FH57" s="47"/>
      <c r="FI57" s="47"/>
      <c r="FJ57" s="47"/>
    </row>
    <row r="58" spans="1:166" x14ac:dyDescent="0.3">
      <c r="A58" s="48" t="s">
        <v>53</v>
      </c>
      <c r="B58" s="258" t="s">
        <v>22</v>
      </c>
      <c r="C58" s="53">
        <v>1409400</v>
      </c>
      <c r="D58" s="53">
        <v>247950</v>
      </c>
      <c r="E58" s="53">
        <f t="shared" si="106"/>
        <v>1657350</v>
      </c>
      <c r="F58" s="53">
        <v>52200</v>
      </c>
      <c r="G58" s="53"/>
      <c r="H58" s="53">
        <f t="shared" si="86"/>
        <v>52200</v>
      </c>
      <c r="I58" s="56">
        <f t="shared" si="107"/>
        <v>1709550</v>
      </c>
      <c r="J58" s="252">
        <v>108</v>
      </c>
      <c r="K58" s="252">
        <v>19</v>
      </c>
      <c r="L58" s="252">
        <f t="shared" si="148"/>
        <v>127</v>
      </c>
      <c r="M58" s="252">
        <v>4</v>
      </c>
      <c r="N58" s="252"/>
      <c r="O58" s="252">
        <f t="shared" si="149"/>
        <v>4</v>
      </c>
      <c r="P58" s="56">
        <f t="shared" si="150"/>
        <v>131</v>
      </c>
      <c r="Q58" s="252">
        <v>1556</v>
      </c>
      <c r="R58" s="252">
        <v>868</v>
      </c>
      <c r="S58" s="59">
        <f t="shared" si="151"/>
        <v>2424</v>
      </c>
      <c r="T58" s="252">
        <v>984</v>
      </c>
      <c r="U58" s="252"/>
      <c r="V58" s="256">
        <f t="shared" si="152"/>
        <v>984</v>
      </c>
      <c r="W58" s="56">
        <f t="shared" si="153"/>
        <v>3408</v>
      </c>
      <c r="X58" s="56">
        <f t="shared" si="163"/>
        <v>13050</v>
      </c>
      <c r="Y58" s="56">
        <f>D58/K58</f>
        <v>13050</v>
      </c>
      <c r="Z58" s="56">
        <f t="shared" si="164"/>
        <v>13050</v>
      </c>
      <c r="AA58" s="56">
        <f>F58/M58</f>
        <v>13050</v>
      </c>
      <c r="AB58" s="56"/>
      <c r="AC58" s="56">
        <f>H58/O58</f>
        <v>13050</v>
      </c>
      <c r="AD58" s="56">
        <f t="shared" si="88"/>
        <v>13050</v>
      </c>
      <c r="AE58" s="269"/>
      <c r="AF58" s="269"/>
      <c r="AG58" s="269"/>
      <c r="AH58" s="269"/>
      <c r="AI58" s="269"/>
      <c r="AJ58" s="269"/>
      <c r="AK58" s="267"/>
      <c r="AL58" s="267"/>
      <c r="AM58" s="267"/>
      <c r="AN58" s="269"/>
      <c r="AO58" s="267"/>
      <c r="AP58" s="267"/>
      <c r="AQ58" s="267"/>
      <c r="AR58" s="267"/>
      <c r="AS58" s="267"/>
      <c r="AT58" s="267"/>
      <c r="AU58" s="269">
        <f t="shared" si="114"/>
        <v>13050</v>
      </c>
      <c r="AV58" s="269">
        <f t="shared" si="115"/>
        <v>13050</v>
      </c>
      <c r="AW58" s="269">
        <f t="shared" si="89"/>
        <v>13050</v>
      </c>
      <c r="AX58" s="269">
        <f t="shared" si="116"/>
        <v>13050</v>
      </c>
      <c r="AY58" s="269">
        <f t="shared" si="117"/>
        <v>1409400</v>
      </c>
      <c r="AZ58" s="269">
        <f t="shared" si="118"/>
        <v>1657350</v>
      </c>
      <c r="BA58" s="269">
        <f t="shared" si="119"/>
        <v>52200</v>
      </c>
      <c r="BB58" s="269">
        <f t="shared" si="120"/>
        <v>1709550</v>
      </c>
      <c r="BC58" s="53">
        <v>1288790.5</v>
      </c>
      <c r="BD58" s="53">
        <v>132865</v>
      </c>
      <c r="BE58" s="79">
        <f t="shared" si="121"/>
        <v>1421655.5</v>
      </c>
      <c r="BF58" s="53">
        <v>26573</v>
      </c>
      <c r="BG58" s="53"/>
      <c r="BH58" s="79">
        <f t="shared" si="122"/>
        <v>26573</v>
      </c>
      <c r="BI58" s="56">
        <f t="shared" si="123"/>
        <v>1448228.5</v>
      </c>
      <c r="BJ58" s="252">
        <v>97</v>
      </c>
      <c r="BK58" s="252">
        <v>10</v>
      </c>
      <c r="BL58" s="252">
        <f t="shared" si="155"/>
        <v>107</v>
      </c>
      <c r="BM58" s="252">
        <v>2</v>
      </c>
      <c r="BN58" s="252"/>
      <c r="BO58" s="252">
        <f t="shared" si="156"/>
        <v>2</v>
      </c>
      <c r="BP58" s="56">
        <f t="shared" si="157"/>
        <v>109</v>
      </c>
      <c r="BQ58" s="252">
        <v>1410</v>
      </c>
      <c r="BR58" s="252">
        <v>721</v>
      </c>
      <c r="BS58" s="76">
        <f t="shared" si="158"/>
        <v>2131</v>
      </c>
      <c r="BT58" s="252">
        <v>440</v>
      </c>
      <c r="BU58" s="252"/>
      <c r="BV58" s="59">
        <f t="shared" si="159"/>
        <v>440</v>
      </c>
      <c r="BW58" s="56">
        <f t="shared" si="129"/>
        <v>2571</v>
      </c>
      <c r="BX58" s="56">
        <f t="shared" si="130"/>
        <v>13286.5</v>
      </c>
      <c r="BY58" s="56">
        <f t="shared" si="131"/>
        <v>13286.5</v>
      </c>
      <c r="BZ58" s="56">
        <f t="shared" si="132"/>
        <v>13286.5</v>
      </c>
      <c r="CA58" s="56">
        <f t="shared" si="133"/>
        <v>13286.5</v>
      </c>
      <c r="CB58" s="56"/>
      <c r="CC58" s="56">
        <f t="shared" si="135"/>
        <v>13286.5</v>
      </c>
      <c r="CD58" s="56">
        <f t="shared" si="136"/>
        <v>13286.5</v>
      </c>
      <c r="CE58" s="238"/>
      <c r="CF58" s="238"/>
      <c r="CG58" s="238"/>
      <c r="CH58" s="238"/>
      <c r="CI58" s="238"/>
      <c r="CJ58" s="238"/>
      <c r="CK58" s="233"/>
      <c r="CL58" s="233"/>
      <c r="CM58" s="233"/>
      <c r="CN58" s="238"/>
      <c r="CO58" s="233"/>
      <c r="CP58" s="233"/>
      <c r="CQ58" s="233"/>
      <c r="CR58" s="233"/>
      <c r="CS58" s="233"/>
      <c r="CT58" s="233"/>
      <c r="CU58" s="238">
        <f t="shared" si="91"/>
        <v>13286.5</v>
      </c>
      <c r="CV58" s="238">
        <f t="shared" si="92"/>
        <v>13286.5</v>
      </c>
      <c r="CW58" s="238">
        <f t="shared" si="93"/>
        <v>13286.5</v>
      </c>
      <c r="CX58" s="238">
        <f t="shared" si="137"/>
        <v>13286.5</v>
      </c>
      <c r="CY58" s="238">
        <f t="shared" si="94"/>
        <v>1288790.5</v>
      </c>
      <c r="CZ58" s="238">
        <f t="shared" si="95"/>
        <v>1421655.5</v>
      </c>
      <c r="DA58" s="238">
        <f t="shared" si="96"/>
        <v>26573</v>
      </c>
      <c r="DB58" s="238">
        <f t="shared" si="96"/>
        <v>1448228.5</v>
      </c>
      <c r="DC58" s="53">
        <v>1692400</v>
      </c>
      <c r="DD58" s="53">
        <v>135392</v>
      </c>
      <c r="DE58" s="56">
        <f t="shared" si="138"/>
        <v>1827792</v>
      </c>
      <c r="DF58" s="53">
        <v>13539.2</v>
      </c>
      <c r="DG58" s="53"/>
      <c r="DH58" s="56">
        <f t="shared" si="139"/>
        <v>13539.2</v>
      </c>
      <c r="DI58" s="56">
        <f t="shared" si="140"/>
        <v>1841331.2</v>
      </c>
      <c r="DJ58" s="252">
        <v>125</v>
      </c>
      <c r="DK58" s="252">
        <v>10</v>
      </c>
      <c r="DL58" s="56">
        <f t="shared" si="160"/>
        <v>135</v>
      </c>
      <c r="DM58" s="252">
        <v>1</v>
      </c>
      <c r="DN58" s="252"/>
      <c r="DO58" s="56">
        <f t="shared" si="161"/>
        <v>1</v>
      </c>
      <c r="DP58" s="56">
        <f t="shared" si="162"/>
        <v>136</v>
      </c>
      <c r="DQ58" s="252">
        <v>1739</v>
      </c>
      <c r="DR58" s="252">
        <v>605</v>
      </c>
      <c r="DS58" s="56">
        <f t="shared" si="97"/>
        <v>2344</v>
      </c>
      <c r="DT58" s="252">
        <v>400</v>
      </c>
      <c r="DU58" s="252"/>
      <c r="DV58" s="56">
        <f t="shared" si="98"/>
        <v>400</v>
      </c>
      <c r="DW58" s="56">
        <f t="shared" si="144"/>
        <v>2744</v>
      </c>
      <c r="DX58" s="56">
        <f t="shared" si="145"/>
        <v>13539.2</v>
      </c>
      <c r="DY58" s="56">
        <f>DD58/DK58</f>
        <v>13539.2</v>
      </c>
      <c r="DZ58" s="56">
        <f t="shared" si="165"/>
        <v>13539.2</v>
      </c>
      <c r="EA58" s="56">
        <f>DF58/DM58</f>
        <v>13539.2</v>
      </c>
      <c r="EB58" s="56"/>
      <c r="EC58" s="56">
        <f>DH58/DO58</f>
        <v>13539.2</v>
      </c>
      <c r="ED58" s="56">
        <f t="shared" si="146"/>
        <v>13539.199999999999</v>
      </c>
      <c r="EE58" s="273"/>
      <c r="EF58" s="273"/>
      <c r="EG58" s="273"/>
      <c r="EH58" s="273"/>
      <c r="EI58" s="273"/>
      <c r="EJ58" s="273"/>
      <c r="EK58" s="231"/>
      <c r="EL58" s="231"/>
      <c r="EM58" s="231"/>
      <c r="EN58" s="273"/>
      <c r="EO58" s="231"/>
      <c r="EP58" s="231"/>
      <c r="EQ58" s="231"/>
      <c r="ER58" s="231"/>
      <c r="ES58" s="231"/>
      <c r="ET58" s="231"/>
      <c r="EU58" s="273">
        <f t="shared" si="100"/>
        <v>13539.2</v>
      </c>
      <c r="EV58" s="273">
        <f t="shared" si="101"/>
        <v>13539.2</v>
      </c>
      <c r="EW58" s="273">
        <f t="shared" si="102"/>
        <v>13539.2</v>
      </c>
      <c r="EX58" s="273">
        <f t="shared" si="147"/>
        <v>13539.199999999999</v>
      </c>
      <c r="EY58" s="273">
        <f t="shared" si="103"/>
        <v>1692400</v>
      </c>
      <c r="EZ58" s="273">
        <f t="shared" si="104"/>
        <v>1827792</v>
      </c>
      <c r="FA58" s="273">
        <f t="shared" si="105"/>
        <v>13539.2</v>
      </c>
      <c r="FB58" s="273">
        <f t="shared" si="105"/>
        <v>1841331.2</v>
      </c>
      <c r="FC58" s="79"/>
      <c r="FD58" s="79"/>
      <c r="FE58" s="79"/>
      <c r="FF58" s="79"/>
      <c r="FG58" s="47"/>
      <c r="FH58" s="47"/>
      <c r="FI58" s="47"/>
      <c r="FJ58" s="47"/>
    </row>
    <row r="59" spans="1:166" x14ac:dyDescent="0.3">
      <c r="A59" s="48" t="s">
        <v>54</v>
      </c>
      <c r="B59" s="258" t="s">
        <v>23</v>
      </c>
      <c r="C59" s="53">
        <v>4803527.3</v>
      </c>
      <c r="D59" s="53">
        <v>0</v>
      </c>
      <c r="E59" s="53">
        <f t="shared" si="106"/>
        <v>4803527.3</v>
      </c>
      <c r="F59" s="53">
        <v>0</v>
      </c>
      <c r="G59" s="53">
        <v>0</v>
      </c>
      <c r="H59" s="53">
        <f t="shared" si="86"/>
        <v>0</v>
      </c>
      <c r="I59" s="56">
        <f t="shared" si="107"/>
        <v>4803527.3</v>
      </c>
      <c r="J59" s="252">
        <v>296</v>
      </c>
      <c r="K59" s="252">
        <v>0</v>
      </c>
      <c r="L59" s="252">
        <f t="shared" si="148"/>
        <v>296</v>
      </c>
      <c r="M59" s="252">
        <v>0</v>
      </c>
      <c r="N59" s="252">
        <v>0</v>
      </c>
      <c r="O59" s="252">
        <f t="shared" si="149"/>
        <v>0</v>
      </c>
      <c r="P59" s="56">
        <f t="shared" si="150"/>
        <v>296</v>
      </c>
      <c r="Q59" s="252">
        <v>6305</v>
      </c>
      <c r="R59" s="252">
        <v>0</v>
      </c>
      <c r="S59" s="59">
        <f t="shared" si="151"/>
        <v>6305</v>
      </c>
      <c r="T59" s="252">
        <v>0</v>
      </c>
      <c r="U59" s="252">
        <v>0</v>
      </c>
      <c r="V59" s="256">
        <f t="shared" si="152"/>
        <v>0</v>
      </c>
      <c r="W59" s="56">
        <f t="shared" si="153"/>
        <v>6305</v>
      </c>
      <c r="X59" s="56">
        <f t="shared" si="163"/>
        <v>16228.132770270269</v>
      </c>
      <c r="Y59" s="56"/>
      <c r="Z59" s="56">
        <f t="shared" si="164"/>
        <v>16228.132770270269</v>
      </c>
      <c r="AA59" s="56"/>
      <c r="AB59" s="56"/>
      <c r="AC59" s="56"/>
      <c r="AD59" s="56">
        <f t="shared" si="88"/>
        <v>16228.132770270269</v>
      </c>
      <c r="AE59" s="269"/>
      <c r="AF59" s="270"/>
      <c r="AG59" s="269"/>
      <c r="AH59" s="269"/>
      <c r="AI59" s="269"/>
      <c r="AJ59" s="269"/>
      <c r="AK59" s="270"/>
      <c r="AL59" s="270"/>
      <c r="AM59" s="270"/>
      <c r="AN59" s="267"/>
      <c r="AO59" s="267"/>
      <c r="AP59" s="267"/>
      <c r="AQ59" s="267"/>
      <c r="AR59" s="267"/>
      <c r="AS59" s="267"/>
      <c r="AT59" s="267"/>
      <c r="AU59" s="269">
        <f t="shared" si="114"/>
        <v>16228.132770270269</v>
      </c>
      <c r="AV59" s="269">
        <f t="shared" si="115"/>
        <v>16228.132770270269</v>
      </c>
      <c r="AW59" s="269">
        <f t="shared" si="89"/>
        <v>0</v>
      </c>
      <c r="AX59" s="269">
        <f t="shared" si="116"/>
        <v>16228.132770270269</v>
      </c>
      <c r="AY59" s="269">
        <f t="shared" si="117"/>
        <v>4803527.3</v>
      </c>
      <c r="AZ59" s="269">
        <f t="shared" si="118"/>
        <v>4803527.3</v>
      </c>
      <c r="BA59" s="269">
        <f t="shared" si="119"/>
        <v>0</v>
      </c>
      <c r="BB59" s="269">
        <f t="shared" si="120"/>
        <v>4803527.3</v>
      </c>
      <c r="BC59" s="53">
        <v>4123498.52</v>
      </c>
      <c r="BD59" s="53">
        <v>0</v>
      </c>
      <c r="BE59" s="79">
        <f t="shared" si="121"/>
        <v>4123498.52</v>
      </c>
      <c r="BF59" s="53">
        <v>0</v>
      </c>
      <c r="BG59" s="53">
        <v>0</v>
      </c>
      <c r="BH59" s="79">
        <f t="shared" si="122"/>
        <v>0</v>
      </c>
      <c r="BI59" s="56">
        <f t="shared" si="123"/>
        <v>4123498.52</v>
      </c>
      <c r="BJ59" s="252">
        <v>305</v>
      </c>
      <c r="BK59" s="252">
        <v>0</v>
      </c>
      <c r="BL59" s="252">
        <f t="shared" si="155"/>
        <v>305</v>
      </c>
      <c r="BM59" s="252">
        <v>0</v>
      </c>
      <c r="BN59" s="252">
        <v>0</v>
      </c>
      <c r="BO59" s="252">
        <f t="shared" si="156"/>
        <v>0</v>
      </c>
      <c r="BP59" s="56">
        <f t="shared" si="157"/>
        <v>305</v>
      </c>
      <c r="BQ59" s="252">
        <v>5878.2</v>
      </c>
      <c r="BR59" s="252">
        <v>0</v>
      </c>
      <c r="BS59" s="76">
        <f t="shared" si="158"/>
        <v>5878.2</v>
      </c>
      <c r="BT59" s="252">
        <v>0</v>
      </c>
      <c r="BU59" s="252">
        <v>0</v>
      </c>
      <c r="BV59" s="59">
        <f t="shared" si="159"/>
        <v>0</v>
      </c>
      <c r="BW59" s="56">
        <f t="shared" si="129"/>
        <v>5878.2</v>
      </c>
      <c r="BX59" s="56">
        <f t="shared" si="130"/>
        <v>13519.667278688525</v>
      </c>
      <c r="BY59" s="56"/>
      <c r="BZ59" s="56">
        <f t="shared" si="132"/>
        <v>13519.667278688525</v>
      </c>
      <c r="CA59" s="56"/>
      <c r="CB59" s="56"/>
      <c r="CC59" s="56"/>
      <c r="CD59" s="56">
        <f t="shared" si="136"/>
        <v>13519.667278688525</v>
      </c>
      <c r="CE59" s="238"/>
      <c r="CF59" s="241"/>
      <c r="CG59" s="238"/>
      <c r="CH59" s="238"/>
      <c r="CI59" s="238"/>
      <c r="CJ59" s="238"/>
      <c r="CK59" s="241"/>
      <c r="CL59" s="241"/>
      <c r="CM59" s="241"/>
      <c r="CN59" s="233"/>
      <c r="CO59" s="233"/>
      <c r="CP59" s="233"/>
      <c r="CQ59" s="233"/>
      <c r="CR59" s="233"/>
      <c r="CS59" s="233"/>
      <c r="CT59" s="233"/>
      <c r="CU59" s="238">
        <f t="shared" si="91"/>
        <v>13519.667278688525</v>
      </c>
      <c r="CV59" s="238">
        <f t="shared" si="92"/>
        <v>13519.667278688525</v>
      </c>
      <c r="CW59" s="238">
        <f t="shared" si="93"/>
        <v>0</v>
      </c>
      <c r="CX59" s="238">
        <f t="shared" si="137"/>
        <v>13519.667278688525</v>
      </c>
      <c r="CY59" s="238">
        <f t="shared" si="94"/>
        <v>4123498.52</v>
      </c>
      <c r="CZ59" s="238">
        <f t="shared" si="95"/>
        <v>4123498.52</v>
      </c>
      <c r="DA59" s="238">
        <f t="shared" si="96"/>
        <v>0</v>
      </c>
      <c r="DB59" s="238">
        <f t="shared" si="96"/>
        <v>4123498.52</v>
      </c>
      <c r="DC59" s="53">
        <v>6981613.5099999998</v>
      </c>
      <c r="DD59" s="53">
        <v>0</v>
      </c>
      <c r="DE59" s="56">
        <f t="shared" si="138"/>
        <v>6981613.5099999998</v>
      </c>
      <c r="DF59" s="53">
        <v>0</v>
      </c>
      <c r="DG59" s="53">
        <v>0</v>
      </c>
      <c r="DH59" s="56">
        <f t="shared" si="139"/>
        <v>0</v>
      </c>
      <c r="DI59" s="56">
        <f t="shared" si="140"/>
        <v>6981613.5099999998</v>
      </c>
      <c r="DJ59" s="252">
        <v>426</v>
      </c>
      <c r="DK59" s="252">
        <v>0</v>
      </c>
      <c r="DL59" s="56">
        <f t="shared" si="160"/>
        <v>426</v>
      </c>
      <c r="DM59" s="252">
        <v>0</v>
      </c>
      <c r="DN59" s="252">
        <v>0</v>
      </c>
      <c r="DO59" s="56">
        <f t="shared" si="161"/>
        <v>0</v>
      </c>
      <c r="DP59" s="56">
        <f t="shared" si="162"/>
        <v>426</v>
      </c>
      <c r="DQ59" s="252">
        <v>9184.4</v>
      </c>
      <c r="DR59" s="252">
        <v>0</v>
      </c>
      <c r="DS59" s="56">
        <f t="shared" si="97"/>
        <v>9184.4</v>
      </c>
      <c r="DT59" s="252">
        <v>0</v>
      </c>
      <c r="DU59" s="252">
        <v>0</v>
      </c>
      <c r="DV59" s="56">
        <f t="shared" si="98"/>
        <v>0</v>
      </c>
      <c r="DW59" s="56">
        <f t="shared" si="144"/>
        <v>9184.4</v>
      </c>
      <c r="DX59" s="56">
        <f t="shared" si="145"/>
        <v>16388.76410798122</v>
      </c>
      <c r="DY59" s="56"/>
      <c r="DZ59" s="56">
        <f t="shared" si="165"/>
        <v>16388.76410798122</v>
      </c>
      <c r="EA59" s="56"/>
      <c r="EB59" s="56"/>
      <c r="EC59" s="56"/>
      <c r="ED59" s="56">
        <f t="shared" si="146"/>
        <v>16388.76410798122</v>
      </c>
      <c r="EE59" s="273"/>
      <c r="EF59" s="274"/>
      <c r="EG59" s="273"/>
      <c r="EH59" s="273"/>
      <c r="EI59" s="273"/>
      <c r="EJ59" s="273"/>
      <c r="EK59" s="274"/>
      <c r="EL59" s="274"/>
      <c r="EM59" s="274"/>
      <c r="EN59" s="231"/>
      <c r="EO59" s="231"/>
      <c r="EP59" s="231"/>
      <c r="EQ59" s="231"/>
      <c r="ER59" s="231"/>
      <c r="ES59" s="231"/>
      <c r="ET59" s="231"/>
      <c r="EU59" s="273">
        <f t="shared" si="100"/>
        <v>16388.76410798122</v>
      </c>
      <c r="EV59" s="273">
        <f t="shared" si="101"/>
        <v>16388.76410798122</v>
      </c>
      <c r="EW59" s="273">
        <f t="shared" si="102"/>
        <v>0</v>
      </c>
      <c r="EX59" s="273">
        <f t="shared" si="147"/>
        <v>16388.76410798122</v>
      </c>
      <c r="EY59" s="273">
        <f t="shared" si="103"/>
        <v>6981613.5099999998</v>
      </c>
      <c r="EZ59" s="273">
        <f t="shared" si="104"/>
        <v>6981613.5099999998</v>
      </c>
      <c r="FA59" s="273">
        <f t="shared" si="105"/>
        <v>0</v>
      </c>
      <c r="FB59" s="273">
        <f t="shared" si="105"/>
        <v>6981613.5099999998</v>
      </c>
      <c r="FC59" s="79"/>
      <c r="FD59" s="79"/>
      <c r="FE59" s="79"/>
      <c r="FF59" s="79"/>
      <c r="FG59" s="47"/>
      <c r="FH59" s="47"/>
      <c r="FI59" s="47"/>
      <c r="FJ59" s="47"/>
    </row>
    <row r="60" spans="1:166" x14ac:dyDescent="0.3">
      <c r="A60" s="48" t="s">
        <v>55</v>
      </c>
      <c r="B60" s="258" t="s">
        <v>135</v>
      </c>
      <c r="C60" s="53">
        <v>16612.900000000001</v>
      </c>
      <c r="D60" s="53">
        <v>7379.55</v>
      </c>
      <c r="E60" s="53">
        <f t="shared" si="106"/>
        <v>23992.45</v>
      </c>
      <c r="F60" s="53"/>
      <c r="G60" s="53"/>
      <c r="H60" s="53">
        <f t="shared" si="86"/>
        <v>0</v>
      </c>
      <c r="I60" s="56">
        <f t="shared" si="107"/>
        <v>23992.45</v>
      </c>
      <c r="J60" s="252">
        <v>35</v>
      </c>
      <c r="K60" s="252">
        <v>2</v>
      </c>
      <c r="L60" s="252">
        <f t="shared" si="148"/>
        <v>37</v>
      </c>
      <c r="M60" s="252"/>
      <c r="N60" s="252"/>
      <c r="O60" s="252">
        <f t="shared" si="149"/>
        <v>0</v>
      </c>
      <c r="P60" s="56">
        <f t="shared" si="150"/>
        <v>37</v>
      </c>
      <c r="Q60" s="252">
        <v>466</v>
      </c>
      <c r="R60" s="252">
        <v>207</v>
      </c>
      <c r="S60" s="59">
        <f t="shared" si="151"/>
        <v>673</v>
      </c>
      <c r="T60" s="252"/>
      <c r="U60" s="252"/>
      <c r="V60" s="256">
        <f t="shared" si="152"/>
        <v>0</v>
      </c>
      <c r="W60" s="56">
        <f t="shared" si="153"/>
        <v>673</v>
      </c>
      <c r="X60" s="56">
        <f t="shared" si="163"/>
        <v>474.65428571428578</v>
      </c>
      <c r="Y60" s="56">
        <f>D60/K60</f>
        <v>3689.7750000000001</v>
      </c>
      <c r="Z60" s="56">
        <f t="shared" si="164"/>
        <v>648.44459459459461</v>
      </c>
      <c r="AA60" s="56"/>
      <c r="AB60" s="56"/>
      <c r="AC60" s="56"/>
      <c r="AD60" s="56">
        <f t="shared" si="88"/>
        <v>648.44459459459461</v>
      </c>
      <c r="AE60" s="269"/>
      <c r="AF60" s="270"/>
      <c r="AG60" s="269"/>
      <c r="AH60" s="269"/>
      <c r="AI60" s="269"/>
      <c r="AJ60" s="269"/>
      <c r="AK60" s="270"/>
      <c r="AL60" s="270"/>
      <c r="AM60" s="270"/>
      <c r="AN60" s="270"/>
      <c r="AO60" s="270"/>
      <c r="AP60" s="270"/>
      <c r="AQ60" s="270"/>
      <c r="AR60" s="270"/>
      <c r="AS60" s="270"/>
      <c r="AT60" s="270"/>
      <c r="AU60" s="269">
        <f t="shared" si="114"/>
        <v>474.65428571428578</v>
      </c>
      <c r="AV60" s="269">
        <f t="shared" si="115"/>
        <v>648.44459459459461</v>
      </c>
      <c r="AW60" s="269">
        <f t="shared" si="89"/>
        <v>0</v>
      </c>
      <c r="AX60" s="269">
        <f t="shared" si="116"/>
        <v>648.44459459459461</v>
      </c>
      <c r="AY60" s="269">
        <f t="shared" si="117"/>
        <v>16612.900000000001</v>
      </c>
      <c r="AZ60" s="269">
        <f t="shared" si="118"/>
        <v>23992.45</v>
      </c>
      <c r="BA60" s="269">
        <f t="shared" si="119"/>
        <v>0</v>
      </c>
      <c r="BB60" s="269">
        <f t="shared" si="120"/>
        <v>23992.45</v>
      </c>
      <c r="BC60" s="56">
        <v>23122.06</v>
      </c>
      <c r="BD60" s="56"/>
      <c r="BE60" s="56">
        <f t="shared" si="121"/>
        <v>23122.06</v>
      </c>
      <c r="BF60" s="56"/>
      <c r="BG60" s="56"/>
      <c r="BH60" s="79">
        <f>BF60+BG60</f>
        <v>0</v>
      </c>
      <c r="BI60" s="56">
        <f t="shared" si="123"/>
        <v>23122.06</v>
      </c>
      <c r="BJ60" s="59">
        <v>57</v>
      </c>
      <c r="BK60" s="59"/>
      <c r="BL60" s="59">
        <f t="shared" si="155"/>
        <v>57</v>
      </c>
      <c r="BM60" s="59"/>
      <c r="BN60" s="59"/>
      <c r="BO60" s="59">
        <f t="shared" si="156"/>
        <v>0</v>
      </c>
      <c r="BP60" s="56">
        <f t="shared" si="157"/>
        <v>57</v>
      </c>
      <c r="BQ60" s="59">
        <v>787</v>
      </c>
      <c r="BR60" s="59"/>
      <c r="BS60" s="59">
        <f t="shared" si="158"/>
        <v>787</v>
      </c>
      <c r="BT60" s="59"/>
      <c r="BU60" s="59"/>
      <c r="BV60" s="59">
        <f t="shared" si="159"/>
        <v>0</v>
      </c>
      <c r="BW60" s="56">
        <f t="shared" si="129"/>
        <v>787</v>
      </c>
      <c r="BX60" s="56">
        <f>BC60/BJ60</f>
        <v>405.65017543859653</v>
      </c>
      <c r="BY60" s="56"/>
      <c r="BZ60" s="56">
        <f t="shared" si="132"/>
        <v>405.65017543859653</v>
      </c>
      <c r="CA60" s="56"/>
      <c r="CB60" s="56"/>
      <c r="CC60" s="56"/>
      <c r="CD60" s="56">
        <f t="shared" si="136"/>
        <v>405.65017543859653</v>
      </c>
      <c r="CE60" s="238"/>
      <c r="CF60" s="241"/>
      <c r="CG60" s="238"/>
      <c r="CH60" s="238"/>
      <c r="CI60" s="238"/>
      <c r="CJ60" s="238"/>
      <c r="CK60" s="241"/>
      <c r="CL60" s="241"/>
      <c r="CM60" s="241"/>
      <c r="CN60" s="241"/>
      <c r="CO60" s="241"/>
      <c r="CP60" s="241"/>
      <c r="CQ60" s="241"/>
      <c r="CR60" s="241"/>
      <c r="CS60" s="241"/>
      <c r="CT60" s="241"/>
      <c r="CU60" s="238">
        <f t="shared" si="91"/>
        <v>405.65017543859653</v>
      </c>
      <c r="CV60" s="238">
        <f t="shared" si="92"/>
        <v>405.65017543859653</v>
      </c>
      <c r="CW60" s="238">
        <f t="shared" si="93"/>
        <v>0</v>
      </c>
      <c r="CX60" s="238">
        <f t="shared" si="137"/>
        <v>405.65017543859653</v>
      </c>
      <c r="CY60" s="238">
        <f t="shared" si="94"/>
        <v>23122.06</v>
      </c>
      <c r="CZ60" s="238">
        <f t="shared" si="95"/>
        <v>23122.06</v>
      </c>
      <c r="DA60" s="238">
        <f t="shared" si="96"/>
        <v>0</v>
      </c>
      <c r="DB60" s="238">
        <f t="shared" si="96"/>
        <v>23122.06</v>
      </c>
      <c r="DC60" s="56">
        <v>20943.8</v>
      </c>
      <c r="DD60" s="56">
        <v>12293.1</v>
      </c>
      <c r="DE60" s="56">
        <f t="shared" si="138"/>
        <v>33236.9</v>
      </c>
      <c r="DF60" s="56"/>
      <c r="DG60" s="56"/>
      <c r="DH60" s="56">
        <f t="shared" si="139"/>
        <v>0</v>
      </c>
      <c r="DI60" s="56">
        <f t="shared" si="140"/>
        <v>33236.9</v>
      </c>
      <c r="DJ60" s="59">
        <v>32</v>
      </c>
      <c r="DK60" s="59">
        <v>3</v>
      </c>
      <c r="DL60" s="56">
        <f t="shared" si="160"/>
        <v>35</v>
      </c>
      <c r="DM60" s="59"/>
      <c r="DN60" s="59"/>
      <c r="DO60" s="56">
        <f t="shared" si="161"/>
        <v>0</v>
      </c>
      <c r="DP60" s="56">
        <f t="shared" si="162"/>
        <v>35</v>
      </c>
      <c r="DQ60" s="59">
        <v>460</v>
      </c>
      <c r="DR60" s="59">
        <v>270</v>
      </c>
      <c r="DS60" s="56">
        <f t="shared" si="97"/>
        <v>730</v>
      </c>
      <c r="DT60" s="59"/>
      <c r="DU60" s="59"/>
      <c r="DV60" s="56">
        <f t="shared" si="98"/>
        <v>0</v>
      </c>
      <c r="DW60" s="56">
        <f t="shared" si="144"/>
        <v>730</v>
      </c>
      <c r="DX60" s="56">
        <f>DC60/DJ60</f>
        <v>654.49374999999998</v>
      </c>
      <c r="DY60" s="56">
        <f>DD60/DK60</f>
        <v>4097.7</v>
      </c>
      <c r="DZ60" s="56">
        <f t="shared" si="165"/>
        <v>949.62571428571437</v>
      </c>
      <c r="EA60" s="56"/>
      <c r="EB60" s="56"/>
      <c r="EC60" s="56"/>
      <c r="ED60" s="56">
        <f t="shared" si="146"/>
        <v>949.62571428571437</v>
      </c>
      <c r="EE60" s="273"/>
      <c r="EF60" s="274"/>
      <c r="EG60" s="273"/>
      <c r="EH60" s="273"/>
      <c r="EI60" s="273"/>
      <c r="EJ60" s="273"/>
      <c r="EK60" s="274"/>
      <c r="EL60" s="274"/>
      <c r="EM60" s="274"/>
      <c r="EN60" s="274"/>
      <c r="EO60" s="274"/>
      <c r="EP60" s="274"/>
      <c r="EQ60" s="274"/>
      <c r="ER60" s="274"/>
      <c r="ES60" s="274"/>
      <c r="ET60" s="274"/>
      <c r="EU60" s="273">
        <f t="shared" si="100"/>
        <v>654.49374999999998</v>
      </c>
      <c r="EV60" s="273">
        <f t="shared" si="101"/>
        <v>949.62571428571437</v>
      </c>
      <c r="EW60" s="273">
        <f t="shared" si="102"/>
        <v>0</v>
      </c>
      <c r="EX60" s="273">
        <f t="shared" si="147"/>
        <v>949.62571428571437</v>
      </c>
      <c r="EY60" s="273">
        <f t="shared" si="103"/>
        <v>20943.8</v>
      </c>
      <c r="EZ60" s="273">
        <f t="shared" si="104"/>
        <v>33236.9</v>
      </c>
      <c r="FA60" s="273">
        <f t="shared" si="105"/>
        <v>0</v>
      </c>
      <c r="FB60" s="273">
        <f t="shared" si="105"/>
        <v>33236.9</v>
      </c>
      <c r="FC60" s="79"/>
      <c r="FD60" s="79"/>
      <c r="FE60" s="79"/>
      <c r="FF60" s="79"/>
      <c r="FG60" s="47"/>
      <c r="FH60" s="47"/>
      <c r="FI60" s="47"/>
      <c r="FJ60" s="47"/>
    </row>
    <row r="61" spans="1:166" s="46" customFormat="1" ht="28.8" x14ac:dyDescent="0.3">
      <c r="A61" s="61" t="s">
        <v>56</v>
      </c>
      <c r="B61" s="258" t="s">
        <v>25</v>
      </c>
      <c r="C61" s="56">
        <v>1039645.48</v>
      </c>
      <c r="D61" s="56">
        <v>469205</v>
      </c>
      <c r="E61" s="56">
        <f t="shared" si="106"/>
        <v>1508850.48</v>
      </c>
      <c r="F61" s="56">
        <v>124740</v>
      </c>
      <c r="G61" s="56"/>
      <c r="H61" s="56">
        <f t="shared" si="86"/>
        <v>124740</v>
      </c>
      <c r="I61" s="56">
        <f t="shared" si="107"/>
        <v>1633590.48</v>
      </c>
      <c r="J61" s="59">
        <v>131</v>
      </c>
      <c r="K61" s="59">
        <v>19</v>
      </c>
      <c r="L61" s="59">
        <f t="shared" si="148"/>
        <v>150</v>
      </c>
      <c r="M61" s="59">
        <v>3</v>
      </c>
      <c r="N61" s="59"/>
      <c r="O61" s="59">
        <f t="shared" si="149"/>
        <v>3</v>
      </c>
      <c r="P61" s="56">
        <f t="shared" si="150"/>
        <v>153</v>
      </c>
      <c r="Q61" s="59">
        <v>1324</v>
      </c>
      <c r="R61" s="59">
        <v>518.5</v>
      </c>
      <c r="S61" s="59">
        <f t="shared" si="151"/>
        <v>1842.5</v>
      </c>
      <c r="T61" s="59">
        <v>865</v>
      </c>
      <c r="U61" s="59"/>
      <c r="V61" s="256">
        <f t="shared" si="152"/>
        <v>865</v>
      </c>
      <c r="W61" s="56">
        <f t="shared" si="153"/>
        <v>2707.5</v>
      </c>
      <c r="X61" s="56">
        <f t="shared" si="163"/>
        <v>7936.2250381679387</v>
      </c>
      <c r="Y61" s="56">
        <f>D61/K61</f>
        <v>24695</v>
      </c>
      <c r="Z61" s="56">
        <f t="shared" si="164"/>
        <v>10059.003199999999</v>
      </c>
      <c r="AA61" s="56">
        <f>F61/M61</f>
        <v>41580</v>
      </c>
      <c r="AB61" s="56"/>
      <c r="AC61" s="56">
        <f>H61/O61</f>
        <v>41580</v>
      </c>
      <c r="AD61" s="56">
        <f t="shared" si="88"/>
        <v>10677.061960784313</v>
      </c>
      <c r="AE61" s="269"/>
      <c r="AF61" s="270"/>
      <c r="AG61" s="269"/>
      <c r="AH61" s="269"/>
      <c r="AI61" s="269"/>
      <c r="AJ61" s="269"/>
      <c r="AK61" s="270"/>
      <c r="AL61" s="270"/>
      <c r="AM61" s="270"/>
      <c r="AN61" s="270"/>
      <c r="AO61" s="270"/>
      <c r="AP61" s="270"/>
      <c r="AQ61" s="270"/>
      <c r="AR61" s="270"/>
      <c r="AS61" s="270"/>
      <c r="AT61" s="270"/>
      <c r="AU61" s="269">
        <f t="shared" si="114"/>
        <v>7936.2250381679387</v>
      </c>
      <c r="AV61" s="269">
        <f t="shared" si="115"/>
        <v>10059.003199999999</v>
      </c>
      <c r="AW61" s="269">
        <f t="shared" si="89"/>
        <v>41580</v>
      </c>
      <c r="AX61" s="269">
        <f t="shared" si="116"/>
        <v>10677.061960784313</v>
      </c>
      <c r="AY61" s="269">
        <f t="shared" si="117"/>
        <v>1039645.48</v>
      </c>
      <c r="AZ61" s="269">
        <f t="shared" si="118"/>
        <v>1508850.48</v>
      </c>
      <c r="BA61" s="269">
        <f t="shared" si="119"/>
        <v>124740</v>
      </c>
      <c r="BB61" s="269">
        <f t="shared" si="120"/>
        <v>1633590.4799999997</v>
      </c>
      <c r="BC61" s="255">
        <v>1970298.74</v>
      </c>
      <c r="BD61" s="255">
        <v>313456.62</v>
      </c>
      <c r="BE61" s="255">
        <f t="shared" si="121"/>
        <v>2283755.36</v>
      </c>
      <c r="BF61" s="255">
        <v>33584.639999999999</v>
      </c>
      <c r="BG61" s="255"/>
      <c r="BH61" s="79">
        <f t="shared" si="122"/>
        <v>33584.639999999999</v>
      </c>
      <c r="BI61" s="56">
        <f t="shared" si="123"/>
        <v>2317340</v>
      </c>
      <c r="BJ61" s="256">
        <v>110</v>
      </c>
      <c r="BK61" s="256">
        <v>14</v>
      </c>
      <c r="BL61" s="256">
        <f t="shared" si="155"/>
        <v>124</v>
      </c>
      <c r="BM61" s="256">
        <v>1</v>
      </c>
      <c r="BN61" s="256"/>
      <c r="BO61" s="256">
        <f t="shared" si="156"/>
        <v>1</v>
      </c>
      <c r="BP61" s="56">
        <f t="shared" si="157"/>
        <v>125</v>
      </c>
      <c r="BQ61" s="256">
        <v>1108</v>
      </c>
      <c r="BR61" s="256">
        <v>698.26</v>
      </c>
      <c r="BS61" s="256">
        <f t="shared" si="158"/>
        <v>1806.26</v>
      </c>
      <c r="BT61" s="256">
        <v>200</v>
      </c>
      <c r="BU61" s="256"/>
      <c r="BV61" s="59">
        <f>BT61+BU61</f>
        <v>200</v>
      </c>
      <c r="BW61" s="56">
        <f t="shared" si="129"/>
        <v>2006.26</v>
      </c>
      <c r="BX61" s="56">
        <f>BC61/BJ61</f>
        <v>17911.806727272728</v>
      </c>
      <c r="BY61" s="56">
        <f t="shared" ref="BY61" si="170">BD61/BK61</f>
        <v>22389.758571428571</v>
      </c>
      <c r="BZ61" s="56">
        <f t="shared" si="132"/>
        <v>18417.381935483871</v>
      </c>
      <c r="CA61" s="56">
        <f t="shared" ref="CA61:CC61" si="171">BF61/BM61</f>
        <v>33584.639999999999</v>
      </c>
      <c r="CB61" s="56"/>
      <c r="CC61" s="56">
        <f t="shared" si="171"/>
        <v>33584.639999999999</v>
      </c>
      <c r="CD61" s="56">
        <f t="shared" si="136"/>
        <v>18538.72</v>
      </c>
      <c r="CE61" s="238"/>
      <c r="CF61" s="241"/>
      <c r="CG61" s="238"/>
      <c r="CH61" s="238"/>
      <c r="CI61" s="238"/>
      <c r="CJ61" s="238"/>
      <c r="CK61" s="241"/>
      <c r="CL61" s="241"/>
      <c r="CM61" s="241"/>
      <c r="CN61" s="241"/>
      <c r="CO61" s="241"/>
      <c r="CP61" s="241"/>
      <c r="CQ61" s="241"/>
      <c r="CR61" s="241"/>
      <c r="CS61" s="241"/>
      <c r="CT61" s="241"/>
      <c r="CU61" s="238">
        <f t="shared" si="91"/>
        <v>17911.806727272728</v>
      </c>
      <c r="CV61" s="238">
        <f t="shared" si="92"/>
        <v>18417.381935483871</v>
      </c>
      <c r="CW61" s="238">
        <f t="shared" si="93"/>
        <v>33584.639999999999</v>
      </c>
      <c r="CX61" s="238">
        <f t="shared" si="137"/>
        <v>18538.72</v>
      </c>
      <c r="CY61" s="238">
        <f t="shared" si="94"/>
        <v>1970298.74</v>
      </c>
      <c r="CZ61" s="238">
        <f t="shared" si="95"/>
        <v>2283755.36</v>
      </c>
      <c r="DA61" s="238">
        <f t="shared" si="96"/>
        <v>33584.639999999999</v>
      </c>
      <c r="DB61" s="238">
        <f t="shared" si="96"/>
        <v>2317340</v>
      </c>
      <c r="DC61" s="255">
        <v>606228.53</v>
      </c>
      <c r="DD61" s="255">
        <v>97536.77</v>
      </c>
      <c r="DE61" s="255">
        <f t="shared" si="138"/>
        <v>703765.3</v>
      </c>
      <c r="DF61" s="255">
        <v>27010.18</v>
      </c>
      <c r="DG61" s="255">
        <v>12004.53</v>
      </c>
      <c r="DH61" s="56">
        <f t="shared" si="139"/>
        <v>39014.71</v>
      </c>
      <c r="DI61" s="56">
        <f t="shared" si="140"/>
        <v>742780.01000000013</v>
      </c>
      <c r="DJ61" s="256">
        <v>101</v>
      </c>
      <c r="DK61" s="256">
        <v>13</v>
      </c>
      <c r="DL61" s="255">
        <f t="shared" si="160"/>
        <v>114</v>
      </c>
      <c r="DM61" s="256">
        <v>3</v>
      </c>
      <c r="DN61" s="256">
        <v>1</v>
      </c>
      <c r="DO61" s="56">
        <f t="shared" si="161"/>
        <v>4</v>
      </c>
      <c r="DP61" s="56">
        <f t="shared" si="162"/>
        <v>118</v>
      </c>
      <c r="DQ61" s="256">
        <v>986.79</v>
      </c>
      <c r="DR61" s="256">
        <v>456.21</v>
      </c>
      <c r="DS61" s="255">
        <f t="shared" si="97"/>
        <v>1443</v>
      </c>
      <c r="DT61" s="256">
        <v>345.04</v>
      </c>
      <c r="DU61" s="256">
        <v>690</v>
      </c>
      <c r="DV61" s="56">
        <f t="shared" si="98"/>
        <v>1035.04</v>
      </c>
      <c r="DW61" s="56">
        <f t="shared" si="144"/>
        <v>2478.04</v>
      </c>
      <c r="DX61" s="56">
        <f t="shared" si="145"/>
        <v>6002.262673267327</v>
      </c>
      <c r="DY61" s="56">
        <f t="shared" ref="DY61:DY64" si="172">DD61/DK61</f>
        <v>7502.8284615384619</v>
      </c>
      <c r="DZ61" s="56">
        <f t="shared" ref="DZ61:DZ69" si="173">DE61/DL61</f>
        <v>6173.3798245614043</v>
      </c>
      <c r="EA61" s="56">
        <f t="shared" ref="EA61" si="174">DF61/DM61</f>
        <v>9003.3933333333334</v>
      </c>
      <c r="EB61" s="56">
        <f t="shared" ref="EB61" si="175">DG61/DN61</f>
        <v>12004.53</v>
      </c>
      <c r="EC61" s="56">
        <f t="shared" ref="EC61" si="176">DH61/DO61</f>
        <v>9753.6774999999998</v>
      </c>
      <c r="ED61" s="56">
        <f t="shared" si="146"/>
        <v>6294.7458474576279</v>
      </c>
      <c r="EE61" s="273"/>
      <c r="EF61" s="274"/>
      <c r="EG61" s="273"/>
      <c r="EH61" s="273"/>
      <c r="EI61" s="273"/>
      <c r="EJ61" s="273"/>
      <c r="EK61" s="274"/>
      <c r="EL61" s="274"/>
      <c r="EM61" s="274"/>
      <c r="EN61" s="274"/>
      <c r="EO61" s="274"/>
      <c r="EP61" s="274"/>
      <c r="EQ61" s="274"/>
      <c r="ER61" s="274"/>
      <c r="ES61" s="274"/>
      <c r="ET61" s="274"/>
      <c r="EU61" s="273">
        <f t="shared" si="100"/>
        <v>6002.262673267327</v>
      </c>
      <c r="EV61" s="273">
        <f t="shared" si="101"/>
        <v>6173.3798245614043</v>
      </c>
      <c r="EW61" s="273">
        <f t="shared" si="102"/>
        <v>9753.6774999999998</v>
      </c>
      <c r="EX61" s="273">
        <f t="shared" si="147"/>
        <v>6294.7458474576279</v>
      </c>
      <c r="EY61" s="273">
        <f t="shared" si="103"/>
        <v>606228.53</v>
      </c>
      <c r="EZ61" s="273">
        <f t="shared" si="104"/>
        <v>703765.3</v>
      </c>
      <c r="FA61" s="273">
        <f t="shared" si="105"/>
        <v>39014.71</v>
      </c>
      <c r="FB61" s="273">
        <f t="shared" si="105"/>
        <v>742780.01000000013</v>
      </c>
      <c r="FC61" s="79"/>
      <c r="FD61" s="79"/>
      <c r="FE61" s="79"/>
      <c r="FF61" s="79"/>
      <c r="FG61" s="230"/>
      <c r="FH61" s="230"/>
      <c r="FI61" s="230"/>
      <c r="FJ61" s="230"/>
    </row>
    <row r="62" spans="1:166" ht="28.8" x14ac:dyDescent="0.3">
      <c r="A62" s="48" t="s">
        <v>57</v>
      </c>
      <c r="B62" s="258" t="s">
        <v>26</v>
      </c>
      <c r="C62" s="53">
        <v>38108.46</v>
      </c>
      <c r="D62" s="53">
        <v>6351.41</v>
      </c>
      <c r="E62" s="53">
        <f t="shared" si="106"/>
        <v>44459.869999999995</v>
      </c>
      <c r="F62" s="53"/>
      <c r="G62" s="53"/>
      <c r="H62" s="53">
        <f t="shared" si="86"/>
        <v>0</v>
      </c>
      <c r="I62" s="56">
        <f t="shared" si="107"/>
        <v>44459.869999999995</v>
      </c>
      <c r="J62" s="252">
        <v>6</v>
      </c>
      <c r="K62" s="252">
        <v>1</v>
      </c>
      <c r="L62" s="252">
        <f t="shared" si="148"/>
        <v>7</v>
      </c>
      <c r="M62" s="252"/>
      <c r="N62" s="252"/>
      <c r="O62" s="252">
        <f t="shared" si="149"/>
        <v>0</v>
      </c>
      <c r="P62" s="56">
        <f t="shared" si="150"/>
        <v>7</v>
      </c>
      <c r="Q62" s="252">
        <v>90</v>
      </c>
      <c r="R62" s="252">
        <v>35</v>
      </c>
      <c r="S62" s="59">
        <f t="shared" si="151"/>
        <v>125</v>
      </c>
      <c r="T62" s="252"/>
      <c r="U62" s="252"/>
      <c r="V62" s="256">
        <f t="shared" si="152"/>
        <v>0</v>
      </c>
      <c r="W62" s="56">
        <f t="shared" si="153"/>
        <v>125</v>
      </c>
      <c r="X62" s="56">
        <f t="shared" si="163"/>
        <v>6351.41</v>
      </c>
      <c r="Y62" s="56">
        <f>D62/K62</f>
        <v>6351.41</v>
      </c>
      <c r="Z62" s="56">
        <f t="shared" si="164"/>
        <v>6351.4099999999989</v>
      </c>
      <c r="AA62" s="56"/>
      <c r="AB62" s="56"/>
      <c r="AC62" s="56"/>
      <c r="AD62" s="56">
        <f t="shared" si="88"/>
        <v>6351.4099999999989</v>
      </c>
      <c r="AE62" s="269"/>
      <c r="AF62" s="270"/>
      <c r="AG62" s="269"/>
      <c r="AH62" s="269"/>
      <c r="AI62" s="269"/>
      <c r="AJ62" s="269"/>
      <c r="AK62" s="270"/>
      <c r="AL62" s="270"/>
      <c r="AM62" s="270"/>
      <c r="AN62" s="267"/>
      <c r="AO62" s="267"/>
      <c r="AP62" s="267"/>
      <c r="AQ62" s="267"/>
      <c r="AR62" s="267"/>
      <c r="AS62" s="267"/>
      <c r="AT62" s="267"/>
      <c r="AU62" s="269">
        <f t="shared" si="114"/>
        <v>6351.41</v>
      </c>
      <c r="AV62" s="269">
        <f t="shared" si="115"/>
        <v>6351.4099999999989</v>
      </c>
      <c r="AW62" s="269">
        <f t="shared" si="89"/>
        <v>0</v>
      </c>
      <c r="AX62" s="269">
        <f t="shared" si="116"/>
        <v>6351.4099999999989</v>
      </c>
      <c r="AY62" s="269">
        <f t="shared" si="117"/>
        <v>38108.46</v>
      </c>
      <c r="AZ62" s="269">
        <f t="shared" si="118"/>
        <v>44459.869999999995</v>
      </c>
      <c r="BA62" s="269">
        <f t="shared" si="119"/>
        <v>0</v>
      </c>
      <c r="BB62" s="269">
        <f t="shared" si="120"/>
        <v>44459.869999999995</v>
      </c>
      <c r="BC62" s="53">
        <v>59202.1</v>
      </c>
      <c r="BD62" s="53">
        <v>5920.21</v>
      </c>
      <c r="BE62" s="79">
        <f t="shared" si="121"/>
        <v>65122.31</v>
      </c>
      <c r="BF62" s="53"/>
      <c r="BG62" s="53"/>
      <c r="BH62" s="79">
        <f t="shared" si="122"/>
        <v>0</v>
      </c>
      <c r="BI62" s="56">
        <f t="shared" si="123"/>
        <v>65122.31</v>
      </c>
      <c r="BJ62" s="252">
        <v>10</v>
      </c>
      <c r="BK62" s="252">
        <v>1</v>
      </c>
      <c r="BL62" s="252">
        <f t="shared" si="155"/>
        <v>11</v>
      </c>
      <c r="BM62" s="252"/>
      <c r="BN62" s="252"/>
      <c r="BO62" s="252">
        <f t="shared" si="156"/>
        <v>0</v>
      </c>
      <c r="BP62" s="56">
        <f t="shared" si="157"/>
        <v>11</v>
      </c>
      <c r="BQ62" s="252">
        <v>112</v>
      </c>
      <c r="BR62" s="252">
        <v>74</v>
      </c>
      <c r="BS62" s="76">
        <f t="shared" si="158"/>
        <v>186</v>
      </c>
      <c r="BT62" s="252"/>
      <c r="BU62" s="252"/>
      <c r="BV62" s="59">
        <f t="shared" si="159"/>
        <v>0</v>
      </c>
      <c r="BW62" s="56">
        <f t="shared" si="129"/>
        <v>186</v>
      </c>
      <c r="BX62" s="56">
        <f t="shared" si="130"/>
        <v>5920.21</v>
      </c>
      <c r="BY62" s="56">
        <f t="shared" si="131"/>
        <v>5920.21</v>
      </c>
      <c r="BZ62" s="56">
        <f t="shared" si="132"/>
        <v>5920.21</v>
      </c>
      <c r="CA62" s="56"/>
      <c r="CB62" s="56"/>
      <c r="CC62" s="56"/>
      <c r="CD62" s="56">
        <f t="shared" si="136"/>
        <v>5920.21</v>
      </c>
      <c r="CE62" s="238"/>
      <c r="CF62" s="241"/>
      <c r="CG62" s="238"/>
      <c r="CH62" s="238"/>
      <c r="CI62" s="238"/>
      <c r="CJ62" s="238"/>
      <c r="CK62" s="241"/>
      <c r="CL62" s="241"/>
      <c r="CM62" s="241"/>
      <c r="CN62" s="233"/>
      <c r="CO62" s="233"/>
      <c r="CP62" s="233"/>
      <c r="CQ62" s="233"/>
      <c r="CR62" s="233"/>
      <c r="CS62" s="233"/>
      <c r="CT62" s="233"/>
      <c r="CU62" s="238">
        <f t="shared" si="91"/>
        <v>5920.21</v>
      </c>
      <c r="CV62" s="238">
        <f t="shared" si="92"/>
        <v>5920.21</v>
      </c>
      <c r="CW62" s="238">
        <f t="shared" si="93"/>
        <v>0</v>
      </c>
      <c r="CX62" s="238">
        <f t="shared" si="137"/>
        <v>5920.21</v>
      </c>
      <c r="CY62" s="238">
        <f t="shared" si="94"/>
        <v>59202.1</v>
      </c>
      <c r="CZ62" s="238">
        <f t="shared" si="95"/>
        <v>65122.31</v>
      </c>
      <c r="DA62" s="238">
        <f t="shared" si="96"/>
        <v>0</v>
      </c>
      <c r="DB62" s="238">
        <f t="shared" si="96"/>
        <v>65122.31</v>
      </c>
      <c r="DC62" s="53">
        <v>76146.600000000006</v>
      </c>
      <c r="DD62" s="53">
        <v>6345.55</v>
      </c>
      <c r="DE62" s="56">
        <f t="shared" si="138"/>
        <v>82492.150000000009</v>
      </c>
      <c r="DF62" s="53"/>
      <c r="DG62" s="53"/>
      <c r="DH62" s="56">
        <f t="shared" si="139"/>
        <v>0</v>
      </c>
      <c r="DI62" s="56">
        <f t="shared" si="140"/>
        <v>82492.150000000009</v>
      </c>
      <c r="DJ62" s="252">
        <v>12</v>
      </c>
      <c r="DK62" s="252">
        <v>1</v>
      </c>
      <c r="DL62" s="56">
        <f t="shared" si="160"/>
        <v>13</v>
      </c>
      <c r="DM62" s="252"/>
      <c r="DN62" s="252"/>
      <c r="DO62" s="56">
        <f t="shared" si="161"/>
        <v>0</v>
      </c>
      <c r="DP62" s="56">
        <f t="shared" si="162"/>
        <v>13</v>
      </c>
      <c r="DQ62" s="252">
        <v>120</v>
      </c>
      <c r="DR62" s="252">
        <v>35</v>
      </c>
      <c r="DS62" s="56">
        <f t="shared" si="97"/>
        <v>155</v>
      </c>
      <c r="DT62" s="252"/>
      <c r="DU62" s="252"/>
      <c r="DV62" s="56">
        <f t="shared" si="98"/>
        <v>0</v>
      </c>
      <c r="DW62" s="56">
        <f t="shared" si="144"/>
        <v>155</v>
      </c>
      <c r="DX62" s="56">
        <f t="shared" si="145"/>
        <v>6345.55</v>
      </c>
      <c r="DY62" s="56">
        <f t="shared" si="172"/>
        <v>6345.55</v>
      </c>
      <c r="DZ62" s="56">
        <f t="shared" si="173"/>
        <v>6345.5500000000011</v>
      </c>
      <c r="EA62" s="56"/>
      <c r="EB62" s="56"/>
      <c r="EC62" s="56"/>
      <c r="ED62" s="56">
        <f t="shared" si="146"/>
        <v>6345.5500000000011</v>
      </c>
      <c r="EE62" s="273"/>
      <c r="EF62" s="274"/>
      <c r="EG62" s="273"/>
      <c r="EH62" s="273"/>
      <c r="EI62" s="273"/>
      <c r="EJ62" s="273"/>
      <c r="EK62" s="274"/>
      <c r="EL62" s="274"/>
      <c r="EM62" s="274"/>
      <c r="EN62" s="231"/>
      <c r="EO62" s="231"/>
      <c r="EP62" s="231"/>
      <c r="EQ62" s="231"/>
      <c r="ER62" s="231"/>
      <c r="ES62" s="231"/>
      <c r="ET62" s="231"/>
      <c r="EU62" s="273">
        <f t="shared" si="100"/>
        <v>6345.55</v>
      </c>
      <c r="EV62" s="273">
        <f t="shared" si="101"/>
        <v>6345.5500000000011</v>
      </c>
      <c r="EW62" s="273">
        <f t="shared" si="102"/>
        <v>0</v>
      </c>
      <c r="EX62" s="273">
        <f t="shared" si="147"/>
        <v>6345.5500000000011</v>
      </c>
      <c r="EY62" s="273">
        <f t="shared" si="103"/>
        <v>76146.600000000006</v>
      </c>
      <c r="EZ62" s="273">
        <f t="shared" si="104"/>
        <v>82492.150000000009</v>
      </c>
      <c r="FA62" s="273">
        <f t="shared" si="105"/>
        <v>0</v>
      </c>
      <c r="FB62" s="273">
        <f t="shared" si="105"/>
        <v>82492.150000000009</v>
      </c>
      <c r="FC62" s="79"/>
      <c r="FD62" s="79"/>
      <c r="FE62" s="79"/>
      <c r="FF62" s="79"/>
      <c r="FG62" s="47"/>
      <c r="FH62" s="47"/>
      <c r="FI62" s="47"/>
      <c r="FJ62" s="47"/>
    </row>
    <row r="63" spans="1:166" x14ac:dyDescent="0.3">
      <c r="A63" s="48" t="s">
        <v>58</v>
      </c>
      <c r="B63" s="258" t="s">
        <v>27</v>
      </c>
      <c r="C63" s="53"/>
      <c r="D63" s="53"/>
      <c r="E63" s="53">
        <f t="shared" si="106"/>
        <v>0</v>
      </c>
      <c r="F63" s="53"/>
      <c r="G63" s="53"/>
      <c r="H63" s="53">
        <f t="shared" si="86"/>
        <v>0</v>
      </c>
      <c r="I63" s="56">
        <f t="shared" si="107"/>
        <v>0</v>
      </c>
      <c r="J63" s="252"/>
      <c r="K63" s="252"/>
      <c r="L63" s="252">
        <f t="shared" si="148"/>
        <v>0</v>
      </c>
      <c r="M63" s="252"/>
      <c r="N63" s="252"/>
      <c r="O63" s="252">
        <f t="shared" si="149"/>
        <v>0</v>
      </c>
      <c r="P63" s="56">
        <f t="shared" si="150"/>
        <v>0</v>
      </c>
      <c r="Q63" s="252"/>
      <c r="R63" s="252"/>
      <c r="S63" s="59">
        <f t="shared" si="151"/>
        <v>0</v>
      </c>
      <c r="T63" s="252"/>
      <c r="U63" s="252"/>
      <c r="V63" s="256">
        <f t="shared" si="152"/>
        <v>0</v>
      </c>
      <c r="W63" s="56">
        <f t="shared" si="153"/>
        <v>0</v>
      </c>
      <c r="X63" s="56"/>
      <c r="Y63" s="56"/>
      <c r="Z63" s="56"/>
      <c r="AA63" s="56"/>
      <c r="AB63" s="56"/>
      <c r="AC63" s="56"/>
      <c r="AD63" s="56"/>
      <c r="AE63" s="269"/>
      <c r="AF63" s="270"/>
      <c r="AG63" s="269"/>
      <c r="AH63" s="269"/>
      <c r="AI63" s="269"/>
      <c r="AJ63" s="269"/>
      <c r="AK63" s="270"/>
      <c r="AL63" s="270"/>
      <c r="AM63" s="270"/>
      <c r="AN63" s="267"/>
      <c r="AO63" s="267"/>
      <c r="AP63" s="267"/>
      <c r="AQ63" s="267"/>
      <c r="AR63" s="267"/>
      <c r="AS63" s="267"/>
      <c r="AT63" s="267"/>
      <c r="AU63" s="269">
        <f t="shared" si="114"/>
        <v>0</v>
      </c>
      <c r="AV63" s="269">
        <f t="shared" si="115"/>
        <v>0</v>
      </c>
      <c r="AW63" s="269">
        <f t="shared" si="89"/>
        <v>0</v>
      </c>
      <c r="AX63" s="269">
        <f t="shared" si="116"/>
        <v>0</v>
      </c>
      <c r="AY63" s="269">
        <f t="shared" si="117"/>
        <v>0</v>
      </c>
      <c r="AZ63" s="269">
        <f t="shared" si="118"/>
        <v>0</v>
      </c>
      <c r="BA63" s="269">
        <f t="shared" si="119"/>
        <v>0</v>
      </c>
      <c r="BB63" s="269">
        <f t="shared" si="120"/>
        <v>0</v>
      </c>
      <c r="BC63" s="53"/>
      <c r="BD63" s="53"/>
      <c r="BE63" s="79">
        <f t="shared" si="121"/>
        <v>0</v>
      </c>
      <c r="BF63" s="53"/>
      <c r="BG63" s="53"/>
      <c r="BH63" s="79">
        <f t="shared" si="122"/>
        <v>0</v>
      </c>
      <c r="BI63" s="56">
        <f t="shared" si="123"/>
        <v>0</v>
      </c>
      <c r="BJ63" s="252"/>
      <c r="BK63" s="252"/>
      <c r="BL63" s="252">
        <f t="shared" si="155"/>
        <v>0</v>
      </c>
      <c r="BM63" s="252"/>
      <c r="BN63" s="252"/>
      <c r="BO63" s="252">
        <f t="shared" si="156"/>
        <v>0</v>
      </c>
      <c r="BP63" s="56">
        <f t="shared" si="157"/>
        <v>0</v>
      </c>
      <c r="BQ63" s="252"/>
      <c r="BR63" s="252"/>
      <c r="BS63" s="76">
        <f t="shared" si="158"/>
        <v>0</v>
      </c>
      <c r="BT63" s="252"/>
      <c r="BU63" s="252"/>
      <c r="BV63" s="59">
        <f t="shared" si="159"/>
        <v>0</v>
      </c>
      <c r="BW63" s="56">
        <f t="shared" si="129"/>
        <v>0</v>
      </c>
      <c r="BX63" s="56"/>
      <c r="BY63" s="56"/>
      <c r="BZ63" s="56"/>
      <c r="CA63" s="56"/>
      <c r="CB63" s="56"/>
      <c r="CC63" s="56"/>
      <c r="CD63" s="56"/>
      <c r="CE63" s="238"/>
      <c r="CF63" s="241"/>
      <c r="CG63" s="238"/>
      <c r="CH63" s="238"/>
      <c r="CI63" s="238"/>
      <c r="CJ63" s="238"/>
      <c r="CK63" s="241"/>
      <c r="CL63" s="241"/>
      <c r="CM63" s="241"/>
      <c r="CN63" s="233"/>
      <c r="CO63" s="233"/>
      <c r="CP63" s="233"/>
      <c r="CQ63" s="233"/>
      <c r="CR63" s="233"/>
      <c r="CS63" s="233"/>
      <c r="CT63" s="233"/>
      <c r="CU63" s="238">
        <f t="shared" si="91"/>
        <v>0</v>
      </c>
      <c r="CV63" s="238">
        <f t="shared" si="92"/>
        <v>0</v>
      </c>
      <c r="CW63" s="238">
        <f t="shared" si="93"/>
        <v>0</v>
      </c>
      <c r="CX63" s="238">
        <f t="shared" si="137"/>
        <v>0</v>
      </c>
      <c r="CY63" s="238">
        <f t="shared" si="94"/>
        <v>0</v>
      </c>
      <c r="CZ63" s="238">
        <f t="shared" si="95"/>
        <v>0</v>
      </c>
      <c r="DA63" s="238">
        <f t="shared" si="96"/>
        <v>0</v>
      </c>
      <c r="DB63" s="238">
        <f t="shared" si="96"/>
        <v>0</v>
      </c>
      <c r="DC63" s="53">
        <v>39172.800000000003</v>
      </c>
      <c r="DD63" s="53"/>
      <c r="DE63" s="56">
        <f t="shared" si="138"/>
        <v>39172.800000000003</v>
      </c>
      <c r="DF63" s="53"/>
      <c r="DG63" s="53"/>
      <c r="DH63" s="56">
        <f t="shared" si="139"/>
        <v>0</v>
      </c>
      <c r="DI63" s="56">
        <f t="shared" si="140"/>
        <v>39172.800000000003</v>
      </c>
      <c r="DJ63" s="252">
        <v>9</v>
      </c>
      <c r="DK63" s="252"/>
      <c r="DL63" s="56">
        <f t="shared" si="160"/>
        <v>9</v>
      </c>
      <c r="DM63" s="252"/>
      <c r="DN63" s="252"/>
      <c r="DO63" s="56">
        <f t="shared" si="161"/>
        <v>0</v>
      </c>
      <c r="DP63" s="56">
        <f t="shared" si="162"/>
        <v>9</v>
      </c>
      <c r="DQ63" s="252">
        <v>120</v>
      </c>
      <c r="DR63" s="252"/>
      <c r="DS63" s="56">
        <f t="shared" si="97"/>
        <v>120</v>
      </c>
      <c r="DT63" s="252"/>
      <c r="DU63" s="252"/>
      <c r="DV63" s="56">
        <f t="shared" si="98"/>
        <v>0</v>
      </c>
      <c r="DW63" s="56">
        <f t="shared" si="144"/>
        <v>120</v>
      </c>
      <c r="DX63" s="56">
        <f t="shared" si="145"/>
        <v>4352.5333333333338</v>
      </c>
      <c r="DY63" s="56"/>
      <c r="DZ63" s="56">
        <f t="shared" si="173"/>
        <v>4352.5333333333338</v>
      </c>
      <c r="EA63" s="56"/>
      <c r="EB63" s="56"/>
      <c r="EC63" s="56"/>
      <c r="ED63" s="56">
        <f t="shared" si="146"/>
        <v>4352.5333333333338</v>
      </c>
      <c r="EE63" s="273"/>
      <c r="EF63" s="274"/>
      <c r="EG63" s="273"/>
      <c r="EH63" s="273"/>
      <c r="EI63" s="273"/>
      <c r="EJ63" s="273"/>
      <c r="EK63" s="274"/>
      <c r="EL63" s="274"/>
      <c r="EM63" s="274"/>
      <c r="EN63" s="231"/>
      <c r="EO63" s="231"/>
      <c r="EP63" s="231"/>
      <c r="EQ63" s="231"/>
      <c r="ER63" s="231"/>
      <c r="ES63" s="231"/>
      <c r="ET63" s="231"/>
      <c r="EU63" s="273">
        <f t="shared" si="100"/>
        <v>4352.5333333333338</v>
      </c>
      <c r="EV63" s="273">
        <f t="shared" si="101"/>
        <v>4352.5333333333338</v>
      </c>
      <c r="EW63" s="273">
        <f t="shared" si="102"/>
        <v>0</v>
      </c>
      <c r="EX63" s="273">
        <f t="shared" si="147"/>
        <v>4352.5333333333338</v>
      </c>
      <c r="EY63" s="273">
        <f t="shared" si="103"/>
        <v>39172.800000000003</v>
      </c>
      <c r="EZ63" s="273">
        <f t="shared" si="104"/>
        <v>39172.800000000003</v>
      </c>
      <c r="FA63" s="273">
        <f t="shared" si="105"/>
        <v>0</v>
      </c>
      <c r="FB63" s="273">
        <f t="shared" si="105"/>
        <v>39172.800000000003</v>
      </c>
      <c r="FC63" s="79"/>
      <c r="FD63" s="79"/>
      <c r="FE63" s="79"/>
      <c r="FF63" s="79"/>
      <c r="FG63" s="47"/>
      <c r="FH63" s="47"/>
      <c r="FI63" s="47"/>
      <c r="FJ63" s="47"/>
    </row>
    <row r="64" spans="1:166" x14ac:dyDescent="0.3">
      <c r="A64" s="48" t="s">
        <v>59</v>
      </c>
      <c r="B64" s="258" t="s">
        <v>28</v>
      </c>
      <c r="C64" s="56">
        <v>16797</v>
      </c>
      <c r="D64" s="56"/>
      <c r="E64" s="56">
        <f t="shared" si="106"/>
        <v>16797</v>
      </c>
      <c r="F64" s="56">
        <v>34911</v>
      </c>
      <c r="G64" s="56"/>
      <c r="H64" s="56">
        <f t="shared" si="86"/>
        <v>34911</v>
      </c>
      <c r="I64" s="56">
        <f t="shared" si="107"/>
        <v>51708</v>
      </c>
      <c r="J64" s="59">
        <v>3</v>
      </c>
      <c r="K64" s="59"/>
      <c r="L64" s="59">
        <f t="shared" si="148"/>
        <v>3</v>
      </c>
      <c r="M64" s="59">
        <v>2</v>
      </c>
      <c r="N64" s="59"/>
      <c r="O64" s="59">
        <f t="shared" si="149"/>
        <v>2</v>
      </c>
      <c r="P64" s="56">
        <f t="shared" si="150"/>
        <v>5</v>
      </c>
      <c r="Q64" s="59">
        <v>26</v>
      </c>
      <c r="R64" s="59"/>
      <c r="S64" s="59">
        <f t="shared" si="151"/>
        <v>26</v>
      </c>
      <c r="T64" s="59">
        <v>800</v>
      </c>
      <c r="U64" s="59"/>
      <c r="V64" s="256">
        <f t="shared" si="152"/>
        <v>800</v>
      </c>
      <c r="W64" s="56">
        <f t="shared" si="153"/>
        <v>826</v>
      </c>
      <c r="X64" s="56">
        <f>C64/J64</f>
        <v>5599</v>
      </c>
      <c r="Y64" s="56"/>
      <c r="Z64" s="56">
        <f>E64/L64</f>
        <v>5599</v>
      </c>
      <c r="AA64" s="56">
        <f>F64/M64</f>
        <v>17455.5</v>
      </c>
      <c r="AB64" s="56"/>
      <c r="AC64" s="56">
        <f>H64/O64</f>
        <v>17455.5</v>
      </c>
      <c r="AD64" s="56">
        <f t="shared" si="88"/>
        <v>10341.6</v>
      </c>
      <c r="AE64" s="269"/>
      <c r="AF64" s="269"/>
      <c r="AG64" s="269"/>
      <c r="AH64" s="269"/>
      <c r="AI64" s="269"/>
      <c r="AJ64" s="269"/>
      <c r="AK64" s="269"/>
      <c r="AL64" s="269"/>
      <c r="AM64" s="269"/>
      <c r="AN64" s="269"/>
      <c r="AO64" s="269"/>
      <c r="AP64" s="269"/>
      <c r="AQ64" s="269"/>
      <c r="AR64" s="269"/>
      <c r="AS64" s="269"/>
      <c r="AT64" s="269"/>
      <c r="AU64" s="269">
        <f t="shared" si="114"/>
        <v>5599</v>
      </c>
      <c r="AV64" s="269">
        <f t="shared" si="115"/>
        <v>5599</v>
      </c>
      <c r="AW64" s="269">
        <f t="shared" si="89"/>
        <v>17455.5</v>
      </c>
      <c r="AX64" s="269">
        <f t="shared" si="116"/>
        <v>10341.6</v>
      </c>
      <c r="AY64" s="269">
        <f t="shared" si="117"/>
        <v>16797</v>
      </c>
      <c r="AZ64" s="269">
        <f t="shared" si="118"/>
        <v>16797</v>
      </c>
      <c r="BA64" s="269">
        <f t="shared" si="119"/>
        <v>34911</v>
      </c>
      <c r="BB64" s="269">
        <f t="shared" si="120"/>
        <v>51708</v>
      </c>
      <c r="BC64" s="56"/>
      <c r="BD64" s="56">
        <v>67414</v>
      </c>
      <c r="BE64" s="56">
        <f t="shared" si="121"/>
        <v>67414</v>
      </c>
      <c r="BF64" s="56">
        <v>9658</v>
      </c>
      <c r="BG64" s="56"/>
      <c r="BH64" s="56">
        <f t="shared" si="122"/>
        <v>9658</v>
      </c>
      <c r="BI64" s="56">
        <f t="shared" si="123"/>
        <v>77072</v>
      </c>
      <c r="BJ64" s="59"/>
      <c r="BK64" s="59">
        <v>7</v>
      </c>
      <c r="BL64" s="59">
        <f t="shared" si="155"/>
        <v>7</v>
      </c>
      <c r="BM64" s="59">
        <v>1</v>
      </c>
      <c r="BN64" s="59"/>
      <c r="BO64" s="59">
        <f t="shared" si="156"/>
        <v>1</v>
      </c>
      <c r="BP64" s="56">
        <f t="shared" si="157"/>
        <v>8</v>
      </c>
      <c r="BQ64" s="59"/>
      <c r="BR64" s="59">
        <v>220.65</v>
      </c>
      <c r="BS64" s="59">
        <f t="shared" si="158"/>
        <v>220.65</v>
      </c>
      <c r="BT64" s="59">
        <v>200</v>
      </c>
      <c r="BU64" s="59"/>
      <c r="BV64" s="59">
        <f t="shared" si="159"/>
        <v>200</v>
      </c>
      <c r="BW64" s="56">
        <f t="shared" si="129"/>
        <v>420.65</v>
      </c>
      <c r="BX64" s="56"/>
      <c r="BY64" s="56">
        <f t="shared" si="131"/>
        <v>9630.5714285714294</v>
      </c>
      <c r="BZ64" s="56">
        <f t="shared" si="132"/>
        <v>9630.5714285714294</v>
      </c>
      <c r="CA64" s="56">
        <f t="shared" si="133"/>
        <v>9658</v>
      </c>
      <c r="CB64" s="56"/>
      <c r="CC64" s="56">
        <f t="shared" si="135"/>
        <v>9658</v>
      </c>
      <c r="CD64" s="56">
        <f t="shared" si="136"/>
        <v>9634</v>
      </c>
      <c r="CE64" s="238"/>
      <c r="CF64" s="238"/>
      <c r="CG64" s="238"/>
      <c r="CH64" s="238"/>
      <c r="CI64" s="238"/>
      <c r="CJ64" s="238"/>
      <c r="CK64" s="238"/>
      <c r="CL64" s="238"/>
      <c r="CM64" s="238"/>
      <c r="CN64" s="238"/>
      <c r="CO64" s="238"/>
      <c r="CP64" s="238"/>
      <c r="CQ64" s="238"/>
      <c r="CR64" s="238"/>
      <c r="CS64" s="238"/>
      <c r="CT64" s="238"/>
      <c r="CU64" s="238">
        <f t="shared" si="91"/>
        <v>0</v>
      </c>
      <c r="CV64" s="238">
        <f t="shared" si="92"/>
        <v>9630.5714285714294</v>
      </c>
      <c r="CW64" s="238">
        <f t="shared" si="93"/>
        <v>9658</v>
      </c>
      <c r="CX64" s="238">
        <f t="shared" si="137"/>
        <v>9634</v>
      </c>
      <c r="CY64" s="238">
        <f t="shared" si="94"/>
        <v>0</v>
      </c>
      <c r="CZ64" s="238">
        <f t="shared" si="95"/>
        <v>67414</v>
      </c>
      <c r="DA64" s="238">
        <f t="shared" si="96"/>
        <v>9658</v>
      </c>
      <c r="DB64" s="238">
        <f t="shared" si="96"/>
        <v>77072</v>
      </c>
      <c r="DC64" s="56">
        <v>31091</v>
      </c>
      <c r="DD64" s="56">
        <v>51668</v>
      </c>
      <c r="DE64" s="56">
        <f>DC64+DD64</f>
        <v>82759</v>
      </c>
      <c r="DF64" s="56"/>
      <c r="DG64" s="56"/>
      <c r="DH64" s="56">
        <f t="shared" si="139"/>
        <v>0</v>
      </c>
      <c r="DI64" s="56">
        <f t="shared" si="140"/>
        <v>82759</v>
      </c>
      <c r="DJ64" s="59">
        <v>3</v>
      </c>
      <c r="DK64" s="59">
        <v>5</v>
      </c>
      <c r="DL64" s="56">
        <f t="shared" si="160"/>
        <v>8</v>
      </c>
      <c r="DM64" s="59"/>
      <c r="DN64" s="59"/>
      <c r="DO64" s="56">
        <f t="shared" si="161"/>
        <v>0</v>
      </c>
      <c r="DP64" s="56">
        <f t="shared" si="162"/>
        <v>8</v>
      </c>
      <c r="DQ64" s="59">
        <v>25</v>
      </c>
      <c r="DR64" s="59">
        <v>120</v>
      </c>
      <c r="DS64" s="56">
        <f t="shared" si="97"/>
        <v>145</v>
      </c>
      <c r="DT64" s="59"/>
      <c r="DU64" s="59"/>
      <c r="DV64" s="56">
        <f t="shared" si="98"/>
        <v>0</v>
      </c>
      <c r="DW64" s="56">
        <f t="shared" si="144"/>
        <v>145</v>
      </c>
      <c r="DX64" s="56">
        <f t="shared" si="145"/>
        <v>10363.666666666666</v>
      </c>
      <c r="DY64" s="56">
        <f t="shared" si="172"/>
        <v>10333.6</v>
      </c>
      <c r="DZ64" s="56">
        <f t="shared" si="173"/>
        <v>10344.875</v>
      </c>
      <c r="EA64" s="56"/>
      <c r="EB64" s="56"/>
      <c r="EC64" s="56"/>
      <c r="ED64" s="56">
        <f t="shared" si="146"/>
        <v>10344.875</v>
      </c>
      <c r="EE64" s="273"/>
      <c r="EF64" s="273"/>
      <c r="EG64" s="273"/>
      <c r="EH64" s="273"/>
      <c r="EI64" s="273"/>
      <c r="EJ64" s="273"/>
      <c r="EK64" s="273"/>
      <c r="EL64" s="273"/>
      <c r="EM64" s="273"/>
      <c r="EN64" s="273"/>
      <c r="EO64" s="273"/>
      <c r="EP64" s="273"/>
      <c r="EQ64" s="273"/>
      <c r="ER64" s="273"/>
      <c r="ES64" s="273"/>
      <c r="ET64" s="273"/>
      <c r="EU64" s="273">
        <f t="shared" si="100"/>
        <v>10363.666666666666</v>
      </c>
      <c r="EV64" s="273">
        <f t="shared" si="101"/>
        <v>10344.875</v>
      </c>
      <c r="EW64" s="273">
        <f t="shared" si="102"/>
        <v>0</v>
      </c>
      <c r="EX64" s="273">
        <f t="shared" si="147"/>
        <v>10344.875</v>
      </c>
      <c r="EY64" s="273">
        <f t="shared" si="103"/>
        <v>31091</v>
      </c>
      <c r="EZ64" s="273">
        <f t="shared" si="104"/>
        <v>82759</v>
      </c>
      <c r="FA64" s="273">
        <f t="shared" si="105"/>
        <v>0</v>
      </c>
      <c r="FB64" s="273">
        <f t="shared" si="105"/>
        <v>82759</v>
      </c>
      <c r="FC64" s="79"/>
      <c r="FD64" s="79"/>
      <c r="FE64" s="79"/>
      <c r="FF64" s="79"/>
      <c r="FG64" s="47"/>
      <c r="FH64" s="47"/>
      <c r="FI64" s="47"/>
      <c r="FJ64" s="47"/>
    </row>
    <row r="65" spans="1:166" x14ac:dyDescent="0.3">
      <c r="A65" s="48" t="s">
        <v>60</v>
      </c>
      <c r="B65" s="258" t="s">
        <v>29</v>
      </c>
      <c r="C65" s="53"/>
      <c r="D65" s="53"/>
      <c r="E65" s="53">
        <f t="shared" si="106"/>
        <v>0</v>
      </c>
      <c r="F65" s="53"/>
      <c r="G65" s="53"/>
      <c r="H65" s="53">
        <f t="shared" si="86"/>
        <v>0</v>
      </c>
      <c r="I65" s="56">
        <f t="shared" si="107"/>
        <v>0</v>
      </c>
      <c r="J65" s="252"/>
      <c r="K65" s="252"/>
      <c r="L65" s="252">
        <f t="shared" si="148"/>
        <v>0</v>
      </c>
      <c r="M65" s="252"/>
      <c r="N65" s="252"/>
      <c r="O65" s="252">
        <f t="shared" si="149"/>
        <v>0</v>
      </c>
      <c r="P65" s="56">
        <f t="shared" si="150"/>
        <v>0</v>
      </c>
      <c r="Q65" s="252"/>
      <c r="R65" s="252"/>
      <c r="S65" s="59">
        <f t="shared" si="151"/>
        <v>0</v>
      </c>
      <c r="T65" s="252"/>
      <c r="U65" s="252"/>
      <c r="V65" s="256">
        <f t="shared" si="152"/>
        <v>0</v>
      </c>
      <c r="W65" s="56">
        <f t="shared" si="153"/>
        <v>0</v>
      </c>
      <c r="X65" s="56"/>
      <c r="Y65" s="56"/>
      <c r="Z65" s="56"/>
      <c r="AA65" s="56"/>
      <c r="AB65" s="56"/>
      <c r="AC65" s="56"/>
      <c r="AD65" s="56"/>
      <c r="AE65" s="269"/>
      <c r="AF65" s="270"/>
      <c r="AG65" s="269"/>
      <c r="AH65" s="269"/>
      <c r="AI65" s="269"/>
      <c r="AJ65" s="269"/>
      <c r="AK65" s="270"/>
      <c r="AL65" s="270"/>
      <c r="AM65" s="270"/>
      <c r="AN65" s="267"/>
      <c r="AO65" s="267"/>
      <c r="AP65" s="267"/>
      <c r="AQ65" s="267"/>
      <c r="AR65" s="267"/>
      <c r="AS65" s="267"/>
      <c r="AT65" s="267"/>
      <c r="AU65" s="269">
        <f t="shared" si="114"/>
        <v>0</v>
      </c>
      <c r="AV65" s="269">
        <f t="shared" si="115"/>
        <v>0</v>
      </c>
      <c r="AW65" s="269">
        <f t="shared" si="89"/>
        <v>0</v>
      </c>
      <c r="AX65" s="269">
        <f t="shared" si="116"/>
        <v>0</v>
      </c>
      <c r="AY65" s="269">
        <f t="shared" si="117"/>
        <v>0</v>
      </c>
      <c r="AZ65" s="269">
        <f t="shared" si="118"/>
        <v>0</v>
      </c>
      <c r="BA65" s="269">
        <f t="shared" si="119"/>
        <v>0</v>
      </c>
      <c r="BB65" s="269">
        <f t="shared" si="120"/>
        <v>0</v>
      </c>
      <c r="BC65" s="53"/>
      <c r="BD65" s="53"/>
      <c r="BE65" s="79">
        <f t="shared" si="121"/>
        <v>0</v>
      </c>
      <c r="BF65" s="53"/>
      <c r="BG65" s="53"/>
      <c r="BH65" s="79">
        <f t="shared" si="122"/>
        <v>0</v>
      </c>
      <c r="BI65" s="56">
        <f t="shared" si="123"/>
        <v>0</v>
      </c>
      <c r="BJ65" s="252"/>
      <c r="BK65" s="252"/>
      <c r="BL65" s="252">
        <f t="shared" si="155"/>
        <v>0</v>
      </c>
      <c r="BM65" s="252"/>
      <c r="BN65" s="252"/>
      <c r="BO65" s="252">
        <f t="shared" si="156"/>
        <v>0</v>
      </c>
      <c r="BP65" s="56">
        <f t="shared" si="157"/>
        <v>0</v>
      </c>
      <c r="BQ65" s="252"/>
      <c r="BR65" s="252"/>
      <c r="BS65" s="76">
        <f t="shared" si="158"/>
        <v>0</v>
      </c>
      <c r="BT65" s="252"/>
      <c r="BU65" s="252"/>
      <c r="BV65" s="59">
        <f t="shared" si="159"/>
        <v>0</v>
      </c>
      <c r="BW65" s="56">
        <f t="shared" si="129"/>
        <v>0</v>
      </c>
      <c r="BX65" s="56"/>
      <c r="BY65" s="56"/>
      <c r="BZ65" s="56"/>
      <c r="CA65" s="56"/>
      <c r="CB65" s="56"/>
      <c r="CC65" s="56"/>
      <c r="CD65" s="56"/>
      <c r="CE65" s="238"/>
      <c r="CF65" s="241"/>
      <c r="CG65" s="238"/>
      <c r="CH65" s="238"/>
      <c r="CI65" s="238"/>
      <c r="CJ65" s="238"/>
      <c r="CK65" s="241"/>
      <c r="CL65" s="241"/>
      <c r="CM65" s="241"/>
      <c r="CN65" s="233"/>
      <c r="CO65" s="233"/>
      <c r="CP65" s="233"/>
      <c r="CQ65" s="233"/>
      <c r="CR65" s="233"/>
      <c r="CS65" s="233"/>
      <c r="CT65" s="233"/>
      <c r="CU65" s="238">
        <f t="shared" si="91"/>
        <v>0</v>
      </c>
      <c r="CV65" s="238">
        <f t="shared" si="92"/>
        <v>0</v>
      </c>
      <c r="CW65" s="238">
        <f t="shared" si="93"/>
        <v>0</v>
      </c>
      <c r="CX65" s="238">
        <f t="shared" si="137"/>
        <v>0</v>
      </c>
      <c r="CY65" s="238">
        <f t="shared" si="94"/>
        <v>0</v>
      </c>
      <c r="CZ65" s="238">
        <f t="shared" si="95"/>
        <v>0</v>
      </c>
      <c r="DA65" s="238">
        <f t="shared" si="96"/>
        <v>0</v>
      </c>
      <c r="DB65" s="238">
        <f t="shared" si="96"/>
        <v>0</v>
      </c>
      <c r="DC65" s="53"/>
      <c r="DD65" s="53"/>
      <c r="DE65" s="56">
        <f t="shared" si="138"/>
        <v>0</v>
      </c>
      <c r="DF65" s="53"/>
      <c r="DG65" s="53"/>
      <c r="DH65" s="56">
        <f t="shared" si="139"/>
        <v>0</v>
      </c>
      <c r="DI65" s="56">
        <f t="shared" si="140"/>
        <v>0</v>
      </c>
      <c r="DJ65" s="252"/>
      <c r="DK65" s="252"/>
      <c r="DL65" s="56">
        <f t="shared" si="160"/>
        <v>0</v>
      </c>
      <c r="DM65" s="252"/>
      <c r="DN65" s="252"/>
      <c r="DO65" s="56">
        <f t="shared" si="161"/>
        <v>0</v>
      </c>
      <c r="DP65" s="56">
        <f t="shared" si="162"/>
        <v>0</v>
      </c>
      <c r="DQ65" s="252"/>
      <c r="DR65" s="252"/>
      <c r="DS65" s="59">
        <f t="shared" ref="DS65:DS69" si="177">DQ65+DR65</f>
        <v>0</v>
      </c>
      <c r="DT65" s="252"/>
      <c r="DU65" s="252"/>
      <c r="DV65" s="59">
        <f t="shared" ref="DV65:DV69" si="178">DT65+DU65</f>
        <v>0</v>
      </c>
      <c r="DW65" s="56">
        <f t="shared" si="144"/>
        <v>0</v>
      </c>
      <c r="DX65" s="56"/>
      <c r="DY65" s="56"/>
      <c r="DZ65" s="56"/>
      <c r="EA65" s="56"/>
      <c r="EB65" s="56"/>
      <c r="EC65" s="56"/>
      <c r="ED65" s="56"/>
      <c r="EE65" s="273"/>
      <c r="EF65" s="274"/>
      <c r="EG65" s="273"/>
      <c r="EH65" s="273"/>
      <c r="EI65" s="273"/>
      <c r="EJ65" s="273"/>
      <c r="EK65" s="274"/>
      <c r="EL65" s="274"/>
      <c r="EM65" s="274"/>
      <c r="EN65" s="231"/>
      <c r="EO65" s="231"/>
      <c r="EP65" s="231"/>
      <c r="EQ65" s="231"/>
      <c r="ER65" s="231"/>
      <c r="ES65" s="231"/>
      <c r="ET65" s="231"/>
      <c r="EU65" s="273">
        <f t="shared" si="100"/>
        <v>0</v>
      </c>
      <c r="EV65" s="273">
        <f t="shared" si="101"/>
        <v>0</v>
      </c>
      <c r="EW65" s="273">
        <f t="shared" si="102"/>
        <v>0</v>
      </c>
      <c r="EX65" s="273">
        <f t="shared" si="147"/>
        <v>0</v>
      </c>
      <c r="EY65" s="273">
        <f t="shared" si="103"/>
        <v>0</v>
      </c>
      <c r="EZ65" s="273">
        <f t="shared" si="104"/>
        <v>0</v>
      </c>
      <c r="FA65" s="273">
        <f t="shared" si="105"/>
        <v>0</v>
      </c>
      <c r="FB65" s="273">
        <f t="shared" si="105"/>
        <v>0</v>
      </c>
      <c r="FC65" s="79"/>
      <c r="FD65" s="79"/>
      <c r="FE65" s="79"/>
      <c r="FF65" s="79"/>
      <c r="FG65" s="47"/>
      <c r="FH65" s="47"/>
      <c r="FI65" s="47"/>
      <c r="FJ65" s="47"/>
    </row>
    <row r="66" spans="1:166" ht="28.8" x14ac:dyDescent="0.3">
      <c r="A66" s="48" t="s">
        <v>61</v>
      </c>
      <c r="B66" s="258" t="s">
        <v>67</v>
      </c>
      <c r="C66" s="53">
        <v>0</v>
      </c>
      <c r="D66" s="53">
        <v>0</v>
      </c>
      <c r="E66" s="53">
        <f>C66+D66</f>
        <v>0</v>
      </c>
      <c r="F66" s="53">
        <v>0</v>
      </c>
      <c r="G66" s="53">
        <v>0</v>
      </c>
      <c r="H66" s="53">
        <f t="shared" si="86"/>
        <v>0</v>
      </c>
      <c r="I66" s="56">
        <f t="shared" si="107"/>
        <v>0</v>
      </c>
      <c r="J66" s="252">
        <v>0</v>
      </c>
      <c r="K66" s="252">
        <v>0</v>
      </c>
      <c r="L66" s="252">
        <f t="shared" si="148"/>
        <v>0</v>
      </c>
      <c r="M66" s="252">
        <v>0</v>
      </c>
      <c r="N66" s="252">
        <v>0</v>
      </c>
      <c r="O66" s="252">
        <f t="shared" si="149"/>
        <v>0</v>
      </c>
      <c r="P66" s="56">
        <f t="shared" si="150"/>
        <v>0</v>
      </c>
      <c r="Q66" s="252">
        <v>0</v>
      </c>
      <c r="R66" s="252">
        <v>0</v>
      </c>
      <c r="S66" s="59">
        <f t="shared" si="151"/>
        <v>0</v>
      </c>
      <c r="T66" s="252">
        <v>0</v>
      </c>
      <c r="U66" s="252">
        <v>0</v>
      </c>
      <c r="V66" s="256">
        <f t="shared" si="152"/>
        <v>0</v>
      </c>
      <c r="W66" s="56">
        <f t="shared" si="153"/>
        <v>0</v>
      </c>
      <c r="X66" s="56"/>
      <c r="Y66" s="56"/>
      <c r="Z66" s="56"/>
      <c r="AA66" s="56"/>
      <c r="AB66" s="56"/>
      <c r="AC66" s="56"/>
      <c r="AD66" s="56"/>
      <c r="AE66" s="269"/>
      <c r="AF66" s="270"/>
      <c r="AG66" s="269"/>
      <c r="AH66" s="269"/>
      <c r="AI66" s="269"/>
      <c r="AJ66" s="269"/>
      <c r="AK66" s="270"/>
      <c r="AL66" s="270"/>
      <c r="AM66" s="270"/>
      <c r="AN66" s="267"/>
      <c r="AO66" s="267"/>
      <c r="AP66" s="267"/>
      <c r="AQ66" s="267"/>
      <c r="AR66" s="267"/>
      <c r="AS66" s="267"/>
      <c r="AT66" s="267"/>
      <c r="AU66" s="269">
        <f t="shared" si="114"/>
        <v>0</v>
      </c>
      <c r="AV66" s="269">
        <f t="shared" si="115"/>
        <v>0</v>
      </c>
      <c r="AW66" s="269">
        <f t="shared" si="89"/>
        <v>0</v>
      </c>
      <c r="AX66" s="269">
        <f t="shared" si="116"/>
        <v>0</v>
      </c>
      <c r="AY66" s="269">
        <f t="shared" si="117"/>
        <v>0</v>
      </c>
      <c r="AZ66" s="269">
        <f t="shared" si="118"/>
        <v>0</v>
      </c>
      <c r="BA66" s="269">
        <f t="shared" si="119"/>
        <v>0</v>
      </c>
      <c r="BB66" s="269">
        <f t="shared" si="120"/>
        <v>0</v>
      </c>
      <c r="BC66" s="53">
        <v>86484.63</v>
      </c>
      <c r="BD66" s="53">
        <v>0</v>
      </c>
      <c r="BE66" s="79">
        <f t="shared" si="121"/>
        <v>86484.63</v>
      </c>
      <c r="BF66" s="53">
        <v>0</v>
      </c>
      <c r="BG66" s="53">
        <v>0</v>
      </c>
      <c r="BH66" s="79">
        <f t="shared" si="122"/>
        <v>0</v>
      </c>
      <c r="BI66" s="56">
        <f t="shared" si="123"/>
        <v>86484.63</v>
      </c>
      <c r="BJ66" s="252">
        <v>21</v>
      </c>
      <c r="BK66" s="252">
        <v>0</v>
      </c>
      <c r="BL66" s="252">
        <f t="shared" si="155"/>
        <v>21</v>
      </c>
      <c r="BM66" s="252">
        <v>0</v>
      </c>
      <c r="BN66" s="252">
        <v>0</v>
      </c>
      <c r="BO66" s="252">
        <f t="shared" si="156"/>
        <v>0</v>
      </c>
      <c r="BP66" s="56">
        <f t="shared" si="157"/>
        <v>21</v>
      </c>
      <c r="BQ66" s="252">
        <v>1299</v>
      </c>
      <c r="BR66" s="252">
        <v>0</v>
      </c>
      <c r="BS66" s="76">
        <f t="shared" si="158"/>
        <v>1299</v>
      </c>
      <c r="BT66" s="252">
        <v>0</v>
      </c>
      <c r="BU66" s="252">
        <v>0</v>
      </c>
      <c r="BV66" s="59">
        <f t="shared" si="159"/>
        <v>0</v>
      </c>
      <c r="BW66" s="56">
        <f t="shared" si="129"/>
        <v>1299</v>
      </c>
      <c r="BX66" s="56">
        <f t="shared" si="130"/>
        <v>4118.3157142857144</v>
      </c>
      <c r="BY66" s="56"/>
      <c r="BZ66" s="56">
        <f t="shared" si="132"/>
        <v>4118.3157142857144</v>
      </c>
      <c r="CA66" s="56"/>
      <c r="CB66" s="56"/>
      <c r="CC66" s="56"/>
      <c r="CD66" s="56">
        <f t="shared" si="136"/>
        <v>4118.3157142857144</v>
      </c>
      <c r="CE66" s="238"/>
      <c r="CF66" s="241"/>
      <c r="CG66" s="238"/>
      <c r="CH66" s="238"/>
      <c r="CI66" s="238"/>
      <c r="CJ66" s="238"/>
      <c r="CK66" s="241"/>
      <c r="CL66" s="241"/>
      <c r="CM66" s="241"/>
      <c r="CN66" s="233"/>
      <c r="CO66" s="233"/>
      <c r="CP66" s="233"/>
      <c r="CQ66" s="233"/>
      <c r="CR66" s="233"/>
      <c r="CS66" s="233"/>
      <c r="CT66" s="233"/>
      <c r="CU66" s="238">
        <f t="shared" si="91"/>
        <v>4118.3157142857144</v>
      </c>
      <c r="CV66" s="238">
        <f t="shared" si="92"/>
        <v>4118.3157142857144</v>
      </c>
      <c r="CW66" s="238">
        <f t="shared" si="93"/>
        <v>0</v>
      </c>
      <c r="CX66" s="238">
        <f t="shared" si="137"/>
        <v>4118.3157142857144</v>
      </c>
      <c r="CY66" s="238">
        <f t="shared" si="94"/>
        <v>86484.63</v>
      </c>
      <c r="CZ66" s="238">
        <f t="shared" si="95"/>
        <v>86484.63</v>
      </c>
      <c r="DA66" s="238">
        <f t="shared" si="96"/>
        <v>0</v>
      </c>
      <c r="DB66" s="238">
        <f t="shared" si="96"/>
        <v>86484.63</v>
      </c>
      <c r="DC66" s="53">
        <v>118922.97</v>
      </c>
      <c r="DD66" s="53">
        <v>0</v>
      </c>
      <c r="DE66" s="56">
        <f t="shared" si="138"/>
        <v>118922.97</v>
      </c>
      <c r="DF66" s="53">
        <v>0</v>
      </c>
      <c r="DG66" s="53">
        <v>0</v>
      </c>
      <c r="DH66" s="56">
        <f t="shared" si="139"/>
        <v>0</v>
      </c>
      <c r="DI66" s="56">
        <f t="shared" si="140"/>
        <v>118922.97</v>
      </c>
      <c r="DJ66" s="252">
        <v>37</v>
      </c>
      <c r="DK66" s="252">
        <v>0</v>
      </c>
      <c r="DL66" s="56">
        <f t="shared" si="160"/>
        <v>37</v>
      </c>
      <c r="DM66" s="252">
        <v>0</v>
      </c>
      <c r="DN66" s="252">
        <v>0</v>
      </c>
      <c r="DO66" s="56">
        <f t="shared" si="161"/>
        <v>0</v>
      </c>
      <c r="DP66" s="56">
        <f t="shared" si="162"/>
        <v>37</v>
      </c>
      <c r="DQ66" s="252">
        <v>5213</v>
      </c>
      <c r="DR66" s="252">
        <v>0</v>
      </c>
      <c r="DS66" s="59">
        <f t="shared" si="177"/>
        <v>5213</v>
      </c>
      <c r="DT66" s="252">
        <v>0</v>
      </c>
      <c r="DU66" s="252">
        <v>0</v>
      </c>
      <c r="DV66" s="59">
        <f t="shared" si="178"/>
        <v>0</v>
      </c>
      <c r="DW66" s="56">
        <f t="shared" si="144"/>
        <v>5213</v>
      </c>
      <c r="DX66" s="56">
        <f>DC66/DJ66</f>
        <v>3214.1343243243246</v>
      </c>
      <c r="DY66" s="56"/>
      <c r="DZ66" s="56">
        <f t="shared" si="173"/>
        <v>3214.1343243243246</v>
      </c>
      <c r="EA66" s="56"/>
      <c r="EB66" s="56"/>
      <c r="EC66" s="56"/>
      <c r="ED66" s="56">
        <f t="shared" si="146"/>
        <v>3214.1343243243246</v>
      </c>
      <c r="EE66" s="273"/>
      <c r="EF66" s="274"/>
      <c r="EG66" s="273"/>
      <c r="EH66" s="273"/>
      <c r="EI66" s="273"/>
      <c r="EJ66" s="273"/>
      <c r="EK66" s="274"/>
      <c r="EL66" s="274"/>
      <c r="EM66" s="274"/>
      <c r="EN66" s="231"/>
      <c r="EO66" s="231"/>
      <c r="EP66" s="231"/>
      <c r="EQ66" s="231"/>
      <c r="ER66" s="231"/>
      <c r="ES66" s="231"/>
      <c r="ET66" s="231"/>
      <c r="EU66" s="273">
        <f t="shared" si="100"/>
        <v>3214.1343243243246</v>
      </c>
      <c r="EV66" s="273">
        <f t="shared" si="101"/>
        <v>3214.1343243243246</v>
      </c>
      <c r="EW66" s="273">
        <f t="shared" si="102"/>
        <v>0</v>
      </c>
      <c r="EX66" s="273">
        <f t="shared" si="147"/>
        <v>3214.1343243243246</v>
      </c>
      <c r="EY66" s="273">
        <f t="shared" si="103"/>
        <v>118922.97</v>
      </c>
      <c r="EZ66" s="273">
        <f t="shared" si="104"/>
        <v>118922.97</v>
      </c>
      <c r="FA66" s="273">
        <f t="shared" si="105"/>
        <v>0</v>
      </c>
      <c r="FB66" s="273">
        <f t="shared" si="105"/>
        <v>118922.97</v>
      </c>
      <c r="FC66" s="79"/>
      <c r="FD66" s="79"/>
      <c r="FE66" s="79"/>
      <c r="FF66" s="79"/>
      <c r="FG66" s="47"/>
      <c r="FH66" s="47"/>
      <c r="FI66" s="47"/>
      <c r="FJ66" s="47"/>
    </row>
    <row r="67" spans="1:166" x14ac:dyDescent="0.3">
      <c r="A67" s="291">
        <v>24</v>
      </c>
      <c r="B67" s="258" t="s">
        <v>133</v>
      </c>
      <c r="C67" s="56"/>
      <c r="D67" s="56"/>
      <c r="E67" s="56">
        <f>C67+D67</f>
        <v>0</v>
      </c>
      <c r="F67" s="56">
        <v>10617.38</v>
      </c>
      <c r="G67" s="56"/>
      <c r="H67" s="56">
        <f t="shared" si="86"/>
        <v>10617.38</v>
      </c>
      <c r="I67" s="56">
        <f t="shared" si="107"/>
        <v>10617.38</v>
      </c>
      <c r="J67" s="59"/>
      <c r="K67" s="59"/>
      <c r="L67" s="59"/>
      <c r="M67" s="59">
        <v>2</v>
      </c>
      <c r="N67" s="59"/>
      <c r="O67" s="59">
        <f t="shared" si="149"/>
        <v>2</v>
      </c>
      <c r="P67" s="56">
        <f t="shared" si="150"/>
        <v>2</v>
      </c>
      <c r="Q67" s="59"/>
      <c r="R67" s="59"/>
      <c r="S67" s="59"/>
      <c r="T67" s="59">
        <v>550</v>
      </c>
      <c r="U67" s="59"/>
      <c r="V67" s="256">
        <f t="shared" si="152"/>
        <v>550</v>
      </c>
      <c r="W67" s="56">
        <f t="shared" si="153"/>
        <v>550</v>
      </c>
      <c r="X67" s="56"/>
      <c r="Y67" s="56"/>
      <c r="Z67" s="56"/>
      <c r="AA67" s="56">
        <f>F67/M67</f>
        <v>5308.69</v>
      </c>
      <c r="AB67" s="56"/>
      <c r="AC67" s="56">
        <f>H67/O67</f>
        <v>5308.69</v>
      </c>
      <c r="AD67" s="56">
        <f t="shared" si="88"/>
        <v>5308.69</v>
      </c>
      <c r="AE67" s="269"/>
      <c r="AF67" s="270"/>
      <c r="AG67" s="269"/>
      <c r="AH67" s="269"/>
      <c r="AI67" s="269"/>
      <c r="AJ67" s="269"/>
      <c r="AK67" s="270"/>
      <c r="AL67" s="270"/>
      <c r="AM67" s="270"/>
      <c r="AN67" s="267"/>
      <c r="AO67" s="267"/>
      <c r="AP67" s="267"/>
      <c r="AQ67" s="267"/>
      <c r="AR67" s="267"/>
      <c r="AS67" s="267"/>
      <c r="AT67" s="267"/>
      <c r="AU67" s="269"/>
      <c r="AV67" s="269"/>
      <c r="AW67" s="269"/>
      <c r="AX67" s="269">
        <f t="shared" si="116"/>
        <v>5308.69</v>
      </c>
      <c r="AY67" s="269"/>
      <c r="AZ67" s="269"/>
      <c r="BA67" s="269"/>
      <c r="BB67" s="269">
        <f t="shared" si="120"/>
        <v>10617.38</v>
      </c>
      <c r="BC67" s="56"/>
      <c r="BD67" s="56"/>
      <c r="BE67" s="56"/>
      <c r="BF67" s="56"/>
      <c r="BG67" s="56"/>
      <c r="BH67" s="56"/>
      <c r="BI67" s="56">
        <f t="shared" si="123"/>
        <v>0</v>
      </c>
      <c r="BJ67" s="59"/>
      <c r="BK67" s="59"/>
      <c r="BL67" s="59"/>
      <c r="BM67" s="59"/>
      <c r="BN67" s="59"/>
      <c r="BO67" s="59"/>
      <c r="BP67" s="56">
        <f t="shared" si="157"/>
        <v>0</v>
      </c>
      <c r="BQ67" s="59"/>
      <c r="BR67" s="59"/>
      <c r="BS67" s="59"/>
      <c r="BT67" s="59"/>
      <c r="BU67" s="59"/>
      <c r="BV67" s="59"/>
      <c r="BW67" s="56">
        <f t="shared" si="129"/>
        <v>0</v>
      </c>
      <c r="BX67" s="56"/>
      <c r="BY67" s="56"/>
      <c r="BZ67" s="56"/>
      <c r="CA67" s="56"/>
      <c r="CB67" s="56"/>
      <c r="CC67" s="56"/>
      <c r="CD67" s="56"/>
      <c r="CE67" s="238"/>
      <c r="CF67" s="241"/>
      <c r="CG67" s="238"/>
      <c r="CH67" s="238"/>
      <c r="CI67" s="238"/>
      <c r="CJ67" s="238"/>
      <c r="CK67" s="241"/>
      <c r="CL67" s="241"/>
      <c r="CM67" s="241"/>
      <c r="CN67" s="233"/>
      <c r="CO67" s="233"/>
      <c r="CP67" s="233"/>
      <c r="CQ67" s="233"/>
      <c r="CR67" s="233"/>
      <c r="CS67" s="233"/>
      <c r="CT67" s="233"/>
      <c r="CU67" s="238"/>
      <c r="CV67" s="238"/>
      <c r="CW67" s="238"/>
      <c r="CX67" s="238">
        <f t="shared" si="137"/>
        <v>0</v>
      </c>
      <c r="CY67" s="238"/>
      <c r="CZ67" s="238"/>
      <c r="DA67" s="238"/>
      <c r="DB67" s="238">
        <f t="shared" si="96"/>
        <v>0</v>
      </c>
      <c r="DC67" s="56"/>
      <c r="DD67" s="56"/>
      <c r="DE67" s="56"/>
      <c r="DF67" s="56"/>
      <c r="DG67" s="56"/>
      <c r="DH67" s="56"/>
      <c r="DI67" s="56">
        <f t="shared" si="140"/>
        <v>0</v>
      </c>
      <c r="DJ67" s="59"/>
      <c r="DK67" s="59"/>
      <c r="DL67" s="56"/>
      <c r="DM67" s="59"/>
      <c r="DN67" s="59"/>
      <c r="DO67" s="56"/>
      <c r="DP67" s="56">
        <f t="shared" si="162"/>
        <v>0</v>
      </c>
      <c r="DQ67" s="59"/>
      <c r="DR67" s="59"/>
      <c r="DS67" s="59"/>
      <c r="DT67" s="59"/>
      <c r="DU67" s="59"/>
      <c r="DV67" s="59"/>
      <c r="DW67" s="56">
        <f t="shared" si="144"/>
        <v>0</v>
      </c>
      <c r="DX67" s="56"/>
      <c r="DY67" s="56"/>
      <c r="DZ67" s="56"/>
      <c r="EA67" s="56"/>
      <c r="EB67" s="56"/>
      <c r="EC67" s="56"/>
      <c r="ED67" s="56"/>
      <c r="EE67" s="273"/>
      <c r="EF67" s="274"/>
      <c r="EG67" s="273"/>
      <c r="EH67" s="273"/>
      <c r="EI67" s="273"/>
      <c r="EJ67" s="273"/>
      <c r="EK67" s="274"/>
      <c r="EL67" s="274"/>
      <c r="EM67" s="274"/>
      <c r="EN67" s="231"/>
      <c r="EO67" s="231"/>
      <c r="EP67" s="231"/>
      <c r="EQ67" s="231"/>
      <c r="ER67" s="231"/>
      <c r="ES67" s="231"/>
      <c r="ET67" s="231"/>
      <c r="EU67" s="273"/>
      <c r="EV67" s="273"/>
      <c r="EW67" s="273"/>
      <c r="EX67" s="273">
        <f t="shared" si="147"/>
        <v>0</v>
      </c>
      <c r="EY67" s="273"/>
      <c r="EZ67" s="273"/>
      <c r="FA67" s="273"/>
      <c r="FB67" s="273">
        <f t="shared" si="105"/>
        <v>0</v>
      </c>
      <c r="FC67" s="79"/>
      <c r="FD67" s="79"/>
      <c r="FE67" s="79"/>
      <c r="FF67" s="79"/>
      <c r="FG67" s="47"/>
      <c r="FH67" s="47"/>
      <c r="FI67" s="47"/>
      <c r="FJ67" s="47"/>
    </row>
    <row r="68" spans="1:166" x14ac:dyDescent="0.3">
      <c r="A68" s="291">
        <v>25</v>
      </c>
      <c r="B68" s="258" t="s">
        <v>134</v>
      </c>
      <c r="C68" s="53"/>
      <c r="D68" s="53"/>
      <c r="E68" s="53"/>
      <c r="F68" s="53"/>
      <c r="G68" s="53"/>
      <c r="H68" s="53"/>
      <c r="I68" s="56">
        <f t="shared" si="107"/>
        <v>0</v>
      </c>
      <c r="J68" s="252"/>
      <c r="K68" s="252"/>
      <c r="L68" s="252"/>
      <c r="M68" s="252"/>
      <c r="N68" s="252"/>
      <c r="O68" s="252"/>
      <c r="P68" s="56">
        <f t="shared" si="150"/>
        <v>0</v>
      </c>
      <c r="Q68" s="252"/>
      <c r="R68" s="252"/>
      <c r="S68" s="59"/>
      <c r="T68" s="59"/>
      <c r="U68" s="59"/>
      <c r="V68" s="256"/>
      <c r="W68" s="56">
        <f t="shared" si="153"/>
        <v>0</v>
      </c>
      <c r="X68" s="56"/>
      <c r="Y68" s="56"/>
      <c r="Z68" s="56"/>
      <c r="AA68" s="56"/>
      <c r="AB68" s="56"/>
      <c r="AC68" s="56"/>
      <c r="AD68" s="56"/>
      <c r="AE68" s="269"/>
      <c r="AF68" s="270"/>
      <c r="AG68" s="269"/>
      <c r="AH68" s="269"/>
      <c r="AI68" s="269"/>
      <c r="AJ68" s="269"/>
      <c r="AK68" s="270"/>
      <c r="AL68" s="270"/>
      <c r="AM68" s="270"/>
      <c r="AN68" s="267"/>
      <c r="AO68" s="267"/>
      <c r="AP68" s="267"/>
      <c r="AQ68" s="267"/>
      <c r="AR68" s="267"/>
      <c r="AS68" s="267"/>
      <c r="AT68" s="267"/>
      <c r="AU68" s="269"/>
      <c r="AV68" s="269"/>
      <c r="AW68" s="269"/>
      <c r="AX68" s="269">
        <f t="shared" si="116"/>
        <v>0</v>
      </c>
      <c r="AY68" s="269"/>
      <c r="AZ68" s="269"/>
      <c r="BA68" s="269"/>
      <c r="BB68" s="269">
        <f t="shared" si="120"/>
        <v>0</v>
      </c>
      <c r="BC68" s="56"/>
      <c r="BD68" s="56"/>
      <c r="BE68" s="56"/>
      <c r="BF68" s="56"/>
      <c r="BG68" s="56"/>
      <c r="BH68" s="56"/>
      <c r="BI68" s="56">
        <f t="shared" si="123"/>
        <v>0</v>
      </c>
      <c r="BJ68" s="59"/>
      <c r="BK68" s="59"/>
      <c r="BL68" s="59"/>
      <c r="BM68" s="59"/>
      <c r="BN68" s="59"/>
      <c r="BO68" s="59"/>
      <c r="BP68" s="56">
        <f t="shared" si="157"/>
        <v>0</v>
      </c>
      <c r="BQ68" s="59"/>
      <c r="BR68" s="59"/>
      <c r="BS68" s="59"/>
      <c r="BT68" s="59"/>
      <c r="BU68" s="59"/>
      <c r="BV68" s="59"/>
      <c r="BW68" s="56">
        <f t="shared" si="129"/>
        <v>0</v>
      </c>
      <c r="BX68" s="56"/>
      <c r="BY68" s="56"/>
      <c r="BZ68" s="56"/>
      <c r="CA68" s="56"/>
      <c r="CB68" s="56"/>
      <c r="CC68" s="56"/>
      <c r="CD68" s="56"/>
      <c r="CE68" s="238"/>
      <c r="CF68" s="241"/>
      <c r="CG68" s="238"/>
      <c r="CH68" s="238"/>
      <c r="CI68" s="238"/>
      <c r="CJ68" s="238"/>
      <c r="CK68" s="241"/>
      <c r="CL68" s="241"/>
      <c r="CM68" s="241"/>
      <c r="CN68" s="233"/>
      <c r="CO68" s="233"/>
      <c r="CP68" s="233"/>
      <c r="CQ68" s="233"/>
      <c r="CR68" s="233"/>
      <c r="CS68" s="233"/>
      <c r="CT68" s="233"/>
      <c r="CU68" s="238"/>
      <c r="CV68" s="238"/>
      <c r="CW68" s="238"/>
      <c r="CX68" s="238">
        <f t="shared" si="137"/>
        <v>0</v>
      </c>
      <c r="CY68" s="238"/>
      <c r="CZ68" s="238"/>
      <c r="DA68" s="238"/>
      <c r="DB68" s="238">
        <f t="shared" si="96"/>
        <v>0</v>
      </c>
      <c r="DC68" s="56"/>
      <c r="DD68" s="56"/>
      <c r="DE68" s="56"/>
      <c r="DF68" s="56"/>
      <c r="DG68" s="56"/>
      <c r="DH68" s="56"/>
      <c r="DI68" s="56">
        <f t="shared" si="140"/>
        <v>0</v>
      </c>
      <c r="DJ68" s="59"/>
      <c r="DK68" s="59"/>
      <c r="DL68" s="56"/>
      <c r="DM68" s="59"/>
      <c r="DN68" s="59"/>
      <c r="DO68" s="56"/>
      <c r="DP68" s="56">
        <f t="shared" si="162"/>
        <v>0</v>
      </c>
      <c r="DQ68" s="59"/>
      <c r="DR68" s="59"/>
      <c r="DS68" s="59"/>
      <c r="DT68" s="59"/>
      <c r="DU68" s="59"/>
      <c r="DV68" s="59"/>
      <c r="DW68" s="56">
        <f t="shared" si="144"/>
        <v>0</v>
      </c>
      <c r="DX68" s="56"/>
      <c r="DY68" s="56"/>
      <c r="DZ68" s="56"/>
      <c r="EA68" s="56"/>
      <c r="EB68" s="56"/>
      <c r="EC68" s="56"/>
      <c r="ED68" s="56"/>
      <c r="EE68" s="273"/>
      <c r="EF68" s="274"/>
      <c r="EG68" s="273"/>
      <c r="EH68" s="273"/>
      <c r="EI68" s="273"/>
      <c r="EJ68" s="273"/>
      <c r="EK68" s="274"/>
      <c r="EL68" s="274"/>
      <c r="EM68" s="274"/>
      <c r="EN68" s="231"/>
      <c r="EO68" s="231"/>
      <c r="EP68" s="231"/>
      <c r="EQ68" s="231"/>
      <c r="ER68" s="231"/>
      <c r="ES68" s="231"/>
      <c r="ET68" s="231"/>
      <c r="EU68" s="273"/>
      <c r="EV68" s="273"/>
      <c r="EW68" s="273"/>
      <c r="EX68" s="273">
        <f t="shared" si="147"/>
        <v>0</v>
      </c>
      <c r="EY68" s="273"/>
      <c r="EZ68" s="273"/>
      <c r="FA68" s="273"/>
      <c r="FB68" s="273">
        <f t="shared" si="105"/>
        <v>0</v>
      </c>
      <c r="FC68" s="79"/>
      <c r="FD68" s="79"/>
      <c r="FE68" s="79"/>
      <c r="FF68" s="79"/>
      <c r="FG68" s="47"/>
      <c r="FH68" s="47"/>
      <c r="FI68" s="47"/>
      <c r="FJ68" s="47"/>
    </row>
    <row r="69" spans="1:166" ht="28.8" x14ac:dyDescent="0.3">
      <c r="A69" s="48">
        <v>26</v>
      </c>
      <c r="B69" s="258" t="s">
        <v>30</v>
      </c>
      <c r="C69" s="53">
        <v>930.83999999999992</v>
      </c>
      <c r="D69" s="53"/>
      <c r="E69" s="53">
        <f t="shared" si="106"/>
        <v>930.83999999999992</v>
      </c>
      <c r="F69" s="53"/>
      <c r="G69" s="53"/>
      <c r="H69" s="53">
        <f>F69+G69</f>
        <v>0</v>
      </c>
      <c r="I69" s="56">
        <f t="shared" si="107"/>
        <v>930.83999999999992</v>
      </c>
      <c r="J69" s="252">
        <v>6</v>
      </c>
      <c r="K69" s="252"/>
      <c r="L69" s="252">
        <f t="shared" si="148"/>
        <v>6</v>
      </c>
      <c r="M69" s="252"/>
      <c r="N69" s="252"/>
      <c r="O69" s="252">
        <f t="shared" si="149"/>
        <v>0</v>
      </c>
      <c r="P69" s="56">
        <f t="shared" si="150"/>
        <v>6</v>
      </c>
      <c r="Q69" s="252">
        <v>90</v>
      </c>
      <c r="R69" s="252"/>
      <c r="S69" s="59">
        <f t="shared" si="151"/>
        <v>90</v>
      </c>
      <c r="T69" s="252"/>
      <c r="U69" s="252"/>
      <c r="V69" s="256">
        <f t="shared" si="152"/>
        <v>0</v>
      </c>
      <c r="W69" s="56">
        <f t="shared" si="153"/>
        <v>90</v>
      </c>
      <c r="X69" s="56">
        <f>C69/J69</f>
        <v>155.13999999999999</v>
      </c>
      <c r="Y69" s="56"/>
      <c r="Z69" s="56">
        <f>E69/L69</f>
        <v>155.13999999999999</v>
      </c>
      <c r="AA69" s="56"/>
      <c r="AB69" s="56"/>
      <c r="AC69" s="56"/>
      <c r="AD69" s="56">
        <f t="shared" si="88"/>
        <v>155.13999999999999</v>
      </c>
      <c r="AE69" s="269"/>
      <c r="AF69" s="270"/>
      <c r="AG69" s="269"/>
      <c r="AH69" s="269"/>
      <c r="AI69" s="269"/>
      <c r="AJ69" s="269"/>
      <c r="AK69" s="270"/>
      <c r="AL69" s="270"/>
      <c r="AM69" s="270"/>
      <c r="AN69" s="267"/>
      <c r="AO69" s="267"/>
      <c r="AP69" s="267"/>
      <c r="AQ69" s="267"/>
      <c r="AR69" s="267"/>
      <c r="AS69" s="267"/>
      <c r="AT69" s="267"/>
      <c r="AU69" s="269">
        <f t="shared" si="114"/>
        <v>155.13999999999999</v>
      </c>
      <c r="AV69" s="269">
        <f t="shared" si="115"/>
        <v>155.13999999999999</v>
      </c>
      <c r="AW69" s="269">
        <f t="shared" si="89"/>
        <v>0</v>
      </c>
      <c r="AX69" s="269">
        <f t="shared" si="116"/>
        <v>155.13999999999999</v>
      </c>
      <c r="AY69" s="269">
        <f t="shared" si="117"/>
        <v>930.83999999999992</v>
      </c>
      <c r="AZ69" s="269">
        <f t="shared" si="118"/>
        <v>930.83999999999992</v>
      </c>
      <c r="BA69" s="269">
        <f t="shared" si="119"/>
        <v>0</v>
      </c>
      <c r="BB69" s="269">
        <f t="shared" si="120"/>
        <v>930.83999999999992</v>
      </c>
      <c r="BC69" s="53"/>
      <c r="BD69" s="53"/>
      <c r="BE69" s="79">
        <f t="shared" si="121"/>
        <v>0</v>
      </c>
      <c r="BF69" s="53"/>
      <c r="BG69" s="53"/>
      <c r="BH69" s="79">
        <f t="shared" si="122"/>
        <v>0</v>
      </c>
      <c r="BI69" s="56">
        <f t="shared" si="123"/>
        <v>0</v>
      </c>
      <c r="BJ69" s="252"/>
      <c r="BK69" s="252"/>
      <c r="BL69" s="252">
        <f t="shared" si="155"/>
        <v>0</v>
      </c>
      <c r="BM69" s="252"/>
      <c r="BN69" s="252"/>
      <c r="BO69" s="252">
        <f t="shared" si="156"/>
        <v>0</v>
      </c>
      <c r="BP69" s="56">
        <f t="shared" si="157"/>
        <v>0</v>
      </c>
      <c r="BQ69" s="252"/>
      <c r="BR69" s="252"/>
      <c r="BS69" s="76">
        <f t="shared" si="158"/>
        <v>0</v>
      </c>
      <c r="BT69" s="252"/>
      <c r="BU69" s="252"/>
      <c r="BV69" s="59">
        <f t="shared" si="159"/>
        <v>0</v>
      </c>
      <c r="BW69" s="56">
        <f t="shared" si="129"/>
        <v>0</v>
      </c>
      <c r="BX69" s="56"/>
      <c r="BY69" s="56"/>
      <c r="BZ69" s="56"/>
      <c r="CA69" s="56"/>
      <c r="CB69" s="56"/>
      <c r="CC69" s="56"/>
      <c r="CD69" s="56"/>
      <c r="CE69" s="238"/>
      <c r="CF69" s="241"/>
      <c r="CG69" s="238"/>
      <c r="CH69" s="238"/>
      <c r="CI69" s="238"/>
      <c r="CJ69" s="238"/>
      <c r="CK69" s="241"/>
      <c r="CL69" s="241"/>
      <c r="CM69" s="241"/>
      <c r="CN69" s="233"/>
      <c r="CO69" s="233"/>
      <c r="CP69" s="233"/>
      <c r="CQ69" s="233"/>
      <c r="CR69" s="233"/>
      <c r="CS69" s="233"/>
      <c r="CT69" s="233"/>
      <c r="CU69" s="238">
        <f t="shared" si="91"/>
        <v>0</v>
      </c>
      <c r="CV69" s="238">
        <f t="shared" si="92"/>
        <v>0</v>
      </c>
      <c r="CW69" s="238">
        <f t="shared" si="93"/>
        <v>0</v>
      </c>
      <c r="CX69" s="238">
        <f t="shared" si="137"/>
        <v>0</v>
      </c>
      <c r="CY69" s="238">
        <f t="shared" si="94"/>
        <v>0</v>
      </c>
      <c r="CZ69" s="238">
        <f t="shared" si="95"/>
        <v>0</v>
      </c>
      <c r="DA69" s="238">
        <f t="shared" si="96"/>
        <v>0</v>
      </c>
      <c r="DB69" s="238">
        <f t="shared" si="96"/>
        <v>0</v>
      </c>
      <c r="DC69" s="53">
        <v>270.83999999999997</v>
      </c>
      <c r="DD69" s="53">
        <v>0</v>
      </c>
      <c r="DE69" s="56">
        <f t="shared" si="138"/>
        <v>270.83999999999997</v>
      </c>
      <c r="DF69" s="53">
        <v>0</v>
      </c>
      <c r="DG69" s="53">
        <v>0</v>
      </c>
      <c r="DH69" s="56">
        <f t="shared" si="139"/>
        <v>0</v>
      </c>
      <c r="DI69" s="56">
        <f t="shared" si="140"/>
        <v>270.83999999999997</v>
      </c>
      <c r="DJ69" s="252">
        <v>6</v>
      </c>
      <c r="DK69" s="252">
        <v>0</v>
      </c>
      <c r="DL69" s="56">
        <f t="shared" si="160"/>
        <v>6</v>
      </c>
      <c r="DM69" s="252">
        <v>0</v>
      </c>
      <c r="DN69" s="252">
        <v>0</v>
      </c>
      <c r="DO69" s="56">
        <f t="shared" si="161"/>
        <v>0</v>
      </c>
      <c r="DP69" s="56">
        <f t="shared" si="162"/>
        <v>6</v>
      </c>
      <c r="DQ69" s="252">
        <v>75</v>
      </c>
      <c r="DR69" s="252">
        <v>0</v>
      </c>
      <c r="DS69" s="59">
        <f t="shared" si="177"/>
        <v>75</v>
      </c>
      <c r="DT69" s="252">
        <v>0</v>
      </c>
      <c r="DU69" s="252">
        <v>0</v>
      </c>
      <c r="DV69" s="59">
        <f t="shared" si="178"/>
        <v>0</v>
      </c>
      <c r="DW69" s="56">
        <f t="shared" si="144"/>
        <v>75</v>
      </c>
      <c r="DX69" s="56">
        <f t="shared" si="145"/>
        <v>45.139999999999993</v>
      </c>
      <c r="DY69" s="56"/>
      <c r="DZ69" s="56">
        <f t="shared" si="173"/>
        <v>45.139999999999993</v>
      </c>
      <c r="EA69" s="56"/>
      <c r="EB69" s="56"/>
      <c r="EC69" s="56"/>
      <c r="ED69" s="56">
        <f t="shared" si="146"/>
        <v>45.139999999999993</v>
      </c>
      <c r="EE69" s="273"/>
      <c r="EF69" s="274"/>
      <c r="EG69" s="273"/>
      <c r="EH69" s="273"/>
      <c r="EI69" s="273"/>
      <c r="EJ69" s="273"/>
      <c r="EK69" s="274"/>
      <c r="EL69" s="274"/>
      <c r="EM69" s="274"/>
      <c r="EN69" s="231"/>
      <c r="EO69" s="231"/>
      <c r="EP69" s="231"/>
      <c r="EQ69" s="231"/>
      <c r="ER69" s="231"/>
      <c r="ES69" s="231"/>
      <c r="ET69" s="231"/>
      <c r="EU69" s="273">
        <f t="shared" si="100"/>
        <v>45.139999999999993</v>
      </c>
      <c r="EV69" s="273">
        <f t="shared" si="101"/>
        <v>45.139999999999993</v>
      </c>
      <c r="EW69" s="273">
        <f t="shared" si="102"/>
        <v>0</v>
      </c>
      <c r="EX69" s="273">
        <f t="shared" si="147"/>
        <v>45.139999999999993</v>
      </c>
      <c r="EY69" s="273">
        <f t="shared" si="103"/>
        <v>270.83999999999997</v>
      </c>
      <c r="EZ69" s="273">
        <f t="shared" si="104"/>
        <v>270.83999999999997</v>
      </c>
      <c r="FA69" s="273">
        <f t="shared" si="105"/>
        <v>0</v>
      </c>
      <c r="FB69" s="273">
        <f t="shared" si="105"/>
        <v>270.83999999999997</v>
      </c>
      <c r="FC69" s="79"/>
      <c r="FD69" s="79"/>
      <c r="FE69" s="79"/>
      <c r="FF69" s="79"/>
      <c r="FG69" s="47"/>
      <c r="FH69" s="47"/>
      <c r="FI69" s="47"/>
      <c r="FJ69" s="47"/>
    </row>
    <row r="70" spans="1:166" s="260" customFormat="1" ht="57.6" x14ac:dyDescent="0.3">
      <c r="A70" s="230"/>
      <c r="B70" s="286" t="s">
        <v>116</v>
      </c>
      <c r="C70" s="255">
        <f>C44+C46+C48+C49+C50+C51+C52+C53+C54+C55+C57+C58+C59+C60+C61+C62+C69</f>
        <v>55771602.899999999</v>
      </c>
      <c r="D70" s="230"/>
      <c r="E70" s="295">
        <f>E44+E46+E48+E49+E50+E51+E52+E53+E54+E55+E57+E58+E59+E60+E61+E62+E64+E69</f>
        <v>67465834.800000012</v>
      </c>
      <c r="F70" s="230"/>
      <c r="G70" s="230"/>
      <c r="H70" s="295">
        <f>H44+H45+H50+H54+H56+H58+H61</f>
        <v>8842265.4399999995</v>
      </c>
      <c r="I70" s="285">
        <f>I44+I46+I48+I49+I50+I51+I52+I53+I54+I55+I57+I58+I59+I60+I61+I62+I64+I67+I69</f>
        <v>73803139.800000012</v>
      </c>
      <c r="J70" s="287">
        <f>J44+J46+J48+J49+J50+J51+J52+J53+J54+J55+J57+J58+J59+J60+J61+J62+J69</f>
        <v>4784</v>
      </c>
      <c r="K70" s="230"/>
      <c r="L70" s="288">
        <f>L44+L46+L48+L49+L50+L51+L52+L53+L54+L55+L57+L58+L59+L60+L61+L62+L64+L69</f>
        <v>5170</v>
      </c>
      <c r="M70" s="230"/>
      <c r="N70" s="230"/>
      <c r="O70" s="288">
        <f>O44+O45+O50+O54+O56+O58+O61</f>
        <v>239</v>
      </c>
      <c r="P70" s="288">
        <f>P44+P46+P48+P49+P50+P51+P52+P53+P54+P55+P57+P58+P59+P60+P61+P62+P64+P67+P69</f>
        <v>5364</v>
      </c>
      <c r="Q70" s="287">
        <f>Q44+Q46+Q48+Q49+Q50+Q51+Q52+Q53+Q54+Q55+Q57+Q58+Q59+Q60+Q61+Q62+Q69</f>
        <v>64648.468000000001</v>
      </c>
      <c r="R70" s="230"/>
      <c r="S70" s="288">
        <f>S44+S46+S48+S49+S50+S51+S52+S53+S54+S55+S57+S58+S59+S60+S61+S62+S64+S69</f>
        <v>82992.967999999993</v>
      </c>
      <c r="T70" s="230"/>
      <c r="U70" s="230"/>
      <c r="V70" s="288">
        <f>V44+V45+V50+V54+V56+V58+V61</f>
        <v>119757.04</v>
      </c>
      <c r="W70" s="288">
        <f>W44+W46+W48+W49+W50+W51+W52+W53+W54+W55+W57+W58+W59+W60+W61+W62+W64+W67+W69</f>
        <v>184883.96799999999</v>
      </c>
      <c r="X70" s="630" t="s">
        <v>115</v>
      </c>
      <c r="Y70" s="631"/>
      <c r="Z70" s="631"/>
      <c r="AA70" s="631"/>
      <c r="AB70" s="631"/>
      <c r="AC70" s="631"/>
      <c r="AD70" s="632"/>
      <c r="AE70" s="269"/>
      <c r="AF70" s="270"/>
      <c r="AG70" s="269"/>
      <c r="AH70" s="269"/>
      <c r="AI70" s="269"/>
      <c r="AJ70" s="269"/>
      <c r="AK70" s="270"/>
      <c r="AL70" s="270"/>
      <c r="AM70" s="270"/>
      <c r="AN70" s="267"/>
      <c r="AO70" s="267"/>
      <c r="AP70" s="267"/>
      <c r="AQ70" s="267"/>
      <c r="AR70" s="267"/>
      <c r="AS70" s="267"/>
      <c r="AT70" s="267"/>
      <c r="AU70" s="267"/>
      <c r="AV70" s="269"/>
      <c r="AW70" s="269"/>
      <c r="AX70" s="269"/>
      <c r="AY70" s="287">
        <f>AY44+AY46+AY48+AY49+AY50+AY51+AY52+AY53+AY54+AY55+AY57+AY58+AY59+AY60+AY61+AY62+AY69</f>
        <v>55771602.899999999</v>
      </c>
      <c r="AZ70" s="288">
        <f>AZ44+AZ46+AZ48+AZ49+AZ50+AZ51+AZ52+AZ53+AZ54+AZ55+AZ57+AZ58+AZ59+AZ60+AZ61+AZ62+AZ64+AZ69</f>
        <v>67465834.800000012</v>
      </c>
      <c r="BA70" s="288">
        <f>BA44+BA45+BA50+BA54+BA56+BA58+BA61</f>
        <v>5173573.5</v>
      </c>
      <c r="BB70" s="288">
        <f>BB44+BB46+BB48+BB49+BB50+BB51+BB52+BB53+BB54+BB55+BB57+BB58+BB59+BB60+BB61+BB62+BB64+BB67+BB69</f>
        <v>73803139.800000012</v>
      </c>
      <c r="BC70" s="56">
        <f>BC44+BC48+BC49+BC50+BC51+BC52+BC53+BC54+BC55+BC56+BC57+BC58+BC59+BC60+BC61+BC62+BC66</f>
        <v>56198341.210000016</v>
      </c>
      <c r="BD70" s="230"/>
      <c r="BE70" s="285">
        <f>BE44+BE48+BE49+BE51+BE52+BE53+BE54+BE55+BE56+BE57+BE58+BE59+BE60+BE61+BE62+BE64+BE66</f>
        <v>50205810.95000001</v>
      </c>
      <c r="BF70" s="230"/>
      <c r="BG70" s="230"/>
      <c r="BH70" s="285">
        <f>BH44+BH45+BH46+BH47+BH52+BH54+BH55+BH56+BH57+BH58+BH61+BH64</f>
        <v>6910505.4399999985</v>
      </c>
      <c r="BI70" s="285">
        <f>BI44+BI48+BI49+BI51+BI52+BI53+BI54+BI55+BI56+BI57+BI58+BI59+BI60+BI61+BI62+BI64+BI66</f>
        <v>54204483.990000002</v>
      </c>
      <c r="BJ70" s="287">
        <f>BJ44+BJ48+BJ49+BJ50+BJ51+BJ52+BJ53+BJ54+BJ55+BJ56+BJ57+BJ58+BJ59+BJ60+BJ61+BJ62+BJ66</f>
        <v>4581</v>
      </c>
      <c r="BK70" s="230"/>
      <c r="BL70" s="288">
        <f>BL44+BL48+BL49+BL51+BL52+BL53+BL54+BL55+BL56+BL57+BL58+BL59+BL60+BL61+BL62+BL64+BL66</f>
        <v>4460</v>
      </c>
      <c r="BM70" s="230"/>
      <c r="BN70" s="230"/>
      <c r="BO70" s="288">
        <f>BO44+BO45+BO46+BO47+BO52+BO54+BO55+BO56+BO57+BO58+BO61+BO64</f>
        <v>378</v>
      </c>
      <c r="BP70" s="288">
        <f>BP44+BP48+BP49+BP51+BP52+BP53+BP54+BP55+BP56+BP57+BP58+BP59+BP60+BP61+BP62+BP64+BP66</f>
        <v>4774</v>
      </c>
      <c r="BQ70" s="287">
        <f>BQ44+BQ48+BQ49+BQ50+BQ51+BQ52+BQ53+BQ54+BQ55+BQ56+BQ57+BQ58+BQ59+BQ60+BQ61+BQ62+BQ66</f>
        <v>59557.75</v>
      </c>
      <c r="BR70" s="230"/>
      <c r="BS70" s="288">
        <f>BS44+BS48+BS49+BS51+BS52+BS53+BS54+BS55+BS56+BS57+BS58+BS59+BS60+BS61+BS62+BS64+BS66</f>
        <v>73587.5</v>
      </c>
      <c r="BT70" s="230"/>
      <c r="BU70" s="230"/>
      <c r="BV70" s="288">
        <f>BV44+BV45+BV46+BV47+BV52+BV54+BV55+BV56+BV57+BV58+BV61+BV64</f>
        <v>189153.2</v>
      </c>
      <c r="BW70" s="288">
        <f>BW44+BW48+BW49+BW51+BW52+BW53+BW54+BW55+BW56+BW57+BW58+BW59+BW60+BW61+BW62+BW64+BW66</f>
        <v>198683.5</v>
      </c>
      <c r="BX70" s="630" t="s">
        <v>115</v>
      </c>
      <c r="BY70" s="631"/>
      <c r="BZ70" s="631"/>
      <c r="CA70" s="631"/>
      <c r="CB70" s="631"/>
      <c r="CC70" s="631"/>
      <c r="CD70" s="632"/>
      <c r="CE70" s="238"/>
      <c r="CF70" s="241"/>
      <c r="CG70" s="238"/>
      <c r="CH70" s="238"/>
      <c r="CI70" s="238"/>
      <c r="CJ70" s="238"/>
      <c r="CK70" s="241"/>
      <c r="CL70" s="241"/>
      <c r="CM70" s="241"/>
      <c r="CN70" s="233"/>
      <c r="CO70" s="233"/>
      <c r="CP70" s="233"/>
      <c r="CQ70" s="233"/>
      <c r="CR70" s="233"/>
      <c r="CS70" s="233"/>
      <c r="CT70" s="233"/>
      <c r="CU70" s="233"/>
      <c r="CV70" s="238"/>
      <c r="CW70" s="238"/>
      <c r="CX70" s="238"/>
      <c r="CY70" s="287">
        <f>CY44+CY48+CY49+CY50+CY51+CY52+CY53+CY54+CY55+CY56+CY57+CY58+CY59+CY60+CY61+CY62+CY66</f>
        <v>56198341.210000016</v>
      </c>
      <c r="CZ70" s="288">
        <f>CZ44+CZ48+CZ49+CZ51+CZ52+CZ53+CZ54+CZ55+CZ56+CZ57+CZ58+CZ59+CZ60+CZ61+CZ62+CZ64+CZ66</f>
        <v>50205810.95000001</v>
      </c>
      <c r="DA70" s="288">
        <f>DA44+DA45+DA46+DA47+DA52+DA54+DA55+DA56+DA57+DA58+DA61+DA64</f>
        <v>6910505.4399999995</v>
      </c>
      <c r="DB70" s="288">
        <f>DB44+DB48+DB49+DB51+DB52+DB53+DB54+DB55+DB56+DB57+DB58+DB59+DB60+DB61+DB62+DB64+DB66</f>
        <v>54204483.990000002</v>
      </c>
      <c r="DC70" s="56">
        <f>DC44+DC48+DC49+DC50+DC51+DC52+DC53+DC54+DC55+DC56+DC57+DC58+DC59+DC60+DC61+DC62+DC63+DC64+DC66+DC69</f>
        <v>59454738.720000006</v>
      </c>
      <c r="DD70" s="230"/>
      <c r="DE70" s="285">
        <f>DE44+DE48+DE49+DE51+DE52+DE53+DE54+DE55+DE56+DE57+DE58+DE59+DE60+DE61+DE62+DE63+DE64+DE66+DE69</f>
        <v>52021915.710000001</v>
      </c>
      <c r="DF70" s="230"/>
      <c r="DG70" s="230"/>
      <c r="DH70" s="285">
        <f>DH44+DH45+DH47+DH54+DH56+DH58+DH61</f>
        <v>6567279.6700000009</v>
      </c>
      <c r="DI70" s="285">
        <f>DI44+DI48+DI49+DI51+DI52+DI53+DI54+DI55+DI56+DI57+DI58+DI59+DI60+DI61+DI62+DI63+DI64+DI66+DI69</f>
        <v>54435365.180000007</v>
      </c>
      <c r="DJ70" s="287">
        <f>DJ44+DJ48+DJ49+DJ50+DJ51+DJ52+DJ53+DJ54+DJ55+DJ56+DJ57+DJ58+DJ59+DJ60+DJ61+DJ62+DJ63+DJ64+DJ66+DJ69</f>
        <v>4849</v>
      </c>
      <c r="DK70" s="230"/>
      <c r="DL70" s="288">
        <f>DL44+DL48+DL49+DL51+DL52+DL53+DL54+DL55+DL56+DL57+DL58+DL59+DL60+DL61+DL62+DL63+DL64+DL66+DL69</f>
        <v>4605</v>
      </c>
      <c r="DM70" s="230"/>
      <c r="DN70" s="230"/>
      <c r="DO70" s="288">
        <f>DO44+DO45+DO47+DO54+DO56+DO58+DO61</f>
        <v>270</v>
      </c>
      <c r="DP70" s="288">
        <f>DP44+DP48+DP49+DP51+DP52+DP53+DP54+DP55+DP56+DP57+DP58+DP59+DP60+DP61+DP62+DP63+DP64+DP66+DP69</f>
        <v>4800</v>
      </c>
      <c r="DQ70" s="287">
        <f>DQ44+DQ48+DQ49+DQ50+DQ51+DQ52+DQ53+DQ54+DQ55+DQ56+DQ57+DQ58+DQ59+DQ60+DQ61+DQ62+DQ63+DQ64+DQ66+DQ69</f>
        <v>68803.475000000006</v>
      </c>
      <c r="DR70" s="230"/>
      <c r="DS70" s="288">
        <f>DS44+DS48+DS49+DS51+DS52+DS53+DS54+DS55+DS56+DS57+DS58+DS59+DS60+DS61+DS62+DS63+DS64+DS66+DS69</f>
        <v>75562.684999999998</v>
      </c>
      <c r="DT70" s="230"/>
      <c r="DU70" s="230"/>
      <c r="DV70" s="288">
        <f>DV44+DV45+DV47+DV54+DV56+DV58+DV61</f>
        <v>106446.04</v>
      </c>
      <c r="DW70" s="288">
        <f>DW44+DW48+DW49+DW51+DW52+DW53+DW54+DW55+DW56+DW57+DW58+DW59+DW60+DW61+DW62+DW63+DW64+DW66+DW69</f>
        <v>155733.72500000001</v>
      </c>
      <c r="DX70" s="630" t="s">
        <v>115</v>
      </c>
      <c r="DY70" s="631"/>
      <c r="DZ70" s="631"/>
      <c r="EA70" s="631"/>
      <c r="EB70" s="631"/>
      <c r="EC70" s="631"/>
      <c r="ED70" s="632"/>
      <c r="EE70" s="273"/>
      <c r="EF70" s="274"/>
      <c r="EG70" s="273"/>
      <c r="EH70" s="273"/>
      <c r="EI70" s="273"/>
      <c r="EJ70" s="273"/>
      <c r="EK70" s="274"/>
      <c r="EL70" s="274"/>
      <c r="EM70" s="274"/>
      <c r="EN70" s="231"/>
      <c r="EO70" s="231"/>
      <c r="EP70" s="231"/>
      <c r="EQ70" s="231"/>
      <c r="ER70" s="231"/>
      <c r="ES70" s="231"/>
      <c r="ET70" s="231"/>
      <c r="EU70" s="231"/>
      <c r="EV70" s="273"/>
      <c r="EW70" s="273"/>
      <c r="EX70" s="273"/>
      <c r="EY70" s="287">
        <f>EY44+EY48+EY49+EY50+EY51+EY52+EY53+EY54+EY55+EY56+EY57+EY58+EY59+EY60+EY61+EY62+EY63+EY64+EY66+EY69</f>
        <v>59454738.720000006</v>
      </c>
      <c r="EZ70" s="288">
        <f>EZ44+EZ48+EZ49+EZ51+EZ52+EZ53+EZ54+EZ55+EZ56+EZ57+EZ58+EZ59+EZ60+EZ61+EZ62+EZ63+EZ64+EZ66+EZ69</f>
        <v>52021915.710000001</v>
      </c>
      <c r="FA70" s="288">
        <f>FA44+FA45+FA47+FA54+FA56+FA58+FA61</f>
        <v>6567279.6700000009</v>
      </c>
      <c r="FB70" s="288">
        <f>FB44+FB48+FB49+FB51+FB52+FB53+FB54+FB55+FB56+FB57+FB58+FB59+FB60+FB61+FB62+FB63+FB64+FB66+FB69</f>
        <v>54435365.180000007</v>
      </c>
      <c r="FC70" s="56"/>
      <c r="FD70" s="230"/>
      <c r="FE70" s="230"/>
      <c r="FF70" s="230"/>
      <c r="FG70" s="230"/>
      <c r="FH70" s="230"/>
      <c r="FI70" s="230"/>
      <c r="FJ70" s="230"/>
    </row>
    <row r="71" spans="1:166" s="260" customFormat="1" ht="115.2" x14ac:dyDescent="0.3">
      <c r="C71" s="147" t="s">
        <v>118</v>
      </c>
      <c r="D71" s="147"/>
      <c r="E71" s="147" t="s">
        <v>118</v>
      </c>
      <c r="F71" s="147"/>
      <c r="G71" s="147"/>
      <c r="H71" s="147" t="s">
        <v>118</v>
      </c>
      <c r="I71" s="147" t="s">
        <v>118</v>
      </c>
      <c r="J71" s="296" t="s">
        <v>116</v>
      </c>
      <c r="L71" s="296" t="s">
        <v>116</v>
      </c>
      <c r="O71" s="296" t="s">
        <v>116</v>
      </c>
      <c r="P71" s="296" t="s">
        <v>116</v>
      </c>
      <c r="Q71" s="296" t="s">
        <v>116</v>
      </c>
      <c r="S71" s="296" t="s">
        <v>116</v>
      </c>
      <c r="V71" s="296" t="s">
        <v>116</v>
      </c>
      <c r="W71" s="296" t="s">
        <v>116</v>
      </c>
      <c r="AE71" s="280"/>
      <c r="AF71" s="281"/>
      <c r="AG71" s="280"/>
      <c r="AH71" s="280"/>
      <c r="AI71" s="280"/>
      <c r="AJ71" s="280"/>
      <c r="AK71" s="281"/>
      <c r="AL71" s="281"/>
      <c r="AM71" s="281"/>
      <c r="AN71" s="282"/>
      <c r="AO71" s="282"/>
      <c r="AP71" s="282"/>
      <c r="AQ71" s="282"/>
      <c r="AR71" s="282"/>
      <c r="AS71" s="282"/>
      <c r="AT71" s="282"/>
      <c r="AU71" s="282"/>
      <c r="AV71" s="280"/>
      <c r="AW71" s="280"/>
      <c r="AX71" s="280"/>
      <c r="AY71" s="648" t="s">
        <v>117</v>
      </c>
      <c r="AZ71" s="631"/>
      <c r="BA71" s="631"/>
      <c r="BB71" s="636"/>
      <c r="BC71" s="147" t="s">
        <v>118</v>
      </c>
      <c r="BD71" s="147"/>
      <c r="BE71" s="147" t="s">
        <v>118</v>
      </c>
      <c r="BF71" s="147"/>
      <c r="BG71" s="147"/>
      <c r="BH71" s="147" t="s">
        <v>118</v>
      </c>
      <c r="BI71" s="147" t="s">
        <v>118</v>
      </c>
      <c r="BJ71" s="296" t="s">
        <v>116</v>
      </c>
      <c r="BL71" s="296" t="s">
        <v>116</v>
      </c>
      <c r="BO71" s="296" t="s">
        <v>116</v>
      </c>
      <c r="BP71" s="296" t="s">
        <v>116</v>
      </c>
      <c r="BQ71" s="296" t="s">
        <v>116</v>
      </c>
      <c r="BS71" s="296" t="s">
        <v>116</v>
      </c>
      <c r="BV71" s="296" t="s">
        <v>116</v>
      </c>
      <c r="BW71" s="296" t="s">
        <v>116</v>
      </c>
      <c r="CE71" s="262"/>
      <c r="CF71" s="278"/>
      <c r="CG71" s="262"/>
      <c r="CH71" s="262"/>
      <c r="CI71" s="262"/>
      <c r="CJ71" s="262"/>
      <c r="CK71" s="278"/>
      <c r="CL71" s="278"/>
      <c r="CM71" s="278"/>
      <c r="CN71" s="292"/>
      <c r="CO71" s="292"/>
      <c r="CP71" s="292"/>
      <c r="CQ71" s="292"/>
      <c r="CR71" s="292"/>
      <c r="CS71" s="292"/>
      <c r="CT71" s="292"/>
      <c r="CU71" s="292"/>
      <c r="CV71" s="262"/>
      <c r="CW71" s="262"/>
      <c r="CX71" s="262"/>
      <c r="CY71" s="668" t="s">
        <v>117</v>
      </c>
      <c r="CZ71" s="664"/>
      <c r="DA71" s="664"/>
      <c r="DB71" s="665"/>
      <c r="DC71" s="147" t="s">
        <v>118</v>
      </c>
      <c r="DD71" s="147"/>
      <c r="DE71" s="147" t="s">
        <v>118</v>
      </c>
      <c r="DF71" s="147"/>
      <c r="DG71" s="147"/>
      <c r="DH71" s="147" t="s">
        <v>118</v>
      </c>
      <c r="DI71" s="147" t="s">
        <v>118</v>
      </c>
      <c r="DJ71" s="296" t="s">
        <v>116</v>
      </c>
      <c r="DL71" s="296" t="s">
        <v>116</v>
      </c>
      <c r="DO71" s="296" t="s">
        <v>116</v>
      </c>
      <c r="DP71" s="296" t="s">
        <v>116</v>
      </c>
      <c r="DQ71" s="296" t="s">
        <v>116</v>
      </c>
      <c r="DS71" s="296" t="s">
        <v>116</v>
      </c>
      <c r="DV71" s="296" t="s">
        <v>116</v>
      </c>
      <c r="DW71" s="296" t="s">
        <v>116</v>
      </c>
      <c r="EE71" s="275"/>
      <c r="EF71" s="276"/>
      <c r="EG71" s="275"/>
      <c r="EH71" s="275"/>
      <c r="EI71" s="275"/>
      <c r="EJ71" s="275"/>
      <c r="EK71" s="276"/>
      <c r="EL71" s="276"/>
      <c r="EM71" s="276"/>
      <c r="EN71" s="297"/>
      <c r="EO71" s="297"/>
      <c r="EP71" s="297"/>
      <c r="EQ71" s="297"/>
      <c r="ER71" s="297"/>
      <c r="ES71" s="297"/>
      <c r="ET71" s="297"/>
      <c r="EU71" s="297"/>
      <c r="EV71" s="275"/>
      <c r="EW71" s="275"/>
      <c r="EX71" s="275"/>
      <c r="EY71" s="648" t="s">
        <v>117</v>
      </c>
      <c r="EZ71" s="631"/>
      <c r="FA71" s="631"/>
      <c r="FB71" s="636"/>
      <c r="FC71" s="646" t="s">
        <v>128</v>
      </c>
      <c r="FD71" s="647"/>
      <c r="FE71" s="647"/>
      <c r="FF71" s="647"/>
      <c r="FG71" s="646" t="s">
        <v>130</v>
      </c>
      <c r="FH71" s="647"/>
      <c r="FI71" s="647"/>
      <c r="FJ71" s="647"/>
    </row>
    <row r="72" spans="1:166" s="260" customFormat="1" ht="57.6" x14ac:dyDescent="0.3">
      <c r="I72" s="56" t="s">
        <v>132</v>
      </c>
      <c r="J72" s="59">
        <f>SUM(J44:J69)</f>
        <v>5593</v>
      </c>
      <c r="K72" s="59"/>
      <c r="L72" s="59">
        <f>SUM(L44:L69)</f>
        <v>6321</v>
      </c>
      <c r="M72" s="59"/>
      <c r="N72" s="59"/>
      <c r="O72" s="59">
        <f>SUM(O44:O69)</f>
        <v>248</v>
      </c>
      <c r="P72" s="59">
        <f>SUM(P44:P69)</f>
        <v>6569</v>
      </c>
      <c r="Q72" s="59">
        <f>SUM(Q44:Q69)</f>
        <v>75763.097999999998</v>
      </c>
      <c r="R72" s="59"/>
      <c r="S72" s="59">
        <f>SUM(S44:S69)</f>
        <v>113738.16800000001</v>
      </c>
      <c r="T72" s="59"/>
      <c r="U72" s="59"/>
      <c r="V72" s="59">
        <f>SUM(V44:V69)</f>
        <v>122991.03999999999</v>
      </c>
      <c r="W72" s="59">
        <f>SUM(W44:W69)</f>
        <v>236729.20799999998</v>
      </c>
      <c r="AE72" s="294"/>
      <c r="AF72" s="294"/>
      <c r="AG72" s="294"/>
      <c r="AH72" s="294"/>
      <c r="AI72" s="294"/>
      <c r="AJ72" s="294"/>
      <c r="AK72" s="294"/>
      <c r="AL72" s="294"/>
      <c r="AM72" s="294"/>
      <c r="AN72" s="294"/>
      <c r="AO72" s="294"/>
      <c r="AP72" s="294"/>
      <c r="AQ72" s="294"/>
      <c r="AR72" s="294"/>
      <c r="AS72" s="294"/>
      <c r="AT72" s="294"/>
      <c r="AU72" s="294"/>
      <c r="AV72" s="294"/>
      <c r="AW72" s="294"/>
      <c r="AX72" s="269" t="s">
        <v>119</v>
      </c>
      <c r="AY72" s="269">
        <f>AY70/J70</f>
        <v>11657.94375</v>
      </c>
      <c r="AZ72" s="269">
        <f>AZ70/L70</f>
        <v>13049.484487427468</v>
      </c>
      <c r="BA72" s="269">
        <f>BA70/O70</f>
        <v>21646.751046025103</v>
      </c>
      <c r="BB72" s="269">
        <f>BB70/P70</f>
        <v>13758.974608501121</v>
      </c>
      <c r="BI72" s="56" t="s">
        <v>132</v>
      </c>
      <c r="BJ72" s="59">
        <f>SUM(BJ44:BJ69)</f>
        <v>5800</v>
      </c>
      <c r="BK72" s="59"/>
      <c r="BL72" s="59">
        <f>SUM(BL44:BL69)</f>
        <v>6642</v>
      </c>
      <c r="BM72" s="59"/>
      <c r="BN72" s="59"/>
      <c r="BO72" s="59">
        <f>SUM(BO44:BO69)</f>
        <v>394</v>
      </c>
      <c r="BP72" s="59">
        <f>SUM(BP44:BP69)</f>
        <v>7036</v>
      </c>
      <c r="BQ72" s="59">
        <f>SUM(BQ44:BQ69)</f>
        <v>78105.350000000006</v>
      </c>
      <c r="BR72" s="59"/>
      <c r="BS72" s="59">
        <f>SUM(BS44:BS69)</f>
        <v>125919.49999999999</v>
      </c>
      <c r="BT72" s="59"/>
      <c r="BU72" s="59"/>
      <c r="BV72" s="59">
        <f>SUM(BV44:BV69)</f>
        <v>194085.2</v>
      </c>
      <c r="BW72" s="56">
        <f>SUM(BW44:BW69)</f>
        <v>320004.7</v>
      </c>
      <c r="CE72" s="293"/>
      <c r="CF72" s="293"/>
      <c r="CG72" s="293"/>
      <c r="CH72" s="293"/>
      <c r="CI72" s="293"/>
      <c r="CJ72" s="293"/>
      <c r="CK72" s="293"/>
      <c r="CL72" s="293"/>
      <c r="CM72" s="293"/>
      <c r="CN72" s="293"/>
      <c r="CO72" s="293"/>
      <c r="CP72" s="293"/>
      <c r="CQ72" s="293"/>
      <c r="CR72" s="293"/>
      <c r="CS72" s="293"/>
      <c r="CT72" s="293"/>
      <c r="CU72" s="293"/>
      <c r="CV72" s="293"/>
      <c r="CW72" s="293"/>
      <c r="CX72" s="238" t="s">
        <v>119</v>
      </c>
      <c r="CY72" s="238">
        <f>CY70/BJ70</f>
        <v>12267.701639380051</v>
      </c>
      <c r="CZ72" s="238">
        <f>CZ70/BL70</f>
        <v>11256.908284753366</v>
      </c>
      <c r="DA72" s="238">
        <f>DA70/BO70</f>
        <v>18281.760423280422</v>
      </c>
      <c r="DB72" s="238">
        <f>DB70/BP70</f>
        <v>11354.102218265605</v>
      </c>
      <c r="DI72" s="56" t="s">
        <v>132</v>
      </c>
      <c r="DJ72" s="59">
        <f>SUM(DJ44:DJ69)</f>
        <v>5879</v>
      </c>
      <c r="DK72" s="59"/>
      <c r="DL72" s="59">
        <f>SUM(DL44:DL69)</f>
        <v>6548</v>
      </c>
      <c r="DM72" s="59"/>
      <c r="DN72" s="59"/>
      <c r="DO72" s="59">
        <f>SUM(DO44:DO69)</f>
        <v>290</v>
      </c>
      <c r="DP72" s="59">
        <f>SUM(DP44:DP69)</f>
        <v>6838</v>
      </c>
      <c r="DQ72" s="59">
        <f>SUM(DQ44:DQ69)</f>
        <v>78845.464999999997</v>
      </c>
      <c r="DR72" s="59"/>
      <c r="DS72" s="59">
        <f>SUM(DS44:DS69)</f>
        <v>118003.97499999998</v>
      </c>
      <c r="DT72" s="59"/>
      <c r="DU72" s="59"/>
      <c r="DV72" s="59">
        <f>SUM(DV44:DV69)</f>
        <v>112116.04</v>
      </c>
      <c r="DW72" s="59">
        <f>SUM(DW44:DW69)</f>
        <v>230120.01500000001</v>
      </c>
      <c r="EE72" s="298"/>
      <c r="EF72" s="298"/>
      <c r="EG72" s="298"/>
      <c r="EH72" s="298"/>
      <c r="EI72" s="298"/>
      <c r="EJ72" s="298"/>
      <c r="EK72" s="298"/>
      <c r="EL72" s="298"/>
      <c r="EM72" s="298"/>
      <c r="EN72" s="298"/>
      <c r="EO72" s="298"/>
      <c r="EP72" s="298"/>
      <c r="EQ72" s="298"/>
      <c r="ER72" s="298"/>
      <c r="ES72" s="298"/>
      <c r="ET72" s="298"/>
      <c r="EU72" s="298"/>
      <c r="EV72" s="298"/>
      <c r="EW72" s="298"/>
      <c r="EX72" s="273" t="s">
        <v>119</v>
      </c>
      <c r="EY72" s="273">
        <f>EY70/DJ70</f>
        <v>12261.237104557642</v>
      </c>
      <c r="EZ72" s="273">
        <f>EZ70/DL70</f>
        <v>11296.832944625407</v>
      </c>
      <c r="FA72" s="273">
        <f>FA70/DO70</f>
        <v>24323.258037037042</v>
      </c>
      <c r="FB72" s="273">
        <f>FB70/DP70</f>
        <v>11340.701079166669</v>
      </c>
      <c r="FC72" s="301">
        <f>(CY72*$FE$6*$FF$6+EY72*$FF$6+AY72)/3*$FG$6*$FH$6</f>
        <v>13606.23719876685</v>
      </c>
      <c r="FD72" s="301">
        <f t="shared" ref="FD72" si="179">(CZ72*$FE$6*$FF$6+EZ72*$FF$6+AZ72)/3*$FG$6*$FH$6</f>
        <v>13344.422663703079</v>
      </c>
      <c r="FE72" s="301">
        <f t="shared" ref="FE72" si="180">(DA72*$FE$6*$FF$6+FA72*$FF$6+BA72)/3*$FG$6*$FH$6</f>
        <v>24053.777436033219</v>
      </c>
      <c r="FF72" s="301">
        <f t="shared" ref="FF72" si="181">(DB72*$FE$6*$FF$6+FB72*$FF$6+BB72)/3*$FG$6*$FH$6</f>
        <v>13653.420348047652</v>
      </c>
      <c r="FG72" s="308">
        <f>FC72*(J72+BJ72+DJ72)/(Q72+BQ72+DQ72)</f>
        <v>1009.8533683162341</v>
      </c>
      <c r="FH72" s="308">
        <f>FD72*(L72+BL72+DL72)/(S72+BS72+DS72)</f>
        <v>727.95905204604446</v>
      </c>
      <c r="FI72" s="308">
        <f>FE72*(O72+BO72+DO72)/(V72+BV72+DV72)</f>
        <v>52.233280082258148</v>
      </c>
      <c r="FJ72" s="308">
        <f>FF72*(P72+BP72+DP72)/(W72+BW72+DW72)</f>
        <v>354.72514531154991</v>
      </c>
    </row>
    <row r="73" spans="1:166" s="260" customFormat="1" ht="43.2" x14ac:dyDescent="0.3">
      <c r="AE73" s="294"/>
      <c r="AF73" s="294"/>
      <c r="AG73" s="294"/>
      <c r="AH73" s="294"/>
      <c r="AI73" s="294"/>
      <c r="AJ73" s="294"/>
      <c r="AK73" s="294"/>
      <c r="AL73" s="294"/>
      <c r="AM73" s="294"/>
      <c r="AN73" s="294"/>
      <c r="AO73" s="294"/>
      <c r="AP73" s="294"/>
      <c r="AQ73" s="294"/>
      <c r="AR73" s="294"/>
      <c r="AS73" s="294"/>
      <c r="AT73" s="294"/>
      <c r="AU73" s="294"/>
      <c r="AV73" s="294"/>
      <c r="AW73" s="294"/>
      <c r="AX73" s="269" t="s">
        <v>120</v>
      </c>
      <c r="AY73" s="269">
        <f>AY70/Q70</f>
        <v>862.69024812776684</v>
      </c>
      <c r="AZ73" s="269">
        <f>AZ70/S70</f>
        <v>812.91025523993812</v>
      </c>
      <c r="BA73" s="269">
        <f>BA70/V70</f>
        <v>43.200579272834403</v>
      </c>
      <c r="BB73" s="269">
        <f>BB70/W70</f>
        <v>399.18626043335468</v>
      </c>
      <c r="CE73" s="293"/>
      <c r="CF73" s="293"/>
      <c r="CG73" s="293"/>
      <c r="CH73" s="293"/>
      <c r="CI73" s="293"/>
      <c r="CJ73" s="293"/>
      <c r="CK73" s="293"/>
      <c r="CL73" s="293"/>
      <c r="CM73" s="293"/>
      <c r="CN73" s="293"/>
      <c r="CO73" s="293"/>
      <c r="CP73" s="293"/>
      <c r="CQ73" s="293"/>
      <c r="CR73" s="293"/>
      <c r="CS73" s="293"/>
      <c r="CT73" s="293"/>
      <c r="CU73" s="293"/>
      <c r="CV73" s="293"/>
      <c r="CW73" s="293"/>
      <c r="CX73" s="238" t="s">
        <v>120</v>
      </c>
      <c r="CY73" s="238">
        <f>CY70/BQ70</f>
        <v>943.59409497504555</v>
      </c>
      <c r="CZ73" s="238">
        <f>CZ70/BS70</f>
        <v>682.26004348564652</v>
      </c>
      <c r="DA73" s="238">
        <f>DA70/BV70</f>
        <v>36.533907118674172</v>
      </c>
      <c r="DB73" s="238">
        <f>DB70/BW70</f>
        <v>272.81824605465476</v>
      </c>
      <c r="EE73" s="298"/>
      <c r="EF73" s="298"/>
      <c r="EG73" s="298"/>
      <c r="EH73" s="298"/>
      <c r="EI73" s="298"/>
      <c r="EJ73" s="298"/>
      <c r="EK73" s="298"/>
      <c r="EL73" s="298"/>
      <c r="EM73" s="298"/>
      <c r="EN73" s="298"/>
      <c r="EO73" s="298"/>
      <c r="EP73" s="298"/>
      <c r="EQ73" s="298"/>
      <c r="ER73" s="298"/>
      <c r="ES73" s="298"/>
      <c r="ET73" s="298"/>
      <c r="EU73" s="298"/>
      <c r="EV73" s="298"/>
      <c r="EW73" s="298"/>
      <c r="EX73" s="273" t="s">
        <v>120</v>
      </c>
      <c r="EY73" s="273">
        <f>EY70/DQ70</f>
        <v>864.12406815208101</v>
      </c>
      <c r="EZ73" s="273">
        <f>EZ70/DS70</f>
        <v>688.46039166024877</v>
      </c>
      <c r="FA73" s="273">
        <f>FA70/DV70</f>
        <v>61.695857074626744</v>
      </c>
      <c r="FB73" s="273">
        <f>FB70/DW70</f>
        <v>349.54127745933005</v>
      </c>
      <c r="FC73" s="649" t="s">
        <v>126</v>
      </c>
      <c r="FD73" s="647"/>
      <c r="FE73" s="647"/>
      <c r="FF73" s="647"/>
      <c r="FG73" s="646" t="s">
        <v>131</v>
      </c>
      <c r="FH73" s="647"/>
      <c r="FI73" s="647"/>
      <c r="FJ73" s="647"/>
    </row>
    <row r="74" spans="1:166" s="46" customFormat="1" ht="49.5" customHeight="1" x14ac:dyDescent="0.3">
      <c r="FC74" s="300">
        <f>FC41+FC72</f>
        <v>25406.43610288321</v>
      </c>
      <c r="FD74" s="300">
        <f t="shared" ref="FD74:FF74" si="182">FD41+FD72</f>
        <v>26074.460761826122</v>
      </c>
      <c r="FE74" s="300">
        <f t="shared" si="182"/>
        <v>44260.601284984281</v>
      </c>
      <c r="FF74" s="300">
        <f t="shared" si="182"/>
        <v>26511.874718117608</v>
      </c>
      <c r="FG74" s="309">
        <f>FG41+FG72</f>
        <v>1885.7607304117798</v>
      </c>
      <c r="FH74" s="309">
        <f t="shared" ref="FH74:FJ74" si="183">FH41+FH72</f>
        <v>1422.3290084117571</v>
      </c>
      <c r="FI74" s="309">
        <f t="shared" si="183"/>
        <v>96.166939730279552</v>
      </c>
      <c r="FJ74" s="309">
        <f t="shared" si="183"/>
        <v>689.14195079127251</v>
      </c>
    </row>
  </sheetData>
  <customSheetViews>
    <customSheetView guid="{9528F918-98F0-45FD-BE58-081CB6B26C60}" scale="70" state="hidden" topLeftCell="A4">
      <pane xSplit="2" ySplit="9" topLeftCell="D13" activePane="bottomRight" state="frozen"/>
      <selection pane="bottomRight" activeCell="S40" sqref="S40"/>
      <pageMargins left="0.7" right="0.7" top="0.75" bottom="0.75" header="0.3" footer="0.3"/>
      <pageSetup paperSize="9" orientation="portrait" verticalDpi="0" r:id="rId1"/>
    </customSheetView>
    <customSheetView guid="{512A30C0-C237-4A61-86DC-72786D6F25C2}" scale="70" state="hidden" topLeftCell="A4">
      <pane xSplit="2" ySplit="9" topLeftCell="D13" activePane="bottomRight" state="frozen"/>
      <selection pane="bottomRight" activeCell="S40" sqref="S40"/>
      <pageMargins left="0.7" right="0.7" top="0.75" bottom="0.75" header="0.3" footer="0.3"/>
      <pageSetup paperSize="9" orientation="portrait" verticalDpi="0" r:id="rId2"/>
    </customSheetView>
    <customSheetView guid="{0CB0DA52-F445-4927-9AA2-C71984857A40}" scale="70" state="hidden" topLeftCell="A4">
      <pane xSplit="2" ySplit="9" topLeftCell="D13" activePane="bottomRight" state="frozen"/>
      <selection pane="bottomRight" activeCell="S40" sqref="S40"/>
      <pageMargins left="0.7" right="0.7" top="0.75" bottom="0.75" header="0.3" footer="0.3"/>
      <pageSetup paperSize="9" orientation="portrait" verticalDpi="0" r:id="rId3"/>
    </customSheetView>
    <customSheetView guid="{6BDD9E66-BFEF-437C-92D4-C3942BAB2C45}" scale="70" state="hidden" topLeftCell="A4">
      <pane xSplit="2" ySplit="9" topLeftCell="D13" activePane="bottomRight" state="frozen"/>
      <selection pane="bottomRight" activeCell="S40" sqref="S40"/>
      <pageMargins left="0.7" right="0.7" top="0.75" bottom="0.75" header="0.3" footer="0.3"/>
      <pageSetup paperSize="9" orientation="portrait" verticalDpi="0" r:id="rId4"/>
    </customSheetView>
    <customSheetView guid="{0ED4EF63-5D08-4DEB-B312-C0FBC2C39F95}" scale="70" state="hidden" topLeftCell="A4">
      <pane xSplit="2" ySplit="9" topLeftCell="D13" activePane="bottomRight" state="frozen"/>
      <selection pane="bottomRight" activeCell="S40" sqref="S40"/>
      <pageMargins left="0.7" right="0.7" top="0.75" bottom="0.75" header="0.3" footer="0.3"/>
      <pageSetup paperSize="9" orientation="portrait" verticalDpi="0" r:id="rId5"/>
    </customSheetView>
    <customSheetView guid="{D39D4E7D-6C3D-47CF-BFE2-CDFE67B11C85}" scale="70" state="hidden" topLeftCell="A4">
      <pane xSplit="2" ySplit="9" topLeftCell="D13" activePane="bottomRight" state="frozen"/>
      <selection pane="bottomRight" activeCell="S40" sqref="S40"/>
      <pageMargins left="0.7" right="0.7" top="0.75" bottom="0.75" header="0.3" footer="0.3"/>
      <pageSetup paperSize="9" orientation="portrait" verticalDpi="0" r:id="rId6"/>
    </customSheetView>
  </customSheetViews>
  <mergeCells count="57">
    <mergeCell ref="DC8:ED8"/>
    <mergeCell ref="DX9:ED9"/>
    <mergeCell ref="DX39:ED39"/>
    <mergeCell ref="DX70:ED70"/>
    <mergeCell ref="EE9:EH9"/>
    <mergeCell ref="EE8:FB8"/>
    <mergeCell ref="EY9:FB9"/>
    <mergeCell ref="EU9:EX9"/>
    <mergeCell ref="EQ9:ET9"/>
    <mergeCell ref="EI9:EL9"/>
    <mergeCell ref="EY40:FB40"/>
    <mergeCell ref="FD4:FH4"/>
    <mergeCell ref="FC9:FF9"/>
    <mergeCell ref="FC71:FF71"/>
    <mergeCell ref="AM9:AP9"/>
    <mergeCell ref="AQ9:AT9"/>
    <mergeCell ref="AU9:AX9"/>
    <mergeCell ref="AY71:BB71"/>
    <mergeCell ref="AY40:BB40"/>
    <mergeCell ref="BC8:CD8"/>
    <mergeCell ref="BX9:CD9"/>
    <mergeCell ref="BQ9:BW9"/>
    <mergeCell ref="BJ9:BP9"/>
    <mergeCell ref="BC9:BI9"/>
    <mergeCell ref="BX70:CD70"/>
    <mergeCell ref="BX39:CD39"/>
    <mergeCell ref="CY71:DB71"/>
    <mergeCell ref="FG73:FJ73"/>
    <mergeCell ref="EY71:FB71"/>
    <mergeCell ref="FC73:FF73"/>
    <mergeCell ref="FG9:FJ9"/>
    <mergeCell ref="AE8:BA8"/>
    <mergeCell ref="CE8:DA8"/>
    <mergeCell ref="AE9:AH9"/>
    <mergeCell ref="AY9:BA9"/>
    <mergeCell ref="DQ9:DW9"/>
    <mergeCell ref="EM9:EO9"/>
    <mergeCell ref="FC40:FE40"/>
    <mergeCell ref="FG40:FJ40"/>
    <mergeCell ref="FG71:FJ71"/>
    <mergeCell ref="CY40:DB40"/>
    <mergeCell ref="CY9:DB9"/>
    <mergeCell ref="CU9:CX9"/>
    <mergeCell ref="C9:I9"/>
    <mergeCell ref="J9:P9"/>
    <mergeCell ref="Q9:W9"/>
    <mergeCell ref="C8:AD8"/>
    <mergeCell ref="X9:AD9"/>
    <mergeCell ref="X39:AD39"/>
    <mergeCell ref="X70:AD70"/>
    <mergeCell ref="AI9:AL9"/>
    <mergeCell ref="DC9:DI9"/>
    <mergeCell ref="DJ9:DP9"/>
    <mergeCell ref="CQ9:CT9"/>
    <mergeCell ref="CM9:CP9"/>
    <mergeCell ref="CE9:CH9"/>
    <mergeCell ref="CI9:CL9"/>
  </mergeCells>
  <pageMargins left="0.7" right="0.7" top="0.75" bottom="0.75" header="0.3" footer="0.3"/>
  <pageSetup paperSize="9" orientation="portrait" verticalDpi="0" r:id="rId7"/>
  <legacyDrawing r:id="rId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U65"/>
  <sheetViews>
    <sheetView zoomScale="80" zoomScaleNormal="6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C23" sqref="C23"/>
    </sheetView>
  </sheetViews>
  <sheetFormatPr defaultColWidth="19.44140625" defaultRowHeight="14.4" x14ac:dyDescent="0.3"/>
  <cols>
    <col min="1" max="1" width="7.44140625" style="6" customWidth="1"/>
    <col min="2" max="2" width="32.44140625" style="6" customWidth="1"/>
    <col min="3" max="16384" width="19.44140625" style="6"/>
  </cols>
  <sheetData>
    <row r="1" spans="1:125" x14ac:dyDescent="0.3">
      <c r="F1" s="3" t="s">
        <v>31</v>
      </c>
      <c r="G1" s="3"/>
      <c r="L1" s="3"/>
      <c r="M1" s="3"/>
      <c r="O1" s="3"/>
      <c r="P1" s="3"/>
    </row>
    <row r="2" spans="1:125" x14ac:dyDescent="0.3">
      <c r="F2" s="3" t="s">
        <v>32</v>
      </c>
      <c r="G2" s="3"/>
      <c r="L2" s="3"/>
      <c r="M2" s="3"/>
      <c r="O2" s="3"/>
      <c r="P2" s="3"/>
    </row>
    <row r="3" spans="1:125" x14ac:dyDescent="0.3">
      <c r="F3" s="3" t="s">
        <v>33</v>
      </c>
      <c r="G3" s="3"/>
      <c r="L3" s="3"/>
      <c r="M3" s="3"/>
      <c r="O3" s="3"/>
      <c r="P3" s="3"/>
    </row>
    <row r="4" spans="1:125" x14ac:dyDescent="0.3">
      <c r="F4" s="3" t="s">
        <v>34</v>
      </c>
      <c r="G4" s="3"/>
      <c r="L4" s="3"/>
      <c r="M4" s="3"/>
      <c r="O4" s="3"/>
      <c r="P4" s="3"/>
    </row>
    <row r="5" spans="1:125" x14ac:dyDescent="0.3">
      <c r="F5" s="3" t="s">
        <v>35</v>
      </c>
      <c r="G5" s="3"/>
      <c r="L5" s="3"/>
      <c r="M5" s="3"/>
      <c r="O5" s="3"/>
      <c r="P5" s="3"/>
    </row>
    <row r="6" spans="1:125" x14ac:dyDescent="0.3">
      <c r="F6" s="3"/>
      <c r="G6" s="3"/>
      <c r="L6" s="3"/>
      <c r="M6" s="3"/>
      <c r="O6" s="3"/>
      <c r="P6" s="3"/>
    </row>
    <row r="7" spans="1:125" ht="15" thickBot="1" x14ac:dyDescent="0.35">
      <c r="CT7" s="14"/>
      <c r="DJ7" s="15" t="s">
        <v>36</v>
      </c>
      <c r="DK7" s="15"/>
      <c r="DL7" s="15"/>
      <c r="DM7" s="15"/>
      <c r="DN7" s="15"/>
      <c r="DO7" s="15"/>
      <c r="DP7" s="15"/>
      <c r="DQ7" s="15"/>
      <c r="DR7" s="15"/>
      <c r="DS7" s="15"/>
    </row>
    <row r="8" spans="1:125" ht="15" thickBot="1" x14ac:dyDescent="0.35">
      <c r="C8" s="687" t="s">
        <v>93</v>
      </c>
      <c r="D8" s="688"/>
      <c r="E8" s="688"/>
      <c r="F8" s="688"/>
      <c r="G8" s="688"/>
      <c r="H8" s="688"/>
      <c r="I8" s="688"/>
      <c r="J8" s="688"/>
      <c r="K8" s="688"/>
      <c r="L8" s="688"/>
      <c r="M8" s="688"/>
      <c r="N8" s="688"/>
      <c r="O8" s="688"/>
      <c r="P8" s="688"/>
      <c r="Q8" s="688"/>
      <c r="R8" s="689"/>
      <c r="S8" s="690" t="s">
        <v>94</v>
      </c>
      <c r="T8" s="691"/>
      <c r="U8" s="691"/>
      <c r="V8" s="691"/>
      <c r="W8" s="691"/>
      <c r="X8" s="691"/>
      <c r="Y8" s="691"/>
      <c r="Z8" s="691"/>
      <c r="AA8" s="691"/>
      <c r="AB8" s="691"/>
      <c r="AC8" s="691"/>
      <c r="AD8" s="691"/>
      <c r="AE8" s="691"/>
      <c r="AF8" s="691"/>
      <c r="AG8" s="691"/>
      <c r="AH8" s="692"/>
      <c r="AI8" s="89"/>
      <c r="AJ8" s="89"/>
      <c r="AK8" s="89"/>
      <c r="AL8" s="89"/>
      <c r="AM8" s="89"/>
      <c r="AN8" s="89"/>
      <c r="AO8" s="89"/>
      <c r="AP8" s="89"/>
      <c r="AQ8" s="693" t="s">
        <v>89</v>
      </c>
      <c r="AR8" s="694"/>
      <c r="AS8" s="694"/>
      <c r="AT8" s="694"/>
      <c r="AU8" s="694"/>
      <c r="AV8" s="694"/>
      <c r="AW8" s="694"/>
      <c r="AX8" s="694"/>
      <c r="AY8" s="694"/>
      <c r="AZ8" s="694"/>
      <c r="BA8" s="694"/>
      <c r="BB8" s="694"/>
      <c r="BC8" s="694"/>
      <c r="BD8" s="694"/>
      <c r="BE8" s="694"/>
      <c r="BF8" s="695"/>
      <c r="BG8" s="690" t="s">
        <v>90</v>
      </c>
      <c r="BH8" s="691"/>
      <c r="BI8" s="691"/>
      <c r="BJ8" s="691"/>
      <c r="BK8" s="691"/>
      <c r="BL8" s="691"/>
      <c r="BM8" s="691"/>
      <c r="BN8" s="691"/>
      <c r="BO8" s="691"/>
      <c r="BP8" s="691"/>
      <c r="BQ8" s="691"/>
      <c r="BR8" s="691"/>
      <c r="BS8" s="691"/>
      <c r="BT8" s="691"/>
      <c r="BU8" s="691"/>
      <c r="BV8" s="692"/>
      <c r="BW8" s="210"/>
      <c r="BX8" s="210"/>
      <c r="BY8" s="210"/>
      <c r="BZ8" s="210"/>
      <c r="CA8" s="210"/>
      <c r="CB8" s="210"/>
      <c r="CC8" s="210"/>
      <c r="CD8" s="210"/>
      <c r="CE8" s="698" t="s">
        <v>91</v>
      </c>
      <c r="CF8" s="699"/>
      <c r="CG8" s="699"/>
      <c r="CH8" s="699"/>
      <c r="CI8" s="699"/>
      <c r="CJ8" s="699"/>
      <c r="CK8" s="699"/>
      <c r="CL8" s="699"/>
      <c r="CM8" s="699"/>
      <c r="CN8" s="699"/>
      <c r="CO8" s="699"/>
      <c r="CP8" s="699"/>
      <c r="CQ8" s="699"/>
      <c r="CR8" s="699"/>
      <c r="CS8" s="699"/>
      <c r="CT8" s="700"/>
      <c r="CU8" s="690" t="s">
        <v>92</v>
      </c>
      <c r="CV8" s="691"/>
      <c r="CW8" s="691"/>
      <c r="CX8" s="691"/>
      <c r="CY8" s="691"/>
      <c r="CZ8" s="691"/>
      <c r="DA8" s="691"/>
      <c r="DB8" s="691"/>
      <c r="DC8" s="691"/>
      <c r="DD8" s="691"/>
      <c r="DE8" s="691"/>
      <c r="DF8" s="691"/>
      <c r="DG8" s="691"/>
      <c r="DH8" s="691"/>
      <c r="DI8" s="691"/>
      <c r="DJ8" s="692"/>
      <c r="DK8" s="220"/>
      <c r="DL8" s="220"/>
      <c r="DM8" s="220"/>
      <c r="DN8" s="220"/>
      <c r="DO8" s="220"/>
      <c r="DP8" s="220"/>
      <c r="DQ8" s="220"/>
      <c r="DR8" s="220"/>
      <c r="DS8" s="220"/>
    </row>
    <row r="9" spans="1:125" ht="15.75" customHeight="1" thickBot="1" x14ac:dyDescent="0.35">
      <c r="A9" s="16" t="s">
        <v>0</v>
      </c>
      <c r="B9" s="17" t="s">
        <v>37</v>
      </c>
      <c r="C9" s="680" t="s">
        <v>38</v>
      </c>
      <c r="D9" s="681"/>
      <c r="E9" s="681"/>
      <c r="F9" s="682"/>
      <c r="G9" s="680" t="s">
        <v>39</v>
      </c>
      <c r="H9" s="681"/>
      <c r="I9" s="681"/>
      <c r="J9" s="682"/>
      <c r="K9" s="680" t="s">
        <v>40</v>
      </c>
      <c r="L9" s="681"/>
      <c r="M9" s="681"/>
      <c r="N9" s="682"/>
      <c r="O9" s="680" t="s">
        <v>88</v>
      </c>
      <c r="P9" s="681"/>
      <c r="Q9" s="681"/>
      <c r="R9" s="682"/>
      <c r="S9" s="683" t="s">
        <v>39</v>
      </c>
      <c r="T9" s="684"/>
      <c r="U9" s="683" t="s">
        <v>69</v>
      </c>
      <c r="V9" s="684"/>
      <c r="W9" s="683" t="s">
        <v>72</v>
      </c>
      <c r="X9" s="684"/>
      <c r="Y9" s="683" t="s">
        <v>73</v>
      </c>
      <c r="Z9" s="684"/>
      <c r="AA9" s="683" t="s">
        <v>74</v>
      </c>
      <c r="AB9" s="684"/>
      <c r="AC9" s="697" t="s">
        <v>75</v>
      </c>
      <c r="AD9" s="684"/>
      <c r="AE9" s="683" t="s">
        <v>76</v>
      </c>
      <c r="AF9" s="697"/>
      <c r="AG9" s="685" t="s">
        <v>88</v>
      </c>
      <c r="AH9" s="686"/>
      <c r="AI9" s="218" t="s">
        <v>81</v>
      </c>
      <c r="AJ9" s="218" t="s">
        <v>82</v>
      </c>
      <c r="AK9" s="218" t="s">
        <v>79</v>
      </c>
      <c r="AL9" s="218" t="s">
        <v>80</v>
      </c>
      <c r="AM9" s="218" t="s">
        <v>74</v>
      </c>
      <c r="AN9" s="218" t="s">
        <v>75</v>
      </c>
      <c r="AO9" s="218" t="s">
        <v>76</v>
      </c>
      <c r="AP9" s="218"/>
      <c r="AQ9" s="680" t="s">
        <v>38</v>
      </c>
      <c r="AR9" s="681"/>
      <c r="AS9" s="681"/>
      <c r="AT9" s="682"/>
      <c r="AU9" s="680" t="s">
        <v>39</v>
      </c>
      <c r="AV9" s="681"/>
      <c r="AW9" s="681"/>
      <c r="AX9" s="682"/>
      <c r="AY9" s="680" t="s">
        <v>40</v>
      </c>
      <c r="AZ9" s="681"/>
      <c r="BA9" s="681"/>
      <c r="BB9" s="682"/>
      <c r="BC9" s="680" t="s">
        <v>41</v>
      </c>
      <c r="BD9" s="681"/>
      <c r="BE9" s="681"/>
      <c r="BF9" s="682"/>
      <c r="BG9" s="683" t="s">
        <v>39</v>
      </c>
      <c r="BH9" s="684"/>
      <c r="BI9" s="683" t="s">
        <v>69</v>
      </c>
      <c r="BJ9" s="684"/>
      <c r="BK9" s="683" t="s">
        <v>72</v>
      </c>
      <c r="BL9" s="684"/>
      <c r="BM9" s="683" t="s">
        <v>73</v>
      </c>
      <c r="BN9" s="684"/>
      <c r="BO9" s="683" t="s">
        <v>74</v>
      </c>
      <c r="BP9" s="684"/>
      <c r="BQ9" s="697" t="s">
        <v>75</v>
      </c>
      <c r="BR9" s="684"/>
      <c r="BS9" s="683" t="s">
        <v>76</v>
      </c>
      <c r="BT9" s="697"/>
      <c r="BU9" s="685" t="s">
        <v>41</v>
      </c>
      <c r="BV9" s="686"/>
      <c r="BW9" s="218" t="s">
        <v>81</v>
      </c>
      <c r="BX9" s="218" t="s">
        <v>82</v>
      </c>
      <c r="BY9" s="218" t="s">
        <v>79</v>
      </c>
      <c r="BZ9" s="218" t="s">
        <v>80</v>
      </c>
      <c r="CA9" s="218" t="s">
        <v>74</v>
      </c>
      <c r="CB9" s="218" t="s">
        <v>75</v>
      </c>
      <c r="CC9" s="218" t="s">
        <v>76</v>
      </c>
      <c r="CD9" s="218"/>
      <c r="CE9" s="680" t="s">
        <v>38</v>
      </c>
      <c r="CF9" s="681"/>
      <c r="CG9" s="681"/>
      <c r="CH9" s="682"/>
      <c r="CI9" s="680" t="s">
        <v>39</v>
      </c>
      <c r="CJ9" s="681"/>
      <c r="CK9" s="681"/>
      <c r="CL9" s="682"/>
      <c r="CM9" s="680" t="s">
        <v>40</v>
      </c>
      <c r="CN9" s="681"/>
      <c r="CO9" s="681"/>
      <c r="CP9" s="682"/>
      <c r="CQ9" s="680" t="s">
        <v>42</v>
      </c>
      <c r="CR9" s="681"/>
      <c r="CS9" s="681"/>
      <c r="CT9" s="682"/>
      <c r="CU9" s="683" t="s">
        <v>39</v>
      </c>
      <c r="CV9" s="684"/>
      <c r="CW9" s="683" t="s">
        <v>69</v>
      </c>
      <c r="CX9" s="684"/>
      <c r="CY9" s="683" t="s">
        <v>72</v>
      </c>
      <c r="CZ9" s="684"/>
      <c r="DA9" s="683" t="s">
        <v>73</v>
      </c>
      <c r="DB9" s="684"/>
      <c r="DC9" s="683" t="s">
        <v>74</v>
      </c>
      <c r="DD9" s="684"/>
      <c r="DE9" s="697" t="s">
        <v>75</v>
      </c>
      <c r="DF9" s="684"/>
      <c r="DG9" s="683" t="s">
        <v>76</v>
      </c>
      <c r="DH9" s="697"/>
      <c r="DI9" s="685" t="s">
        <v>42</v>
      </c>
      <c r="DJ9" s="686"/>
      <c r="DK9" s="218" t="s">
        <v>81</v>
      </c>
      <c r="DL9" s="218" t="s">
        <v>82</v>
      </c>
      <c r="DM9" s="218" t="s">
        <v>79</v>
      </c>
      <c r="DN9" s="218" t="s">
        <v>80</v>
      </c>
      <c r="DO9" s="218" t="s">
        <v>74</v>
      </c>
      <c r="DP9" s="218" t="s">
        <v>75</v>
      </c>
      <c r="DQ9" s="218" t="s">
        <v>76</v>
      </c>
      <c r="DR9" s="223"/>
      <c r="DS9" s="696" t="s">
        <v>78</v>
      </c>
      <c r="DT9" s="696"/>
      <c r="DU9" s="696"/>
    </row>
    <row r="10" spans="1:125" ht="15" thickBot="1" x14ac:dyDescent="0.35">
      <c r="A10" s="18"/>
      <c r="B10" s="22"/>
      <c r="C10" s="10" t="s">
        <v>63</v>
      </c>
      <c r="D10" s="11" t="s">
        <v>65</v>
      </c>
      <c r="E10" s="11" t="s">
        <v>64</v>
      </c>
      <c r="F10" s="25" t="s">
        <v>66</v>
      </c>
      <c r="G10" s="10" t="s">
        <v>63</v>
      </c>
      <c r="H10" s="11" t="s">
        <v>65</v>
      </c>
      <c r="I10" s="11" t="s">
        <v>64</v>
      </c>
      <c r="J10" s="12" t="s">
        <v>66</v>
      </c>
      <c r="K10" s="10" t="s">
        <v>63</v>
      </c>
      <c r="L10" s="11" t="s">
        <v>65</v>
      </c>
      <c r="M10" s="11" t="s">
        <v>64</v>
      </c>
      <c r="N10" s="12" t="s">
        <v>66</v>
      </c>
      <c r="O10" s="4" t="s">
        <v>63</v>
      </c>
      <c r="P10" s="23" t="s">
        <v>65</v>
      </c>
      <c r="Q10" s="23" t="s">
        <v>64</v>
      </c>
      <c r="R10" s="24" t="s">
        <v>66</v>
      </c>
      <c r="S10" s="11" t="s">
        <v>70</v>
      </c>
      <c r="T10" s="11" t="s">
        <v>71</v>
      </c>
      <c r="U10" s="11" t="s">
        <v>70</v>
      </c>
      <c r="V10" s="11" t="s">
        <v>71</v>
      </c>
      <c r="W10" s="11" t="s">
        <v>70</v>
      </c>
      <c r="X10" s="11" t="s">
        <v>71</v>
      </c>
      <c r="Y10" s="11" t="s">
        <v>70</v>
      </c>
      <c r="Z10" s="11" t="s">
        <v>71</v>
      </c>
      <c r="AA10" s="11" t="s">
        <v>70</v>
      </c>
      <c r="AB10" s="11" t="s">
        <v>71</v>
      </c>
      <c r="AC10" s="11" t="s">
        <v>70</v>
      </c>
      <c r="AD10" s="11" t="s">
        <v>71</v>
      </c>
      <c r="AE10" s="11" t="s">
        <v>70</v>
      </c>
      <c r="AF10" s="11" t="s">
        <v>71</v>
      </c>
      <c r="AG10" s="11" t="s">
        <v>70</v>
      </c>
      <c r="AH10" s="11" t="s">
        <v>71</v>
      </c>
      <c r="AI10" s="11" t="s">
        <v>84</v>
      </c>
      <c r="AJ10" s="11" t="s">
        <v>84</v>
      </c>
      <c r="AK10" s="11" t="s">
        <v>84</v>
      </c>
      <c r="AL10" s="11" t="s">
        <v>84</v>
      </c>
      <c r="AM10" s="11" t="s">
        <v>84</v>
      </c>
      <c r="AN10" s="11" t="s">
        <v>84</v>
      </c>
      <c r="AO10" s="11" t="s">
        <v>84</v>
      </c>
      <c r="AP10" s="11" t="s">
        <v>84</v>
      </c>
      <c r="AQ10" s="10" t="s">
        <v>63</v>
      </c>
      <c r="AR10" s="11" t="s">
        <v>65</v>
      </c>
      <c r="AS10" s="11" t="s">
        <v>64</v>
      </c>
      <c r="AT10" s="12" t="s">
        <v>66</v>
      </c>
      <c r="AU10" s="10" t="s">
        <v>63</v>
      </c>
      <c r="AV10" s="11" t="s">
        <v>65</v>
      </c>
      <c r="AW10" s="11" t="s">
        <v>64</v>
      </c>
      <c r="AX10" s="12" t="s">
        <v>66</v>
      </c>
      <c r="AY10" s="10" t="s">
        <v>63</v>
      </c>
      <c r="AZ10" s="11" t="s">
        <v>65</v>
      </c>
      <c r="BA10" s="11" t="s">
        <v>64</v>
      </c>
      <c r="BB10" s="12" t="s">
        <v>66</v>
      </c>
      <c r="BC10" s="10" t="s">
        <v>63</v>
      </c>
      <c r="BD10" s="11" t="s">
        <v>65</v>
      </c>
      <c r="BE10" s="11" t="s">
        <v>64</v>
      </c>
      <c r="BF10" s="12" t="s">
        <v>66</v>
      </c>
      <c r="BG10" s="11" t="s">
        <v>70</v>
      </c>
      <c r="BH10" s="11" t="s">
        <v>71</v>
      </c>
      <c r="BI10" s="11" t="s">
        <v>70</v>
      </c>
      <c r="BJ10" s="11" t="s">
        <v>71</v>
      </c>
      <c r="BK10" s="11" t="s">
        <v>70</v>
      </c>
      <c r="BL10" s="11" t="s">
        <v>71</v>
      </c>
      <c r="BM10" s="11" t="s">
        <v>70</v>
      </c>
      <c r="BN10" s="11" t="s">
        <v>71</v>
      </c>
      <c r="BO10" s="11" t="s">
        <v>70</v>
      </c>
      <c r="BP10" s="11" t="s">
        <v>71</v>
      </c>
      <c r="BQ10" s="11" t="s">
        <v>70</v>
      </c>
      <c r="BR10" s="11" t="s">
        <v>71</v>
      </c>
      <c r="BS10" s="11" t="s">
        <v>70</v>
      </c>
      <c r="BT10" s="11" t="s">
        <v>71</v>
      </c>
      <c r="BU10" s="11" t="s">
        <v>70</v>
      </c>
      <c r="BV10" s="11" t="s">
        <v>71</v>
      </c>
      <c r="BW10" s="11" t="s">
        <v>84</v>
      </c>
      <c r="BX10" s="11" t="s">
        <v>84</v>
      </c>
      <c r="BY10" s="11" t="s">
        <v>84</v>
      </c>
      <c r="BZ10" s="11" t="s">
        <v>84</v>
      </c>
      <c r="CA10" s="11" t="s">
        <v>84</v>
      </c>
      <c r="CB10" s="11" t="s">
        <v>84</v>
      </c>
      <c r="CC10" s="11" t="s">
        <v>84</v>
      </c>
      <c r="CD10" s="11" t="s">
        <v>84</v>
      </c>
      <c r="CE10" s="10" t="s">
        <v>63</v>
      </c>
      <c r="CF10" s="11" t="s">
        <v>65</v>
      </c>
      <c r="CG10" s="11" t="s">
        <v>64</v>
      </c>
      <c r="CH10" s="12" t="s">
        <v>66</v>
      </c>
      <c r="CI10" s="10" t="s">
        <v>63</v>
      </c>
      <c r="CJ10" s="11" t="s">
        <v>65</v>
      </c>
      <c r="CK10" s="11" t="s">
        <v>64</v>
      </c>
      <c r="CL10" s="12" t="s">
        <v>66</v>
      </c>
      <c r="CM10" s="10" t="s">
        <v>63</v>
      </c>
      <c r="CN10" s="11" t="s">
        <v>65</v>
      </c>
      <c r="CO10" s="11" t="s">
        <v>64</v>
      </c>
      <c r="CP10" s="12" t="s">
        <v>66</v>
      </c>
      <c r="CQ10" s="10" t="s">
        <v>63</v>
      </c>
      <c r="CR10" s="11" t="s">
        <v>65</v>
      </c>
      <c r="CS10" s="11" t="s">
        <v>64</v>
      </c>
      <c r="CT10" s="12" t="s">
        <v>66</v>
      </c>
      <c r="CU10" s="11" t="s">
        <v>70</v>
      </c>
      <c r="CV10" s="11" t="s">
        <v>71</v>
      </c>
      <c r="CW10" s="11" t="s">
        <v>70</v>
      </c>
      <c r="CX10" s="11" t="s">
        <v>71</v>
      </c>
      <c r="CY10" s="11" t="s">
        <v>70</v>
      </c>
      <c r="CZ10" s="11" t="s">
        <v>71</v>
      </c>
      <c r="DA10" s="11" t="s">
        <v>70</v>
      </c>
      <c r="DB10" s="11" t="s">
        <v>71</v>
      </c>
      <c r="DC10" s="11" t="s">
        <v>70</v>
      </c>
      <c r="DD10" s="11" t="s">
        <v>71</v>
      </c>
      <c r="DE10" s="11" t="s">
        <v>70</v>
      </c>
      <c r="DF10" s="11" t="s">
        <v>71</v>
      </c>
      <c r="DG10" s="11" t="s">
        <v>70</v>
      </c>
      <c r="DH10" s="11" t="s">
        <v>71</v>
      </c>
      <c r="DI10" s="11" t="s">
        <v>70</v>
      </c>
      <c r="DJ10" s="11" t="s">
        <v>71</v>
      </c>
      <c r="DK10" s="11" t="s">
        <v>84</v>
      </c>
      <c r="DL10" s="11" t="s">
        <v>84</v>
      </c>
      <c r="DM10" s="11" t="s">
        <v>84</v>
      </c>
      <c r="DN10" s="11" t="s">
        <v>84</v>
      </c>
      <c r="DO10" s="11" t="s">
        <v>84</v>
      </c>
      <c r="DP10" s="11" t="s">
        <v>84</v>
      </c>
      <c r="DQ10" s="11" t="s">
        <v>84</v>
      </c>
      <c r="DR10" s="11" t="s">
        <v>84</v>
      </c>
      <c r="DS10" s="11" t="s">
        <v>83</v>
      </c>
      <c r="DT10" s="11" t="s">
        <v>70</v>
      </c>
      <c r="DU10" s="11" t="s">
        <v>71</v>
      </c>
    </row>
    <row r="11" spans="1:125" ht="15" thickBot="1" x14ac:dyDescent="0.35">
      <c r="A11" s="18">
        <v>1</v>
      </c>
      <c r="B11" s="22">
        <v>2</v>
      </c>
      <c r="C11" s="13">
        <v>3</v>
      </c>
      <c r="D11" s="8">
        <v>4</v>
      </c>
      <c r="E11" s="8">
        <v>5</v>
      </c>
      <c r="F11" s="8">
        <v>6</v>
      </c>
      <c r="G11" s="8">
        <v>7</v>
      </c>
      <c r="H11" s="8">
        <v>8</v>
      </c>
      <c r="I11" s="8">
        <v>9</v>
      </c>
      <c r="J11" s="8">
        <v>10</v>
      </c>
      <c r="K11" s="8">
        <v>11</v>
      </c>
      <c r="L11" s="8">
        <v>12</v>
      </c>
      <c r="M11" s="8">
        <v>13</v>
      </c>
      <c r="N11" s="8">
        <v>14</v>
      </c>
      <c r="O11" s="8">
        <v>15</v>
      </c>
      <c r="P11" s="8">
        <v>16</v>
      </c>
      <c r="Q11" s="8">
        <v>17</v>
      </c>
      <c r="R11" s="8">
        <v>18</v>
      </c>
      <c r="S11" s="8">
        <v>19</v>
      </c>
      <c r="T11" s="8">
        <v>20</v>
      </c>
      <c r="U11" s="8">
        <v>21</v>
      </c>
      <c r="V11" s="8">
        <v>22</v>
      </c>
      <c r="W11" s="8">
        <v>23</v>
      </c>
      <c r="X11" s="8">
        <v>24</v>
      </c>
      <c r="Y11" s="8">
        <v>25</v>
      </c>
      <c r="Z11" s="8">
        <v>26</v>
      </c>
      <c r="AA11" s="8">
        <v>27</v>
      </c>
      <c r="AB11" s="8">
        <v>28</v>
      </c>
      <c r="AC11" s="8">
        <v>29</v>
      </c>
      <c r="AD11" s="8">
        <v>30</v>
      </c>
      <c r="AE11" s="8">
        <v>31</v>
      </c>
      <c r="AF11" s="8">
        <v>32</v>
      </c>
      <c r="AG11" s="8">
        <v>33</v>
      </c>
      <c r="AH11" s="8">
        <v>34</v>
      </c>
      <c r="AI11" s="8">
        <v>35</v>
      </c>
      <c r="AJ11" s="8">
        <v>36</v>
      </c>
      <c r="AK11" s="8">
        <v>37</v>
      </c>
      <c r="AL11" s="8">
        <v>38</v>
      </c>
      <c r="AM11" s="8">
        <v>39</v>
      </c>
      <c r="AN11" s="8">
        <v>40</v>
      </c>
      <c r="AO11" s="8">
        <v>41</v>
      </c>
      <c r="AP11" s="8">
        <v>42</v>
      </c>
      <c r="AQ11" s="8">
        <v>43</v>
      </c>
      <c r="AR11" s="8">
        <v>44</v>
      </c>
      <c r="AS11" s="8">
        <v>45</v>
      </c>
      <c r="AT11" s="8">
        <v>46</v>
      </c>
      <c r="AU11" s="8">
        <v>47</v>
      </c>
      <c r="AV11" s="8">
        <v>48</v>
      </c>
      <c r="AW11" s="8">
        <v>49</v>
      </c>
      <c r="AX11" s="8">
        <v>50</v>
      </c>
      <c r="AY11" s="8">
        <v>51</v>
      </c>
      <c r="AZ11" s="8">
        <v>52</v>
      </c>
      <c r="BA11" s="8">
        <v>53</v>
      </c>
      <c r="BB11" s="8">
        <v>54</v>
      </c>
      <c r="BC11" s="8">
        <v>55</v>
      </c>
      <c r="BD11" s="8">
        <v>56</v>
      </c>
      <c r="BE11" s="8">
        <v>57</v>
      </c>
      <c r="BF11" s="8">
        <v>58</v>
      </c>
      <c r="BG11" s="8">
        <v>59</v>
      </c>
      <c r="BH11" s="8">
        <v>60</v>
      </c>
      <c r="BI11" s="8">
        <v>61</v>
      </c>
      <c r="BJ11" s="8">
        <v>62</v>
      </c>
      <c r="BK11" s="8">
        <v>63</v>
      </c>
      <c r="BL11" s="8">
        <v>64</v>
      </c>
      <c r="BM11" s="8">
        <v>65</v>
      </c>
      <c r="BN11" s="8">
        <v>66</v>
      </c>
      <c r="BO11" s="8">
        <v>67</v>
      </c>
      <c r="BP11" s="8">
        <v>68</v>
      </c>
      <c r="BQ11" s="8">
        <v>69</v>
      </c>
      <c r="BR11" s="8">
        <v>70</v>
      </c>
      <c r="BS11" s="8">
        <v>71</v>
      </c>
      <c r="BT11" s="8">
        <v>72</v>
      </c>
      <c r="BU11" s="8">
        <v>73</v>
      </c>
      <c r="BV11" s="8">
        <v>74</v>
      </c>
      <c r="BW11" s="8">
        <v>75</v>
      </c>
      <c r="BX11" s="8">
        <v>76</v>
      </c>
      <c r="BY11" s="8">
        <v>77</v>
      </c>
      <c r="BZ11" s="8">
        <v>78</v>
      </c>
      <c r="CA11" s="8">
        <v>79</v>
      </c>
      <c r="CB11" s="8">
        <v>80</v>
      </c>
      <c r="CC11" s="8">
        <v>81</v>
      </c>
      <c r="CD11" s="8">
        <v>82</v>
      </c>
      <c r="CE11" s="8">
        <v>83</v>
      </c>
      <c r="CF11" s="8">
        <v>84</v>
      </c>
      <c r="CG11" s="8">
        <v>85</v>
      </c>
      <c r="CH11" s="8">
        <v>86</v>
      </c>
      <c r="CI11" s="8">
        <v>87</v>
      </c>
      <c r="CJ11" s="8">
        <v>88</v>
      </c>
      <c r="CK11" s="8">
        <v>89</v>
      </c>
      <c r="CL11" s="8">
        <v>90</v>
      </c>
      <c r="CM11" s="8">
        <v>91</v>
      </c>
      <c r="CN11" s="8">
        <v>92</v>
      </c>
      <c r="CO11" s="8">
        <v>93</v>
      </c>
      <c r="CP11" s="8">
        <v>94</v>
      </c>
      <c r="CQ11" s="8">
        <v>95</v>
      </c>
      <c r="CR11" s="8">
        <v>96</v>
      </c>
      <c r="CS11" s="8">
        <v>97</v>
      </c>
      <c r="CT11" s="8">
        <v>98</v>
      </c>
      <c r="CU11" s="8">
        <v>99</v>
      </c>
      <c r="CV11" s="8">
        <v>100</v>
      </c>
      <c r="CW11" s="8">
        <v>101</v>
      </c>
      <c r="CX11" s="8">
        <v>102</v>
      </c>
      <c r="CY11" s="8">
        <v>103</v>
      </c>
      <c r="CZ11" s="8">
        <v>104</v>
      </c>
      <c r="DA11" s="8">
        <v>105</v>
      </c>
      <c r="DB11" s="8">
        <v>106</v>
      </c>
      <c r="DC11" s="8">
        <v>107</v>
      </c>
      <c r="DD11" s="8">
        <v>108</v>
      </c>
      <c r="DE11" s="8">
        <v>109</v>
      </c>
      <c r="DF11" s="8">
        <v>110</v>
      </c>
      <c r="DG11" s="8">
        <v>111</v>
      </c>
      <c r="DH11" s="8">
        <v>112</v>
      </c>
      <c r="DI11" s="8">
        <v>113</v>
      </c>
      <c r="DJ11" s="8">
        <v>114</v>
      </c>
      <c r="DK11" s="8">
        <v>115</v>
      </c>
      <c r="DL11" s="8">
        <v>116</v>
      </c>
      <c r="DM11" s="8">
        <v>117</v>
      </c>
      <c r="DN11" s="8">
        <v>118</v>
      </c>
      <c r="DO11" s="8">
        <v>119</v>
      </c>
      <c r="DP11" s="8">
        <v>120</v>
      </c>
      <c r="DQ11" s="8">
        <v>121</v>
      </c>
      <c r="DR11" s="8">
        <v>122</v>
      </c>
      <c r="DS11" s="8">
        <v>123</v>
      </c>
      <c r="DT11" s="8">
        <v>124</v>
      </c>
      <c r="DU11" s="8">
        <v>125</v>
      </c>
    </row>
    <row r="12" spans="1:125" ht="15" thickBot="1" x14ac:dyDescent="0.35">
      <c r="A12" s="677" t="s">
        <v>43</v>
      </c>
      <c r="B12" s="675"/>
      <c r="C12" s="678"/>
      <c r="D12" s="678"/>
      <c r="E12" s="678"/>
      <c r="F12" s="678"/>
      <c r="G12" s="678"/>
      <c r="H12" s="678"/>
      <c r="I12" s="678"/>
      <c r="J12" s="678"/>
      <c r="K12" s="678"/>
      <c r="L12" s="678"/>
      <c r="M12" s="678"/>
      <c r="N12" s="678"/>
      <c r="O12" s="678"/>
      <c r="P12" s="678"/>
      <c r="Q12" s="678"/>
      <c r="R12" s="678"/>
      <c r="S12" s="678"/>
      <c r="T12" s="678"/>
      <c r="U12" s="678"/>
      <c r="V12" s="678"/>
      <c r="W12" s="678"/>
      <c r="X12" s="678"/>
      <c r="Y12" s="678"/>
      <c r="Z12" s="678"/>
      <c r="AA12" s="678"/>
      <c r="AB12" s="678"/>
      <c r="AC12" s="678"/>
      <c r="AD12" s="678"/>
      <c r="AE12" s="678"/>
      <c r="AF12" s="678"/>
      <c r="AG12" s="678"/>
      <c r="AH12" s="678"/>
      <c r="AI12" s="678"/>
      <c r="AJ12" s="678"/>
      <c r="AK12" s="678"/>
      <c r="AL12" s="678"/>
      <c r="AM12" s="678"/>
      <c r="AN12" s="678"/>
      <c r="AO12" s="678"/>
      <c r="AP12" s="678"/>
      <c r="AQ12" s="678"/>
      <c r="AR12" s="678"/>
      <c r="AS12" s="678"/>
      <c r="AT12" s="678"/>
      <c r="AU12" s="678"/>
      <c r="AV12" s="678"/>
      <c r="AW12" s="678"/>
      <c r="AX12" s="678"/>
      <c r="AY12" s="678"/>
      <c r="AZ12" s="678"/>
      <c r="BA12" s="678"/>
      <c r="BB12" s="678"/>
      <c r="BC12" s="678"/>
      <c r="BD12" s="678"/>
      <c r="BE12" s="678"/>
      <c r="BF12" s="678"/>
      <c r="BG12" s="678"/>
      <c r="BH12" s="678"/>
      <c r="BI12" s="678"/>
      <c r="BJ12" s="678"/>
      <c r="BK12" s="678"/>
      <c r="BL12" s="678"/>
      <c r="BM12" s="678"/>
      <c r="BN12" s="678"/>
      <c r="BO12" s="678"/>
      <c r="BP12" s="678"/>
      <c r="BQ12" s="678"/>
      <c r="BR12" s="678"/>
      <c r="BS12" s="678"/>
      <c r="BT12" s="678"/>
      <c r="BU12" s="678"/>
      <c r="BV12" s="678"/>
      <c r="BW12" s="678"/>
      <c r="BX12" s="678"/>
      <c r="BY12" s="678"/>
      <c r="BZ12" s="678"/>
      <c r="CA12" s="678"/>
      <c r="CB12" s="678"/>
      <c r="CC12" s="678"/>
      <c r="CD12" s="678"/>
      <c r="CE12" s="678"/>
      <c r="CF12" s="678"/>
      <c r="CG12" s="678"/>
      <c r="CH12" s="678"/>
      <c r="CI12" s="678"/>
      <c r="CJ12" s="678"/>
      <c r="CK12" s="678"/>
      <c r="CL12" s="678"/>
      <c r="CM12" s="678"/>
      <c r="CN12" s="678"/>
      <c r="CO12" s="678"/>
      <c r="CP12" s="678"/>
      <c r="CQ12" s="678"/>
      <c r="CR12" s="678"/>
      <c r="CS12" s="678"/>
      <c r="CT12" s="679"/>
      <c r="DG12" s="35"/>
      <c r="DH12" s="36"/>
      <c r="DI12" s="36"/>
      <c r="DJ12" s="37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U12" s="37"/>
    </row>
    <row r="13" spans="1:125" x14ac:dyDescent="0.3">
      <c r="A13" s="19" t="s">
        <v>3</v>
      </c>
      <c r="B13" s="236" t="s">
        <v>9</v>
      </c>
      <c r="C13" s="85">
        <v>34030054.159999996</v>
      </c>
      <c r="D13" s="86">
        <v>2168221.59</v>
      </c>
      <c r="E13" s="86">
        <v>808489.41</v>
      </c>
      <c r="F13" s="87">
        <v>1212734.1100000001</v>
      </c>
      <c r="G13" s="96">
        <v>2778</v>
      </c>
      <c r="H13" s="97">
        <v>177</v>
      </c>
      <c r="I13" s="103">
        <v>66</v>
      </c>
      <c r="J13" s="104">
        <v>99</v>
      </c>
      <c r="K13" s="69">
        <v>34096</v>
      </c>
      <c r="L13" s="70">
        <v>8059</v>
      </c>
      <c r="M13" s="70">
        <v>16027</v>
      </c>
      <c r="N13" s="71">
        <v>74749</v>
      </c>
      <c r="O13" s="110">
        <f>C13/G13</f>
        <v>12249.839510439164</v>
      </c>
      <c r="P13" s="111">
        <f t="shared" ref="O13:R14" si="0">D13/H13</f>
        <v>12249.839491525423</v>
      </c>
      <c r="Q13" s="108">
        <f t="shared" si="0"/>
        <v>12249.839545454546</v>
      </c>
      <c r="R13" s="122">
        <f t="shared" si="0"/>
        <v>12249.839494949496</v>
      </c>
      <c r="S13" s="134">
        <f>G13+H13</f>
        <v>2955</v>
      </c>
      <c r="T13" s="154">
        <f>I13+J13</f>
        <v>165</v>
      </c>
      <c r="U13" s="124">
        <f>O13+P13</f>
        <v>24499.679001964585</v>
      </c>
      <c r="V13" s="125">
        <f>Q13+R13</f>
        <v>24499.679040404044</v>
      </c>
      <c r="W13" s="85">
        <f>AVERAGE(U13:U31,U33)</f>
        <v>27708.692952911078</v>
      </c>
      <c r="X13" s="92">
        <f>AVERAGE(V13,V14,V25,V27,V30,V19)</f>
        <v>51945.34354377105</v>
      </c>
      <c r="Y13" s="85">
        <f>_xlfn.STDEV.S(U13:U31,U33)</f>
        <v>27553.020196771959</v>
      </c>
      <c r="Z13" s="87">
        <f>_xlfn.STDEV.S(V13,V14,V25,V27,V30,V19)</f>
        <v>52648.177946847412</v>
      </c>
      <c r="AA13" s="131">
        <f>W13-Y13</f>
        <v>155.67275613911988</v>
      </c>
      <c r="AB13" s="130">
        <f>X13-Z13</f>
        <v>-702.83440307636192</v>
      </c>
      <c r="AC13" s="131">
        <f>W13+Y13</f>
        <v>55261.713149683041</v>
      </c>
      <c r="AD13" s="130">
        <f>X13+Z13</f>
        <v>104593.52149061847</v>
      </c>
      <c r="AE13" s="132">
        <f>IF(AND(U13&gt;$AA$13,U13&lt;$AC$13),U13,0)</f>
        <v>24499.679001964585</v>
      </c>
      <c r="AF13" s="152">
        <f>IF(AND(V13&gt;$AB$13,V13&lt;$AD$13),V13,0)</f>
        <v>24499.679040404044</v>
      </c>
      <c r="AG13" s="85">
        <f>AE13*S13</f>
        <v>72396551.450805351</v>
      </c>
      <c r="AH13" s="87">
        <f>AF13*T13</f>
        <v>4042447.0416666674</v>
      </c>
      <c r="AI13" s="215">
        <f>G13</f>
        <v>2778</v>
      </c>
      <c r="AJ13" s="216">
        <f>O13</f>
        <v>12249.839510439164</v>
      </c>
      <c r="AK13" s="211">
        <f>AVERAGE(AJ13,AJ17:AJ24,AJ26:AJ31)</f>
        <v>7721.5286564633898</v>
      </c>
      <c r="AL13" s="211">
        <f>_xlfn.STDEV.S(AJ13,AJ17:AJ24,AJ26:AJ31)</f>
        <v>4726.8766729786248</v>
      </c>
      <c r="AM13" s="211">
        <f>AK13-AL13</f>
        <v>2994.651983484765</v>
      </c>
      <c r="AN13" s="211">
        <f>AK13+AL13</f>
        <v>12448.405329442015</v>
      </c>
      <c r="AO13" s="219">
        <f>IF(AND(AJ13&gt;$AM$13,AJ13&lt;$AN$13),AJ13,0)</f>
        <v>12249.839510439164</v>
      </c>
      <c r="AP13" s="79">
        <f>AO13*AI13</f>
        <v>34030054.159999996</v>
      </c>
      <c r="AQ13" s="88">
        <v>32542152.899999999</v>
      </c>
      <c r="AR13" s="86">
        <v>3374017.36</v>
      </c>
      <c r="AS13" s="86">
        <v>2017075.59</v>
      </c>
      <c r="AT13" s="87">
        <v>1479188.77</v>
      </c>
      <c r="AU13" s="164">
        <v>2662</v>
      </c>
      <c r="AV13" s="165">
        <v>276</v>
      </c>
      <c r="AW13" s="93">
        <v>165</v>
      </c>
      <c r="AX13" s="100">
        <v>121</v>
      </c>
      <c r="AY13" s="69">
        <v>31792</v>
      </c>
      <c r="AZ13" s="70">
        <v>13498</v>
      </c>
      <c r="BA13" s="70">
        <v>30316</v>
      </c>
      <c r="BB13" s="71">
        <v>84282</v>
      </c>
      <c r="BC13" s="110">
        <f t="shared" ref="BC13:BF14" si="1">AQ13/AU13</f>
        <v>12224.7005634861</v>
      </c>
      <c r="BD13" s="111">
        <f t="shared" si="1"/>
        <v>12224.700579710145</v>
      </c>
      <c r="BE13" s="170">
        <f t="shared" si="1"/>
        <v>12224.700545454545</v>
      </c>
      <c r="BF13" s="178">
        <f t="shared" si="1"/>
        <v>12224.700578512397</v>
      </c>
      <c r="BG13" s="176">
        <f>AU13+AV13</f>
        <v>2938</v>
      </c>
      <c r="BH13" s="183">
        <f>AW13+AX13</f>
        <v>286</v>
      </c>
      <c r="BI13" s="124">
        <f>BC13+BD13</f>
        <v>24449.401143196243</v>
      </c>
      <c r="BJ13" s="125">
        <f>BE13+BF13</f>
        <v>24449.401123966942</v>
      </c>
      <c r="BK13" s="88">
        <f>AVERAGE(BI13:BI31,BI33,BI35)</f>
        <v>23450.071051089191</v>
      </c>
      <c r="BL13" s="86">
        <f>AVERAGE(BJ13:BJ14,BJ19,BJ23:BJ27,BJ30,BJ33)</f>
        <v>35003.80011239669</v>
      </c>
      <c r="BM13" s="86">
        <f>_xlfn.STDEV.S(BI13:BI31,BI33,BI35)</f>
        <v>21999.450424865689</v>
      </c>
      <c r="BN13" s="87">
        <f>_xlfn.STDEV.S(BJ13:BJ14,BJ19,BJ23:BJ27,BJ30,BJ33)</f>
        <v>35520.136134372216</v>
      </c>
      <c r="BO13" s="131">
        <f>BK13-BM13</f>
        <v>1450.6206262235028</v>
      </c>
      <c r="BP13" s="174">
        <f>BL13-BN13</f>
        <v>-516.33602197552682</v>
      </c>
      <c r="BQ13" s="173">
        <f>BK13+BM13</f>
        <v>45449.521475954883</v>
      </c>
      <c r="BR13" s="130">
        <f>BL13+BN13</f>
        <v>70523.936246768906</v>
      </c>
      <c r="BS13" s="132">
        <f>IF(AND(BI13&gt;$BO$13,BI13&lt;$BQ$13),BI13,0)</f>
        <v>24449.401143196243</v>
      </c>
      <c r="BT13" s="185">
        <f>IF(AND(BJ13&gt;$BP$13,BJ13&lt;$BR$13),BJ13,0)</f>
        <v>24449.401123966942</v>
      </c>
      <c r="BU13" s="85">
        <f>BS13*BG13</f>
        <v>71832340.55871056</v>
      </c>
      <c r="BV13" s="87">
        <f>BT13*BH13</f>
        <v>6992528.7214545449</v>
      </c>
      <c r="BW13" s="59">
        <f>AU13</f>
        <v>2662</v>
      </c>
      <c r="BX13" s="216">
        <f>BC13</f>
        <v>12224.7005634861</v>
      </c>
      <c r="BY13" s="211">
        <f>AVERAGE(BX13,BX17:BX24,BX26:BX31,BX35)</f>
        <v>6799.0649232180021</v>
      </c>
      <c r="BZ13" s="211">
        <f>_xlfn.STDEV.S(BX13,BX17:BX24,BX26:BX31,BX35)</f>
        <v>4405.7688363529105</v>
      </c>
      <c r="CA13" s="211">
        <f>BY13-BZ13</f>
        <v>2393.2960868650916</v>
      </c>
      <c r="CB13" s="211">
        <f>BY13+BZ13</f>
        <v>11204.833759570913</v>
      </c>
      <c r="CC13" s="56">
        <f>IF(AND(BX13&gt;$CA$13,BX13&lt;$CB$13),BX13,0)</f>
        <v>0</v>
      </c>
      <c r="CD13" s="79">
        <f>CC13*BW13</f>
        <v>0</v>
      </c>
      <c r="CE13" s="88">
        <v>40630969.369999997</v>
      </c>
      <c r="CF13" s="86">
        <v>2553312.2799999998</v>
      </c>
      <c r="CG13" s="86">
        <v>1387669.72</v>
      </c>
      <c r="CH13" s="87">
        <v>1124012.47</v>
      </c>
      <c r="CI13" s="69">
        <v>2928</v>
      </c>
      <c r="CJ13" s="70">
        <v>184</v>
      </c>
      <c r="CK13" s="70">
        <v>100</v>
      </c>
      <c r="CL13" s="71">
        <v>81</v>
      </c>
      <c r="CM13" s="69">
        <v>35262</v>
      </c>
      <c r="CN13" s="70">
        <v>7918</v>
      </c>
      <c r="CO13" s="70">
        <v>17938</v>
      </c>
      <c r="CP13" s="71">
        <v>56691</v>
      </c>
      <c r="CQ13" s="85">
        <f>CE13/CI13</f>
        <v>13876.697189207649</v>
      </c>
      <c r="CR13" s="86">
        <f t="shared" ref="CQ13:CT14" si="2">CF13/CJ13</f>
        <v>13876.697173913042</v>
      </c>
      <c r="CS13" s="86">
        <f t="shared" si="2"/>
        <v>13876.697200000001</v>
      </c>
      <c r="CT13" s="87">
        <f t="shared" si="2"/>
        <v>13876.697160493826</v>
      </c>
      <c r="CU13" s="192">
        <f>CI13+CJ13</f>
        <v>3112</v>
      </c>
      <c r="CV13" s="183">
        <f>CK13+CL13</f>
        <v>181</v>
      </c>
      <c r="CW13" s="124">
        <f>CQ13+CR13</f>
        <v>27753.394363120693</v>
      </c>
      <c r="CX13" s="125">
        <f>CS13+CT13</f>
        <v>27753.394360493825</v>
      </c>
      <c r="CY13" s="88">
        <f>AVERAGE(CW13:CW33,CW35:CW36)</f>
        <v>24598.169060292767</v>
      </c>
      <c r="CZ13" s="92">
        <f>AVERAGE(CX13:CX14,CX19,CX23,CX25,CX27,CX30)</f>
        <v>50889.550861022923</v>
      </c>
      <c r="DA13" s="85">
        <f>_xlfn.STDEV.S(CW13:CW33,CW35:CW36)</f>
        <v>28868.672620073947</v>
      </c>
      <c r="DB13" s="87">
        <f>_xlfn.STDEV.S(CX13:CX14,CX19,CX23,CX25,CX27,CX30)</f>
        <v>40916.22328693905</v>
      </c>
      <c r="DC13" s="131">
        <f>CY13-DA13</f>
        <v>-4270.5035597811802</v>
      </c>
      <c r="DD13" s="130">
        <f>CZ13-DB13</f>
        <v>9973.3275740838726</v>
      </c>
      <c r="DE13" s="131">
        <f>CY13+DA13</f>
        <v>53466.841680366713</v>
      </c>
      <c r="DF13" s="175">
        <f>CZ13+DB13</f>
        <v>91805.774147961973</v>
      </c>
      <c r="DG13" s="187">
        <f>IF(AND(CW13&gt;$DC$13,CW13&lt;$DE$13),CW13,0)</f>
        <v>27753.394363120693</v>
      </c>
      <c r="DH13" s="185">
        <f>IF(AND(CX13&gt;$DD$13,CX13&lt;$DF$13),CX13,0)</f>
        <v>27753.394360493825</v>
      </c>
      <c r="DI13" s="85">
        <f>DG13*CU13</f>
        <v>86368563.258031592</v>
      </c>
      <c r="DJ13" s="87">
        <f>DH13*CV13</f>
        <v>5023364.3792493828</v>
      </c>
      <c r="DK13" s="59">
        <f>CI13</f>
        <v>2928</v>
      </c>
      <c r="DL13" s="216">
        <f>CQ13</f>
        <v>13876.697189207649</v>
      </c>
      <c r="DM13" s="211">
        <f>AVERAGE(DL13,DL17:DL24,DL26:DL33,DL35:DL36)</f>
        <v>6857.3696614186592</v>
      </c>
      <c r="DN13" s="211">
        <f>_xlfn.STDEV.S(DL13,DL17:DL24,DL26:DL33,DL35:DL36)</f>
        <v>5342.8366916309869</v>
      </c>
      <c r="DO13" s="211">
        <f>DM13-DN13</f>
        <v>1514.5329697876723</v>
      </c>
      <c r="DP13" s="211">
        <f>DM13+DN13</f>
        <v>12200.206353049645</v>
      </c>
      <c r="DQ13" s="56">
        <f>IF(AND(DL13&gt;$DO$13,DL13&lt;$DP$13),DL13,0)</f>
        <v>0</v>
      </c>
      <c r="DR13" s="66">
        <f>DQ13*DK13</f>
        <v>0</v>
      </c>
      <c r="DS13" s="85"/>
      <c r="DT13" s="86"/>
      <c r="DU13" s="87"/>
    </row>
    <row r="14" spans="1:125" x14ac:dyDescent="0.3">
      <c r="A14" s="20" t="s">
        <v>4</v>
      </c>
      <c r="B14" s="38" t="s">
        <v>10</v>
      </c>
      <c r="C14" s="78">
        <v>12605709.199999999</v>
      </c>
      <c r="D14" s="79">
        <v>6188718.3999999994</v>
      </c>
      <c r="E14" s="79">
        <v>1318907.2</v>
      </c>
      <c r="F14" s="80">
        <v>101454.39999999999</v>
      </c>
      <c r="G14" s="98">
        <v>497</v>
      </c>
      <c r="H14" s="99">
        <v>244</v>
      </c>
      <c r="I14" s="105">
        <v>52</v>
      </c>
      <c r="J14" s="106">
        <v>4</v>
      </c>
      <c r="K14" s="75">
        <v>7066.2</v>
      </c>
      <c r="L14" s="76">
        <v>16149.9</v>
      </c>
      <c r="M14" s="76">
        <v>14647</v>
      </c>
      <c r="N14" s="77">
        <v>3224</v>
      </c>
      <c r="O14" s="112">
        <f t="shared" si="0"/>
        <v>25363.599999999999</v>
      </c>
      <c r="P14" s="113">
        <f t="shared" si="0"/>
        <v>25363.599999999999</v>
      </c>
      <c r="Q14" s="109">
        <f t="shared" si="0"/>
        <v>25363.599999999999</v>
      </c>
      <c r="R14" s="123">
        <f t="shared" si="0"/>
        <v>25363.599999999999</v>
      </c>
      <c r="S14" s="76">
        <f>G14+H14</f>
        <v>741</v>
      </c>
      <c r="T14" s="155">
        <f>I14+J14</f>
        <v>56</v>
      </c>
      <c r="U14" s="52">
        <f>O14+P14</f>
        <v>50727.199999999997</v>
      </c>
      <c r="V14" s="126">
        <f>Q14+R14</f>
        <v>50727.199999999997</v>
      </c>
      <c r="W14" s="75"/>
      <c r="X14" s="66"/>
      <c r="Y14" s="78"/>
      <c r="Z14" s="77"/>
      <c r="AA14" s="49"/>
      <c r="AB14" s="9"/>
      <c r="AC14" s="49"/>
      <c r="AD14" s="9"/>
      <c r="AE14" s="78">
        <f t="shared" ref="AE14:AE36" si="3">IF(AND(U14&gt;$AA$13,U14&lt;$AC$13),U14,0)</f>
        <v>50727.199999999997</v>
      </c>
      <c r="AF14" s="153">
        <f t="shared" ref="AF14:AF36" si="4">IF(AND(V14&gt;$AB$13,V14&lt;$AD$13),V14,0)</f>
        <v>50727.199999999997</v>
      </c>
      <c r="AG14" s="78">
        <f t="shared" ref="AG14:AG36" si="5">AE14*S14</f>
        <v>37588855.199999996</v>
      </c>
      <c r="AH14" s="80">
        <f t="shared" ref="AH14:AH36" si="6">AF14*T14</f>
        <v>2840723.1999999997</v>
      </c>
      <c r="AI14" s="59">
        <f t="shared" ref="AI14:AI36" si="7">G14</f>
        <v>497</v>
      </c>
      <c r="AJ14" s="229">
        <f t="shared" ref="AJ14:AJ36" si="8">O14</f>
        <v>25363.599999999999</v>
      </c>
      <c r="AK14" s="212"/>
      <c r="AL14" s="212"/>
      <c r="AM14" s="212"/>
      <c r="AN14" s="212"/>
      <c r="AO14" s="79">
        <f t="shared" ref="AO14:AO36" si="9">IF(AND(AJ14&gt;$AM$13,AJ14&lt;$AN$13),AJ14,0)</f>
        <v>0</v>
      </c>
      <c r="AP14" s="79">
        <f t="shared" ref="AP14:AP35" si="10">AO14*AI14</f>
        <v>0</v>
      </c>
      <c r="AQ14" s="64">
        <v>16008902.199999999</v>
      </c>
      <c r="AR14" s="79">
        <v>6713410.5999999996</v>
      </c>
      <c r="AS14" s="79">
        <v>1440529.4</v>
      </c>
      <c r="AT14" s="80">
        <v>163078.79999999999</v>
      </c>
      <c r="AU14" s="166">
        <v>589</v>
      </c>
      <c r="AV14" s="167">
        <v>247</v>
      </c>
      <c r="AW14" s="94">
        <v>53</v>
      </c>
      <c r="AX14" s="101">
        <v>6</v>
      </c>
      <c r="AY14" s="75">
        <v>8242</v>
      </c>
      <c r="AZ14" s="76">
        <v>16046.4</v>
      </c>
      <c r="BA14" s="76">
        <v>17373.400000000001</v>
      </c>
      <c r="BB14" s="77">
        <v>5442</v>
      </c>
      <c r="BC14" s="112">
        <f t="shared" si="1"/>
        <v>27179.8</v>
      </c>
      <c r="BD14" s="113">
        <f t="shared" si="1"/>
        <v>27179.8</v>
      </c>
      <c r="BE14" s="171">
        <f t="shared" si="1"/>
        <v>27179.8</v>
      </c>
      <c r="BF14" s="179">
        <f t="shared" si="1"/>
        <v>27179.8</v>
      </c>
      <c r="BG14" s="75">
        <f t="shared" ref="BG14:BG36" si="11">AU14+AV14</f>
        <v>836</v>
      </c>
      <c r="BH14" s="184">
        <f t="shared" ref="BH14:BH36" si="12">AW14+AX14</f>
        <v>59</v>
      </c>
      <c r="BI14" s="52">
        <f t="shared" ref="BI14:BI36" si="13">BC14+BD14</f>
        <v>54359.6</v>
      </c>
      <c r="BJ14" s="126">
        <f t="shared" ref="BJ14:BJ36" si="14">BE14+BF14</f>
        <v>54359.6</v>
      </c>
      <c r="BK14" s="32"/>
      <c r="BL14" s="76"/>
      <c r="BM14" s="76"/>
      <c r="BN14" s="77"/>
      <c r="BO14" s="75"/>
      <c r="BP14" s="76"/>
      <c r="BQ14" s="76"/>
      <c r="BR14" s="90"/>
      <c r="BS14" s="78">
        <f t="shared" ref="BS14:BS36" si="15">IF(AND(BI14&gt;$BO$13,BI14&lt;$BQ$13),BI14,0)</f>
        <v>0</v>
      </c>
      <c r="BT14" s="186">
        <f t="shared" ref="BT14:BT36" si="16">IF(AND(BJ14&gt;$BP$13,BJ14&lt;$BR$13),BJ14,0)</f>
        <v>54359.6</v>
      </c>
      <c r="BU14" s="78">
        <f t="shared" ref="BU14:BU36" si="17">BS14*BG14</f>
        <v>0</v>
      </c>
      <c r="BV14" s="80">
        <f t="shared" ref="BV14:BV36" si="18">BT14*BH14</f>
        <v>3207216.4</v>
      </c>
      <c r="BW14" s="59">
        <f t="shared" ref="BW14:BW36" si="19">AU14</f>
        <v>589</v>
      </c>
      <c r="BX14" s="229">
        <f t="shared" ref="BX14:BX36" si="20">BC14</f>
        <v>27179.8</v>
      </c>
      <c r="BY14" s="212"/>
      <c r="BZ14" s="212"/>
      <c r="CA14" s="212"/>
      <c r="CB14" s="212"/>
      <c r="CC14" s="79">
        <f t="shared" ref="CC14:CC36" si="21">IF(AND(BX14&gt;$CA$13,BX14&lt;$CB$13),BX14,0)</f>
        <v>0</v>
      </c>
      <c r="CD14" s="79">
        <f t="shared" ref="CD14:CD35" si="22">CC14*BW14</f>
        <v>0</v>
      </c>
      <c r="CE14" s="64">
        <v>14754550.600000001</v>
      </c>
      <c r="CF14" s="79">
        <v>5466714.4000000004</v>
      </c>
      <c r="CG14" s="79">
        <v>1785049.6</v>
      </c>
      <c r="CH14" s="80">
        <v>111565.6</v>
      </c>
      <c r="CI14" s="75">
        <v>529</v>
      </c>
      <c r="CJ14" s="76">
        <v>196</v>
      </c>
      <c r="CK14" s="76">
        <v>64</v>
      </c>
      <c r="CL14" s="77">
        <v>4</v>
      </c>
      <c r="CM14" s="75">
        <v>7314.9</v>
      </c>
      <c r="CN14" s="76">
        <v>12206.3</v>
      </c>
      <c r="CO14" s="76">
        <v>20830</v>
      </c>
      <c r="CP14" s="77">
        <v>3130</v>
      </c>
      <c r="CQ14" s="52">
        <f t="shared" si="2"/>
        <v>27891.4</v>
      </c>
      <c r="CR14" s="53">
        <f t="shared" si="2"/>
        <v>27891.4</v>
      </c>
      <c r="CS14" s="53">
        <f t="shared" si="2"/>
        <v>27891.4</v>
      </c>
      <c r="CT14" s="54">
        <f t="shared" si="2"/>
        <v>27891.4</v>
      </c>
      <c r="CU14" s="75">
        <f t="shared" ref="CU14" si="23">CI14+CJ14</f>
        <v>725</v>
      </c>
      <c r="CV14" s="184">
        <f t="shared" ref="CV14" si="24">CK14+CL14</f>
        <v>68</v>
      </c>
      <c r="CW14" s="52">
        <f t="shared" ref="CW14" si="25">CQ14+CR14</f>
        <v>55782.8</v>
      </c>
      <c r="CX14" s="126">
        <f t="shared" ref="CX14" si="26">CS14+CT14</f>
        <v>55782.8</v>
      </c>
      <c r="CY14" s="32"/>
      <c r="CZ14" s="90"/>
      <c r="DA14" s="75"/>
      <c r="DB14" s="77"/>
      <c r="DC14" s="75"/>
      <c r="DD14" s="90"/>
      <c r="DE14" s="75"/>
      <c r="DF14" s="77"/>
      <c r="DG14" s="55">
        <f t="shared" ref="DG14:DG36" si="27">IF(AND(CW14&gt;$DC$13,CW14&lt;$DE$13),CW14,0)</f>
        <v>0</v>
      </c>
      <c r="DH14" s="186">
        <f t="shared" ref="DH14:DH36" si="28">IF(AND(CX14&gt;$DD$13,CX14&lt;$DF$13),CX14,0)</f>
        <v>55782.8</v>
      </c>
      <c r="DI14" s="78">
        <f t="shared" ref="DI14:DI36" si="29">DG14*CU14</f>
        <v>0</v>
      </c>
      <c r="DJ14" s="80">
        <f t="shared" ref="DJ14:DJ36" si="30">DH14*CV14</f>
        <v>3793230.4000000004</v>
      </c>
      <c r="DK14" s="59">
        <f t="shared" ref="DK14:DK36" si="31">CI14</f>
        <v>529</v>
      </c>
      <c r="DL14" s="229">
        <f t="shared" ref="DL14:DL36" si="32">CQ14</f>
        <v>27891.4</v>
      </c>
      <c r="DM14" s="212"/>
      <c r="DN14" s="212"/>
      <c r="DO14" s="212"/>
      <c r="DP14" s="212"/>
      <c r="DQ14" s="56">
        <f t="shared" ref="DQ14:DQ36" si="33">IF(AND(DL14&gt;$DO$13,DL14&lt;$DP$13),DL14,0)</f>
        <v>0</v>
      </c>
      <c r="DR14" s="66">
        <f t="shared" ref="DR14:DR35" si="34">DQ14*DK14</f>
        <v>0</v>
      </c>
      <c r="DS14" s="78"/>
      <c r="DT14" s="79"/>
      <c r="DU14" s="80"/>
    </row>
    <row r="15" spans="1:125" ht="28.8" x14ac:dyDescent="0.3">
      <c r="A15" s="20" t="s">
        <v>5</v>
      </c>
      <c r="B15" s="81" t="s">
        <v>11</v>
      </c>
      <c r="C15" s="237">
        <v>14210602</v>
      </c>
      <c r="D15" s="237">
        <v>2581317</v>
      </c>
      <c r="E15" s="238"/>
      <c r="F15" s="239"/>
      <c r="G15" s="240">
        <v>356</v>
      </c>
      <c r="H15" s="240">
        <v>35</v>
      </c>
      <c r="I15" s="241"/>
      <c r="J15" s="242"/>
      <c r="K15" s="240">
        <v>4550</v>
      </c>
      <c r="L15" s="240">
        <v>2439</v>
      </c>
      <c r="M15" s="241"/>
      <c r="N15" s="242"/>
      <c r="O15" s="237">
        <v>39917</v>
      </c>
      <c r="P15" s="237">
        <v>73752</v>
      </c>
      <c r="Q15" s="238"/>
      <c r="R15" s="239"/>
      <c r="S15" s="76">
        <f t="shared" ref="S15:S36" si="35">G15+H15</f>
        <v>391</v>
      </c>
      <c r="T15" s="90">
        <f t="shared" ref="T15:T36" si="36">I15+J15</f>
        <v>0</v>
      </c>
      <c r="U15" s="52">
        <f t="shared" ref="U15:U36" si="37">O15+P15</f>
        <v>113669</v>
      </c>
      <c r="V15" s="80">
        <f t="shared" ref="V15:V36" si="38">Q15+R15</f>
        <v>0</v>
      </c>
      <c r="W15" s="75"/>
      <c r="X15" s="66"/>
      <c r="Y15" s="78"/>
      <c r="Z15" s="77"/>
      <c r="AA15" s="49"/>
      <c r="AB15" s="9"/>
      <c r="AC15" s="49"/>
      <c r="AD15" s="9"/>
      <c r="AE15" s="78">
        <f t="shared" si="3"/>
        <v>0</v>
      </c>
      <c r="AF15" s="66">
        <f t="shared" si="4"/>
        <v>0</v>
      </c>
      <c r="AG15" s="78">
        <f t="shared" si="5"/>
        <v>0</v>
      </c>
      <c r="AH15" s="80">
        <f t="shared" si="6"/>
        <v>0</v>
      </c>
      <c r="AI15" s="59">
        <f t="shared" si="7"/>
        <v>356</v>
      </c>
      <c r="AJ15" s="56">
        <f t="shared" si="8"/>
        <v>39917</v>
      </c>
      <c r="AK15" s="212"/>
      <c r="AL15" s="212"/>
      <c r="AM15" s="212"/>
      <c r="AN15" s="212"/>
      <c r="AO15" s="79">
        <f t="shared" si="9"/>
        <v>0</v>
      </c>
      <c r="AP15" s="79">
        <f t="shared" si="10"/>
        <v>0</v>
      </c>
      <c r="AQ15" s="249">
        <v>8485933</v>
      </c>
      <c r="AR15" s="237">
        <v>206095</v>
      </c>
      <c r="AS15" s="238">
        <v>50032</v>
      </c>
      <c r="AT15" s="239"/>
      <c r="AU15" s="240">
        <v>402</v>
      </c>
      <c r="AV15" s="240">
        <v>3</v>
      </c>
      <c r="AW15" s="241">
        <v>1</v>
      </c>
      <c r="AX15" s="242"/>
      <c r="AY15" s="240">
        <v>7753</v>
      </c>
      <c r="AZ15" s="240">
        <v>208</v>
      </c>
      <c r="BA15" s="241">
        <v>225</v>
      </c>
      <c r="BB15" s="242"/>
      <c r="BC15" s="237">
        <v>21109</v>
      </c>
      <c r="BD15" s="237">
        <v>68698</v>
      </c>
      <c r="BE15" s="238">
        <v>50032</v>
      </c>
      <c r="BF15" s="250"/>
      <c r="BG15" s="177">
        <f t="shared" si="11"/>
        <v>405</v>
      </c>
      <c r="BH15" s="90">
        <f t="shared" si="12"/>
        <v>1</v>
      </c>
      <c r="BI15" s="52">
        <f t="shared" si="13"/>
        <v>89807</v>
      </c>
      <c r="BJ15" s="80">
        <f t="shared" si="14"/>
        <v>50032</v>
      </c>
      <c r="BK15" s="32"/>
      <c r="BL15" s="76"/>
      <c r="BM15" s="76"/>
      <c r="BN15" s="77"/>
      <c r="BO15" s="75"/>
      <c r="BP15" s="76"/>
      <c r="BQ15" s="76"/>
      <c r="BR15" s="90"/>
      <c r="BS15" s="133">
        <f t="shared" si="15"/>
        <v>0</v>
      </c>
      <c r="BT15" s="66">
        <f t="shared" si="16"/>
        <v>50032</v>
      </c>
      <c r="BU15" s="78">
        <f t="shared" si="17"/>
        <v>0</v>
      </c>
      <c r="BV15" s="80">
        <f t="shared" si="18"/>
        <v>50032</v>
      </c>
      <c r="BW15" s="59">
        <f t="shared" si="19"/>
        <v>402</v>
      </c>
      <c r="BX15" s="56">
        <f t="shared" si="20"/>
        <v>21109</v>
      </c>
      <c r="BY15" s="212"/>
      <c r="BZ15" s="212"/>
      <c r="CA15" s="212"/>
      <c r="CB15" s="212"/>
      <c r="CC15" s="56">
        <f t="shared" si="21"/>
        <v>0</v>
      </c>
      <c r="CD15" s="79">
        <f t="shared" si="22"/>
        <v>0</v>
      </c>
      <c r="CE15" s="249">
        <v>10127114</v>
      </c>
      <c r="CF15" s="237">
        <v>219896</v>
      </c>
      <c r="CG15" s="238"/>
      <c r="CH15" s="239"/>
      <c r="CI15" s="240">
        <v>256</v>
      </c>
      <c r="CJ15" s="240">
        <v>3</v>
      </c>
      <c r="CK15" s="241"/>
      <c r="CL15" s="242"/>
      <c r="CM15" s="240">
        <v>216</v>
      </c>
      <c r="CN15" s="240">
        <v>3840</v>
      </c>
      <c r="CO15" s="241"/>
      <c r="CP15" s="242"/>
      <c r="CQ15" s="237">
        <v>39559</v>
      </c>
      <c r="CR15" s="237">
        <v>73299</v>
      </c>
      <c r="CS15" s="238"/>
      <c r="CT15" s="239"/>
      <c r="CU15" s="75">
        <f t="shared" ref="CU15:CU36" si="39">CI15+CJ15</f>
        <v>259</v>
      </c>
      <c r="CV15" s="128">
        <f t="shared" ref="CV15:CV36" si="40">CK15+CL15</f>
        <v>0</v>
      </c>
      <c r="CW15" s="52">
        <f t="shared" ref="CW15:CW36" si="41">CQ15+CR15</f>
        <v>112858</v>
      </c>
      <c r="CX15" s="57">
        <f t="shared" ref="CX15:CX36" si="42">CS15+CT15</f>
        <v>0</v>
      </c>
      <c r="CY15" s="75"/>
      <c r="CZ15" s="90"/>
      <c r="DA15" s="75"/>
      <c r="DB15" s="77"/>
      <c r="DC15" s="75"/>
      <c r="DD15" s="90"/>
      <c r="DE15" s="75"/>
      <c r="DF15" s="77"/>
      <c r="DG15" s="55">
        <f t="shared" si="27"/>
        <v>0</v>
      </c>
      <c r="DH15" s="67">
        <f t="shared" si="28"/>
        <v>0</v>
      </c>
      <c r="DI15" s="78">
        <f t="shared" si="29"/>
        <v>0</v>
      </c>
      <c r="DJ15" s="80">
        <f t="shared" si="30"/>
        <v>0</v>
      </c>
      <c r="DK15" s="59">
        <f t="shared" si="31"/>
        <v>256</v>
      </c>
      <c r="DL15" s="56">
        <f t="shared" si="32"/>
        <v>39559</v>
      </c>
      <c r="DM15" s="212"/>
      <c r="DN15" s="212"/>
      <c r="DO15" s="212"/>
      <c r="DP15" s="212"/>
      <c r="DQ15" s="56">
        <f t="shared" si="33"/>
        <v>0</v>
      </c>
      <c r="DR15" s="66">
        <f t="shared" si="34"/>
        <v>0</v>
      </c>
      <c r="DS15" s="78"/>
      <c r="DT15" s="79"/>
      <c r="DU15" s="80"/>
    </row>
    <row r="16" spans="1:125" s="46" customFormat="1" x14ac:dyDescent="0.3">
      <c r="A16" s="45" t="s">
        <v>6</v>
      </c>
      <c r="B16" s="72" t="s">
        <v>12</v>
      </c>
      <c r="C16" s="237">
        <v>2589642</v>
      </c>
      <c r="D16" s="237">
        <v>2305840</v>
      </c>
      <c r="E16" s="238">
        <v>1139547</v>
      </c>
      <c r="F16" s="239"/>
      <c r="G16" s="240">
        <v>139</v>
      </c>
      <c r="H16" s="240">
        <v>98</v>
      </c>
      <c r="I16" s="241">
        <v>5</v>
      </c>
      <c r="J16" s="242"/>
      <c r="K16" s="240">
        <v>1703.54</v>
      </c>
      <c r="L16" s="240">
        <v>2897.67</v>
      </c>
      <c r="M16" s="241">
        <v>1884</v>
      </c>
      <c r="N16" s="242"/>
      <c r="O16" s="237">
        <v>18630.52</v>
      </c>
      <c r="P16" s="237">
        <v>23528.98</v>
      </c>
      <c r="Q16" s="238">
        <v>227909.32</v>
      </c>
      <c r="R16" s="239"/>
      <c r="S16" s="135">
        <f t="shared" si="35"/>
        <v>237</v>
      </c>
      <c r="T16" s="90">
        <f t="shared" si="36"/>
        <v>5</v>
      </c>
      <c r="U16" s="52">
        <f t="shared" si="37"/>
        <v>42159.5</v>
      </c>
      <c r="V16" s="80">
        <f t="shared" si="38"/>
        <v>227909.32</v>
      </c>
      <c r="W16" s="58"/>
      <c r="X16" s="66"/>
      <c r="Y16" s="78"/>
      <c r="Z16" s="60"/>
      <c r="AA16" s="5"/>
      <c r="AB16" s="65"/>
      <c r="AC16" s="5"/>
      <c r="AD16" s="65"/>
      <c r="AE16" s="133">
        <f t="shared" si="3"/>
        <v>42159.5</v>
      </c>
      <c r="AF16" s="66">
        <f t="shared" si="4"/>
        <v>0</v>
      </c>
      <c r="AG16" s="78">
        <f t="shared" si="5"/>
        <v>9991801.5</v>
      </c>
      <c r="AH16" s="80">
        <f t="shared" si="6"/>
        <v>0</v>
      </c>
      <c r="AI16" s="59">
        <f t="shared" si="7"/>
        <v>139</v>
      </c>
      <c r="AJ16" s="56">
        <f t="shared" si="8"/>
        <v>18630.52</v>
      </c>
      <c r="AK16" s="212"/>
      <c r="AL16" s="212"/>
      <c r="AM16" s="212"/>
      <c r="AN16" s="212"/>
      <c r="AO16" s="79">
        <f t="shared" si="9"/>
        <v>0</v>
      </c>
      <c r="AP16" s="79">
        <f t="shared" si="10"/>
        <v>0</v>
      </c>
      <c r="AQ16" s="249">
        <v>4854694</v>
      </c>
      <c r="AR16" s="237">
        <v>2152165</v>
      </c>
      <c r="AS16" s="238">
        <v>184597</v>
      </c>
      <c r="AT16" s="239"/>
      <c r="AU16" s="240">
        <v>229</v>
      </c>
      <c r="AV16" s="240">
        <v>69</v>
      </c>
      <c r="AW16" s="241">
        <v>4</v>
      </c>
      <c r="AX16" s="242"/>
      <c r="AY16" s="240">
        <v>2552.6</v>
      </c>
      <c r="AZ16" s="240">
        <v>3131.59</v>
      </c>
      <c r="BA16" s="241">
        <v>564.29999999999995</v>
      </c>
      <c r="BB16" s="242"/>
      <c r="BC16" s="237">
        <v>21199.54</v>
      </c>
      <c r="BD16" s="237">
        <v>31190.799999999999</v>
      </c>
      <c r="BE16" s="238">
        <v>46149.25</v>
      </c>
      <c r="BF16" s="250"/>
      <c r="BG16" s="177">
        <f t="shared" si="11"/>
        <v>298</v>
      </c>
      <c r="BH16" s="90">
        <f t="shared" si="12"/>
        <v>4</v>
      </c>
      <c r="BI16" s="52">
        <f t="shared" si="13"/>
        <v>52390.34</v>
      </c>
      <c r="BJ16" s="80">
        <f t="shared" si="14"/>
        <v>46149.25</v>
      </c>
      <c r="BK16" s="63"/>
      <c r="BL16" s="59"/>
      <c r="BM16" s="59"/>
      <c r="BN16" s="60"/>
      <c r="BO16" s="58"/>
      <c r="BP16" s="59"/>
      <c r="BQ16" s="59"/>
      <c r="BR16" s="128"/>
      <c r="BS16" s="133">
        <f t="shared" si="15"/>
        <v>0</v>
      </c>
      <c r="BT16" s="66">
        <f t="shared" si="16"/>
        <v>46149.25</v>
      </c>
      <c r="BU16" s="78">
        <f t="shared" si="17"/>
        <v>0</v>
      </c>
      <c r="BV16" s="80">
        <f t="shared" si="18"/>
        <v>184597</v>
      </c>
      <c r="BW16" s="59">
        <f t="shared" si="19"/>
        <v>229</v>
      </c>
      <c r="BX16" s="56">
        <f t="shared" si="20"/>
        <v>21199.54</v>
      </c>
      <c r="BY16" s="212"/>
      <c r="BZ16" s="212"/>
      <c r="CA16" s="212"/>
      <c r="CB16" s="212"/>
      <c r="CC16" s="56">
        <f t="shared" si="21"/>
        <v>0</v>
      </c>
      <c r="CD16" s="79">
        <f t="shared" si="22"/>
        <v>0</v>
      </c>
      <c r="CE16" s="249">
        <v>4315890</v>
      </c>
      <c r="CF16" s="237">
        <v>1745210</v>
      </c>
      <c r="CG16" s="238">
        <v>654340</v>
      </c>
      <c r="CH16" s="239"/>
      <c r="CI16" s="240">
        <v>245</v>
      </c>
      <c r="CJ16" s="240">
        <v>60</v>
      </c>
      <c r="CK16" s="241">
        <v>7</v>
      </c>
      <c r="CL16" s="242"/>
      <c r="CM16" s="240">
        <v>2511.09</v>
      </c>
      <c r="CN16" s="240">
        <v>2806.58</v>
      </c>
      <c r="CO16" s="241">
        <v>2315</v>
      </c>
      <c r="CP16" s="242"/>
      <c r="CQ16" s="237">
        <v>17615.88</v>
      </c>
      <c r="CR16" s="237">
        <f>CF16/CJ16</f>
        <v>29086.833333333332</v>
      </c>
      <c r="CS16" s="238">
        <v>93477.14</v>
      </c>
      <c r="CT16" s="239"/>
      <c r="CU16" s="193">
        <f t="shared" si="39"/>
        <v>305</v>
      </c>
      <c r="CV16" s="128">
        <f t="shared" si="40"/>
        <v>7</v>
      </c>
      <c r="CW16" s="52">
        <f t="shared" si="41"/>
        <v>46702.713333333333</v>
      </c>
      <c r="CX16" s="57">
        <f t="shared" si="42"/>
        <v>93477.14</v>
      </c>
      <c r="CY16" s="58"/>
      <c r="CZ16" s="128"/>
      <c r="DA16" s="58"/>
      <c r="DB16" s="60"/>
      <c r="DC16" s="58"/>
      <c r="DD16" s="128"/>
      <c r="DE16" s="58"/>
      <c r="DF16" s="60"/>
      <c r="DG16" s="189">
        <f t="shared" si="27"/>
        <v>46702.713333333333</v>
      </c>
      <c r="DH16" s="67">
        <f t="shared" si="28"/>
        <v>0</v>
      </c>
      <c r="DI16" s="78">
        <f t="shared" si="29"/>
        <v>14244327.566666666</v>
      </c>
      <c r="DJ16" s="80">
        <f t="shared" si="30"/>
        <v>0</v>
      </c>
      <c r="DK16" s="59">
        <f t="shared" si="31"/>
        <v>245</v>
      </c>
      <c r="DL16" s="56">
        <f t="shared" si="32"/>
        <v>17615.88</v>
      </c>
      <c r="DM16" s="212"/>
      <c r="DN16" s="212"/>
      <c r="DO16" s="212"/>
      <c r="DP16" s="212"/>
      <c r="DQ16" s="56">
        <f t="shared" si="33"/>
        <v>0</v>
      </c>
      <c r="DR16" s="66">
        <f t="shared" si="34"/>
        <v>0</v>
      </c>
      <c r="DS16" s="78"/>
      <c r="DT16" s="79"/>
      <c r="DU16" s="80"/>
    </row>
    <row r="17" spans="1:125" x14ac:dyDescent="0.3">
      <c r="A17" s="20" t="s">
        <v>7</v>
      </c>
      <c r="B17" s="234" t="s">
        <v>13</v>
      </c>
      <c r="C17" s="78">
        <v>556671</v>
      </c>
      <c r="D17" s="79"/>
      <c r="E17" s="79"/>
      <c r="F17" s="80"/>
      <c r="G17" s="98">
        <v>119</v>
      </c>
      <c r="H17" s="99"/>
      <c r="I17" s="105"/>
      <c r="J17" s="106"/>
      <c r="K17" s="75">
        <v>1201</v>
      </c>
      <c r="L17" s="76"/>
      <c r="M17" s="76"/>
      <c r="N17" s="77"/>
      <c r="O17" s="112">
        <f>C17/G17</f>
        <v>4677.90756302521</v>
      </c>
      <c r="P17" s="113"/>
      <c r="Q17" s="109"/>
      <c r="R17" s="123"/>
      <c r="S17" s="135">
        <f t="shared" si="35"/>
        <v>119</v>
      </c>
      <c r="T17" s="90">
        <f t="shared" si="36"/>
        <v>0</v>
      </c>
      <c r="U17" s="52">
        <f t="shared" si="37"/>
        <v>4677.90756302521</v>
      </c>
      <c r="V17" s="80">
        <f t="shared" si="38"/>
        <v>0</v>
      </c>
      <c r="W17" s="75"/>
      <c r="X17" s="66"/>
      <c r="Y17" s="78"/>
      <c r="Z17" s="77"/>
      <c r="AA17" s="49"/>
      <c r="AB17" s="9"/>
      <c r="AC17" s="49"/>
      <c r="AD17" s="9"/>
      <c r="AE17" s="133">
        <f t="shared" si="3"/>
        <v>4677.90756302521</v>
      </c>
      <c r="AF17" s="66">
        <f t="shared" si="4"/>
        <v>0</v>
      </c>
      <c r="AG17" s="78">
        <f t="shared" si="5"/>
        <v>556671</v>
      </c>
      <c r="AH17" s="80">
        <f t="shared" si="6"/>
        <v>0</v>
      </c>
      <c r="AI17" s="215">
        <f t="shared" si="7"/>
        <v>119</v>
      </c>
      <c r="AJ17" s="216">
        <f t="shared" si="8"/>
        <v>4677.90756302521</v>
      </c>
      <c r="AK17" s="212"/>
      <c r="AL17" s="212"/>
      <c r="AM17" s="212"/>
      <c r="AN17" s="212"/>
      <c r="AO17" s="219">
        <f t="shared" si="9"/>
        <v>4677.90756302521</v>
      </c>
      <c r="AP17" s="79">
        <f t="shared" si="10"/>
        <v>556671</v>
      </c>
      <c r="AQ17" s="64">
        <v>294208</v>
      </c>
      <c r="AR17" s="79"/>
      <c r="AS17" s="79"/>
      <c r="AT17" s="80"/>
      <c r="AU17" s="166">
        <v>79</v>
      </c>
      <c r="AV17" s="167"/>
      <c r="AW17" s="94"/>
      <c r="AX17" s="101"/>
      <c r="AY17" s="75">
        <v>877.875</v>
      </c>
      <c r="AZ17" s="76"/>
      <c r="BA17" s="76"/>
      <c r="BB17" s="77"/>
      <c r="BC17" s="112">
        <f>AQ17/AU17</f>
        <v>3724.1518987341774</v>
      </c>
      <c r="BD17" s="113"/>
      <c r="BE17" s="171"/>
      <c r="BF17" s="179"/>
      <c r="BG17" s="177">
        <f t="shared" si="11"/>
        <v>79</v>
      </c>
      <c r="BH17" s="90">
        <f t="shared" si="12"/>
        <v>0</v>
      </c>
      <c r="BI17" s="52">
        <f t="shared" si="13"/>
        <v>3724.1518987341774</v>
      </c>
      <c r="BJ17" s="80">
        <f t="shared" si="14"/>
        <v>0</v>
      </c>
      <c r="BK17" s="32"/>
      <c r="BL17" s="76"/>
      <c r="BM17" s="76"/>
      <c r="BN17" s="77"/>
      <c r="BO17" s="75"/>
      <c r="BP17" s="76"/>
      <c r="BQ17" s="76"/>
      <c r="BR17" s="90"/>
      <c r="BS17" s="133">
        <f t="shared" si="15"/>
        <v>3724.1518987341774</v>
      </c>
      <c r="BT17" s="66">
        <f t="shared" si="16"/>
        <v>0</v>
      </c>
      <c r="BU17" s="78">
        <f t="shared" si="17"/>
        <v>294208</v>
      </c>
      <c r="BV17" s="80">
        <f t="shared" si="18"/>
        <v>0</v>
      </c>
      <c r="BW17" s="215">
        <f t="shared" si="19"/>
        <v>79</v>
      </c>
      <c r="BX17" s="216">
        <f t="shared" si="20"/>
        <v>3724.1518987341774</v>
      </c>
      <c r="BY17" s="212"/>
      <c r="BZ17" s="212"/>
      <c r="CA17" s="212"/>
      <c r="CB17" s="212"/>
      <c r="CC17" s="219">
        <f t="shared" si="21"/>
        <v>3724.1518987341774</v>
      </c>
      <c r="CD17" s="79">
        <f t="shared" si="22"/>
        <v>294208</v>
      </c>
      <c r="CE17" s="64">
        <v>274641</v>
      </c>
      <c r="CF17" s="79"/>
      <c r="CG17" s="79"/>
      <c r="CH17" s="80"/>
      <c r="CI17" s="75">
        <v>107</v>
      </c>
      <c r="CJ17" s="76"/>
      <c r="CK17" s="76"/>
      <c r="CL17" s="77"/>
      <c r="CM17" s="75">
        <v>1134.06</v>
      </c>
      <c r="CN17" s="76"/>
      <c r="CO17" s="76"/>
      <c r="CP17" s="77"/>
      <c r="CQ17" s="78">
        <f>CE17/CI17</f>
        <v>2566.7383177570096</v>
      </c>
      <c r="CR17" s="79"/>
      <c r="CS17" s="79"/>
      <c r="CT17" s="80"/>
      <c r="CU17" s="193">
        <f t="shared" si="39"/>
        <v>107</v>
      </c>
      <c r="CV17" s="128">
        <f t="shared" si="40"/>
        <v>0</v>
      </c>
      <c r="CW17" s="52">
        <f t="shared" si="41"/>
        <v>2566.7383177570096</v>
      </c>
      <c r="CX17" s="57">
        <f t="shared" si="42"/>
        <v>0</v>
      </c>
      <c r="CY17" s="75"/>
      <c r="CZ17" s="90"/>
      <c r="DA17" s="75"/>
      <c r="DB17" s="77"/>
      <c r="DC17" s="75"/>
      <c r="DD17" s="90"/>
      <c r="DE17" s="75"/>
      <c r="DF17" s="77"/>
      <c r="DG17" s="189">
        <f t="shared" si="27"/>
        <v>2566.7383177570096</v>
      </c>
      <c r="DH17" s="67">
        <f t="shared" si="28"/>
        <v>0</v>
      </c>
      <c r="DI17" s="78">
        <f t="shared" si="29"/>
        <v>274641</v>
      </c>
      <c r="DJ17" s="80">
        <f t="shared" si="30"/>
        <v>0</v>
      </c>
      <c r="DK17" s="215">
        <f t="shared" si="31"/>
        <v>107</v>
      </c>
      <c r="DL17" s="216">
        <f t="shared" si="32"/>
        <v>2566.7383177570096</v>
      </c>
      <c r="DM17" s="212"/>
      <c r="DN17" s="212"/>
      <c r="DO17" s="212"/>
      <c r="DP17" s="212"/>
      <c r="DQ17" s="219">
        <f t="shared" si="33"/>
        <v>2566.7383177570096</v>
      </c>
      <c r="DR17" s="66">
        <f t="shared" si="34"/>
        <v>274641</v>
      </c>
      <c r="DS17" s="78"/>
      <c r="DT17" s="79"/>
      <c r="DU17" s="80"/>
    </row>
    <row r="18" spans="1:125" x14ac:dyDescent="0.3">
      <c r="A18" s="20" t="s">
        <v>8</v>
      </c>
      <c r="B18" s="42" t="s">
        <v>14</v>
      </c>
      <c r="C18" s="78">
        <v>272248</v>
      </c>
      <c r="D18" s="79"/>
      <c r="E18" s="79"/>
      <c r="F18" s="80"/>
      <c r="G18" s="98">
        <v>50</v>
      </c>
      <c r="H18" s="99"/>
      <c r="I18" s="105"/>
      <c r="J18" s="106"/>
      <c r="K18" s="75">
        <v>1303.4680000000001</v>
      </c>
      <c r="L18" s="76"/>
      <c r="M18" s="76"/>
      <c r="N18" s="77"/>
      <c r="O18" s="112">
        <f>C18/G18</f>
        <v>5444.96</v>
      </c>
      <c r="P18" s="113"/>
      <c r="Q18" s="109"/>
      <c r="R18" s="123"/>
      <c r="S18" s="135">
        <f t="shared" si="35"/>
        <v>50</v>
      </c>
      <c r="T18" s="90">
        <f t="shared" si="36"/>
        <v>0</v>
      </c>
      <c r="U18" s="52">
        <f t="shared" si="37"/>
        <v>5444.96</v>
      </c>
      <c r="V18" s="80">
        <f t="shared" si="38"/>
        <v>0</v>
      </c>
      <c r="W18" s="75"/>
      <c r="X18" s="66"/>
      <c r="Y18" s="78"/>
      <c r="Z18" s="77"/>
      <c r="AA18" s="49"/>
      <c r="AB18" s="9"/>
      <c r="AC18" s="49"/>
      <c r="AD18" s="9"/>
      <c r="AE18" s="133">
        <f t="shared" si="3"/>
        <v>5444.96</v>
      </c>
      <c r="AF18" s="66">
        <f t="shared" si="4"/>
        <v>0</v>
      </c>
      <c r="AG18" s="78">
        <f t="shared" si="5"/>
        <v>272248</v>
      </c>
      <c r="AH18" s="80">
        <f t="shared" si="6"/>
        <v>0</v>
      </c>
      <c r="AI18" s="215">
        <f t="shared" si="7"/>
        <v>50</v>
      </c>
      <c r="AJ18" s="216">
        <f t="shared" si="8"/>
        <v>5444.96</v>
      </c>
      <c r="AK18" s="212"/>
      <c r="AL18" s="212"/>
      <c r="AM18" s="212"/>
      <c r="AN18" s="212"/>
      <c r="AO18" s="219">
        <f t="shared" si="9"/>
        <v>5444.96</v>
      </c>
      <c r="AP18" s="79">
        <f t="shared" si="10"/>
        <v>272248</v>
      </c>
      <c r="AQ18" s="64">
        <v>217408</v>
      </c>
      <c r="AR18" s="79"/>
      <c r="AS18" s="79"/>
      <c r="AT18" s="80"/>
      <c r="AU18" s="166">
        <v>89</v>
      </c>
      <c r="AV18" s="167"/>
      <c r="AW18" s="94"/>
      <c r="AX18" s="101"/>
      <c r="AY18" s="75">
        <v>1243.425</v>
      </c>
      <c r="AZ18" s="76"/>
      <c r="BA18" s="76"/>
      <c r="BB18" s="77"/>
      <c r="BC18" s="112">
        <f>AQ18/AU18</f>
        <v>2442.7865168539324</v>
      </c>
      <c r="BD18" s="113"/>
      <c r="BE18" s="171"/>
      <c r="BF18" s="179"/>
      <c r="BG18" s="177">
        <f t="shared" si="11"/>
        <v>89</v>
      </c>
      <c r="BH18" s="90">
        <f t="shared" si="12"/>
        <v>0</v>
      </c>
      <c r="BI18" s="52">
        <f t="shared" si="13"/>
        <v>2442.7865168539324</v>
      </c>
      <c r="BJ18" s="80">
        <f t="shared" si="14"/>
        <v>0</v>
      </c>
      <c r="BK18" s="32"/>
      <c r="BL18" s="76"/>
      <c r="BM18" s="76"/>
      <c r="BN18" s="77"/>
      <c r="BO18" s="75"/>
      <c r="BP18" s="76"/>
      <c r="BQ18" s="76"/>
      <c r="BR18" s="90"/>
      <c r="BS18" s="133">
        <f t="shared" si="15"/>
        <v>2442.7865168539324</v>
      </c>
      <c r="BT18" s="66">
        <f t="shared" si="16"/>
        <v>0</v>
      </c>
      <c r="BU18" s="78">
        <f t="shared" si="17"/>
        <v>217408</v>
      </c>
      <c r="BV18" s="80">
        <f t="shared" si="18"/>
        <v>0</v>
      </c>
      <c r="BW18" s="215">
        <f t="shared" si="19"/>
        <v>89</v>
      </c>
      <c r="BX18" s="216">
        <f t="shared" si="20"/>
        <v>2442.7865168539324</v>
      </c>
      <c r="BY18" s="212"/>
      <c r="BZ18" s="212"/>
      <c r="CA18" s="212"/>
      <c r="CB18" s="212"/>
      <c r="CC18" s="219">
        <f t="shared" si="21"/>
        <v>2442.7865168539324</v>
      </c>
      <c r="CD18" s="79">
        <f t="shared" si="22"/>
        <v>217408</v>
      </c>
      <c r="CE18" s="64">
        <v>63899</v>
      </c>
      <c r="CF18" s="79"/>
      <c r="CG18" s="79"/>
      <c r="CH18" s="80"/>
      <c r="CI18" s="75">
        <v>50</v>
      </c>
      <c r="CJ18" s="76"/>
      <c r="CK18" s="76"/>
      <c r="CL18" s="77"/>
      <c r="CM18" s="75">
        <v>741.52499999999998</v>
      </c>
      <c r="CN18" s="76"/>
      <c r="CO18" s="76"/>
      <c r="CP18" s="77"/>
      <c r="CQ18" s="78">
        <f>CE18/CI18</f>
        <v>1277.98</v>
      </c>
      <c r="CR18" s="79"/>
      <c r="CS18" s="79"/>
      <c r="CT18" s="80"/>
      <c r="CU18" s="193">
        <f t="shared" si="39"/>
        <v>50</v>
      </c>
      <c r="CV18" s="128">
        <f t="shared" si="40"/>
        <v>0</v>
      </c>
      <c r="CW18" s="52">
        <f t="shared" si="41"/>
        <v>1277.98</v>
      </c>
      <c r="CX18" s="57">
        <f t="shared" si="42"/>
        <v>0</v>
      </c>
      <c r="CY18" s="75"/>
      <c r="CZ18" s="90"/>
      <c r="DA18" s="75"/>
      <c r="DB18" s="77"/>
      <c r="DC18" s="75"/>
      <c r="DD18" s="90"/>
      <c r="DE18" s="75"/>
      <c r="DF18" s="77"/>
      <c r="DG18" s="189">
        <f t="shared" si="27"/>
        <v>1277.98</v>
      </c>
      <c r="DH18" s="67">
        <f t="shared" si="28"/>
        <v>0</v>
      </c>
      <c r="DI18" s="78">
        <f t="shared" si="29"/>
        <v>63899</v>
      </c>
      <c r="DJ18" s="80">
        <f t="shared" si="30"/>
        <v>0</v>
      </c>
      <c r="DK18" s="215">
        <f t="shared" si="31"/>
        <v>50</v>
      </c>
      <c r="DL18" s="216">
        <f t="shared" si="32"/>
        <v>1277.98</v>
      </c>
      <c r="DM18" s="212"/>
      <c r="DN18" s="212"/>
      <c r="DO18" s="212"/>
      <c r="DP18" s="212"/>
      <c r="DQ18" s="219">
        <f t="shared" si="33"/>
        <v>0</v>
      </c>
      <c r="DR18" s="66">
        <f t="shared" si="34"/>
        <v>0</v>
      </c>
      <c r="DS18" s="78"/>
      <c r="DT18" s="79"/>
      <c r="DU18" s="80"/>
    </row>
    <row r="19" spans="1:125" x14ac:dyDescent="0.3">
      <c r="A19" s="20" t="s">
        <v>44</v>
      </c>
      <c r="B19" s="72" t="s">
        <v>15</v>
      </c>
      <c r="C19" s="237">
        <v>2469001.91</v>
      </c>
      <c r="D19" s="238">
        <v>1906409.26</v>
      </c>
      <c r="E19" s="238">
        <v>2656643.83</v>
      </c>
      <c r="F19" s="239"/>
      <c r="G19" s="240">
        <v>525</v>
      </c>
      <c r="H19" s="241">
        <v>116</v>
      </c>
      <c r="I19" s="241">
        <v>17</v>
      </c>
      <c r="J19" s="242">
        <v>0</v>
      </c>
      <c r="K19" s="240">
        <v>7092</v>
      </c>
      <c r="L19" s="241">
        <v>5476</v>
      </c>
      <c r="M19" s="241">
        <v>7631</v>
      </c>
      <c r="N19" s="242">
        <v>0</v>
      </c>
      <c r="O19" s="237">
        <v>4702.8599999999997</v>
      </c>
      <c r="P19" s="238">
        <v>16434.560000000001</v>
      </c>
      <c r="Q19" s="238">
        <v>156273.17000000001</v>
      </c>
      <c r="R19" s="239">
        <v>0</v>
      </c>
      <c r="S19" s="135">
        <f t="shared" si="35"/>
        <v>641</v>
      </c>
      <c r="T19" s="90">
        <f t="shared" si="36"/>
        <v>17</v>
      </c>
      <c r="U19" s="52">
        <f t="shared" si="37"/>
        <v>21137.420000000002</v>
      </c>
      <c r="V19" s="127">
        <f t="shared" si="38"/>
        <v>156273.17000000001</v>
      </c>
      <c r="W19" s="75"/>
      <c r="X19" s="66"/>
      <c r="Y19" s="78"/>
      <c r="Z19" s="77"/>
      <c r="AA19" s="49"/>
      <c r="AB19" s="9"/>
      <c r="AC19" s="49"/>
      <c r="AD19" s="9"/>
      <c r="AE19" s="133">
        <f t="shared" si="3"/>
        <v>21137.420000000002</v>
      </c>
      <c r="AF19" s="66">
        <f t="shared" si="4"/>
        <v>0</v>
      </c>
      <c r="AG19" s="78">
        <f t="shared" si="5"/>
        <v>13549086.220000001</v>
      </c>
      <c r="AH19" s="80">
        <f t="shared" si="6"/>
        <v>0</v>
      </c>
      <c r="AI19" s="215">
        <f t="shared" si="7"/>
        <v>525</v>
      </c>
      <c r="AJ19" s="216">
        <f t="shared" si="8"/>
        <v>4702.8599999999997</v>
      </c>
      <c r="AK19" s="212"/>
      <c r="AL19" s="212"/>
      <c r="AM19" s="212"/>
      <c r="AN19" s="212"/>
      <c r="AO19" s="219">
        <f t="shared" si="9"/>
        <v>4702.8599999999997</v>
      </c>
      <c r="AP19" s="79">
        <f t="shared" si="10"/>
        <v>2469001.5</v>
      </c>
      <c r="AQ19" s="64">
        <v>2953057.81</v>
      </c>
      <c r="AR19" s="79">
        <v>2771747.14</v>
      </c>
      <c r="AS19" s="79">
        <v>1961018.06</v>
      </c>
      <c r="AT19" s="80">
        <v>0</v>
      </c>
      <c r="AU19" s="166">
        <v>531</v>
      </c>
      <c r="AV19" s="167">
        <v>112</v>
      </c>
      <c r="AW19" s="94">
        <v>16</v>
      </c>
      <c r="AX19" s="101">
        <v>0</v>
      </c>
      <c r="AY19" s="75">
        <v>7427</v>
      </c>
      <c r="AZ19" s="76">
        <v>6971</v>
      </c>
      <c r="BA19" s="76">
        <v>4932</v>
      </c>
      <c r="BB19" s="77">
        <v>0</v>
      </c>
      <c r="BC19" s="112">
        <v>5561.31</v>
      </c>
      <c r="BD19" s="113">
        <v>24747.74</v>
      </c>
      <c r="BE19" s="171">
        <v>122563.63</v>
      </c>
      <c r="BF19" s="179">
        <v>0</v>
      </c>
      <c r="BG19" s="75">
        <f t="shared" si="11"/>
        <v>643</v>
      </c>
      <c r="BH19" s="90">
        <f t="shared" si="12"/>
        <v>16</v>
      </c>
      <c r="BI19" s="52">
        <f t="shared" si="13"/>
        <v>30309.050000000003</v>
      </c>
      <c r="BJ19" s="126">
        <f t="shared" si="14"/>
        <v>122563.63</v>
      </c>
      <c r="BK19" s="32"/>
      <c r="BL19" s="76"/>
      <c r="BM19" s="76"/>
      <c r="BN19" s="77"/>
      <c r="BO19" s="75"/>
      <c r="BP19" s="76"/>
      <c r="BQ19" s="76"/>
      <c r="BR19" s="90"/>
      <c r="BS19" s="78">
        <f t="shared" si="15"/>
        <v>30309.050000000003</v>
      </c>
      <c r="BT19" s="66">
        <f t="shared" si="16"/>
        <v>0</v>
      </c>
      <c r="BU19" s="78">
        <f t="shared" si="17"/>
        <v>19488719.150000002</v>
      </c>
      <c r="BV19" s="80">
        <f t="shared" si="18"/>
        <v>0</v>
      </c>
      <c r="BW19" s="215">
        <f t="shared" si="19"/>
        <v>531</v>
      </c>
      <c r="BX19" s="216">
        <f t="shared" si="20"/>
        <v>5561.31</v>
      </c>
      <c r="BY19" s="212"/>
      <c r="BZ19" s="212"/>
      <c r="CA19" s="212"/>
      <c r="CB19" s="212"/>
      <c r="CC19" s="219">
        <f t="shared" si="21"/>
        <v>5561.31</v>
      </c>
      <c r="CD19" s="79">
        <f t="shared" si="22"/>
        <v>2953055.6100000003</v>
      </c>
      <c r="CE19" s="64">
        <v>3633696.01</v>
      </c>
      <c r="CF19" s="79">
        <v>2819115.49</v>
      </c>
      <c r="CG19" s="79">
        <v>2700977.5</v>
      </c>
      <c r="CH19" s="80">
        <v>0</v>
      </c>
      <c r="CI19" s="75">
        <v>523</v>
      </c>
      <c r="CJ19" s="76">
        <v>131</v>
      </c>
      <c r="CK19" s="76">
        <v>20</v>
      </c>
      <c r="CL19" s="77">
        <v>0</v>
      </c>
      <c r="CM19" s="75">
        <v>7628</v>
      </c>
      <c r="CN19" s="76">
        <v>5918</v>
      </c>
      <c r="CO19" s="76">
        <v>5670</v>
      </c>
      <c r="CP19" s="77">
        <v>0</v>
      </c>
      <c r="CQ19" s="78">
        <v>6947.79</v>
      </c>
      <c r="CR19" s="79">
        <v>21519.97</v>
      </c>
      <c r="CS19" s="79">
        <v>135048.88</v>
      </c>
      <c r="CT19" s="80">
        <v>0</v>
      </c>
      <c r="CU19" s="193">
        <f t="shared" si="39"/>
        <v>654</v>
      </c>
      <c r="CV19" s="128">
        <f t="shared" si="40"/>
        <v>20</v>
      </c>
      <c r="CW19" s="52">
        <f t="shared" si="41"/>
        <v>28467.760000000002</v>
      </c>
      <c r="CX19" s="126">
        <f t="shared" si="42"/>
        <v>135048.88</v>
      </c>
      <c r="CY19" s="75"/>
      <c r="CZ19" s="90"/>
      <c r="DA19" s="75"/>
      <c r="DB19" s="77"/>
      <c r="DC19" s="75"/>
      <c r="DD19" s="90"/>
      <c r="DE19" s="75"/>
      <c r="DF19" s="77"/>
      <c r="DG19" s="189">
        <f t="shared" si="27"/>
        <v>28467.760000000002</v>
      </c>
      <c r="DH19" s="67">
        <f t="shared" si="28"/>
        <v>0</v>
      </c>
      <c r="DI19" s="78">
        <f t="shared" si="29"/>
        <v>18617915.040000003</v>
      </c>
      <c r="DJ19" s="80">
        <f t="shared" si="30"/>
        <v>0</v>
      </c>
      <c r="DK19" s="215">
        <f t="shared" si="31"/>
        <v>523</v>
      </c>
      <c r="DL19" s="216">
        <f t="shared" si="32"/>
        <v>6947.79</v>
      </c>
      <c r="DM19" s="212"/>
      <c r="DN19" s="212"/>
      <c r="DO19" s="212"/>
      <c r="DP19" s="212"/>
      <c r="DQ19" s="219">
        <f t="shared" si="33"/>
        <v>6947.79</v>
      </c>
      <c r="DR19" s="66">
        <f t="shared" si="34"/>
        <v>3633694.17</v>
      </c>
      <c r="DS19" s="78"/>
      <c r="DT19" s="79"/>
      <c r="DU19" s="80"/>
    </row>
    <row r="20" spans="1:125" x14ac:dyDescent="0.3">
      <c r="A20" s="20" t="s">
        <v>45</v>
      </c>
      <c r="B20" s="234" t="s">
        <v>16</v>
      </c>
      <c r="C20" s="78">
        <v>863766.84</v>
      </c>
      <c r="D20" s="79">
        <v>21478.54</v>
      </c>
      <c r="E20" s="79">
        <v>0</v>
      </c>
      <c r="F20" s="80">
        <v>0</v>
      </c>
      <c r="G20" s="98">
        <v>69</v>
      </c>
      <c r="H20" s="99">
        <v>1</v>
      </c>
      <c r="I20" s="105">
        <v>0</v>
      </c>
      <c r="J20" s="106">
        <v>0</v>
      </c>
      <c r="K20" s="75">
        <v>849</v>
      </c>
      <c r="L20" s="76">
        <v>18</v>
      </c>
      <c r="M20" s="76">
        <v>0</v>
      </c>
      <c r="N20" s="77">
        <v>0</v>
      </c>
      <c r="O20" s="112">
        <f>C20/G20</f>
        <v>12518.359999999999</v>
      </c>
      <c r="P20" s="113">
        <f>D20/H20</f>
        <v>21478.54</v>
      </c>
      <c r="Q20" s="109">
        <v>0</v>
      </c>
      <c r="R20" s="123">
        <v>0</v>
      </c>
      <c r="S20" s="135">
        <f t="shared" si="35"/>
        <v>70</v>
      </c>
      <c r="T20" s="90">
        <f t="shared" si="36"/>
        <v>0</v>
      </c>
      <c r="U20" s="52">
        <f t="shared" si="37"/>
        <v>33996.9</v>
      </c>
      <c r="V20" s="80">
        <f t="shared" si="38"/>
        <v>0</v>
      </c>
      <c r="W20" s="75"/>
      <c r="X20" s="66"/>
      <c r="Y20" s="78"/>
      <c r="Z20" s="77"/>
      <c r="AA20" s="49"/>
      <c r="AB20" s="9"/>
      <c r="AC20" s="49"/>
      <c r="AD20" s="9"/>
      <c r="AE20" s="133">
        <f t="shared" si="3"/>
        <v>33996.9</v>
      </c>
      <c r="AF20" s="66">
        <f t="shared" si="4"/>
        <v>0</v>
      </c>
      <c r="AG20" s="78">
        <f t="shared" si="5"/>
        <v>2379783</v>
      </c>
      <c r="AH20" s="80">
        <f t="shared" si="6"/>
        <v>0</v>
      </c>
      <c r="AI20" s="59">
        <f t="shared" si="7"/>
        <v>69</v>
      </c>
      <c r="AJ20" s="216">
        <f t="shared" si="8"/>
        <v>12518.359999999999</v>
      </c>
      <c r="AK20" s="212"/>
      <c r="AL20" s="212"/>
      <c r="AM20" s="212"/>
      <c r="AN20" s="212"/>
      <c r="AO20" s="79">
        <f t="shared" si="9"/>
        <v>0</v>
      </c>
      <c r="AP20" s="79">
        <f t="shared" si="10"/>
        <v>0</v>
      </c>
      <c r="AQ20" s="64">
        <v>643325.4</v>
      </c>
      <c r="AR20" s="79">
        <v>51281.48</v>
      </c>
      <c r="AS20" s="79">
        <v>0</v>
      </c>
      <c r="AT20" s="80">
        <v>0</v>
      </c>
      <c r="AU20" s="166">
        <v>60</v>
      </c>
      <c r="AV20" s="167">
        <v>4</v>
      </c>
      <c r="AW20" s="94">
        <v>0</v>
      </c>
      <c r="AX20" s="101">
        <v>0</v>
      </c>
      <c r="AY20" s="75">
        <v>840</v>
      </c>
      <c r="AZ20" s="76">
        <v>879</v>
      </c>
      <c r="BA20" s="76">
        <v>0</v>
      </c>
      <c r="BB20" s="77">
        <v>0</v>
      </c>
      <c r="BC20" s="112">
        <f>AQ20/AU20</f>
        <v>10722.09</v>
      </c>
      <c r="BD20" s="113">
        <f>AR20/AV20</f>
        <v>12820.37</v>
      </c>
      <c r="BE20" s="171">
        <v>0</v>
      </c>
      <c r="BF20" s="179">
        <v>0</v>
      </c>
      <c r="BG20" s="177">
        <f t="shared" si="11"/>
        <v>64</v>
      </c>
      <c r="BH20" s="90">
        <f t="shared" si="12"/>
        <v>0</v>
      </c>
      <c r="BI20" s="52">
        <f t="shared" si="13"/>
        <v>23542.46</v>
      </c>
      <c r="BJ20" s="80">
        <f t="shared" si="14"/>
        <v>0</v>
      </c>
      <c r="BK20" s="32"/>
      <c r="BL20" s="76"/>
      <c r="BM20" s="76"/>
      <c r="BN20" s="77"/>
      <c r="BO20" s="75"/>
      <c r="BP20" s="76"/>
      <c r="BQ20" s="76"/>
      <c r="BR20" s="90"/>
      <c r="BS20" s="133">
        <f t="shared" si="15"/>
        <v>23542.46</v>
      </c>
      <c r="BT20" s="66">
        <f t="shared" si="16"/>
        <v>0</v>
      </c>
      <c r="BU20" s="78">
        <f t="shared" si="17"/>
        <v>1506717.44</v>
      </c>
      <c r="BV20" s="80">
        <f t="shared" si="18"/>
        <v>0</v>
      </c>
      <c r="BW20" s="59">
        <f t="shared" si="19"/>
        <v>60</v>
      </c>
      <c r="BX20" s="216">
        <f t="shared" si="20"/>
        <v>10722.09</v>
      </c>
      <c r="BY20" s="212"/>
      <c r="BZ20" s="212"/>
      <c r="CA20" s="212"/>
      <c r="CB20" s="212"/>
      <c r="CC20" s="56">
        <f t="shared" si="21"/>
        <v>10722.09</v>
      </c>
      <c r="CD20" s="79">
        <f t="shared" si="22"/>
        <v>643325.4</v>
      </c>
      <c r="CE20" s="32">
        <v>791763.96</v>
      </c>
      <c r="CF20" s="76">
        <v>65847.7</v>
      </c>
      <c r="CG20" s="76">
        <v>0</v>
      </c>
      <c r="CH20" s="77">
        <v>0</v>
      </c>
      <c r="CI20" s="75">
        <v>69</v>
      </c>
      <c r="CJ20" s="76">
        <v>5</v>
      </c>
      <c r="CK20" s="76">
        <v>0</v>
      </c>
      <c r="CL20" s="77">
        <v>0</v>
      </c>
      <c r="CM20" s="78">
        <v>926.5</v>
      </c>
      <c r="CN20" s="79">
        <v>751</v>
      </c>
      <c r="CO20" s="79">
        <v>0</v>
      </c>
      <c r="CP20" s="80">
        <v>0</v>
      </c>
      <c r="CQ20" s="78">
        <f>CE20/CI20</f>
        <v>11474.84</v>
      </c>
      <c r="CR20" s="79">
        <f>CF20/CJ20</f>
        <v>13169.539999999999</v>
      </c>
      <c r="CS20" s="79">
        <v>0</v>
      </c>
      <c r="CT20" s="80">
        <v>0</v>
      </c>
      <c r="CU20" s="193">
        <f t="shared" si="39"/>
        <v>74</v>
      </c>
      <c r="CV20" s="128">
        <f t="shared" si="40"/>
        <v>0</v>
      </c>
      <c r="CW20" s="52">
        <f t="shared" si="41"/>
        <v>24644.379999999997</v>
      </c>
      <c r="CX20" s="57">
        <f t="shared" si="42"/>
        <v>0</v>
      </c>
      <c r="CY20" s="75"/>
      <c r="CZ20" s="90"/>
      <c r="DA20" s="75"/>
      <c r="DB20" s="77"/>
      <c r="DC20" s="75"/>
      <c r="DD20" s="90"/>
      <c r="DE20" s="75"/>
      <c r="DF20" s="77"/>
      <c r="DG20" s="189">
        <f t="shared" si="27"/>
        <v>24644.379999999997</v>
      </c>
      <c r="DH20" s="67">
        <f t="shared" si="28"/>
        <v>0</v>
      </c>
      <c r="DI20" s="78">
        <f t="shared" si="29"/>
        <v>1823684.1199999999</v>
      </c>
      <c r="DJ20" s="80">
        <f t="shared" si="30"/>
        <v>0</v>
      </c>
      <c r="DK20" s="59">
        <f t="shared" si="31"/>
        <v>69</v>
      </c>
      <c r="DL20" s="216">
        <f t="shared" si="32"/>
        <v>11474.84</v>
      </c>
      <c r="DM20" s="212"/>
      <c r="DN20" s="212"/>
      <c r="DO20" s="212"/>
      <c r="DP20" s="212"/>
      <c r="DQ20" s="56">
        <f t="shared" si="33"/>
        <v>11474.84</v>
      </c>
      <c r="DR20" s="66">
        <f t="shared" si="34"/>
        <v>791763.96</v>
      </c>
      <c r="DS20" s="78"/>
      <c r="DT20" s="79"/>
      <c r="DU20" s="80"/>
    </row>
    <row r="21" spans="1:125" x14ac:dyDescent="0.3">
      <c r="A21" s="20" t="s">
        <v>46</v>
      </c>
      <c r="B21" s="234" t="s">
        <v>17</v>
      </c>
      <c r="C21" s="78">
        <v>140844.44</v>
      </c>
      <c r="D21" s="79"/>
      <c r="E21" s="79"/>
      <c r="F21" s="80"/>
      <c r="G21" s="98">
        <v>22</v>
      </c>
      <c r="H21" s="99"/>
      <c r="I21" s="105"/>
      <c r="J21" s="106"/>
      <c r="K21" s="75">
        <v>169</v>
      </c>
      <c r="L21" s="76"/>
      <c r="M21" s="76"/>
      <c r="N21" s="77"/>
      <c r="O21" s="112">
        <f>C21/G21</f>
        <v>6402.02</v>
      </c>
      <c r="P21" s="113"/>
      <c r="Q21" s="109"/>
      <c r="R21" s="123"/>
      <c r="S21" s="76">
        <f t="shared" si="35"/>
        <v>22</v>
      </c>
      <c r="T21" s="90">
        <f t="shared" si="36"/>
        <v>0</v>
      </c>
      <c r="U21" s="52">
        <f t="shared" si="37"/>
        <v>6402.02</v>
      </c>
      <c r="V21" s="80">
        <f t="shared" si="38"/>
        <v>0</v>
      </c>
      <c r="W21" s="75"/>
      <c r="X21" s="66"/>
      <c r="Y21" s="78"/>
      <c r="Z21" s="77"/>
      <c r="AA21" s="49"/>
      <c r="AB21" s="9"/>
      <c r="AC21" s="49"/>
      <c r="AD21" s="9"/>
      <c r="AE21" s="78">
        <f t="shared" si="3"/>
        <v>6402.02</v>
      </c>
      <c r="AF21" s="66">
        <f t="shared" si="4"/>
        <v>0</v>
      </c>
      <c r="AG21" s="78">
        <f t="shared" si="5"/>
        <v>140844.44</v>
      </c>
      <c r="AH21" s="80">
        <f t="shared" si="6"/>
        <v>0</v>
      </c>
      <c r="AI21" s="215">
        <f t="shared" si="7"/>
        <v>22</v>
      </c>
      <c r="AJ21" s="216">
        <f t="shared" si="8"/>
        <v>6402.02</v>
      </c>
      <c r="AK21" s="212"/>
      <c r="AL21" s="212"/>
      <c r="AM21" s="212"/>
      <c r="AN21" s="212"/>
      <c r="AO21" s="219">
        <f t="shared" si="9"/>
        <v>6402.02</v>
      </c>
      <c r="AP21" s="79">
        <f t="shared" si="10"/>
        <v>140844.44</v>
      </c>
      <c r="AQ21" s="64">
        <v>141733.20000000001</v>
      </c>
      <c r="AR21" s="79"/>
      <c r="AS21" s="79">
        <v>3015.6</v>
      </c>
      <c r="AT21" s="80"/>
      <c r="AU21" s="166">
        <v>47</v>
      </c>
      <c r="AV21" s="167"/>
      <c r="AW21" s="94">
        <v>1</v>
      </c>
      <c r="AX21" s="101"/>
      <c r="AY21" s="75">
        <v>513.29999999999995</v>
      </c>
      <c r="AZ21" s="76"/>
      <c r="BA21" s="76">
        <v>1</v>
      </c>
      <c r="BB21" s="77"/>
      <c r="BC21" s="112">
        <f>AQ21/AU21</f>
        <v>3015.6000000000004</v>
      </c>
      <c r="BD21" s="113"/>
      <c r="BE21" s="171">
        <f>AS21/AW21</f>
        <v>3015.6</v>
      </c>
      <c r="BF21" s="179"/>
      <c r="BG21" s="177">
        <f t="shared" si="11"/>
        <v>47</v>
      </c>
      <c r="BH21" s="90">
        <f t="shared" si="12"/>
        <v>1</v>
      </c>
      <c r="BI21" s="52">
        <f t="shared" si="13"/>
        <v>3015.6000000000004</v>
      </c>
      <c r="BJ21" s="80">
        <f t="shared" si="14"/>
        <v>3015.6</v>
      </c>
      <c r="BK21" s="32"/>
      <c r="BL21" s="76"/>
      <c r="BM21" s="76"/>
      <c r="BN21" s="77"/>
      <c r="BO21" s="75"/>
      <c r="BP21" s="76"/>
      <c r="BQ21" s="76"/>
      <c r="BR21" s="90"/>
      <c r="BS21" s="133">
        <f t="shared" si="15"/>
        <v>3015.6000000000004</v>
      </c>
      <c r="BT21" s="66">
        <f t="shared" si="16"/>
        <v>3015.6</v>
      </c>
      <c r="BU21" s="78">
        <f t="shared" si="17"/>
        <v>141733.20000000001</v>
      </c>
      <c r="BV21" s="80">
        <f t="shared" si="18"/>
        <v>3015.6</v>
      </c>
      <c r="BW21" s="215">
        <f t="shared" si="19"/>
        <v>47</v>
      </c>
      <c r="BX21" s="216">
        <f t="shared" si="20"/>
        <v>3015.6000000000004</v>
      </c>
      <c r="BY21" s="212"/>
      <c r="BZ21" s="212"/>
      <c r="CA21" s="212"/>
      <c r="CB21" s="212"/>
      <c r="CC21" s="219">
        <f t="shared" si="21"/>
        <v>3015.6000000000004</v>
      </c>
      <c r="CD21" s="79">
        <f t="shared" si="22"/>
        <v>141733.20000000001</v>
      </c>
      <c r="CE21" s="64">
        <v>112157.5</v>
      </c>
      <c r="CF21" s="79"/>
      <c r="CG21" s="79"/>
      <c r="CH21" s="80"/>
      <c r="CI21" s="75">
        <v>35</v>
      </c>
      <c r="CJ21" s="76"/>
      <c r="CK21" s="76"/>
      <c r="CL21" s="77"/>
      <c r="CM21" s="75">
        <v>446</v>
      </c>
      <c r="CN21" s="76"/>
      <c r="CO21" s="76"/>
      <c r="CP21" s="77"/>
      <c r="CQ21" s="78">
        <f>CE21/CI21</f>
        <v>3204.5</v>
      </c>
      <c r="CR21" s="79"/>
      <c r="CS21" s="79"/>
      <c r="CT21" s="80"/>
      <c r="CU21" s="193">
        <f t="shared" si="39"/>
        <v>35</v>
      </c>
      <c r="CV21" s="128">
        <f t="shared" si="40"/>
        <v>0</v>
      </c>
      <c r="CW21" s="52">
        <f t="shared" si="41"/>
        <v>3204.5</v>
      </c>
      <c r="CX21" s="57">
        <f t="shared" si="42"/>
        <v>0</v>
      </c>
      <c r="CY21" s="75"/>
      <c r="CZ21" s="90"/>
      <c r="DA21" s="75"/>
      <c r="DB21" s="77"/>
      <c r="DC21" s="75"/>
      <c r="DD21" s="90"/>
      <c r="DE21" s="75"/>
      <c r="DF21" s="77"/>
      <c r="DG21" s="189">
        <f t="shared" si="27"/>
        <v>3204.5</v>
      </c>
      <c r="DH21" s="67">
        <f t="shared" si="28"/>
        <v>0</v>
      </c>
      <c r="DI21" s="78">
        <f t="shared" si="29"/>
        <v>112157.5</v>
      </c>
      <c r="DJ21" s="80">
        <f t="shared" si="30"/>
        <v>0</v>
      </c>
      <c r="DK21" s="215">
        <f t="shared" si="31"/>
        <v>35</v>
      </c>
      <c r="DL21" s="216">
        <f t="shared" si="32"/>
        <v>3204.5</v>
      </c>
      <c r="DM21" s="212"/>
      <c r="DN21" s="212"/>
      <c r="DO21" s="212"/>
      <c r="DP21" s="212"/>
      <c r="DQ21" s="219">
        <f t="shared" si="33"/>
        <v>3204.5</v>
      </c>
      <c r="DR21" s="66">
        <f t="shared" si="34"/>
        <v>112157.5</v>
      </c>
      <c r="DS21" s="78"/>
      <c r="DT21" s="79"/>
      <c r="DU21" s="80"/>
    </row>
    <row r="22" spans="1:125" ht="30.75" customHeight="1" x14ac:dyDescent="0.3">
      <c r="A22" s="20" t="s">
        <v>47</v>
      </c>
      <c r="B22" s="81" t="s">
        <v>48</v>
      </c>
      <c r="C22" s="78">
        <v>581734.91</v>
      </c>
      <c r="D22" s="79"/>
      <c r="E22" s="79"/>
      <c r="F22" s="80"/>
      <c r="G22" s="98">
        <v>92</v>
      </c>
      <c r="H22" s="99"/>
      <c r="I22" s="105"/>
      <c r="J22" s="106"/>
      <c r="K22" s="75">
        <v>3226</v>
      </c>
      <c r="L22" s="76"/>
      <c r="M22" s="76"/>
      <c r="N22" s="77"/>
      <c r="O22" s="112">
        <v>6323.21</v>
      </c>
      <c r="P22" s="113"/>
      <c r="Q22" s="109"/>
      <c r="R22" s="123"/>
      <c r="S22" s="135">
        <f t="shared" si="35"/>
        <v>92</v>
      </c>
      <c r="T22" s="90">
        <f t="shared" si="36"/>
        <v>0</v>
      </c>
      <c r="U22" s="52">
        <f t="shared" si="37"/>
        <v>6323.21</v>
      </c>
      <c r="V22" s="80">
        <f t="shared" si="38"/>
        <v>0</v>
      </c>
      <c r="W22" s="75"/>
      <c r="X22" s="66"/>
      <c r="Y22" s="78"/>
      <c r="Z22" s="77"/>
      <c r="AA22" s="49"/>
      <c r="AB22" s="9"/>
      <c r="AC22" s="49"/>
      <c r="AD22" s="9"/>
      <c r="AE22" s="133">
        <f t="shared" si="3"/>
        <v>6323.21</v>
      </c>
      <c r="AF22" s="66">
        <f t="shared" si="4"/>
        <v>0</v>
      </c>
      <c r="AG22" s="78">
        <f t="shared" si="5"/>
        <v>581735.31999999995</v>
      </c>
      <c r="AH22" s="80">
        <f t="shared" si="6"/>
        <v>0</v>
      </c>
      <c r="AI22" s="215">
        <f t="shared" si="7"/>
        <v>92</v>
      </c>
      <c r="AJ22" s="216">
        <f t="shared" si="8"/>
        <v>6323.21</v>
      </c>
      <c r="AK22" s="212"/>
      <c r="AL22" s="212"/>
      <c r="AM22" s="212"/>
      <c r="AN22" s="212"/>
      <c r="AO22" s="219">
        <f t="shared" si="9"/>
        <v>6323.21</v>
      </c>
      <c r="AP22" s="79">
        <f t="shared" si="10"/>
        <v>581735.31999999995</v>
      </c>
      <c r="AQ22" s="64">
        <v>562765.29</v>
      </c>
      <c r="AR22" s="79"/>
      <c r="AS22" s="79"/>
      <c r="AT22" s="80"/>
      <c r="AU22" s="166">
        <v>89</v>
      </c>
      <c r="AV22" s="167"/>
      <c r="AW22" s="94"/>
      <c r="AX22" s="101"/>
      <c r="AY22" s="75">
        <v>1201</v>
      </c>
      <c r="AZ22" s="76"/>
      <c r="BA22" s="76"/>
      <c r="BB22" s="77"/>
      <c r="BC22" s="112">
        <v>6323.21</v>
      </c>
      <c r="BD22" s="113"/>
      <c r="BE22" s="171"/>
      <c r="BF22" s="179"/>
      <c r="BG22" s="177">
        <f t="shared" si="11"/>
        <v>89</v>
      </c>
      <c r="BH22" s="90">
        <f t="shared" si="12"/>
        <v>0</v>
      </c>
      <c r="BI22" s="52">
        <f t="shared" si="13"/>
        <v>6323.21</v>
      </c>
      <c r="BJ22" s="80">
        <f t="shared" si="14"/>
        <v>0</v>
      </c>
      <c r="BK22" s="32"/>
      <c r="BL22" s="76"/>
      <c r="BM22" s="76"/>
      <c r="BN22" s="77"/>
      <c r="BO22" s="75"/>
      <c r="BP22" s="76"/>
      <c r="BQ22" s="76"/>
      <c r="BR22" s="90"/>
      <c r="BS22" s="133">
        <f t="shared" si="15"/>
        <v>6323.21</v>
      </c>
      <c r="BT22" s="66">
        <f t="shared" si="16"/>
        <v>0</v>
      </c>
      <c r="BU22" s="78">
        <f t="shared" si="17"/>
        <v>562765.69000000006</v>
      </c>
      <c r="BV22" s="80">
        <f t="shared" si="18"/>
        <v>0</v>
      </c>
      <c r="BW22" s="215">
        <f t="shared" si="19"/>
        <v>89</v>
      </c>
      <c r="BX22" s="216">
        <f t="shared" si="20"/>
        <v>6323.21</v>
      </c>
      <c r="BY22" s="212"/>
      <c r="BZ22" s="212"/>
      <c r="CA22" s="212"/>
      <c r="CB22" s="212"/>
      <c r="CC22" s="219">
        <f t="shared" si="21"/>
        <v>6323.21</v>
      </c>
      <c r="CD22" s="79">
        <f t="shared" si="22"/>
        <v>562765.69000000006</v>
      </c>
      <c r="CE22" s="64">
        <v>486886.83</v>
      </c>
      <c r="CF22" s="79"/>
      <c r="CG22" s="79"/>
      <c r="CH22" s="80"/>
      <c r="CI22" s="75">
        <v>77</v>
      </c>
      <c r="CJ22" s="76"/>
      <c r="CK22" s="76"/>
      <c r="CL22" s="77"/>
      <c r="CM22" s="75">
        <v>922</v>
      </c>
      <c r="CN22" s="76"/>
      <c r="CO22" s="76"/>
      <c r="CP22" s="77"/>
      <c r="CQ22" s="78">
        <v>6323.21</v>
      </c>
      <c r="CR22" s="79"/>
      <c r="CS22" s="79"/>
      <c r="CT22" s="80"/>
      <c r="CU22" s="193">
        <f t="shared" si="39"/>
        <v>77</v>
      </c>
      <c r="CV22" s="128">
        <f t="shared" si="40"/>
        <v>0</v>
      </c>
      <c r="CW22" s="52">
        <f t="shared" si="41"/>
        <v>6323.21</v>
      </c>
      <c r="CX22" s="57">
        <f t="shared" si="42"/>
        <v>0</v>
      </c>
      <c r="CY22" s="75"/>
      <c r="CZ22" s="90"/>
      <c r="DA22" s="75"/>
      <c r="DB22" s="77"/>
      <c r="DC22" s="75"/>
      <c r="DD22" s="90"/>
      <c r="DE22" s="75"/>
      <c r="DF22" s="77"/>
      <c r="DG22" s="189">
        <f t="shared" si="27"/>
        <v>6323.21</v>
      </c>
      <c r="DH22" s="67">
        <f t="shared" si="28"/>
        <v>0</v>
      </c>
      <c r="DI22" s="78">
        <f t="shared" si="29"/>
        <v>486887.17</v>
      </c>
      <c r="DJ22" s="80">
        <f t="shared" si="30"/>
        <v>0</v>
      </c>
      <c r="DK22" s="215">
        <f t="shared" si="31"/>
        <v>77</v>
      </c>
      <c r="DL22" s="216">
        <f t="shared" si="32"/>
        <v>6323.21</v>
      </c>
      <c r="DM22" s="212"/>
      <c r="DN22" s="212"/>
      <c r="DO22" s="212"/>
      <c r="DP22" s="212"/>
      <c r="DQ22" s="219">
        <f t="shared" si="33"/>
        <v>6323.21</v>
      </c>
      <c r="DR22" s="66">
        <f t="shared" si="34"/>
        <v>486887.17</v>
      </c>
      <c r="DS22" s="78"/>
      <c r="DT22" s="79"/>
      <c r="DU22" s="80"/>
    </row>
    <row r="23" spans="1:125" x14ac:dyDescent="0.3">
      <c r="A23" s="20" t="s">
        <v>49</v>
      </c>
      <c r="B23" s="38" t="s">
        <v>18</v>
      </c>
      <c r="C23" s="78">
        <v>349358.5</v>
      </c>
      <c r="D23" s="79">
        <v>203829.98</v>
      </c>
      <c r="E23" s="79"/>
      <c r="F23" s="80"/>
      <c r="G23" s="98">
        <v>71</v>
      </c>
      <c r="H23" s="99">
        <v>10</v>
      </c>
      <c r="I23" s="105"/>
      <c r="J23" s="106"/>
      <c r="K23" s="75">
        <v>1008</v>
      </c>
      <c r="L23" s="76">
        <v>802</v>
      </c>
      <c r="M23" s="76"/>
      <c r="N23" s="77"/>
      <c r="O23" s="112">
        <f t="shared" ref="O23:P27" si="43">C23/G23</f>
        <v>4920.5422535211264</v>
      </c>
      <c r="P23" s="113">
        <f t="shared" si="43"/>
        <v>20382.998</v>
      </c>
      <c r="Q23" s="109"/>
      <c r="R23" s="123"/>
      <c r="S23" s="135">
        <f t="shared" si="35"/>
        <v>81</v>
      </c>
      <c r="T23" s="90">
        <f t="shared" si="36"/>
        <v>0</v>
      </c>
      <c r="U23" s="52">
        <f t="shared" si="37"/>
        <v>25303.540253521125</v>
      </c>
      <c r="V23" s="80">
        <f t="shared" si="38"/>
        <v>0</v>
      </c>
      <c r="W23" s="75"/>
      <c r="X23" s="66"/>
      <c r="Y23" s="78"/>
      <c r="Z23" s="77"/>
      <c r="AA23" s="49"/>
      <c r="AB23" s="9"/>
      <c r="AC23" s="49"/>
      <c r="AD23" s="9"/>
      <c r="AE23" s="133">
        <f t="shared" si="3"/>
        <v>25303.540253521125</v>
      </c>
      <c r="AF23" s="66">
        <f t="shared" si="4"/>
        <v>0</v>
      </c>
      <c r="AG23" s="78">
        <f t="shared" si="5"/>
        <v>2049586.7605352111</v>
      </c>
      <c r="AH23" s="80">
        <f t="shared" si="6"/>
        <v>0</v>
      </c>
      <c r="AI23" s="215">
        <f t="shared" si="7"/>
        <v>71</v>
      </c>
      <c r="AJ23" s="216">
        <f t="shared" si="8"/>
        <v>4920.5422535211264</v>
      </c>
      <c r="AK23" s="212"/>
      <c r="AL23" s="212"/>
      <c r="AM23" s="212"/>
      <c r="AN23" s="212"/>
      <c r="AO23" s="219">
        <f t="shared" si="9"/>
        <v>4920.5422535211264</v>
      </c>
      <c r="AP23" s="79">
        <f t="shared" si="10"/>
        <v>349358.5</v>
      </c>
      <c r="AQ23" s="64">
        <v>327965.90000000002</v>
      </c>
      <c r="AR23" s="79">
        <v>204193.02</v>
      </c>
      <c r="AS23" s="79">
        <v>113597.04</v>
      </c>
      <c r="AT23" s="80"/>
      <c r="AU23" s="166">
        <v>67</v>
      </c>
      <c r="AV23" s="167">
        <v>8</v>
      </c>
      <c r="AW23" s="94">
        <v>2</v>
      </c>
      <c r="AX23" s="101"/>
      <c r="AY23" s="75">
        <v>935</v>
      </c>
      <c r="AZ23" s="76">
        <v>586</v>
      </c>
      <c r="BA23" s="76">
        <v>415</v>
      </c>
      <c r="BB23" s="77"/>
      <c r="BC23" s="112">
        <f>AQ23/AU23</f>
        <v>4895.0134328358208</v>
      </c>
      <c r="BD23" s="113">
        <f>AR23/AV23</f>
        <v>25524.127499999999</v>
      </c>
      <c r="BE23" s="171">
        <f>AS23/AW23</f>
        <v>56798.52</v>
      </c>
      <c r="BF23" s="179"/>
      <c r="BG23" s="75">
        <f t="shared" si="11"/>
        <v>75</v>
      </c>
      <c r="BH23" s="184">
        <f t="shared" si="12"/>
        <v>2</v>
      </c>
      <c r="BI23" s="52">
        <f t="shared" si="13"/>
        <v>30419.14093283582</v>
      </c>
      <c r="BJ23" s="126">
        <f t="shared" si="14"/>
        <v>56798.52</v>
      </c>
      <c r="BK23" s="32"/>
      <c r="BL23" s="76"/>
      <c r="BM23" s="76"/>
      <c r="BN23" s="77"/>
      <c r="BO23" s="75"/>
      <c r="BP23" s="76"/>
      <c r="BQ23" s="76"/>
      <c r="BR23" s="90"/>
      <c r="BS23" s="78">
        <f t="shared" si="15"/>
        <v>30419.14093283582</v>
      </c>
      <c r="BT23" s="186">
        <f t="shared" si="16"/>
        <v>56798.52</v>
      </c>
      <c r="BU23" s="78">
        <f t="shared" si="17"/>
        <v>2281435.5699626864</v>
      </c>
      <c r="BV23" s="80">
        <f t="shared" si="18"/>
        <v>113597.04</v>
      </c>
      <c r="BW23" s="215">
        <f t="shared" si="19"/>
        <v>67</v>
      </c>
      <c r="BX23" s="216">
        <f t="shared" si="20"/>
        <v>4895.0134328358208</v>
      </c>
      <c r="BY23" s="212"/>
      <c r="BZ23" s="212"/>
      <c r="CA23" s="212"/>
      <c r="CB23" s="212"/>
      <c r="CC23" s="219">
        <f t="shared" si="21"/>
        <v>4895.0134328358208</v>
      </c>
      <c r="CD23" s="79">
        <f t="shared" si="22"/>
        <v>327965.90000000002</v>
      </c>
      <c r="CE23" s="64">
        <v>324618.7</v>
      </c>
      <c r="CF23" s="79">
        <v>137094.63</v>
      </c>
      <c r="CG23" s="79">
        <v>58807.64</v>
      </c>
      <c r="CH23" s="80"/>
      <c r="CI23" s="75">
        <v>68</v>
      </c>
      <c r="CJ23" s="76">
        <v>9</v>
      </c>
      <c r="CK23" s="76">
        <v>1</v>
      </c>
      <c r="CL23" s="77"/>
      <c r="CM23" s="75">
        <v>961</v>
      </c>
      <c r="CN23" s="76">
        <v>480</v>
      </c>
      <c r="CO23" s="76">
        <v>200</v>
      </c>
      <c r="CP23" s="77"/>
      <c r="CQ23" s="78">
        <f>CE23/CI23</f>
        <v>4773.8044117647059</v>
      </c>
      <c r="CR23" s="79">
        <f>CF23/CJ23</f>
        <v>15232.736666666668</v>
      </c>
      <c r="CS23" s="79">
        <f>CG23/CK23</f>
        <v>58807.64</v>
      </c>
      <c r="CT23" s="80"/>
      <c r="CU23" s="193">
        <f t="shared" si="39"/>
        <v>77</v>
      </c>
      <c r="CV23" s="184">
        <f t="shared" si="40"/>
        <v>1</v>
      </c>
      <c r="CW23" s="52">
        <f t="shared" si="41"/>
        <v>20006.541078431372</v>
      </c>
      <c r="CX23" s="126">
        <f t="shared" si="42"/>
        <v>58807.64</v>
      </c>
      <c r="CY23" s="75"/>
      <c r="CZ23" s="90"/>
      <c r="DA23" s="75"/>
      <c r="DB23" s="77"/>
      <c r="DC23" s="75"/>
      <c r="DD23" s="90"/>
      <c r="DE23" s="75"/>
      <c r="DF23" s="77"/>
      <c r="DG23" s="189">
        <f t="shared" si="27"/>
        <v>20006.541078431372</v>
      </c>
      <c r="DH23" s="186">
        <f t="shared" si="28"/>
        <v>58807.64</v>
      </c>
      <c r="DI23" s="78">
        <f t="shared" si="29"/>
        <v>1540503.6630392156</v>
      </c>
      <c r="DJ23" s="80">
        <f t="shared" si="30"/>
        <v>58807.64</v>
      </c>
      <c r="DK23" s="215">
        <f t="shared" si="31"/>
        <v>68</v>
      </c>
      <c r="DL23" s="216">
        <f t="shared" si="32"/>
        <v>4773.8044117647059</v>
      </c>
      <c r="DM23" s="212"/>
      <c r="DN23" s="212"/>
      <c r="DO23" s="212"/>
      <c r="DP23" s="212"/>
      <c r="DQ23" s="219">
        <f t="shared" si="33"/>
        <v>4773.8044117647059</v>
      </c>
      <c r="DR23" s="66">
        <f t="shared" si="34"/>
        <v>324618.7</v>
      </c>
      <c r="DS23" s="78"/>
      <c r="DT23" s="79"/>
      <c r="DU23" s="80"/>
    </row>
    <row r="24" spans="1:125" x14ac:dyDescent="0.3">
      <c r="A24" s="20" t="s">
        <v>50</v>
      </c>
      <c r="B24" s="38" t="s">
        <v>19</v>
      </c>
      <c r="C24" s="55">
        <v>236128</v>
      </c>
      <c r="D24" s="56">
        <v>6652</v>
      </c>
      <c r="E24" s="56"/>
      <c r="F24" s="57"/>
      <c r="G24" s="98">
        <v>71</v>
      </c>
      <c r="H24" s="99">
        <v>2</v>
      </c>
      <c r="I24" s="105"/>
      <c r="J24" s="106"/>
      <c r="K24" s="58">
        <v>875</v>
      </c>
      <c r="L24" s="59">
        <v>150</v>
      </c>
      <c r="M24" s="59"/>
      <c r="N24" s="60"/>
      <c r="O24" s="112">
        <f t="shared" si="43"/>
        <v>3325.7464788732395</v>
      </c>
      <c r="P24" s="113">
        <f t="shared" si="43"/>
        <v>3326</v>
      </c>
      <c r="Q24" s="109"/>
      <c r="R24" s="123"/>
      <c r="S24" s="135">
        <f t="shared" si="35"/>
        <v>73</v>
      </c>
      <c r="T24" s="90">
        <f t="shared" si="36"/>
        <v>0</v>
      </c>
      <c r="U24" s="52">
        <f t="shared" si="37"/>
        <v>6651.7464788732395</v>
      </c>
      <c r="V24" s="80">
        <f t="shared" si="38"/>
        <v>0</v>
      </c>
      <c r="W24" s="55"/>
      <c r="X24" s="66"/>
      <c r="Y24" s="78"/>
      <c r="Z24" s="62"/>
      <c r="AA24" s="55"/>
      <c r="AB24" s="65"/>
      <c r="AC24" s="5"/>
      <c r="AD24" s="65"/>
      <c r="AE24" s="133">
        <f t="shared" si="3"/>
        <v>6651.7464788732395</v>
      </c>
      <c r="AF24" s="66">
        <f t="shared" si="4"/>
        <v>0</v>
      </c>
      <c r="AG24" s="78">
        <f t="shared" si="5"/>
        <v>485577.49295774649</v>
      </c>
      <c r="AH24" s="80">
        <f t="shared" si="6"/>
        <v>0</v>
      </c>
      <c r="AI24" s="215">
        <f t="shared" si="7"/>
        <v>71</v>
      </c>
      <c r="AJ24" s="216">
        <f t="shared" si="8"/>
        <v>3325.7464788732395</v>
      </c>
      <c r="AK24" s="212"/>
      <c r="AL24" s="212"/>
      <c r="AM24" s="212"/>
      <c r="AN24" s="212"/>
      <c r="AO24" s="219">
        <f t="shared" si="9"/>
        <v>3325.7464788732395</v>
      </c>
      <c r="AP24" s="79">
        <f t="shared" si="10"/>
        <v>236128</v>
      </c>
      <c r="AQ24" s="68">
        <v>254402</v>
      </c>
      <c r="AR24" s="56"/>
      <c r="AS24" s="56">
        <v>3304</v>
      </c>
      <c r="AT24" s="57"/>
      <c r="AU24" s="166">
        <v>77</v>
      </c>
      <c r="AV24" s="167"/>
      <c r="AW24" s="94">
        <v>1</v>
      </c>
      <c r="AX24" s="101"/>
      <c r="AY24" s="58">
        <v>950</v>
      </c>
      <c r="AZ24" s="59"/>
      <c r="BA24" s="59">
        <v>170</v>
      </c>
      <c r="BB24" s="60"/>
      <c r="BC24" s="112">
        <f>AQ24/AU24</f>
        <v>3303.9220779220777</v>
      </c>
      <c r="BD24" s="113"/>
      <c r="BE24" s="171">
        <f>AS24/AW24</f>
        <v>3304</v>
      </c>
      <c r="BF24" s="179"/>
      <c r="BG24" s="177">
        <f t="shared" si="11"/>
        <v>77</v>
      </c>
      <c r="BH24" s="184">
        <f t="shared" si="12"/>
        <v>1</v>
      </c>
      <c r="BI24" s="52">
        <f t="shared" si="13"/>
        <v>3303.9220779220777</v>
      </c>
      <c r="BJ24" s="126">
        <f t="shared" si="14"/>
        <v>3304</v>
      </c>
      <c r="BK24" s="68"/>
      <c r="BL24" s="61"/>
      <c r="BM24" s="61"/>
      <c r="BN24" s="62"/>
      <c r="BO24" s="55"/>
      <c r="BP24" s="61"/>
      <c r="BQ24" s="61"/>
      <c r="BR24" s="65"/>
      <c r="BS24" s="133">
        <f t="shared" si="15"/>
        <v>3303.9220779220777</v>
      </c>
      <c r="BT24" s="186">
        <f t="shared" si="16"/>
        <v>3304</v>
      </c>
      <c r="BU24" s="78">
        <f t="shared" si="17"/>
        <v>254402</v>
      </c>
      <c r="BV24" s="80">
        <f t="shared" si="18"/>
        <v>3304</v>
      </c>
      <c r="BW24" s="215">
        <f t="shared" si="19"/>
        <v>77</v>
      </c>
      <c r="BX24" s="216">
        <f t="shared" si="20"/>
        <v>3303.9220779220777</v>
      </c>
      <c r="BY24" s="212"/>
      <c r="BZ24" s="212"/>
      <c r="CA24" s="212"/>
      <c r="CB24" s="212"/>
      <c r="CC24" s="219">
        <f t="shared" si="21"/>
        <v>3303.9220779220777</v>
      </c>
      <c r="CD24" s="79">
        <f t="shared" si="22"/>
        <v>254402</v>
      </c>
      <c r="CE24" s="68">
        <v>205910</v>
      </c>
      <c r="CF24" s="56"/>
      <c r="CG24" s="56"/>
      <c r="CH24" s="57"/>
      <c r="CI24" s="58">
        <v>73</v>
      </c>
      <c r="CJ24" s="59"/>
      <c r="CK24" s="59"/>
      <c r="CL24" s="60"/>
      <c r="CM24" s="58">
        <v>865</v>
      </c>
      <c r="CN24" s="59"/>
      <c r="CO24" s="59"/>
      <c r="CP24" s="60"/>
      <c r="CQ24" s="55">
        <f>CE24/CI24</f>
        <v>2820.6849315068494</v>
      </c>
      <c r="CR24" s="56"/>
      <c r="CS24" s="56"/>
      <c r="CT24" s="57"/>
      <c r="CU24" s="193">
        <f t="shared" si="39"/>
        <v>73</v>
      </c>
      <c r="CV24" s="128">
        <f t="shared" si="40"/>
        <v>0</v>
      </c>
      <c r="CW24" s="52">
        <f t="shared" si="41"/>
        <v>2820.6849315068494</v>
      </c>
      <c r="CX24" s="57">
        <f t="shared" si="42"/>
        <v>0</v>
      </c>
      <c r="CY24" s="55"/>
      <c r="CZ24" s="65"/>
      <c r="DA24" s="5"/>
      <c r="DB24" s="62"/>
      <c r="DC24" s="55"/>
      <c r="DD24" s="65"/>
      <c r="DE24" s="5"/>
      <c r="DF24" s="62"/>
      <c r="DG24" s="189">
        <f t="shared" si="27"/>
        <v>2820.6849315068494</v>
      </c>
      <c r="DH24" s="67">
        <f t="shared" si="28"/>
        <v>0</v>
      </c>
      <c r="DI24" s="78">
        <f t="shared" si="29"/>
        <v>205910</v>
      </c>
      <c r="DJ24" s="80">
        <f t="shared" si="30"/>
        <v>0</v>
      </c>
      <c r="DK24" s="215">
        <f t="shared" si="31"/>
        <v>73</v>
      </c>
      <c r="DL24" s="216">
        <f t="shared" si="32"/>
        <v>2820.6849315068494</v>
      </c>
      <c r="DM24" s="212"/>
      <c r="DN24" s="212"/>
      <c r="DO24" s="212"/>
      <c r="DP24" s="212"/>
      <c r="DQ24" s="219">
        <f t="shared" si="33"/>
        <v>2820.6849315068494</v>
      </c>
      <c r="DR24" s="66">
        <f t="shared" si="34"/>
        <v>205910</v>
      </c>
      <c r="DS24" s="78"/>
      <c r="DT24" s="79"/>
      <c r="DU24" s="80"/>
    </row>
    <row r="25" spans="1:125" ht="28.8" x14ac:dyDescent="0.3">
      <c r="A25" s="20" t="s">
        <v>51</v>
      </c>
      <c r="B25" s="234" t="s">
        <v>20</v>
      </c>
      <c r="C25" s="78">
        <v>6034637.5300000003</v>
      </c>
      <c r="D25" s="79">
        <v>2306230.9</v>
      </c>
      <c r="E25" s="79">
        <v>345934.64</v>
      </c>
      <c r="F25" s="80"/>
      <c r="G25" s="98">
        <v>157</v>
      </c>
      <c r="H25" s="99">
        <v>60</v>
      </c>
      <c r="I25" s="105">
        <v>9</v>
      </c>
      <c r="J25" s="106"/>
      <c r="K25" s="75">
        <v>2017.09</v>
      </c>
      <c r="L25" s="76">
        <v>4985.8999999999996</v>
      </c>
      <c r="M25" s="76">
        <v>3836.84</v>
      </c>
      <c r="N25" s="77"/>
      <c r="O25" s="112">
        <f t="shared" si="43"/>
        <v>38437.181719745226</v>
      </c>
      <c r="P25" s="113">
        <f t="shared" si="43"/>
        <v>38437.181666666664</v>
      </c>
      <c r="Q25" s="109">
        <f>E25/I25</f>
        <v>38437.182222222225</v>
      </c>
      <c r="R25" s="123"/>
      <c r="S25" s="135">
        <f t="shared" si="35"/>
        <v>217</v>
      </c>
      <c r="T25" s="155">
        <f t="shared" si="36"/>
        <v>9</v>
      </c>
      <c r="U25" s="52">
        <f t="shared" si="37"/>
        <v>76874.363386411889</v>
      </c>
      <c r="V25" s="126">
        <f t="shared" si="38"/>
        <v>38437.182222222225</v>
      </c>
      <c r="W25" s="75"/>
      <c r="X25" s="66"/>
      <c r="Y25" s="78"/>
      <c r="Z25" s="77"/>
      <c r="AA25" s="49"/>
      <c r="AB25" s="9"/>
      <c r="AC25" s="49"/>
      <c r="AD25" s="9"/>
      <c r="AE25" s="133">
        <f t="shared" si="3"/>
        <v>0</v>
      </c>
      <c r="AF25" s="153">
        <f t="shared" si="4"/>
        <v>38437.182222222225</v>
      </c>
      <c r="AG25" s="78">
        <f t="shared" si="5"/>
        <v>0</v>
      </c>
      <c r="AH25" s="80">
        <f t="shared" si="6"/>
        <v>345934.64</v>
      </c>
      <c r="AI25" s="59">
        <f t="shared" si="7"/>
        <v>157</v>
      </c>
      <c r="AJ25" s="56">
        <f t="shared" si="8"/>
        <v>38437.181719745226</v>
      </c>
      <c r="AK25" s="212"/>
      <c r="AL25" s="212"/>
      <c r="AM25" s="212"/>
      <c r="AN25" s="212"/>
      <c r="AO25" s="79">
        <f t="shared" si="9"/>
        <v>0</v>
      </c>
      <c r="AP25" s="79">
        <f t="shared" si="10"/>
        <v>0</v>
      </c>
      <c r="AQ25" s="64">
        <v>3667753.44</v>
      </c>
      <c r="AR25" s="79">
        <v>1445420.07</v>
      </c>
      <c r="AS25" s="79">
        <v>343287.27</v>
      </c>
      <c r="AT25" s="80"/>
      <c r="AU25" s="166">
        <v>203</v>
      </c>
      <c r="AV25" s="167">
        <v>80</v>
      </c>
      <c r="AW25" s="94">
        <v>19</v>
      </c>
      <c r="AX25" s="101"/>
      <c r="AY25" s="75">
        <v>2463.9499999999998</v>
      </c>
      <c r="AZ25" s="76">
        <v>4369.84</v>
      </c>
      <c r="BA25" s="76">
        <v>8073</v>
      </c>
      <c r="BB25" s="77"/>
      <c r="BC25" s="112">
        <f>AQ25/AU25</f>
        <v>18067.75093596059</v>
      </c>
      <c r="BD25" s="113">
        <v>18067.75</v>
      </c>
      <c r="BE25" s="171">
        <v>18067.75</v>
      </c>
      <c r="BF25" s="179"/>
      <c r="BG25" s="177">
        <f t="shared" si="11"/>
        <v>283</v>
      </c>
      <c r="BH25" s="184">
        <f t="shared" si="12"/>
        <v>19</v>
      </c>
      <c r="BI25" s="52">
        <f t="shared" si="13"/>
        <v>36135.50093596059</v>
      </c>
      <c r="BJ25" s="126">
        <f t="shared" si="14"/>
        <v>18067.75</v>
      </c>
      <c r="BK25" s="32"/>
      <c r="BL25" s="76"/>
      <c r="BM25" s="76"/>
      <c r="BN25" s="77"/>
      <c r="BO25" s="75"/>
      <c r="BP25" s="76"/>
      <c r="BQ25" s="76"/>
      <c r="BR25" s="90"/>
      <c r="BS25" s="133">
        <f t="shared" si="15"/>
        <v>36135.50093596059</v>
      </c>
      <c r="BT25" s="186">
        <f t="shared" si="16"/>
        <v>18067.75</v>
      </c>
      <c r="BU25" s="78">
        <f t="shared" si="17"/>
        <v>10226346.764876846</v>
      </c>
      <c r="BV25" s="80">
        <f t="shared" si="18"/>
        <v>343287.25</v>
      </c>
      <c r="BW25" s="59">
        <f t="shared" si="19"/>
        <v>203</v>
      </c>
      <c r="BX25" s="56">
        <f t="shared" si="20"/>
        <v>18067.75093596059</v>
      </c>
      <c r="BY25" s="212"/>
      <c r="BZ25" s="212"/>
      <c r="CA25" s="212"/>
      <c r="CB25" s="212"/>
      <c r="CC25" s="56">
        <f t="shared" si="21"/>
        <v>0</v>
      </c>
      <c r="CD25" s="79">
        <f t="shared" si="22"/>
        <v>0</v>
      </c>
      <c r="CE25" s="64">
        <v>5370137.4500000002</v>
      </c>
      <c r="CF25" s="79">
        <v>2192806.12</v>
      </c>
      <c r="CG25" s="79">
        <v>358009.16</v>
      </c>
      <c r="CH25" s="80"/>
      <c r="CI25" s="75">
        <v>120</v>
      </c>
      <c r="CJ25" s="76">
        <v>49</v>
      </c>
      <c r="CK25" s="76">
        <v>8</v>
      </c>
      <c r="CL25" s="77"/>
      <c r="CM25" s="75">
        <v>1570.2</v>
      </c>
      <c r="CN25" s="76">
        <v>3752</v>
      </c>
      <c r="CO25" s="76">
        <v>3877</v>
      </c>
      <c r="CP25" s="77"/>
      <c r="CQ25" s="78">
        <f t="shared" ref="CQ25" si="44">CE25/CI25</f>
        <v>44751.145416666666</v>
      </c>
      <c r="CR25" s="79">
        <f>CF25/CJ25</f>
        <v>44751.145306122453</v>
      </c>
      <c r="CS25" s="79">
        <f>CG25/CK25</f>
        <v>44751.144999999997</v>
      </c>
      <c r="CT25" s="80"/>
      <c r="CU25" s="75">
        <f t="shared" si="39"/>
        <v>169</v>
      </c>
      <c r="CV25" s="184">
        <f t="shared" si="40"/>
        <v>8</v>
      </c>
      <c r="CW25" s="52">
        <f t="shared" si="41"/>
        <v>89502.290722789126</v>
      </c>
      <c r="CX25" s="126">
        <f t="shared" si="42"/>
        <v>44751.144999999997</v>
      </c>
      <c r="CY25" s="75"/>
      <c r="CZ25" s="90"/>
      <c r="DA25" s="75"/>
      <c r="DB25" s="77"/>
      <c r="DC25" s="75"/>
      <c r="DD25" s="90"/>
      <c r="DE25" s="75"/>
      <c r="DF25" s="77"/>
      <c r="DG25" s="55">
        <f t="shared" si="27"/>
        <v>0</v>
      </c>
      <c r="DH25" s="186">
        <f t="shared" si="28"/>
        <v>44751.144999999997</v>
      </c>
      <c r="DI25" s="78">
        <f t="shared" si="29"/>
        <v>0</v>
      </c>
      <c r="DJ25" s="80">
        <f t="shared" si="30"/>
        <v>358009.16</v>
      </c>
      <c r="DK25" s="59">
        <f t="shared" si="31"/>
        <v>120</v>
      </c>
      <c r="DL25" s="56">
        <f t="shared" si="32"/>
        <v>44751.145416666666</v>
      </c>
      <c r="DM25" s="212"/>
      <c r="DN25" s="212"/>
      <c r="DO25" s="212"/>
      <c r="DP25" s="212"/>
      <c r="DQ25" s="56">
        <f t="shared" si="33"/>
        <v>0</v>
      </c>
      <c r="DR25" s="66">
        <f t="shared" si="34"/>
        <v>0</v>
      </c>
      <c r="DS25" s="78"/>
      <c r="DT25" s="79"/>
      <c r="DU25" s="80"/>
    </row>
    <row r="26" spans="1:125" ht="28.8" x14ac:dyDescent="0.3">
      <c r="A26" s="20" t="s">
        <v>52</v>
      </c>
      <c r="B26" s="38" t="s">
        <v>21</v>
      </c>
      <c r="C26" s="78">
        <v>606860</v>
      </c>
      <c r="D26" s="79">
        <v>71865</v>
      </c>
      <c r="E26" s="79"/>
      <c r="F26" s="80"/>
      <c r="G26" s="98">
        <v>76</v>
      </c>
      <c r="H26" s="99">
        <v>9</v>
      </c>
      <c r="I26" s="105"/>
      <c r="J26" s="106"/>
      <c r="K26" s="75">
        <v>851</v>
      </c>
      <c r="L26" s="76">
        <v>449</v>
      </c>
      <c r="M26" s="76"/>
      <c r="N26" s="77"/>
      <c r="O26" s="112">
        <f t="shared" si="43"/>
        <v>7985</v>
      </c>
      <c r="P26" s="113">
        <f t="shared" si="43"/>
        <v>7985</v>
      </c>
      <c r="Q26" s="109"/>
      <c r="R26" s="123"/>
      <c r="S26" s="135">
        <f t="shared" si="35"/>
        <v>85</v>
      </c>
      <c r="T26" s="90">
        <f t="shared" si="36"/>
        <v>0</v>
      </c>
      <c r="U26" s="52">
        <f t="shared" si="37"/>
        <v>15970</v>
      </c>
      <c r="V26" s="80">
        <f t="shared" si="38"/>
        <v>0</v>
      </c>
      <c r="W26" s="78"/>
      <c r="X26" s="66"/>
      <c r="Y26" s="78"/>
      <c r="Z26" s="51"/>
      <c r="AA26" s="78"/>
      <c r="AB26" s="9"/>
      <c r="AC26" s="49"/>
      <c r="AD26" s="9"/>
      <c r="AE26" s="133">
        <f t="shared" si="3"/>
        <v>15970</v>
      </c>
      <c r="AF26" s="66">
        <f t="shared" si="4"/>
        <v>0</v>
      </c>
      <c r="AG26" s="78">
        <f t="shared" si="5"/>
        <v>1357450</v>
      </c>
      <c r="AH26" s="80">
        <f t="shared" si="6"/>
        <v>0</v>
      </c>
      <c r="AI26" s="215">
        <f t="shared" si="7"/>
        <v>76</v>
      </c>
      <c r="AJ26" s="216">
        <f t="shared" si="8"/>
        <v>7985</v>
      </c>
      <c r="AK26" s="212"/>
      <c r="AL26" s="212"/>
      <c r="AM26" s="212"/>
      <c r="AN26" s="212"/>
      <c r="AO26" s="219">
        <f t="shared" si="9"/>
        <v>7985</v>
      </c>
      <c r="AP26" s="79">
        <f t="shared" si="10"/>
        <v>606860</v>
      </c>
      <c r="AQ26" s="64">
        <v>614845</v>
      </c>
      <c r="AR26" s="79">
        <v>55895</v>
      </c>
      <c r="AS26" s="79">
        <v>7985</v>
      </c>
      <c r="AT26" s="80"/>
      <c r="AU26" s="166">
        <v>77</v>
      </c>
      <c r="AV26" s="167">
        <v>7</v>
      </c>
      <c r="AW26" s="94">
        <v>1</v>
      </c>
      <c r="AX26" s="101"/>
      <c r="AY26" s="75">
        <v>720</v>
      </c>
      <c r="AZ26" s="76">
        <v>410</v>
      </c>
      <c r="BA26" s="76">
        <v>500</v>
      </c>
      <c r="BB26" s="77"/>
      <c r="BC26" s="112">
        <f t="shared" ref="BC26:BE27" si="45">AQ26/AU26</f>
        <v>7985</v>
      </c>
      <c r="BD26" s="113">
        <f t="shared" si="45"/>
        <v>7985</v>
      </c>
      <c r="BE26" s="171">
        <f t="shared" si="45"/>
        <v>7985</v>
      </c>
      <c r="BF26" s="179"/>
      <c r="BG26" s="177">
        <f t="shared" si="11"/>
        <v>84</v>
      </c>
      <c r="BH26" s="184">
        <f t="shared" si="12"/>
        <v>1</v>
      </c>
      <c r="BI26" s="52">
        <f t="shared" si="13"/>
        <v>15970</v>
      </c>
      <c r="BJ26" s="126">
        <f t="shared" si="14"/>
        <v>7985</v>
      </c>
      <c r="BK26" s="64"/>
      <c r="BL26" s="48"/>
      <c r="BM26" s="48"/>
      <c r="BN26" s="51"/>
      <c r="BO26" s="78"/>
      <c r="BP26" s="48"/>
      <c r="BQ26" s="48"/>
      <c r="BR26" s="9"/>
      <c r="BS26" s="133">
        <f t="shared" si="15"/>
        <v>15970</v>
      </c>
      <c r="BT26" s="186">
        <f t="shared" si="16"/>
        <v>7985</v>
      </c>
      <c r="BU26" s="78">
        <f t="shared" si="17"/>
        <v>1341480</v>
      </c>
      <c r="BV26" s="80">
        <f t="shared" si="18"/>
        <v>7985</v>
      </c>
      <c r="BW26" s="215">
        <f t="shared" si="19"/>
        <v>77</v>
      </c>
      <c r="BX26" s="216">
        <f t="shared" si="20"/>
        <v>7985</v>
      </c>
      <c r="BY26" s="212"/>
      <c r="BZ26" s="212"/>
      <c r="CA26" s="212"/>
      <c r="CB26" s="212"/>
      <c r="CC26" s="219">
        <f t="shared" si="21"/>
        <v>7985</v>
      </c>
      <c r="CD26" s="79">
        <f t="shared" si="22"/>
        <v>614845</v>
      </c>
      <c r="CE26" s="64">
        <v>467616</v>
      </c>
      <c r="CF26" s="79"/>
      <c r="CG26" s="79"/>
      <c r="CH26" s="80"/>
      <c r="CI26" s="75">
        <v>48</v>
      </c>
      <c r="CJ26" s="76"/>
      <c r="CK26" s="76"/>
      <c r="CL26" s="77"/>
      <c r="CM26" s="75">
        <v>424</v>
      </c>
      <c r="CN26" s="76"/>
      <c r="CO26" s="76"/>
      <c r="CP26" s="77"/>
      <c r="CQ26" s="78">
        <f t="shared" ref="CQ26:CQ30" si="46">CE26/CI26</f>
        <v>9742</v>
      </c>
      <c r="CR26" s="79"/>
      <c r="CS26" s="79"/>
      <c r="CT26" s="80"/>
      <c r="CU26" s="193">
        <f t="shared" si="39"/>
        <v>48</v>
      </c>
      <c r="CV26" s="128">
        <f t="shared" si="40"/>
        <v>0</v>
      </c>
      <c r="CW26" s="52">
        <f t="shared" si="41"/>
        <v>9742</v>
      </c>
      <c r="CX26" s="57">
        <f t="shared" si="42"/>
        <v>0</v>
      </c>
      <c r="CY26" s="78"/>
      <c r="CZ26" s="9"/>
      <c r="DA26" s="49"/>
      <c r="DB26" s="51"/>
      <c r="DC26" s="78"/>
      <c r="DD26" s="9"/>
      <c r="DE26" s="49"/>
      <c r="DF26" s="51"/>
      <c r="DG26" s="189">
        <f t="shared" si="27"/>
        <v>9742</v>
      </c>
      <c r="DH26" s="67">
        <f t="shared" si="28"/>
        <v>0</v>
      </c>
      <c r="DI26" s="78">
        <f t="shared" si="29"/>
        <v>467616</v>
      </c>
      <c r="DJ26" s="80">
        <f t="shared" si="30"/>
        <v>0</v>
      </c>
      <c r="DK26" s="215">
        <f t="shared" si="31"/>
        <v>48</v>
      </c>
      <c r="DL26" s="216">
        <f t="shared" si="32"/>
        <v>9742</v>
      </c>
      <c r="DM26" s="212"/>
      <c r="DN26" s="212"/>
      <c r="DO26" s="212"/>
      <c r="DP26" s="212"/>
      <c r="DQ26" s="219">
        <f t="shared" si="33"/>
        <v>9742</v>
      </c>
      <c r="DR26" s="66">
        <f t="shared" si="34"/>
        <v>467616</v>
      </c>
      <c r="DS26" s="78"/>
      <c r="DT26" s="79"/>
      <c r="DU26" s="80"/>
    </row>
    <row r="27" spans="1:125" x14ac:dyDescent="0.3">
      <c r="A27" s="20" t="s">
        <v>53</v>
      </c>
      <c r="B27" s="38" t="s">
        <v>22</v>
      </c>
      <c r="C27" s="78">
        <v>1467563.4</v>
      </c>
      <c r="D27" s="79">
        <v>258182.45</v>
      </c>
      <c r="E27" s="79">
        <v>54354.2</v>
      </c>
      <c r="F27" s="80"/>
      <c r="G27" s="98">
        <v>108</v>
      </c>
      <c r="H27" s="99">
        <v>19</v>
      </c>
      <c r="I27" s="105">
        <v>4</v>
      </c>
      <c r="J27" s="106"/>
      <c r="K27" s="75">
        <v>1556</v>
      </c>
      <c r="L27" s="76">
        <v>868</v>
      </c>
      <c r="M27" s="76">
        <v>984</v>
      </c>
      <c r="N27" s="77"/>
      <c r="O27" s="112">
        <f t="shared" si="43"/>
        <v>13588.55</v>
      </c>
      <c r="P27" s="113">
        <f t="shared" si="43"/>
        <v>13588.550000000001</v>
      </c>
      <c r="Q27" s="109">
        <f>E27/I27</f>
        <v>13588.55</v>
      </c>
      <c r="R27" s="123"/>
      <c r="S27" s="135">
        <f t="shared" si="35"/>
        <v>127</v>
      </c>
      <c r="T27" s="155">
        <f t="shared" si="36"/>
        <v>4</v>
      </c>
      <c r="U27" s="52">
        <f t="shared" si="37"/>
        <v>27177.1</v>
      </c>
      <c r="V27" s="126">
        <f t="shared" si="38"/>
        <v>13588.55</v>
      </c>
      <c r="W27" s="78"/>
      <c r="X27" s="66"/>
      <c r="Y27" s="78"/>
      <c r="Z27" s="51"/>
      <c r="AA27" s="78"/>
      <c r="AB27" s="9"/>
      <c r="AC27" s="49"/>
      <c r="AD27" s="9"/>
      <c r="AE27" s="133">
        <f t="shared" si="3"/>
        <v>27177.1</v>
      </c>
      <c r="AF27" s="153">
        <f t="shared" si="4"/>
        <v>13588.55</v>
      </c>
      <c r="AG27" s="78">
        <f t="shared" si="5"/>
        <v>3451491.6999999997</v>
      </c>
      <c r="AH27" s="80">
        <f t="shared" si="6"/>
        <v>54354.2</v>
      </c>
      <c r="AI27" s="59">
        <f t="shared" si="7"/>
        <v>108</v>
      </c>
      <c r="AJ27" s="216">
        <f t="shared" si="8"/>
        <v>13588.55</v>
      </c>
      <c r="AK27" s="212"/>
      <c r="AL27" s="212"/>
      <c r="AM27" s="212"/>
      <c r="AN27" s="212"/>
      <c r="AO27" s="79">
        <f t="shared" si="9"/>
        <v>0</v>
      </c>
      <c r="AP27" s="79">
        <f t="shared" si="10"/>
        <v>0</v>
      </c>
      <c r="AQ27" s="64">
        <v>1400532.56</v>
      </c>
      <c r="AR27" s="79">
        <v>144384.79999999999</v>
      </c>
      <c r="AS27" s="79">
        <v>28876.959999999999</v>
      </c>
      <c r="AT27" s="80"/>
      <c r="AU27" s="166">
        <v>97</v>
      </c>
      <c r="AV27" s="167">
        <v>10</v>
      </c>
      <c r="AW27" s="94">
        <v>2</v>
      </c>
      <c r="AX27" s="101"/>
      <c r="AY27" s="75">
        <v>1410</v>
      </c>
      <c r="AZ27" s="76">
        <v>721</v>
      </c>
      <c r="BA27" s="76">
        <v>440</v>
      </c>
      <c r="BB27" s="77"/>
      <c r="BC27" s="112">
        <f t="shared" si="45"/>
        <v>14438.480000000001</v>
      </c>
      <c r="BD27" s="113">
        <f t="shared" si="45"/>
        <v>14438.48</v>
      </c>
      <c r="BE27" s="171">
        <f t="shared" si="45"/>
        <v>14438.48</v>
      </c>
      <c r="BF27" s="179"/>
      <c r="BG27" s="177">
        <f t="shared" si="11"/>
        <v>107</v>
      </c>
      <c r="BH27" s="184">
        <f t="shared" si="12"/>
        <v>2</v>
      </c>
      <c r="BI27" s="52">
        <f t="shared" si="13"/>
        <v>28876.959999999999</v>
      </c>
      <c r="BJ27" s="126">
        <f t="shared" si="14"/>
        <v>14438.48</v>
      </c>
      <c r="BK27" s="64"/>
      <c r="BL27" s="48"/>
      <c r="BM27" s="48"/>
      <c r="BN27" s="51"/>
      <c r="BO27" s="78"/>
      <c r="BP27" s="48"/>
      <c r="BQ27" s="48"/>
      <c r="BR27" s="9"/>
      <c r="BS27" s="133">
        <f t="shared" si="15"/>
        <v>28876.959999999999</v>
      </c>
      <c r="BT27" s="186">
        <f t="shared" si="16"/>
        <v>14438.48</v>
      </c>
      <c r="BU27" s="78">
        <f t="shared" si="17"/>
        <v>3089834.7199999997</v>
      </c>
      <c r="BV27" s="80">
        <f t="shared" si="18"/>
        <v>28876.959999999999</v>
      </c>
      <c r="BW27" s="59">
        <f t="shared" si="19"/>
        <v>97</v>
      </c>
      <c r="BX27" s="216">
        <f t="shared" si="20"/>
        <v>14438.480000000001</v>
      </c>
      <c r="BY27" s="212"/>
      <c r="BZ27" s="212"/>
      <c r="CA27" s="212"/>
      <c r="CB27" s="212"/>
      <c r="CC27" s="56">
        <f t="shared" si="21"/>
        <v>0</v>
      </c>
      <c r="CD27" s="79">
        <f t="shared" si="22"/>
        <v>0</v>
      </c>
      <c r="CE27" s="64">
        <v>1836395</v>
      </c>
      <c r="CF27" s="79">
        <v>146911.6</v>
      </c>
      <c r="CG27" s="79">
        <v>14691.16</v>
      </c>
      <c r="CH27" s="80"/>
      <c r="CI27" s="75">
        <v>125</v>
      </c>
      <c r="CJ27" s="76">
        <v>10</v>
      </c>
      <c r="CK27" s="76">
        <v>1</v>
      </c>
      <c r="CL27" s="77"/>
      <c r="CM27" s="75">
        <v>1739</v>
      </c>
      <c r="CN27" s="76">
        <v>605</v>
      </c>
      <c r="CO27" s="76">
        <v>400</v>
      </c>
      <c r="CP27" s="77"/>
      <c r="CQ27" s="78">
        <f t="shared" si="46"/>
        <v>14691.16</v>
      </c>
      <c r="CR27" s="79">
        <f>CF27/CJ27</f>
        <v>14691.16</v>
      </c>
      <c r="CS27" s="79">
        <f>CG27/CK27</f>
        <v>14691.16</v>
      </c>
      <c r="CT27" s="80"/>
      <c r="CU27" s="193">
        <f t="shared" si="39"/>
        <v>135</v>
      </c>
      <c r="CV27" s="184">
        <f t="shared" si="40"/>
        <v>1</v>
      </c>
      <c r="CW27" s="52">
        <f t="shared" si="41"/>
        <v>29382.32</v>
      </c>
      <c r="CX27" s="126">
        <f t="shared" si="42"/>
        <v>14691.16</v>
      </c>
      <c r="CY27" s="78"/>
      <c r="CZ27" s="9"/>
      <c r="DA27" s="49"/>
      <c r="DB27" s="51"/>
      <c r="DC27" s="78"/>
      <c r="DD27" s="9"/>
      <c r="DE27" s="49"/>
      <c r="DF27" s="51"/>
      <c r="DG27" s="189">
        <f t="shared" si="27"/>
        <v>29382.32</v>
      </c>
      <c r="DH27" s="186">
        <f t="shared" si="28"/>
        <v>14691.16</v>
      </c>
      <c r="DI27" s="78">
        <f t="shared" si="29"/>
        <v>3966613.2</v>
      </c>
      <c r="DJ27" s="80">
        <f t="shared" si="30"/>
        <v>14691.16</v>
      </c>
      <c r="DK27" s="59">
        <f t="shared" si="31"/>
        <v>125</v>
      </c>
      <c r="DL27" s="216">
        <f t="shared" si="32"/>
        <v>14691.16</v>
      </c>
      <c r="DM27" s="212"/>
      <c r="DN27" s="212"/>
      <c r="DO27" s="212"/>
      <c r="DP27" s="212"/>
      <c r="DQ27" s="56">
        <f t="shared" si="33"/>
        <v>0</v>
      </c>
      <c r="DR27" s="66">
        <f t="shared" si="34"/>
        <v>0</v>
      </c>
      <c r="DS27" s="78"/>
      <c r="DT27" s="79"/>
      <c r="DU27" s="80"/>
    </row>
    <row r="28" spans="1:125" x14ac:dyDescent="0.3">
      <c r="A28" s="20" t="s">
        <v>54</v>
      </c>
      <c r="B28" s="81" t="s">
        <v>23</v>
      </c>
      <c r="C28" s="78">
        <v>1373670.35</v>
      </c>
      <c r="D28" s="79">
        <v>0</v>
      </c>
      <c r="E28" s="79">
        <v>0</v>
      </c>
      <c r="F28" s="80">
        <v>0</v>
      </c>
      <c r="G28" s="98">
        <v>296</v>
      </c>
      <c r="H28" s="99">
        <v>0</v>
      </c>
      <c r="I28" s="105">
        <v>0</v>
      </c>
      <c r="J28" s="106">
        <v>0</v>
      </c>
      <c r="K28" s="75">
        <v>6305</v>
      </c>
      <c r="L28" s="76">
        <v>0</v>
      </c>
      <c r="M28" s="76">
        <v>0</v>
      </c>
      <c r="N28" s="77">
        <v>0</v>
      </c>
      <c r="O28" s="112">
        <f>C28/G28</f>
        <v>4640.7782094594595</v>
      </c>
      <c r="P28" s="113">
        <v>0</v>
      </c>
      <c r="Q28" s="109">
        <v>0</v>
      </c>
      <c r="R28" s="123">
        <v>0</v>
      </c>
      <c r="S28" s="135">
        <f t="shared" si="35"/>
        <v>296</v>
      </c>
      <c r="T28" s="90">
        <f t="shared" si="36"/>
        <v>0</v>
      </c>
      <c r="U28" s="52">
        <f t="shared" si="37"/>
        <v>4640.7782094594595</v>
      </c>
      <c r="V28" s="80">
        <f t="shared" si="38"/>
        <v>0</v>
      </c>
      <c r="W28" s="75"/>
      <c r="X28" s="66"/>
      <c r="Y28" s="78"/>
      <c r="Z28" s="77"/>
      <c r="AA28" s="49"/>
      <c r="AB28" s="9"/>
      <c r="AC28" s="49"/>
      <c r="AD28" s="9"/>
      <c r="AE28" s="133">
        <f t="shared" si="3"/>
        <v>4640.7782094594595</v>
      </c>
      <c r="AF28" s="66">
        <f t="shared" si="4"/>
        <v>0</v>
      </c>
      <c r="AG28" s="78">
        <f t="shared" si="5"/>
        <v>1373670.35</v>
      </c>
      <c r="AH28" s="80">
        <f t="shared" si="6"/>
        <v>0</v>
      </c>
      <c r="AI28" s="215">
        <f t="shared" si="7"/>
        <v>296</v>
      </c>
      <c r="AJ28" s="216">
        <f t="shared" si="8"/>
        <v>4640.7782094594595</v>
      </c>
      <c r="AK28" s="212"/>
      <c r="AL28" s="212"/>
      <c r="AM28" s="212"/>
      <c r="AN28" s="212"/>
      <c r="AO28" s="219">
        <f t="shared" si="9"/>
        <v>4640.7782094594595</v>
      </c>
      <c r="AP28" s="79">
        <f t="shared" si="10"/>
        <v>1373670.35</v>
      </c>
      <c r="AQ28" s="64">
        <v>1337466.8400000001</v>
      </c>
      <c r="AR28" s="79">
        <v>0</v>
      </c>
      <c r="AS28" s="79">
        <v>0</v>
      </c>
      <c r="AT28" s="80">
        <v>0</v>
      </c>
      <c r="AU28" s="166">
        <v>305</v>
      </c>
      <c r="AV28" s="167">
        <v>0</v>
      </c>
      <c r="AW28" s="94">
        <v>0</v>
      </c>
      <c r="AX28" s="101">
        <v>0</v>
      </c>
      <c r="AY28" s="75">
        <v>5878.2</v>
      </c>
      <c r="AZ28" s="76">
        <v>0</v>
      </c>
      <c r="BA28" s="76">
        <v>0</v>
      </c>
      <c r="BB28" s="77">
        <v>0</v>
      </c>
      <c r="BC28" s="112">
        <f>AQ28/AU28</f>
        <v>4385.1371803278689</v>
      </c>
      <c r="BD28" s="113">
        <v>0</v>
      </c>
      <c r="BE28" s="171">
        <v>0</v>
      </c>
      <c r="BF28" s="179">
        <v>0</v>
      </c>
      <c r="BG28" s="177">
        <f t="shared" si="11"/>
        <v>305</v>
      </c>
      <c r="BH28" s="90">
        <f t="shared" si="12"/>
        <v>0</v>
      </c>
      <c r="BI28" s="52">
        <f t="shared" si="13"/>
        <v>4385.1371803278689</v>
      </c>
      <c r="BJ28" s="80">
        <f t="shared" si="14"/>
        <v>0</v>
      </c>
      <c r="BK28" s="32"/>
      <c r="BL28" s="76"/>
      <c r="BM28" s="76"/>
      <c r="BN28" s="77"/>
      <c r="BO28" s="75"/>
      <c r="BP28" s="76"/>
      <c r="BQ28" s="76"/>
      <c r="BR28" s="90"/>
      <c r="BS28" s="133">
        <f t="shared" si="15"/>
        <v>4385.1371803278689</v>
      </c>
      <c r="BT28" s="66">
        <f t="shared" si="16"/>
        <v>0</v>
      </c>
      <c r="BU28" s="78">
        <f t="shared" si="17"/>
        <v>1337466.8400000001</v>
      </c>
      <c r="BV28" s="80">
        <f t="shared" si="18"/>
        <v>0</v>
      </c>
      <c r="BW28" s="215">
        <f t="shared" si="19"/>
        <v>305</v>
      </c>
      <c r="BX28" s="216">
        <f t="shared" si="20"/>
        <v>4385.1371803278689</v>
      </c>
      <c r="BY28" s="212"/>
      <c r="BZ28" s="212"/>
      <c r="CA28" s="212"/>
      <c r="CB28" s="212"/>
      <c r="CC28" s="219">
        <f t="shared" si="21"/>
        <v>4385.1371803278689</v>
      </c>
      <c r="CD28" s="79">
        <f t="shared" si="22"/>
        <v>1337466.8400000001</v>
      </c>
      <c r="CE28" s="64">
        <v>2215552.81</v>
      </c>
      <c r="CF28" s="79">
        <v>0</v>
      </c>
      <c r="CG28" s="79">
        <v>0</v>
      </c>
      <c r="CH28" s="80">
        <v>0</v>
      </c>
      <c r="CI28" s="75">
        <v>426</v>
      </c>
      <c r="CJ28" s="76">
        <v>0</v>
      </c>
      <c r="CK28" s="76">
        <v>0</v>
      </c>
      <c r="CL28" s="77">
        <v>0</v>
      </c>
      <c r="CM28" s="75">
        <v>9184.4</v>
      </c>
      <c r="CN28" s="76">
        <v>0</v>
      </c>
      <c r="CO28" s="76">
        <v>0</v>
      </c>
      <c r="CP28" s="77">
        <v>0</v>
      </c>
      <c r="CQ28" s="78">
        <f t="shared" si="46"/>
        <v>5200.8281924882631</v>
      </c>
      <c r="CR28" s="79">
        <v>0</v>
      </c>
      <c r="CS28" s="79">
        <v>0</v>
      </c>
      <c r="CT28" s="80">
        <v>0</v>
      </c>
      <c r="CU28" s="193">
        <f t="shared" si="39"/>
        <v>426</v>
      </c>
      <c r="CV28" s="128">
        <f t="shared" si="40"/>
        <v>0</v>
      </c>
      <c r="CW28" s="52">
        <f t="shared" si="41"/>
        <v>5200.8281924882631</v>
      </c>
      <c r="CX28" s="57">
        <f t="shared" si="42"/>
        <v>0</v>
      </c>
      <c r="CY28" s="75"/>
      <c r="CZ28" s="90"/>
      <c r="DA28" s="75"/>
      <c r="DB28" s="77"/>
      <c r="DC28" s="75"/>
      <c r="DD28" s="90"/>
      <c r="DE28" s="75"/>
      <c r="DF28" s="77"/>
      <c r="DG28" s="189">
        <f t="shared" si="27"/>
        <v>5200.8281924882631</v>
      </c>
      <c r="DH28" s="67">
        <f t="shared" si="28"/>
        <v>0</v>
      </c>
      <c r="DI28" s="78">
        <f t="shared" si="29"/>
        <v>2215552.81</v>
      </c>
      <c r="DJ28" s="80">
        <f t="shared" si="30"/>
        <v>0</v>
      </c>
      <c r="DK28" s="215">
        <f t="shared" si="31"/>
        <v>426</v>
      </c>
      <c r="DL28" s="216">
        <f t="shared" si="32"/>
        <v>5200.8281924882631</v>
      </c>
      <c r="DM28" s="212"/>
      <c r="DN28" s="212"/>
      <c r="DO28" s="212"/>
      <c r="DP28" s="212"/>
      <c r="DQ28" s="219">
        <f t="shared" si="33"/>
        <v>5200.8281924882631</v>
      </c>
      <c r="DR28" s="66">
        <f t="shared" si="34"/>
        <v>2215552.81</v>
      </c>
      <c r="DS28" s="78"/>
      <c r="DT28" s="79"/>
      <c r="DU28" s="80"/>
    </row>
    <row r="29" spans="1:125" x14ac:dyDescent="0.3">
      <c r="A29" s="20" t="s">
        <v>55</v>
      </c>
      <c r="B29" s="38" t="s">
        <v>24</v>
      </c>
      <c r="C29" s="78">
        <v>36791.269999999997</v>
      </c>
      <c r="D29" s="79">
        <v>15851.95</v>
      </c>
      <c r="E29" s="79"/>
      <c r="F29" s="80"/>
      <c r="G29" s="98">
        <v>40</v>
      </c>
      <c r="H29" s="99">
        <v>2</v>
      </c>
      <c r="I29" s="105"/>
      <c r="J29" s="106"/>
      <c r="K29" s="75">
        <v>499</v>
      </c>
      <c r="L29" s="76">
        <v>215</v>
      </c>
      <c r="M29" s="76"/>
      <c r="N29" s="77"/>
      <c r="O29" s="112">
        <f>C29/G29</f>
        <v>919.78174999999987</v>
      </c>
      <c r="P29" s="113">
        <f>D29/H29</f>
        <v>7925.9750000000004</v>
      </c>
      <c r="Q29" s="109"/>
      <c r="R29" s="123"/>
      <c r="S29" s="135">
        <f t="shared" si="35"/>
        <v>42</v>
      </c>
      <c r="T29" s="90">
        <f t="shared" si="36"/>
        <v>0</v>
      </c>
      <c r="U29" s="52">
        <f t="shared" si="37"/>
        <v>8845.7567500000005</v>
      </c>
      <c r="V29" s="80">
        <f t="shared" si="38"/>
        <v>0</v>
      </c>
      <c r="W29" s="75"/>
      <c r="X29" s="66"/>
      <c r="Y29" s="78"/>
      <c r="Z29" s="77"/>
      <c r="AA29" s="75"/>
      <c r="AB29" s="90"/>
      <c r="AC29" s="75"/>
      <c r="AD29" s="90"/>
      <c r="AE29" s="133">
        <f t="shared" si="3"/>
        <v>8845.7567500000005</v>
      </c>
      <c r="AF29" s="66">
        <f t="shared" si="4"/>
        <v>0</v>
      </c>
      <c r="AG29" s="78">
        <f t="shared" si="5"/>
        <v>371521.78350000002</v>
      </c>
      <c r="AH29" s="80">
        <f t="shared" si="6"/>
        <v>0</v>
      </c>
      <c r="AI29" s="59">
        <f t="shared" si="7"/>
        <v>40</v>
      </c>
      <c r="AJ29" s="216">
        <f t="shared" si="8"/>
        <v>919.78174999999987</v>
      </c>
      <c r="AK29" s="212"/>
      <c r="AL29" s="212"/>
      <c r="AM29" s="212"/>
      <c r="AN29" s="212"/>
      <c r="AO29" s="79">
        <f t="shared" si="9"/>
        <v>0</v>
      </c>
      <c r="AP29" s="79">
        <f t="shared" si="10"/>
        <v>0</v>
      </c>
      <c r="AQ29" s="64">
        <v>63982.38</v>
      </c>
      <c r="AR29" s="79">
        <v>10575.6</v>
      </c>
      <c r="AS29" s="79"/>
      <c r="AT29" s="80"/>
      <c r="AU29" s="166">
        <v>59</v>
      </c>
      <c r="AV29" s="167">
        <v>2</v>
      </c>
      <c r="AW29" s="94"/>
      <c r="AX29" s="101"/>
      <c r="AY29" s="75">
        <v>847</v>
      </c>
      <c r="AZ29" s="76">
        <v>140</v>
      </c>
      <c r="BA29" s="76"/>
      <c r="BB29" s="77"/>
      <c r="BC29" s="112">
        <f>AQ29/AU29</f>
        <v>1084.4471186440678</v>
      </c>
      <c r="BD29" s="113">
        <f>AR29/AV29</f>
        <v>5287.8</v>
      </c>
      <c r="BE29" s="171"/>
      <c r="BF29" s="179"/>
      <c r="BG29" s="177">
        <f t="shared" si="11"/>
        <v>61</v>
      </c>
      <c r="BH29" s="90">
        <f t="shared" si="12"/>
        <v>0</v>
      </c>
      <c r="BI29" s="52">
        <f t="shared" si="13"/>
        <v>6372.247118644068</v>
      </c>
      <c r="BJ29" s="80">
        <f t="shared" si="14"/>
        <v>0</v>
      </c>
      <c r="BK29" s="32"/>
      <c r="BL29" s="76"/>
      <c r="BM29" s="76"/>
      <c r="BN29" s="77"/>
      <c r="BO29" s="75"/>
      <c r="BP29" s="76"/>
      <c r="BQ29" s="76"/>
      <c r="BR29" s="90"/>
      <c r="BS29" s="133">
        <f t="shared" si="15"/>
        <v>6372.247118644068</v>
      </c>
      <c r="BT29" s="66">
        <f t="shared" si="16"/>
        <v>0</v>
      </c>
      <c r="BU29" s="78">
        <f t="shared" si="17"/>
        <v>388707.07423728815</v>
      </c>
      <c r="BV29" s="80">
        <f t="shared" si="18"/>
        <v>0</v>
      </c>
      <c r="BW29" s="59">
        <f t="shared" si="19"/>
        <v>59</v>
      </c>
      <c r="BX29" s="216">
        <f t="shared" si="20"/>
        <v>1084.4471186440678</v>
      </c>
      <c r="BY29" s="212"/>
      <c r="BZ29" s="212"/>
      <c r="CA29" s="212"/>
      <c r="CB29" s="212"/>
      <c r="CC29" s="56">
        <f t="shared" si="21"/>
        <v>0</v>
      </c>
      <c r="CD29" s="79">
        <f t="shared" si="22"/>
        <v>0</v>
      </c>
      <c r="CE29" s="64">
        <v>70896.600000000006</v>
      </c>
      <c r="CF29" s="79">
        <v>28731.78</v>
      </c>
      <c r="CG29" s="79"/>
      <c r="CH29" s="80"/>
      <c r="CI29" s="75">
        <v>42</v>
      </c>
      <c r="CJ29" s="76">
        <v>2</v>
      </c>
      <c r="CK29" s="76"/>
      <c r="CL29" s="77"/>
      <c r="CM29" s="75">
        <v>570</v>
      </c>
      <c r="CN29" s="76">
        <v>231</v>
      </c>
      <c r="CO29" s="76"/>
      <c r="CP29" s="77"/>
      <c r="CQ29" s="78">
        <f t="shared" si="46"/>
        <v>1688.014285714286</v>
      </c>
      <c r="CR29" s="79">
        <f>CF29/CJ29</f>
        <v>14365.89</v>
      </c>
      <c r="CS29" s="79"/>
      <c r="CT29" s="80"/>
      <c r="CU29" s="193">
        <f t="shared" si="39"/>
        <v>44</v>
      </c>
      <c r="CV29" s="128">
        <f t="shared" si="40"/>
        <v>0</v>
      </c>
      <c r="CW29" s="52">
        <f t="shared" si="41"/>
        <v>16053.904285714285</v>
      </c>
      <c r="CX29" s="57">
        <f t="shared" si="42"/>
        <v>0</v>
      </c>
      <c r="CY29" s="75"/>
      <c r="CZ29" s="90"/>
      <c r="DA29" s="75"/>
      <c r="DB29" s="77"/>
      <c r="DC29" s="75"/>
      <c r="DD29" s="90"/>
      <c r="DE29" s="75"/>
      <c r="DF29" s="77"/>
      <c r="DG29" s="189">
        <f t="shared" si="27"/>
        <v>16053.904285714285</v>
      </c>
      <c r="DH29" s="67">
        <f t="shared" si="28"/>
        <v>0</v>
      </c>
      <c r="DI29" s="78">
        <f t="shared" si="29"/>
        <v>706371.78857142851</v>
      </c>
      <c r="DJ29" s="80">
        <f t="shared" si="30"/>
        <v>0</v>
      </c>
      <c r="DK29" s="215">
        <f t="shared" si="31"/>
        <v>42</v>
      </c>
      <c r="DL29" s="216">
        <f t="shared" si="32"/>
        <v>1688.014285714286</v>
      </c>
      <c r="DM29" s="212"/>
      <c r="DN29" s="212"/>
      <c r="DO29" s="212"/>
      <c r="DP29" s="212"/>
      <c r="DQ29" s="219">
        <f t="shared" si="33"/>
        <v>1688.014285714286</v>
      </c>
      <c r="DR29" s="66">
        <f t="shared" si="34"/>
        <v>70896.600000000006</v>
      </c>
      <c r="DS29" s="78"/>
      <c r="DT29" s="79"/>
      <c r="DU29" s="80"/>
    </row>
    <row r="30" spans="1:125" s="46" customFormat="1" ht="28.8" x14ac:dyDescent="0.3">
      <c r="A30" s="45" t="s">
        <v>56</v>
      </c>
      <c r="B30" s="38" t="s">
        <v>25</v>
      </c>
      <c r="C30" s="55">
        <v>1838890.04</v>
      </c>
      <c r="D30" s="56">
        <v>375283.68</v>
      </c>
      <c r="E30" s="56">
        <v>28146.28</v>
      </c>
      <c r="F30" s="57"/>
      <c r="G30" s="98">
        <v>98</v>
      </c>
      <c r="H30" s="99">
        <v>16</v>
      </c>
      <c r="I30" s="105">
        <v>1</v>
      </c>
      <c r="J30" s="106"/>
      <c r="K30" s="58">
        <v>1066</v>
      </c>
      <c r="L30" s="59">
        <v>760.5</v>
      </c>
      <c r="M30" s="59">
        <v>100</v>
      </c>
      <c r="N30" s="60"/>
      <c r="O30" s="112">
        <f>C30/G30</f>
        <v>18764.184081632655</v>
      </c>
      <c r="P30" s="113">
        <f>D30/H30</f>
        <v>23455.23</v>
      </c>
      <c r="Q30" s="109">
        <f>E30/I30</f>
        <v>28146.28</v>
      </c>
      <c r="R30" s="123"/>
      <c r="S30" s="76">
        <f t="shared" si="35"/>
        <v>114</v>
      </c>
      <c r="T30" s="155">
        <f t="shared" si="36"/>
        <v>1</v>
      </c>
      <c r="U30" s="52">
        <f t="shared" si="37"/>
        <v>42219.414081632654</v>
      </c>
      <c r="V30" s="126">
        <f t="shared" si="38"/>
        <v>28146.28</v>
      </c>
      <c r="W30" s="58"/>
      <c r="X30" s="66"/>
      <c r="Y30" s="78"/>
      <c r="Z30" s="60"/>
      <c r="AA30" s="58"/>
      <c r="AB30" s="128"/>
      <c r="AC30" s="58"/>
      <c r="AD30" s="128"/>
      <c r="AE30" s="78">
        <f t="shared" si="3"/>
        <v>42219.414081632654</v>
      </c>
      <c r="AF30" s="153">
        <f t="shared" si="4"/>
        <v>28146.28</v>
      </c>
      <c r="AG30" s="78">
        <f t="shared" si="5"/>
        <v>4813013.205306123</v>
      </c>
      <c r="AH30" s="80">
        <f t="shared" si="6"/>
        <v>28146.28</v>
      </c>
      <c r="AI30" s="59">
        <f t="shared" si="7"/>
        <v>98</v>
      </c>
      <c r="AJ30" s="216">
        <f t="shared" si="8"/>
        <v>18764.184081632655</v>
      </c>
      <c r="AK30" s="212"/>
      <c r="AL30" s="212"/>
      <c r="AM30" s="212"/>
      <c r="AN30" s="212"/>
      <c r="AO30" s="79">
        <f t="shared" si="9"/>
        <v>0</v>
      </c>
      <c r="AP30" s="79">
        <f t="shared" si="10"/>
        <v>0</v>
      </c>
      <c r="AQ30" s="68">
        <v>1679252.56</v>
      </c>
      <c r="AR30" s="56">
        <v>267153.82</v>
      </c>
      <c r="AS30" s="56">
        <v>28623.62</v>
      </c>
      <c r="AT30" s="57"/>
      <c r="AU30" s="166">
        <v>110</v>
      </c>
      <c r="AV30" s="167">
        <v>14</v>
      </c>
      <c r="AW30" s="94">
        <v>1</v>
      </c>
      <c r="AX30" s="101"/>
      <c r="AY30" s="58">
        <v>1108</v>
      </c>
      <c r="AZ30" s="59">
        <v>698.26</v>
      </c>
      <c r="BA30" s="59">
        <v>200</v>
      </c>
      <c r="BB30" s="60"/>
      <c r="BC30" s="112">
        <f>AQ30/AU30</f>
        <v>15265.932363636364</v>
      </c>
      <c r="BD30" s="113">
        <f>AR30/AV30</f>
        <v>19082.415714285715</v>
      </c>
      <c r="BE30" s="171">
        <f>AS30/AW30</f>
        <v>28623.62</v>
      </c>
      <c r="BF30" s="179"/>
      <c r="BG30" s="75">
        <f t="shared" si="11"/>
        <v>124</v>
      </c>
      <c r="BH30" s="184">
        <f t="shared" si="12"/>
        <v>1</v>
      </c>
      <c r="BI30" s="52">
        <f t="shared" si="13"/>
        <v>34348.348077922077</v>
      </c>
      <c r="BJ30" s="126">
        <f t="shared" si="14"/>
        <v>28623.62</v>
      </c>
      <c r="BK30" s="63"/>
      <c r="BL30" s="59"/>
      <c r="BM30" s="59"/>
      <c r="BN30" s="60"/>
      <c r="BO30" s="58"/>
      <c r="BP30" s="59"/>
      <c r="BQ30" s="59"/>
      <c r="BR30" s="128"/>
      <c r="BS30" s="78">
        <f t="shared" si="15"/>
        <v>34348.348077922077</v>
      </c>
      <c r="BT30" s="186">
        <f t="shared" si="16"/>
        <v>28623.62</v>
      </c>
      <c r="BU30" s="78">
        <f t="shared" si="17"/>
        <v>4259195.1616623374</v>
      </c>
      <c r="BV30" s="80">
        <f t="shared" si="18"/>
        <v>28623.62</v>
      </c>
      <c r="BW30" s="59">
        <f t="shared" si="19"/>
        <v>110</v>
      </c>
      <c r="BX30" s="216">
        <f t="shared" si="20"/>
        <v>15265.932363636364</v>
      </c>
      <c r="BY30" s="212"/>
      <c r="BZ30" s="212"/>
      <c r="CA30" s="212"/>
      <c r="CB30" s="212"/>
      <c r="CC30" s="56">
        <f t="shared" si="21"/>
        <v>0</v>
      </c>
      <c r="CD30" s="79">
        <f t="shared" si="22"/>
        <v>0</v>
      </c>
      <c r="CE30" s="68">
        <v>559593.05000000005</v>
      </c>
      <c r="CF30" s="56">
        <v>90033.54</v>
      </c>
      <c r="CG30" s="56">
        <v>24932.36</v>
      </c>
      <c r="CH30" s="57">
        <v>11081.05</v>
      </c>
      <c r="CI30" s="58">
        <v>101</v>
      </c>
      <c r="CJ30" s="59">
        <v>13</v>
      </c>
      <c r="CK30" s="59">
        <v>3</v>
      </c>
      <c r="CL30" s="60">
        <v>1</v>
      </c>
      <c r="CM30" s="58">
        <v>986.79</v>
      </c>
      <c r="CN30" s="59">
        <v>456.21</v>
      </c>
      <c r="CO30" s="59">
        <v>345.04</v>
      </c>
      <c r="CP30" s="60">
        <v>690</v>
      </c>
      <c r="CQ30" s="55">
        <f t="shared" si="46"/>
        <v>5540.5252475247526</v>
      </c>
      <c r="CR30" s="56">
        <f>CF30/CJ30</f>
        <v>6925.6569230769228</v>
      </c>
      <c r="CS30" s="56">
        <f>CG30/CK30</f>
        <v>8310.7866666666669</v>
      </c>
      <c r="CT30" s="57">
        <f>CH30/CL30</f>
        <v>11081.05</v>
      </c>
      <c r="CU30" s="193">
        <f t="shared" si="39"/>
        <v>114</v>
      </c>
      <c r="CV30" s="184">
        <f t="shared" si="40"/>
        <v>4</v>
      </c>
      <c r="CW30" s="52">
        <f t="shared" si="41"/>
        <v>12466.182170601674</v>
      </c>
      <c r="CX30" s="126">
        <f t="shared" si="42"/>
        <v>19391.836666666666</v>
      </c>
      <c r="CY30" s="58"/>
      <c r="CZ30" s="128"/>
      <c r="DA30" s="58"/>
      <c r="DB30" s="60"/>
      <c r="DC30" s="58"/>
      <c r="DD30" s="128"/>
      <c r="DE30" s="58"/>
      <c r="DF30" s="60"/>
      <c r="DG30" s="189">
        <f t="shared" si="27"/>
        <v>12466.182170601674</v>
      </c>
      <c r="DH30" s="186">
        <f t="shared" si="28"/>
        <v>19391.836666666666</v>
      </c>
      <c r="DI30" s="78">
        <f t="shared" si="29"/>
        <v>1421144.7674485908</v>
      </c>
      <c r="DJ30" s="80">
        <f t="shared" si="30"/>
        <v>77567.346666666665</v>
      </c>
      <c r="DK30" s="215">
        <f t="shared" si="31"/>
        <v>101</v>
      </c>
      <c r="DL30" s="216">
        <f t="shared" si="32"/>
        <v>5540.5252475247526</v>
      </c>
      <c r="DM30" s="212"/>
      <c r="DN30" s="212"/>
      <c r="DO30" s="212"/>
      <c r="DP30" s="212"/>
      <c r="DQ30" s="219">
        <f t="shared" si="33"/>
        <v>5540.5252475247526</v>
      </c>
      <c r="DR30" s="66">
        <f t="shared" si="34"/>
        <v>559593.05000000005</v>
      </c>
      <c r="DS30" s="78"/>
      <c r="DT30" s="79"/>
      <c r="DU30" s="80"/>
    </row>
    <row r="31" spans="1:125" ht="28.8" x14ac:dyDescent="0.3">
      <c r="A31" s="20" t="s">
        <v>57</v>
      </c>
      <c r="B31" s="234" t="s">
        <v>26</v>
      </c>
      <c r="C31" s="78">
        <v>56155.14</v>
      </c>
      <c r="D31" s="79">
        <v>10249.84</v>
      </c>
      <c r="E31" s="79"/>
      <c r="F31" s="80"/>
      <c r="G31" s="98">
        <v>6</v>
      </c>
      <c r="H31" s="99">
        <v>1</v>
      </c>
      <c r="I31" s="105"/>
      <c r="J31" s="106"/>
      <c r="K31" s="75">
        <v>90</v>
      </c>
      <c r="L31" s="76">
        <v>35</v>
      </c>
      <c r="M31" s="76"/>
      <c r="N31" s="77"/>
      <c r="O31" s="112">
        <f>C31/G31</f>
        <v>9359.19</v>
      </c>
      <c r="P31" s="113">
        <f>D31/H31</f>
        <v>10249.84</v>
      </c>
      <c r="Q31" s="109"/>
      <c r="R31" s="123"/>
      <c r="S31" s="135">
        <f t="shared" si="35"/>
        <v>7</v>
      </c>
      <c r="T31" s="90">
        <f t="shared" si="36"/>
        <v>0</v>
      </c>
      <c r="U31" s="52">
        <f t="shared" si="37"/>
        <v>19609.03</v>
      </c>
      <c r="V31" s="80">
        <f t="shared" si="38"/>
        <v>0</v>
      </c>
      <c r="W31" s="75"/>
      <c r="X31" s="66"/>
      <c r="Y31" s="78"/>
      <c r="Z31" s="77"/>
      <c r="AA31" s="49"/>
      <c r="AB31" s="9"/>
      <c r="AC31" s="49"/>
      <c r="AD31" s="9"/>
      <c r="AE31" s="133">
        <f t="shared" si="3"/>
        <v>19609.03</v>
      </c>
      <c r="AF31" s="66">
        <f t="shared" si="4"/>
        <v>0</v>
      </c>
      <c r="AG31" s="78">
        <f t="shared" si="5"/>
        <v>137263.21</v>
      </c>
      <c r="AH31" s="80">
        <f t="shared" si="6"/>
        <v>0</v>
      </c>
      <c r="AI31" s="215">
        <f t="shared" si="7"/>
        <v>6</v>
      </c>
      <c r="AJ31" s="216">
        <f t="shared" si="8"/>
        <v>9359.19</v>
      </c>
      <c r="AK31" s="212"/>
      <c r="AL31" s="212"/>
      <c r="AM31" s="212"/>
      <c r="AN31" s="212"/>
      <c r="AO31" s="219">
        <f t="shared" si="9"/>
        <v>9359.19</v>
      </c>
      <c r="AP31" s="79">
        <f t="shared" si="10"/>
        <v>56155.14</v>
      </c>
      <c r="AQ31" s="64">
        <v>95378.5</v>
      </c>
      <c r="AR31" s="79">
        <v>9537.9500000000007</v>
      </c>
      <c r="AS31" s="79"/>
      <c r="AT31" s="80"/>
      <c r="AU31" s="166">
        <v>10</v>
      </c>
      <c r="AV31" s="167">
        <v>1</v>
      </c>
      <c r="AW31" s="94"/>
      <c r="AX31" s="101"/>
      <c r="AY31" s="75">
        <v>112</v>
      </c>
      <c r="AZ31" s="76">
        <v>74</v>
      </c>
      <c r="BA31" s="76"/>
      <c r="BB31" s="77"/>
      <c r="BC31" s="112">
        <f>AQ31/AU31</f>
        <v>9537.85</v>
      </c>
      <c r="BD31" s="113">
        <f>AR31/AV31</f>
        <v>9537.9500000000007</v>
      </c>
      <c r="BE31" s="171"/>
      <c r="BF31" s="179"/>
      <c r="BG31" s="177">
        <f t="shared" si="11"/>
        <v>11</v>
      </c>
      <c r="BH31" s="90">
        <f t="shared" si="12"/>
        <v>0</v>
      </c>
      <c r="BI31" s="52">
        <f t="shared" si="13"/>
        <v>19075.800000000003</v>
      </c>
      <c r="BJ31" s="80">
        <f t="shared" si="14"/>
        <v>0</v>
      </c>
      <c r="BK31" s="32"/>
      <c r="BL31" s="76"/>
      <c r="BM31" s="76"/>
      <c r="BN31" s="77"/>
      <c r="BO31" s="75"/>
      <c r="BP31" s="76"/>
      <c r="BQ31" s="76"/>
      <c r="BR31" s="90"/>
      <c r="BS31" s="133">
        <f t="shared" si="15"/>
        <v>19075.800000000003</v>
      </c>
      <c r="BT31" s="66">
        <f t="shared" si="16"/>
        <v>0</v>
      </c>
      <c r="BU31" s="78">
        <f t="shared" si="17"/>
        <v>209833.80000000005</v>
      </c>
      <c r="BV31" s="80">
        <f t="shared" si="18"/>
        <v>0</v>
      </c>
      <c r="BW31" s="215">
        <f t="shared" si="19"/>
        <v>10</v>
      </c>
      <c r="BX31" s="216">
        <f t="shared" si="20"/>
        <v>9537.85</v>
      </c>
      <c r="BY31" s="212"/>
      <c r="BZ31" s="212"/>
      <c r="CA31" s="212"/>
      <c r="CB31" s="212"/>
      <c r="CC31" s="219">
        <f t="shared" si="21"/>
        <v>9537.85</v>
      </c>
      <c r="CD31" s="79">
        <f t="shared" si="22"/>
        <v>95378.5</v>
      </c>
      <c r="CE31" s="64">
        <v>111553.44</v>
      </c>
      <c r="CF31" s="79">
        <v>10104.209999999999</v>
      </c>
      <c r="CG31" s="79"/>
      <c r="CH31" s="80"/>
      <c r="CI31" s="75">
        <v>12</v>
      </c>
      <c r="CJ31" s="76">
        <v>1</v>
      </c>
      <c r="CK31" s="76"/>
      <c r="CL31" s="77"/>
      <c r="CM31" s="75">
        <v>120</v>
      </c>
      <c r="CN31" s="76">
        <v>35</v>
      </c>
      <c r="CO31" s="76"/>
      <c r="CP31" s="77"/>
      <c r="CQ31" s="55">
        <f t="shared" ref="CQ31" si="47">CE31/CI31</f>
        <v>9296.1200000000008</v>
      </c>
      <c r="CR31" s="79">
        <f>CF31/CJ31</f>
        <v>10104.209999999999</v>
      </c>
      <c r="CS31" s="79"/>
      <c r="CT31" s="80"/>
      <c r="CU31" s="193">
        <f t="shared" si="39"/>
        <v>13</v>
      </c>
      <c r="CV31" s="128">
        <f t="shared" si="40"/>
        <v>0</v>
      </c>
      <c r="CW31" s="52">
        <f t="shared" si="41"/>
        <v>19400.330000000002</v>
      </c>
      <c r="CX31" s="57">
        <f t="shared" si="42"/>
        <v>0</v>
      </c>
      <c r="CY31" s="75"/>
      <c r="CZ31" s="90"/>
      <c r="DA31" s="75"/>
      <c r="DB31" s="77"/>
      <c r="DC31" s="75"/>
      <c r="DD31" s="90"/>
      <c r="DE31" s="75"/>
      <c r="DF31" s="77"/>
      <c r="DG31" s="189">
        <f t="shared" si="27"/>
        <v>19400.330000000002</v>
      </c>
      <c r="DH31" s="67">
        <f t="shared" si="28"/>
        <v>0</v>
      </c>
      <c r="DI31" s="78">
        <f t="shared" si="29"/>
        <v>252204.29000000004</v>
      </c>
      <c r="DJ31" s="80">
        <f t="shared" si="30"/>
        <v>0</v>
      </c>
      <c r="DK31" s="215">
        <f t="shared" si="31"/>
        <v>12</v>
      </c>
      <c r="DL31" s="216">
        <f t="shared" si="32"/>
        <v>9296.1200000000008</v>
      </c>
      <c r="DM31" s="212"/>
      <c r="DN31" s="212"/>
      <c r="DO31" s="212"/>
      <c r="DP31" s="212"/>
      <c r="DQ31" s="219">
        <f t="shared" si="33"/>
        <v>9296.1200000000008</v>
      </c>
      <c r="DR31" s="66">
        <f t="shared" si="34"/>
        <v>111553.44</v>
      </c>
      <c r="DS31" s="78"/>
      <c r="DT31" s="79"/>
      <c r="DU31" s="80"/>
    </row>
    <row r="32" spans="1:125" x14ac:dyDescent="0.3">
      <c r="A32" s="20" t="s">
        <v>58</v>
      </c>
      <c r="B32" s="42" t="s">
        <v>27</v>
      </c>
      <c r="C32" s="78"/>
      <c r="D32" s="79"/>
      <c r="E32" s="79"/>
      <c r="F32" s="80"/>
      <c r="G32" s="98"/>
      <c r="H32" s="99"/>
      <c r="I32" s="105"/>
      <c r="J32" s="106"/>
      <c r="K32" s="75"/>
      <c r="L32" s="76"/>
      <c r="M32" s="76"/>
      <c r="N32" s="77"/>
      <c r="O32" s="112"/>
      <c r="P32" s="113"/>
      <c r="Q32" s="109"/>
      <c r="R32" s="123"/>
      <c r="S32" s="76">
        <f t="shared" si="35"/>
        <v>0</v>
      </c>
      <c r="T32" s="90">
        <f t="shared" si="36"/>
        <v>0</v>
      </c>
      <c r="U32" s="78">
        <f t="shared" si="37"/>
        <v>0</v>
      </c>
      <c r="V32" s="80">
        <f t="shared" si="38"/>
        <v>0</v>
      </c>
      <c r="W32" s="75"/>
      <c r="X32" s="66"/>
      <c r="Y32" s="78"/>
      <c r="Z32" s="77"/>
      <c r="AA32" s="49"/>
      <c r="AB32" s="9"/>
      <c r="AC32" s="49"/>
      <c r="AD32" s="9"/>
      <c r="AE32" s="78">
        <f t="shared" si="3"/>
        <v>0</v>
      </c>
      <c r="AF32" s="66">
        <f t="shared" si="4"/>
        <v>0</v>
      </c>
      <c r="AG32" s="78">
        <f t="shared" si="5"/>
        <v>0</v>
      </c>
      <c r="AH32" s="80">
        <f t="shared" si="6"/>
        <v>0</v>
      </c>
      <c r="AI32" s="59">
        <f t="shared" si="7"/>
        <v>0</v>
      </c>
      <c r="AJ32" s="56">
        <f t="shared" si="8"/>
        <v>0</v>
      </c>
      <c r="AK32" s="212"/>
      <c r="AL32" s="212"/>
      <c r="AM32" s="212"/>
      <c r="AN32" s="212"/>
      <c r="AO32" s="79">
        <f t="shared" si="9"/>
        <v>0</v>
      </c>
      <c r="AP32" s="79">
        <f t="shared" si="10"/>
        <v>0</v>
      </c>
      <c r="AQ32" s="64"/>
      <c r="AR32" s="79"/>
      <c r="AS32" s="79"/>
      <c r="AT32" s="80"/>
      <c r="AU32" s="166"/>
      <c r="AV32" s="167"/>
      <c r="AW32" s="94"/>
      <c r="AX32" s="101"/>
      <c r="AY32" s="75"/>
      <c r="AZ32" s="76"/>
      <c r="BA32" s="76"/>
      <c r="BB32" s="77"/>
      <c r="BC32" s="112"/>
      <c r="BD32" s="113"/>
      <c r="BE32" s="171"/>
      <c r="BF32" s="179"/>
      <c r="BG32" s="75">
        <f t="shared" si="11"/>
        <v>0</v>
      </c>
      <c r="BH32" s="90">
        <f t="shared" si="12"/>
        <v>0</v>
      </c>
      <c r="BI32" s="78">
        <f t="shared" si="13"/>
        <v>0</v>
      </c>
      <c r="BJ32" s="80">
        <f t="shared" si="14"/>
        <v>0</v>
      </c>
      <c r="BK32" s="32"/>
      <c r="BL32" s="76"/>
      <c r="BM32" s="76"/>
      <c r="BN32" s="77"/>
      <c r="BO32" s="75"/>
      <c r="BP32" s="76"/>
      <c r="BQ32" s="76"/>
      <c r="BR32" s="90"/>
      <c r="BS32" s="78">
        <f t="shared" si="15"/>
        <v>0</v>
      </c>
      <c r="BT32" s="66">
        <f t="shared" si="16"/>
        <v>0</v>
      </c>
      <c r="BU32" s="78">
        <f t="shared" si="17"/>
        <v>0</v>
      </c>
      <c r="BV32" s="80">
        <f t="shared" si="18"/>
        <v>0</v>
      </c>
      <c r="BW32" s="59">
        <f t="shared" si="19"/>
        <v>0</v>
      </c>
      <c r="BX32" s="56">
        <f t="shared" si="20"/>
        <v>0</v>
      </c>
      <c r="BY32" s="212"/>
      <c r="BZ32" s="212"/>
      <c r="CA32" s="212"/>
      <c r="CB32" s="212"/>
      <c r="CC32" s="56">
        <f t="shared" si="21"/>
        <v>0</v>
      </c>
      <c r="CD32" s="79">
        <f t="shared" si="22"/>
        <v>0</v>
      </c>
      <c r="CE32" s="64">
        <v>59504.4</v>
      </c>
      <c r="CF32" s="79"/>
      <c r="CG32" s="79"/>
      <c r="CH32" s="80"/>
      <c r="CI32" s="75">
        <v>9</v>
      </c>
      <c r="CJ32" s="76"/>
      <c r="CK32" s="76"/>
      <c r="CL32" s="77"/>
      <c r="CM32" s="75">
        <v>120</v>
      </c>
      <c r="CN32" s="76"/>
      <c r="CO32" s="76"/>
      <c r="CP32" s="77"/>
      <c r="CQ32" s="78">
        <v>6611.6</v>
      </c>
      <c r="CR32" s="79"/>
      <c r="CS32" s="79"/>
      <c r="CT32" s="80"/>
      <c r="CU32" s="193">
        <f t="shared" si="39"/>
        <v>9</v>
      </c>
      <c r="CV32" s="128">
        <f t="shared" si="40"/>
        <v>0</v>
      </c>
      <c r="CW32" s="52">
        <f t="shared" si="41"/>
        <v>6611.6</v>
      </c>
      <c r="CX32" s="57">
        <f t="shared" si="42"/>
        <v>0</v>
      </c>
      <c r="CY32" s="75"/>
      <c r="CZ32" s="90"/>
      <c r="DA32" s="75"/>
      <c r="DB32" s="77"/>
      <c r="DC32" s="75"/>
      <c r="DD32" s="90"/>
      <c r="DE32" s="75"/>
      <c r="DF32" s="77"/>
      <c r="DG32" s="189">
        <f t="shared" si="27"/>
        <v>6611.6</v>
      </c>
      <c r="DH32" s="67">
        <f t="shared" si="28"/>
        <v>0</v>
      </c>
      <c r="DI32" s="78">
        <f t="shared" si="29"/>
        <v>59504.4</v>
      </c>
      <c r="DJ32" s="80">
        <f t="shared" si="30"/>
        <v>0</v>
      </c>
      <c r="DK32" s="215">
        <f t="shared" si="31"/>
        <v>9</v>
      </c>
      <c r="DL32" s="216">
        <f t="shared" si="32"/>
        <v>6611.6</v>
      </c>
      <c r="DM32" s="212"/>
      <c r="DN32" s="212"/>
      <c r="DO32" s="212"/>
      <c r="DP32" s="212"/>
      <c r="DQ32" s="219">
        <f t="shared" si="33"/>
        <v>6611.6</v>
      </c>
      <c r="DR32" s="66">
        <f t="shared" si="34"/>
        <v>59504.4</v>
      </c>
      <c r="DS32" s="78"/>
      <c r="DT32" s="79"/>
      <c r="DU32" s="80"/>
    </row>
    <row r="33" spans="1:125" x14ac:dyDescent="0.3">
      <c r="A33" s="20" t="s">
        <v>59</v>
      </c>
      <c r="B33" s="38" t="s">
        <v>28</v>
      </c>
      <c r="C33" s="78"/>
      <c r="D33" s="79">
        <v>160599</v>
      </c>
      <c r="E33" s="79"/>
      <c r="F33" s="80"/>
      <c r="G33" s="98"/>
      <c r="H33" s="99">
        <v>9</v>
      </c>
      <c r="I33" s="105"/>
      <c r="J33" s="106"/>
      <c r="K33" s="75"/>
      <c r="L33" s="76">
        <v>310</v>
      </c>
      <c r="M33" s="76"/>
      <c r="N33" s="77"/>
      <c r="O33" s="112"/>
      <c r="P33" s="113">
        <f>D33/H33</f>
        <v>17844.333333333332</v>
      </c>
      <c r="Q33" s="109"/>
      <c r="R33" s="123"/>
      <c r="S33" s="135">
        <f t="shared" si="35"/>
        <v>9</v>
      </c>
      <c r="T33" s="90">
        <f t="shared" si="36"/>
        <v>0</v>
      </c>
      <c r="U33" s="52">
        <f t="shared" si="37"/>
        <v>17844.333333333332</v>
      </c>
      <c r="V33" s="80">
        <f t="shared" si="38"/>
        <v>0</v>
      </c>
      <c r="W33" s="78"/>
      <c r="X33" s="66"/>
      <c r="Y33" s="78"/>
      <c r="Z33" s="80"/>
      <c r="AA33" s="78"/>
      <c r="AB33" s="66"/>
      <c r="AC33" s="78"/>
      <c r="AD33" s="66"/>
      <c r="AE33" s="133">
        <f t="shared" si="3"/>
        <v>17844.333333333332</v>
      </c>
      <c r="AF33" s="66">
        <f t="shared" si="4"/>
        <v>0</v>
      </c>
      <c r="AG33" s="78">
        <f t="shared" si="5"/>
        <v>160599</v>
      </c>
      <c r="AH33" s="80">
        <f t="shared" si="6"/>
        <v>0</v>
      </c>
      <c r="AI33" s="59">
        <f t="shared" si="7"/>
        <v>0</v>
      </c>
      <c r="AJ33" s="56">
        <f t="shared" si="8"/>
        <v>0</v>
      </c>
      <c r="AK33" s="212"/>
      <c r="AL33" s="212"/>
      <c r="AM33" s="212"/>
      <c r="AN33" s="212"/>
      <c r="AO33" s="79">
        <f t="shared" si="9"/>
        <v>0</v>
      </c>
      <c r="AP33" s="79">
        <f t="shared" si="10"/>
        <v>0</v>
      </c>
      <c r="AQ33" s="64"/>
      <c r="AR33" s="79">
        <v>135278</v>
      </c>
      <c r="AS33" s="79">
        <v>19448</v>
      </c>
      <c r="AT33" s="80"/>
      <c r="AU33" s="166"/>
      <c r="AV33" s="167">
        <v>7</v>
      </c>
      <c r="AW33" s="94">
        <v>1</v>
      </c>
      <c r="AX33" s="101"/>
      <c r="AY33" s="75"/>
      <c r="AZ33" s="76">
        <v>220.65</v>
      </c>
      <c r="BA33" s="76">
        <v>200</v>
      </c>
      <c r="BB33" s="77"/>
      <c r="BC33" s="112"/>
      <c r="BD33" s="113">
        <f>AR33/AV33</f>
        <v>19325.428571428572</v>
      </c>
      <c r="BE33" s="171">
        <f>AS33/AW33</f>
        <v>19448</v>
      </c>
      <c r="BF33" s="179"/>
      <c r="BG33" s="177">
        <f t="shared" si="11"/>
        <v>7</v>
      </c>
      <c r="BH33" s="184">
        <f t="shared" si="12"/>
        <v>1</v>
      </c>
      <c r="BI33" s="52">
        <f t="shared" si="13"/>
        <v>19325.428571428572</v>
      </c>
      <c r="BJ33" s="126">
        <f t="shared" si="14"/>
        <v>19448</v>
      </c>
      <c r="BK33" s="64"/>
      <c r="BL33" s="79"/>
      <c r="BM33" s="79"/>
      <c r="BN33" s="80"/>
      <c r="BO33" s="78"/>
      <c r="BP33" s="79"/>
      <c r="BQ33" s="79"/>
      <c r="BR33" s="66"/>
      <c r="BS33" s="133">
        <f t="shared" si="15"/>
        <v>19325.428571428572</v>
      </c>
      <c r="BT33" s="186">
        <f t="shared" si="16"/>
        <v>19448</v>
      </c>
      <c r="BU33" s="78">
        <f t="shared" si="17"/>
        <v>135278</v>
      </c>
      <c r="BV33" s="80">
        <f t="shared" si="18"/>
        <v>19448</v>
      </c>
      <c r="BW33" s="59">
        <f t="shared" si="19"/>
        <v>0</v>
      </c>
      <c r="BX33" s="56">
        <f t="shared" si="20"/>
        <v>0</v>
      </c>
      <c r="BY33" s="212"/>
      <c r="BZ33" s="212"/>
      <c r="CA33" s="212"/>
      <c r="CB33" s="212"/>
      <c r="CC33" s="56">
        <f t="shared" si="21"/>
        <v>0</v>
      </c>
      <c r="CD33" s="79">
        <f t="shared" si="22"/>
        <v>0</v>
      </c>
      <c r="CE33" s="64">
        <v>62477</v>
      </c>
      <c r="CF33" s="79">
        <v>103681</v>
      </c>
      <c r="CG33" s="79"/>
      <c r="CH33" s="80"/>
      <c r="CI33" s="75">
        <v>3</v>
      </c>
      <c r="CJ33" s="76">
        <v>5</v>
      </c>
      <c r="CK33" s="76"/>
      <c r="CL33" s="77"/>
      <c r="CM33" s="75">
        <v>25</v>
      </c>
      <c r="CN33" s="76">
        <v>120</v>
      </c>
      <c r="CO33" s="76"/>
      <c r="CP33" s="77"/>
      <c r="CQ33" s="78">
        <f>CE33/CI33</f>
        <v>20825.666666666668</v>
      </c>
      <c r="CR33" s="79">
        <f>CF33/CJ33</f>
        <v>20736.2</v>
      </c>
      <c r="CS33" s="79"/>
      <c r="CT33" s="80"/>
      <c r="CU33" s="75">
        <f t="shared" si="39"/>
        <v>8</v>
      </c>
      <c r="CV33" s="128">
        <f t="shared" si="40"/>
        <v>0</v>
      </c>
      <c r="CW33" s="52">
        <f t="shared" si="41"/>
        <v>41561.866666666669</v>
      </c>
      <c r="CX33" s="57">
        <f t="shared" si="42"/>
        <v>0</v>
      </c>
      <c r="CY33" s="78"/>
      <c r="CZ33" s="66"/>
      <c r="DA33" s="78"/>
      <c r="DB33" s="80"/>
      <c r="DC33" s="78"/>
      <c r="DD33" s="66"/>
      <c r="DE33" s="78"/>
      <c r="DF33" s="80"/>
      <c r="DG33" s="55">
        <f t="shared" si="27"/>
        <v>41561.866666666669</v>
      </c>
      <c r="DH33" s="67">
        <f t="shared" si="28"/>
        <v>0</v>
      </c>
      <c r="DI33" s="78">
        <f t="shared" si="29"/>
        <v>332494.93333333335</v>
      </c>
      <c r="DJ33" s="80">
        <f t="shared" si="30"/>
        <v>0</v>
      </c>
      <c r="DK33" s="59">
        <f t="shared" si="31"/>
        <v>3</v>
      </c>
      <c r="DL33" s="216">
        <f t="shared" si="32"/>
        <v>20825.666666666668</v>
      </c>
      <c r="DM33" s="212"/>
      <c r="DN33" s="212"/>
      <c r="DO33" s="212"/>
      <c r="DP33" s="212"/>
      <c r="DQ33" s="56">
        <f t="shared" si="33"/>
        <v>0</v>
      </c>
      <c r="DR33" s="66">
        <f t="shared" si="34"/>
        <v>0</v>
      </c>
      <c r="DS33" s="78"/>
      <c r="DT33" s="79"/>
      <c r="DU33" s="80"/>
    </row>
    <row r="34" spans="1:125" x14ac:dyDescent="0.3">
      <c r="A34" s="20" t="s">
        <v>60</v>
      </c>
      <c r="B34" s="42" t="s">
        <v>29</v>
      </c>
      <c r="C34" s="78"/>
      <c r="D34" s="79"/>
      <c r="E34" s="79"/>
      <c r="F34" s="80"/>
      <c r="G34" s="98"/>
      <c r="H34" s="99"/>
      <c r="I34" s="105"/>
      <c r="J34" s="106"/>
      <c r="K34" s="75"/>
      <c r="L34" s="76"/>
      <c r="M34" s="76"/>
      <c r="N34" s="77"/>
      <c r="O34" s="112"/>
      <c r="P34" s="113"/>
      <c r="Q34" s="109"/>
      <c r="R34" s="123"/>
      <c r="S34" s="76">
        <f t="shared" si="35"/>
        <v>0</v>
      </c>
      <c r="T34" s="90">
        <f t="shared" si="36"/>
        <v>0</v>
      </c>
      <c r="U34" s="78">
        <f t="shared" si="37"/>
        <v>0</v>
      </c>
      <c r="V34" s="80">
        <f t="shared" si="38"/>
        <v>0</v>
      </c>
      <c r="W34" s="75"/>
      <c r="X34" s="66"/>
      <c r="Y34" s="78"/>
      <c r="Z34" s="77"/>
      <c r="AA34" s="49"/>
      <c r="AB34" s="9"/>
      <c r="AC34" s="49"/>
      <c r="AD34" s="9"/>
      <c r="AE34" s="78">
        <f t="shared" si="3"/>
        <v>0</v>
      </c>
      <c r="AF34" s="66">
        <f t="shared" si="4"/>
        <v>0</v>
      </c>
      <c r="AG34" s="78">
        <f t="shared" si="5"/>
        <v>0</v>
      </c>
      <c r="AH34" s="80">
        <f t="shared" si="6"/>
        <v>0</v>
      </c>
      <c r="AI34" s="59">
        <f t="shared" si="7"/>
        <v>0</v>
      </c>
      <c r="AJ34" s="56">
        <f t="shared" si="8"/>
        <v>0</v>
      </c>
      <c r="AK34" s="212"/>
      <c r="AL34" s="212"/>
      <c r="AM34" s="212"/>
      <c r="AN34" s="212"/>
      <c r="AO34" s="79">
        <f t="shared" si="9"/>
        <v>0</v>
      </c>
      <c r="AP34" s="79">
        <f t="shared" si="10"/>
        <v>0</v>
      </c>
      <c r="AQ34" s="64"/>
      <c r="AR34" s="79"/>
      <c r="AS34" s="79"/>
      <c r="AT34" s="80"/>
      <c r="AU34" s="166"/>
      <c r="AV34" s="167"/>
      <c r="AW34" s="94"/>
      <c r="AX34" s="101"/>
      <c r="AY34" s="75"/>
      <c r="AZ34" s="76"/>
      <c r="BA34" s="76"/>
      <c r="BB34" s="77"/>
      <c r="BC34" s="112"/>
      <c r="BD34" s="113"/>
      <c r="BE34" s="171"/>
      <c r="BF34" s="179"/>
      <c r="BG34" s="75">
        <f t="shared" si="11"/>
        <v>0</v>
      </c>
      <c r="BH34" s="90">
        <f t="shared" si="12"/>
        <v>0</v>
      </c>
      <c r="BI34" s="78">
        <f t="shared" si="13"/>
        <v>0</v>
      </c>
      <c r="BJ34" s="80">
        <f t="shared" si="14"/>
        <v>0</v>
      </c>
      <c r="BK34" s="32"/>
      <c r="BL34" s="76"/>
      <c r="BM34" s="76"/>
      <c r="BN34" s="77"/>
      <c r="BO34" s="75"/>
      <c r="BP34" s="76"/>
      <c r="BQ34" s="76"/>
      <c r="BR34" s="90"/>
      <c r="BS34" s="78">
        <f t="shared" si="15"/>
        <v>0</v>
      </c>
      <c r="BT34" s="66">
        <f t="shared" si="16"/>
        <v>0</v>
      </c>
      <c r="BU34" s="78">
        <f t="shared" si="17"/>
        <v>0</v>
      </c>
      <c r="BV34" s="80">
        <f t="shared" si="18"/>
        <v>0</v>
      </c>
      <c r="BW34" s="59">
        <f t="shared" si="19"/>
        <v>0</v>
      </c>
      <c r="BX34" s="56">
        <f t="shared" si="20"/>
        <v>0</v>
      </c>
      <c r="BY34" s="212"/>
      <c r="BZ34" s="212"/>
      <c r="CA34" s="212"/>
      <c r="CB34" s="212"/>
      <c r="CC34" s="56">
        <f t="shared" si="21"/>
        <v>0</v>
      </c>
      <c r="CD34" s="79">
        <f t="shared" si="22"/>
        <v>0</v>
      </c>
      <c r="CE34" s="64"/>
      <c r="CF34" s="79"/>
      <c r="CG34" s="79"/>
      <c r="CH34" s="80"/>
      <c r="CI34" s="75"/>
      <c r="CJ34" s="76"/>
      <c r="CK34" s="76"/>
      <c r="CL34" s="77"/>
      <c r="CM34" s="75"/>
      <c r="CN34" s="76"/>
      <c r="CO34" s="76"/>
      <c r="CP34" s="77"/>
      <c r="CQ34" s="78"/>
      <c r="CR34" s="79"/>
      <c r="CS34" s="79"/>
      <c r="CT34" s="80"/>
      <c r="CU34" s="75">
        <f t="shared" si="39"/>
        <v>0</v>
      </c>
      <c r="CV34" s="128">
        <f t="shared" si="40"/>
        <v>0</v>
      </c>
      <c r="CW34" s="55">
        <f t="shared" si="41"/>
        <v>0</v>
      </c>
      <c r="CX34" s="57">
        <f t="shared" si="42"/>
        <v>0</v>
      </c>
      <c r="CY34" s="75"/>
      <c r="CZ34" s="90"/>
      <c r="DA34" s="75"/>
      <c r="DB34" s="77"/>
      <c r="DC34" s="75"/>
      <c r="DD34" s="90"/>
      <c r="DE34" s="75"/>
      <c r="DF34" s="77"/>
      <c r="DG34" s="55">
        <f t="shared" si="27"/>
        <v>0</v>
      </c>
      <c r="DH34" s="67">
        <f t="shared" si="28"/>
        <v>0</v>
      </c>
      <c r="DI34" s="78">
        <f t="shared" si="29"/>
        <v>0</v>
      </c>
      <c r="DJ34" s="80">
        <f t="shared" si="30"/>
        <v>0</v>
      </c>
      <c r="DK34" s="59">
        <f t="shared" si="31"/>
        <v>0</v>
      </c>
      <c r="DL34" s="56">
        <f t="shared" si="32"/>
        <v>0</v>
      </c>
      <c r="DM34" s="212"/>
      <c r="DN34" s="212"/>
      <c r="DO34" s="212"/>
      <c r="DP34" s="212"/>
      <c r="DQ34" s="56">
        <f t="shared" si="33"/>
        <v>0</v>
      </c>
      <c r="DR34" s="66">
        <f t="shared" si="34"/>
        <v>0</v>
      </c>
      <c r="DS34" s="78"/>
      <c r="DT34" s="79"/>
      <c r="DU34" s="80"/>
    </row>
    <row r="35" spans="1:125" ht="28.8" x14ac:dyDescent="0.3">
      <c r="A35" s="40" t="s">
        <v>61</v>
      </c>
      <c r="B35" s="82" t="s">
        <v>67</v>
      </c>
      <c r="C35" s="78">
        <v>0</v>
      </c>
      <c r="D35" s="79">
        <v>0</v>
      </c>
      <c r="E35" s="79">
        <v>0</v>
      </c>
      <c r="F35" s="80">
        <v>0</v>
      </c>
      <c r="G35" s="98">
        <v>0</v>
      </c>
      <c r="H35" s="99">
        <v>0</v>
      </c>
      <c r="I35" s="105">
        <v>0</v>
      </c>
      <c r="J35" s="106">
        <v>0</v>
      </c>
      <c r="K35" s="75">
        <v>0</v>
      </c>
      <c r="L35" s="76">
        <v>0</v>
      </c>
      <c r="M35" s="76">
        <v>0</v>
      </c>
      <c r="N35" s="77">
        <v>0</v>
      </c>
      <c r="O35" s="112">
        <v>0</v>
      </c>
      <c r="P35" s="113">
        <v>0</v>
      </c>
      <c r="Q35" s="109">
        <v>0</v>
      </c>
      <c r="R35" s="123">
        <v>0</v>
      </c>
      <c r="S35" s="76">
        <f t="shared" si="35"/>
        <v>0</v>
      </c>
      <c r="T35" s="90">
        <f t="shared" si="36"/>
        <v>0</v>
      </c>
      <c r="U35" s="78">
        <f t="shared" si="37"/>
        <v>0</v>
      </c>
      <c r="V35" s="80">
        <f t="shared" si="38"/>
        <v>0</v>
      </c>
      <c r="W35" s="75"/>
      <c r="X35" s="66"/>
      <c r="Y35" s="78"/>
      <c r="Z35" s="77"/>
      <c r="AA35" s="49"/>
      <c r="AB35" s="9"/>
      <c r="AC35" s="49"/>
      <c r="AD35" s="9"/>
      <c r="AE35" s="78">
        <f t="shared" si="3"/>
        <v>0</v>
      </c>
      <c r="AF35" s="66">
        <f t="shared" si="4"/>
        <v>0</v>
      </c>
      <c r="AG35" s="78">
        <f t="shared" si="5"/>
        <v>0</v>
      </c>
      <c r="AH35" s="80">
        <f t="shared" si="6"/>
        <v>0</v>
      </c>
      <c r="AI35" s="59">
        <f t="shared" si="7"/>
        <v>0</v>
      </c>
      <c r="AJ35" s="56">
        <f t="shared" si="8"/>
        <v>0</v>
      </c>
      <c r="AK35" s="212"/>
      <c r="AL35" s="212"/>
      <c r="AM35" s="212"/>
      <c r="AN35" s="212"/>
      <c r="AO35" s="79">
        <f t="shared" si="9"/>
        <v>0</v>
      </c>
      <c r="AP35" s="79">
        <f t="shared" si="10"/>
        <v>0</v>
      </c>
      <c r="AQ35" s="64">
        <v>81383.56</v>
      </c>
      <c r="AR35" s="79">
        <v>0</v>
      </c>
      <c r="AS35" s="79">
        <v>0</v>
      </c>
      <c r="AT35" s="80">
        <v>0</v>
      </c>
      <c r="AU35" s="166">
        <v>21</v>
      </c>
      <c r="AV35" s="167">
        <v>0</v>
      </c>
      <c r="AW35" s="94">
        <v>0</v>
      </c>
      <c r="AX35" s="101">
        <v>0</v>
      </c>
      <c r="AY35" s="75">
        <v>1299</v>
      </c>
      <c r="AZ35" s="76">
        <v>0</v>
      </c>
      <c r="BA35" s="76">
        <v>0</v>
      </c>
      <c r="BB35" s="77">
        <v>0</v>
      </c>
      <c r="BC35" s="112">
        <f>AQ35/AU35</f>
        <v>3875.4076190476189</v>
      </c>
      <c r="BD35" s="113">
        <v>0</v>
      </c>
      <c r="BE35" s="171">
        <v>0</v>
      </c>
      <c r="BF35" s="179">
        <v>0</v>
      </c>
      <c r="BG35" s="177">
        <f t="shared" si="11"/>
        <v>21</v>
      </c>
      <c r="BH35" s="90">
        <f t="shared" si="12"/>
        <v>0</v>
      </c>
      <c r="BI35" s="52">
        <f t="shared" si="13"/>
        <v>3875.4076190476189</v>
      </c>
      <c r="BJ35" s="80">
        <f t="shared" si="14"/>
        <v>0</v>
      </c>
      <c r="BK35" s="32"/>
      <c r="BL35" s="76"/>
      <c r="BM35" s="76"/>
      <c r="BN35" s="77"/>
      <c r="BO35" s="75"/>
      <c r="BP35" s="76"/>
      <c r="BQ35" s="76"/>
      <c r="BR35" s="90"/>
      <c r="BS35" s="133">
        <f t="shared" si="15"/>
        <v>3875.4076190476189</v>
      </c>
      <c r="BT35" s="66">
        <f t="shared" si="16"/>
        <v>0</v>
      </c>
      <c r="BU35" s="78">
        <f t="shared" si="17"/>
        <v>81383.56</v>
      </c>
      <c r="BV35" s="80">
        <f t="shared" si="18"/>
        <v>0</v>
      </c>
      <c r="BW35" s="215">
        <f t="shared" si="19"/>
        <v>21</v>
      </c>
      <c r="BX35" s="216">
        <f t="shared" si="20"/>
        <v>3875.4076190476189</v>
      </c>
      <c r="BY35" s="212"/>
      <c r="BZ35" s="212"/>
      <c r="CA35" s="212"/>
      <c r="CB35" s="212"/>
      <c r="CC35" s="219">
        <f t="shared" si="21"/>
        <v>3875.4076190476189</v>
      </c>
      <c r="CD35" s="79">
        <f t="shared" si="22"/>
        <v>81383.56</v>
      </c>
      <c r="CE35" s="64">
        <v>118922.97</v>
      </c>
      <c r="CF35" s="79">
        <v>0</v>
      </c>
      <c r="CG35" s="79">
        <v>0</v>
      </c>
      <c r="CH35" s="80">
        <v>0</v>
      </c>
      <c r="CI35" s="75">
        <v>37</v>
      </c>
      <c r="CJ35" s="76">
        <v>0</v>
      </c>
      <c r="CK35" s="76">
        <v>0</v>
      </c>
      <c r="CL35" s="77">
        <v>0</v>
      </c>
      <c r="CM35" s="75">
        <v>5213</v>
      </c>
      <c r="CN35" s="76">
        <v>0</v>
      </c>
      <c r="CO35" s="76">
        <v>0</v>
      </c>
      <c r="CP35" s="77">
        <v>0</v>
      </c>
      <c r="CQ35" s="78">
        <f>CE35/CI35</f>
        <v>3214.1343243243246</v>
      </c>
      <c r="CR35" s="79">
        <v>0</v>
      </c>
      <c r="CS35" s="79">
        <v>0</v>
      </c>
      <c r="CT35" s="80">
        <v>0</v>
      </c>
      <c r="CU35" s="193">
        <f t="shared" si="39"/>
        <v>37</v>
      </c>
      <c r="CV35" s="128">
        <f t="shared" si="40"/>
        <v>0</v>
      </c>
      <c r="CW35" s="52">
        <f t="shared" si="41"/>
        <v>3214.1343243243246</v>
      </c>
      <c r="CX35" s="57">
        <f t="shared" si="42"/>
        <v>0</v>
      </c>
      <c r="CY35" s="75"/>
      <c r="CZ35" s="90"/>
      <c r="DA35" s="75"/>
      <c r="DB35" s="77"/>
      <c r="DC35" s="75"/>
      <c r="DD35" s="90"/>
      <c r="DE35" s="75"/>
      <c r="DF35" s="77"/>
      <c r="DG35" s="189">
        <f t="shared" si="27"/>
        <v>3214.1343243243246</v>
      </c>
      <c r="DH35" s="67">
        <f t="shared" si="28"/>
        <v>0</v>
      </c>
      <c r="DI35" s="78">
        <f t="shared" si="29"/>
        <v>118922.97</v>
      </c>
      <c r="DJ35" s="80">
        <f t="shared" si="30"/>
        <v>0</v>
      </c>
      <c r="DK35" s="215">
        <f t="shared" si="31"/>
        <v>37</v>
      </c>
      <c r="DL35" s="216">
        <f t="shared" si="32"/>
        <v>3214.1343243243246</v>
      </c>
      <c r="DM35" s="212"/>
      <c r="DN35" s="212"/>
      <c r="DO35" s="212"/>
      <c r="DP35" s="212"/>
      <c r="DQ35" s="219">
        <f t="shared" si="33"/>
        <v>3214.1343243243246</v>
      </c>
      <c r="DR35" s="66">
        <f t="shared" si="34"/>
        <v>118922.97</v>
      </c>
      <c r="DS35" s="78"/>
      <c r="DT35" s="79"/>
      <c r="DU35" s="80"/>
    </row>
    <row r="36" spans="1:125" ht="29.4" thickBot="1" x14ac:dyDescent="0.35">
      <c r="A36" s="21" t="s">
        <v>68</v>
      </c>
      <c r="B36" s="74" t="s">
        <v>30</v>
      </c>
      <c r="C36" s="243">
        <f>318.36*6</f>
        <v>1910.16</v>
      </c>
      <c r="D36" s="244"/>
      <c r="E36" s="244"/>
      <c r="F36" s="245"/>
      <c r="G36" s="246">
        <v>6</v>
      </c>
      <c r="H36" s="247"/>
      <c r="I36" s="247"/>
      <c r="J36" s="248"/>
      <c r="K36" s="246">
        <f>15*6</f>
        <v>90</v>
      </c>
      <c r="L36" s="247"/>
      <c r="M36" s="247"/>
      <c r="N36" s="248"/>
      <c r="O36" s="243">
        <v>318.36</v>
      </c>
      <c r="P36" s="244"/>
      <c r="Q36" s="244"/>
      <c r="R36" s="245"/>
      <c r="S36" s="41">
        <f t="shared" si="35"/>
        <v>6</v>
      </c>
      <c r="T36" s="151">
        <f t="shared" si="36"/>
        <v>0</v>
      </c>
      <c r="U36" s="78">
        <f t="shared" si="37"/>
        <v>318.36</v>
      </c>
      <c r="V36" s="80">
        <f t="shared" si="38"/>
        <v>0</v>
      </c>
      <c r="W36" s="29"/>
      <c r="X36" s="34"/>
      <c r="Y36" s="26"/>
      <c r="Z36" s="31"/>
      <c r="AA36" s="50"/>
      <c r="AB36" s="7"/>
      <c r="AC36" s="50"/>
      <c r="AD36" s="7"/>
      <c r="AE36" s="26">
        <f t="shared" si="3"/>
        <v>318.36</v>
      </c>
      <c r="AF36" s="34">
        <f t="shared" si="4"/>
        <v>0</v>
      </c>
      <c r="AG36" s="26">
        <f t="shared" si="5"/>
        <v>1910.16</v>
      </c>
      <c r="AH36" s="28">
        <f t="shared" si="6"/>
        <v>0</v>
      </c>
      <c r="AI36" s="59">
        <f t="shared" si="7"/>
        <v>6</v>
      </c>
      <c r="AJ36" s="56">
        <f t="shared" si="8"/>
        <v>318.36</v>
      </c>
      <c r="AK36" s="213"/>
      <c r="AL36" s="213"/>
      <c r="AM36" s="213"/>
      <c r="AN36" s="213"/>
      <c r="AO36" s="79">
        <f t="shared" si="9"/>
        <v>0</v>
      </c>
      <c r="AP36" s="79">
        <f>AO36*AI36</f>
        <v>0</v>
      </c>
      <c r="AQ36" s="129"/>
      <c r="AR36" s="27"/>
      <c r="AS36" s="27"/>
      <c r="AT36" s="28"/>
      <c r="AU36" s="168"/>
      <c r="AV36" s="169"/>
      <c r="AW36" s="95"/>
      <c r="AX36" s="102"/>
      <c r="AY36" s="29"/>
      <c r="AZ36" s="30"/>
      <c r="BA36" s="30"/>
      <c r="BB36" s="31"/>
      <c r="BC36" s="114"/>
      <c r="BD36" s="115"/>
      <c r="BE36" s="172"/>
      <c r="BF36" s="180"/>
      <c r="BG36" s="29">
        <f t="shared" si="11"/>
        <v>0</v>
      </c>
      <c r="BH36" s="91">
        <f t="shared" si="12"/>
        <v>0</v>
      </c>
      <c r="BI36" s="26">
        <f t="shared" si="13"/>
        <v>0</v>
      </c>
      <c r="BJ36" s="28">
        <f t="shared" si="14"/>
        <v>0</v>
      </c>
      <c r="BK36" s="33"/>
      <c r="BL36" s="30"/>
      <c r="BM36" s="30"/>
      <c r="BN36" s="31"/>
      <c r="BO36" s="29"/>
      <c r="BP36" s="30"/>
      <c r="BQ36" s="30"/>
      <c r="BR36" s="91"/>
      <c r="BS36" s="26">
        <f t="shared" si="15"/>
        <v>0</v>
      </c>
      <c r="BT36" s="34">
        <f t="shared" si="16"/>
        <v>0</v>
      </c>
      <c r="BU36" s="26">
        <f t="shared" si="17"/>
        <v>0</v>
      </c>
      <c r="BV36" s="28">
        <f t="shared" si="18"/>
        <v>0</v>
      </c>
      <c r="BW36" s="59">
        <f t="shared" si="19"/>
        <v>0</v>
      </c>
      <c r="BX36" s="56">
        <f t="shared" si="20"/>
        <v>0</v>
      </c>
      <c r="BY36" s="213"/>
      <c r="BZ36" s="213"/>
      <c r="CA36" s="213"/>
      <c r="CB36" s="213"/>
      <c r="CC36" s="56">
        <f t="shared" si="21"/>
        <v>0</v>
      </c>
      <c r="CD36" s="79">
        <f>CC36*BW36</f>
        <v>0</v>
      </c>
      <c r="CE36" s="129">
        <v>1282.3800000000001</v>
      </c>
      <c r="CF36" s="27">
        <v>0</v>
      </c>
      <c r="CG36" s="27">
        <v>0</v>
      </c>
      <c r="CH36" s="28">
        <v>0</v>
      </c>
      <c r="CI36" s="29">
        <v>6</v>
      </c>
      <c r="CJ36" s="30">
        <v>0</v>
      </c>
      <c r="CK36" s="30">
        <v>0</v>
      </c>
      <c r="CL36" s="31">
        <v>0</v>
      </c>
      <c r="CM36" s="29">
        <v>75</v>
      </c>
      <c r="CN36" s="30">
        <v>0</v>
      </c>
      <c r="CO36" s="30">
        <v>0</v>
      </c>
      <c r="CP36" s="31">
        <v>0</v>
      </c>
      <c r="CQ36" s="26">
        <v>213.73</v>
      </c>
      <c r="CR36" s="27">
        <v>0</v>
      </c>
      <c r="CS36" s="27">
        <v>0</v>
      </c>
      <c r="CT36" s="28">
        <v>0</v>
      </c>
      <c r="CU36" s="194">
        <f t="shared" si="39"/>
        <v>6</v>
      </c>
      <c r="CV36" s="195">
        <f t="shared" si="40"/>
        <v>0</v>
      </c>
      <c r="CW36" s="52">
        <f t="shared" si="41"/>
        <v>213.73</v>
      </c>
      <c r="CX36" s="57">
        <f t="shared" si="42"/>
        <v>0</v>
      </c>
      <c r="CY36" s="29"/>
      <c r="CZ36" s="91"/>
      <c r="DA36" s="29"/>
      <c r="DB36" s="31"/>
      <c r="DC36" s="29"/>
      <c r="DD36" s="91"/>
      <c r="DE36" s="29"/>
      <c r="DF36" s="31"/>
      <c r="DG36" s="190">
        <f t="shared" si="27"/>
        <v>213.73</v>
      </c>
      <c r="DH36" s="198">
        <f t="shared" si="28"/>
        <v>0</v>
      </c>
      <c r="DI36" s="26">
        <f t="shared" si="29"/>
        <v>1282.3799999999999</v>
      </c>
      <c r="DJ36" s="28">
        <f t="shared" si="30"/>
        <v>0</v>
      </c>
      <c r="DK36" s="59">
        <f t="shared" si="31"/>
        <v>6</v>
      </c>
      <c r="DL36" s="216">
        <f t="shared" si="32"/>
        <v>213.73</v>
      </c>
      <c r="DM36" s="213"/>
      <c r="DN36" s="213"/>
      <c r="DO36" s="213"/>
      <c r="DP36" s="213"/>
      <c r="DQ36" s="56">
        <f t="shared" si="33"/>
        <v>0</v>
      </c>
      <c r="DR36" s="66">
        <f>DQ36*DK36</f>
        <v>0</v>
      </c>
      <c r="DS36" s="26"/>
      <c r="DT36" s="27"/>
      <c r="DU36" s="28"/>
    </row>
    <row r="37" spans="1:125" ht="15" thickBot="1" x14ac:dyDescent="0.35">
      <c r="A37" s="136"/>
      <c r="B37" s="146"/>
      <c r="C37" s="137"/>
      <c r="D37" s="137"/>
      <c r="E37" s="137"/>
      <c r="F37" s="137"/>
      <c r="G37" s="138"/>
      <c r="H37" s="138"/>
      <c r="I37" s="139"/>
      <c r="J37" s="139"/>
      <c r="K37" s="140"/>
      <c r="L37" s="140"/>
      <c r="M37" s="140"/>
      <c r="N37" s="140"/>
      <c r="O37" s="141"/>
      <c r="P37" s="141"/>
      <c r="Q37" s="142"/>
      <c r="R37" s="142"/>
      <c r="S37" s="157">
        <f>SUM(S13,S16,S17,S18,S19,S20,S22,S23,S24,S25,S26,S27,S28,S29,S31,S33)</f>
        <v>5101</v>
      </c>
      <c r="T37" s="157">
        <f>SUM(T13,T25,T27,T30,T14)</f>
        <v>235</v>
      </c>
      <c r="U37" s="137"/>
      <c r="V37" s="137"/>
      <c r="W37" s="140"/>
      <c r="X37" s="137"/>
      <c r="Y37" s="137"/>
      <c r="Z37" s="140"/>
      <c r="AA37" s="143"/>
      <c r="AB37" s="143"/>
      <c r="AC37" s="143"/>
      <c r="AD37" s="143"/>
      <c r="AE37" s="137"/>
      <c r="AF37" s="137"/>
      <c r="AG37" s="160">
        <f>SUM(AG13:AG36)</f>
        <v>151659659.79310438</v>
      </c>
      <c r="AH37" s="161">
        <f>SUM(AH13:AH36)</f>
        <v>7311605.3616666673</v>
      </c>
      <c r="AI37" s="214">
        <f>SUM(AI13,AI17:AI19,AI21:AI24,AI26,AI28,AI31)</f>
        <v>4106</v>
      </c>
      <c r="AJ37" s="217"/>
      <c r="AK37" s="217"/>
      <c r="AL37" s="217"/>
      <c r="AM37" s="217"/>
      <c r="AN37" s="217"/>
      <c r="AO37" s="217"/>
      <c r="AP37" s="214">
        <f>SUM(AP13:AP36)</f>
        <v>40672726.409999996</v>
      </c>
      <c r="AQ37" s="137"/>
      <c r="AR37" s="137"/>
      <c r="AS37" s="137"/>
      <c r="AT37" s="137"/>
      <c r="AU37" s="140"/>
      <c r="AV37" s="140"/>
      <c r="AW37" s="140"/>
      <c r="AX37" s="140"/>
      <c r="AY37" s="140"/>
      <c r="AZ37" s="140"/>
      <c r="BA37" s="140"/>
      <c r="BB37" s="140"/>
      <c r="BC37" s="137"/>
      <c r="BD37" s="137"/>
      <c r="BE37" s="137"/>
      <c r="BF37" s="137"/>
      <c r="BG37" s="162">
        <f>SUM(BG13,BG15,BG16,BG17,BG18,BG20,BG21,BG22,BG24,BG25,BG26,BG27,BG28,BG29,BG31,BG33,BG35)</f>
        <v>4965</v>
      </c>
      <c r="BH37" s="163">
        <f>SUM(BH13,BH14,BH23,BH24,BH25,BH26,BH30,BH33)</f>
        <v>370</v>
      </c>
      <c r="BI37" s="137"/>
      <c r="BJ37" s="137"/>
      <c r="BK37" s="140"/>
      <c r="BL37" s="140"/>
      <c r="BM37" s="140"/>
      <c r="BN37" s="140"/>
      <c r="BO37" s="140"/>
      <c r="BP37" s="140"/>
      <c r="BQ37" s="140"/>
      <c r="BR37" s="140"/>
      <c r="BS37" s="137"/>
      <c r="BT37" s="137"/>
      <c r="BU37" s="162">
        <f>SUM(BU13:BU36)</f>
        <v>117649255.52944972</v>
      </c>
      <c r="BV37" s="163">
        <f>SUM(BV13:BV36)</f>
        <v>10982511.591454543</v>
      </c>
      <c r="BW37" s="214">
        <f>SUM(BW17:BW19,BW21:BW24,BW26,BW28,BW31,BW35)</f>
        <v>1392</v>
      </c>
      <c r="BX37" s="217"/>
      <c r="BY37" s="217"/>
      <c r="BZ37" s="217"/>
      <c r="CA37" s="217"/>
      <c r="CB37" s="217"/>
      <c r="CC37" s="217"/>
      <c r="CD37" s="214">
        <f>SUM(CD13:CD36)</f>
        <v>7523937.7000000002</v>
      </c>
      <c r="CE37" s="137"/>
      <c r="CF37" s="137"/>
      <c r="CG37" s="137"/>
      <c r="CH37" s="137"/>
      <c r="CI37" s="140"/>
      <c r="CJ37" s="140"/>
      <c r="CK37" s="140"/>
      <c r="CL37" s="140"/>
      <c r="CM37" s="140"/>
      <c r="CN37" s="140"/>
      <c r="CO37" s="140"/>
      <c r="CP37" s="140"/>
      <c r="CQ37" s="137"/>
      <c r="CR37" s="137"/>
      <c r="CS37" s="137"/>
      <c r="CT37" s="144"/>
      <c r="CU37" s="196">
        <f>SUM(CU16,CU17,CU18,CU19,CU20,CU21,CU22,CU23,CU24,CU26,CU27,CU28,CU29,CU30,CU31,CU32,CU35,CU36)</f>
        <v>2284</v>
      </c>
      <c r="CV37" s="197">
        <f>SUM(CV13,CV14,CV23,CV25,CV30,CV30,CV27,CV30)</f>
        <v>271</v>
      </c>
      <c r="CW37" s="137"/>
      <c r="CX37" s="137"/>
      <c r="CY37" s="140"/>
      <c r="CZ37" s="140"/>
      <c r="DA37" s="140"/>
      <c r="DB37" s="140"/>
      <c r="DC37" s="140"/>
      <c r="DD37" s="140"/>
      <c r="DE37" s="140"/>
      <c r="DF37" s="140"/>
      <c r="DG37" s="137"/>
      <c r="DH37" s="137"/>
      <c r="DI37" s="159">
        <f>SUM(DI13:DI36)</f>
        <v>133280195.85709086</v>
      </c>
      <c r="DJ37" s="207">
        <f>SUM(DJ13:DJ36)</f>
        <v>9325670.0859160498</v>
      </c>
      <c r="DK37" s="214">
        <f>SUM(DK17:DK19,DK21:DK24,DK26,DK28:DK32,DK35)</f>
        <v>1608</v>
      </c>
      <c r="DL37" s="217"/>
      <c r="DM37" s="217"/>
      <c r="DN37" s="217"/>
      <c r="DO37" s="217"/>
      <c r="DP37" s="217"/>
      <c r="DQ37" s="217"/>
      <c r="DR37" s="214">
        <f>SUM(DR13:DR36)</f>
        <v>9433311.7700000014</v>
      </c>
      <c r="DS37" s="147"/>
      <c r="DT37" s="222"/>
      <c r="DU37" s="222"/>
    </row>
    <row r="38" spans="1:125" s="46" customFormat="1" ht="43.8" thickBot="1" x14ac:dyDescent="0.35">
      <c r="A38" s="145"/>
      <c r="B38" s="146"/>
      <c r="C38" s="147"/>
      <c r="D38" s="147"/>
      <c r="E38" s="147"/>
      <c r="F38" s="147"/>
      <c r="G38" s="148"/>
      <c r="H38" s="148"/>
      <c r="I38" s="148"/>
      <c r="J38" s="148"/>
      <c r="K38" s="148"/>
      <c r="L38" s="148"/>
      <c r="M38" s="148"/>
      <c r="N38" s="148"/>
      <c r="O38" s="147"/>
      <c r="P38" s="147"/>
      <c r="Q38" s="147"/>
      <c r="R38" s="147"/>
      <c r="S38" s="158"/>
      <c r="T38" s="158"/>
      <c r="U38" s="147"/>
      <c r="V38" s="147"/>
      <c r="W38" s="148"/>
      <c r="X38" s="147"/>
      <c r="Y38" s="147"/>
      <c r="Z38" s="148"/>
      <c r="AA38" s="149"/>
      <c r="AB38" s="149"/>
      <c r="AC38" s="149"/>
      <c r="AD38" s="149"/>
      <c r="AE38" s="147"/>
      <c r="AF38" s="225" t="s">
        <v>77</v>
      </c>
      <c r="AG38" s="226">
        <f>AG37/S37</f>
        <v>29731.358516585842</v>
      </c>
      <c r="AH38" s="227">
        <f>AH37/T37</f>
        <v>31113.214304964542</v>
      </c>
      <c r="AI38" s="147"/>
      <c r="AJ38" s="147"/>
      <c r="AK38" s="147"/>
      <c r="AL38" s="147"/>
      <c r="AM38" s="147"/>
      <c r="AN38" s="147"/>
      <c r="AO38" s="147"/>
      <c r="AP38" s="225">
        <f>AP37/AI37</f>
        <v>9905.6810545543103</v>
      </c>
      <c r="AQ38" s="147"/>
      <c r="AR38" s="147"/>
      <c r="AS38" s="147"/>
      <c r="AT38" s="147"/>
      <c r="AU38" s="148"/>
      <c r="AV38" s="148"/>
      <c r="AW38" s="148"/>
      <c r="AX38" s="148"/>
      <c r="AY38" s="148"/>
      <c r="AZ38" s="148"/>
      <c r="BA38" s="148"/>
      <c r="BB38" s="148"/>
      <c r="BC38" s="147"/>
      <c r="BD38" s="147"/>
      <c r="BE38" s="147"/>
      <c r="BF38" s="147"/>
      <c r="BG38" s="147"/>
      <c r="BH38" s="147"/>
      <c r="BI38" s="147"/>
      <c r="BJ38" s="147"/>
      <c r="BK38" s="148"/>
      <c r="BL38" s="148"/>
      <c r="BM38" s="148"/>
      <c r="BN38" s="148"/>
      <c r="BO38" s="148"/>
      <c r="BP38" s="148"/>
      <c r="BQ38" s="148"/>
      <c r="BR38" s="148"/>
      <c r="BS38" s="147"/>
      <c r="BT38" s="225" t="s">
        <v>77</v>
      </c>
      <c r="BU38" s="226">
        <f>BU37/BG37</f>
        <v>23695.721153967716</v>
      </c>
      <c r="BV38" s="227">
        <f>BV37/BH37</f>
        <v>29682.463760687955</v>
      </c>
      <c r="BW38" s="147"/>
      <c r="BX38" s="147"/>
      <c r="BY38" s="147"/>
      <c r="BZ38" s="147"/>
      <c r="CA38" s="147"/>
      <c r="CB38" s="147"/>
      <c r="CC38" s="147"/>
      <c r="CD38" s="225">
        <f>CD37/BW37</f>
        <v>5405.1276580459771</v>
      </c>
      <c r="CE38" s="147"/>
      <c r="CF38" s="147"/>
      <c r="CG38" s="147"/>
      <c r="CH38" s="147"/>
      <c r="CI38" s="148"/>
      <c r="CJ38" s="148"/>
      <c r="CK38" s="148"/>
      <c r="CL38" s="148"/>
      <c r="CM38" s="148"/>
      <c r="CN38" s="148"/>
      <c r="CO38" s="148"/>
      <c r="CP38" s="148"/>
      <c r="CQ38" s="147"/>
      <c r="CR38" s="147"/>
      <c r="CS38" s="147"/>
      <c r="CT38" s="150"/>
      <c r="CU38" s="147"/>
      <c r="CV38" s="147"/>
      <c r="CW38" s="147"/>
      <c r="CX38" s="147"/>
      <c r="CY38" s="148"/>
      <c r="CZ38" s="148"/>
      <c r="DA38" s="148"/>
      <c r="DB38" s="148"/>
      <c r="DC38" s="148"/>
      <c r="DD38" s="148"/>
      <c r="DE38" s="148"/>
      <c r="DF38" s="148"/>
      <c r="DG38" s="147"/>
      <c r="DH38" s="225" t="s">
        <v>77</v>
      </c>
      <c r="DI38" s="226">
        <f>DI37/CU37</f>
        <v>58353.851075784092</v>
      </c>
      <c r="DJ38" s="226">
        <f>DJ37/CV37</f>
        <v>34412.066737697598</v>
      </c>
      <c r="DK38" s="147"/>
      <c r="DL38" s="147"/>
      <c r="DM38" s="147"/>
      <c r="DN38" s="147"/>
      <c r="DO38" s="147"/>
      <c r="DP38" s="147"/>
      <c r="DQ38" s="147"/>
      <c r="DR38" s="225">
        <f>DR37/DK37</f>
        <v>5866.4874191542294</v>
      </c>
      <c r="DS38" s="228">
        <f>(((AP38*115.5%*107.1%)+(CD38*107.1%)+DR38)/3)*103.9%*103.7%</f>
        <v>8586.7739783603683</v>
      </c>
      <c r="DT38" s="228">
        <f>(((AG38*115.5%*107.1%)+(BU38*107.1%)+DI38)/3)*103.9%*103.7%</f>
        <v>43280.816200468929</v>
      </c>
      <c r="DU38" s="228">
        <f>(((AH38*115.5%*107.1%)+(BV38*107.1%)+DJ38)/3)*103.9%*103.7%</f>
        <v>37598.877267420976</v>
      </c>
    </row>
    <row r="39" spans="1:125" ht="15" thickBot="1" x14ac:dyDescent="0.35">
      <c r="A39" s="673" t="s">
        <v>62</v>
      </c>
      <c r="B39" s="674"/>
      <c r="C39" s="674"/>
      <c r="D39" s="674"/>
      <c r="E39" s="674"/>
      <c r="F39" s="674"/>
      <c r="G39" s="674"/>
      <c r="H39" s="674"/>
      <c r="I39" s="674"/>
      <c r="J39" s="674"/>
      <c r="K39" s="674"/>
      <c r="L39" s="674"/>
      <c r="M39" s="674"/>
      <c r="N39" s="674"/>
      <c r="O39" s="674"/>
      <c r="P39" s="674"/>
      <c r="Q39" s="674"/>
      <c r="R39" s="674"/>
      <c r="S39" s="674"/>
      <c r="T39" s="674"/>
      <c r="U39" s="674"/>
      <c r="V39" s="674"/>
      <c r="W39" s="674"/>
      <c r="X39" s="674"/>
      <c r="Y39" s="674"/>
      <c r="Z39" s="674"/>
      <c r="AA39" s="674"/>
      <c r="AB39" s="674"/>
      <c r="AC39" s="674"/>
      <c r="AD39" s="674"/>
      <c r="AE39" s="675"/>
      <c r="AF39" s="675"/>
      <c r="AG39" s="674"/>
      <c r="AH39" s="674"/>
      <c r="AI39" s="674"/>
      <c r="AJ39" s="674"/>
      <c r="AK39" s="674"/>
      <c r="AL39" s="674"/>
      <c r="AM39" s="674"/>
      <c r="AN39" s="674"/>
      <c r="AO39" s="674"/>
      <c r="AP39" s="674"/>
      <c r="AQ39" s="674"/>
      <c r="AR39" s="674"/>
      <c r="AS39" s="674"/>
      <c r="AT39" s="674"/>
      <c r="AU39" s="674"/>
      <c r="AV39" s="674"/>
      <c r="AW39" s="674"/>
      <c r="AX39" s="674"/>
      <c r="AY39" s="674"/>
      <c r="AZ39" s="674"/>
      <c r="BA39" s="674"/>
      <c r="BB39" s="674"/>
      <c r="BC39" s="674"/>
      <c r="BD39" s="674"/>
      <c r="BE39" s="674"/>
      <c r="BF39" s="674"/>
      <c r="BG39" s="674"/>
      <c r="BH39" s="674"/>
      <c r="BI39" s="674"/>
      <c r="BJ39" s="674"/>
      <c r="BK39" s="674"/>
      <c r="BL39" s="674"/>
      <c r="BM39" s="674"/>
      <c r="BN39" s="674"/>
      <c r="BO39" s="674"/>
      <c r="BP39" s="674"/>
      <c r="BQ39" s="674"/>
      <c r="BR39" s="674"/>
      <c r="BS39" s="675"/>
      <c r="BT39" s="675"/>
      <c r="BU39" s="674"/>
      <c r="BV39" s="674"/>
      <c r="BW39" s="674"/>
      <c r="BX39" s="674"/>
      <c r="BY39" s="674"/>
      <c r="BZ39" s="674"/>
      <c r="CA39" s="674"/>
      <c r="CB39" s="674"/>
      <c r="CC39" s="674"/>
      <c r="CD39" s="674"/>
      <c r="CE39" s="674"/>
      <c r="CF39" s="674"/>
      <c r="CG39" s="674"/>
      <c r="CH39" s="674"/>
      <c r="CI39" s="674"/>
      <c r="CJ39" s="674"/>
      <c r="CK39" s="674"/>
      <c r="CL39" s="674"/>
      <c r="CM39" s="674"/>
      <c r="CN39" s="674"/>
      <c r="CO39" s="674"/>
      <c r="CP39" s="674"/>
      <c r="CQ39" s="674"/>
      <c r="CR39" s="674"/>
      <c r="CS39" s="674"/>
      <c r="CT39" s="676"/>
      <c r="DJ39" s="44"/>
      <c r="DK39" s="36"/>
      <c r="DL39" s="36"/>
      <c r="DM39" s="36"/>
      <c r="DN39" s="36"/>
      <c r="DO39" s="36"/>
      <c r="DP39" s="36"/>
      <c r="DQ39" s="36"/>
      <c r="DR39" s="36"/>
      <c r="DS39" s="36"/>
    </row>
    <row r="40" spans="1:125" x14ac:dyDescent="0.3">
      <c r="A40" s="19" t="s">
        <v>3</v>
      </c>
      <c r="B40" s="236" t="s">
        <v>9</v>
      </c>
      <c r="C40" s="85">
        <v>40922981.950000003</v>
      </c>
      <c r="D40" s="86">
        <v>2607403.8199999998</v>
      </c>
      <c r="E40" s="86">
        <v>972252.27</v>
      </c>
      <c r="F40" s="87">
        <v>1458378.41</v>
      </c>
      <c r="G40" s="96">
        <v>2778</v>
      </c>
      <c r="H40" s="97">
        <v>177</v>
      </c>
      <c r="I40" s="103">
        <v>66</v>
      </c>
      <c r="J40" s="104">
        <v>99</v>
      </c>
      <c r="K40" s="69">
        <v>34096</v>
      </c>
      <c r="L40" s="70">
        <v>8059</v>
      </c>
      <c r="M40" s="70">
        <v>16027</v>
      </c>
      <c r="N40" s="71">
        <v>74749</v>
      </c>
      <c r="O40" s="110">
        <f t="shared" ref="O40:R41" si="48">C40/G40</f>
        <v>14731.095014398848</v>
      </c>
      <c r="P40" s="111">
        <f t="shared" si="48"/>
        <v>14731.095028248586</v>
      </c>
      <c r="Q40" s="108">
        <f t="shared" si="48"/>
        <v>14731.095000000001</v>
      </c>
      <c r="R40" s="122">
        <f t="shared" si="48"/>
        <v>14731.09505050505</v>
      </c>
      <c r="S40" s="134">
        <f>G40+H40</f>
        <v>2955</v>
      </c>
      <c r="T40" s="183">
        <f>I40+J40</f>
        <v>165</v>
      </c>
      <c r="U40" s="124">
        <f>O40+P40</f>
        <v>29462.190042647435</v>
      </c>
      <c r="V40" s="125">
        <f>Q40+R40</f>
        <v>29462.190050505051</v>
      </c>
      <c r="W40" s="85">
        <f>AVERAGE(U40:U58,U60)</f>
        <v>33869.175073870967</v>
      </c>
      <c r="X40" s="92">
        <f>AVERAGE(V40:V41,V46,V52,V54,V57)</f>
        <v>67641.439452861945</v>
      </c>
      <c r="Y40" s="85">
        <f>_xlfn.STDEV.S(U40:U58,U60)</f>
        <v>52110.304952117018</v>
      </c>
      <c r="Z40" s="87">
        <f>_xlfn.STDEV.S(V40:V41,V46,V52,V54,V57)</f>
        <v>75811.220377171965</v>
      </c>
      <c r="AA40" s="131">
        <f>W40-Y40</f>
        <v>-18241.129878246051</v>
      </c>
      <c r="AB40" s="130">
        <f>X40-Z40</f>
        <v>-8169.7809243100201</v>
      </c>
      <c r="AC40" s="131">
        <f>W40+Y40</f>
        <v>85979.480025987985</v>
      </c>
      <c r="AD40" s="130">
        <f>X40+Z40</f>
        <v>143452.6598300339</v>
      </c>
      <c r="AE40" s="188">
        <f>IF(AND(U40&gt;$AA$40,U40&lt;$AC$40),U40,0)</f>
        <v>29462.190042647435</v>
      </c>
      <c r="AF40" s="181">
        <f>IF(AND(V40&gt;$AB$40,V40&lt;$AD$40),V40,0)</f>
        <v>29462.190050505051</v>
      </c>
      <c r="AG40" s="88">
        <f>AE40*S40</f>
        <v>87060771.576023176</v>
      </c>
      <c r="AH40" s="87">
        <f>AF40*T40</f>
        <v>4861261.3583333334</v>
      </c>
      <c r="AI40" s="215">
        <f>G40</f>
        <v>2778</v>
      </c>
      <c r="AJ40" s="216">
        <f>O40</f>
        <v>14731.095014398848</v>
      </c>
      <c r="AK40" s="211">
        <f>AVERAGE(AJ40,AJ44:AJ51,AJ53:AJ58)</f>
        <v>6888.5952765091224</v>
      </c>
      <c r="AL40" s="211">
        <f>_xlfn.STDEV.S(AJ40,AJ44:AJ51,AJ53:AJ58)</f>
        <v>6015.8516524008901</v>
      </c>
      <c r="AM40" s="211">
        <f>AK40-AL40</f>
        <v>872.74362410823232</v>
      </c>
      <c r="AN40" s="211">
        <f>AK40+AL40</f>
        <v>12904.446928910013</v>
      </c>
      <c r="AO40" s="219">
        <f>IF(AND(AJ40&gt;$AM$40,AJ40&lt;$AN$40),AJ40,0)</f>
        <v>0</v>
      </c>
      <c r="AP40" s="79">
        <f>AO40*AI40</f>
        <v>0</v>
      </c>
      <c r="AQ40" s="85">
        <v>34465633.950000003</v>
      </c>
      <c r="AR40" s="86">
        <v>3573446.65</v>
      </c>
      <c r="AS40" s="86">
        <v>2136299.62</v>
      </c>
      <c r="AT40" s="87">
        <v>1566619.72</v>
      </c>
      <c r="AU40" s="203">
        <v>2662</v>
      </c>
      <c r="AV40" s="103">
        <v>276</v>
      </c>
      <c r="AW40" s="93">
        <v>165</v>
      </c>
      <c r="AX40" s="100">
        <v>121</v>
      </c>
      <c r="AY40" s="69">
        <v>31792</v>
      </c>
      <c r="AZ40" s="70">
        <v>13498</v>
      </c>
      <c r="BA40" s="70">
        <v>30316</v>
      </c>
      <c r="BB40" s="71">
        <v>84282</v>
      </c>
      <c r="BC40" s="110">
        <f t="shared" ref="BC40:BF41" si="49">AQ40/AU40</f>
        <v>12947.270454545456</v>
      </c>
      <c r="BD40" s="111">
        <f t="shared" si="49"/>
        <v>12947.270471014492</v>
      </c>
      <c r="BE40" s="116">
        <f t="shared" si="49"/>
        <v>12947.270424242424</v>
      </c>
      <c r="BF40" s="117">
        <f t="shared" si="49"/>
        <v>12947.270413223141</v>
      </c>
      <c r="BG40" s="199">
        <f>AU40+AV40</f>
        <v>2938</v>
      </c>
      <c r="BH40" s="183">
        <f>AW40+AX40</f>
        <v>286</v>
      </c>
      <c r="BI40" s="124">
        <f>BC40+BD40</f>
        <v>25894.540925559948</v>
      </c>
      <c r="BJ40" s="125">
        <f>BE40+BF40</f>
        <v>25894.540837465567</v>
      </c>
      <c r="BK40" s="85">
        <f>AVERAGE(BI40:BI58,BI60,BI62)</f>
        <v>29648.670189893357</v>
      </c>
      <c r="BL40" s="92">
        <f>AVERAGE(BJ40:BJ41,BJ46,BJ50:BJ54,BJ57,BJ60)</f>
        <v>66147.000083746563</v>
      </c>
      <c r="BM40" s="85">
        <f>_xlfn.STDEV.S(BI40:BI58,BI60,BI62)</f>
        <v>42871.10111287389</v>
      </c>
      <c r="BN40" s="87">
        <f>_xlfn.STDEV.S(BJ40:BJ41,BJ46,BJ50:BJ54,BJ57,BJ60)</f>
        <v>138642.17064137573</v>
      </c>
      <c r="BO40" s="131">
        <f>BK40-BM40</f>
        <v>-13222.430922980533</v>
      </c>
      <c r="BP40" s="130">
        <f>BL40-BN40</f>
        <v>-72495.170557629172</v>
      </c>
      <c r="BQ40" s="131">
        <f>BK40+BM40</f>
        <v>72519.771302767243</v>
      </c>
      <c r="BR40" s="130">
        <f>BL40+BN40</f>
        <v>204789.1707251223</v>
      </c>
      <c r="BS40" s="188">
        <f>IF(AND(BI40&gt;$BO$40,BI40&lt;$BQ$40),BI40,0)</f>
        <v>25894.540925559948</v>
      </c>
      <c r="BT40" s="181">
        <f>IF(AND(BJ40&gt;$BP$40,BJ40&lt;$BR$40),BJ40,0)</f>
        <v>25894.540837465567</v>
      </c>
      <c r="BU40" s="88">
        <f>BS40*BG40</f>
        <v>76078161.239295125</v>
      </c>
      <c r="BV40" s="87">
        <f>BT40*BH40</f>
        <v>7405838.6795151522</v>
      </c>
      <c r="BW40" s="215">
        <f>AU40</f>
        <v>2662</v>
      </c>
      <c r="BX40" s="216">
        <f>BC40</f>
        <v>12947.270454545456</v>
      </c>
      <c r="BY40" s="211">
        <f>AVERAGE(BX40,BX44:BX51,BX53:BX58,BX62)</f>
        <v>6761.5034942622869</v>
      </c>
      <c r="BZ40" s="211">
        <f>_xlfn.STDEV.S(BX40,BX44:BX51,BX53:BX58,BX62)</f>
        <v>6606.0315514190397</v>
      </c>
      <c r="CA40" s="211">
        <f>BY40-BZ40</f>
        <v>155.47194284324723</v>
      </c>
      <c r="CB40" s="211">
        <f>BY40+BZ40</f>
        <v>13367.535045681327</v>
      </c>
      <c r="CC40" s="219">
        <f>IF(AND(BX40&gt;$CA$40,BX40&lt;$CB$40),BX40,0)</f>
        <v>12947.270454545456</v>
      </c>
      <c r="CD40" s="79">
        <f>CC40*BW40</f>
        <v>34465633.950000003</v>
      </c>
      <c r="CE40" s="85">
        <v>34777913.380000003</v>
      </c>
      <c r="CF40" s="86">
        <v>2185497.29</v>
      </c>
      <c r="CG40" s="86">
        <v>1187770.27</v>
      </c>
      <c r="CH40" s="87">
        <v>962093.92</v>
      </c>
      <c r="CI40" s="69">
        <v>2928</v>
      </c>
      <c r="CJ40" s="70">
        <v>184</v>
      </c>
      <c r="CK40" s="70">
        <v>100</v>
      </c>
      <c r="CL40" s="71">
        <v>81</v>
      </c>
      <c r="CM40" s="69">
        <v>35262</v>
      </c>
      <c r="CN40" s="70">
        <v>7918</v>
      </c>
      <c r="CO40" s="70">
        <v>17968</v>
      </c>
      <c r="CP40" s="71">
        <v>56691</v>
      </c>
      <c r="CQ40" s="85">
        <f t="shared" ref="CQ40:CT41" si="50">CE40/CI40</f>
        <v>11877.702657103826</v>
      </c>
      <c r="CR40" s="86">
        <f t="shared" si="50"/>
        <v>11877.702663043479</v>
      </c>
      <c r="CS40" s="86">
        <f t="shared" si="50"/>
        <v>11877.7027</v>
      </c>
      <c r="CT40" s="87">
        <f t="shared" si="50"/>
        <v>11877.702716049384</v>
      </c>
      <c r="CU40" s="199">
        <f>CI40+CJ40</f>
        <v>3112</v>
      </c>
      <c r="CV40" s="183">
        <f>CK40+CL40</f>
        <v>181</v>
      </c>
      <c r="CW40" s="124">
        <f>CQ40+CR40</f>
        <v>23755.405320147307</v>
      </c>
      <c r="CX40" s="125">
        <f>CS40+CT40</f>
        <v>23755.405416049383</v>
      </c>
      <c r="CY40" s="85">
        <f>AVERAGE(CW40:CW60,CW62,CW63)</f>
        <v>32815.601536626411</v>
      </c>
      <c r="CZ40" s="92">
        <f>AVERAGE(CX40:CX41,CX46,CX50,CX52,CX54,CX57)</f>
        <v>88006.105357054665</v>
      </c>
      <c r="DA40" s="85">
        <f>_xlfn.STDEV.S(CW40:CW60,CW62:CW63)</f>
        <v>64992.544218925977</v>
      </c>
      <c r="DB40" s="87">
        <f>_xlfn.STDEV.S(CX40:CX41,CX46,CX50,CX52,CX54,CX57)</f>
        <v>145511.0767403116</v>
      </c>
      <c r="DC40" s="131">
        <f>CY40-DA40</f>
        <v>-32176.942682299567</v>
      </c>
      <c r="DD40" s="130">
        <f>CZ40-DB40</f>
        <v>-57504.97138325694</v>
      </c>
      <c r="DE40" s="131">
        <f>CY40+DA40</f>
        <v>97808.145755552396</v>
      </c>
      <c r="DF40" s="130">
        <f>CZ40+DB40</f>
        <v>233517.18209736625</v>
      </c>
      <c r="DG40" s="188">
        <f>IF(AND(CW40&gt;$DC$40,CW40&lt;$DE$40),CW40,0)</f>
        <v>23755.405320147307</v>
      </c>
      <c r="DH40" s="181">
        <f>IF(AND(CX40&gt;$DD$40,CX40&lt;$DF$40),CX40,0)</f>
        <v>23755.405416049383</v>
      </c>
      <c r="DI40" s="88">
        <f>DG40*CU40</f>
        <v>73926821.356298417</v>
      </c>
      <c r="DJ40" s="87">
        <f>DH40*CV40</f>
        <v>4299728.3803049382</v>
      </c>
      <c r="DK40" s="59">
        <f>CI40</f>
        <v>2928</v>
      </c>
      <c r="DL40" s="216">
        <f>CQ40</f>
        <v>11877.702657103826</v>
      </c>
      <c r="DM40" s="211">
        <f>AVERAGE(DL40,DL44:DL51,DL53:DL60,DL62:DL63)</f>
        <v>6070.7916777432911</v>
      </c>
      <c r="DN40" s="211">
        <f>_xlfn.STDEV.S(DL40,DL44:DL51,DL53:DL60,DL62:DL63)</f>
        <v>5988.9853190095846</v>
      </c>
      <c r="DO40" s="211">
        <f>DM40-DN40</f>
        <v>81.806358733706475</v>
      </c>
      <c r="DP40" s="211">
        <f>DM40+DN40</f>
        <v>12059.776996752877</v>
      </c>
      <c r="DQ40" s="56">
        <f>IF(AND(DL40&gt;$DO$40,DL40&lt;$DP$40),DL40,0)</f>
        <v>11877.702657103826</v>
      </c>
      <c r="DR40" s="79">
        <f>DQ40*DK40</f>
        <v>34777913.380000003</v>
      </c>
      <c r="DS40" s="211"/>
      <c r="DT40" s="85"/>
      <c r="DU40" s="87"/>
    </row>
    <row r="41" spans="1:125" x14ac:dyDescent="0.3">
      <c r="A41" s="20" t="s">
        <v>4</v>
      </c>
      <c r="B41" s="39" t="s">
        <v>10</v>
      </c>
      <c r="C41" s="78">
        <v>15925917.700000001</v>
      </c>
      <c r="D41" s="79">
        <v>9385454.5259199999</v>
      </c>
      <c r="E41" s="79">
        <v>2033974.8</v>
      </c>
      <c r="F41" s="80">
        <v>156459.6</v>
      </c>
      <c r="G41" s="98">
        <v>497</v>
      </c>
      <c r="H41" s="99">
        <v>244</v>
      </c>
      <c r="I41" s="105">
        <v>52</v>
      </c>
      <c r="J41" s="106">
        <v>4</v>
      </c>
      <c r="K41" s="75">
        <v>7066.2</v>
      </c>
      <c r="L41" s="76">
        <v>16149.9</v>
      </c>
      <c r="M41" s="76">
        <v>14647</v>
      </c>
      <c r="N41" s="77">
        <v>3224</v>
      </c>
      <c r="O41" s="112">
        <f t="shared" si="48"/>
        <v>32044.100000000002</v>
      </c>
      <c r="P41" s="113">
        <f t="shared" si="48"/>
        <v>38464.977565245899</v>
      </c>
      <c r="Q41" s="109">
        <f t="shared" si="48"/>
        <v>39114.9</v>
      </c>
      <c r="R41" s="123">
        <f t="shared" si="48"/>
        <v>39114.9</v>
      </c>
      <c r="S41" s="59">
        <f>G41+H41</f>
        <v>741</v>
      </c>
      <c r="T41" s="184">
        <f>I41+J41</f>
        <v>56</v>
      </c>
      <c r="U41" s="52">
        <f>O41+P41</f>
        <v>70509.077565245898</v>
      </c>
      <c r="V41" s="126">
        <f>Q41+R41</f>
        <v>78229.8</v>
      </c>
      <c r="W41" s="75"/>
      <c r="X41" s="66"/>
      <c r="Y41" s="78"/>
      <c r="Z41" s="77"/>
      <c r="AA41" s="49"/>
      <c r="AB41" s="9"/>
      <c r="AC41" s="49"/>
      <c r="AD41" s="9"/>
      <c r="AE41" s="55">
        <f t="shared" ref="AE41:AE63" si="51">IF(AND(U41&gt;$AA$40,U41&lt;$AC$40),U41,0)</f>
        <v>70509.077565245898</v>
      </c>
      <c r="AF41" s="182">
        <f t="shared" ref="AF41:AF63" si="52">IF(AND(V41&gt;$AB$40,V41&lt;$AD$40),V41,0)</f>
        <v>78229.8</v>
      </c>
      <c r="AG41" s="64">
        <f>AE41*S41</f>
        <v>52247226.475847207</v>
      </c>
      <c r="AH41" s="80">
        <f>AF41*T41</f>
        <v>4380868.8</v>
      </c>
      <c r="AI41" s="59">
        <f t="shared" ref="AI41:AI63" si="53">G41</f>
        <v>497</v>
      </c>
      <c r="AJ41" s="229">
        <f t="shared" ref="AJ41:AJ63" si="54">O41</f>
        <v>32044.100000000002</v>
      </c>
      <c r="AK41" s="212"/>
      <c r="AL41" s="212"/>
      <c r="AM41" s="212"/>
      <c r="AN41" s="212"/>
      <c r="AO41" s="79">
        <f t="shared" ref="AO41:AO63" si="55">IF(AND(AJ41&gt;$AM$40,AJ41&lt;$AN$40),AJ41,0)</f>
        <v>0</v>
      </c>
      <c r="AP41" s="79">
        <f t="shared" ref="AP41:AP62" si="56">AO41*AI41</f>
        <v>0</v>
      </c>
      <c r="AQ41" s="78">
        <v>20480118.999999996</v>
      </c>
      <c r="AR41" s="79">
        <v>8577667.9999999981</v>
      </c>
      <c r="AS41" s="79">
        <v>2259156.7999999993</v>
      </c>
      <c r="AT41" s="80">
        <v>255753.59999999995</v>
      </c>
      <c r="AU41" s="204">
        <v>589</v>
      </c>
      <c r="AV41" s="105">
        <v>247</v>
      </c>
      <c r="AW41" s="94">
        <v>53</v>
      </c>
      <c r="AX41" s="101">
        <v>6</v>
      </c>
      <c r="AY41" s="75">
        <v>8242</v>
      </c>
      <c r="AZ41" s="76">
        <v>16046.4</v>
      </c>
      <c r="BA41" s="76">
        <v>17373.400000000001</v>
      </c>
      <c r="BB41" s="77">
        <v>5442</v>
      </c>
      <c r="BC41" s="112">
        <f t="shared" si="49"/>
        <v>34770.999999999993</v>
      </c>
      <c r="BD41" s="113">
        <f t="shared" si="49"/>
        <v>34727.400809716593</v>
      </c>
      <c r="BE41" s="118">
        <f t="shared" si="49"/>
        <v>42625.599999999991</v>
      </c>
      <c r="BF41" s="119">
        <f t="shared" si="49"/>
        <v>42625.599999999991</v>
      </c>
      <c r="BG41" s="59">
        <f>AU41+AV41</f>
        <v>836</v>
      </c>
      <c r="BH41" s="184">
        <f>AW41+AX41</f>
        <v>59</v>
      </c>
      <c r="BI41" s="52">
        <f>BC41+BD41</f>
        <v>69498.400809716579</v>
      </c>
      <c r="BJ41" s="126">
        <f>BE41+BF41</f>
        <v>85251.199999999983</v>
      </c>
      <c r="BK41" s="75"/>
      <c r="BL41" s="66"/>
      <c r="BM41" s="78"/>
      <c r="BN41" s="77"/>
      <c r="BO41" s="49"/>
      <c r="BP41" s="9"/>
      <c r="BQ41" s="49"/>
      <c r="BR41" s="9"/>
      <c r="BS41" s="55">
        <f t="shared" ref="BS41:BS62" si="57">IF(AND(BI41&gt;$BO$40,BI41&lt;$BQ$40),BI41,0)</f>
        <v>69498.400809716579</v>
      </c>
      <c r="BT41" s="182">
        <f t="shared" ref="BT41:BT63" si="58">IF(AND(BJ41&gt;$BP$40,BJ41&lt;$BR$40),BJ41,0)</f>
        <v>85251.199999999983</v>
      </c>
      <c r="BU41" s="64">
        <f>BS41*BG41</f>
        <v>58100663.076923057</v>
      </c>
      <c r="BV41" s="80">
        <f>BT41*BH41</f>
        <v>5029820.7999999989</v>
      </c>
      <c r="BW41" s="59">
        <f t="shared" ref="BW41:BW63" si="59">AU41</f>
        <v>589</v>
      </c>
      <c r="BX41" s="229">
        <f t="shared" ref="BX41:BX55" si="60">BC41</f>
        <v>34770.999999999993</v>
      </c>
      <c r="BY41" s="212"/>
      <c r="BZ41" s="212"/>
      <c r="CA41" s="212"/>
      <c r="CB41" s="212"/>
      <c r="CC41" s="56">
        <f t="shared" ref="CC41:CC63" si="61">IF(AND(BX41&gt;$CA$40,BX41&lt;$CB$40),BX41,0)</f>
        <v>0</v>
      </c>
      <c r="CD41" s="79">
        <f t="shared" ref="CD41:CD62" si="62">CC41*BW41</f>
        <v>0</v>
      </c>
      <c r="CE41" s="78">
        <v>18953170.700000003</v>
      </c>
      <c r="CF41" s="79">
        <v>7022346.8000000007</v>
      </c>
      <c r="CG41" s="79">
        <v>2812825.6000000001</v>
      </c>
      <c r="CH41" s="80">
        <v>175801.60000000001</v>
      </c>
      <c r="CI41" s="75">
        <v>529</v>
      </c>
      <c r="CJ41" s="76">
        <v>196</v>
      </c>
      <c r="CK41" s="76">
        <v>64</v>
      </c>
      <c r="CL41" s="77">
        <v>4</v>
      </c>
      <c r="CM41" s="75">
        <v>7314.9</v>
      </c>
      <c r="CN41" s="76">
        <v>12206.3</v>
      </c>
      <c r="CO41" s="76">
        <v>20830</v>
      </c>
      <c r="CP41" s="77">
        <v>3130</v>
      </c>
      <c r="CQ41" s="52">
        <f t="shared" si="50"/>
        <v>35828.300000000003</v>
      </c>
      <c r="CR41" s="53">
        <f t="shared" si="50"/>
        <v>35828.300000000003</v>
      </c>
      <c r="CS41" s="53">
        <f t="shared" si="50"/>
        <v>43950.400000000001</v>
      </c>
      <c r="CT41" s="54">
        <f t="shared" si="50"/>
        <v>43950.400000000001</v>
      </c>
      <c r="CU41" s="59">
        <f>CI41+CJ41</f>
        <v>725</v>
      </c>
      <c r="CV41" s="184">
        <f>CK41+CL41</f>
        <v>68</v>
      </c>
      <c r="CW41" s="52">
        <f>CQ41+CR41</f>
        <v>71656.600000000006</v>
      </c>
      <c r="CX41" s="126">
        <f>CS41+CT41</f>
        <v>87900.800000000003</v>
      </c>
      <c r="CY41" s="75"/>
      <c r="CZ41" s="66"/>
      <c r="DA41" s="78"/>
      <c r="DB41" s="77"/>
      <c r="DC41" s="49"/>
      <c r="DD41" s="9"/>
      <c r="DE41" s="49"/>
      <c r="DF41" s="9"/>
      <c r="DG41" s="55">
        <f t="shared" ref="DG41:DG63" si="63">IF(AND(CW41&gt;$DC$40,CW41&lt;$DE$40),CW41,0)</f>
        <v>71656.600000000006</v>
      </c>
      <c r="DH41" s="182">
        <f t="shared" ref="DH41:DH63" si="64">IF(AND(CX41&gt;$DD$40,CX41&lt;$DF$40),CX41,0)</f>
        <v>87900.800000000003</v>
      </c>
      <c r="DI41" s="64">
        <f>DG41*CU41</f>
        <v>51951035.000000007</v>
      </c>
      <c r="DJ41" s="80">
        <f t="shared" ref="DJ41:DJ43" si="65">DH41*CV41</f>
        <v>5977254.4000000004</v>
      </c>
      <c r="DK41" s="59">
        <f t="shared" ref="DK41:DK63" si="66">CI41</f>
        <v>529</v>
      </c>
      <c r="DL41" s="229">
        <f t="shared" ref="DL41:DL55" si="67">CQ41</f>
        <v>35828.300000000003</v>
      </c>
      <c r="DM41" s="224"/>
      <c r="DN41" s="224"/>
      <c r="DO41" s="224"/>
      <c r="DP41" s="224"/>
      <c r="DQ41" s="56">
        <f t="shared" ref="DQ41:DQ63" si="68">IF(AND(DL41&gt;$DO$40,DL41&lt;$DP$40),DL41,0)</f>
        <v>0</v>
      </c>
      <c r="DR41" s="79">
        <f t="shared" ref="DR41:DR62" si="69">DQ41*DK41</f>
        <v>0</v>
      </c>
      <c r="DS41" s="212"/>
      <c r="DT41" s="78"/>
      <c r="DU41" s="80"/>
    </row>
    <row r="42" spans="1:125" ht="28.8" x14ac:dyDescent="0.3">
      <c r="A42" s="20" t="s">
        <v>5</v>
      </c>
      <c r="B42" s="83" t="s">
        <v>11</v>
      </c>
      <c r="C42" s="237">
        <v>2394544</v>
      </c>
      <c r="D42" s="237">
        <v>5649133</v>
      </c>
      <c r="E42" s="238"/>
      <c r="F42" s="239"/>
      <c r="G42" s="240">
        <v>356</v>
      </c>
      <c r="H42" s="240">
        <v>35</v>
      </c>
      <c r="I42" s="241"/>
      <c r="J42" s="242"/>
      <c r="K42" s="240">
        <v>4550</v>
      </c>
      <c r="L42" s="240">
        <v>2439</v>
      </c>
      <c r="M42" s="241"/>
      <c r="N42" s="242"/>
      <c r="O42" s="237">
        <v>67263</v>
      </c>
      <c r="P42" s="237">
        <v>161404</v>
      </c>
      <c r="Q42" s="238"/>
      <c r="R42" s="239"/>
      <c r="S42" s="59">
        <f t="shared" ref="S42:S63" si="70">G42+H42</f>
        <v>391</v>
      </c>
      <c r="T42" s="128">
        <f t="shared" ref="T42:T63" si="71">I42+J42</f>
        <v>0</v>
      </c>
      <c r="U42" s="52">
        <f t="shared" ref="U42:U63" si="72">O42+P42</f>
        <v>228667</v>
      </c>
      <c r="V42" s="57">
        <f t="shared" ref="V42:V63" si="73">Q42+R42</f>
        <v>0</v>
      </c>
      <c r="W42" s="75"/>
      <c r="X42" s="66"/>
      <c r="Y42" s="78"/>
      <c r="Z42" s="77"/>
      <c r="AA42" s="49"/>
      <c r="AB42" s="9"/>
      <c r="AC42" s="49"/>
      <c r="AD42" s="9"/>
      <c r="AE42" s="55">
        <f t="shared" si="51"/>
        <v>0</v>
      </c>
      <c r="AF42" s="57">
        <f t="shared" si="52"/>
        <v>0</v>
      </c>
      <c r="AG42" s="64">
        <f t="shared" ref="AG42:AG63" si="74">AE42*S42</f>
        <v>0</v>
      </c>
      <c r="AH42" s="80">
        <f t="shared" ref="AH42:AH63" si="75">AF42*T42</f>
        <v>0</v>
      </c>
      <c r="AI42" s="59">
        <f t="shared" si="53"/>
        <v>356</v>
      </c>
      <c r="AJ42" s="56">
        <f t="shared" si="54"/>
        <v>67263</v>
      </c>
      <c r="AK42" s="212"/>
      <c r="AL42" s="212"/>
      <c r="AM42" s="212"/>
      <c r="AN42" s="212"/>
      <c r="AO42" s="79">
        <f t="shared" si="55"/>
        <v>0</v>
      </c>
      <c r="AP42" s="79">
        <f t="shared" si="56"/>
        <v>0</v>
      </c>
      <c r="AQ42" s="237">
        <v>15088003</v>
      </c>
      <c r="AR42" s="237">
        <v>369109</v>
      </c>
      <c r="AS42" s="238">
        <v>84328</v>
      </c>
      <c r="AT42" s="239"/>
      <c r="AU42" s="240">
        <v>402</v>
      </c>
      <c r="AV42" s="240">
        <v>3</v>
      </c>
      <c r="AW42" s="241">
        <v>1</v>
      </c>
      <c r="AX42" s="242"/>
      <c r="AY42" s="240">
        <v>7753</v>
      </c>
      <c r="AZ42" s="240">
        <v>208</v>
      </c>
      <c r="BA42" s="241">
        <v>225</v>
      </c>
      <c r="BB42" s="242"/>
      <c r="BC42" s="237">
        <v>37532</v>
      </c>
      <c r="BD42" s="237">
        <v>123036</v>
      </c>
      <c r="BE42" s="238">
        <v>84328</v>
      </c>
      <c r="BF42" s="239"/>
      <c r="BG42" s="200">
        <f t="shared" ref="BG42:BG63" si="76">AU42+AV42</f>
        <v>405</v>
      </c>
      <c r="BH42" s="128">
        <f t="shared" ref="BH42:BH63" si="77">AW42+AX42</f>
        <v>1</v>
      </c>
      <c r="BI42" s="52">
        <f t="shared" ref="BI42:BI63" si="78">BC42+BD42</f>
        <v>160568</v>
      </c>
      <c r="BJ42" s="57">
        <f t="shared" ref="BJ42:BJ63" si="79">BE42+BF42</f>
        <v>84328</v>
      </c>
      <c r="BK42" s="75"/>
      <c r="BL42" s="66"/>
      <c r="BM42" s="78"/>
      <c r="BN42" s="77"/>
      <c r="BO42" s="49"/>
      <c r="BP42" s="9"/>
      <c r="BQ42" s="49"/>
      <c r="BR42" s="9"/>
      <c r="BS42" s="189">
        <f t="shared" si="57"/>
        <v>0</v>
      </c>
      <c r="BT42" s="57">
        <f t="shared" si="58"/>
        <v>84328</v>
      </c>
      <c r="BU42" s="64">
        <f t="shared" ref="BU42:BU44" si="80">BS42*BG42</f>
        <v>0</v>
      </c>
      <c r="BV42" s="80">
        <f t="shared" ref="BV42:BV63" si="81">BT42*BH42</f>
        <v>84328</v>
      </c>
      <c r="BW42" s="59">
        <f t="shared" si="59"/>
        <v>402</v>
      </c>
      <c r="BX42" s="56">
        <f t="shared" si="60"/>
        <v>37532</v>
      </c>
      <c r="BY42" s="212"/>
      <c r="BZ42" s="212"/>
      <c r="CA42" s="212"/>
      <c r="CB42" s="212"/>
      <c r="CC42" s="56">
        <f t="shared" si="61"/>
        <v>0</v>
      </c>
      <c r="CD42" s="79">
        <f t="shared" si="62"/>
        <v>0</v>
      </c>
      <c r="CE42" s="237">
        <v>17524326</v>
      </c>
      <c r="CF42" s="237">
        <v>711564</v>
      </c>
      <c r="CG42" s="238"/>
      <c r="CH42" s="239"/>
      <c r="CI42" s="240">
        <v>256</v>
      </c>
      <c r="CJ42" s="240">
        <v>3</v>
      </c>
      <c r="CK42" s="241"/>
      <c r="CL42" s="242"/>
      <c r="CM42" s="240">
        <v>216</v>
      </c>
      <c r="CN42" s="240">
        <v>3840</v>
      </c>
      <c r="CO42" s="241"/>
      <c r="CP42" s="242"/>
      <c r="CQ42" s="237">
        <v>68454</v>
      </c>
      <c r="CR42" s="237">
        <f>CF42/CJ42</f>
        <v>237188</v>
      </c>
      <c r="CS42" s="238"/>
      <c r="CT42" s="239"/>
      <c r="CU42" s="59">
        <f t="shared" ref="CU42:CU63" si="82">CI42+CJ42</f>
        <v>259</v>
      </c>
      <c r="CV42" s="128">
        <f t="shared" ref="CV42:CV63" si="83">CK42+CL42</f>
        <v>0</v>
      </c>
      <c r="CW42" s="52">
        <f t="shared" ref="CW42:CW63" si="84">CQ42+CR42</f>
        <v>305642</v>
      </c>
      <c r="CX42" s="57">
        <f t="shared" ref="CX42:CX63" si="85">CS42+CT42</f>
        <v>0</v>
      </c>
      <c r="CY42" s="75"/>
      <c r="CZ42" s="66"/>
      <c r="DA42" s="78"/>
      <c r="DB42" s="77"/>
      <c r="DC42" s="49"/>
      <c r="DD42" s="9"/>
      <c r="DE42" s="49"/>
      <c r="DF42" s="9"/>
      <c r="DG42" s="55">
        <f t="shared" si="63"/>
        <v>0</v>
      </c>
      <c r="DH42" s="57">
        <f t="shared" si="64"/>
        <v>0</v>
      </c>
      <c r="DI42" s="64">
        <f t="shared" ref="DI42:DI44" si="86">DG42*CU42</f>
        <v>0</v>
      </c>
      <c r="DJ42" s="80">
        <f t="shared" si="65"/>
        <v>0</v>
      </c>
      <c r="DK42" s="59">
        <f t="shared" si="66"/>
        <v>256</v>
      </c>
      <c r="DL42" s="56">
        <f t="shared" si="67"/>
        <v>68454</v>
      </c>
      <c r="DM42" s="224"/>
      <c r="DN42" s="224"/>
      <c r="DO42" s="224"/>
      <c r="DP42" s="224"/>
      <c r="DQ42" s="56">
        <f t="shared" si="68"/>
        <v>0</v>
      </c>
      <c r="DR42" s="79">
        <f t="shared" si="69"/>
        <v>0</v>
      </c>
      <c r="DS42" s="212"/>
      <c r="DT42" s="78"/>
      <c r="DU42" s="80"/>
    </row>
    <row r="43" spans="1:125" s="46" customFormat="1" ht="15" thickBot="1" x14ac:dyDescent="0.35">
      <c r="A43" s="45" t="s">
        <v>6</v>
      </c>
      <c r="B43" s="74" t="s">
        <v>12</v>
      </c>
      <c r="C43" s="237">
        <v>5072643</v>
      </c>
      <c r="D43" s="237">
        <v>3630673</v>
      </c>
      <c r="E43" s="238">
        <v>2025624</v>
      </c>
      <c r="F43" s="239"/>
      <c r="G43" s="240">
        <v>139</v>
      </c>
      <c r="H43" s="240">
        <v>98</v>
      </c>
      <c r="I43" s="241">
        <v>5</v>
      </c>
      <c r="J43" s="242"/>
      <c r="K43" s="240">
        <v>1703.54</v>
      </c>
      <c r="L43" s="240">
        <v>2897.67</v>
      </c>
      <c r="M43" s="241">
        <v>1884</v>
      </c>
      <c r="N43" s="242"/>
      <c r="O43" s="237">
        <v>36493.83</v>
      </c>
      <c r="P43" s="237">
        <v>37047.69</v>
      </c>
      <c r="Q43" s="238">
        <v>405124.76</v>
      </c>
      <c r="R43" s="239"/>
      <c r="S43" s="200">
        <f t="shared" si="70"/>
        <v>237</v>
      </c>
      <c r="T43" s="128">
        <f t="shared" si="71"/>
        <v>5</v>
      </c>
      <c r="U43" s="52">
        <f t="shared" si="72"/>
        <v>73541.52</v>
      </c>
      <c r="V43" s="57">
        <f t="shared" si="73"/>
        <v>405124.76</v>
      </c>
      <c r="W43" s="58"/>
      <c r="X43" s="66"/>
      <c r="Y43" s="78"/>
      <c r="Z43" s="60"/>
      <c r="AA43" s="5"/>
      <c r="AB43" s="65"/>
      <c r="AC43" s="5"/>
      <c r="AD43" s="65"/>
      <c r="AE43" s="189">
        <f t="shared" si="51"/>
        <v>73541.52</v>
      </c>
      <c r="AF43" s="57">
        <f t="shared" si="52"/>
        <v>0</v>
      </c>
      <c r="AG43" s="64">
        <f t="shared" si="74"/>
        <v>17429340.240000002</v>
      </c>
      <c r="AH43" s="80">
        <f t="shared" si="75"/>
        <v>0</v>
      </c>
      <c r="AI43" s="59">
        <f t="shared" si="53"/>
        <v>139</v>
      </c>
      <c r="AJ43" s="56">
        <f t="shared" si="54"/>
        <v>36493.83</v>
      </c>
      <c r="AK43" s="212"/>
      <c r="AL43" s="212"/>
      <c r="AM43" s="212"/>
      <c r="AN43" s="212"/>
      <c r="AO43" s="79">
        <f t="shared" si="55"/>
        <v>0</v>
      </c>
      <c r="AP43" s="79">
        <f t="shared" si="56"/>
        <v>0</v>
      </c>
      <c r="AQ43" s="237">
        <v>8178327</v>
      </c>
      <c r="AR43" s="237">
        <v>3625119</v>
      </c>
      <c r="AS43" s="238">
        <v>312594</v>
      </c>
      <c r="AT43" s="239"/>
      <c r="AU43" s="240">
        <v>229</v>
      </c>
      <c r="AV43" s="240">
        <v>69</v>
      </c>
      <c r="AW43" s="241">
        <v>4</v>
      </c>
      <c r="AX43" s="242"/>
      <c r="AY43" s="240">
        <v>2552.6</v>
      </c>
      <c r="AZ43" s="240">
        <v>3132</v>
      </c>
      <c r="BA43" s="241">
        <v>564</v>
      </c>
      <c r="BB43" s="242"/>
      <c r="BC43" s="237">
        <v>35713.22</v>
      </c>
      <c r="BD43" s="237">
        <f>AR43/AV43</f>
        <v>52537.956521739128</v>
      </c>
      <c r="BE43" s="238">
        <v>78148.460000000006</v>
      </c>
      <c r="BF43" s="239"/>
      <c r="BG43" s="200">
        <f t="shared" si="76"/>
        <v>298</v>
      </c>
      <c r="BH43" s="128">
        <f t="shared" si="77"/>
        <v>4</v>
      </c>
      <c r="BI43" s="52">
        <f t="shared" si="78"/>
        <v>88251.176521739137</v>
      </c>
      <c r="BJ43" s="57">
        <f t="shared" si="79"/>
        <v>78148.460000000006</v>
      </c>
      <c r="BK43" s="58"/>
      <c r="BL43" s="66"/>
      <c r="BM43" s="78"/>
      <c r="BN43" s="60"/>
      <c r="BO43" s="5"/>
      <c r="BP43" s="65"/>
      <c r="BQ43" s="5"/>
      <c r="BR43" s="65"/>
      <c r="BS43" s="189">
        <f t="shared" si="57"/>
        <v>0</v>
      </c>
      <c r="BT43" s="57">
        <f t="shared" si="58"/>
        <v>78148.460000000006</v>
      </c>
      <c r="BU43" s="64">
        <f t="shared" si="80"/>
        <v>0</v>
      </c>
      <c r="BV43" s="80">
        <f t="shared" si="81"/>
        <v>312593.84000000003</v>
      </c>
      <c r="BW43" s="59">
        <f t="shared" si="59"/>
        <v>229</v>
      </c>
      <c r="BX43" s="56">
        <f t="shared" si="60"/>
        <v>35713.22</v>
      </c>
      <c r="BY43" s="212"/>
      <c r="BZ43" s="212"/>
      <c r="CA43" s="212"/>
      <c r="CB43" s="212"/>
      <c r="CC43" s="56">
        <f t="shared" si="61"/>
        <v>0</v>
      </c>
      <c r="CD43" s="79">
        <f t="shared" si="62"/>
        <v>0</v>
      </c>
      <c r="CE43" s="237">
        <v>7671719</v>
      </c>
      <c r="CF43" s="237">
        <v>3101638</v>
      </c>
      <c r="CG43" s="238">
        <v>1165203</v>
      </c>
      <c r="CH43" s="239"/>
      <c r="CI43" s="240">
        <v>245</v>
      </c>
      <c r="CJ43" s="240">
        <v>60</v>
      </c>
      <c r="CK43" s="241">
        <v>7</v>
      </c>
      <c r="CL43" s="242"/>
      <c r="CM43" s="240">
        <v>2511.09</v>
      </c>
      <c r="CN43" s="240">
        <v>2807</v>
      </c>
      <c r="CO43" s="241">
        <v>2315</v>
      </c>
      <c r="CP43" s="242"/>
      <c r="CQ43" s="237">
        <v>31313.14</v>
      </c>
      <c r="CR43" s="237">
        <f>CF43/CJ43</f>
        <v>51693.966666666667</v>
      </c>
      <c r="CS43" s="238">
        <v>166457.64000000001</v>
      </c>
      <c r="CT43" s="239"/>
      <c r="CU43" s="200">
        <f t="shared" si="82"/>
        <v>305</v>
      </c>
      <c r="CV43" s="128">
        <f t="shared" si="83"/>
        <v>7</v>
      </c>
      <c r="CW43" s="52">
        <f t="shared" si="84"/>
        <v>83007.106666666659</v>
      </c>
      <c r="CX43" s="57">
        <f t="shared" si="85"/>
        <v>166457.64000000001</v>
      </c>
      <c r="CY43" s="58"/>
      <c r="CZ43" s="66"/>
      <c r="DA43" s="78"/>
      <c r="DB43" s="60"/>
      <c r="DC43" s="5"/>
      <c r="DD43" s="65"/>
      <c r="DE43" s="5"/>
      <c r="DF43" s="65"/>
      <c r="DG43" s="189">
        <f t="shared" si="63"/>
        <v>83007.106666666659</v>
      </c>
      <c r="DH43" s="57">
        <f t="shared" si="64"/>
        <v>166457.64000000001</v>
      </c>
      <c r="DI43" s="64">
        <f t="shared" si="86"/>
        <v>25317167.533333331</v>
      </c>
      <c r="DJ43" s="80">
        <f t="shared" si="65"/>
        <v>1165203.48</v>
      </c>
      <c r="DK43" s="59">
        <f t="shared" si="66"/>
        <v>245</v>
      </c>
      <c r="DL43" s="56">
        <f t="shared" si="67"/>
        <v>31313.14</v>
      </c>
      <c r="DM43" s="224"/>
      <c r="DN43" s="224"/>
      <c r="DO43" s="224"/>
      <c r="DP43" s="224"/>
      <c r="DQ43" s="56">
        <f t="shared" si="68"/>
        <v>0</v>
      </c>
      <c r="DR43" s="79">
        <f t="shared" si="69"/>
        <v>0</v>
      </c>
      <c r="DS43" s="212"/>
      <c r="DT43" s="78"/>
      <c r="DU43" s="80"/>
    </row>
    <row r="44" spans="1:125" x14ac:dyDescent="0.3">
      <c r="A44" s="20" t="s">
        <v>7</v>
      </c>
      <c r="B44" s="235" t="s">
        <v>13</v>
      </c>
      <c r="C44" s="78">
        <v>271275</v>
      </c>
      <c r="D44" s="79"/>
      <c r="E44" s="79"/>
      <c r="F44" s="80"/>
      <c r="G44" s="98">
        <v>119</v>
      </c>
      <c r="H44" s="99"/>
      <c r="I44" s="105"/>
      <c r="J44" s="106"/>
      <c r="K44" s="75">
        <v>1201</v>
      </c>
      <c r="L44" s="76"/>
      <c r="M44" s="76"/>
      <c r="N44" s="77"/>
      <c r="O44" s="112">
        <f>C44/G44</f>
        <v>2279.6218487394958</v>
      </c>
      <c r="P44" s="113"/>
      <c r="Q44" s="109"/>
      <c r="R44" s="123"/>
      <c r="S44" s="200">
        <f t="shared" si="70"/>
        <v>119</v>
      </c>
      <c r="T44" s="128">
        <f t="shared" si="71"/>
        <v>0</v>
      </c>
      <c r="U44" s="52">
        <f t="shared" si="72"/>
        <v>2279.6218487394958</v>
      </c>
      <c r="V44" s="57">
        <f t="shared" si="73"/>
        <v>0</v>
      </c>
      <c r="W44" s="75"/>
      <c r="X44" s="66"/>
      <c r="Y44" s="78"/>
      <c r="Z44" s="77"/>
      <c r="AA44" s="49"/>
      <c r="AB44" s="9"/>
      <c r="AC44" s="49"/>
      <c r="AD44" s="9"/>
      <c r="AE44" s="189">
        <f t="shared" si="51"/>
        <v>2279.6218487394958</v>
      </c>
      <c r="AF44" s="57">
        <f t="shared" si="52"/>
        <v>0</v>
      </c>
      <c r="AG44" s="64">
        <f t="shared" si="74"/>
        <v>271275</v>
      </c>
      <c r="AH44" s="80">
        <f t="shared" si="75"/>
        <v>0</v>
      </c>
      <c r="AI44" s="215">
        <f t="shared" si="53"/>
        <v>119</v>
      </c>
      <c r="AJ44" s="216">
        <f t="shared" si="54"/>
        <v>2279.6218487394958</v>
      </c>
      <c r="AK44" s="212"/>
      <c r="AL44" s="212"/>
      <c r="AM44" s="212"/>
      <c r="AN44" s="212"/>
      <c r="AO44" s="219">
        <f t="shared" si="55"/>
        <v>2279.6218487394958</v>
      </c>
      <c r="AP44" s="79">
        <f t="shared" si="56"/>
        <v>271275</v>
      </c>
      <c r="AQ44" s="78">
        <v>67251</v>
      </c>
      <c r="AR44" s="79"/>
      <c r="AS44" s="79"/>
      <c r="AT44" s="80"/>
      <c r="AU44" s="204">
        <v>79</v>
      </c>
      <c r="AV44" s="105"/>
      <c r="AW44" s="94"/>
      <c r="AX44" s="101"/>
      <c r="AY44" s="75">
        <v>877.875</v>
      </c>
      <c r="AZ44" s="76"/>
      <c r="BA44" s="76"/>
      <c r="BB44" s="77"/>
      <c r="BC44" s="112">
        <f>AQ44/AU44</f>
        <v>851.27848101265818</v>
      </c>
      <c r="BD44" s="113"/>
      <c r="BE44" s="118"/>
      <c r="BF44" s="119"/>
      <c r="BG44" s="200">
        <f t="shared" si="76"/>
        <v>79</v>
      </c>
      <c r="BH44" s="128">
        <f t="shared" si="77"/>
        <v>0</v>
      </c>
      <c r="BI44" s="52">
        <f t="shared" si="78"/>
        <v>851.27848101265818</v>
      </c>
      <c r="BJ44" s="57">
        <f t="shared" si="79"/>
        <v>0</v>
      </c>
      <c r="BK44" s="75"/>
      <c r="BL44" s="66"/>
      <c r="BM44" s="78"/>
      <c r="BN44" s="77"/>
      <c r="BO44" s="49"/>
      <c r="BP44" s="9"/>
      <c r="BQ44" s="49"/>
      <c r="BR44" s="9"/>
      <c r="BS44" s="189">
        <f t="shared" si="57"/>
        <v>851.27848101265818</v>
      </c>
      <c r="BT44" s="57">
        <f t="shared" si="58"/>
        <v>0</v>
      </c>
      <c r="BU44" s="64">
        <f t="shared" si="80"/>
        <v>67251</v>
      </c>
      <c r="BV44" s="80">
        <f t="shared" si="81"/>
        <v>0</v>
      </c>
      <c r="BW44" s="215">
        <f t="shared" si="59"/>
        <v>79</v>
      </c>
      <c r="BX44" s="216">
        <f t="shared" si="60"/>
        <v>851.27848101265818</v>
      </c>
      <c r="BY44" s="212"/>
      <c r="BZ44" s="212"/>
      <c r="CA44" s="212"/>
      <c r="CB44" s="212"/>
      <c r="CC44" s="219">
        <f t="shared" si="61"/>
        <v>851.27848101265818</v>
      </c>
      <c r="CD44" s="79">
        <f t="shared" si="62"/>
        <v>67251</v>
      </c>
      <c r="CE44" s="78">
        <v>62778</v>
      </c>
      <c r="CF44" s="79"/>
      <c r="CG44" s="79"/>
      <c r="CH44" s="80"/>
      <c r="CI44" s="75">
        <v>107</v>
      </c>
      <c r="CJ44" s="76"/>
      <c r="CK44" s="76"/>
      <c r="CL44" s="77"/>
      <c r="CM44" s="75">
        <v>1134.06</v>
      </c>
      <c r="CN44" s="76"/>
      <c r="CO44" s="76"/>
      <c r="CP44" s="77"/>
      <c r="CQ44" s="78">
        <f>CE44/CI44</f>
        <v>586.71028037383178</v>
      </c>
      <c r="CR44" s="79"/>
      <c r="CS44" s="79"/>
      <c r="CT44" s="80"/>
      <c r="CU44" s="200">
        <f t="shared" si="82"/>
        <v>107</v>
      </c>
      <c r="CV44" s="128">
        <f t="shared" si="83"/>
        <v>0</v>
      </c>
      <c r="CW44" s="52">
        <f t="shared" si="84"/>
        <v>586.71028037383178</v>
      </c>
      <c r="CX44" s="57">
        <f t="shared" si="85"/>
        <v>0</v>
      </c>
      <c r="CY44" s="75"/>
      <c r="CZ44" s="66"/>
      <c r="DA44" s="78"/>
      <c r="DB44" s="77"/>
      <c r="DC44" s="49"/>
      <c r="DD44" s="9"/>
      <c r="DE44" s="49"/>
      <c r="DF44" s="9"/>
      <c r="DG44" s="189">
        <f t="shared" si="63"/>
        <v>586.71028037383178</v>
      </c>
      <c r="DH44" s="57">
        <f t="shared" si="64"/>
        <v>0</v>
      </c>
      <c r="DI44" s="64">
        <f t="shared" si="86"/>
        <v>62778</v>
      </c>
      <c r="DJ44" s="80">
        <f>DH44*CV44</f>
        <v>0</v>
      </c>
      <c r="DK44" s="215">
        <f t="shared" si="66"/>
        <v>107</v>
      </c>
      <c r="DL44" s="216">
        <f t="shared" si="67"/>
        <v>586.71028037383178</v>
      </c>
      <c r="DM44" s="224"/>
      <c r="DN44" s="224"/>
      <c r="DO44" s="224"/>
      <c r="DP44" s="224"/>
      <c r="DQ44" s="219">
        <f t="shared" si="68"/>
        <v>586.71028037383178</v>
      </c>
      <c r="DR44" s="79">
        <f t="shared" si="69"/>
        <v>62778</v>
      </c>
      <c r="DS44" s="212"/>
      <c r="DT44" s="78"/>
      <c r="DU44" s="80"/>
    </row>
    <row r="45" spans="1:125" x14ac:dyDescent="0.3">
      <c r="A45" s="20" t="s">
        <v>8</v>
      </c>
      <c r="B45" s="43" t="s">
        <v>14</v>
      </c>
      <c r="C45" s="78">
        <v>138865</v>
      </c>
      <c r="D45" s="79"/>
      <c r="E45" s="79"/>
      <c r="F45" s="80"/>
      <c r="G45" s="98">
        <v>50</v>
      </c>
      <c r="H45" s="99"/>
      <c r="I45" s="105"/>
      <c r="J45" s="106"/>
      <c r="K45" s="75">
        <v>1303.4680000000001</v>
      </c>
      <c r="L45" s="76"/>
      <c r="M45" s="76"/>
      <c r="N45" s="77"/>
      <c r="O45" s="112">
        <f>C45/G45</f>
        <v>2777.3</v>
      </c>
      <c r="P45" s="113"/>
      <c r="Q45" s="109"/>
      <c r="R45" s="123"/>
      <c r="S45" s="200">
        <f t="shared" si="70"/>
        <v>50</v>
      </c>
      <c r="T45" s="128">
        <f t="shared" si="71"/>
        <v>0</v>
      </c>
      <c r="U45" s="52">
        <f t="shared" si="72"/>
        <v>2777.3</v>
      </c>
      <c r="V45" s="57">
        <f t="shared" si="73"/>
        <v>0</v>
      </c>
      <c r="W45" s="75"/>
      <c r="X45" s="66"/>
      <c r="Y45" s="78"/>
      <c r="Z45" s="77"/>
      <c r="AA45" s="49"/>
      <c r="AB45" s="9"/>
      <c r="AC45" s="49"/>
      <c r="AD45" s="9"/>
      <c r="AE45" s="189">
        <f t="shared" si="51"/>
        <v>2777.3</v>
      </c>
      <c r="AF45" s="57">
        <f t="shared" si="52"/>
        <v>0</v>
      </c>
      <c r="AG45" s="64">
        <f>AE45*S45</f>
        <v>138865</v>
      </c>
      <c r="AH45" s="80">
        <f t="shared" si="75"/>
        <v>0</v>
      </c>
      <c r="AI45" s="215">
        <f t="shared" si="53"/>
        <v>50</v>
      </c>
      <c r="AJ45" s="216">
        <f t="shared" si="54"/>
        <v>2777.3</v>
      </c>
      <c r="AK45" s="212"/>
      <c r="AL45" s="212"/>
      <c r="AM45" s="212"/>
      <c r="AN45" s="212"/>
      <c r="AO45" s="219">
        <f t="shared" si="55"/>
        <v>2777.3</v>
      </c>
      <c r="AP45" s="79">
        <f t="shared" si="56"/>
        <v>138865</v>
      </c>
      <c r="AQ45" s="78">
        <v>110894</v>
      </c>
      <c r="AR45" s="79"/>
      <c r="AS45" s="79"/>
      <c r="AT45" s="80"/>
      <c r="AU45" s="204">
        <v>89</v>
      </c>
      <c r="AV45" s="105"/>
      <c r="AW45" s="94"/>
      <c r="AX45" s="101"/>
      <c r="AY45" s="75">
        <v>1243.425</v>
      </c>
      <c r="AZ45" s="76"/>
      <c r="BA45" s="76"/>
      <c r="BB45" s="77"/>
      <c r="BC45" s="112">
        <f>AQ45/AU45</f>
        <v>1246</v>
      </c>
      <c r="BD45" s="113"/>
      <c r="BE45" s="118"/>
      <c r="BF45" s="119"/>
      <c r="BG45" s="200">
        <f t="shared" si="76"/>
        <v>89</v>
      </c>
      <c r="BH45" s="128">
        <f t="shared" si="77"/>
        <v>0</v>
      </c>
      <c r="BI45" s="52">
        <f t="shared" si="78"/>
        <v>1246</v>
      </c>
      <c r="BJ45" s="57">
        <f t="shared" si="79"/>
        <v>0</v>
      </c>
      <c r="BK45" s="75"/>
      <c r="BL45" s="66"/>
      <c r="BM45" s="78"/>
      <c r="BN45" s="77"/>
      <c r="BO45" s="49"/>
      <c r="BP45" s="9"/>
      <c r="BQ45" s="49"/>
      <c r="BR45" s="9"/>
      <c r="BS45" s="189">
        <f t="shared" si="57"/>
        <v>1246</v>
      </c>
      <c r="BT45" s="57">
        <f t="shared" si="58"/>
        <v>0</v>
      </c>
      <c r="BU45" s="64">
        <f>BS45*BG45</f>
        <v>110894</v>
      </c>
      <c r="BV45" s="80">
        <f t="shared" si="81"/>
        <v>0</v>
      </c>
      <c r="BW45" s="215">
        <f t="shared" si="59"/>
        <v>89</v>
      </c>
      <c r="BX45" s="216">
        <f t="shared" si="60"/>
        <v>1246</v>
      </c>
      <c r="BY45" s="212"/>
      <c r="BZ45" s="212"/>
      <c r="CA45" s="212"/>
      <c r="CB45" s="212"/>
      <c r="CC45" s="219">
        <f t="shared" si="61"/>
        <v>1246</v>
      </c>
      <c r="CD45" s="79">
        <f t="shared" si="62"/>
        <v>110894</v>
      </c>
      <c r="CE45" s="78">
        <v>32593</v>
      </c>
      <c r="CF45" s="79"/>
      <c r="CG45" s="79"/>
      <c r="CH45" s="80"/>
      <c r="CI45" s="75">
        <v>50</v>
      </c>
      <c r="CJ45" s="76"/>
      <c r="CK45" s="76"/>
      <c r="CL45" s="77"/>
      <c r="CM45" s="75">
        <v>741.52499999999998</v>
      </c>
      <c r="CN45" s="76"/>
      <c r="CO45" s="76"/>
      <c r="CP45" s="77"/>
      <c r="CQ45" s="78">
        <f>CE45/CI45</f>
        <v>651.86</v>
      </c>
      <c r="CR45" s="79"/>
      <c r="CS45" s="79"/>
      <c r="CT45" s="80"/>
      <c r="CU45" s="200">
        <f t="shared" si="82"/>
        <v>50</v>
      </c>
      <c r="CV45" s="128">
        <f t="shared" si="83"/>
        <v>0</v>
      </c>
      <c r="CW45" s="52">
        <f t="shared" si="84"/>
        <v>651.86</v>
      </c>
      <c r="CX45" s="57">
        <f t="shared" si="85"/>
        <v>0</v>
      </c>
      <c r="CY45" s="75"/>
      <c r="CZ45" s="66"/>
      <c r="DA45" s="78"/>
      <c r="DB45" s="77"/>
      <c r="DC45" s="49"/>
      <c r="DD45" s="9"/>
      <c r="DE45" s="49"/>
      <c r="DF45" s="9"/>
      <c r="DG45" s="189">
        <f t="shared" si="63"/>
        <v>651.86</v>
      </c>
      <c r="DH45" s="57">
        <f t="shared" si="64"/>
        <v>0</v>
      </c>
      <c r="DI45" s="64">
        <f>DG45*CU45</f>
        <v>32593</v>
      </c>
      <c r="DJ45" s="80">
        <f t="shared" ref="DJ45:DJ51" si="87">DH45*CV45</f>
        <v>0</v>
      </c>
      <c r="DK45" s="215">
        <f t="shared" si="66"/>
        <v>50</v>
      </c>
      <c r="DL45" s="216">
        <f t="shared" si="67"/>
        <v>651.86</v>
      </c>
      <c r="DM45" s="224"/>
      <c r="DN45" s="224"/>
      <c r="DO45" s="224"/>
      <c r="DP45" s="224"/>
      <c r="DQ45" s="219">
        <f t="shared" si="68"/>
        <v>651.86</v>
      </c>
      <c r="DR45" s="79">
        <f t="shared" si="69"/>
        <v>32593</v>
      </c>
      <c r="DS45" s="212"/>
      <c r="DT45" s="78"/>
      <c r="DU45" s="80"/>
    </row>
    <row r="46" spans="1:125" x14ac:dyDescent="0.3">
      <c r="A46" s="20" t="s">
        <v>44</v>
      </c>
      <c r="B46" s="73" t="s">
        <v>15</v>
      </c>
      <c r="C46" s="237">
        <v>3409561.42</v>
      </c>
      <c r="D46" s="238">
        <v>2632650.64</v>
      </c>
      <c r="E46" s="238">
        <v>3668691.94</v>
      </c>
      <c r="F46" s="239">
        <v>0</v>
      </c>
      <c r="G46" s="240">
        <v>525</v>
      </c>
      <c r="H46" s="241">
        <v>116</v>
      </c>
      <c r="I46" s="241">
        <v>17</v>
      </c>
      <c r="J46" s="242">
        <v>0</v>
      </c>
      <c r="K46" s="240">
        <v>7092</v>
      </c>
      <c r="L46" s="241">
        <v>5476</v>
      </c>
      <c r="M46" s="241">
        <v>7631</v>
      </c>
      <c r="N46" s="242">
        <v>0</v>
      </c>
      <c r="O46" s="237">
        <v>6494</v>
      </c>
      <c r="P46" s="238">
        <v>22695.26</v>
      </c>
      <c r="Q46" s="238">
        <v>215805.41</v>
      </c>
      <c r="R46" s="239">
        <v>0</v>
      </c>
      <c r="S46" s="59">
        <f t="shared" si="70"/>
        <v>641</v>
      </c>
      <c r="T46" s="128">
        <f t="shared" si="71"/>
        <v>17</v>
      </c>
      <c r="U46" s="52">
        <f t="shared" si="72"/>
        <v>29189.26</v>
      </c>
      <c r="V46" s="126">
        <f t="shared" si="73"/>
        <v>215805.41</v>
      </c>
      <c r="W46" s="75"/>
      <c r="X46" s="66"/>
      <c r="Y46" s="78"/>
      <c r="Z46" s="77"/>
      <c r="AA46" s="49"/>
      <c r="AB46" s="9"/>
      <c r="AC46" s="49"/>
      <c r="AD46" s="9"/>
      <c r="AE46" s="55">
        <f t="shared" si="51"/>
        <v>29189.26</v>
      </c>
      <c r="AF46" s="57">
        <f t="shared" si="52"/>
        <v>0</v>
      </c>
      <c r="AG46" s="64">
        <f t="shared" si="74"/>
        <v>18710315.66</v>
      </c>
      <c r="AH46" s="80">
        <f t="shared" si="75"/>
        <v>0</v>
      </c>
      <c r="AI46" s="59">
        <f t="shared" si="53"/>
        <v>525</v>
      </c>
      <c r="AJ46" s="216">
        <f t="shared" si="54"/>
        <v>6494</v>
      </c>
      <c r="AK46" s="212"/>
      <c r="AL46" s="212"/>
      <c r="AM46" s="212"/>
      <c r="AN46" s="212"/>
      <c r="AO46" s="56">
        <f t="shared" si="55"/>
        <v>6494</v>
      </c>
      <c r="AP46" s="79">
        <f t="shared" si="56"/>
        <v>3409350</v>
      </c>
      <c r="AQ46" s="78">
        <v>10953946.289999999</v>
      </c>
      <c r="AR46" s="79">
        <v>10281400.24</v>
      </c>
      <c r="AS46" s="79">
        <v>7274116.4800000004</v>
      </c>
      <c r="AT46" s="80">
        <v>0</v>
      </c>
      <c r="AU46" s="204">
        <v>531</v>
      </c>
      <c r="AV46" s="105">
        <v>112</v>
      </c>
      <c r="AW46" s="94">
        <v>16</v>
      </c>
      <c r="AX46" s="101">
        <v>0</v>
      </c>
      <c r="AY46" s="75">
        <v>7427</v>
      </c>
      <c r="AZ46" s="76">
        <v>6971</v>
      </c>
      <c r="BA46" s="76">
        <v>4932</v>
      </c>
      <c r="BB46" s="77">
        <v>0</v>
      </c>
      <c r="BC46" s="112">
        <v>20628.900000000001</v>
      </c>
      <c r="BD46" s="113">
        <v>91798.22</v>
      </c>
      <c r="BE46" s="118">
        <v>454632.28</v>
      </c>
      <c r="BF46" s="119">
        <v>0</v>
      </c>
      <c r="BG46" s="59">
        <f t="shared" si="76"/>
        <v>643</v>
      </c>
      <c r="BH46" s="128">
        <f t="shared" si="77"/>
        <v>16</v>
      </c>
      <c r="BI46" s="52">
        <f t="shared" si="78"/>
        <v>112427.12</v>
      </c>
      <c r="BJ46" s="126">
        <f t="shared" si="79"/>
        <v>454632.28</v>
      </c>
      <c r="BK46" s="75"/>
      <c r="BL46" s="66"/>
      <c r="BM46" s="78"/>
      <c r="BN46" s="77"/>
      <c r="BO46" s="49"/>
      <c r="BP46" s="9"/>
      <c r="BQ46" s="49"/>
      <c r="BR46" s="9"/>
      <c r="BS46" s="55">
        <f t="shared" si="57"/>
        <v>0</v>
      </c>
      <c r="BT46" s="57">
        <f t="shared" si="58"/>
        <v>0</v>
      </c>
      <c r="BU46" s="64">
        <f t="shared" ref="BU46:BU63" si="88">BS46*BG46</f>
        <v>0</v>
      </c>
      <c r="BV46" s="80">
        <f t="shared" si="81"/>
        <v>0</v>
      </c>
      <c r="BW46" s="59">
        <f t="shared" si="59"/>
        <v>531</v>
      </c>
      <c r="BX46" s="216">
        <f t="shared" si="60"/>
        <v>20628.900000000001</v>
      </c>
      <c r="BY46" s="212"/>
      <c r="BZ46" s="212"/>
      <c r="CA46" s="212"/>
      <c r="CB46" s="212"/>
      <c r="CC46" s="56">
        <f t="shared" si="61"/>
        <v>0</v>
      </c>
      <c r="CD46" s="79">
        <f t="shared" si="62"/>
        <v>0</v>
      </c>
      <c r="CE46" s="78">
        <v>11115067</v>
      </c>
      <c r="CF46" s="79">
        <v>8623356.9100000001</v>
      </c>
      <c r="CG46" s="79">
        <v>8261986.0899999999</v>
      </c>
      <c r="CH46" s="80">
        <v>0</v>
      </c>
      <c r="CI46" s="75">
        <v>523</v>
      </c>
      <c r="CJ46" s="76">
        <v>131</v>
      </c>
      <c r="CK46" s="76">
        <v>20</v>
      </c>
      <c r="CL46" s="77">
        <v>0</v>
      </c>
      <c r="CM46" s="75">
        <v>7628</v>
      </c>
      <c r="CN46" s="76">
        <v>5918</v>
      </c>
      <c r="CO46" s="76">
        <v>5670</v>
      </c>
      <c r="CP46" s="77">
        <v>0</v>
      </c>
      <c r="CQ46" s="78">
        <v>21252.52</v>
      </c>
      <c r="CR46" s="79">
        <v>65827.149999999994</v>
      </c>
      <c r="CS46" s="79">
        <v>413099.3</v>
      </c>
      <c r="CT46" s="80">
        <v>0</v>
      </c>
      <c r="CU46" s="59">
        <f t="shared" si="82"/>
        <v>654</v>
      </c>
      <c r="CV46" s="128">
        <f t="shared" si="83"/>
        <v>20</v>
      </c>
      <c r="CW46" s="52">
        <f t="shared" si="84"/>
        <v>87079.67</v>
      </c>
      <c r="CX46" s="126">
        <f t="shared" si="85"/>
        <v>413099.3</v>
      </c>
      <c r="CY46" s="75"/>
      <c r="CZ46" s="66"/>
      <c r="DA46" s="78"/>
      <c r="DB46" s="77"/>
      <c r="DC46" s="49"/>
      <c r="DD46" s="9"/>
      <c r="DE46" s="49"/>
      <c r="DF46" s="9"/>
      <c r="DG46" s="55">
        <f t="shared" si="63"/>
        <v>87079.67</v>
      </c>
      <c r="DH46" s="57">
        <f t="shared" si="64"/>
        <v>0</v>
      </c>
      <c r="DI46" s="64">
        <f t="shared" ref="DI46:DI63" si="89">DG46*CU46</f>
        <v>56950104.18</v>
      </c>
      <c r="DJ46" s="80">
        <f t="shared" si="87"/>
        <v>0</v>
      </c>
      <c r="DK46" s="59">
        <f t="shared" si="66"/>
        <v>523</v>
      </c>
      <c r="DL46" s="216">
        <f t="shared" si="67"/>
        <v>21252.52</v>
      </c>
      <c r="DM46" s="224"/>
      <c r="DN46" s="224"/>
      <c r="DO46" s="224"/>
      <c r="DP46" s="224"/>
      <c r="DQ46" s="56">
        <f t="shared" si="68"/>
        <v>0</v>
      </c>
      <c r="DR46" s="79">
        <f t="shared" si="69"/>
        <v>0</v>
      </c>
      <c r="DS46" s="212"/>
      <c r="DT46" s="78"/>
      <c r="DU46" s="80"/>
    </row>
    <row r="47" spans="1:125" x14ac:dyDescent="0.3">
      <c r="A47" s="20" t="s">
        <v>45</v>
      </c>
      <c r="B47" s="235" t="s">
        <v>16</v>
      </c>
      <c r="C47" s="78">
        <v>422794.74</v>
      </c>
      <c r="D47" s="79">
        <v>11365.68</v>
      </c>
      <c r="E47" s="79">
        <v>0</v>
      </c>
      <c r="F47" s="80">
        <v>0</v>
      </c>
      <c r="G47" s="98">
        <v>69</v>
      </c>
      <c r="H47" s="99">
        <v>1</v>
      </c>
      <c r="I47" s="105">
        <v>0</v>
      </c>
      <c r="J47" s="106">
        <v>0</v>
      </c>
      <c r="K47" s="75">
        <v>849</v>
      </c>
      <c r="L47" s="76">
        <v>18</v>
      </c>
      <c r="M47" s="76">
        <v>0</v>
      </c>
      <c r="N47" s="77">
        <v>0</v>
      </c>
      <c r="O47" s="112">
        <f>C47/G47</f>
        <v>6127.46</v>
      </c>
      <c r="P47" s="113">
        <f>D47/H47</f>
        <v>11365.68</v>
      </c>
      <c r="Q47" s="109">
        <v>0</v>
      </c>
      <c r="R47" s="123">
        <v>0</v>
      </c>
      <c r="S47" s="200">
        <f t="shared" si="70"/>
        <v>70</v>
      </c>
      <c r="T47" s="128">
        <f t="shared" si="71"/>
        <v>0</v>
      </c>
      <c r="U47" s="52">
        <f t="shared" si="72"/>
        <v>17493.14</v>
      </c>
      <c r="V47" s="57">
        <f t="shared" si="73"/>
        <v>0</v>
      </c>
      <c r="W47" s="75"/>
      <c r="X47" s="66"/>
      <c r="Y47" s="78"/>
      <c r="Z47" s="77"/>
      <c r="AA47" s="49"/>
      <c r="AB47" s="9"/>
      <c r="AC47" s="49"/>
      <c r="AD47" s="9"/>
      <c r="AE47" s="189">
        <f t="shared" si="51"/>
        <v>17493.14</v>
      </c>
      <c r="AF47" s="57">
        <f t="shared" si="52"/>
        <v>0</v>
      </c>
      <c r="AG47" s="64">
        <f t="shared" si="74"/>
        <v>1224519.8</v>
      </c>
      <c r="AH47" s="80">
        <f t="shared" si="75"/>
        <v>0</v>
      </c>
      <c r="AI47" s="215">
        <f t="shared" si="53"/>
        <v>69</v>
      </c>
      <c r="AJ47" s="216">
        <f t="shared" si="54"/>
        <v>6127.46</v>
      </c>
      <c r="AK47" s="212"/>
      <c r="AL47" s="212"/>
      <c r="AM47" s="212"/>
      <c r="AN47" s="212"/>
      <c r="AO47" s="219">
        <f t="shared" si="55"/>
        <v>6127.46</v>
      </c>
      <c r="AP47" s="79">
        <f t="shared" si="56"/>
        <v>422794.74</v>
      </c>
      <c r="AQ47" s="78">
        <v>233546.4</v>
      </c>
      <c r="AR47" s="79">
        <v>18342.400000000001</v>
      </c>
      <c r="AS47" s="79">
        <v>0</v>
      </c>
      <c r="AT47" s="80">
        <v>0</v>
      </c>
      <c r="AU47" s="204">
        <v>60</v>
      </c>
      <c r="AV47" s="105">
        <v>4</v>
      </c>
      <c r="AW47" s="94">
        <v>0</v>
      </c>
      <c r="AX47" s="101">
        <v>0</v>
      </c>
      <c r="AY47" s="75">
        <v>840</v>
      </c>
      <c r="AZ47" s="76">
        <v>879</v>
      </c>
      <c r="BA47" s="76">
        <v>0</v>
      </c>
      <c r="BB47" s="77">
        <v>0</v>
      </c>
      <c r="BC47" s="112">
        <f>AQ47/AU47</f>
        <v>3892.44</v>
      </c>
      <c r="BD47" s="113">
        <f>AR47/AV47</f>
        <v>4585.6000000000004</v>
      </c>
      <c r="BE47" s="118">
        <v>0</v>
      </c>
      <c r="BF47" s="119">
        <v>0</v>
      </c>
      <c r="BG47" s="200">
        <f t="shared" si="76"/>
        <v>64</v>
      </c>
      <c r="BH47" s="128">
        <f t="shared" si="77"/>
        <v>0</v>
      </c>
      <c r="BI47" s="52">
        <f t="shared" si="78"/>
        <v>8478.0400000000009</v>
      </c>
      <c r="BJ47" s="57">
        <f t="shared" si="79"/>
        <v>0</v>
      </c>
      <c r="BK47" s="75"/>
      <c r="BL47" s="66"/>
      <c r="BM47" s="78"/>
      <c r="BN47" s="77"/>
      <c r="BO47" s="49"/>
      <c r="BP47" s="9"/>
      <c r="BQ47" s="49"/>
      <c r="BR47" s="9"/>
      <c r="BS47" s="189">
        <f t="shared" si="57"/>
        <v>8478.0400000000009</v>
      </c>
      <c r="BT47" s="57">
        <f t="shared" si="58"/>
        <v>0</v>
      </c>
      <c r="BU47" s="64">
        <f t="shared" si="88"/>
        <v>542594.56000000006</v>
      </c>
      <c r="BV47" s="80">
        <f t="shared" si="81"/>
        <v>0</v>
      </c>
      <c r="BW47" s="215">
        <f t="shared" si="59"/>
        <v>60</v>
      </c>
      <c r="BX47" s="216">
        <f t="shared" si="60"/>
        <v>3892.44</v>
      </c>
      <c r="BY47" s="212"/>
      <c r="BZ47" s="212"/>
      <c r="CA47" s="212"/>
      <c r="CB47" s="212"/>
      <c r="CC47" s="219">
        <f t="shared" si="61"/>
        <v>3892.44</v>
      </c>
      <c r="CD47" s="79">
        <f t="shared" si="62"/>
        <v>233546.4</v>
      </c>
      <c r="CE47" s="78">
        <v>415513.86</v>
      </c>
      <c r="CF47" s="79">
        <v>32547.25</v>
      </c>
      <c r="CG47" s="79">
        <v>0</v>
      </c>
      <c r="CH47" s="80">
        <v>0</v>
      </c>
      <c r="CI47" s="75">
        <v>69</v>
      </c>
      <c r="CJ47" s="76">
        <v>5</v>
      </c>
      <c r="CK47" s="76">
        <v>0</v>
      </c>
      <c r="CL47" s="77">
        <v>0</v>
      </c>
      <c r="CM47" s="75">
        <v>926.5</v>
      </c>
      <c r="CN47" s="76">
        <v>751</v>
      </c>
      <c r="CO47" s="76">
        <v>0</v>
      </c>
      <c r="CP47" s="77">
        <v>0</v>
      </c>
      <c r="CQ47" s="78">
        <f>CE47/CI47</f>
        <v>6021.94</v>
      </c>
      <c r="CR47" s="79">
        <f>CF47/CJ47</f>
        <v>6509.45</v>
      </c>
      <c r="CS47" s="79">
        <v>0</v>
      </c>
      <c r="CT47" s="80">
        <v>0</v>
      </c>
      <c r="CU47" s="200">
        <f t="shared" si="82"/>
        <v>74</v>
      </c>
      <c r="CV47" s="128">
        <f t="shared" si="83"/>
        <v>0</v>
      </c>
      <c r="CW47" s="52">
        <f t="shared" si="84"/>
        <v>12531.39</v>
      </c>
      <c r="CX47" s="57">
        <f t="shared" si="85"/>
        <v>0</v>
      </c>
      <c r="CY47" s="75"/>
      <c r="CZ47" s="66"/>
      <c r="DA47" s="78"/>
      <c r="DB47" s="77"/>
      <c r="DC47" s="49"/>
      <c r="DD47" s="9"/>
      <c r="DE47" s="49"/>
      <c r="DF47" s="9"/>
      <c r="DG47" s="189">
        <f t="shared" si="63"/>
        <v>12531.39</v>
      </c>
      <c r="DH47" s="57">
        <f t="shared" si="64"/>
        <v>0</v>
      </c>
      <c r="DI47" s="64">
        <f t="shared" si="89"/>
        <v>927322.86</v>
      </c>
      <c r="DJ47" s="80">
        <f t="shared" si="87"/>
        <v>0</v>
      </c>
      <c r="DK47" s="215">
        <f t="shared" si="66"/>
        <v>69</v>
      </c>
      <c r="DL47" s="216">
        <f t="shared" si="67"/>
        <v>6021.94</v>
      </c>
      <c r="DM47" s="224"/>
      <c r="DN47" s="224"/>
      <c r="DO47" s="224"/>
      <c r="DP47" s="224"/>
      <c r="DQ47" s="219">
        <f t="shared" si="68"/>
        <v>6021.94</v>
      </c>
      <c r="DR47" s="79">
        <f t="shared" si="69"/>
        <v>415513.86</v>
      </c>
      <c r="DS47" s="212"/>
      <c r="DT47" s="78"/>
      <c r="DU47" s="80"/>
    </row>
    <row r="48" spans="1:125" x14ac:dyDescent="0.3">
      <c r="A48" s="20" t="s">
        <v>46</v>
      </c>
      <c r="B48" s="235" t="s">
        <v>17</v>
      </c>
      <c r="C48" s="78">
        <v>75391.360000000001</v>
      </c>
      <c r="D48" s="79"/>
      <c r="E48" s="79"/>
      <c r="F48" s="80"/>
      <c r="G48" s="98">
        <v>22</v>
      </c>
      <c r="H48" s="99"/>
      <c r="I48" s="105"/>
      <c r="J48" s="106"/>
      <c r="K48" s="75">
        <v>169</v>
      </c>
      <c r="L48" s="76"/>
      <c r="M48" s="76"/>
      <c r="N48" s="77"/>
      <c r="O48" s="112">
        <f>C48/G48</f>
        <v>3426.88</v>
      </c>
      <c r="P48" s="113"/>
      <c r="Q48" s="109"/>
      <c r="R48" s="123"/>
      <c r="S48" s="200">
        <f t="shared" si="70"/>
        <v>22</v>
      </c>
      <c r="T48" s="128">
        <f t="shared" si="71"/>
        <v>0</v>
      </c>
      <c r="U48" s="52">
        <f t="shared" si="72"/>
        <v>3426.88</v>
      </c>
      <c r="V48" s="57">
        <f t="shared" si="73"/>
        <v>0</v>
      </c>
      <c r="W48" s="75"/>
      <c r="X48" s="66"/>
      <c r="Y48" s="78"/>
      <c r="Z48" s="77"/>
      <c r="AA48" s="49"/>
      <c r="AB48" s="9"/>
      <c r="AC48" s="49"/>
      <c r="AD48" s="9"/>
      <c r="AE48" s="189">
        <f t="shared" si="51"/>
        <v>3426.88</v>
      </c>
      <c r="AF48" s="57">
        <f t="shared" si="52"/>
        <v>0</v>
      </c>
      <c r="AG48" s="64">
        <f t="shared" si="74"/>
        <v>75391.360000000001</v>
      </c>
      <c r="AH48" s="80">
        <f t="shared" si="75"/>
        <v>0</v>
      </c>
      <c r="AI48" s="215">
        <f t="shared" si="53"/>
        <v>22</v>
      </c>
      <c r="AJ48" s="216">
        <f t="shared" si="54"/>
        <v>3426.88</v>
      </c>
      <c r="AK48" s="212"/>
      <c r="AL48" s="212"/>
      <c r="AM48" s="212"/>
      <c r="AN48" s="212"/>
      <c r="AO48" s="219">
        <f t="shared" si="55"/>
        <v>3426.88</v>
      </c>
      <c r="AP48" s="79">
        <f t="shared" si="56"/>
        <v>75391.360000000001</v>
      </c>
      <c r="AQ48" s="78">
        <v>74432.490000000005</v>
      </c>
      <c r="AR48" s="79"/>
      <c r="AS48" s="79">
        <v>1583.67</v>
      </c>
      <c r="AT48" s="80"/>
      <c r="AU48" s="204">
        <v>47</v>
      </c>
      <c r="AV48" s="105"/>
      <c r="AW48" s="94">
        <v>1</v>
      </c>
      <c r="AX48" s="101"/>
      <c r="AY48" s="75">
        <v>513.29999999999995</v>
      </c>
      <c r="AZ48" s="76"/>
      <c r="BA48" s="76">
        <v>500</v>
      </c>
      <c r="BB48" s="77"/>
      <c r="BC48" s="112">
        <f>AQ48/AU48</f>
        <v>1583.67</v>
      </c>
      <c r="BD48" s="113"/>
      <c r="BE48" s="118">
        <f>AS48/AW48</f>
        <v>1583.67</v>
      </c>
      <c r="BF48" s="119"/>
      <c r="BG48" s="200">
        <f t="shared" si="76"/>
        <v>47</v>
      </c>
      <c r="BH48" s="128">
        <f t="shared" si="77"/>
        <v>1</v>
      </c>
      <c r="BI48" s="52">
        <f t="shared" si="78"/>
        <v>1583.67</v>
      </c>
      <c r="BJ48" s="57">
        <f t="shared" si="79"/>
        <v>1583.67</v>
      </c>
      <c r="BK48" s="75"/>
      <c r="BL48" s="66"/>
      <c r="BM48" s="78"/>
      <c r="BN48" s="77"/>
      <c r="BO48" s="49"/>
      <c r="BP48" s="9"/>
      <c r="BQ48" s="49"/>
      <c r="BR48" s="9"/>
      <c r="BS48" s="189">
        <f t="shared" si="57"/>
        <v>1583.67</v>
      </c>
      <c r="BT48" s="57">
        <f t="shared" si="58"/>
        <v>1583.67</v>
      </c>
      <c r="BU48" s="64">
        <f t="shared" si="88"/>
        <v>74432.490000000005</v>
      </c>
      <c r="BV48" s="80">
        <f t="shared" si="81"/>
        <v>1583.67</v>
      </c>
      <c r="BW48" s="215">
        <f t="shared" si="59"/>
        <v>47</v>
      </c>
      <c r="BX48" s="216">
        <f t="shared" si="60"/>
        <v>1583.67</v>
      </c>
      <c r="BY48" s="212"/>
      <c r="BZ48" s="212"/>
      <c r="CA48" s="212"/>
      <c r="CB48" s="212"/>
      <c r="CC48" s="219">
        <f t="shared" si="61"/>
        <v>1583.67</v>
      </c>
      <c r="CD48" s="79">
        <f t="shared" si="62"/>
        <v>74432.490000000005</v>
      </c>
      <c r="CE48" s="78">
        <v>60256.35</v>
      </c>
      <c r="CF48" s="79"/>
      <c r="CG48" s="79"/>
      <c r="CH48" s="80"/>
      <c r="CI48" s="75">
        <v>35</v>
      </c>
      <c r="CJ48" s="76"/>
      <c r="CK48" s="76"/>
      <c r="CL48" s="77"/>
      <c r="CM48" s="75">
        <v>446</v>
      </c>
      <c r="CN48" s="76"/>
      <c r="CO48" s="76"/>
      <c r="CP48" s="77"/>
      <c r="CQ48" s="78">
        <f>CE48/CI48</f>
        <v>1721.61</v>
      </c>
      <c r="CR48" s="79"/>
      <c r="CS48" s="79"/>
      <c r="CT48" s="80"/>
      <c r="CU48" s="200">
        <f t="shared" si="82"/>
        <v>35</v>
      </c>
      <c r="CV48" s="128">
        <f t="shared" si="83"/>
        <v>0</v>
      </c>
      <c r="CW48" s="52">
        <f t="shared" si="84"/>
        <v>1721.61</v>
      </c>
      <c r="CX48" s="57">
        <f t="shared" si="85"/>
        <v>0</v>
      </c>
      <c r="CY48" s="75"/>
      <c r="CZ48" s="66"/>
      <c r="DA48" s="78"/>
      <c r="DB48" s="77"/>
      <c r="DC48" s="49"/>
      <c r="DD48" s="9"/>
      <c r="DE48" s="49"/>
      <c r="DF48" s="9"/>
      <c r="DG48" s="189">
        <f t="shared" si="63"/>
        <v>1721.61</v>
      </c>
      <c r="DH48" s="57">
        <f t="shared" si="64"/>
        <v>0</v>
      </c>
      <c r="DI48" s="64">
        <f t="shared" si="89"/>
        <v>60256.35</v>
      </c>
      <c r="DJ48" s="80">
        <f t="shared" si="87"/>
        <v>0</v>
      </c>
      <c r="DK48" s="215">
        <f t="shared" si="66"/>
        <v>35</v>
      </c>
      <c r="DL48" s="216">
        <f t="shared" si="67"/>
        <v>1721.61</v>
      </c>
      <c r="DM48" s="224"/>
      <c r="DN48" s="224"/>
      <c r="DO48" s="224"/>
      <c r="DP48" s="224"/>
      <c r="DQ48" s="219">
        <f t="shared" si="68"/>
        <v>1721.61</v>
      </c>
      <c r="DR48" s="79">
        <f t="shared" si="69"/>
        <v>60256.35</v>
      </c>
      <c r="DS48" s="212"/>
      <c r="DT48" s="78"/>
      <c r="DU48" s="80"/>
    </row>
    <row r="49" spans="1:125" ht="30" customHeight="1" x14ac:dyDescent="0.3">
      <c r="A49" s="20" t="s">
        <v>47</v>
      </c>
      <c r="B49" s="83" t="s">
        <v>48</v>
      </c>
      <c r="C49" s="78">
        <v>362703.8</v>
      </c>
      <c r="D49" s="79"/>
      <c r="E49" s="79"/>
      <c r="F49" s="80"/>
      <c r="G49" s="98">
        <v>92</v>
      </c>
      <c r="H49" s="99"/>
      <c r="I49" s="105"/>
      <c r="J49" s="106"/>
      <c r="K49" s="75">
        <v>3226</v>
      </c>
      <c r="L49" s="76"/>
      <c r="M49" s="76"/>
      <c r="N49" s="77"/>
      <c r="O49" s="112">
        <v>3942.43</v>
      </c>
      <c r="P49" s="113"/>
      <c r="Q49" s="109"/>
      <c r="R49" s="123"/>
      <c r="S49" s="200">
        <f t="shared" si="70"/>
        <v>92</v>
      </c>
      <c r="T49" s="128">
        <f t="shared" si="71"/>
        <v>0</v>
      </c>
      <c r="U49" s="52">
        <f t="shared" si="72"/>
        <v>3942.43</v>
      </c>
      <c r="V49" s="57">
        <f t="shared" si="73"/>
        <v>0</v>
      </c>
      <c r="W49" s="75"/>
      <c r="X49" s="66"/>
      <c r="Y49" s="78"/>
      <c r="Z49" s="77"/>
      <c r="AA49" s="49"/>
      <c r="AB49" s="9"/>
      <c r="AC49" s="49"/>
      <c r="AD49" s="9"/>
      <c r="AE49" s="189">
        <f t="shared" si="51"/>
        <v>3942.43</v>
      </c>
      <c r="AF49" s="57">
        <f t="shared" si="52"/>
        <v>0</v>
      </c>
      <c r="AG49" s="64">
        <f t="shared" si="74"/>
        <v>362703.56</v>
      </c>
      <c r="AH49" s="80">
        <f t="shared" si="75"/>
        <v>0</v>
      </c>
      <c r="AI49" s="215">
        <f t="shared" si="53"/>
        <v>92</v>
      </c>
      <c r="AJ49" s="216">
        <f t="shared" si="54"/>
        <v>3942.43</v>
      </c>
      <c r="AK49" s="212"/>
      <c r="AL49" s="212"/>
      <c r="AM49" s="212"/>
      <c r="AN49" s="212"/>
      <c r="AO49" s="219">
        <f t="shared" si="55"/>
        <v>3942.43</v>
      </c>
      <c r="AP49" s="79">
        <f t="shared" si="56"/>
        <v>362703.56</v>
      </c>
      <c r="AQ49" s="78">
        <v>350876.5</v>
      </c>
      <c r="AR49" s="79"/>
      <c r="AS49" s="79"/>
      <c r="AT49" s="80"/>
      <c r="AU49" s="204">
        <v>89</v>
      </c>
      <c r="AV49" s="105"/>
      <c r="AW49" s="94"/>
      <c r="AX49" s="101"/>
      <c r="AY49" s="75">
        <v>1201</v>
      </c>
      <c r="AZ49" s="76"/>
      <c r="BA49" s="76"/>
      <c r="BB49" s="77"/>
      <c r="BC49" s="112">
        <v>3942.43</v>
      </c>
      <c r="BD49" s="113"/>
      <c r="BE49" s="118"/>
      <c r="BF49" s="119"/>
      <c r="BG49" s="200">
        <f t="shared" si="76"/>
        <v>89</v>
      </c>
      <c r="BH49" s="128">
        <f t="shared" si="77"/>
        <v>0</v>
      </c>
      <c r="BI49" s="52">
        <f t="shared" si="78"/>
        <v>3942.43</v>
      </c>
      <c r="BJ49" s="57">
        <f t="shared" si="79"/>
        <v>0</v>
      </c>
      <c r="BK49" s="75"/>
      <c r="BL49" s="66"/>
      <c r="BM49" s="78"/>
      <c r="BN49" s="77"/>
      <c r="BO49" s="49"/>
      <c r="BP49" s="9"/>
      <c r="BQ49" s="49"/>
      <c r="BR49" s="9"/>
      <c r="BS49" s="189">
        <f t="shared" si="57"/>
        <v>3942.43</v>
      </c>
      <c r="BT49" s="57">
        <f t="shared" si="58"/>
        <v>0</v>
      </c>
      <c r="BU49" s="64">
        <f t="shared" si="88"/>
        <v>350876.26999999996</v>
      </c>
      <c r="BV49" s="80">
        <f t="shared" si="81"/>
        <v>0</v>
      </c>
      <c r="BW49" s="215">
        <f t="shared" si="59"/>
        <v>89</v>
      </c>
      <c r="BX49" s="216">
        <f t="shared" si="60"/>
        <v>3942.43</v>
      </c>
      <c r="BY49" s="212"/>
      <c r="BZ49" s="212"/>
      <c r="CA49" s="212"/>
      <c r="CB49" s="212"/>
      <c r="CC49" s="219">
        <f t="shared" si="61"/>
        <v>3942.43</v>
      </c>
      <c r="CD49" s="79">
        <f t="shared" si="62"/>
        <v>350876.26999999996</v>
      </c>
      <c r="CE49" s="78">
        <v>303567.31</v>
      </c>
      <c r="CF49" s="79"/>
      <c r="CG49" s="79"/>
      <c r="CH49" s="80"/>
      <c r="CI49" s="75">
        <v>77</v>
      </c>
      <c r="CJ49" s="76"/>
      <c r="CK49" s="76"/>
      <c r="CL49" s="77"/>
      <c r="CM49" s="75">
        <v>922</v>
      </c>
      <c r="CN49" s="76"/>
      <c r="CO49" s="76"/>
      <c r="CP49" s="77"/>
      <c r="CQ49" s="78">
        <v>3942.43</v>
      </c>
      <c r="CR49" s="79"/>
      <c r="CS49" s="79"/>
      <c r="CT49" s="80"/>
      <c r="CU49" s="200">
        <f t="shared" si="82"/>
        <v>77</v>
      </c>
      <c r="CV49" s="128">
        <f t="shared" si="83"/>
        <v>0</v>
      </c>
      <c r="CW49" s="52">
        <f t="shared" si="84"/>
        <v>3942.43</v>
      </c>
      <c r="CX49" s="57">
        <f t="shared" si="85"/>
        <v>0</v>
      </c>
      <c r="CY49" s="75"/>
      <c r="CZ49" s="66"/>
      <c r="DA49" s="78"/>
      <c r="DB49" s="77"/>
      <c r="DC49" s="49"/>
      <c r="DD49" s="9"/>
      <c r="DE49" s="49"/>
      <c r="DF49" s="9"/>
      <c r="DG49" s="189">
        <f t="shared" si="63"/>
        <v>3942.43</v>
      </c>
      <c r="DH49" s="57">
        <f t="shared" si="64"/>
        <v>0</v>
      </c>
      <c r="DI49" s="64">
        <f t="shared" si="89"/>
        <v>303567.11</v>
      </c>
      <c r="DJ49" s="80">
        <f t="shared" si="87"/>
        <v>0</v>
      </c>
      <c r="DK49" s="215">
        <f t="shared" si="66"/>
        <v>77</v>
      </c>
      <c r="DL49" s="216">
        <f t="shared" si="67"/>
        <v>3942.43</v>
      </c>
      <c r="DM49" s="224"/>
      <c r="DN49" s="224"/>
      <c r="DO49" s="224"/>
      <c r="DP49" s="224"/>
      <c r="DQ49" s="219">
        <f t="shared" si="68"/>
        <v>3942.43</v>
      </c>
      <c r="DR49" s="79">
        <f t="shared" si="69"/>
        <v>303567.11</v>
      </c>
      <c r="DS49" s="212"/>
      <c r="DT49" s="78"/>
      <c r="DU49" s="80"/>
    </row>
    <row r="50" spans="1:125" x14ac:dyDescent="0.3">
      <c r="A50" s="20" t="s">
        <v>49</v>
      </c>
      <c r="B50" s="39" t="s">
        <v>18</v>
      </c>
      <c r="C50" s="78">
        <v>206762.2</v>
      </c>
      <c r="D50" s="79">
        <v>111077.83</v>
      </c>
      <c r="E50" s="79"/>
      <c r="F50" s="80"/>
      <c r="G50" s="98">
        <v>71</v>
      </c>
      <c r="H50" s="99">
        <v>10</v>
      </c>
      <c r="I50" s="105"/>
      <c r="J50" s="106"/>
      <c r="K50" s="75">
        <v>1008</v>
      </c>
      <c r="L50" s="76">
        <v>802</v>
      </c>
      <c r="M50" s="76"/>
      <c r="N50" s="77"/>
      <c r="O50" s="112">
        <f>C50/G50</f>
        <v>2912.1436619718311</v>
      </c>
      <c r="P50" s="113">
        <f>D50/H50</f>
        <v>11107.782999999999</v>
      </c>
      <c r="Q50" s="109"/>
      <c r="R50" s="123"/>
      <c r="S50" s="200">
        <f t="shared" si="70"/>
        <v>81</v>
      </c>
      <c r="T50" s="128">
        <f t="shared" si="71"/>
        <v>0</v>
      </c>
      <c r="U50" s="52">
        <f t="shared" si="72"/>
        <v>14019.926661971831</v>
      </c>
      <c r="V50" s="57">
        <f t="shared" si="73"/>
        <v>0</v>
      </c>
      <c r="W50" s="75"/>
      <c r="X50" s="66"/>
      <c r="Y50" s="78"/>
      <c r="Z50" s="77"/>
      <c r="AA50" s="49"/>
      <c r="AB50" s="9"/>
      <c r="AC50" s="49"/>
      <c r="AD50" s="9"/>
      <c r="AE50" s="189">
        <f t="shared" si="51"/>
        <v>14019.926661971831</v>
      </c>
      <c r="AF50" s="57">
        <f t="shared" si="52"/>
        <v>0</v>
      </c>
      <c r="AG50" s="64">
        <f t="shared" si="74"/>
        <v>1135614.0596197182</v>
      </c>
      <c r="AH50" s="80">
        <f t="shared" si="75"/>
        <v>0</v>
      </c>
      <c r="AI50" s="215">
        <f t="shared" si="53"/>
        <v>71</v>
      </c>
      <c r="AJ50" s="216">
        <f t="shared" si="54"/>
        <v>2912.1436619718311</v>
      </c>
      <c r="AK50" s="212"/>
      <c r="AL50" s="212"/>
      <c r="AM50" s="212"/>
      <c r="AN50" s="212"/>
      <c r="AO50" s="219">
        <f t="shared" si="55"/>
        <v>2912.1436619718311</v>
      </c>
      <c r="AP50" s="79">
        <f t="shared" si="56"/>
        <v>206762.2</v>
      </c>
      <c r="AQ50" s="78">
        <v>179191.6</v>
      </c>
      <c r="AR50" s="79">
        <v>109585.83</v>
      </c>
      <c r="AS50" s="79">
        <v>50017.599999999999</v>
      </c>
      <c r="AT50" s="80"/>
      <c r="AU50" s="204">
        <v>67</v>
      </c>
      <c r="AV50" s="105">
        <v>8</v>
      </c>
      <c r="AW50" s="94">
        <v>2</v>
      </c>
      <c r="AX50" s="101"/>
      <c r="AY50" s="75">
        <v>935</v>
      </c>
      <c r="AZ50" s="76">
        <v>586</v>
      </c>
      <c r="BA50" s="76">
        <v>415</v>
      </c>
      <c r="BB50" s="77"/>
      <c r="BC50" s="112">
        <f>AQ50/AU50</f>
        <v>2674.5014925373134</v>
      </c>
      <c r="BD50" s="113">
        <f>AR50/AV50</f>
        <v>13698.22875</v>
      </c>
      <c r="BE50" s="118">
        <f>AS50/AW50</f>
        <v>25008.799999999999</v>
      </c>
      <c r="BF50" s="119"/>
      <c r="BG50" s="200">
        <f t="shared" si="76"/>
        <v>75</v>
      </c>
      <c r="BH50" s="184">
        <f t="shared" si="77"/>
        <v>2</v>
      </c>
      <c r="BI50" s="52">
        <f t="shared" si="78"/>
        <v>16372.730242537313</v>
      </c>
      <c r="BJ50" s="126">
        <f t="shared" si="79"/>
        <v>25008.799999999999</v>
      </c>
      <c r="BK50" s="75"/>
      <c r="BL50" s="66"/>
      <c r="BM50" s="78"/>
      <c r="BN50" s="77"/>
      <c r="BO50" s="49"/>
      <c r="BP50" s="9"/>
      <c r="BQ50" s="49"/>
      <c r="BR50" s="9"/>
      <c r="BS50" s="189">
        <f t="shared" si="57"/>
        <v>16372.730242537313</v>
      </c>
      <c r="BT50" s="182">
        <f t="shared" si="58"/>
        <v>25008.799999999999</v>
      </c>
      <c r="BU50" s="64">
        <f t="shared" si="88"/>
        <v>1227954.7681902985</v>
      </c>
      <c r="BV50" s="80">
        <f t="shared" si="81"/>
        <v>50017.599999999999</v>
      </c>
      <c r="BW50" s="215">
        <f t="shared" si="59"/>
        <v>67</v>
      </c>
      <c r="BX50" s="216">
        <f t="shared" si="60"/>
        <v>2674.5014925373134</v>
      </c>
      <c r="BY50" s="212"/>
      <c r="BZ50" s="212"/>
      <c r="CA50" s="212"/>
      <c r="CB50" s="212"/>
      <c r="CC50" s="219">
        <f t="shared" si="61"/>
        <v>2674.5014925373134</v>
      </c>
      <c r="CD50" s="79">
        <f t="shared" si="62"/>
        <v>179191.6</v>
      </c>
      <c r="CE50" s="78">
        <v>186031.7</v>
      </c>
      <c r="CF50" s="79">
        <v>80925.19</v>
      </c>
      <c r="CG50" s="79">
        <v>34698.5</v>
      </c>
      <c r="CH50" s="80"/>
      <c r="CI50" s="75">
        <v>68</v>
      </c>
      <c r="CJ50" s="76">
        <v>9</v>
      </c>
      <c r="CK50" s="76">
        <v>1</v>
      </c>
      <c r="CL50" s="77"/>
      <c r="CM50" s="75">
        <v>961</v>
      </c>
      <c r="CN50" s="76">
        <v>480</v>
      </c>
      <c r="CO50" s="76">
        <v>200</v>
      </c>
      <c r="CP50" s="77"/>
      <c r="CQ50" s="78">
        <f>CE50/CI50</f>
        <v>2735.7602941176474</v>
      </c>
      <c r="CR50" s="79">
        <f>CF50/CJ50</f>
        <v>8991.6877777777772</v>
      </c>
      <c r="CS50" s="79">
        <f>CG50/CK50</f>
        <v>34698.5</v>
      </c>
      <c r="CT50" s="80"/>
      <c r="CU50" s="200">
        <f t="shared" si="82"/>
        <v>77</v>
      </c>
      <c r="CV50" s="184">
        <f t="shared" si="83"/>
        <v>1</v>
      </c>
      <c r="CW50" s="52">
        <f t="shared" si="84"/>
        <v>11727.448071895426</v>
      </c>
      <c r="CX50" s="126">
        <f t="shared" si="85"/>
        <v>34698.5</v>
      </c>
      <c r="CY50" s="75"/>
      <c r="CZ50" s="66"/>
      <c r="DA50" s="78"/>
      <c r="DB50" s="77"/>
      <c r="DC50" s="49"/>
      <c r="DD50" s="9"/>
      <c r="DE50" s="49"/>
      <c r="DF50" s="9"/>
      <c r="DG50" s="189">
        <f t="shared" si="63"/>
        <v>11727.448071895426</v>
      </c>
      <c r="DH50" s="182">
        <f>IF(AND(CX50&gt;$DD$40,CX50&lt;$DF$40),CX50,0)</f>
        <v>34698.5</v>
      </c>
      <c r="DI50" s="64">
        <f t="shared" si="89"/>
        <v>903013.50153594778</v>
      </c>
      <c r="DJ50" s="80">
        <f t="shared" si="87"/>
        <v>34698.5</v>
      </c>
      <c r="DK50" s="215">
        <f t="shared" si="66"/>
        <v>68</v>
      </c>
      <c r="DL50" s="216">
        <f t="shared" si="67"/>
        <v>2735.7602941176474</v>
      </c>
      <c r="DM50" s="224"/>
      <c r="DN50" s="224"/>
      <c r="DO50" s="224"/>
      <c r="DP50" s="224"/>
      <c r="DQ50" s="219">
        <f t="shared" si="68"/>
        <v>2735.7602941176474</v>
      </c>
      <c r="DR50" s="79">
        <f t="shared" si="69"/>
        <v>186031.7</v>
      </c>
      <c r="DS50" s="212"/>
      <c r="DT50" s="78"/>
      <c r="DU50" s="80"/>
    </row>
    <row r="51" spans="1:125" x14ac:dyDescent="0.3">
      <c r="A51" s="20" t="s">
        <v>50</v>
      </c>
      <c r="B51" s="39" t="s">
        <v>19</v>
      </c>
      <c r="C51" s="55">
        <v>66575</v>
      </c>
      <c r="D51" s="79">
        <v>1876</v>
      </c>
      <c r="E51" s="79"/>
      <c r="F51" s="80"/>
      <c r="G51" s="98">
        <v>71</v>
      </c>
      <c r="H51" s="99">
        <v>2</v>
      </c>
      <c r="I51" s="105"/>
      <c r="J51" s="106"/>
      <c r="K51" s="58">
        <v>875</v>
      </c>
      <c r="L51" s="76">
        <v>150</v>
      </c>
      <c r="M51" s="76"/>
      <c r="N51" s="77"/>
      <c r="O51" s="112">
        <f>C51/G51</f>
        <v>937.67605633802816</v>
      </c>
      <c r="P51" s="113">
        <f>D51/H51</f>
        <v>938</v>
      </c>
      <c r="Q51" s="109"/>
      <c r="R51" s="123"/>
      <c r="S51" s="200">
        <f t="shared" si="70"/>
        <v>73</v>
      </c>
      <c r="T51" s="128">
        <f t="shared" si="71"/>
        <v>0</v>
      </c>
      <c r="U51" s="52">
        <f t="shared" si="72"/>
        <v>1875.676056338028</v>
      </c>
      <c r="V51" s="57">
        <f t="shared" si="73"/>
        <v>0</v>
      </c>
      <c r="W51" s="55"/>
      <c r="X51" s="66"/>
      <c r="Y51" s="78"/>
      <c r="Z51" s="62"/>
      <c r="AA51" s="55"/>
      <c r="AB51" s="65"/>
      <c r="AC51" s="5"/>
      <c r="AD51" s="65"/>
      <c r="AE51" s="189">
        <f t="shared" si="51"/>
        <v>1875.676056338028</v>
      </c>
      <c r="AF51" s="57">
        <f t="shared" si="52"/>
        <v>0</v>
      </c>
      <c r="AG51" s="64">
        <f t="shared" si="74"/>
        <v>136924.35211267605</v>
      </c>
      <c r="AH51" s="80">
        <f t="shared" si="75"/>
        <v>0</v>
      </c>
      <c r="AI51" s="215">
        <f t="shared" si="53"/>
        <v>71</v>
      </c>
      <c r="AJ51" s="216">
        <f t="shared" si="54"/>
        <v>937.67605633802816</v>
      </c>
      <c r="AK51" s="212"/>
      <c r="AL51" s="212"/>
      <c r="AM51" s="212"/>
      <c r="AN51" s="212"/>
      <c r="AO51" s="219">
        <f t="shared" si="55"/>
        <v>937.67605633802816</v>
      </c>
      <c r="AP51" s="79">
        <f t="shared" si="56"/>
        <v>66575</v>
      </c>
      <c r="AQ51" s="55">
        <v>91585</v>
      </c>
      <c r="AR51" s="79"/>
      <c r="AS51" s="79">
        <v>1189</v>
      </c>
      <c r="AT51" s="80"/>
      <c r="AU51" s="204">
        <v>77</v>
      </c>
      <c r="AV51" s="105"/>
      <c r="AW51" s="94">
        <v>1</v>
      </c>
      <c r="AX51" s="101"/>
      <c r="AY51" s="58">
        <v>950</v>
      </c>
      <c r="AZ51" s="76"/>
      <c r="BA51" s="76">
        <v>170</v>
      </c>
      <c r="BB51" s="77"/>
      <c r="BC51" s="112">
        <f>AQ51/AU51</f>
        <v>1189.4155844155844</v>
      </c>
      <c r="BD51" s="113"/>
      <c r="BE51" s="118">
        <f>AS51/AW51</f>
        <v>1189</v>
      </c>
      <c r="BF51" s="119"/>
      <c r="BG51" s="200">
        <f t="shared" si="76"/>
        <v>77</v>
      </c>
      <c r="BH51" s="184">
        <f t="shared" si="77"/>
        <v>1</v>
      </c>
      <c r="BI51" s="52">
        <f t="shared" si="78"/>
        <v>1189.4155844155844</v>
      </c>
      <c r="BJ51" s="126">
        <f t="shared" si="79"/>
        <v>1189</v>
      </c>
      <c r="BK51" s="55"/>
      <c r="BL51" s="66"/>
      <c r="BM51" s="78"/>
      <c r="BN51" s="62"/>
      <c r="BO51" s="55"/>
      <c r="BP51" s="65"/>
      <c r="BQ51" s="5"/>
      <c r="BR51" s="65"/>
      <c r="BS51" s="189">
        <f t="shared" si="57"/>
        <v>1189.4155844155844</v>
      </c>
      <c r="BT51" s="182">
        <f t="shared" si="58"/>
        <v>1189</v>
      </c>
      <c r="BU51" s="64">
        <f t="shared" si="88"/>
        <v>91585</v>
      </c>
      <c r="BV51" s="80">
        <f t="shared" si="81"/>
        <v>1189</v>
      </c>
      <c r="BW51" s="215">
        <f t="shared" si="59"/>
        <v>77</v>
      </c>
      <c r="BX51" s="216">
        <f t="shared" si="60"/>
        <v>1189.4155844155844</v>
      </c>
      <c r="BY51" s="212"/>
      <c r="BZ51" s="212"/>
      <c r="CA51" s="212"/>
      <c r="CB51" s="212"/>
      <c r="CC51" s="219">
        <f t="shared" si="61"/>
        <v>1189.4155844155844</v>
      </c>
      <c r="CD51" s="79">
        <f t="shared" si="62"/>
        <v>91585</v>
      </c>
      <c r="CE51" s="55">
        <v>52835</v>
      </c>
      <c r="CF51" s="79"/>
      <c r="CG51" s="79"/>
      <c r="CH51" s="80"/>
      <c r="CI51" s="58">
        <v>73</v>
      </c>
      <c r="CJ51" s="76"/>
      <c r="CK51" s="76"/>
      <c r="CL51" s="77"/>
      <c r="CM51" s="58">
        <v>865</v>
      </c>
      <c r="CN51" s="76"/>
      <c r="CO51" s="76"/>
      <c r="CP51" s="77"/>
      <c r="CQ51" s="55">
        <f>CE51/CI51</f>
        <v>723.76712328767121</v>
      </c>
      <c r="CR51" s="79"/>
      <c r="CS51" s="79"/>
      <c r="CT51" s="80"/>
      <c r="CU51" s="200">
        <f t="shared" si="82"/>
        <v>73</v>
      </c>
      <c r="CV51" s="128">
        <f t="shared" si="83"/>
        <v>0</v>
      </c>
      <c r="CW51" s="52">
        <f t="shared" si="84"/>
        <v>723.76712328767121</v>
      </c>
      <c r="CX51" s="57">
        <f t="shared" si="85"/>
        <v>0</v>
      </c>
      <c r="CY51" s="55"/>
      <c r="CZ51" s="66"/>
      <c r="DA51" s="78"/>
      <c r="DB51" s="62"/>
      <c r="DC51" s="55"/>
      <c r="DD51" s="65"/>
      <c r="DE51" s="5"/>
      <c r="DF51" s="65"/>
      <c r="DG51" s="189">
        <f t="shared" si="63"/>
        <v>723.76712328767121</v>
      </c>
      <c r="DH51" s="57">
        <f t="shared" si="64"/>
        <v>0</v>
      </c>
      <c r="DI51" s="64">
        <f t="shared" si="89"/>
        <v>52835</v>
      </c>
      <c r="DJ51" s="80">
        <f t="shared" si="87"/>
        <v>0</v>
      </c>
      <c r="DK51" s="215">
        <f t="shared" si="66"/>
        <v>73</v>
      </c>
      <c r="DL51" s="216">
        <f t="shared" si="67"/>
        <v>723.76712328767121</v>
      </c>
      <c r="DM51" s="224"/>
      <c r="DN51" s="224"/>
      <c r="DO51" s="224"/>
      <c r="DP51" s="224"/>
      <c r="DQ51" s="219">
        <f t="shared" si="68"/>
        <v>723.76712328767121</v>
      </c>
      <c r="DR51" s="79">
        <f t="shared" si="69"/>
        <v>52835</v>
      </c>
      <c r="DS51" s="212"/>
      <c r="DT51" s="78"/>
      <c r="DU51" s="80"/>
    </row>
    <row r="52" spans="1:125" ht="28.8" x14ac:dyDescent="0.3">
      <c r="A52" s="20" t="s">
        <v>51</v>
      </c>
      <c r="B52" s="235" t="s">
        <v>20</v>
      </c>
      <c r="C52" s="78">
        <v>6280949.2699999996</v>
      </c>
      <c r="D52" s="79">
        <v>2400362.7799999998</v>
      </c>
      <c r="E52" s="79">
        <v>360054.42</v>
      </c>
      <c r="F52" s="80"/>
      <c r="G52" s="98">
        <v>157</v>
      </c>
      <c r="H52" s="99">
        <v>60</v>
      </c>
      <c r="I52" s="105">
        <v>9</v>
      </c>
      <c r="J52" s="106"/>
      <c r="K52" s="75">
        <v>2017.09</v>
      </c>
      <c r="L52" s="76">
        <v>4985.8999999999996</v>
      </c>
      <c r="M52" s="76">
        <v>3836.84</v>
      </c>
      <c r="N52" s="77"/>
      <c r="O52" s="112">
        <f t="shared" ref="O52:O58" si="90">C52/G52</f>
        <v>40006.046305732481</v>
      </c>
      <c r="P52" s="113">
        <f t="shared" ref="P52" si="91">D52/H52</f>
        <v>40006.046333333332</v>
      </c>
      <c r="Q52" s="109">
        <f t="shared" ref="Q52" si="92">E52/I52</f>
        <v>40006.046666666662</v>
      </c>
      <c r="R52" s="123"/>
      <c r="S52" s="200">
        <f t="shared" si="70"/>
        <v>217</v>
      </c>
      <c r="T52" s="184">
        <f t="shared" si="71"/>
        <v>9</v>
      </c>
      <c r="U52" s="52">
        <f t="shared" si="72"/>
        <v>80012.092639065813</v>
      </c>
      <c r="V52" s="126">
        <f t="shared" si="73"/>
        <v>40006.046666666662</v>
      </c>
      <c r="W52" s="75"/>
      <c r="X52" s="66"/>
      <c r="Y52" s="78"/>
      <c r="Z52" s="77"/>
      <c r="AA52" s="49"/>
      <c r="AB52" s="9"/>
      <c r="AC52" s="49"/>
      <c r="AD52" s="9"/>
      <c r="AE52" s="189">
        <f t="shared" si="51"/>
        <v>80012.092639065813</v>
      </c>
      <c r="AF52" s="182">
        <f t="shared" si="52"/>
        <v>40006.046666666662</v>
      </c>
      <c r="AG52" s="64">
        <f t="shared" si="74"/>
        <v>17362624.102677282</v>
      </c>
      <c r="AH52" s="80">
        <f t="shared" si="75"/>
        <v>360054.41999999993</v>
      </c>
      <c r="AI52" s="59">
        <f t="shared" si="53"/>
        <v>157</v>
      </c>
      <c r="AJ52" s="56">
        <f t="shared" si="54"/>
        <v>40006.046305732481</v>
      </c>
      <c r="AK52" s="212"/>
      <c r="AL52" s="212"/>
      <c r="AM52" s="212"/>
      <c r="AN52" s="212"/>
      <c r="AO52" s="56">
        <f t="shared" si="55"/>
        <v>0</v>
      </c>
      <c r="AP52" s="79">
        <f t="shared" si="56"/>
        <v>0</v>
      </c>
      <c r="AQ52" s="78">
        <v>1806505.43</v>
      </c>
      <c r="AR52" s="79">
        <v>711923.32</v>
      </c>
      <c r="AS52" s="79">
        <v>169081.79</v>
      </c>
      <c r="AT52" s="80"/>
      <c r="AU52" s="204">
        <v>203</v>
      </c>
      <c r="AV52" s="105">
        <v>83</v>
      </c>
      <c r="AW52" s="94">
        <v>19</v>
      </c>
      <c r="AX52" s="101"/>
      <c r="AY52" s="75">
        <v>2463.9499999999998</v>
      </c>
      <c r="AZ52" s="76">
        <v>4369.84</v>
      </c>
      <c r="BA52" s="76">
        <v>8073</v>
      </c>
      <c r="BB52" s="77"/>
      <c r="BC52" s="112">
        <f>AQ52/AU52</f>
        <v>8899.0415270935955</v>
      </c>
      <c r="BD52" s="113">
        <v>8899.0400000000009</v>
      </c>
      <c r="BE52" s="118">
        <v>8899.0400000000009</v>
      </c>
      <c r="BF52" s="119"/>
      <c r="BG52" s="200">
        <f t="shared" si="76"/>
        <v>286</v>
      </c>
      <c r="BH52" s="184">
        <f t="shared" si="77"/>
        <v>19</v>
      </c>
      <c r="BI52" s="52">
        <f t="shared" si="78"/>
        <v>17798.081527093596</v>
      </c>
      <c r="BJ52" s="126">
        <f t="shared" si="79"/>
        <v>8899.0400000000009</v>
      </c>
      <c r="BK52" s="75"/>
      <c r="BL52" s="66"/>
      <c r="BM52" s="78"/>
      <c r="BN52" s="77"/>
      <c r="BO52" s="49"/>
      <c r="BP52" s="9"/>
      <c r="BQ52" s="49"/>
      <c r="BR52" s="9"/>
      <c r="BS52" s="189">
        <f t="shared" si="57"/>
        <v>17798.081527093596</v>
      </c>
      <c r="BT52" s="182">
        <f t="shared" si="58"/>
        <v>8899.0400000000009</v>
      </c>
      <c r="BU52" s="64">
        <f t="shared" si="88"/>
        <v>5090251.316748769</v>
      </c>
      <c r="BV52" s="80">
        <f t="shared" si="81"/>
        <v>169081.76</v>
      </c>
      <c r="BW52" s="59">
        <f t="shared" si="59"/>
        <v>203</v>
      </c>
      <c r="BX52" s="56">
        <f t="shared" si="60"/>
        <v>8899.0415270935955</v>
      </c>
      <c r="BY52" s="212"/>
      <c r="BZ52" s="212"/>
      <c r="CA52" s="212"/>
      <c r="CB52" s="212"/>
      <c r="CC52" s="56">
        <f t="shared" si="61"/>
        <v>8899.0415270935955</v>
      </c>
      <c r="CD52" s="79">
        <f t="shared" si="62"/>
        <v>1806505.43</v>
      </c>
      <c r="CE52" s="78">
        <v>2644993.0699999998</v>
      </c>
      <c r="CF52" s="79">
        <v>1080038.8400000001</v>
      </c>
      <c r="CG52" s="79">
        <v>176332.87</v>
      </c>
      <c r="CH52" s="80"/>
      <c r="CI52" s="75">
        <v>120</v>
      </c>
      <c r="CJ52" s="76">
        <v>49</v>
      </c>
      <c r="CK52" s="76">
        <v>8</v>
      </c>
      <c r="CL52" s="77"/>
      <c r="CM52" s="75">
        <v>1570.2</v>
      </c>
      <c r="CN52" s="76">
        <v>3752</v>
      </c>
      <c r="CO52" s="76">
        <v>3877</v>
      </c>
      <c r="CP52" s="77"/>
      <c r="CQ52" s="78">
        <f t="shared" ref="CQ52" si="93">CE52/CI52</f>
        <v>22041.608916666664</v>
      </c>
      <c r="CR52" s="79">
        <f>CF52/CJ52</f>
        <v>22041.608979591838</v>
      </c>
      <c r="CS52" s="79">
        <f>CG52/CK52</f>
        <v>22041.608749999999</v>
      </c>
      <c r="CT52" s="80"/>
      <c r="CU52" s="200">
        <f t="shared" si="82"/>
        <v>169</v>
      </c>
      <c r="CV52" s="184">
        <f t="shared" si="83"/>
        <v>8</v>
      </c>
      <c r="CW52" s="52">
        <f t="shared" si="84"/>
        <v>44083.217896258502</v>
      </c>
      <c r="CX52" s="126">
        <f t="shared" si="85"/>
        <v>22041.608749999999</v>
      </c>
      <c r="CY52" s="75"/>
      <c r="CZ52" s="66"/>
      <c r="DA52" s="78"/>
      <c r="DB52" s="77"/>
      <c r="DC52" s="49"/>
      <c r="DD52" s="9"/>
      <c r="DE52" s="49"/>
      <c r="DF52" s="9"/>
      <c r="DG52" s="189">
        <f t="shared" si="63"/>
        <v>44083.217896258502</v>
      </c>
      <c r="DH52" s="182">
        <f t="shared" si="64"/>
        <v>22041.608749999999</v>
      </c>
      <c r="DI52" s="64">
        <f t="shared" si="89"/>
        <v>7450063.8244676869</v>
      </c>
      <c r="DJ52" s="80">
        <f>DH52*CV52</f>
        <v>176332.87</v>
      </c>
      <c r="DK52" s="59">
        <f t="shared" si="66"/>
        <v>120</v>
      </c>
      <c r="DL52" s="56">
        <f t="shared" si="67"/>
        <v>22041.608916666664</v>
      </c>
      <c r="DM52" s="224"/>
      <c r="DN52" s="224"/>
      <c r="DO52" s="224"/>
      <c r="DP52" s="224"/>
      <c r="DQ52" s="56">
        <f t="shared" si="68"/>
        <v>0</v>
      </c>
      <c r="DR52" s="79">
        <f t="shared" si="69"/>
        <v>0</v>
      </c>
      <c r="DS52" s="212"/>
      <c r="DT52" s="78"/>
      <c r="DU52" s="80"/>
    </row>
    <row r="53" spans="1:125" ht="28.8" x14ac:dyDescent="0.3">
      <c r="A53" s="20" t="s">
        <v>52</v>
      </c>
      <c r="B53" s="39" t="s">
        <v>21</v>
      </c>
      <c r="C53" s="78">
        <v>309016</v>
      </c>
      <c r="D53" s="79">
        <v>36594</v>
      </c>
      <c r="E53" s="79"/>
      <c r="F53" s="80"/>
      <c r="G53" s="98">
        <v>76</v>
      </c>
      <c r="H53" s="99">
        <v>9</v>
      </c>
      <c r="I53" s="105"/>
      <c r="J53" s="106"/>
      <c r="K53" s="75">
        <v>851</v>
      </c>
      <c r="L53" s="76">
        <v>449</v>
      </c>
      <c r="M53" s="76"/>
      <c r="N53" s="77"/>
      <c r="O53" s="112">
        <f t="shared" si="90"/>
        <v>4066</v>
      </c>
      <c r="P53" s="113">
        <f>D53/H53</f>
        <v>4066</v>
      </c>
      <c r="Q53" s="109"/>
      <c r="R53" s="123"/>
      <c r="S53" s="200">
        <f t="shared" si="70"/>
        <v>85</v>
      </c>
      <c r="T53" s="128">
        <f t="shared" si="71"/>
        <v>0</v>
      </c>
      <c r="U53" s="52">
        <f t="shared" si="72"/>
        <v>8132</v>
      </c>
      <c r="V53" s="57">
        <f t="shared" si="73"/>
        <v>0</v>
      </c>
      <c r="W53" s="78"/>
      <c r="X53" s="66"/>
      <c r="Y53" s="78"/>
      <c r="Z53" s="51"/>
      <c r="AA53" s="78"/>
      <c r="AB53" s="9"/>
      <c r="AC53" s="49"/>
      <c r="AD53" s="9"/>
      <c r="AE53" s="189">
        <f t="shared" si="51"/>
        <v>8132</v>
      </c>
      <c r="AF53" s="57">
        <f t="shared" si="52"/>
        <v>0</v>
      </c>
      <c r="AG53" s="64">
        <f t="shared" si="74"/>
        <v>691220</v>
      </c>
      <c r="AH53" s="80">
        <f t="shared" si="75"/>
        <v>0</v>
      </c>
      <c r="AI53" s="215">
        <f t="shared" si="53"/>
        <v>76</v>
      </c>
      <c r="AJ53" s="216">
        <f t="shared" si="54"/>
        <v>4066</v>
      </c>
      <c r="AK53" s="212"/>
      <c r="AL53" s="212"/>
      <c r="AM53" s="212"/>
      <c r="AN53" s="212"/>
      <c r="AO53" s="219">
        <f t="shared" si="55"/>
        <v>4066</v>
      </c>
      <c r="AP53" s="79">
        <f t="shared" si="56"/>
        <v>309016</v>
      </c>
      <c r="AQ53" s="78">
        <v>313082</v>
      </c>
      <c r="AR53" s="79">
        <v>28462</v>
      </c>
      <c r="AS53" s="79">
        <v>4066</v>
      </c>
      <c r="AT53" s="80"/>
      <c r="AU53" s="204">
        <v>77</v>
      </c>
      <c r="AV53" s="105">
        <v>7</v>
      </c>
      <c r="AW53" s="94">
        <v>1</v>
      </c>
      <c r="AX53" s="101"/>
      <c r="AY53" s="75">
        <v>720</v>
      </c>
      <c r="AZ53" s="76">
        <v>410</v>
      </c>
      <c r="BA53" s="76">
        <v>500</v>
      </c>
      <c r="BB53" s="77"/>
      <c r="BC53" s="112">
        <f t="shared" ref="BC53:BE54" si="94">AQ53/AU53</f>
        <v>4066</v>
      </c>
      <c r="BD53" s="113">
        <f t="shared" si="94"/>
        <v>4066</v>
      </c>
      <c r="BE53" s="118">
        <f t="shared" si="94"/>
        <v>4066</v>
      </c>
      <c r="BF53" s="119"/>
      <c r="BG53" s="200">
        <f t="shared" si="76"/>
        <v>84</v>
      </c>
      <c r="BH53" s="184">
        <f t="shared" si="77"/>
        <v>1</v>
      </c>
      <c r="BI53" s="52">
        <f t="shared" si="78"/>
        <v>8132</v>
      </c>
      <c r="BJ53" s="126">
        <f t="shared" si="79"/>
        <v>4066</v>
      </c>
      <c r="BK53" s="78"/>
      <c r="BL53" s="66"/>
      <c r="BM53" s="78"/>
      <c r="BN53" s="51"/>
      <c r="BO53" s="78"/>
      <c r="BP53" s="9"/>
      <c r="BQ53" s="49"/>
      <c r="BR53" s="9"/>
      <c r="BS53" s="189">
        <f t="shared" si="57"/>
        <v>8132</v>
      </c>
      <c r="BT53" s="182">
        <f t="shared" si="58"/>
        <v>4066</v>
      </c>
      <c r="BU53" s="64">
        <f t="shared" si="88"/>
        <v>683088</v>
      </c>
      <c r="BV53" s="80">
        <f t="shared" si="81"/>
        <v>4066</v>
      </c>
      <c r="BW53" s="215">
        <f t="shared" si="59"/>
        <v>77</v>
      </c>
      <c r="BX53" s="216">
        <f t="shared" si="60"/>
        <v>4066</v>
      </c>
      <c r="BY53" s="212"/>
      <c r="BZ53" s="212"/>
      <c r="CA53" s="212"/>
      <c r="CB53" s="212"/>
      <c r="CC53" s="219">
        <f t="shared" si="61"/>
        <v>4066</v>
      </c>
      <c r="CD53" s="79">
        <f t="shared" si="62"/>
        <v>313082</v>
      </c>
      <c r="CE53" s="78">
        <v>236400</v>
      </c>
      <c r="CF53" s="79"/>
      <c r="CG53" s="79"/>
      <c r="CH53" s="80"/>
      <c r="CI53" s="75">
        <v>48</v>
      </c>
      <c r="CJ53" s="76"/>
      <c r="CK53" s="76"/>
      <c r="CL53" s="77"/>
      <c r="CM53" s="75">
        <v>424</v>
      </c>
      <c r="CN53" s="76"/>
      <c r="CO53" s="76"/>
      <c r="CP53" s="77"/>
      <c r="CQ53" s="78">
        <f t="shared" ref="CQ53:CQ58" si="95">CE53/CI53</f>
        <v>4925</v>
      </c>
      <c r="CR53" s="79"/>
      <c r="CS53" s="79"/>
      <c r="CT53" s="80"/>
      <c r="CU53" s="200">
        <f t="shared" si="82"/>
        <v>48</v>
      </c>
      <c r="CV53" s="128">
        <f t="shared" si="83"/>
        <v>0</v>
      </c>
      <c r="CW53" s="52">
        <f t="shared" si="84"/>
        <v>4925</v>
      </c>
      <c r="CX53" s="57">
        <f t="shared" si="85"/>
        <v>0</v>
      </c>
      <c r="CY53" s="78"/>
      <c r="CZ53" s="66"/>
      <c r="DA53" s="78"/>
      <c r="DB53" s="51"/>
      <c r="DC53" s="78"/>
      <c r="DD53" s="9"/>
      <c r="DE53" s="49"/>
      <c r="DF53" s="9"/>
      <c r="DG53" s="189">
        <f t="shared" si="63"/>
        <v>4925</v>
      </c>
      <c r="DH53" s="57">
        <f t="shared" si="64"/>
        <v>0</v>
      </c>
      <c r="DI53" s="64">
        <f t="shared" si="89"/>
        <v>236400</v>
      </c>
      <c r="DJ53" s="80">
        <f t="shared" ref="DJ53:DJ63" si="96">DH53*CV53</f>
        <v>0</v>
      </c>
      <c r="DK53" s="215">
        <f t="shared" si="66"/>
        <v>48</v>
      </c>
      <c r="DL53" s="216">
        <f t="shared" si="67"/>
        <v>4925</v>
      </c>
      <c r="DM53" s="224"/>
      <c r="DN53" s="224"/>
      <c r="DO53" s="224"/>
      <c r="DP53" s="224"/>
      <c r="DQ53" s="219">
        <f t="shared" si="68"/>
        <v>4925</v>
      </c>
      <c r="DR53" s="79">
        <f t="shared" si="69"/>
        <v>236400</v>
      </c>
      <c r="DS53" s="212"/>
      <c r="DT53" s="78"/>
      <c r="DU53" s="80"/>
    </row>
    <row r="54" spans="1:125" x14ac:dyDescent="0.3">
      <c r="A54" s="20" t="s">
        <v>53</v>
      </c>
      <c r="B54" s="39" t="s">
        <v>22</v>
      </c>
      <c r="C54" s="78">
        <v>1409400</v>
      </c>
      <c r="D54" s="79">
        <v>247950</v>
      </c>
      <c r="E54" s="79">
        <v>52200</v>
      </c>
      <c r="F54" s="80"/>
      <c r="G54" s="98">
        <v>108</v>
      </c>
      <c r="H54" s="99">
        <v>19</v>
      </c>
      <c r="I54" s="105">
        <v>4</v>
      </c>
      <c r="J54" s="106"/>
      <c r="K54" s="75">
        <v>1556</v>
      </c>
      <c r="L54" s="76">
        <v>868</v>
      </c>
      <c r="M54" s="76">
        <v>984</v>
      </c>
      <c r="N54" s="77"/>
      <c r="O54" s="112">
        <f t="shared" si="90"/>
        <v>13050</v>
      </c>
      <c r="P54" s="113">
        <f>D54/H54</f>
        <v>13050</v>
      </c>
      <c r="Q54" s="109">
        <f>E54/I54</f>
        <v>13050</v>
      </c>
      <c r="R54" s="123"/>
      <c r="S54" s="200">
        <f t="shared" si="70"/>
        <v>127</v>
      </c>
      <c r="T54" s="184">
        <f t="shared" si="71"/>
        <v>4</v>
      </c>
      <c r="U54" s="52">
        <f t="shared" si="72"/>
        <v>26100</v>
      </c>
      <c r="V54" s="126">
        <f t="shared" si="73"/>
        <v>13050</v>
      </c>
      <c r="W54" s="78"/>
      <c r="X54" s="66"/>
      <c r="Y54" s="78"/>
      <c r="Z54" s="51"/>
      <c r="AA54" s="78"/>
      <c r="AB54" s="9"/>
      <c r="AC54" s="49"/>
      <c r="AD54" s="9"/>
      <c r="AE54" s="189">
        <f t="shared" si="51"/>
        <v>26100</v>
      </c>
      <c r="AF54" s="182">
        <f t="shared" si="52"/>
        <v>13050</v>
      </c>
      <c r="AG54" s="64">
        <f t="shared" si="74"/>
        <v>3314700</v>
      </c>
      <c r="AH54" s="80">
        <f t="shared" si="75"/>
        <v>52200</v>
      </c>
      <c r="AI54" s="59">
        <f t="shared" si="53"/>
        <v>108</v>
      </c>
      <c r="AJ54" s="216">
        <f t="shared" si="54"/>
        <v>13050</v>
      </c>
      <c r="AK54" s="212"/>
      <c r="AL54" s="212"/>
      <c r="AM54" s="212"/>
      <c r="AN54" s="212"/>
      <c r="AO54" s="56">
        <f t="shared" si="55"/>
        <v>0</v>
      </c>
      <c r="AP54" s="79">
        <f t="shared" si="56"/>
        <v>0</v>
      </c>
      <c r="AQ54" s="78">
        <v>1288790.5</v>
      </c>
      <c r="AR54" s="79">
        <v>132865</v>
      </c>
      <c r="AS54" s="79">
        <v>26573</v>
      </c>
      <c r="AT54" s="80"/>
      <c r="AU54" s="204">
        <v>97</v>
      </c>
      <c r="AV54" s="105">
        <v>10</v>
      </c>
      <c r="AW54" s="94">
        <v>2</v>
      </c>
      <c r="AX54" s="101"/>
      <c r="AY54" s="75">
        <v>1410</v>
      </c>
      <c r="AZ54" s="76">
        <v>721</v>
      </c>
      <c r="BA54" s="76">
        <v>440</v>
      </c>
      <c r="BB54" s="77"/>
      <c r="BC54" s="112">
        <f t="shared" si="94"/>
        <v>13286.5</v>
      </c>
      <c r="BD54" s="113">
        <f t="shared" si="94"/>
        <v>13286.5</v>
      </c>
      <c r="BE54" s="118">
        <f t="shared" si="94"/>
        <v>13286.5</v>
      </c>
      <c r="BF54" s="119"/>
      <c r="BG54" s="200">
        <f t="shared" si="76"/>
        <v>107</v>
      </c>
      <c r="BH54" s="184">
        <f t="shared" si="77"/>
        <v>2</v>
      </c>
      <c r="BI54" s="52">
        <f t="shared" si="78"/>
        <v>26573</v>
      </c>
      <c r="BJ54" s="126">
        <f t="shared" si="79"/>
        <v>13286.5</v>
      </c>
      <c r="BK54" s="78"/>
      <c r="BL54" s="66"/>
      <c r="BM54" s="78"/>
      <c r="BN54" s="51"/>
      <c r="BO54" s="78"/>
      <c r="BP54" s="9"/>
      <c r="BQ54" s="49"/>
      <c r="BR54" s="9"/>
      <c r="BS54" s="189">
        <f t="shared" si="57"/>
        <v>26573</v>
      </c>
      <c r="BT54" s="182">
        <f t="shared" si="58"/>
        <v>13286.5</v>
      </c>
      <c r="BU54" s="64">
        <f t="shared" si="88"/>
        <v>2843311</v>
      </c>
      <c r="BV54" s="80">
        <f t="shared" si="81"/>
        <v>26573</v>
      </c>
      <c r="BW54" s="59">
        <f t="shared" si="59"/>
        <v>97</v>
      </c>
      <c r="BX54" s="216">
        <f t="shared" si="60"/>
        <v>13286.5</v>
      </c>
      <c r="BY54" s="212"/>
      <c r="BZ54" s="212"/>
      <c r="CA54" s="212"/>
      <c r="CB54" s="212"/>
      <c r="CC54" s="56">
        <f t="shared" si="61"/>
        <v>13286.5</v>
      </c>
      <c r="CD54" s="79">
        <f t="shared" si="62"/>
        <v>1288790.5</v>
      </c>
      <c r="CE54" s="78">
        <v>1692400</v>
      </c>
      <c r="CF54" s="79">
        <v>135392</v>
      </c>
      <c r="CG54" s="79">
        <v>13539.2</v>
      </c>
      <c r="CH54" s="80"/>
      <c r="CI54" s="75">
        <v>125</v>
      </c>
      <c r="CJ54" s="76">
        <v>10</v>
      </c>
      <c r="CK54" s="76">
        <v>1</v>
      </c>
      <c r="CL54" s="77"/>
      <c r="CM54" s="75">
        <v>1739</v>
      </c>
      <c r="CN54" s="76">
        <v>605</v>
      </c>
      <c r="CO54" s="76">
        <v>400</v>
      </c>
      <c r="CP54" s="77"/>
      <c r="CQ54" s="78">
        <f t="shared" si="95"/>
        <v>13539.2</v>
      </c>
      <c r="CR54" s="79">
        <f>CF54/CJ54</f>
        <v>13539.2</v>
      </c>
      <c r="CS54" s="79">
        <f>CG54/CK54</f>
        <v>13539.2</v>
      </c>
      <c r="CT54" s="80"/>
      <c r="CU54" s="200">
        <f t="shared" si="82"/>
        <v>135</v>
      </c>
      <c r="CV54" s="184">
        <f t="shared" si="83"/>
        <v>1</v>
      </c>
      <c r="CW54" s="52">
        <f t="shared" si="84"/>
        <v>27078.400000000001</v>
      </c>
      <c r="CX54" s="126">
        <f t="shared" si="85"/>
        <v>13539.2</v>
      </c>
      <c r="CY54" s="78"/>
      <c r="CZ54" s="66"/>
      <c r="DA54" s="78"/>
      <c r="DB54" s="51"/>
      <c r="DC54" s="78"/>
      <c r="DD54" s="9"/>
      <c r="DE54" s="49"/>
      <c r="DF54" s="9"/>
      <c r="DG54" s="189">
        <f t="shared" si="63"/>
        <v>27078.400000000001</v>
      </c>
      <c r="DH54" s="182">
        <f t="shared" si="64"/>
        <v>13539.2</v>
      </c>
      <c r="DI54" s="64">
        <f t="shared" si="89"/>
        <v>3655584</v>
      </c>
      <c r="DJ54" s="80">
        <f t="shared" si="96"/>
        <v>13539.2</v>
      </c>
      <c r="DK54" s="59">
        <f t="shared" si="66"/>
        <v>125</v>
      </c>
      <c r="DL54" s="216">
        <f t="shared" si="67"/>
        <v>13539.2</v>
      </c>
      <c r="DM54" s="224"/>
      <c r="DN54" s="224"/>
      <c r="DO54" s="224"/>
      <c r="DP54" s="224"/>
      <c r="DQ54" s="56">
        <f t="shared" si="68"/>
        <v>0</v>
      </c>
      <c r="DR54" s="79">
        <f t="shared" si="69"/>
        <v>0</v>
      </c>
      <c r="DS54" s="212"/>
      <c r="DT54" s="78"/>
      <c r="DU54" s="80"/>
    </row>
    <row r="55" spans="1:125" x14ac:dyDescent="0.3">
      <c r="A55" s="20" t="s">
        <v>54</v>
      </c>
      <c r="B55" s="83" t="s">
        <v>23</v>
      </c>
      <c r="C55" s="78">
        <v>4803527.3</v>
      </c>
      <c r="D55" s="79">
        <v>0</v>
      </c>
      <c r="E55" s="79">
        <v>0</v>
      </c>
      <c r="F55" s="80">
        <v>0</v>
      </c>
      <c r="G55" s="98">
        <v>296</v>
      </c>
      <c r="H55" s="99">
        <v>0</v>
      </c>
      <c r="I55" s="105">
        <v>0</v>
      </c>
      <c r="J55" s="106">
        <v>0</v>
      </c>
      <c r="K55" s="75">
        <v>6305</v>
      </c>
      <c r="L55" s="76">
        <v>0</v>
      </c>
      <c r="M55" s="76">
        <v>0</v>
      </c>
      <c r="N55" s="77">
        <v>0</v>
      </c>
      <c r="O55" s="112">
        <f t="shared" si="90"/>
        <v>16228.132770270269</v>
      </c>
      <c r="P55" s="113">
        <v>0</v>
      </c>
      <c r="Q55" s="109">
        <v>0</v>
      </c>
      <c r="R55" s="123">
        <v>0</v>
      </c>
      <c r="S55" s="200">
        <f t="shared" si="70"/>
        <v>296</v>
      </c>
      <c r="T55" s="128">
        <f t="shared" si="71"/>
        <v>0</v>
      </c>
      <c r="U55" s="52">
        <f t="shared" si="72"/>
        <v>16228.132770270269</v>
      </c>
      <c r="V55" s="57">
        <f t="shared" si="73"/>
        <v>0</v>
      </c>
      <c r="W55" s="75"/>
      <c r="X55" s="66"/>
      <c r="Y55" s="78"/>
      <c r="Z55" s="77"/>
      <c r="AA55" s="49"/>
      <c r="AB55" s="9"/>
      <c r="AC55" s="49"/>
      <c r="AD55" s="9"/>
      <c r="AE55" s="189">
        <f t="shared" si="51"/>
        <v>16228.132770270269</v>
      </c>
      <c r="AF55" s="57">
        <f t="shared" si="52"/>
        <v>0</v>
      </c>
      <c r="AG55" s="64">
        <f t="shared" si="74"/>
        <v>4803527.3</v>
      </c>
      <c r="AH55" s="80">
        <f t="shared" si="75"/>
        <v>0</v>
      </c>
      <c r="AI55" s="59">
        <f t="shared" si="53"/>
        <v>296</v>
      </c>
      <c r="AJ55" s="216">
        <f t="shared" si="54"/>
        <v>16228.132770270269</v>
      </c>
      <c r="AK55" s="212"/>
      <c r="AL55" s="212"/>
      <c r="AM55" s="212"/>
      <c r="AN55" s="212"/>
      <c r="AO55" s="56">
        <f t="shared" si="55"/>
        <v>0</v>
      </c>
      <c r="AP55" s="79">
        <f t="shared" si="56"/>
        <v>0</v>
      </c>
      <c r="AQ55" s="78">
        <v>4123498.52</v>
      </c>
      <c r="AR55" s="79">
        <v>0</v>
      </c>
      <c r="AS55" s="79">
        <v>0</v>
      </c>
      <c r="AT55" s="80">
        <v>0</v>
      </c>
      <c r="AU55" s="204">
        <v>305</v>
      </c>
      <c r="AV55" s="105">
        <v>0</v>
      </c>
      <c r="AW55" s="94">
        <v>0</v>
      </c>
      <c r="AX55" s="101">
        <v>0</v>
      </c>
      <c r="AY55" s="75">
        <v>5878.2</v>
      </c>
      <c r="AZ55" s="76">
        <v>0</v>
      </c>
      <c r="BA55" s="76">
        <v>0</v>
      </c>
      <c r="BB55" s="77">
        <v>0</v>
      </c>
      <c r="BC55" s="112">
        <f>AQ55/AU55</f>
        <v>13519.667278688525</v>
      </c>
      <c r="BD55" s="113">
        <v>0</v>
      </c>
      <c r="BE55" s="118">
        <v>0</v>
      </c>
      <c r="BF55" s="119">
        <v>0</v>
      </c>
      <c r="BG55" s="200">
        <f t="shared" si="76"/>
        <v>305</v>
      </c>
      <c r="BH55" s="128">
        <f t="shared" si="77"/>
        <v>0</v>
      </c>
      <c r="BI55" s="52">
        <f t="shared" si="78"/>
        <v>13519.667278688525</v>
      </c>
      <c r="BJ55" s="57">
        <f t="shared" si="79"/>
        <v>0</v>
      </c>
      <c r="BK55" s="75"/>
      <c r="BL55" s="66"/>
      <c r="BM55" s="78"/>
      <c r="BN55" s="77"/>
      <c r="BO55" s="49"/>
      <c r="BP55" s="9"/>
      <c r="BQ55" s="49"/>
      <c r="BR55" s="9"/>
      <c r="BS55" s="189">
        <f t="shared" si="57"/>
        <v>13519.667278688525</v>
      </c>
      <c r="BT55" s="57">
        <f t="shared" si="58"/>
        <v>0</v>
      </c>
      <c r="BU55" s="64">
        <f t="shared" si="88"/>
        <v>4123498.52</v>
      </c>
      <c r="BV55" s="80">
        <f t="shared" si="81"/>
        <v>0</v>
      </c>
      <c r="BW55" s="59">
        <f t="shared" si="59"/>
        <v>305</v>
      </c>
      <c r="BX55" s="216">
        <f t="shared" si="60"/>
        <v>13519.667278688525</v>
      </c>
      <c r="BY55" s="212"/>
      <c r="BZ55" s="212"/>
      <c r="CA55" s="212"/>
      <c r="CB55" s="212"/>
      <c r="CC55" s="56">
        <f t="shared" si="61"/>
        <v>0</v>
      </c>
      <c r="CD55" s="79">
        <f t="shared" si="62"/>
        <v>0</v>
      </c>
      <c r="CE55" s="78">
        <v>6981613.5099999998</v>
      </c>
      <c r="CF55" s="79">
        <v>0</v>
      </c>
      <c r="CG55" s="79">
        <v>0</v>
      </c>
      <c r="CH55" s="80">
        <v>0</v>
      </c>
      <c r="CI55" s="75">
        <v>426</v>
      </c>
      <c r="CJ55" s="76">
        <v>0</v>
      </c>
      <c r="CK55" s="76">
        <v>0</v>
      </c>
      <c r="CL55" s="77">
        <v>0</v>
      </c>
      <c r="CM55" s="75">
        <v>9184.4</v>
      </c>
      <c r="CN55" s="76">
        <v>0</v>
      </c>
      <c r="CO55" s="76">
        <v>0</v>
      </c>
      <c r="CP55" s="77">
        <v>0</v>
      </c>
      <c r="CQ55" s="78">
        <f t="shared" si="95"/>
        <v>16388.76410798122</v>
      </c>
      <c r="CR55" s="79">
        <v>0</v>
      </c>
      <c r="CS55" s="79">
        <v>0</v>
      </c>
      <c r="CT55" s="80">
        <v>0</v>
      </c>
      <c r="CU55" s="200">
        <f t="shared" si="82"/>
        <v>426</v>
      </c>
      <c r="CV55" s="128">
        <f t="shared" si="83"/>
        <v>0</v>
      </c>
      <c r="CW55" s="52">
        <f t="shared" si="84"/>
        <v>16388.76410798122</v>
      </c>
      <c r="CX55" s="57">
        <f t="shared" si="85"/>
        <v>0</v>
      </c>
      <c r="CY55" s="75"/>
      <c r="CZ55" s="66"/>
      <c r="DA55" s="78"/>
      <c r="DB55" s="77"/>
      <c r="DC55" s="49"/>
      <c r="DD55" s="9"/>
      <c r="DE55" s="49"/>
      <c r="DF55" s="9"/>
      <c r="DG55" s="189">
        <f t="shared" si="63"/>
        <v>16388.76410798122</v>
      </c>
      <c r="DH55" s="57">
        <f t="shared" si="64"/>
        <v>0</v>
      </c>
      <c r="DI55" s="64">
        <f t="shared" si="89"/>
        <v>6981613.5099999998</v>
      </c>
      <c r="DJ55" s="80">
        <f t="shared" si="96"/>
        <v>0</v>
      </c>
      <c r="DK55" s="59">
        <f t="shared" si="66"/>
        <v>426</v>
      </c>
      <c r="DL55" s="216">
        <f t="shared" si="67"/>
        <v>16388.76410798122</v>
      </c>
      <c r="DM55" s="224"/>
      <c r="DN55" s="224"/>
      <c r="DO55" s="224"/>
      <c r="DP55" s="224"/>
      <c r="DQ55" s="56">
        <f t="shared" si="68"/>
        <v>0</v>
      </c>
      <c r="DR55" s="79">
        <f t="shared" si="69"/>
        <v>0</v>
      </c>
      <c r="DS55" s="212"/>
      <c r="DT55" s="78"/>
      <c r="DU55" s="80"/>
    </row>
    <row r="56" spans="1:125" x14ac:dyDescent="0.3">
      <c r="A56" s="20" t="s">
        <v>55</v>
      </c>
      <c r="B56" s="39" t="s">
        <v>24</v>
      </c>
      <c r="C56" s="78">
        <v>16612.900000000001</v>
      </c>
      <c r="D56" s="79">
        <v>7379.55</v>
      </c>
      <c r="E56" s="79"/>
      <c r="F56" s="80"/>
      <c r="G56" s="98">
        <v>35</v>
      </c>
      <c r="H56" s="99">
        <v>2</v>
      </c>
      <c r="I56" s="105"/>
      <c r="J56" s="106"/>
      <c r="K56" s="75">
        <v>466</v>
      </c>
      <c r="L56" s="76">
        <v>207</v>
      </c>
      <c r="M56" s="76"/>
      <c r="N56" s="77"/>
      <c r="O56" s="112">
        <f t="shared" si="90"/>
        <v>474.65428571428578</v>
      </c>
      <c r="P56" s="113">
        <f>D56/H56</f>
        <v>3689.7750000000001</v>
      </c>
      <c r="Q56" s="109"/>
      <c r="R56" s="123"/>
      <c r="S56" s="200">
        <f t="shared" si="70"/>
        <v>37</v>
      </c>
      <c r="T56" s="128">
        <f t="shared" si="71"/>
        <v>0</v>
      </c>
      <c r="U56" s="52">
        <f t="shared" si="72"/>
        <v>4164.4292857142855</v>
      </c>
      <c r="V56" s="57">
        <f t="shared" si="73"/>
        <v>0</v>
      </c>
      <c r="W56" s="75"/>
      <c r="X56" s="66"/>
      <c r="Y56" s="78"/>
      <c r="Z56" s="77"/>
      <c r="AA56" s="75"/>
      <c r="AB56" s="90"/>
      <c r="AC56" s="75"/>
      <c r="AD56" s="90"/>
      <c r="AE56" s="189">
        <f t="shared" si="51"/>
        <v>4164.4292857142855</v>
      </c>
      <c r="AF56" s="57">
        <f t="shared" si="52"/>
        <v>0</v>
      </c>
      <c r="AG56" s="64">
        <f t="shared" si="74"/>
        <v>154083.88357142857</v>
      </c>
      <c r="AH56" s="80">
        <f t="shared" si="75"/>
        <v>0</v>
      </c>
      <c r="AI56" s="215">
        <f t="shared" si="53"/>
        <v>35</v>
      </c>
      <c r="AJ56" s="216">
        <f>O56</f>
        <v>474.65428571428578</v>
      </c>
      <c r="AK56" s="212"/>
      <c r="AL56" s="212"/>
      <c r="AM56" s="212"/>
      <c r="AN56" s="212"/>
      <c r="AO56" s="219">
        <f t="shared" si="55"/>
        <v>0</v>
      </c>
      <c r="AP56" s="79">
        <f t="shared" si="56"/>
        <v>0</v>
      </c>
      <c r="AQ56" s="78">
        <v>23122.06</v>
      </c>
      <c r="AR56" s="79"/>
      <c r="AS56" s="79"/>
      <c r="AT56" s="80"/>
      <c r="AU56" s="204">
        <v>57</v>
      </c>
      <c r="AV56" s="105"/>
      <c r="AW56" s="94"/>
      <c r="AX56" s="101"/>
      <c r="AY56" s="75">
        <v>787</v>
      </c>
      <c r="AZ56" s="76"/>
      <c r="BA56" s="76"/>
      <c r="BB56" s="77"/>
      <c r="BC56" s="112">
        <f>AQ56/AU56</f>
        <v>405.65017543859653</v>
      </c>
      <c r="BD56" s="113"/>
      <c r="BE56" s="118"/>
      <c r="BF56" s="119"/>
      <c r="BG56" s="200">
        <f t="shared" si="76"/>
        <v>57</v>
      </c>
      <c r="BH56" s="128">
        <f t="shared" si="77"/>
        <v>0</v>
      </c>
      <c r="BI56" s="52">
        <f t="shared" si="78"/>
        <v>405.65017543859653</v>
      </c>
      <c r="BJ56" s="57">
        <f t="shared" si="79"/>
        <v>0</v>
      </c>
      <c r="BK56" s="75"/>
      <c r="BL56" s="66"/>
      <c r="BM56" s="78"/>
      <c r="BN56" s="77"/>
      <c r="BO56" s="75"/>
      <c r="BP56" s="90"/>
      <c r="BQ56" s="75"/>
      <c r="BR56" s="90"/>
      <c r="BS56" s="189">
        <f t="shared" si="57"/>
        <v>405.65017543859653</v>
      </c>
      <c r="BT56" s="57">
        <f t="shared" si="58"/>
        <v>0</v>
      </c>
      <c r="BU56" s="64">
        <f t="shared" si="88"/>
        <v>23122.06</v>
      </c>
      <c r="BV56" s="80">
        <f t="shared" si="81"/>
        <v>0</v>
      </c>
      <c r="BW56" s="215">
        <f t="shared" si="59"/>
        <v>57</v>
      </c>
      <c r="BX56" s="216">
        <f>BC56</f>
        <v>405.65017543859653</v>
      </c>
      <c r="BY56" s="212"/>
      <c r="BZ56" s="212"/>
      <c r="CA56" s="212"/>
      <c r="CB56" s="212"/>
      <c r="CC56" s="219">
        <f t="shared" si="61"/>
        <v>405.65017543859653</v>
      </c>
      <c r="CD56" s="79">
        <f t="shared" si="62"/>
        <v>23122.06</v>
      </c>
      <c r="CE56" s="78">
        <v>20943.8</v>
      </c>
      <c r="CF56" s="79">
        <v>12293.1</v>
      </c>
      <c r="CG56" s="79"/>
      <c r="CH56" s="80"/>
      <c r="CI56" s="75">
        <v>32</v>
      </c>
      <c r="CJ56" s="76">
        <v>3</v>
      </c>
      <c r="CK56" s="76"/>
      <c r="CL56" s="77"/>
      <c r="CM56" s="75">
        <v>460</v>
      </c>
      <c r="CN56" s="76">
        <v>270</v>
      </c>
      <c r="CO56" s="76"/>
      <c r="CP56" s="77"/>
      <c r="CQ56" s="78">
        <f t="shared" si="95"/>
        <v>654.49374999999998</v>
      </c>
      <c r="CR56" s="79">
        <f>CF56/CJ56</f>
        <v>4097.7</v>
      </c>
      <c r="CS56" s="79"/>
      <c r="CT56" s="80"/>
      <c r="CU56" s="200">
        <f t="shared" si="82"/>
        <v>35</v>
      </c>
      <c r="CV56" s="128">
        <f t="shared" si="83"/>
        <v>0</v>
      </c>
      <c r="CW56" s="52">
        <f t="shared" si="84"/>
        <v>4752.1937499999995</v>
      </c>
      <c r="CX56" s="57">
        <f t="shared" si="85"/>
        <v>0</v>
      </c>
      <c r="CY56" s="75"/>
      <c r="CZ56" s="66"/>
      <c r="DA56" s="78"/>
      <c r="DB56" s="77"/>
      <c r="DC56" s="75"/>
      <c r="DD56" s="90"/>
      <c r="DE56" s="75"/>
      <c r="DF56" s="90"/>
      <c r="DG56" s="189">
        <f t="shared" si="63"/>
        <v>4752.1937499999995</v>
      </c>
      <c r="DH56" s="57">
        <f t="shared" si="64"/>
        <v>0</v>
      </c>
      <c r="DI56" s="64">
        <f t="shared" si="89"/>
        <v>166326.78124999997</v>
      </c>
      <c r="DJ56" s="80">
        <f t="shared" si="96"/>
        <v>0</v>
      </c>
      <c r="DK56" s="215">
        <f t="shared" si="66"/>
        <v>32</v>
      </c>
      <c r="DL56" s="216">
        <f>CQ56</f>
        <v>654.49374999999998</v>
      </c>
      <c r="DM56" s="224"/>
      <c r="DN56" s="224"/>
      <c r="DO56" s="224"/>
      <c r="DP56" s="224"/>
      <c r="DQ56" s="219">
        <f t="shared" si="68"/>
        <v>654.49374999999998</v>
      </c>
      <c r="DR56" s="79">
        <f t="shared" si="69"/>
        <v>20943.8</v>
      </c>
      <c r="DS56" s="212"/>
      <c r="DT56" s="78"/>
      <c r="DU56" s="80"/>
    </row>
    <row r="57" spans="1:125" s="46" customFormat="1" ht="28.8" x14ac:dyDescent="0.3">
      <c r="A57" s="45" t="s">
        <v>56</v>
      </c>
      <c r="B57" s="39" t="s">
        <v>25</v>
      </c>
      <c r="C57" s="55">
        <v>1913952.3</v>
      </c>
      <c r="D57" s="56">
        <v>390602.51</v>
      </c>
      <c r="E57" s="56">
        <v>29295.19</v>
      </c>
      <c r="F57" s="57"/>
      <c r="G57" s="98">
        <v>98</v>
      </c>
      <c r="H57" s="99">
        <v>16</v>
      </c>
      <c r="I57" s="105">
        <v>1</v>
      </c>
      <c r="J57" s="106"/>
      <c r="K57" s="58">
        <v>1066</v>
      </c>
      <c r="L57" s="59">
        <v>760.5</v>
      </c>
      <c r="M57" s="59">
        <v>100</v>
      </c>
      <c r="N57" s="60"/>
      <c r="O57" s="112">
        <f t="shared" si="90"/>
        <v>19530.125510204081</v>
      </c>
      <c r="P57" s="113">
        <f>D57/H57</f>
        <v>24412.656875000001</v>
      </c>
      <c r="Q57" s="109">
        <f>E57/I57</f>
        <v>29295.19</v>
      </c>
      <c r="R57" s="123"/>
      <c r="S57" s="59">
        <f t="shared" si="70"/>
        <v>114</v>
      </c>
      <c r="T57" s="184">
        <f t="shared" si="71"/>
        <v>1</v>
      </c>
      <c r="U57" s="52">
        <f t="shared" si="72"/>
        <v>43942.782385204082</v>
      </c>
      <c r="V57" s="126">
        <f t="shared" si="73"/>
        <v>29295.19</v>
      </c>
      <c r="W57" s="58"/>
      <c r="X57" s="66"/>
      <c r="Y57" s="78"/>
      <c r="Z57" s="60"/>
      <c r="AA57" s="58"/>
      <c r="AB57" s="128"/>
      <c r="AC57" s="58"/>
      <c r="AD57" s="128"/>
      <c r="AE57" s="55">
        <f t="shared" si="51"/>
        <v>43942.782385204082</v>
      </c>
      <c r="AF57" s="182">
        <f t="shared" si="52"/>
        <v>29295.19</v>
      </c>
      <c r="AG57" s="64">
        <f t="shared" si="74"/>
        <v>5009477.1919132657</v>
      </c>
      <c r="AH57" s="80">
        <f t="shared" si="75"/>
        <v>29295.19</v>
      </c>
      <c r="AI57" s="59">
        <f t="shared" si="53"/>
        <v>98</v>
      </c>
      <c r="AJ57" s="216">
        <f t="shared" si="54"/>
        <v>19530.125510204081</v>
      </c>
      <c r="AK57" s="212"/>
      <c r="AL57" s="212"/>
      <c r="AM57" s="212"/>
      <c r="AN57" s="212"/>
      <c r="AO57" s="56">
        <f t="shared" si="55"/>
        <v>0</v>
      </c>
      <c r="AP57" s="79">
        <f t="shared" si="56"/>
        <v>0</v>
      </c>
      <c r="AQ57" s="55">
        <v>1970298.74</v>
      </c>
      <c r="AR57" s="56">
        <v>313456.62</v>
      </c>
      <c r="AS57" s="56">
        <v>33584.639999999999</v>
      </c>
      <c r="AT57" s="57"/>
      <c r="AU57" s="204">
        <v>110</v>
      </c>
      <c r="AV57" s="105">
        <v>14</v>
      </c>
      <c r="AW57" s="94">
        <v>1</v>
      </c>
      <c r="AX57" s="101"/>
      <c r="AY57" s="58">
        <v>1108</v>
      </c>
      <c r="AZ57" s="59">
        <v>698.26</v>
      </c>
      <c r="BA57" s="59">
        <v>200</v>
      </c>
      <c r="BB57" s="60"/>
      <c r="BC57" s="112">
        <f>AQ57/AU57</f>
        <v>17911.806727272728</v>
      </c>
      <c r="BD57" s="113">
        <f>AR57/AV57</f>
        <v>22389.758571428571</v>
      </c>
      <c r="BE57" s="118">
        <f>AS57/AW57</f>
        <v>33584.639999999999</v>
      </c>
      <c r="BF57" s="119"/>
      <c r="BG57" s="200">
        <f t="shared" si="76"/>
        <v>124</v>
      </c>
      <c r="BH57" s="184">
        <f t="shared" si="77"/>
        <v>1</v>
      </c>
      <c r="BI57" s="52">
        <f t="shared" si="78"/>
        <v>40301.565298701302</v>
      </c>
      <c r="BJ57" s="126">
        <f t="shared" si="79"/>
        <v>33584.639999999999</v>
      </c>
      <c r="BK57" s="58"/>
      <c r="BL57" s="66"/>
      <c r="BM57" s="78"/>
      <c r="BN57" s="60"/>
      <c r="BO57" s="58"/>
      <c r="BP57" s="128"/>
      <c r="BQ57" s="58"/>
      <c r="BR57" s="128"/>
      <c r="BS57" s="189">
        <f t="shared" si="57"/>
        <v>40301.565298701302</v>
      </c>
      <c r="BT57" s="182">
        <f t="shared" si="58"/>
        <v>33584.639999999999</v>
      </c>
      <c r="BU57" s="64">
        <f t="shared" si="88"/>
        <v>4997394.097038961</v>
      </c>
      <c r="BV57" s="80">
        <f t="shared" si="81"/>
        <v>33584.639999999999</v>
      </c>
      <c r="BW57" s="59">
        <f t="shared" si="59"/>
        <v>110</v>
      </c>
      <c r="BX57" s="216">
        <f t="shared" ref="BX57:BX63" si="97">BC57</f>
        <v>17911.806727272728</v>
      </c>
      <c r="BY57" s="212"/>
      <c r="BZ57" s="212"/>
      <c r="CA57" s="212"/>
      <c r="CB57" s="212"/>
      <c r="CC57" s="56">
        <f t="shared" si="61"/>
        <v>0</v>
      </c>
      <c r="CD57" s="79">
        <f t="shared" si="62"/>
        <v>0</v>
      </c>
      <c r="CE57" s="55">
        <v>606228.53</v>
      </c>
      <c r="CF57" s="56">
        <v>97536.77</v>
      </c>
      <c r="CG57" s="56">
        <v>27010.18</v>
      </c>
      <c r="CH57" s="57">
        <v>12004.53</v>
      </c>
      <c r="CI57" s="58">
        <v>101</v>
      </c>
      <c r="CJ57" s="59">
        <v>13</v>
      </c>
      <c r="CK57" s="59">
        <v>3</v>
      </c>
      <c r="CL57" s="60">
        <v>1</v>
      </c>
      <c r="CM57" s="58">
        <v>986.79</v>
      </c>
      <c r="CN57" s="59">
        <v>456.21</v>
      </c>
      <c r="CO57" s="59">
        <v>345.04</v>
      </c>
      <c r="CP57" s="60">
        <v>690</v>
      </c>
      <c r="CQ57" s="55">
        <f t="shared" si="95"/>
        <v>6002.262673267327</v>
      </c>
      <c r="CR57" s="56">
        <f>CF57/CJ57</f>
        <v>7502.8284615384619</v>
      </c>
      <c r="CS57" s="56">
        <f>CG57/CK57</f>
        <v>9003.3933333333334</v>
      </c>
      <c r="CT57" s="57">
        <f>CH57/CL57</f>
        <v>12004.53</v>
      </c>
      <c r="CU57" s="200">
        <f t="shared" si="82"/>
        <v>114</v>
      </c>
      <c r="CV57" s="184">
        <f t="shared" si="83"/>
        <v>4</v>
      </c>
      <c r="CW57" s="52">
        <f t="shared" si="84"/>
        <v>13505.091134805789</v>
      </c>
      <c r="CX57" s="126">
        <f t="shared" si="85"/>
        <v>21007.923333333332</v>
      </c>
      <c r="CY57" s="58"/>
      <c r="CZ57" s="66"/>
      <c r="DA57" s="78"/>
      <c r="DB57" s="60"/>
      <c r="DC57" s="58"/>
      <c r="DD57" s="128"/>
      <c r="DE57" s="58"/>
      <c r="DF57" s="128"/>
      <c r="DG57" s="189">
        <f t="shared" si="63"/>
        <v>13505.091134805789</v>
      </c>
      <c r="DH57" s="182">
        <f t="shared" si="64"/>
        <v>21007.923333333332</v>
      </c>
      <c r="DI57" s="64">
        <f t="shared" si="89"/>
        <v>1539580.38936786</v>
      </c>
      <c r="DJ57" s="80">
        <f t="shared" si="96"/>
        <v>84031.693333333329</v>
      </c>
      <c r="DK57" s="215">
        <f t="shared" si="66"/>
        <v>101</v>
      </c>
      <c r="DL57" s="216">
        <f t="shared" ref="DL57:DL63" si="98">CQ57</f>
        <v>6002.262673267327</v>
      </c>
      <c r="DM57" s="224"/>
      <c r="DN57" s="224"/>
      <c r="DO57" s="224"/>
      <c r="DP57" s="224"/>
      <c r="DQ57" s="219">
        <f t="shared" si="68"/>
        <v>6002.262673267327</v>
      </c>
      <c r="DR57" s="79">
        <f t="shared" si="69"/>
        <v>606228.53</v>
      </c>
      <c r="DS57" s="212"/>
      <c r="DT57" s="78"/>
      <c r="DU57" s="80"/>
    </row>
    <row r="58" spans="1:125" ht="28.8" x14ac:dyDescent="0.3">
      <c r="A58" s="20" t="s">
        <v>57</v>
      </c>
      <c r="B58" s="235" t="s">
        <v>26</v>
      </c>
      <c r="C58" s="78">
        <v>38108.46</v>
      </c>
      <c r="D58" s="79">
        <v>6351.41</v>
      </c>
      <c r="E58" s="79"/>
      <c r="F58" s="80"/>
      <c r="G58" s="98">
        <v>6</v>
      </c>
      <c r="H58" s="99">
        <v>1</v>
      </c>
      <c r="I58" s="105"/>
      <c r="J58" s="106"/>
      <c r="K58" s="75">
        <v>90</v>
      </c>
      <c r="L58" s="76">
        <v>35</v>
      </c>
      <c r="M58" s="76"/>
      <c r="N58" s="77"/>
      <c r="O58" s="112">
        <f t="shared" si="90"/>
        <v>6351.41</v>
      </c>
      <c r="P58" s="113">
        <f>D58/H58</f>
        <v>6351.41</v>
      </c>
      <c r="Q58" s="109"/>
      <c r="R58" s="123"/>
      <c r="S58" s="200">
        <f t="shared" si="70"/>
        <v>7</v>
      </c>
      <c r="T58" s="128">
        <f t="shared" si="71"/>
        <v>0</v>
      </c>
      <c r="U58" s="52">
        <f t="shared" si="72"/>
        <v>12702.82</v>
      </c>
      <c r="V58" s="57">
        <f t="shared" si="73"/>
        <v>0</v>
      </c>
      <c r="W58" s="75"/>
      <c r="X58" s="66"/>
      <c r="Y58" s="78"/>
      <c r="Z58" s="77"/>
      <c r="AA58" s="49"/>
      <c r="AB58" s="9"/>
      <c r="AC58" s="49"/>
      <c r="AD58" s="9"/>
      <c r="AE58" s="189">
        <f t="shared" si="51"/>
        <v>12702.82</v>
      </c>
      <c r="AF58" s="57">
        <f t="shared" si="52"/>
        <v>0</v>
      </c>
      <c r="AG58" s="64">
        <f t="shared" si="74"/>
        <v>88919.739999999991</v>
      </c>
      <c r="AH58" s="80">
        <f t="shared" si="75"/>
        <v>0</v>
      </c>
      <c r="AI58" s="215">
        <f t="shared" si="53"/>
        <v>6</v>
      </c>
      <c r="AJ58" s="216">
        <f t="shared" si="54"/>
        <v>6351.41</v>
      </c>
      <c r="AK58" s="212"/>
      <c r="AL58" s="212"/>
      <c r="AM58" s="212"/>
      <c r="AN58" s="212"/>
      <c r="AO58" s="219">
        <f t="shared" si="55"/>
        <v>6351.41</v>
      </c>
      <c r="AP58" s="79">
        <f t="shared" si="56"/>
        <v>38108.46</v>
      </c>
      <c r="AQ58" s="78">
        <v>59202.1</v>
      </c>
      <c r="AR58" s="79">
        <v>5920.21</v>
      </c>
      <c r="AS58" s="79"/>
      <c r="AT58" s="80"/>
      <c r="AU58" s="204">
        <v>10</v>
      </c>
      <c r="AV58" s="105">
        <v>1</v>
      </c>
      <c r="AW58" s="94"/>
      <c r="AX58" s="101"/>
      <c r="AY58" s="75">
        <v>112</v>
      </c>
      <c r="AZ58" s="76">
        <v>74</v>
      </c>
      <c r="BA58" s="76"/>
      <c r="BB58" s="77"/>
      <c r="BC58" s="112">
        <f>AQ58/AU58</f>
        <v>5920.21</v>
      </c>
      <c r="BD58" s="113">
        <f>AR58/AV58</f>
        <v>5920.21</v>
      </c>
      <c r="BE58" s="118"/>
      <c r="BF58" s="119"/>
      <c r="BG58" s="200">
        <f t="shared" si="76"/>
        <v>11</v>
      </c>
      <c r="BH58" s="128">
        <f t="shared" si="77"/>
        <v>0</v>
      </c>
      <c r="BI58" s="52">
        <f t="shared" si="78"/>
        <v>11840.42</v>
      </c>
      <c r="BJ58" s="57">
        <f t="shared" si="79"/>
        <v>0</v>
      </c>
      <c r="BK58" s="75"/>
      <c r="BL58" s="66"/>
      <c r="BM58" s="78"/>
      <c r="BN58" s="77"/>
      <c r="BO58" s="49"/>
      <c r="BP58" s="9"/>
      <c r="BQ58" s="49"/>
      <c r="BR58" s="9"/>
      <c r="BS58" s="189">
        <f t="shared" si="57"/>
        <v>11840.42</v>
      </c>
      <c r="BT58" s="57">
        <f t="shared" si="58"/>
        <v>0</v>
      </c>
      <c r="BU58" s="64">
        <f t="shared" si="88"/>
        <v>130244.62</v>
      </c>
      <c r="BV58" s="80">
        <f t="shared" si="81"/>
        <v>0</v>
      </c>
      <c r="BW58" s="215">
        <f t="shared" si="59"/>
        <v>10</v>
      </c>
      <c r="BX58" s="216">
        <f t="shared" si="97"/>
        <v>5920.21</v>
      </c>
      <c r="BY58" s="212"/>
      <c r="BZ58" s="212"/>
      <c r="CA58" s="212"/>
      <c r="CB58" s="212"/>
      <c r="CC58" s="219">
        <f t="shared" si="61"/>
        <v>5920.21</v>
      </c>
      <c r="CD58" s="79">
        <f t="shared" si="62"/>
        <v>59202.1</v>
      </c>
      <c r="CE58" s="78">
        <v>76146.600000000006</v>
      </c>
      <c r="CF58" s="79">
        <v>6345.55</v>
      </c>
      <c r="CG58" s="79"/>
      <c r="CH58" s="80"/>
      <c r="CI58" s="75">
        <v>12</v>
      </c>
      <c r="CJ58" s="76">
        <v>1</v>
      </c>
      <c r="CK58" s="76"/>
      <c r="CL58" s="77"/>
      <c r="CM58" s="75">
        <v>120</v>
      </c>
      <c r="CN58" s="76">
        <v>35</v>
      </c>
      <c r="CO58" s="76"/>
      <c r="CP58" s="77"/>
      <c r="CQ58" s="78">
        <f t="shared" si="95"/>
        <v>6345.55</v>
      </c>
      <c r="CR58" s="56">
        <f>CF58/CJ58</f>
        <v>6345.55</v>
      </c>
      <c r="CS58" s="79"/>
      <c r="CT58" s="80"/>
      <c r="CU58" s="200">
        <f t="shared" si="82"/>
        <v>13</v>
      </c>
      <c r="CV58" s="128">
        <f t="shared" si="83"/>
        <v>0</v>
      </c>
      <c r="CW58" s="52">
        <f t="shared" si="84"/>
        <v>12691.1</v>
      </c>
      <c r="CX58" s="57">
        <f t="shared" si="85"/>
        <v>0</v>
      </c>
      <c r="CY58" s="75"/>
      <c r="CZ58" s="66"/>
      <c r="DA58" s="78"/>
      <c r="DB58" s="77"/>
      <c r="DC58" s="49"/>
      <c r="DD58" s="9"/>
      <c r="DE58" s="49"/>
      <c r="DF58" s="9"/>
      <c r="DG58" s="189">
        <f t="shared" si="63"/>
        <v>12691.1</v>
      </c>
      <c r="DH58" s="57">
        <f t="shared" si="64"/>
        <v>0</v>
      </c>
      <c r="DI58" s="64">
        <f t="shared" si="89"/>
        <v>164984.30000000002</v>
      </c>
      <c r="DJ58" s="80">
        <f t="shared" si="96"/>
        <v>0</v>
      </c>
      <c r="DK58" s="215">
        <f t="shared" si="66"/>
        <v>12</v>
      </c>
      <c r="DL58" s="216">
        <f t="shared" si="98"/>
        <v>6345.55</v>
      </c>
      <c r="DM58" s="224"/>
      <c r="DN58" s="224"/>
      <c r="DO58" s="224"/>
      <c r="DP58" s="224"/>
      <c r="DQ58" s="219">
        <f t="shared" si="68"/>
        <v>6345.55</v>
      </c>
      <c r="DR58" s="79">
        <f t="shared" si="69"/>
        <v>76146.600000000006</v>
      </c>
      <c r="DS58" s="212"/>
      <c r="DT58" s="78"/>
      <c r="DU58" s="80"/>
    </row>
    <row r="59" spans="1:125" x14ac:dyDescent="0.3">
      <c r="A59" s="20" t="s">
        <v>58</v>
      </c>
      <c r="B59" s="43" t="s">
        <v>27</v>
      </c>
      <c r="C59" s="78"/>
      <c r="D59" s="79"/>
      <c r="E59" s="79"/>
      <c r="F59" s="80"/>
      <c r="G59" s="98"/>
      <c r="H59" s="99"/>
      <c r="I59" s="105"/>
      <c r="J59" s="106"/>
      <c r="K59" s="75"/>
      <c r="L59" s="76"/>
      <c r="M59" s="76"/>
      <c r="N59" s="77"/>
      <c r="O59" s="112"/>
      <c r="P59" s="113"/>
      <c r="Q59" s="109"/>
      <c r="R59" s="123"/>
      <c r="S59" s="59">
        <f t="shared" si="70"/>
        <v>0</v>
      </c>
      <c r="T59" s="128">
        <f t="shared" si="71"/>
        <v>0</v>
      </c>
      <c r="U59" s="55">
        <f t="shared" si="72"/>
        <v>0</v>
      </c>
      <c r="V59" s="57">
        <f t="shared" si="73"/>
        <v>0</v>
      </c>
      <c r="W59" s="75"/>
      <c r="X59" s="66"/>
      <c r="Y59" s="78"/>
      <c r="Z59" s="77"/>
      <c r="AA59" s="49"/>
      <c r="AB59" s="9"/>
      <c r="AC59" s="49"/>
      <c r="AD59" s="9"/>
      <c r="AE59" s="55">
        <f t="shared" si="51"/>
        <v>0</v>
      </c>
      <c r="AF59" s="57">
        <f t="shared" si="52"/>
        <v>0</v>
      </c>
      <c r="AG59" s="64">
        <f t="shared" si="74"/>
        <v>0</v>
      </c>
      <c r="AH59" s="80">
        <f t="shared" si="75"/>
        <v>0</v>
      </c>
      <c r="AI59" s="59">
        <f t="shared" si="53"/>
        <v>0</v>
      </c>
      <c r="AJ59" s="56">
        <f t="shared" si="54"/>
        <v>0</v>
      </c>
      <c r="AK59" s="212"/>
      <c r="AL59" s="212"/>
      <c r="AM59" s="212"/>
      <c r="AN59" s="212"/>
      <c r="AO59" s="79">
        <f t="shared" si="55"/>
        <v>0</v>
      </c>
      <c r="AP59" s="79">
        <f t="shared" si="56"/>
        <v>0</v>
      </c>
      <c r="AQ59" s="78"/>
      <c r="AR59" s="79"/>
      <c r="AS59" s="79"/>
      <c r="AT59" s="80"/>
      <c r="AU59" s="204"/>
      <c r="AV59" s="105"/>
      <c r="AW59" s="94"/>
      <c r="AX59" s="101"/>
      <c r="AY59" s="75"/>
      <c r="AZ59" s="76"/>
      <c r="BA59" s="76"/>
      <c r="BB59" s="77"/>
      <c r="BC59" s="112"/>
      <c r="BD59" s="113"/>
      <c r="BE59" s="118"/>
      <c r="BF59" s="119"/>
      <c r="BG59" s="59">
        <f t="shared" si="76"/>
        <v>0</v>
      </c>
      <c r="BH59" s="128">
        <f t="shared" si="77"/>
        <v>0</v>
      </c>
      <c r="BI59" s="55">
        <f t="shared" si="78"/>
        <v>0</v>
      </c>
      <c r="BJ59" s="57">
        <f t="shared" si="79"/>
        <v>0</v>
      </c>
      <c r="BK59" s="75"/>
      <c r="BL59" s="66"/>
      <c r="BM59" s="78"/>
      <c r="BN59" s="77"/>
      <c r="BO59" s="49"/>
      <c r="BP59" s="9"/>
      <c r="BQ59" s="49"/>
      <c r="BR59" s="9"/>
      <c r="BS59" s="55">
        <f t="shared" si="57"/>
        <v>0</v>
      </c>
      <c r="BT59" s="57">
        <f t="shared" si="58"/>
        <v>0</v>
      </c>
      <c r="BU59" s="64">
        <f t="shared" si="88"/>
        <v>0</v>
      </c>
      <c r="BV59" s="80">
        <f t="shared" si="81"/>
        <v>0</v>
      </c>
      <c r="BW59" s="59">
        <f t="shared" si="59"/>
        <v>0</v>
      </c>
      <c r="BX59" s="56">
        <f t="shared" si="97"/>
        <v>0</v>
      </c>
      <c r="BY59" s="212"/>
      <c r="BZ59" s="212"/>
      <c r="CA59" s="212"/>
      <c r="CB59" s="212"/>
      <c r="CC59" s="56">
        <f t="shared" si="61"/>
        <v>0</v>
      </c>
      <c r="CD59" s="79">
        <f t="shared" si="62"/>
        <v>0</v>
      </c>
      <c r="CE59" s="78">
        <v>39172.800000000003</v>
      </c>
      <c r="CF59" s="79"/>
      <c r="CG59" s="79"/>
      <c r="CH59" s="80"/>
      <c r="CI59" s="75">
        <v>9</v>
      </c>
      <c r="CJ59" s="76"/>
      <c r="CK59" s="76"/>
      <c r="CL59" s="77"/>
      <c r="CM59" s="75">
        <v>120</v>
      </c>
      <c r="CN59" s="76"/>
      <c r="CO59" s="76"/>
      <c r="CP59" s="77"/>
      <c r="CQ59" s="78">
        <v>4352.53</v>
      </c>
      <c r="CR59" s="79"/>
      <c r="CS59" s="79"/>
      <c r="CT59" s="80"/>
      <c r="CU59" s="200">
        <f t="shared" si="82"/>
        <v>9</v>
      </c>
      <c r="CV59" s="128">
        <f t="shared" si="83"/>
        <v>0</v>
      </c>
      <c r="CW59" s="52">
        <f t="shared" si="84"/>
        <v>4352.53</v>
      </c>
      <c r="CX59" s="57">
        <f t="shared" si="85"/>
        <v>0</v>
      </c>
      <c r="CY59" s="75"/>
      <c r="CZ59" s="66"/>
      <c r="DA59" s="78"/>
      <c r="DB59" s="77"/>
      <c r="DC59" s="49"/>
      <c r="DD59" s="9"/>
      <c r="DE59" s="49"/>
      <c r="DF59" s="9"/>
      <c r="DG59" s="189">
        <f t="shared" si="63"/>
        <v>4352.53</v>
      </c>
      <c r="DH59" s="57">
        <f t="shared" si="64"/>
        <v>0</v>
      </c>
      <c r="DI59" s="64">
        <f t="shared" si="89"/>
        <v>39172.769999999997</v>
      </c>
      <c r="DJ59" s="80">
        <f t="shared" si="96"/>
        <v>0</v>
      </c>
      <c r="DK59" s="215">
        <f t="shared" si="66"/>
        <v>9</v>
      </c>
      <c r="DL59" s="216">
        <f t="shared" si="98"/>
        <v>4352.53</v>
      </c>
      <c r="DM59" s="224"/>
      <c r="DN59" s="224"/>
      <c r="DO59" s="224"/>
      <c r="DP59" s="224"/>
      <c r="DQ59" s="219">
        <f t="shared" si="68"/>
        <v>4352.53</v>
      </c>
      <c r="DR59" s="79">
        <f t="shared" si="69"/>
        <v>39172.769999999997</v>
      </c>
      <c r="DS59" s="212"/>
      <c r="DT59" s="78"/>
      <c r="DU59" s="80"/>
    </row>
    <row r="60" spans="1:125" x14ac:dyDescent="0.3">
      <c r="A60" s="20" t="s">
        <v>59</v>
      </c>
      <c r="B60" s="39" t="s">
        <v>28</v>
      </c>
      <c r="C60" s="78"/>
      <c r="D60" s="79">
        <v>80255</v>
      </c>
      <c r="E60" s="79"/>
      <c r="F60" s="80"/>
      <c r="G60" s="98"/>
      <c r="H60" s="99">
        <v>9</v>
      </c>
      <c r="I60" s="105"/>
      <c r="J60" s="106"/>
      <c r="K60" s="75"/>
      <c r="L60" s="76">
        <v>310</v>
      </c>
      <c r="M60" s="76"/>
      <c r="N60" s="77"/>
      <c r="O60" s="112"/>
      <c r="P60" s="113">
        <f>D60/H60</f>
        <v>8917.2222222222226</v>
      </c>
      <c r="Q60" s="109"/>
      <c r="R60" s="123"/>
      <c r="S60" s="200">
        <f t="shared" si="70"/>
        <v>9</v>
      </c>
      <c r="T60" s="128">
        <f t="shared" si="71"/>
        <v>0</v>
      </c>
      <c r="U60" s="52">
        <f t="shared" si="72"/>
        <v>8917.2222222222226</v>
      </c>
      <c r="V60" s="57">
        <f t="shared" si="73"/>
        <v>0</v>
      </c>
      <c r="W60" s="78"/>
      <c r="X60" s="66"/>
      <c r="Y60" s="78"/>
      <c r="Z60" s="80"/>
      <c r="AA60" s="78"/>
      <c r="AB60" s="66"/>
      <c r="AC60" s="78"/>
      <c r="AD60" s="66"/>
      <c r="AE60" s="189">
        <f t="shared" si="51"/>
        <v>8917.2222222222226</v>
      </c>
      <c r="AF60" s="57">
        <f t="shared" si="52"/>
        <v>0</v>
      </c>
      <c r="AG60" s="64">
        <f t="shared" si="74"/>
        <v>80255</v>
      </c>
      <c r="AH60" s="80">
        <f t="shared" si="75"/>
        <v>0</v>
      </c>
      <c r="AI60" s="59">
        <f t="shared" si="53"/>
        <v>0</v>
      </c>
      <c r="AJ60" s="56">
        <f t="shared" si="54"/>
        <v>0</v>
      </c>
      <c r="AK60" s="212"/>
      <c r="AL60" s="212"/>
      <c r="AM60" s="212"/>
      <c r="AN60" s="212"/>
      <c r="AO60" s="79">
        <f t="shared" si="55"/>
        <v>0</v>
      </c>
      <c r="AP60" s="79">
        <f t="shared" si="56"/>
        <v>0</v>
      </c>
      <c r="AQ60" s="78"/>
      <c r="AR60" s="79">
        <v>67414</v>
      </c>
      <c r="AS60" s="79">
        <v>9658</v>
      </c>
      <c r="AT60" s="80"/>
      <c r="AU60" s="204"/>
      <c r="AV60" s="105">
        <v>7</v>
      </c>
      <c r="AW60" s="94">
        <v>1</v>
      </c>
      <c r="AX60" s="101"/>
      <c r="AY60" s="75"/>
      <c r="AZ60" s="76">
        <v>220.65</v>
      </c>
      <c r="BA60" s="76">
        <v>200</v>
      </c>
      <c r="BB60" s="77"/>
      <c r="BC60" s="112"/>
      <c r="BD60" s="113">
        <f>AR60/AV60</f>
        <v>9630.5714285714294</v>
      </c>
      <c r="BE60" s="118">
        <f>AS60/AW60</f>
        <v>9658</v>
      </c>
      <c r="BF60" s="119"/>
      <c r="BG60" s="200">
        <f t="shared" si="76"/>
        <v>7</v>
      </c>
      <c r="BH60" s="184">
        <f t="shared" si="77"/>
        <v>1</v>
      </c>
      <c r="BI60" s="52">
        <f t="shared" si="78"/>
        <v>9630.5714285714294</v>
      </c>
      <c r="BJ60" s="126">
        <f t="shared" si="79"/>
        <v>9658</v>
      </c>
      <c r="BK60" s="78"/>
      <c r="BL60" s="66"/>
      <c r="BM60" s="78"/>
      <c r="BN60" s="80"/>
      <c r="BO60" s="78"/>
      <c r="BP60" s="66"/>
      <c r="BQ60" s="78"/>
      <c r="BR60" s="66"/>
      <c r="BS60" s="189">
        <f t="shared" si="57"/>
        <v>9630.5714285714294</v>
      </c>
      <c r="BT60" s="182">
        <f t="shared" si="58"/>
        <v>9658</v>
      </c>
      <c r="BU60" s="64">
        <f t="shared" si="88"/>
        <v>67414</v>
      </c>
      <c r="BV60" s="80">
        <f t="shared" si="81"/>
        <v>9658</v>
      </c>
      <c r="BW60" s="59">
        <f t="shared" si="59"/>
        <v>0</v>
      </c>
      <c r="BX60" s="56">
        <f t="shared" si="97"/>
        <v>0</v>
      </c>
      <c r="BY60" s="212"/>
      <c r="BZ60" s="212"/>
      <c r="CA60" s="212"/>
      <c r="CB60" s="212"/>
      <c r="CC60" s="56">
        <f t="shared" si="61"/>
        <v>0</v>
      </c>
      <c r="CD60" s="79">
        <f t="shared" si="62"/>
        <v>0</v>
      </c>
      <c r="CE60" s="78">
        <v>31091</v>
      </c>
      <c r="CF60" s="79">
        <v>51668</v>
      </c>
      <c r="CG60" s="79"/>
      <c r="CH60" s="80"/>
      <c r="CI60" s="75">
        <v>3</v>
      </c>
      <c r="CJ60" s="76">
        <v>5</v>
      </c>
      <c r="CK60" s="76"/>
      <c r="CL60" s="77"/>
      <c r="CM60" s="75">
        <v>25</v>
      </c>
      <c r="CN60" s="76">
        <v>120</v>
      </c>
      <c r="CO60" s="76"/>
      <c r="CP60" s="77"/>
      <c r="CQ60" s="78">
        <f>CE60/CI60</f>
        <v>10363.666666666666</v>
      </c>
      <c r="CR60" s="79">
        <f>CF60/CJ60</f>
        <v>10333.6</v>
      </c>
      <c r="CS60" s="79"/>
      <c r="CT60" s="80"/>
      <c r="CU60" s="200">
        <f t="shared" si="82"/>
        <v>8</v>
      </c>
      <c r="CV60" s="128">
        <f t="shared" si="83"/>
        <v>0</v>
      </c>
      <c r="CW60" s="52">
        <f t="shared" si="84"/>
        <v>20697.266666666666</v>
      </c>
      <c r="CX60" s="57">
        <f t="shared" si="85"/>
        <v>0</v>
      </c>
      <c r="CY60" s="78"/>
      <c r="CZ60" s="66"/>
      <c r="DA60" s="78"/>
      <c r="DB60" s="80"/>
      <c r="DC60" s="78"/>
      <c r="DD60" s="66"/>
      <c r="DE60" s="78"/>
      <c r="DF60" s="66"/>
      <c r="DG60" s="189">
        <f t="shared" si="63"/>
        <v>20697.266666666666</v>
      </c>
      <c r="DH60" s="57">
        <f t="shared" si="64"/>
        <v>0</v>
      </c>
      <c r="DI60" s="64">
        <f t="shared" si="89"/>
        <v>165578.13333333333</v>
      </c>
      <c r="DJ60" s="80">
        <f t="shared" si="96"/>
        <v>0</v>
      </c>
      <c r="DK60" s="215">
        <f t="shared" si="66"/>
        <v>3</v>
      </c>
      <c r="DL60" s="216">
        <f t="shared" si="98"/>
        <v>10363.666666666666</v>
      </c>
      <c r="DM60" s="224"/>
      <c r="DN60" s="224"/>
      <c r="DO60" s="224"/>
      <c r="DP60" s="224"/>
      <c r="DQ60" s="219">
        <f t="shared" si="68"/>
        <v>10363.666666666666</v>
      </c>
      <c r="DR60" s="79">
        <f t="shared" si="69"/>
        <v>31091</v>
      </c>
      <c r="DS60" s="212"/>
      <c r="DT60" s="78"/>
      <c r="DU60" s="80"/>
    </row>
    <row r="61" spans="1:125" x14ac:dyDescent="0.3">
      <c r="A61" s="20" t="s">
        <v>60</v>
      </c>
      <c r="B61" s="43" t="s">
        <v>29</v>
      </c>
      <c r="C61" s="78"/>
      <c r="D61" s="79"/>
      <c r="E61" s="79"/>
      <c r="F61" s="80"/>
      <c r="G61" s="98"/>
      <c r="H61" s="99"/>
      <c r="I61" s="105"/>
      <c r="J61" s="106"/>
      <c r="K61" s="75"/>
      <c r="L61" s="76"/>
      <c r="M61" s="76"/>
      <c r="N61" s="77"/>
      <c r="O61" s="112"/>
      <c r="P61" s="113"/>
      <c r="Q61" s="109"/>
      <c r="R61" s="123"/>
      <c r="S61" s="59">
        <f t="shared" si="70"/>
        <v>0</v>
      </c>
      <c r="T61" s="128">
        <f t="shared" si="71"/>
        <v>0</v>
      </c>
      <c r="U61" s="55">
        <f t="shared" si="72"/>
        <v>0</v>
      </c>
      <c r="V61" s="57">
        <f t="shared" si="73"/>
        <v>0</v>
      </c>
      <c r="W61" s="75"/>
      <c r="X61" s="66"/>
      <c r="Y61" s="78"/>
      <c r="Z61" s="77"/>
      <c r="AA61" s="49"/>
      <c r="AB61" s="9"/>
      <c r="AC61" s="49"/>
      <c r="AD61" s="9"/>
      <c r="AE61" s="55">
        <f t="shared" si="51"/>
        <v>0</v>
      </c>
      <c r="AF61" s="57">
        <f t="shared" si="52"/>
        <v>0</v>
      </c>
      <c r="AG61" s="64">
        <f t="shared" si="74"/>
        <v>0</v>
      </c>
      <c r="AH61" s="80">
        <f t="shared" si="75"/>
        <v>0</v>
      </c>
      <c r="AI61" s="59">
        <f t="shared" si="53"/>
        <v>0</v>
      </c>
      <c r="AJ61" s="56">
        <f t="shared" si="54"/>
        <v>0</v>
      </c>
      <c r="AK61" s="212"/>
      <c r="AL61" s="212"/>
      <c r="AM61" s="212"/>
      <c r="AN61" s="212"/>
      <c r="AO61" s="79">
        <f t="shared" si="55"/>
        <v>0</v>
      </c>
      <c r="AP61" s="79">
        <f t="shared" si="56"/>
        <v>0</v>
      </c>
      <c r="AQ61" s="78"/>
      <c r="AR61" s="79"/>
      <c r="AS61" s="79"/>
      <c r="AT61" s="80"/>
      <c r="AU61" s="204"/>
      <c r="AV61" s="105"/>
      <c r="AW61" s="94"/>
      <c r="AX61" s="101"/>
      <c r="AY61" s="75"/>
      <c r="AZ61" s="76"/>
      <c r="BA61" s="76"/>
      <c r="BB61" s="77"/>
      <c r="BC61" s="112"/>
      <c r="BD61" s="113"/>
      <c r="BE61" s="118"/>
      <c r="BF61" s="119"/>
      <c r="BG61" s="59">
        <f t="shared" si="76"/>
        <v>0</v>
      </c>
      <c r="BH61" s="128">
        <f t="shared" si="77"/>
        <v>0</v>
      </c>
      <c r="BI61" s="55">
        <f t="shared" si="78"/>
        <v>0</v>
      </c>
      <c r="BJ61" s="57">
        <f t="shared" si="79"/>
        <v>0</v>
      </c>
      <c r="BK61" s="75"/>
      <c r="BL61" s="66"/>
      <c r="BM61" s="78"/>
      <c r="BN61" s="77"/>
      <c r="BO61" s="49"/>
      <c r="BP61" s="9"/>
      <c r="BQ61" s="49"/>
      <c r="BR61" s="9"/>
      <c r="BS61" s="55">
        <f t="shared" si="57"/>
        <v>0</v>
      </c>
      <c r="BT61" s="57">
        <f t="shared" si="58"/>
        <v>0</v>
      </c>
      <c r="BU61" s="64">
        <f t="shared" si="88"/>
        <v>0</v>
      </c>
      <c r="BV61" s="80">
        <f t="shared" si="81"/>
        <v>0</v>
      </c>
      <c r="BW61" s="59">
        <f t="shared" si="59"/>
        <v>0</v>
      </c>
      <c r="BX61" s="56">
        <f t="shared" si="97"/>
        <v>0</v>
      </c>
      <c r="BY61" s="212"/>
      <c r="BZ61" s="212"/>
      <c r="CA61" s="212"/>
      <c r="CB61" s="212"/>
      <c r="CC61" s="56">
        <f t="shared" si="61"/>
        <v>0</v>
      </c>
      <c r="CD61" s="79">
        <f t="shared" si="62"/>
        <v>0</v>
      </c>
      <c r="CE61" s="78"/>
      <c r="CF61" s="79"/>
      <c r="CG61" s="79"/>
      <c r="CH61" s="80"/>
      <c r="CI61" s="75"/>
      <c r="CJ61" s="76"/>
      <c r="CK61" s="76"/>
      <c r="CL61" s="77"/>
      <c r="CM61" s="75"/>
      <c r="CN61" s="76"/>
      <c r="CO61" s="76"/>
      <c r="CP61" s="77"/>
      <c r="CQ61" s="78"/>
      <c r="CR61" s="79"/>
      <c r="CS61" s="79"/>
      <c r="CT61" s="80"/>
      <c r="CU61" s="59">
        <f t="shared" si="82"/>
        <v>0</v>
      </c>
      <c r="CV61" s="128">
        <f t="shared" si="83"/>
        <v>0</v>
      </c>
      <c r="CW61" s="55">
        <f t="shared" si="84"/>
        <v>0</v>
      </c>
      <c r="CX61" s="57">
        <f t="shared" si="85"/>
        <v>0</v>
      </c>
      <c r="CY61" s="75"/>
      <c r="CZ61" s="66"/>
      <c r="DA61" s="78"/>
      <c r="DB61" s="77"/>
      <c r="DC61" s="49"/>
      <c r="DD61" s="9"/>
      <c r="DE61" s="49"/>
      <c r="DF61" s="9"/>
      <c r="DG61" s="55">
        <f t="shared" si="63"/>
        <v>0</v>
      </c>
      <c r="DH61" s="57">
        <f t="shared" si="64"/>
        <v>0</v>
      </c>
      <c r="DI61" s="64">
        <f t="shared" si="89"/>
        <v>0</v>
      </c>
      <c r="DJ61" s="80">
        <f t="shared" si="96"/>
        <v>0</v>
      </c>
      <c r="DK61" s="59">
        <f t="shared" si="66"/>
        <v>0</v>
      </c>
      <c r="DL61" s="56">
        <f t="shared" si="98"/>
        <v>0</v>
      </c>
      <c r="DM61" s="224"/>
      <c r="DN61" s="224"/>
      <c r="DO61" s="224"/>
      <c r="DP61" s="224"/>
      <c r="DQ61" s="56">
        <f t="shared" si="68"/>
        <v>0</v>
      </c>
      <c r="DR61" s="79">
        <f t="shared" si="69"/>
        <v>0</v>
      </c>
      <c r="DS61" s="212"/>
      <c r="DT61" s="78"/>
      <c r="DU61" s="80"/>
    </row>
    <row r="62" spans="1:125" ht="28.8" x14ac:dyDescent="0.3">
      <c r="A62" s="40" t="s">
        <v>61</v>
      </c>
      <c r="B62" s="84" t="s">
        <v>67</v>
      </c>
      <c r="C62" s="78">
        <v>0</v>
      </c>
      <c r="D62" s="79">
        <v>0</v>
      </c>
      <c r="E62" s="79">
        <v>0</v>
      </c>
      <c r="F62" s="80">
        <v>0</v>
      </c>
      <c r="G62" s="98">
        <v>0</v>
      </c>
      <c r="H62" s="99">
        <v>0</v>
      </c>
      <c r="I62" s="105">
        <v>0</v>
      </c>
      <c r="J62" s="106">
        <v>0</v>
      </c>
      <c r="K62" s="75">
        <v>0</v>
      </c>
      <c r="L62" s="76">
        <v>0</v>
      </c>
      <c r="M62" s="76">
        <v>0</v>
      </c>
      <c r="N62" s="77">
        <v>0</v>
      </c>
      <c r="O62" s="112">
        <v>0</v>
      </c>
      <c r="P62" s="113">
        <v>0</v>
      </c>
      <c r="Q62" s="109">
        <v>0</v>
      </c>
      <c r="R62" s="123">
        <v>0</v>
      </c>
      <c r="S62" s="59">
        <f t="shared" si="70"/>
        <v>0</v>
      </c>
      <c r="T62" s="128">
        <f t="shared" si="71"/>
        <v>0</v>
      </c>
      <c r="U62" s="78">
        <f t="shared" si="72"/>
        <v>0</v>
      </c>
      <c r="V62" s="80">
        <f t="shared" si="73"/>
        <v>0</v>
      </c>
      <c r="W62" s="75"/>
      <c r="X62" s="66"/>
      <c r="Y62" s="78"/>
      <c r="Z62" s="77"/>
      <c r="AA62" s="49"/>
      <c r="AB62" s="9"/>
      <c r="AC62" s="49"/>
      <c r="AD62" s="9"/>
      <c r="AE62" s="55">
        <f t="shared" si="51"/>
        <v>0</v>
      </c>
      <c r="AF62" s="57">
        <f t="shared" si="52"/>
        <v>0</v>
      </c>
      <c r="AG62" s="64">
        <f t="shared" si="74"/>
        <v>0</v>
      </c>
      <c r="AH62" s="80">
        <f t="shared" si="75"/>
        <v>0</v>
      </c>
      <c r="AI62" s="59">
        <f t="shared" si="53"/>
        <v>0</v>
      </c>
      <c r="AJ62" s="56">
        <f t="shared" si="54"/>
        <v>0</v>
      </c>
      <c r="AK62" s="212"/>
      <c r="AL62" s="212"/>
      <c r="AM62" s="212"/>
      <c r="AN62" s="212"/>
      <c r="AO62" s="79">
        <f t="shared" si="55"/>
        <v>0</v>
      </c>
      <c r="AP62" s="79">
        <f t="shared" si="56"/>
        <v>0</v>
      </c>
      <c r="AQ62" s="78">
        <v>86484.63</v>
      </c>
      <c r="AR62" s="79">
        <v>0</v>
      </c>
      <c r="AS62" s="79">
        <v>0</v>
      </c>
      <c r="AT62" s="80">
        <v>0</v>
      </c>
      <c r="AU62" s="204">
        <v>21</v>
      </c>
      <c r="AV62" s="105">
        <v>0</v>
      </c>
      <c r="AW62" s="94">
        <v>0</v>
      </c>
      <c r="AX62" s="101">
        <v>0</v>
      </c>
      <c r="AY62" s="75">
        <v>1299</v>
      </c>
      <c r="AZ62" s="76">
        <v>0</v>
      </c>
      <c r="BA62" s="76">
        <v>0</v>
      </c>
      <c r="BB62" s="77">
        <v>0</v>
      </c>
      <c r="BC62" s="112">
        <f>AQ62/AU62</f>
        <v>4118.3157142857144</v>
      </c>
      <c r="BD62" s="113">
        <v>0</v>
      </c>
      <c r="BE62" s="118">
        <v>0</v>
      </c>
      <c r="BF62" s="119">
        <v>0</v>
      </c>
      <c r="BG62" s="200">
        <f t="shared" si="76"/>
        <v>21</v>
      </c>
      <c r="BH62" s="128">
        <f t="shared" si="77"/>
        <v>0</v>
      </c>
      <c r="BI62" s="52">
        <f t="shared" si="78"/>
        <v>4118.3157142857144</v>
      </c>
      <c r="BJ62" s="80">
        <f t="shared" si="79"/>
        <v>0</v>
      </c>
      <c r="BK62" s="75"/>
      <c r="BL62" s="66"/>
      <c r="BM62" s="78"/>
      <c r="BN62" s="77"/>
      <c r="BO62" s="49"/>
      <c r="BP62" s="9"/>
      <c r="BQ62" s="49"/>
      <c r="BR62" s="9"/>
      <c r="BS62" s="189">
        <f t="shared" si="57"/>
        <v>4118.3157142857144</v>
      </c>
      <c r="BT62" s="57">
        <f t="shared" si="58"/>
        <v>0</v>
      </c>
      <c r="BU62" s="64">
        <f t="shared" si="88"/>
        <v>86484.63</v>
      </c>
      <c r="BV62" s="80">
        <f t="shared" si="81"/>
        <v>0</v>
      </c>
      <c r="BW62" s="215">
        <f t="shared" si="59"/>
        <v>21</v>
      </c>
      <c r="BX62" s="216">
        <f t="shared" si="97"/>
        <v>4118.3157142857144</v>
      </c>
      <c r="BY62" s="212"/>
      <c r="BZ62" s="212"/>
      <c r="CA62" s="212"/>
      <c r="CB62" s="212"/>
      <c r="CC62" s="219">
        <f t="shared" si="61"/>
        <v>4118.3157142857144</v>
      </c>
      <c r="CD62" s="79">
        <f t="shared" si="62"/>
        <v>86484.63</v>
      </c>
      <c r="CE62" s="78">
        <v>118922.97</v>
      </c>
      <c r="CF62" s="79">
        <v>0</v>
      </c>
      <c r="CG62" s="79">
        <v>0</v>
      </c>
      <c r="CH62" s="80">
        <v>0</v>
      </c>
      <c r="CI62" s="75">
        <v>37</v>
      </c>
      <c r="CJ62" s="76">
        <v>0</v>
      </c>
      <c r="CK62" s="76">
        <v>0</v>
      </c>
      <c r="CL62" s="77">
        <v>0</v>
      </c>
      <c r="CM62" s="75">
        <v>5213</v>
      </c>
      <c r="CN62" s="76">
        <v>0</v>
      </c>
      <c r="CO62" s="76">
        <v>0</v>
      </c>
      <c r="CP62" s="77">
        <v>0</v>
      </c>
      <c r="CQ62" s="78">
        <f>CE62/CI62</f>
        <v>3214.1343243243246</v>
      </c>
      <c r="CR62" s="79">
        <v>0</v>
      </c>
      <c r="CS62" s="79">
        <v>0</v>
      </c>
      <c r="CT62" s="80">
        <v>0</v>
      </c>
      <c r="CU62" s="200">
        <f t="shared" si="82"/>
        <v>37</v>
      </c>
      <c r="CV62" s="128">
        <f t="shared" si="83"/>
        <v>0</v>
      </c>
      <c r="CW62" s="52">
        <f t="shared" si="84"/>
        <v>3214.1343243243246</v>
      </c>
      <c r="CX62" s="57">
        <f t="shared" si="85"/>
        <v>0</v>
      </c>
      <c r="CY62" s="75"/>
      <c r="CZ62" s="66"/>
      <c r="DA62" s="78"/>
      <c r="DB62" s="77"/>
      <c r="DC62" s="49"/>
      <c r="DD62" s="9"/>
      <c r="DE62" s="49"/>
      <c r="DF62" s="9"/>
      <c r="DG62" s="189">
        <f t="shared" si="63"/>
        <v>3214.1343243243246</v>
      </c>
      <c r="DH62" s="57">
        <f t="shared" si="64"/>
        <v>0</v>
      </c>
      <c r="DI62" s="64">
        <f t="shared" si="89"/>
        <v>118922.97</v>
      </c>
      <c r="DJ62" s="80">
        <f t="shared" si="96"/>
        <v>0</v>
      </c>
      <c r="DK62" s="215">
        <f t="shared" si="66"/>
        <v>37</v>
      </c>
      <c r="DL62" s="216">
        <f t="shared" si="98"/>
        <v>3214.1343243243246</v>
      </c>
      <c r="DM62" s="224"/>
      <c r="DN62" s="224"/>
      <c r="DO62" s="224"/>
      <c r="DP62" s="224"/>
      <c r="DQ62" s="219">
        <f t="shared" si="68"/>
        <v>3214.1343243243246</v>
      </c>
      <c r="DR62" s="79">
        <f t="shared" si="69"/>
        <v>118922.97</v>
      </c>
      <c r="DS62" s="212"/>
      <c r="DT62" s="78"/>
      <c r="DU62" s="80"/>
    </row>
    <row r="63" spans="1:125" ht="29.4" thickBot="1" x14ac:dyDescent="0.35">
      <c r="A63" s="21" t="s">
        <v>68</v>
      </c>
      <c r="B63" s="74" t="s">
        <v>30</v>
      </c>
      <c r="C63" s="243">
        <f>155.14*6</f>
        <v>930.83999999999992</v>
      </c>
      <c r="D63" s="244"/>
      <c r="E63" s="244"/>
      <c r="F63" s="245"/>
      <c r="G63" s="246">
        <v>6</v>
      </c>
      <c r="H63" s="247"/>
      <c r="I63" s="247"/>
      <c r="J63" s="248"/>
      <c r="K63" s="246">
        <v>90</v>
      </c>
      <c r="L63" s="247"/>
      <c r="M63" s="247"/>
      <c r="N63" s="248"/>
      <c r="O63" s="243">
        <v>155.13999999999999</v>
      </c>
      <c r="P63" s="244"/>
      <c r="Q63" s="244"/>
      <c r="R63" s="245"/>
      <c r="S63" s="201">
        <f t="shared" si="70"/>
        <v>6</v>
      </c>
      <c r="T63" s="195">
        <f t="shared" si="71"/>
        <v>0</v>
      </c>
      <c r="U63" s="78">
        <f t="shared" si="72"/>
        <v>155.13999999999999</v>
      </c>
      <c r="V63" s="80">
        <f t="shared" si="73"/>
        <v>0</v>
      </c>
      <c r="W63" s="29"/>
      <c r="X63" s="34"/>
      <c r="Y63" s="26"/>
      <c r="Z63" s="31"/>
      <c r="AA63" s="50"/>
      <c r="AB63" s="7"/>
      <c r="AC63" s="50"/>
      <c r="AD63" s="7"/>
      <c r="AE63" s="202">
        <f t="shared" si="51"/>
        <v>155.13999999999999</v>
      </c>
      <c r="AF63" s="191">
        <f t="shared" si="52"/>
        <v>0</v>
      </c>
      <c r="AG63" s="129">
        <f t="shared" si="74"/>
        <v>930.83999999999992</v>
      </c>
      <c r="AH63" s="28">
        <f t="shared" si="75"/>
        <v>0</v>
      </c>
      <c r="AI63" s="59">
        <f t="shared" si="53"/>
        <v>6</v>
      </c>
      <c r="AJ63" s="56">
        <f t="shared" si="54"/>
        <v>155.13999999999999</v>
      </c>
      <c r="AK63" s="213"/>
      <c r="AL63" s="213"/>
      <c r="AM63" s="213"/>
      <c r="AN63" s="213"/>
      <c r="AO63" s="79">
        <f t="shared" si="55"/>
        <v>0</v>
      </c>
      <c r="AP63" s="79">
        <f>AO63*AI63</f>
        <v>0</v>
      </c>
      <c r="AQ63" s="26"/>
      <c r="AR63" s="27"/>
      <c r="AS63" s="27"/>
      <c r="AT63" s="28"/>
      <c r="AU63" s="205"/>
      <c r="AV63" s="107"/>
      <c r="AW63" s="95"/>
      <c r="AX63" s="102"/>
      <c r="AY63" s="29"/>
      <c r="AZ63" s="30"/>
      <c r="BA63" s="30"/>
      <c r="BB63" s="31"/>
      <c r="BC63" s="114"/>
      <c r="BD63" s="115"/>
      <c r="BE63" s="120"/>
      <c r="BF63" s="121"/>
      <c r="BG63" s="201">
        <f t="shared" si="76"/>
        <v>0</v>
      </c>
      <c r="BH63" s="195">
        <f t="shared" si="77"/>
        <v>0</v>
      </c>
      <c r="BI63" s="78">
        <f t="shared" si="78"/>
        <v>0</v>
      </c>
      <c r="BJ63" s="80">
        <f t="shared" si="79"/>
        <v>0</v>
      </c>
      <c r="BK63" s="29"/>
      <c r="BL63" s="34"/>
      <c r="BM63" s="26"/>
      <c r="BN63" s="31"/>
      <c r="BO63" s="50"/>
      <c r="BP63" s="7"/>
      <c r="BQ63" s="50"/>
      <c r="BR63" s="7"/>
      <c r="BS63" s="202">
        <f t="shared" ref="BS63" si="99">IF(AND(BI63&gt;$AA$40,BI63&lt;$AC$40),BI63,0)</f>
        <v>0</v>
      </c>
      <c r="BT63" s="191">
        <f t="shared" si="58"/>
        <v>0</v>
      </c>
      <c r="BU63" s="129">
        <f t="shared" si="88"/>
        <v>0</v>
      </c>
      <c r="BV63" s="28">
        <f t="shared" si="81"/>
        <v>0</v>
      </c>
      <c r="BW63" s="59">
        <f t="shared" si="59"/>
        <v>0</v>
      </c>
      <c r="BX63" s="56">
        <f t="shared" si="97"/>
        <v>0</v>
      </c>
      <c r="BY63" s="213"/>
      <c r="BZ63" s="213"/>
      <c r="CA63" s="213"/>
      <c r="CB63" s="213"/>
      <c r="CC63" s="56">
        <f t="shared" si="61"/>
        <v>0</v>
      </c>
      <c r="CD63" s="79">
        <f>CC63*BW63</f>
        <v>0</v>
      </c>
      <c r="CE63" s="26">
        <v>270.83999999999997</v>
      </c>
      <c r="CF63" s="27">
        <v>0</v>
      </c>
      <c r="CG63" s="27">
        <v>0</v>
      </c>
      <c r="CH63" s="28">
        <v>0</v>
      </c>
      <c r="CI63" s="29">
        <v>6</v>
      </c>
      <c r="CJ63" s="30">
        <v>0</v>
      </c>
      <c r="CK63" s="30">
        <v>0</v>
      </c>
      <c r="CL63" s="31">
        <v>0</v>
      </c>
      <c r="CM63" s="29">
        <v>75</v>
      </c>
      <c r="CN63" s="30">
        <v>0</v>
      </c>
      <c r="CO63" s="30">
        <v>0</v>
      </c>
      <c r="CP63" s="31">
        <v>0</v>
      </c>
      <c r="CQ63" s="26">
        <v>45.14</v>
      </c>
      <c r="CR63" s="27">
        <v>0</v>
      </c>
      <c r="CS63" s="27">
        <v>0</v>
      </c>
      <c r="CT63" s="28">
        <v>0</v>
      </c>
      <c r="CU63" s="206">
        <f t="shared" si="82"/>
        <v>6</v>
      </c>
      <c r="CV63" s="195">
        <f t="shared" si="83"/>
        <v>0</v>
      </c>
      <c r="CW63" s="52">
        <f t="shared" si="84"/>
        <v>45.14</v>
      </c>
      <c r="CX63" s="57">
        <f t="shared" si="85"/>
        <v>0</v>
      </c>
      <c r="CY63" s="29"/>
      <c r="CZ63" s="34"/>
      <c r="DA63" s="26"/>
      <c r="DB63" s="31"/>
      <c r="DC63" s="50"/>
      <c r="DD63" s="7"/>
      <c r="DE63" s="50"/>
      <c r="DF63" s="7"/>
      <c r="DG63" s="190">
        <f t="shared" si="63"/>
        <v>45.14</v>
      </c>
      <c r="DH63" s="191">
        <f t="shared" si="64"/>
        <v>0</v>
      </c>
      <c r="DI63" s="129">
        <f t="shared" si="89"/>
        <v>270.84000000000003</v>
      </c>
      <c r="DJ63" s="28">
        <f t="shared" si="96"/>
        <v>0</v>
      </c>
      <c r="DK63" s="215">
        <f t="shared" si="66"/>
        <v>6</v>
      </c>
      <c r="DL63" s="216">
        <f t="shared" si="98"/>
        <v>45.14</v>
      </c>
      <c r="DM63" s="213"/>
      <c r="DN63" s="213"/>
      <c r="DO63" s="213"/>
      <c r="DP63" s="213"/>
      <c r="DQ63" s="219">
        <f t="shared" si="68"/>
        <v>0</v>
      </c>
      <c r="DR63" s="79">
        <f>DQ63*DK63</f>
        <v>0</v>
      </c>
      <c r="DS63" s="221"/>
      <c r="DT63" s="156"/>
      <c r="DU63" s="208"/>
    </row>
    <row r="64" spans="1:125" ht="15" thickBot="1" x14ac:dyDescent="0.35">
      <c r="S64" s="157">
        <f>SUM(S40,S43,S44,S45,S47,S48,S49,S50,S51,S52,S53,S54,S55,S56,S58,S60)</f>
        <v>4477</v>
      </c>
      <c r="T64" s="157">
        <f>SUM(T40,T41,T52,T54,T57)</f>
        <v>235</v>
      </c>
      <c r="U64" s="137"/>
      <c r="V64" s="137"/>
      <c r="W64" s="140"/>
      <c r="X64" s="137"/>
      <c r="Y64" s="137"/>
      <c r="Z64" s="140"/>
      <c r="AA64" s="143"/>
      <c r="AB64" s="143"/>
      <c r="AC64" s="143"/>
      <c r="AD64" s="143"/>
      <c r="AE64" s="137"/>
      <c r="AF64" s="137"/>
      <c r="AG64" s="160">
        <f>SUM(AG40:AG63)</f>
        <v>210298685.14176482</v>
      </c>
      <c r="AH64" s="161">
        <f>SUM(AH40:AH63)</f>
        <v>9683679.7683333326</v>
      </c>
      <c r="AI64" s="214">
        <f>SUM(AI40,AI44,AI45,AI47:AI51,AI53,AI56,AI58)</f>
        <v>3389</v>
      </c>
      <c r="AJ64" s="217"/>
      <c r="AK64" s="217"/>
      <c r="AL64" s="217"/>
      <c r="AM64" s="217"/>
      <c r="AN64" s="217"/>
      <c r="AO64" s="217"/>
      <c r="AP64" s="214">
        <f>SUM(AP40:AP63)</f>
        <v>5300841.32</v>
      </c>
      <c r="BG64" s="157">
        <f>SUM(BG40,BG42,BG43,BG44,BG45,BG47,BG48,BG49,BG50,BG51,BG52,BG53,BG54,BG55,BG56,BG57,BG58,BG60,BG62)</f>
        <v>5163</v>
      </c>
      <c r="BH64" s="157">
        <f>SUM(BH40,BH41,BH50,BH51,BH52,BH53,BH54,BH57,BH60)</f>
        <v>372</v>
      </c>
      <c r="BI64" s="137"/>
      <c r="BJ64" s="137"/>
      <c r="BK64" s="140"/>
      <c r="BL64" s="137"/>
      <c r="BM64" s="137"/>
      <c r="BN64" s="140"/>
      <c r="BO64" s="143"/>
      <c r="BP64" s="143"/>
      <c r="BQ64" s="143"/>
      <c r="BR64" s="143"/>
      <c r="BS64" s="137"/>
      <c r="BT64" s="137"/>
      <c r="BU64" s="160">
        <f>SUM(BU40:BU63)</f>
        <v>154689220.64819625</v>
      </c>
      <c r="BV64" s="161">
        <f>SUM(BV40:BV63)</f>
        <v>13128334.98951515</v>
      </c>
      <c r="BW64" s="214">
        <f>SUM(BW40,BW44:BW45,BW47:BW51,BW53,BW56,BW58,BW622)</f>
        <v>3314</v>
      </c>
      <c r="BX64" s="217"/>
      <c r="BY64" s="217"/>
      <c r="BZ64" s="217"/>
      <c r="CA64" s="217"/>
      <c r="CB64" s="217"/>
      <c r="CC64" s="217"/>
      <c r="CD64" s="214">
        <f>SUM(CD40:CD63)</f>
        <v>39150597.430000015</v>
      </c>
      <c r="CU64" s="157">
        <f>SUM(CU40,CU43,CU44,CU45,CU47,CU48,CU49,CU50,CU51,CU52,CU53,CU54,CU55,CU56,CU57,CU58,CU59,CU60,CU62,CU63)</f>
        <v>4910</v>
      </c>
      <c r="CV64" s="157">
        <f>SUM(CV40,CV41,CV50,CV52,CV54,CV57)</f>
        <v>263</v>
      </c>
      <c r="CW64" s="137"/>
      <c r="CX64" s="137"/>
      <c r="CY64" s="140"/>
      <c r="CZ64" s="137"/>
      <c r="DA64" s="137"/>
      <c r="DB64" s="140"/>
      <c r="DC64" s="143"/>
      <c r="DD64" s="143"/>
      <c r="DE64" s="143"/>
      <c r="DF64" s="143"/>
      <c r="DG64" s="137"/>
      <c r="DH64" s="137"/>
      <c r="DI64" s="160">
        <f>SUM(DI40:DI63)</f>
        <v>231005991.40958661</v>
      </c>
      <c r="DJ64" s="209">
        <f>SUM(DJ40:DJ63)</f>
        <v>11750788.523638271</v>
      </c>
      <c r="DK64" s="214">
        <f>SUM(DK44:DK45,DK47:DK51,DK53,DK56:DK60,DK62:DK63)</f>
        <v>727</v>
      </c>
      <c r="DL64" s="217"/>
      <c r="DM64" s="217"/>
      <c r="DN64" s="217"/>
      <c r="DO64" s="217"/>
      <c r="DP64" s="217"/>
      <c r="DQ64" s="217"/>
      <c r="DR64" s="214">
        <f>SUM(DR40:DR63)</f>
        <v>37020394.070000008</v>
      </c>
      <c r="DS64" s="147"/>
      <c r="DT64" s="47"/>
      <c r="DU64" s="47"/>
    </row>
    <row r="65" spans="19:125" ht="43.8" thickBot="1" x14ac:dyDescent="0.35">
      <c r="S65" s="158"/>
      <c r="T65" s="158"/>
      <c r="U65" s="147"/>
      <c r="V65" s="147"/>
      <c r="W65" s="148"/>
      <c r="X65" s="147"/>
      <c r="Y65" s="147"/>
      <c r="Z65" s="148"/>
      <c r="AA65" s="149"/>
      <c r="AB65" s="149"/>
      <c r="AC65" s="149"/>
      <c r="AD65" s="149"/>
      <c r="AE65" s="147"/>
      <c r="AF65" s="225" t="s">
        <v>77</v>
      </c>
      <c r="AG65" s="226">
        <f>AG64/S64</f>
        <v>46973.12600888202</v>
      </c>
      <c r="AH65" s="227">
        <f>AH64/T64</f>
        <v>41207.147950354607</v>
      </c>
      <c r="AI65" s="147"/>
      <c r="AJ65" s="147"/>
      <c r="AK65" s="147"/>
      <c r="AL65" s="147"/>
      <c r="AM65" s="147"/>
      <c r="AN65" s="147"/>
      <c r="AO65" s="147"/>
      <c r="AP65" s="225">
        <f>AP64/AI64</f>
        <v>1564.1314015933904</v>
      </c>
      <c r="BG65" s="158"/>
      <c r="BH65" s="158"/>
      <c r="BI65" s="147"/>
      <c r="BJ65" s="147"/>
      <c r="BK65" s="148"/>
      <c r="BL65" s="147"/>
      <c r="BM65" s="147"/>
      <c r="BN65" s="148"/>
      <c r="BO65" s="149"/>
      <c r="BP65" s="149"/>
      <c r="BQ65" s="149"/>
      <c r="BR65" s="149"/>
      <c r="BS65" s="147"/>
      <c r="BT65" s="225" t="s">
        <v>77</v>
      </c>
      <c r="BU65" s="226">
        <f>BU64/BG64</f>
        <v>29961.111882277019</v>
      </c>
      <c r="BV65" s="227">
        <f>BV64/BH64</f>
        <v>35291.223090094492</v>
      </c>
      <c r="BW65" s="147"/>
      <c r="BX65" s="147"/>
      <c r="BY65" s="147"/>
      <c r="BZ65" s="147"/>
      <c r="CA65" s="147"/>
      <c r="CB65" s="147"/>
      <c r="CC65" s="147"/>
      <c r="CD65" s="225">
        <f>CD64/BW64</f>
        <v>11813.698681351845</v>
      </c>
      <c r="CU65" s="158"/>
      <c r="CV65" s="158"/>
      <c r="CW65" s="147"/>
      <c r="CX65" s="147"/>
      <c r="CY65" s="148"/>
      <c r="CZ65" s="147"/>
      <c r="DA65" s="147"/>
      <c r="DB65" s="148"/>
      <c r="DC65" s="149"/>
      <c r="DD65" s="149"/>
      <c r="DE65" s="149"/>
      <c r="DF65" s="149"/>
      <c r="DG65" s="147"/>
      <c r="DH65" s="225" t="s">
        <v>77</v>
      </c>
      <c r="DI65" s="226">
        <f>DI64/CU64</f>
        <v>47048.063423541062</v>
      </c>
      <c r="DJ65" s="226">
        <f>DJ64/CV64</f>
        <v>44679.804272388865</v>
      </c>
      <c r="DK65" s="147"/>
      <c r="DL65" s="147"/>
      <c r="DM65" s="147"/>
      <c r="DN65" s="147"/>
      <c r="DO65" s="147"/>
      <c r="DP65" s="147"/>
      <c r="DQ65" s="147"/>
      <c r="DR65" s="225">
        <f>DR64/DK64</f>
        <v>50922.137647867959</v>
      </c>
      <c r="DS65" s="228">
        <f>(((AP65*115.5%*107.1%)+(CD65*107.1%)+DR65)/3)*103.9%*103.7%</f>
        <v>23527.565142426523</v>
      </c>
      <c r="DT65" s="228">
        <f>(((AG65*115.5%*107.1%)+(BU65*107.1%)+DI65)/3)*103.9%*103.7%</f>
        <v>49290.289878337164</v>
      </c>
      <c r="DU65" s="228">
        <f>(((AH65*115.5%*107.1%)+(BV65*107.1%)+DJ65)/3)*103.9%*103.7%</f>
        <v>47928.310797692087</v>
      </c>
    </row>
  </sheetData>
  <autoFilter ref="A11:DU65"/>
  <customSheetViews>
    <customSheetView guid="{9528F918-98F0-45FD-BE58-081CB6B26C60}" scale="80">
      <pane xSplit="2" ySplit="12" topLeftCell="CM13" activePane="bottomRight" state="frozen"/>
      <selection pane="bottomRight" activeCell="CU20" sqref="CU20"/>
      <pageMargins left="0.7" right="0.7" top="0.75" bottom="0.75" header="0.3" footer="0.3"/>
      <pageSetup paperSize="9" orientation="portrait" horizontalDpi="0" verticalDpi="0" r:id="rId1"/>
    </customSheetView>
    <customSheetView guid="{512A30C0-C237-4A61-86DC-72786D6F25C2}" scale="80" fitToPage="1" showAutoFilter="1">
      <pane xSplit="2" ySplit="12" topLeftCell="C13" activePane="bottomRight" state="frozen"/>
      <selection pane="bottomRight" activeCell="C23" sqref="C23"/>
      <pageMargins left="0.11811023622047245" right="0.11811023622047245" top="0.15748031496062992" bottom="0.15748031496062992" header="3.937007874015748E-2" footer="3.937007874015748E-2"/>
      <pageSetup paperSize="9" scale="44" fitToWidth="0" orientation="landscape" r:id="rId2"/>
      <autoFilter ref="A11:DU65"/>
    </customSheetView>
    <customSheetView guid="{0CB0DA52-F445-4927-9AA2-C71984857A40}" scale="80" fitToPage="1" showAutoFilter="1">
      <pane xSplit="2" ySplit="12" topLeftCell="C13" activePane="bottomRight" state="frozen"/>
      <selection pane="bottomRight" activeCell="C23" sqref="C23"/>
      <pageMargins left="0.11811023622047245" right="0.11811023622047245" top="0.15748031496062992" bottom="0.15748031496062992" header="3.937007874015748E-2" footer="3.937007874015748E-2"/>
      <pageSetup paperSize="9" scale="44" fitToWidth="0" orientation="landscape" r:id="rId3"/>
      <autoFilter ref="A11:DU65"/>
    </customSheetView>
    <customSheetView guid="{6BDD9E66-BFEF-437C-92D4-C3942BAB2C45}" scale="61" state="hidden">
      <pane xSplit="2" ySplit="12" topLeftCell="BV31" activePane="bottomRight" state="frozen"/>
      <selection pane="bottomRight" activeCell="CO40" sqref="CO40:CP63"/>
      <pageMargins left="0.7" right="0.7" top="0.75" bottom="0.75" header="0.3" footer="0.3"/>
      <pageSetup paperSize="9" orientation="portrait" horizontalDpi="0" verticalDpi="0" r:id="rId4"/>
    </customSheetView>
    <customSheetView guid="{0ED4EF63-5D08-4DEB-B312-C0FBC2C39F95}" scale="80" fitToPage="1" showAutoFilter="1">
      <pane xSplit="2" ySplit="12" topLeftCell="C13" activePane="bottomRight" state="frozen"/>
      <selection pane="bottomRight" activeCell="C23" sqref="C23"/>
      <pageMargins left="0.11811023622047245" right="0.11811023622047245" top="0.15748031496062992" bottom="0.15748031496062992" header="3.937007874015748E-2" footer="3.937007874015748E-2"/>
      <pageSetup paperSize="9" scale="44" fitToWidth="0" orientation="landscape" r:id="rId5"/>
      <autoFilter ref="A11:DU65"/>
    </customSheetView>
    <customSheetView guid="{F0411C3B-1953-42F6-B0AB-C4CCEDB5FA1C}" scale="80">
      <pane xSplit="2" ySplit="12" topLeftCell="C22" activePane="bottomRight" state="frozen"/>
      <selection pane="bottomRight" activeCell="CA41" sqref="CA41:CD41"/>
      <pageMargins left="0.7" right="0.7" top="0.75" bottom="0.75" header="0.3" footer="0.3"/>
      <pageSetup paperSize="9" orientation="portrait" r:id="rId6"/>
    </customSheetView>
    <customSheetView guid="{39F5BC19-33A1-450E-8426-AA1A3487CB52}" scale="70">
      <pane xSplit="2" ySplit="12" topLeftCell="C13" activePane="bottomRight" state="frozen"/>
      <selection pane="bottomRight" activeCell="O50" sqref="O50:R50"/>
      <pageMargins left="0.7" right="0.7" top="0.75" bottom="0.75" header="0.3" footer="0.3"/>
      <pageSetup paperSize="9" orientation="portrait" horizontalDpi="0" verticalDpi="0" r:id="rId7"/>
    </customSheetView>
    <customSheetView guid="{D39D4E7D-6C3D-47CF-BFE2-CDFE67B11C85}" scale="80" fitToPage="1" showAutoFilter="1">
      <pane xSplit="2" ySplit="12" topLeftCell="C13" activePane="bottomRight" state="frozen"/>
      <selection pane="bottomRight" activeCell="C23" sqref="C23"/>
      <pageMargins left="0.11811023622047245" right="0.11811023622047245" top="0.15748031496062992" bottom="0.15748031496062992" header="3.937007874015748E-2" footer="3.937007874015748E-2"/>
      <pageSetup paperSize="9" scale="44" fitToWidth="0" orientation="landscape" r:id="rId8"/>
      <autoFilter ref="A11:DU65"/>
    </customSheetView>
  </customSheetViews>
  <mergeCells count="45">
    <mergeCell ref="CU8:DJ8"/>
    <mergeCell ref="BG9:BH9"/>
    <mergeCell ref="BI9:BJ9"/>
    <mergeCell ref="BK9:BL9"/>
    <mergeCell ref="BM9:BN9"/>
    <mergeCell ref="BO9:BP9"/>
    <mergeCell ref="BQ9:BR9"/>
    <mergeCell ref="BS9:BT9"/>
    <mergeCell ref="BU9:BV9"/>
    <mergeCell ref="CU9:CV9"/>
    <mergeCell ref="CW9:CX9"/>
    <mergeCell ref="DI9:DJ9"/>
    <mergeCell ref="BG8:BV8"/>
    <mergeCell ref="C8:R8"/>
    <mergeCell ref="S8:AH8"/>
    <mergeCell ref="AQ8:BF8"/>
    <mergeCell ref="DS9:DU9"/>
    <mergeCell ref="CY9:CZ9"/>
    <mergeCell ref="DA9:DB9"/>
    <mergeCell ref="DC9:DD9"/>
    <mergeCell ref="DE9:DF9"/>
    <mergeCell ref="DG9:DH9"/>
    <mergeCell ref="S9:T9"/>
    <mergeCell ref="U9:V9"/>
    <mergeCell ref="W9:X9"/>
    <mergeCell ref="Y9:Z9"/>
    <mergeCell ref="AE9:AF9"/>
    <mergeCell ref="AC9:AD9"/>
    <mergeCell ref="CE8:CT8"/>
    <mergeCell ref="A39:CT39"/>
    <mergeCell ref="A12:CT12"/>
    <mergeCell ref="C9:F9"/>
    <mergeCell ref="CI9:CL9"/>
    <mergeCell ref="CM9:CP9"/>
    <mergeCell ref="CQ9:CT9"/>
    <mergeCell ref="BC9:BF9"/>
    <mergeCell ref="CE9:CH9"/>
    <mergeCell ref="G9:J9"/>
    <mergeCell ref="K9:N9"/>
    <mergeCell ref="O9:R9"/>
    <mergeCell ref="AQ9:AT9"/>
    <mergeCell ref="AU9:AX9"/>
    <mergeCell ref="AY9:BB9"/>
    <mergeCell ref="AA9:AB9"/>
    <mergeCell ref="AG9:AH9"/>
  </mergeCells>
  <pageMargins left="0.11811023622047245" right="0.11811023622047245" top="0.15748031496062992" bottom="0.15748031496062992" header="3.937007874015748E-2" footer="3.937007874015748E-2"/>
  <pageSetup paperSize="9" scale="44" fitToWidth="0" orientation="landscape" r:id="rId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selection activeCell="H8" sqref="H8"/>
    </sheetView>
  </sheetViews>
  <sheetFormatPr defaultRowHeight="14.4" x14ac:dyDescent="0.3"/>
  <cols>
    <col min="1" max="1" width="7.77734375" style="6" customWidth="1"/>
    <col min="2" max="2" width="14.77734375" style="565" customWidth="1"/>
    <col min="3" max="3" width="8.88671875" style="565"/>
    <col min="4" max="4" width="8.88671875" style="6"/>
    <col min="5" max="5" width="14.77734375" style="565" customWidth="1"/>
    <col min="7" max="7" width="8.88671875" style="6"/>
    <col min="8" max="8" width="14.77734375" style="565" customWidth="1"/>
  </cols>
  <sheetData>
    <row r="1" spans="1:8" s="6" customFormat="1" x14ac:dyDescent="0.3">
      <c r="B1" s="565"/>
      <c r="C1" s="565"/>
      <c r="E1" s="565"/>
      <c r="H1" s="565"/>
    </row>
    <row r="2" spans="1:8" x14ac:dyDescent="0.3">
      <c r="E2" s="569" t="s">
        <v>2267</v>
      </c>
    </row>
    <row r="3" spans="1:8" x14ac:dyDescent="0.3">
      <c r="B3" s="565" t="s">
        <v>211</v>
      </c>
      <c r="E3" s="565">
        <v>508.71474226804128</v>
      </c>
    </row>
    <row r="4" spans="1:8" x14ac:dyDescent="0.3">
      <c r="B4" s="565" t="s">
        <v>188</v>
      </c>
      <c r="E4" s="565">
        <v>671.5264105571847</v>
      </c>
    </row>
    <row r="5" spans="1:8" x14ac:dyDescent="0.3">
      <c r="B5" s="565" t="s">
        <v>226</v>
      </c>
      <c r="E5" s="565">
        <v>680.86765151515146</v>
      </c>
    </row>
    <row r="6" spans="1:8" x14ac:dyDescent="0.3">
      <c r="B6" s="565" t="s">
        <v>191</v>
      </c>
      <c r="E6" s="565">
        <v>723.98739271973966</v>
      </c>
    </row>
    <row r="7" spans="1:8" x14ac:dyDescent="0.3">
      <c r="B7" s="565" t="s">
        <v>192</v>
      </c>
      <c r="E7" s="565">
        <v>1035.3725812712275</v>
      </c>
    </row>
    <row r="8" spans="1:8" s="6" customFormat="1" x14ac:dyDescent="0.3">
      <c r="B8" s="565"/>
      <c r="C8" s="565"/>
      <c r="E8" s="565"/>
      <c r="H8" s="565"/>
    </row>
    <row r="10" spans="1:8" x14ac:dyDescent="0.3">
      <c r="B10" s="566" t="s">
        <v>191</v>
      </c>
    </row>
    <row r="11" spans="1:8" x14ac:dyDescent="0.3">
      <c r="B11" s="569" t="s">
        <v>2267</v>
      </c>
      <c r="E11" s="569" t="s">
        <v>2267</v>
      </c>
      <c r="H11" s="569" t="s">
        <v>2267</v>
      </c>
    </row>
    <row r="12" spans="1:8" x14ac:dyDescent="0.3">
      <c r="A12" s="6">
        <v>1</v>
      </c>
      <c r="B12" s="565">
        <v>600.91461538461533</v>
      </c>
      <c r="D12" s="6">
        <v>1</v>
      </c>
      <c r="E12" s="565">
        <v>600.91461538461533</v>
      </c>
      <c r="G12" s="6">
        <v>1</v>
      </c>
      <c r="H12" s="565">
        <v>600.91461538461533</v>
      </c>
    </row>
    <row r="13" spans="1:8" x14ac:dyDescent="0.3">
      <c r="A13" s="6">
        <v>2</v>
      </c>
      <c r="B13" s="565">
        <v>387.25077777777778</v>
      </c>
    </row>
    <row r="14" spans="1:8" x14ac:dyDescent="0.3">
      <c r="A14" s="6">
        <v>3</v>
      </c>
      <c r="B14" s="565">
        <v>736.17457627118642</v>
      </c>
      <c r="D14" s="6">
        <v>2</v>
      </c>
      <c r="E14" s="565">
        <v>736.17457627118642</v>
      </c>
      <c r="G14" s="6">
        <v>2</v>
      </c>
      <c r="H14" s="565">
        <v>736.17457627118642</v>
      </c>
    </row>
    <row r="15" spans="1:8" x14ac:dyDescent="0.3">
      <c r="A15" s="6">
        <v>4</v>
      </c>
      <c r="B15" s="565">
        <v>248.95362857142857</v>
      </c>
    </row>
    <row r="16" spans="1:8" x14ac:dyDescent="0.3">
      <c r="A16" s="6">
        <v>5</v>
      </c>
      <c r="B16" s="565">
        <v>604.69166666666661</v>
      </c>
      <c r="D16" s="6">
        <v>3</v>
      </c>
      <c r="E16" s="565">
        <v>604.69166666666661</v>
      </c>
    </row>
    <row r="17" spans="1:8" x14ac:dyDescent="0.3">
      <c r="A17" s="6">
        <v>6</v>
      </c>
      <c r="B17" s="565">
        <v>630.36971428571428</v>
      </c>
      <c r="D17" s="6">
        <v>4</v>
      </c>
      <c r="E17" s="565">
        <v>630.36971428571428</v>
      </c>
    </row>
    <row r="18" spans="1:8" x14ac:dyDescent="0.3">
      <c r="A18" s="6">
        <v>7</v>
      </c>
      <c r="B18" s="565">
        <v>711.125</v>
      </c>
      <c r="D18" s="6">
        <v>5</v>
      </c>
      <c r="E18" s="565">
        <v>711.125</v>
      </c>
      <c r="G18" s="6">
        <v>3</v>
      </c>
      <c r="H18" s="565">
        <v>711.125</v>
      </c>
    </row>
    <row r="19" spans="1:8" x14ac:dyDescent="0.3">
      <c r="A19" s="6">
        <v>8</v>
      </c>
      <c r="B19" s="565">
        <v>507.23039999999997</v>
      </c>
      <c r="D19" s="6">
        <v>6</v>
      </c>
      <c r="E19" s="565">
        <v>507.23039999999997</v>
      </c>
    </row>
    <row r="20" spans="1:8" x14ac:dyDescent="0.3">
      <c r="A20" s="6">
        <v>9</v>
      </c>
      <c r="B20" s="565">
        <v>706.6981428571429</v>
      </c>
      <c r="D20" s="6">
        <v>7</v>
      </c>
      <c r="E20" s="565">
        <v>706.6981428571429</v>
      </c>
      <c r="G20" s="6">
        <v>4</v>
      </c>
      <c r="H20" s="565">
        <v>706.6981428571429</v>
      </c>
    </row>
    <row r="21" spans="1:8" x14ac:dyDescent="0.3">
      <c r="A21" s="6">
        <v>10</v>
      </c>
      <c r="B21" s="565">
        <v>784.31006756756744</v>
      </c>
      <c r="D21" s="6">
        <v>8</v>
      </c>
      <c r="E21" s="565">
        <v>784.31006756756744</v>
      </c>
      <c r="G21" s="6">
        <v>5</v>
      </c>
      <c r="H21" s="565">
        <v>784.31006756756744</v>
      </c>
    </row>
    <row r="22" spans="1:8" x14ac:dyDescent="0.3">
      <c r="A22" s="6">
        <v>11</v>
      </c>
      <c r="B22" s="565">
        <v>756.78419354838718</v>
      </c>
      <c r="D22" s="6">
        <v>9</v>
      </c>
      <c r="E22" s="565">
        <v>756.78419354838718</v>
      </c>
      <c r="G22" s="6">
        <v>6</v>
      </c>
      <c r="H22" s="565">
        <v>756.78419354838718</v>
      </c>
    </row>
    <row r="23" spans="1:8" x14ac:dyDescent="0.3">
      <c r="A23" s="6">
        <v>12</v>
      </c>
      <c r="B23" s="565">
        <v>706.04949999999997</v>
      </c>
      <c r="D23" s="6">
        <v>10</v>
      </c>
      <c r="E23" s="565">
        <v>706.04949999999997</v>
      </c>
      <c r="G23" s="6">
        <v>7</v>
      </c>
      <c r="H23" s="565">
        <v>706.04949999999997</v>
      </c>
    </row>
    <row r="24" spans="1:8" x14ac:dyDescent="0.3">
      <c r="A24" s="6">
        <v>13</v>
      </c>
      <c r="B24" s="565">
        <v>1217.0817142857143</v>
      </c>
      <c r="D24" s="6">
        <v>11</v>
      </c>
      <c r="E24" s="565">
        <v>1217.0817142857143</v>
      </c>
      <c r="G24" s="6">
        <v>8</v>
      </c>
      <c r="H24" s="565">
        <v>1217.0817142857143</v>
      </c>
    </row>
    <row r="25" spans="1:8" x14ac:dyDescent="0.3">
      <c r="A25" s="6">
        <v>14</v>
      </c>
      <c r="B25" s="565">
        <v>684.24250000000006</v>
      </c>
      <c r="D25" s="6">
        <v>12</v>
      </c>
      <c r="E25" s="565">
        <v>684.24250000000006</v>
      </c>
    </row>
    <row r="26" spans="1:8" x14ac:dyDescent="0.3">
      <c r="A26" s="6">
        <v>15</v>
      </c>
      <c r="B26" s="565">
        <v>625.36022222222221</v>
      </c>
      <c r="D26" s="6">
        <v>13</v>
      </c>
      <c r="E26" s="565">
        <v>625.36022222222221</v>
      </c>
    </row>
    <row r="27" spans="1:8" x14ac:dyDescent="0.3">
      <c r="A27" s="6">
        <v>16</v>
      </c>
      <c r="B27" s="565">
        <v>1057.3251162790698</v>
      </c>
      <c r="D27" s="6">
        <v>14</v>
      </c>
      <c r="E27" s="565">
        <v>1057.3251162790698</v>
      </c>
      <c r="G27" s="6">
        <v>9</v>
      </c>
      <c r="H27" s="565">
        <v>1057.3251162790698</v>
      </c>
    </row>
    <row r="28" spans="1:8" x14ac:dyDescent="0.3">
      <c r="A28" s="6">
        <v>17</v>
      </c>
      <c r="B28" s="565">
        <v>845.20116666666672</v>
      </c>
      <c r="D28" s="6">
        <v>15</v>
      </c>
      <c r="E28" s="565">
        <v>845.20116666666672</v>
      </c>
      <c r="G28" s="6">
        <v>10</v>
      </c>
      <c r="H28" s="565">
        <v>845.20116666666672</v>
      </c>
    </row>
    <row r="29" spans="1:8" x14ac:dyDescent="0.3">
      <c r="A29" s="6">
        <v>18</v>
      </c>
      <c r="B29" s="565">
        <v>746.53257142857149</v>
      </c>
      <c r="D29" s="6">
        <v>16</v>
      </c>
      <c r="E29" s="565">
        <v>746.53257142857149</v>
      </c>
      <c r="G29" s="6">
        <v>11</v>
      </c>
      <c r="H29" s="565">
        <v>746.53257142857149</v>
      </c>
    </row>
    <row r="30" spans="1:8" x14ac:dyDescent="0.3">
      <c r="A30" s="6">
        <v>19</v>
      </c>
      <c r="B30" s="565">
        <v>429.94322404371582</v>
      </c>
    </row>
    <row r="31" spans="1:8" x14ac:dyDescent="0.3">
      <c r="A31" s="6">
        <v>20</v>
      </c>
      <c r="B31" s="565">
        <v>662.04190476190468</v>
      </c>
      <c r="D31" s="6">
        <v>17</v>
      </c>
      <c r="E31" s="565">
        <v>662.04190476190468</v>
      </c>
    </row>
    <row r="32" spans="1:8" x14ac:dyDescent="0.3">
      <c r="A32" s="6">
        <v>21</v>
      </c>
      <c r="B32" s="565">
        <v>790.07228571428573</v>
      </c>
      <c r="D32" s="6">
        <v>18</v>
      </c>
      <c r="E32" s="565">
        <v>790.07228571428573</v>
      </c>
      <c r="G32" s="6">
        <v>12</v>
      </c>
      <c r="H32" s="565">
        <v>790.07228571428573</v>
      </c>
    </row>
    <row r="33" spans="1:8" x14ac:dyDescent="0.3">
      <c r="A33" s="6">
        <v>22</v>
      </c>
      <c r="B33" s="565">
        <v>483.41212499999995</v>
      </c>
    </row>
    <row r="34" spans="1:8" x14ac:dyDescent="0.3">
      <c r="A34" s="6">
        <v>23</v>
      </c>
      <c r="B34" s="565">
        <v>1128.2553333333331</v>
      </c>
      <c r="D34" s="6">
        <v>19</v>
      </c>
      <c r="E34" s="565">
        <v>1128.2553333333331</v>
      </c>
      <c r="G34" s="6">
        <v>13</v>
      </c>
      <c r="H34" s="565">
        <v>1128.2553333333331</v>
      </c>
    </row>
    <row r="35" spans="1:8" x14ac:dyDescent="0.3">
      <c r="A35" s="6">
        <v>24</v>
      </c>
      <c r="B35" s="565">
        <v>490.22784615384614</v>
      </c>
    </row>
    <row r="36" spans="1:8" x14ac:dyDescent="0.3">
      <c r="A36" s="6">
        <v>25</v>
      </c>
      <c r="B36" s="565">
        <v>1109.8932000000002</v>
      </c>
      <c r="D36" s="6">
        <v>20</v>
      </c>
      <c r="E36" s="565">
        <v>1109.8932000000002</v>
      </c>
      <c r="G36" s="6">
        <v>14</v>
      </c>
      <c r="H36" s="565">
        <v>1109.8932000000002</v>
      </c>
    </row>
    <row r="37" spans="1:8" x14ac:dyDescent="0.3">
      <c r="A37" s="6">
        <v>26</v>
      </c>
      <c r="B37" s="565">
        <v>811.87099999999987</v>
      </c>
      <c r="D37" s="6">
        <v>21</v>
      </c>
      <c r="E37" s="565">
        <v>811.87099999999987</v>
      </c>
      <c r="G37" s="6">
        <v>15</v>
      </c>
      <c r="H37" s="565">
        <v>811.87099999999987</v>
      </c>
    </row>
    <row r="38" spans="1:8" x14ac:dyDescent="0.3">
      <c r="A38" s="6">
        <v>27</v>
      </c>
      <c r="B38" s="565">
        <v>722.87987500000008</v>
      </c>
      <c r="D38" s="6">
        <v>22</v>
      </c>
      <c r="E38" s="565">
        <v>722.87987500000008</v>
      </c>
      <c r="G38" s="6">
        <v>16</v>
      </c>
      <c r="H38" s="565">
        <v>722.87987500000008</v>
      </c>
    </row>
    <row r="39" spans="1:8" x14ac:dyDescent="0.3">
      <c r="A39" s="6">
        <v>28</v>
      </c>
      <c r="B39" s="565">
        <v>738.18814285714279</v>
      </c>
      <c r="D39" s="6">
        <v>23</v>
      </c>
      <c r="E39" s="565">
        <v>738.18814285714279</v>
      </c>
      <c r="G39" s="6">
        <v>17</v>
      </c>
      <c r="H39" s="565">
        <v>738.18814285714279</v>
      </c>
    </row>
    <row r="40" spans="1:8" x14ac:dyDescent="0.3">
      <c r="A40" s="6">
        <v>29</v>
      </c>
      <c r="B40" s="565">
        <v>1182.8834999999999</v>
      </c>
      <c r="D40" s="6">
        <v>24</v>
      </c>
      <c r="E40" s="565">
        <v>1182.8834999999999</v>
      </c>
      <c r="G40" s="6">
        <v>18</v>
      </c>
      <c r="H40" s="565">
        <v>1182.8834999999999</v>
      </c>
    </row>
    <row r="41" spans="1:8" x14ac:dyDescent="0.3">
      <c r="A41" s="6">
        <v>30</v>
      </c>
      <c r="B41" s="565">
        <v>532.09128571428562</v>
      </c>
      <c r="D41" s="6">
        <v>25</v>
      </c>
      <c r="E41" s="565">
        <v>532.09128571428562</v>
      </c>
    </row>
    <row r="42" spans="1:8" x14ac:dyDescent="0.3">
      <c r="A42" s="6">
        <v>31</v>
      </c>
      <c r="B42" s="565">
        <v>700.55766666666659</v>
      </c>
      <c r="D42" s="6">
        <v>26</v>
      </c>
      <c r="E42" s="565">
        <v>700.55766666666659</v>
      </c>
      <c r="G42" s="6">
        <v>19</v>
      </c>
      <c r="H42" s="565">
        <v>700.55766666666659</v>
      </c>
    </row>
    <row r="43" spans="1:8" x14ac:dyDescent="0.3">
      <c r="A43" s="6">
        <v>32</v>
      </c>
      <c r="B43" s="565">
        <v>1156.3507894736842</v>
      </c>
      <c r="D43" s="6">
        <v>27</v>
      </c>
      <c r="E43" s="565">
        <v>1156.3507894736842</v>
      </c>
      <c r="G43" s="6">
        <v>20</v>
      </c>
      <c r="H43" s="565">
        <v>1156.3507894736842</v>
      </c>
    </row>
    <row r="44" spans="1:8" x14ac:dyDescent="0.3">
      <c r="A44" s="6">
        <v>33</v>
      </c>
      <c r="B44" s="565">
        <v>714.32761904761912</v>
      </c>
      <c r="D44" s="6">
        <v>28</v>
      </c>
      <c r="E44" s="565">
        <v>714.32761904761912</v>
      </c>
      <c r="G44" s="6">
        <v>21</v>
      </c>
      <c r="H44" s="565">
        <v>714.32761904761912</v>
      </c>
    </row>
    <row r="45" spans="1:8" x14ac:dyDescent="0.3">
      <c r="A45" s="6">
        <v>34</v>
      </c>
      <c r="B45" s="565">
        <v>703.96222222222229</v>
      </c>
      <c r="D45" s="6">
        <v>29</v>
      </c>
      <c r="E45" s="565">
        <v>703.96222222222229</v>
      </c>
      <c r="G45" s="6">
        <v>22</v>
      </c>
      <c r="H45" s="565">
        <v>703.96222222222229</v>
      </c>
    </row>
    <row r="46" spans="1:8" x14ac:dyDescent="0.3">
      <c r="A46" s="6">
        <v>35</v>
      </c>
      <c r="B46" s="565">
        <v>805.91199999999992</v>
      </c>
      <c r="D46" s="6">
        <v>30</v>
      </c>
      <c r="E46" s="565">
        <v>805.91199999999992</v>
      </c>
      <c r="G46" s="6">
        <v>23</v>
      </c>
      <c r="H46" s="565">
        <v>805.91199999999992</v>
      </c>
    </row>
    <row r="47" spans="1:8" x14ac:dyDescent="0.3">
      <c r="A47" s="6">
        <v>36</v>
      </c>
      <c r="B47" s="565">
        <v>762.19285714285706</v>
      </c>
      <c r="D47" s="6">
        <v>31</v>
      </c>
      <c r="E47" s="565">
        <v>762.19285714285706</v>
      </c>
      <c r="G47" s="6">
        <v>24</v>
      </c>
      <c r="H47" s="565">
        <v>762.19285714285706</v>
      </c>
    </row>
    <row r="48" spans="1:8" x14ac:dyDescent="0.3">
      <c r="A48" s="6">
        <v>37</v>
      </c>
      <c r="B48" s="565">
        <v>767.02186666666671</v>
      </c>
      <c r="D48" s="6">
        <v>32</v>
      </c>
      <c r="E48" s="565">
        <v>767.02186666666671</v>
      </c>
      <c r="G48" s="6">
        <v>25</v>
      </c>
      <c r="H48" s="565">
        <v>767.02186666666671</v>
      </c>
    </row>
    <row r="49" spans="1:8" x14ac:dyDescent="0.3">
      <c r="A49" s="6">
        <v>38</v>
      </c>
      <c r="B49" s="565">
        <v>786.53690909090915</v>
      </c>
      <c r="D49" s="6">
        <v>33</v>
      </c>
      <c r="E49" s="565">
        <v>786.53690909090915</v>
      </c>
      <c r="G49" s="6">
        <v>26</v>
      </c>
      <c r="H49" s="565">
        <v>786.53690909090915</v>
      </c>
    </row>
    <row r="50" spans="1:8" ht="21" customHeight="1" x14ac:dyDescent="0.3">
      <c r="B50" s="567">
        <f>SUM(B12:B49)</f>
        <v>28034.917226701869</v>
      </c>
      <c r="C50" s="567"/>
      <c r="D50" s="568"/>
      <c r="E50" s="567">
        <f>SUM(E12:E49)</f>
        <v>25995.129625155103</v>
      </c>
      <c r="F50" s="568"/>
      <c r="G50" s="568"/>
      <c r="H50" s="567">
        <f>SUM(H12:H49)</f>
        <v>21749.101931504305</v>
      </c>
    </row>
    <row r="52" spans="1:8" ht="16.8" customHeight="1" x14ac:dyDescent="0.3">
      <c r="A52" s="568" t="s">
        <v>72</v>
      </c>
      <c r="B52" s="567">
        <f>B50/A49</f>
        <v>737.76097965004919</v>
      </c>
      <c r="C52" s="567"/>
      <c r="D52" s="568" t="s">
        <v>72</v>
      </c>
      <c r="E52" s="567">
        <f>E50/D49</f>
        <v>787.73120076227588</v>
      </c>
      <c r="F52" s="568"/>
      <c r="G52" s="568" t="s">
        <v>72</v>
      </c>
      <c r="H52" s="567">
        <f>H50/G49</f>
        <v>836.50392044247326</v>
      </c>
    </row>
  </sheetData>
  <autoFilter ref="E12:E52"/>
  <pageMargins left="0.39370078740157483" right="0.39370078740157483" top="0.39370078740157483" bottom="0.39370078740157483" header="0" footer="0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Титульный</vt:lpstr>
      <vt:lpstr>1 городские нп (УЭС)</vt:lpstr>
      <vt:lpstr>2 не городские нп (УЭС)</vt:lpstr>
      <vt:lpstr>3 Организационные</vt:lpstr>
      <vt:lpstr>ЗАМЕНА Организационные меропри</vt:lpstr>
      <vt:lpstr>Организационные мероприятия</vt:lpstr>
      <vt:lpstr>Лист1</vt:lpstr>
      <vt:lpstr>'1 городские нп (УЭС)'!Заголовки_для_печати</vt:lpstr>
      <vt:lpstr>'2 не городские нп (УЭС)'!Заголовки_для_печати</vt:lpstr>
      <vt:lpstr>'1 городские нп (УЭС)'!Область_печати</vt:lpstr>
      <vt:lpstr>'2 не городские нп (УЭС)'!Область_печати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Галич Екатерина Сергеевна</dc:creator>
  <cp:lastModifiedBy>zm3</cp:lastModifiedBy>
  <cp:lastPrinted>2024-08-09T04:04:39Z</cp:lastPrinted>
  <dcterms:created xsi:type="dcterms:W3CDTF">2017-11-22T00:10:18Z</dcterms:created>
  <dcterms:modified xsi:type="dcterms:W3CDTF">2024-09-11T01:19:14Z</dcterms:modified>
</cp:coreProperties>
</file>